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namedSheetViews/namedSheetView1.xml" ContentType="application/vnd.ms-excel.namedsheetviews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2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0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micb2b-my.sharepoint.com/personal/chiahsuanho_us_micb2b_com/Documents/"/>
    </mc:Choice>
  </mc:AlternateContent>
  <xr:revisionPtr revIDLastSave="0" documentId="8_{229323A3-581F-4E29-B43F-02E817E8FC47}" xr6:coauthVersionLast="47" xr6:coauthVersionMax="47" xr10:uidLastSave="{00000000-0000-0000-0000-000000000000}"/>
  <bookViews>
    <workbookView xWindow="-80" yWindow="-80" windowWidth="22560" windowHeight="13440" tabRatio="724" firstSheet="6" activeTab="6" xr2:uid="{00000000-000D-0000-FFFF-FFFF00000000}"/>
  </bookViews>
  <sheets>
    <sheet name="Sheet1" sheetId="57" r:id="rId1"/>
    <sheet name="AR and Remaining" sheetId="101" r:id="rId2"/>
    <sheet name="color code" sheetId="78" state="hidden" r:id="rId3"/>
    <sheet name="BB &amp; HK &amp; AMHS &amp;Others" sheetId="87" r:id="rId4"/>
    <sheet name="AR &amp; AP Real 0804" sheetId="28" r:id="rId5"/>
    <sheet name="Interconnection" sheetId="75" r:id="rId6"/>
    <sheet name="interconnection-TSMC" sheetId="102" r:id="rId7"/>
    <sheet name="interconnection-TSMC_417" sheetId="76" state="hidden" r:id="rId8"/>
    <sheet name="工作表1" sheetId="103" state="hidden" r:id="rId9"/>
    <sheet name="Tool information_BK" sheetId="104" state="hidden" r:id="rId10"/>
    <sheet name="Project List" sheetId="84" r:id="rId11"/>
    <sheet name="MICUINT" sheetId="88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</externalReferences>
  <definedNames>
    <definedName name="\0" localSheetId="4">#REF!</definedName>
    <definedName name="\0" localSheetId="5">#REF!</definedName>
    <definedName name="\1" localSheetId="4">#REF!</definedName>
    <definedName name="\1" localSheetId="2">#REF!</definedName>
    <definedName name="\1" localSheetId="5">#REF!</definedName>
    <definedName name="\1" localSheetId="6">#REF!</definedName>
    <definedName name="\1" localSheetId="7">#REF!</definedName>
    <definedName name="\a" localSheetId="6">#REF!</definedName>
    <definedName name="\a">#REF!</definedName>
    <definedName name="\b" localSheetId="6">#REF!</definedName>
    <definedName name="\b">#REF!</definedName>
    <definedName name="\c" localSheetId="6">#REF!</definedName>
    <definedName name="\c">#REF!</definedName>
    <definedName name="\d" localSheetId="6">[1]標單!#REF!</definedName>
    <definedName name="\d" localSheetId="7">[1]標單!#REF!</definedName>
    <definedName name="\e" localSheetId="2">#REF!</definedName>
    <definedName name="\e" localSheetId="5">#REF!</definedName>
    <definedName name="\e" localSheetId="6">#REF!</definedName>
    <definedName name="\e" localSheetId="7">#REF!</definedName>
    <definedName name="\f" localSheetId="2">[2]演奏廳各期計價!#REF!</definedName>
    <definedName name="\f" localSheetId="5">[2]演奏廳各期計價!#REF!</definedName>
    <definedName name="\f" localSheetId="6">[2]演奏廳各期計價!#REF!</definedName>
    <definedName name="\f" localSheetId="7">[2]演奏廳各期計價!#REF!</definedName>
    <definedName name="\i" localSheetId="2">#REF!</definedName>
    <definedName name="\i" localSheetId="5">#REF!</definedName>
    <definedName name="\i" localSheetId="6">#REF!</definedName>
    <definedName name="\i" localSheetId="7">#REF!</definedName>
    <definedName name="\q" localSheetId="2">#REF!</definedName>
    <definedName name="\q" localSheetId="5">#REF!</definedName>
    <definedName name="\q" localSheetId="6">#REF!</definedName>
    <definedName name="\q" localSheetId="7">#REF!</definedName>
    <definedName name="\r" localSheetId="2">[2]演奏廳各期計價!#REF!</definedName>
    <definedName name="\r" localSheetId="5">[2]演奏廳各期計價!#REF!</definedName>
    <definedName name="\r" localSheetId="6">[2]演奏廳各期計價!#REF!</definedName>
    <definedName name="\r" localSheetId="7">[2]演奏廳各期計價!#REF!</definedName>
    <definedName name="\s" localSheetId="2">[3]預算總表!#REF!</definedName>
    <definedName name="\s" localSheetId="5">[3]預算總表!#REF!</definedName>
    <definedName name="\s" localSheetId="6">[3]預算總表!#REF!</definedName>
    <definedName name="\s" localSheetId="7">[3]預算總表!#REF!</definedName>
    <definedName name="\x" localSheetId="6">[1]標單!#REF!</definedName>
    <definedName name="\x" localSheetId="7">[1]標單!#REF!</definedName>
    <definedName name="\z" localSheetId="6">[1]標單!#REF!</definedName>
    <definedName name="\z" localSheetId="7">[1]標單!#REF!</definedName>
    <definedName name="_" localSheetId="6" hidden="1">[4]대비표!#REF!</definedName>
    <definedName name="_" localSheetId="7" hidden="1">[4]대비표!#REF!</definedName>
    <definedName name="____________Apr3">'[5]Exh Branch(8K)(依前購)'!$I$39:$I$52</definedName>
    <definedName name="____________Apr4">'[5]Exh Branch(8K)(依前購)'!$I$53:$I$62</definedName>
    <definedName name="____________Apr5">'[5]Exh Branch(8K)(依前購)'!$I$63:$I$72</definedName>
    <definedName name="____________Aug3">'[5]Exh Branch(8K)(依前購)'!$M$39:$M$52</definedName>
    <definedName name="____________Aug4">'[5]Exh Branch(8K)(依前購)'!$M$53:$M$62</definedName>
    <definedName name="____________Aug5">'[5]Exh Branch(8K)(依前購)'!$M$63:$M$72</definedName>
    <definedName name="____________Dec3">'[5]Exh Branch(8K)(依前購)'!$Q$39:$Q$52</definedName>
    <definedName name="____________Dec4">'[5]Exh Branch(8K)(依前購)'!$Q$53:$Q$62</definedName>
    <definedName name="____________Dec5">'[5]Exh Branch(8K)(依前購)'!$Q$63:$Q$72</definedName>
    <definedName name="____________Fab1">'[5]Exh Branch(8K)(依前購)'!$R$5:$R$11</definedName>
    <definedName name="____________Fab3">'[5]Exh Branch(8K)(依前購)'!$R$39:$R$52</definedName>
    <definedName name="____________Fab4">'[5]Exh Branch(8K)(依前購)'!$R$53:$R$62</definedName>
    <definedName name="____________Fab5">'[5]Exh Branch(8K)(依前購)'!$R$63:$R$72</definedName>
    <definedName name="____________Feb3">'[5]Exh Branch(8K)(依前購)'!$G$39:$G$52</definedName>
    <definedName name="____________Feb4">'[5]Exh Branch(8K)(依前購)'!$G$53:$G$62</definedName>
    <definedName name="____________Feb5">'[5]Exh Branch(8K)(依前購)'!$G$63:$G$72</definedName>
    <definedName name="____________Jan3">'[5]Exh Branch(8K)(依前購)'!$F$39:$F$52</definedName>
    <definedName name="____________Jan4">'[5]Exh Branch(8K)(依前購)'!$F$53:$F$62</definedName>
    <definedName name="____________Jan5">'[5]Exh Branch(8K)(依前購)'!$F$63:$F$72</definedName>
    <definedName name="____________Jul3">'[5]Exh Branch(8K)(依前購)'!$L$39:$L$52</definedName>
    <definedName name="____________Jul4">'[5]Exh Branch(8K)(依前購)'!$L$53:$L$62</definedName>
    <definedName name="____________Jul5">'[5]Exh Branch(8K)(依前購)'!$L$63:$L$72</definedName>
    <definedName name="____________Jun3">'[5]Exh Branch(8K)(依前購)'!$K$39:$K$52</definedName>
    <definedName name="____________Jun4">'[5]Exh Branch(8K)(依前購)'!$K$53:$K$62</definedName>
    <definedName name="____________Jun5">'[5]Exh Branch(8K)(依前購)'!$K$63:$K$72</definedName>
    <definedName name="____________Mar3">'[5]Exh Branch(8K)(依前購)'!$H$39:$H$52</definedName>
    <definedName name="____________Mar4">'[5]Exh Branch(8K)(依前購)'!$H$53:$H$62</definedName>
    <definedName name="____________Mar5">'[5]Exh Branch(8K)(依前購)'!$H$63:$H$72</definedName>
    <definedName name="____________may3">'[5]Exh Branch(8K)(依前購)'!$J$39:$J$52</definedName>
    <definedName name="____________May4">'[5]Exh Branch(8K)(依前購)'!$J$53:$J$62</definedName>
    <definedName name="____________May5">'[5]Exh Branch(8K)(依前購)'!$J$63:$J$72</definedName>
    <definedName name="____________Nov3">'[5]Exh Branch(8K)(依前購)'!$P$39:$P$52</definedName>
    <definedName name="____________Nov4">'[5]Exh Branch(8K)(依前購)'!$P$53:$P$62</definedName>
    <definedName name="____________Nov5">'[5]Exh Branch(8K)(依前購)'!$P$63:$P$72</definedName>
    <definedName name="____________Oct3">'[5]Exh Branch(8K)(依前購)'!$O$39:$O$52</definedName>
    <definedName name="____________Oct4">'[5]Exh Branch(8K)(依前購)'!$O$53:$O$62</definedName>
    <definedName name="____________Oct5">'[5]Exh Branch(8K)(依前購)'!$O$63:$O$72</definedName>
    <definedName name="____________Sep3">'[5]Exh Branch(8K)(依前購)'!$N$39:$N$52</definedName>
    <definedName name="____________Sep4">'[5]Exh Branch(8K)(依前購)'!$N$53:$N$62</definedName>
    <definedName name="____________Sep5">'[5]Exh Branch(8K)(依前購)'!$N$63:$N$72</definedName>
    <definedName name="___________Apr3">'[5]Exh Branch(8K)(依前購)'!$I$39:$I$52</definedName>
    <definedName name="___________Apr4">'[5]Exh Branch(8K)(依前購)'!$I$53:$I$62</definedName>
    <definedName name="___________Apr5">'[5]Exh Branch(8K)(依前購)'!$I$63:$I$72</definedName>
    <definedName name="___________Aug3">'[5]Exh Branch(8K)(依前購)'!$M$39:$M$52</definedName>
    <definedName name="___________Aug4">'[5]Exh Branch(8K)(依前購)'!$M$53:$M$62</definedName>
    <definedName name="___________Aug5">'[5]Exh Branch(8K)(依前購)'!$M$63:$M$72</definedName>
    <definedName name="___________Dec3">'[5]Exh Branch(8K)(依前購)'!$Q$39:$Q$52</definedName>
    <definedName name="___________Dec4">'[5]Exh Branch(8K)(依前購)'!$Q$53:$Q$62</definedName>
    <definedName name="___________Dec5">'[5]Exh Branch(8K)(依前購)'!$Q$63:$Q$72</definedName>
    <definedName name="___________Fab1">'[5]Exh Branch(8K)(依前購)'!$R$5:$R$11</definedName>
    <definedName name="___________Fab3">'[5]Exh Branch(8K)(依前購)'!$R$39:$R$52</definedName>
    <definedName name="___________Fab4">'[5]Exh Branch(8K)(依前購)'!$R$53:$R$62</definedName>
    <definedName name="___________Fab5">'[5]Exh Branch(8K)(依前購)'!$R$63:$R$72</definedName>
    <definedName name="___________Feb3">'[5]Exh Branch(8K)(依前購)'!$G$39:$G$52</definedName>
    <definedName name="___________Feb4">'[5]Exh Branch(8K)(依前購)'!$G$53:$G$62</definedName>
    <definedName name="___________Feb5">'[5]Exh Branch(8K)(依前購)'!$G$63:$G$72</definedName>
    <definedName name="___________Jan3">'[5]Exh Branch(8K)(依前購)'!$F$39:$F$52</definedName>
    <definedName name="___________Jan4">'[5]Exh Branch(8K)(依前購)'!$F$53:$F$62</definedName>
    <definedName name="___________Jan5">'[5]Exh Branch(8K)(依前購)'!$F$63:$F$72</definedName>
    <definedName name="___________Jul3">'[5]Exh Branch(8K)(依前購)'!$L$39:$L$52</definedName>
    <definedName name="___________Jul4">'[5]Exh Branch(8K)(依前購)'!$L$53:$L$62</definedName>
    <definedName name="___________Jul5">'[5]Exh Branch(8K)(依前購)'!$L$63:$L$72</definedName>
    <definedName name="___________Jun3">'[5]Exh Branch(8K)(依前購)'!$K$39:$K$52</definedName>
    <definedName name="___________Jun4">'[5]Exh Branch(8K)(依前購)'!$K$53:$K$62</definedName>
    <definedName name="___________Jun5">'[5]Exh Branch(8K)(依前購)'!$K$63:$K$72</definedName>
    <definedName name="___________Mar3">'[5]Exh Branch(8K)(依前購)'!$H$39:$H$52</definedName>
    <definedName name="___________Mar4">'[5]Exh Branch(8K)(依前購)'!$H$53:$H$62</definedName>
    <definedName name="___________Mar5">'[5]Exh Branch(8K)(依前購)'!$H$63:$H$72</definedName>
    <definedName name="___________may3">'[5]Exh Branch(8K)(依前購)'!$J$39:$J$52</definedName>
    <definedName name="___________May4">'[5]Exh Branch(8K)(依前購)'!$J$53:$J$62</definedName>
    <definedName name="___________May5">'[5]Exh Branch(8K)(依前購)'!$J$63:$J$72</definedName>
    <definedName name="___________Nov3">'[5]Exh Branch(8K)(依前購)'!$P$39:$P$52</definedName>
    <definedName name="___________Nov4">'[5]Exh Branch(8K)(依前購)'!$P$53:$P$62</definedName>
    <definedName name="___________Nov5">'[5]Exh Branch(8K)(依前購)'!$P$63:$P$72</definedName>
    <definedName name="___________Oct3">'[5]Exh Branch(8K)(依前購)'!$O$39:$O$52</definedName>
    <definedName name="___________Oct4">'[5]Exh Branch(8K)(依前購)'!$O$53:$O$62</definedName>
    <definedName name="___________Oct5">'[5]Exh Branch(8K)(依前購)'!$O$63:$O$72</definedName>
    <definedName name="___________Sep3">'[5]Exh Branch(8K)(依前購)'!$N$39:$N$52</definedName>
    <definedName name="___________Sep4">'[5]Exh Branch(8K)(依前購)'!$N$53:$N$62</definedName>
    <definedName name="___________Sep5">'[5]Exh Branch(8K)(依前購)'!$N$63:$N$72</definedName>
    <definedName name="__________Apr3">'[6]Exh Branch(8K)(依前購)'!$I$39:$I$52</definedName>
    <definedName name="__________Apr4">'[6]Exh Branch(8K)(依前購)'!$I$53:$I$62</definedName>
    <definedName name="__________Apr5">'[6]Exh Branch(8K)(依前購)'!$I$63:$I$72</definedName>
    <definedName name="__________Aug3">'[6]Exh Branch(8K)(依前購)'!$M$39:$M$52</definedName>
    <definedName name="__________Aug4">'[6]Exh Branch(8K)(依前購)'!$M$53:$M$62</definedName>
    <definedName name="__________Aug5">'[6]Exh Branch(8K)(依前購)'!$M$63:$M$72</definedName>
    <definedName name="__________Dec3">'[6]Exh Branch(8K)(依前購)'!$Q$39:$Q$52</definedName>
    <definedName name="__________Dec4">'[6]Exh Branch(8K)(依前購)'!$Q$53:$Q$62</definedName>
    <definedName name="__________Dec5">'[6]Exh Branch(8K)(依前購)'!$Q$63:$Q$72</definedName>
    <definedName name="__________Fab1">'[6]Exh Branch(8K)(依前購)'!$R$5:$R$11</definedName>
    <definedName name="__________Fab3">'[6]Exh Branch(8K)(依前購)'!$R$39:$R$52</definedName>
    <definedName name="__________Fab4">'[6]Exh Branch(8K)(依前購)'!$R$53:$R$62</definedName>
    <definedName name="__________Fab5">'[6]Exh Branch(8K)(依前購)'!$R$63:$R$72</definedName>
    <definedName name="__________Feb3">'[6]Exh Branch(8K)(依前購)'!$G$39:$G$52</definedName>
    <definedName name="__________Feb4">'[6]Exh Branch(8K)(依前購)'!$G$53:$G$62</definedName>
    <definedName name="__________Feb5">'[6]Exh Branch(8K)(依前購)'!$G$63:$G$72</definedName>
    <definedName name="__________Jan3">'[6]Exh Branch(8K)(依前購)'!$F$39:$F$52</definedName>
    <definedName name="__________Jan4">'[6]Exh Branch(8K)(依前購)'!$F$53:$F$62</definedName>
    <definedName name="__________Jan5">'[6]Exh Branch(8K)(依前購)'!$F$63:$F$72</definedName>
    <definedName name="__________Jul3">'[6]Exh Branch(8K)(依前購)'!$L$39:$L$52</definedName>
    <definedName name="__________Jul4">'[6]Exh Branch(8K)(依前購)'!$L$53:$L$62</definedName>
    <definedName name="__________Jul5">'[6]Exh Branch(8K)(依前購)'!$L$63:$L$72</definedName>
    <definedName name="__________Jun3">'[6]Exh Branch(8K)(依前購)'!$K$39:$K$52</definedName>
    <definedName name="__________Jun4">'[6]Exh Branch(8K)(依前購)'!$K$53:$K$62</definedName>
    <definedName name="__________Jun5">'[6]Exh Branch(8K)(依前購)'!$K$63:$K$72</definedName>
    <definedName name="__________Mar3">'[6]Exh Branch(8K)(依前購)'!$H$39:$H$52</definedName>
    <definedName name="__________Mar4">'[6]Exh Branch(8K)(依前購)'!$H$53:$H$62</definedName>
    <definedName name="__________Mar5">'[6]Exh Branch(8K)(依前購)'!$H$63:$H$72</definedName>
    <definedName name="__________may3">'[6]Exh Branch(8K)(依前購)'!$J$39:$J$52</definedName>
    <definedName name="__________May4">'[6]Exh Branch(8K)(依前購)'!$J$53:$J$62</definedName>
    <definedName name="__________May5">'[6]Exh Branch(8K)(依前購)'!$J$63:$J$72</definedName>
    <definedName name="__________Nov3">'[6]Exh Branch(8K)(依前購)'!$P$39:$P$52</definedName>
    <definedName name="__________Nov4">'[6]Exh Branch(8K)(依前購)'!$P$53:$P$62</definedName>
    <definedName name="__________Nov5">'[6]Exh Branch(8K)(依前購)'!$P$63:$P$72</definedName>
    <definedName name="__________Oct3">'[6]Exh Branch(8K)(依前購)'!$O$39:$O$52</definedName>
    <definedName name="__________Oct4">'[6]Exh Branch(8K)(依前購)'!$O$53:$O$62</definedName>
    <definedName name="__________Oct5">'[6]Exh Branch(8K)(依前購)'!$O$63:$O$72</definedName>
    <definedName name="__________Sep3">'[6]Exh Branch(8K)(依前購)'!$N$39:$N$52</definedName>
    <definedName name="__________Sep4">'[6]Exh Branch(8K)(依前購)'!$N$53:$N$62</definedName>
    <definedName name="__________Sep5">'[6]Exh Branch(8K)(依前購)'!$N$63:$N$72</definedName>
    <definedName name="_________Apr3" localSheetId="2">#REF!</definedName>
    <definedName name="_________Apr3" localSheetId="5">#REF!</definedName>
    <definedName name="_________Apr3" localSheetId="6">#REF!</definedName>
    <definedName name="_________Apr3" localSheetId="7">#REF!</definedName>
    <definedName name="_________Apr4" localSheetId="2">#REF!</definedName>
    <definedName name="_________Apr4" localSheetId="5">#REF!</definedName>
    <definedName name="_________Apr4" localSheetId="6">#REF!</definedName>
    <definedName name="_________Apr4" localSheetId="7">#REF!</definedName>
    <definedName name="_________Apr5" localSheetId="2">#REF!</definedName>
    <definedName name="_________Apr5" localSheetId="5">#REF!</definedName>
    <definedName name="_________Apr5" localSheetId="6">#REF!</definedName>
    <definedName name="_________Apr5" localSheetId="7">#REF!</definedName>
    <definedName name="_________Aug3" localSheetId="6">#REF!</definedName>
    <definedName name="_________Aug3">#REF!</definedName>
    <definedName name="_________Aug4" localSheetId="6">#REF!</definedName>
    <definedName name="_________Aug4">#REF!</definedName>
    <definedName name="_________Aug5" localSheetId="6">#REF!</definedName>
    <definedName name="_________Aug5">#REF!</definedName>
    <definedName name="_________Dec3" localSheetId="6">#REF!</definedName>
    <definedName name="_________Dec3">#REF!</definedName>
    <definedName name="_________Dec4" localSheetId="6">#REF!</definedName>
    <definedName name="_________Dec4">#REF!</definedName>
    <definedName name="_________Dec5" localSheetId="6">#REF!</definedName>
    <definedName name="_________Dec5">#REF!</definedName>
    <definedName name="_________Fab1" localSheetId="6">#REF!</definedName>
    <definedName name="_________Fab1">#REF!</definedName>
    <definedName name="_________Fab3" localSheetId="6">#REF!</definedName>
    <definedName name="_________Fab3">#REF!</definedName>
    <definedName name="_________Fab4" localSheetId="6">#REF!</definedName>
    <definedName name="_________Fab4">#REF!</definedName>
    <definedName name="_________Fab5" localSheetId="6">#REF!</definedName>
    <definedName name="_________Fab5">#REF!</definedName>
    <definedName name="_________Feb3" localSheetId="6">#REF!</definedName>
    <definedName name="_________Feb3">#REF!</definedName>
    <definedName name="_________Feb4" localSheetId="6">#REF!</definedName>
    <definedName name="_________Feb4">#REF!</definedName>
    <definedName name="_________Feb5" localSheetId="6">#REF!</definedName>
    <definedName name="_________Feb5">#REF!</definedName>
    <definedName name="_________Jan3" localSheetId="6">#REF!</definedName>
    <definedName name="_________Jan3">#REF!</definedName>
    <definedName name="_________Jan4" localSheetId="6">#REF!</definedName>
    <definedName name="_________Jan4">#REF!</definedName>
    <definedName name="_________Jan5" localSheetId="6">#REF!</definedName>
    <definedName name="_________Jan5">#REF!</definedName>
    <definedName name="_________Jul3" localSheetId="6">#REF!</definedName>
    <definedName name="_________Jul3">#REF!</definedName>
    <definedName name="_________Jul4" localSheetId="6">#REF!</definedName>
    <definedName name="_________Jul4">#REF!</definedName>
    <definedName name="_________Jul5" localSheetId="6">#REF!</definedName>
    <definedName name="_________Jul5">#REF!</definedName>
    <definedName name="_________Jun3" localSheetId="6">#REF!</definedName>
    <definedName name="_________Jun3">#REF!</definedName>
    <definedName name="_________Jun4" localSheetId="6">#REF!</definedName>
    <definedName name="_________Jun4">#REF!</definedName>
    <definedName name="_________Jun5" localSheetId="6">#REF!</definedName>
    <definedName name="_________Jun5">#REF!</definedName>
    <definedName name="_________Mar3" localSheetId="6">#REF!</definedName>
    <definedName name="_________Mar3">#REF!</definedName>
    <definedName name="_________Mar4" localSheetId="6">#REF!</definedName>
    <definedName name="_________Mar4">#REF!</definedName>
    <definedName name="_________Mar5" localSheetId="6">#REF!</definedName>
    <definedName name="_________Mar5">#REF!</definedName>
    <definedName name="_________may3" localSheetId="6">#REF!</definedName>
    <definedName name="_________may3">#REF!</definedName>
    <definedName name="_________May4" localSheetId="6">#REF!</definedName>
    <definedName name="_________May4">#REF!</definedName>
    <definedName name="_________May5" localSheetId="6">#REF!</definedName>
    <definedName name="_________May5">#REF!</definedName>
    <definedName name="_________Nov3" localSheetId="6">#REF!</definedName>
    <definedName name="_________Nov3">#REF!</definedName>
    <definedName name="_________Nov4" localSheetId="6">#REF!</definedName>
    <definedName name="_________Nov4">#REF!</definedName>
    <definedName name="_________Nov5" localSheetId="6">#REF!</definedName>
    <definedName name="_________Nov5">#REF!</definedName>
    <definedName name="_________Oct3" localSheetId="6">#REF!</definedName>
    <definedName name="_________Oct3">#REF!</definedName>
    <definedName name="_________Oct4" localSheetId="6">#REF!</definedName>
    <definedName name="_________Oct4">#REF!</definedName>
    <definedName name="_________Oct5" localSheetId="6">#REF!</definedName>
    <definedName name="_________Oct5">#REF!</definedName>
    <definedName name="_________Sep3" localSheetId="6">#REF!</definedName>
    <definedName name="_________Sep3">#REF!</definedName>
    <definedName name="_________Sep4" localSheetId="6">#REF!</definedName>
    <definedName name="_________Sep4">#REF!</definedName>
    <definedName name="_________Sep5" localSheetId="6">#REF!</definedName>
    <definedName name="_________Sep5">#REF!</definedName>
    <definedName name="________Apr3" localSheetId="6">#REF!</definedName>
    <definedName name="________Apr3">#REF!</definedName>
    <definedName name="________Apr4" localSheetId="6">#REF!</definedName>
    <definedName name="________Apr4">#REF!</definedName>
    <definedName name="________Apr5" localSheetId="6">#REF!</definedName>
    <definedName name="________Apr5">#REF!</definedName>
    <definedName name="________Aug3" localSheetId="6">#REF!</definedName>
    <definedName name="________Aug3">#REF!</definedName>
    <definedName name="________Aug4" localSheetId="6">#REF!</definedName>
    <definedName name="________Aug4">#REF!</definedName>
    <definedName name="________Aug5" localSheetId="6">#REF!</definedName>
    <definedName name="________Aug5">#REF!</definedName>
    <definedName name="________Dec3" localSheetId="6">#REF!</definedName>
    <definedName name="________Dec3">#REF!</definedName>
    <definedName name="________Dec4" localSheetId="6">#REF!</definedName>
    <definedName name="________Dec4">#REF!</definedName>
    <definedName name="________Dec5" localSheetId="6">#REF!</definedName>
    <definedName name="________Dec5">#REF!</definedName>
    <definedName name="________Fab1" localSheetId="6">#REF!</definedName>
    <definedName name="________Fab1">#REF!</definedName>
    <definedName name="________Fab3" localSheetId="6">#REF!</definedName>
    <definedName name="________Fab3">#REF!</definedName>
    <definedName name="________Fab4" localSheetId="6">#REF!</definedName>
    <definedName name="________Fab4">#REF!</definedName>
    <definedName name="________Fab5" localSheetId="6">#REF!</definedName>
    <definedName name="________Fab5">#REF!</definedName>
    <definedName name="________Feb3" localSheetId="6">#REF!</definedName>
    <definedName name="________Feb3">#REF!</definedName>
    <definedName name="________Feb4" localSheetId="6">#REF!</definedName>
    <definedName name="________Feb4">#REF!</definedName>
    <definedName name="________Feb5" localSheetId="6">#REF!</definedName>
    <definedName name="________Feb5">#REF!</definedName>
    <definedName name="________Jan3" localSheetId="6">#REF!</definedName>
    <definedName name="________Jan3">#REF!</definedName>
    <definedName name="________Jan4" localSheetId="6">#REF!</definedName>
    <definedName name="________Jan4">#REF!</definedName>
    <definedName name="________Jan5" localSheetId="6">#REF!</definedName>
    <definedName name="________Jan5">#REF!</definedName>
    <definedName name="________Jul3" localSheetId="6">#REF!</definedName>
    <definedName name="________Jul3">#REF!</definedName>
    <definedName name="________Jul4" localSheetId="6">#REF!</definedName>
    <definedName name="________Jul4">#REF!</definedName>
    <definedName name="________Jul5" localSheetId="6">#REF!</definedName>
    <definedName name="________Jul5">#REF!</definedName>
    <definedName name="________Jun3" localSheetId="6">#REF!</definedName>
    <definedName name="________Jun3">#REF!</definedName>
    <definedName name="________Jun4" localSheetId="6">#REF!</definedName>
    <definedName name="________Jun4">#REF!</definedName>
    <definedName name="________Jun5" localSheetId="6">#REF!</definedName>
    <definedName name="________Jun5">#REF!</definedName>
    <definedName name="________Mar3" localSheetId="6">#REF!</definedName>
    <definedName name="________Mar3">#REF!</definedName>
    <definedName name="________Mar4" localSheetId="6">#REF!</definedName>
    <definedName name="________Mar4">#REF!</definedName>
    <definedName name="________Mar5" localSheetId="6">#REF!</definedName>
    <definedName name="________Mar5">#REF!</definedName>
    <definedName name="________may3" localSheetId="6">#REF!</definedName>
    <definedName name="________may3">#REF!</definedName>
    <definedName name="________May4" localSheetId="6">#REF!</definedName>
    <definedName name="________May4">#REF!</definedName>
    <definedName name="________May5" localSheetId="6">#REF!</definedName>
    <definedName name="________May5">#REF!</definedName>
    <definedName name="________Nov3" localSheetId="6">#REF!</definedName>
    <definedName name="________Nov3">#REF!</definedName>
    <definedName name="________Nov4" localSheetId="6">#REF!</definedName>
    <definedName name="________Nov4">#REF!</definedName>
    <definedName name="________Nov5" localSheetId="6">#REF!</definedName>
    <definedName name="________Nov5">#REF!</definedName>
    <definedName name="________Oct3" localSheetId="6">#REF!</definedName>
    <definedName name="________Oct3">#REF!</definedName>
    <definedName name="________Oct4" localSheetId="6">#REF!</definedName>
    <definedName name="________Oct4">#REF!</definedName>
    <definedName name="________Oct5" localSheetId="6">#REF!</definedName>
    <definedName name="________Oct5">#REF!</definedName>
    <definedName name="________Sep3" localSheetId="6">#REF!</definedName>
    <definedName name="________Sep3">#REF!</definedName>
    <definedName name="________Sep4" localSheetId="6">#REF!</definedName>
    <definedName name="________Sep4">#REF!</definedName>
    <definedName name="________Sep5" localSheetId="6">#REF!</definedName>
    <definedName name="________Sep5">#REF!</definedName>
    <definedName name="_______Apr3" localSheetId="6">#REF!</definedName>
    <definedName name="_______Apr3">#REF!</definedName>
    <definedName name="_______Apr4" localSheetId="6">#REF!</definedName>
    <definedName name="_______Apr4">#REF!</definedName>
    <definedName name="_______Apr5" localSheetId="6">#REF!</definedName>
    <definedName name="_______Apr5">#REF!</definedName>
    <definedName name="_______Aug3" localSheetId="6">#REF!</definedName>
    <definedName name="_______Aug3">#REF!</definedName>
    <definedName name="_______Aug4" localSheetId="6">#REF!</definedName>
    <definedName name="_______Aug4">#REF!</definedName>
    <definedName name="_______Aug5" localSheetId="6">#REF!</definedName>
    <definedName name="_______Aug5">#REF!</definedName>
    <definedName name="_______Dec3" localSheetId="6">#REF!</definedName>
    <definedName name="_______Dec3">#REF!</definedName>
    <definedName name="_______Dec4" localSheetId="6">#REF!</definedName>
    <definedName name="_______Dec4">#REF!</definedName>
    <definedName name="_______Dec5" localSheetId="6">#REF!</definedName>
    <definedName name="_______Dec5">#REF!</definedName>
    <definedName name="_______Fab1" localSheetId="6">#REF!</definedName>
    <definedName name="_______Fab1">#REF!</definedName>
    <definedName name="_______Fab3" localSheetId="6">#REF!</definedName>
    <definedName name="_______Fab3">#REF!</definedName>
    <definedName name="_______Fab4" localSheetId="6">#REF!</definedName>
    <definedName name="_______Fab4">#REF!</definedName>
    <definedName name="_______Fab5" localSheetId="6">#REF!</definedName>
    <definedName name="_______Fab5">#REF!</definedName>
    <definedName name="_______Feb3" localSheetId="6">#REF!</definedName>
    <definedName name="_______Feb3">#REF!</definedName>
    <definedName name="_______Feb4" localSheetId="6">#REF!</definedName>
    <definedName name="_______Feb4">#REF!</definedName>
    <definedName name="_______Feb5" localSheetId="6">#REF!</definedName>
    <definedName name="_______Feb5">#REF!</definedName>
    <definedName name="_______Jan3" localSheetId="6">#REF!</definedName>
    <definedName name="_______Jan3">#REF!</definedName>
    <definedName name="_______Jan4" localSheetId="6">#REF!</definedName>
    <definedName name="_______Jan4">#REF!</definedName>
    <definedName name="_______Jan5" localSheetId="6">#REF!</definedName>
    <definedName name="_______Jan5">#REF!</definedName>
    <definedName name="_______Jul3" localSheetId="6">#REF!</definedName>
    <definedName name="_______Jul3">#REF!</definedName>
    <definedName name="_______Jul4" localSheetId="6">#REF!</definedName>
    <definedName name="_______Jul4">#REF!</definedName>
    <definedName name="_______Jul5" localSheetId="6">#REF!</definedName>
    <definedName name="_______Jul5">#REF!</definedName>
    <definedName name="_______Jun3" localSheetId="6">#REF!</definedName>
    <definedName name="_______Jun3">#REF!</definedName>
    <definedName name="_______Jun4" localSheetId="6">#REF!</definedName>
    <definedName name="_______Jun4">#REF!</definedName>
    <definedName name="_______Jun5" localSheetId="6">#REF!</definedName>
    <definedName name="_______Jun5">#REF!</definedName>
    <definedName name="_______Mar3" localSheetId="6">#REF!</definedName>
    <definedName name="_______Mar3">#REF!</definedName>
    <definedName name="_______Mar4" localSheetId="6">#REF!</definedName>
    <definedName name="_______Mar4">#REF!</definedName>
    <definedName name="_______Mar5" localSheetId="6">#REF!</definedName>
    <definedName name="_______Mar5">#REF!</definedName>
    <definedName name="_______may3" localSheetId="6">#REF!</definedName>
    <definedName name="_______may3">#REF!</definedName>
    <definedName name="_______May4" localSheetId="6">#REF!</definedName>
    <definedName name="_______May4">#REF!</definedName>
    <definedName name="_______May5" localSheetId="6">#REF!</definedName>
    <definedName name="_______May5">#REF!</definedName>
    <definedName name="_______Nov3" localSheetId="6">#REF!</definedName>
    <definedName name="_______Nov3">#REF!</definedName>
    <definedName name="_______Nov4" localSheetId="6">#REF!</definedName>
    <definedName name="_______Nov4">#REF!</definedName>
    <definedName name="_______Nov5" localSheetId="6">#REF!</definedName>
    <definedName name="_______Nov5">#REF!</definedName>
    <definedName name="_______Oct3" localSheetId="6">#REF!</definedName>
    <definedName name="_______Oct3">#REF!</definedName>
    <definedName name="_______Oct4" localSheetId="6">#REF!</definedName>
    <definedName name="_______Oct4">#REF!</definedName>
    <definedName name="_______Oct5" localSheetId="6">#REF!</definedName>
    <definedName name="_______Oct5">#REF!</definedName>
    <definedName name="_______Sep3" localSheetId="6">#REF!</definedName>
    <definedName name="_______Sep3">#REF!</definedName>
    <definedName name="_______Sep4" localSheetId="6">#REF!</definedName>
    <definedName name="_______Sep4">#REF!</definedName>
    <definedName name="_______Sep5" localSheetId="6">#REF!</definedName>
    <definedName name="_______Sep5">#REF!</definedName>
    <definedName name="______Apr3" localSheetId="6">#REF!</definedName>
    <definedName name="______Apr3">#REF!</definedName>
    <definedName name="______Apr4" localSheetId="6">#REF!</definedName>
    <definedName name="______Apr4">#REF!</definedName>
    <definedName name="______Apr5" localSheetId="6">#REF!</definedName>
    <definedName name="______Apr5">#REF!</definedName>
    <definedName name="______Aug3" localSheetId="6">#REF!</definedName>
    <definedName name="______Aug3">#REF!</definedName>
    <definedName name="______Aug4" localSheetId="6">#REF!</definedName>
    <definedName name="______Aug4">#REF!</definedName>
    <definedName name="______Aug5" localSheetId="6">#REF!</definedName>
    <definedName name="______Aug5">#REF!</definedName>
    <definedName name="______Dec3" localSheetId="6">#REF!</definedName>
    <definedName name="______Dec3">#REF!</definedName>
    <definedName name="______Dec4" localSheetId="6">#REF!</definedName>
    <definedName name="______Dec4">#REF!</definedName>
    <definedName name="______Dec5" localSheetId="6">#REF!</definedName>
    <definedName name="______Dec5">#REF!</definedName>
    <definedName name="______Fab1" localSheetId="6">#REF!</definedName>
    <definedName name="______Fab1">#REF!</definedName>
    <definedName name="______Fab3" localSheetId="6">#REF!</definedName>
    <definedName name="______Fab3">#REF!</definedName>
    <definedName name="______Fab4" localSheetId="6">#REF!</definedName>
    <definedName name="______Fab4">#REF!</definedName>
    <definedName name="______Fab5" localSheetId="6">#REF!</definedName>
    <definedName name="______Fab5">#REF!</definedName>
    <definedName name="______Feb3" localSheetId="6">#REF!</definedName>
    <definedName name="______Feb3">#REF!</definedName>
    <definedName name="______Feb4" localSheetId="6">#REF!</definedName>
    <definedName name="______Feb4">#REF!</definedName>
    <definedName name="______Feb5" localSheetId="6">#REF!</definedName>
    <definedName name="______Feb5">#REF!</definedName>
    <definedName name="______Jan3" localSheetId="6">#REF!</definedName>
    <definedName name="______Jan3">#REF!</definedName>
    <definedName name="______Jan4" localSheetId="6">#REF!</definedName>
    <definedName name="______Jan4">#REF!</definedName>
    <definedName name="______Jan5" localSheetId="6">#REF!</definedName>
    <definedName name="______Jan5">#REF!</definedName>
    <definedName name="______Jul3" localSheetId="6">#REF!</definedName>
    <definedName name="______Jul3">#REF!</definedName>
    <definedName name="______Jul4" localSheetId="6">#REF!</definedName>
    <definedName name="______Jul4">#REF!</definedName>
    <definedName name="______Jul5" localSheetId="6">#REF!</definedName>
    <definedName name="______Jul5">#REF!</definedName>
    <definedName name="______Jun3" localSheetId="6">#REF!</definedName>
    <definedName name="______Jun3">#REF!</definedName>
    <definedName name="______Jun4" localSheetId="6">#REF!</definedName>
    <definedName name="______Jun4">#REF!</definedName>
    <definedName name="______Jun5" localSheetId="6">#REF!</definedName>
    <definedName name="______Jun5">#REF!</definedName>
    <definedName name="______Mar3" localSheetId="6">#REF!</definedName>
    <definedName name="______Mar3">#REF!</definedName>
    <definedName name="______Mar4" localSheetId="6">#REF!</definedName>
    <definedName name="______Mar4">#REF!</definedName>
    <definedName name="______Mar5" localSheetId="6">#REF!</definedName>
    <definedName name="______Mar5">#REF!</definedName>
    <definedName name="______may3" localSheetId="6">#REF!</definedName>
    <definedName name="______may3">#REF!</definedName>
    <definedName name="______May4" localSheetId="6">#REF!</definedName>
    <definedName name="______May4">#REF!</definedName>
    <definedName name="______May5" localSheetId="6">#REF!</definedName>
    <definedName name="______May5">#REF!</definedName>
    <definedName name="______Nov3" localSheetId="6">#REF!</definedName>
    <definedName name="______Nov3">#REF!</definedName>
    <definedName name="______Nov4" localSheetId="6">#REF!</definedName>
    <definedName name="______Nov4">#REF!</definedName>
    <definedName name="______Nov5" localSheetId="6">#REF!</definedName>
    <definedName name="______Nov5">#REF!</definedName>
    <definedName name="______Oct3" localSheetId="6">#REF!</definedName>
    <definedName name="______Oct3">#REF!</definedName>
    <definedName name="______Oct4" localSheetId="6">#REF!</definedName>
    <definedName name="______Oct4">#REF!</definedName>
    <definedName name="______Oct5" localSheetId="6">#REF!</definedName>
    <definedName name="______Oct5">#REF!</definedName>
    <definedName name="______Sep3" localSheetId="6">#REF!</definedName>
    <definedName name="______Sep3">#REF!</definedName>
    <definedName name="______Sep4" localSheetId="6">#REF!</definedName>
    <definedName name="______Sep4">#REF!</definedName>
    <definedName name="______Sep5" localSheetId="6">#REF!</definedName>
    <definedName name="______Sep5">#REF!</definedName>
    <definedName name="_____ADD1" localSheetId="6">[1]標單!#REF!</definedName>
    <definedName name="_____ADD1">[1]標單!#REF!</definedName>
    <definedName name="_____ADD2" localSheetId="6">[1]標單!#REF!</definedName>
    <definedName name="_____ADD2">[1]標單!#REF!</definedName>
    <definedName name="_____ADD3" localSheetId="6">[2]演奏廳各期計價!#REF!</definedName>
    <definedName name="_____ADD3">[2]演奏廳各期計價!#REF!</definedName>
    <definedName name="_____Apr3" localSheetId="2">#REF!</definedName>
    <definedName name="_____Apr3" localSheetId="5">#REF!</definedName>
    <definedName name="_____Apr3" localSheetId="6">#REF!</definedName>
    <definedName name="_____Apr3" localSheetId="7">#REF!</definedName>
    <definedName name="_____Apr4" localSheetId="2">#REF!</definedName>
    <definedName name="_____Apr4" localSheetId="5">#REF!</definedName>
    <definedName name="_____Apr4" localSheetId="6">#REF!</definedName>
    <definedName name="_____Apr4" localSheetId="7">#REF!</definedName>
    <definedName name="_____Apr5" localSheetId="2">#REF!</definedName>
    <definedName name="_____Apr5" localSheetId="5">#REF!</definedName>
    <definedName name="_____Apr5" localSheetId="6">#REF!</definedName>
    <definedName name="_____Apr5" localSheetId="7">#REF!</definedName>
    <definedName name="_____Aug3" localSheetId="6">#REF!</definedName>
    <definedName name="_____Aug3">#REF!</definedName>
    <definedName name="_____Aug4" localSheetId="6">#REF!</definedName>
    <definedName name="_____Aug4">#REF!</definedName>
    <definedName name="_____Aug5" localSheetId="6">#REF!</definedName>
    <definedName name="_____Aug5">#REF!</definedName>
    <definedName name="_____Dec3" localSheetId="6">#REF!</definedName>
    <definedName name="_____Dec3">#REF!</definedName>
    <definedName name="_____Dec4" localSheetId="6">#REF!</definedName>
    <definedName name="_____Dec4">#REF!</definedName>
    <definedName name="_____Dec5" localSheetId="6">#REF!</definedName>
    <definedName name="_____Dec5">#REF!</definedName>
    <definedName name="_____Fab1" localSheetId="6">#REF!</definedName>
    <definedName name="_____Fab1">#REF!</definedName>
    <definedName name="_____Fab3" localSheetId="6">#REF!</definedName>
    <definedName name="_____Fab3">#REF!</definedName>
    <definedName name="_____Fab4" localSheetId="6">#REF!</definedName>
    <definedName name="_____Fab4">#REF!</definedName>
    <definedName name="_____Fab5" localSheetId="6">#REF!</definedName>
    <definedName name="_____Fab5">#REF!</definedName>
    <definedName name="_____Feb3" localSheetId="6">#REF!</definedName>
    <definedName name="_____Feb3">#REF!</definedName>
    <definedName name="_____Feb4" localSheetId="6">#REF!</definedName>
    <definedName name="_____Feb4">#REF!</definedName>
    <definedName name="_____Feb5" localSheetId="6">#REF!</definedName>
    <definedName name="_____Feb5">#REF!</definedName>
    <definedName name="_____Jan3" localSheetId="6">#REF!</definedName>
    <definedName name="_____Jan3">#REF!</definedName>
    <definedName name="_____Jan4" localSheetId="6">#REF!</definedName>
    <definedName name="_____Jan4">#REF!</definedName>
    <definedName name="_____Jan5" localSheetId="6">#REF!</definedName>
    <definedName name="_____Jan5">#REF!</definedName>
    <definedName name="_____Jul3" localSheetId="6">#REF!</definedName>
    <definedName name="_____Jul3">#REF!</definedName>
    <definedName name="_____Jul4" localSheetId="6">#REF!</definedName>
    <definedName name="_____Jul4">#REF!</definedName>
    <definedName name="_____Jul5" localSheetId="6">#REF!</definedName>
    <definedName name="_____Jul5">#REF!</definedName>
    <definedName name="_____Jun3" localSheetId="6">#REF!</definedName>
    <definedName name="_____Jun3">#REF!</definedName>
    <definedName name="_____Jun4" localSheetId="6">#REF!</definedName>
    <definedName name="_____Jun4">#REF!</definedName>
    <definedName name="_____Jun5" localSheetId="6">#REF!</definedName>
    <definedName name="_____Jun5">#REF!</definedName>
    <definedName name="_____l555" localSheetId="6">#REF!</definedName>
    <definedName name="_____l555">#REF!</definedName>
    <definedName name="_____Mar3" localSheetId="6">#REF!</definedName>
    <definedName name="_____Mar3">#REF!</definedName>
    <definedName name="_____Mar4" localSheetId="6">#REF!</definedName>
    <definedName name="_____Mar4">#REF!</definedName>
    <definedName name="_____Mar5" localSheetId="6">#REF!</definedName>
    <definedName name="_____Mar5">#REF!</definedName>
    <definedName name="_____may3" localSheetId="6">#REF!</definedName>
    <definedName name="_____may3">#REF!</definedName>
    <definedName name="_____May4" localSheetId="6">#REF!</definedName>
    <definedName name="_____May4">#REF!</definedName>
    <definedName name="_____May5" localSheetId="6">#REF!</definedName>
    <definedName name="_____May5">#REF!</definedName>
    <definedName name="_____MB185" localSheetId="6">#REF!</definedName>
    <definedName name="_____MB185">#REF!</definedName>
    <definedName name="_____MLS1" localSheetId="6">[1]標單!#REF!</definedName>
    <definedName name="_____MLS1">[1]標單!#REF!</definedName>
    <definedName name="_____MLS2" localSheetId="6">[2]演奏廳各期計價!#REF!</definedName>
    <definedName name="_____MLS2">[2]演奏廳各期計價!#REF!</definedName>
    <definedName name="_____Nov3" localSheetId="2">#REF!</definedName>
    <definedName name="_____Nov3" localSheetId="5">#REF!</definedName>
    <definedName name="_____Nov3" localSheetId="6">#REF!</definedName>
    <definedName name="_____Nov3" localSheetId="7">#REF!</definedName>
    <definedName name="_____Nov4" localSheetId="2">#REF!</definedName>
    <definedName name="_____Nov4" localSheetId="5">#REF!</definedName>
    <definedName name="_____Nov4" localSheetId="6">#REF!</definedName>
    <definedName name="_____Nov4" localSheetId="7">#REF!</definedName>
    <definedName name="_____Nov5" localSheetId="2">#REF!</definedName>
    <definedName name="_____Nov5" localSheetId="5">#REF!</definedName>
    <definedName name="_____Nov5" localSheetId="6">#REF!</definedName>
    <definedName name="_____Nov5" localSheetId="7">#REF!</definedName>
    <definedName name="_____Oct3" localSheetId="6">#REF!</definedName>
    <definedName name="_____Oct3">#REF!</definedName>
    <definedName name="_____Oct4" localSheetId="6">#REF!</definedName>
    <definedName name="_____Oct4">#REF!</definedName>
    <definedName name="_____Oct5" localSheetId="6">#REF!</definedName>
    <definedName name="_____Oct5">#REF!</definedName>
    <definedName name="_____Sep3" localSheetId="6">#REF!</definedName>
    <definedName name="_____Sep3">#REF!</definedName>
    <definedName name="_____Sep4" localSheetId="6">#REF!</definedName>
    <definedName name="_____Sep4">#REF!</definedName>
    <definedName name="_____Sep5" localSheetId="6">#REF!</definedName>
    <definedName name="_____Sep5">#REF!</definedName>
    <definedName name="_____SP1" localSheetId="6">'[7]HOOK UP'!#REF!</definedName>
    <definedName name="_____SP1">'[7]HOOK UP'!#REF!</definedName>
    <definedName name="____ADD1" localSheetId="6">[1]標單!#REF!</definedName>
    <definedName name="____ADD1">[1]標單!#REF!</definedName>
    <definedName name="____ADD2" localSheetId="6">[1]標單!#REF!</definedName>
    <definedName name="____ADD2">[1]標單!#REF!</definedName>
    <definedName name="____ADD3" localSheetId="6">[2]演奏廳各期計價!#REF!</definedName>
    <definedName name="____ADD3">[2]演奏廳各期計價!#REF!</definedName>
    <definedName name="____AH19120" localSheetId="2">#REF!</definedName>
    <definedName name="____AH19120" localSheetId="5">#REF!</definedName>
    <definedName name="____AH19120" localSheetId="6">#REF!</definedName>
    <definedName name="____AH19120" localSheetId="7">#REF!</definedName>
    <definedName name="____Apr3">'[6]Exh Branch(8K)(依前購)'!$I$39:$I$52</definedName>
    <definedName name="____Apr4">'[6]Exh Branch(8K)(依前購)'!$I$53:$I$62</definedName>
    <definedName name="____Apr5">'[6]Exh Branch(8K)(依前購)'!$I$63:$I$72</definedName>
    <definedName name="____Aug3">'[6]Exh Branch(8K)(依前購)'!$M$39:$M$52</definedName>
    <definedName name="____Aug4">'[6]Exh Branch(8K)(依前購)'!$M$53:$M$62</definedName>
    <definedName name="____Aug5">'[6]Exh Branch(8K)(依前購)'!$M$63:$M$72</definedName>
    <definedName name="____bla2">'[8]Motor Power List'!$A$2:$F$35</definedName>
    <definedName name="____c20000" localSheetId="2">#REF!</definedName>
    <definedName name="____c20000" localSheetId="5">#REF!</definedName>
    <definedName name="____c20000" localSheetId="6">#REF!</definedName>
    <definedName name="____c20000" localSheetId="7">#REF!</definedName>
    <definedName name="____Dec3">'[6]Exh Branch(8K)(依前購)'!$Q$39:$Q$52</definedName>
    <definedName name="____Dec4">'[6]Exh Branch(8K)(依前購)'!$Q$53:$Q$62</definedName>
    <definedName name="____Dec5">'[6]Exh Branch(8K)(依前購)'!$Q$63:$Q$72</definedName>
    <definedName name="____Fab1">'[6]Exh Branch(8K)(依前購)'!$R$5:$R$11</definedName>
    <definedName name="____Fab3">'[6]Exh Branch(8K)(依前購)'!$R$39:$R$52</definedName>
    <definedName name="____Fab4">'[6]Exh Branch(8K)(依前購)'!$R$53:$R$62</definedName>
    <definedName name="____Fab5">'[6]Exh Branch(8K)(依前購)'!$R$63:$R$72</definedName>
    <definedName name="____Feb3">'[6]Exh Branch(8K)(依前購)'!$G$39:$G$52</definedName>
    <definedName name="____Feb4">'[6]Exh Branch(8K)(依前購)'!$G$53:$G$62</definedName>
    <definedName name="____Feb5">'[6]Exh Branch(8K)(依前購)'!$G$63:$G$72</definedName>
    <definedName name="____Jan3">'[6]Exh Branch(8K)(依前購)'!$F$39:$F$52</definedName>
    <definedName name="____Jan4">'[6]Exh Branch(8K)(依前購)'!$F$53:$F$62</definedName>
    <definedName name="____Jan5">'[6]Exh Branch(8K)(依前購)'!$F$63:$F$72</definedName>
    <definedName name="____Jul3">'[6]Exh Branch(8K)(依前購)'!$L$39:$L$52</definedName>
    <definedName name="____Jul4">'[6]Exh Branch(8K)(依前購)'!$L$53:$L$62</definedName>
    <definedName name="____Jul5">'[6]Exh Branch(8K)(依前購)'!$L$63:$L$72</definedName>
    <definedName name="____Jun3">'[6]Exh Branch(8K)(依前購)'!$K$39:$K$52</definedName>
    <definedName name="____Jun4">'[6]Exh Branch(8K)(依前購)'!$K$53:$K$62</definedName>
    <definedName name="____Jun5">'[6]Exh Branch(8K)(依前購)'!$K$63:$K$72</definedName>
    <definedName name="____l555" localSheetId="2">#REF!</definedName>
    <definedName name="____l555" localSheetId="5">#REF!</definedName>
    <definedName name="____l555" localSheetId="6">#REF!</definedName>
    <definedName name="____l555" localSheetId="7">#REF!</definedName>
    <definedName name="____LV1" localSheetId="2">#REF!</definedName>
    <definedName name="____LV1" localSheetId="5">#REF!</definedName>
    <definedName name="____LV1" localSheetId="6">#REF!</definedName>
    <definedName name="____LV1" localSheetId="7">#REF!</definedName>
    <definedName name="____Mar3">'[6]Exh Branch(8K)(依前購)'!$H$39:$H$52</definedName>
    <definedName name="____Mar4">'[6]Exh Branch(8K)(依前購)'!$H$53:$H$62</definedName>
    <definedName name="____Mar5">'[6]Exh Branch(8K)(依前購)'!$H$63:$H$72</definedName>
    <definedName name="____may3">'[6]Exh Branch(8K)(依前購)'!$J$39:$J$52</definedName>
    <definedName name="____May4">'[6]Exh Branch(8K)(依前購)'!$J$53:$J$62</definedName>
    <definedName name="____May5">'[6]Exh Branch(8K)(依前購)'!$J$63:$J$72</definedName>
    <definedName name="____MB185" localSheetId="2">#REF!</definedName>
    <definedName name="____MB185" localSheetId="5">#REF!</definedName>
    <definedName name="____MB185" localSheetId="6">#REF!</definedName>
    <definedName name="____MB185" localSheetId="7">#REF!</definedName>
    <definedName name="____MLS1" localSheetId="2">[1]標單!#REF!</definedName>
    <definedName name="____MLS1" localSheetId="5">[1]標單!#REF!</definedName>
    <definedName name="____MLS1" localSheetId="6">[1]標單!#REF!</definedName>
    <definedName name="____MLS1" localSheetId="7">[1]標單!#REF!</definedName>
    <definedName name="____MLS2" localSheetId="6">[2]演奏廳各期計價!#REF!</definedName>
    <definedName name="____MLS2" localSheetId="7">[2]演奏廳各期計價!#REF!</definedName>
    <definedName name="____Nov3">'[6]Exh Branch(8K)(依前購)'!$P$39:$P$52</definedName>
    <definedName name="____Nov4">'[6]Exh Branch(8K)(依前購)'!$P$53:$P$62</definedName>
    <definedName name="____Nov5">'[6]Exh Branch(8K)(依前購)'!$P$63:$P$72</definedName>
    <definedName name="____Oct3">'[6]Exh Branch(8K)(依前購)'!$O$39:$O$52</definedName>
    <definedName name="____Oct4">'[6]Exh Branch(8K)(依前購)'!$O$53:$O$62</definedName>
    <definedName name="____Oct5">'[6]Exh Branch(8K)(依前購)'!$O$63:$O$72</definedName>
    <definedName name="____S1" localSheetId="2">#REF!</definedName>
    <definedName name="____S1" localSheetId="5">#REF!</definedName>
    <definedName name="____S1" localSheetId="6">#REF!</definedName>
    <definedName name="____S1" localSheetId="7">#REF!</definedName>
    <definedName name="____S2" localSheetId="2">#REF!</definedName>
    <definedName name="____S2" localSheetId="5">#REF!</definedName>
    <definedName name="____S2" localSheetId="6">#REF!</definedName>
    <definedName name="____S2" localSheetId="7">#REF!</definedName>
    <definedName name="____S3" localSheetId="2">#REF!</definedName>
    <definedName name="____S3" localSheetId="5">#REF!</definedName>
    <definedName name="____S3" localSheetId="6">#REF!</definedName>
    <definedName name="____S3" localSheetId="7">#REF!</definedName>
    <definedName name="____Sep3">'[6]Exh Branch(8K)(依前購)'!$N$39:$N$52</definedName>
    <definedName name="____Sep4">'[6]Exh Branch(8K)(依前購)'!$N$53:$N$62</definedName>
    <definedName name="____Sep5">'[6]Exh Branch(8K)(依前購)'!$N$63:$N$72</definedName>
    <definedName name="____SP1">'[7]HOOK UP'!#REF!</definedName>
    <definedName name="____tr1" localSheetId="2">#REF!</definedName>
    <definedName name="____tr1" localSheetId="5">#REF!</definedName>
    <definedName name="____tr1" localSheetId="6">#REF!</definedName>
    <definedName name="____tr1" localSheetId="7">#REF!</definedName>
    <definedName name="___ADD1" localSheetId="2">[1]標單!#REF!</definedName>
    <definedName name="___ADD1" localSheetId="5">[1]標單!#REF!</definedName>
    <definedName name="___ADD1" localSheetId="6">[1]標單!#REF!</definedName>
    <definedName name="___ADD1" localSheetId="7">[1]標單!#REF!</definedName>
    <definedName name="___ADD2" localSheetId="2">[1]標單!#REF!</definedName>
    <definedName name="___ADD2" localSheetId="5">[1]標單!#REF!</definedName>
    <definedName name="___ADD2" localSheetId="6">[1]標單!#REF!</definedName>
    <definedName name="___ADD2" localSheetId="7">[1]標單!#REF!</definedName>
    <definedName name="___ADD3" localSheetId="2">[2]演奏廳各期計價!#REF!</definedName>
    <definedName name="___ADD3" localSheetId="5">[2]演奏廳各期計價!#REF!</definedName>
    <definedName name="___ADD3" localSheetId="6">[2]演奏廳各期計價!#REF!</definedName>
    <definedName name="___ADD3" localSheetId="7">[2]演奏廳各期計價!#REF!</definedName>
    <definedName name="___AH19120" localSheetId="2">#REF!</definedName>
    <definedName name="___AH19120" localSheetId="5">#REF!</definedName>
    <definedName name="___AH19120" localSheetId="6">#REF!</definedName>
    <definedName name="___AH19120" localSheetId="7">#REF!</definedName>
    <definedName name="___Apr3">'[6]Exh Branch(8K)(依前購)'!$I$39:$I$52</definedName>
    <definedName name="___Apr4">'[6]Exh Branch(8K)(依前購)'!$I$53:$I$62</definedName>
    <definedName name="___Apr5">'[6]Exh Branch(8K)(依前購)'!$I$63:$I$72</definedName>
    <definedName name="___Aug3">'[6]Exh Branch(8K)(依前購)'!$M$39:$M$52</definedName>
    <definedName name="___Aug4">'[6]Exh Branch(8K)(依前購)'!$M$53:$M$62</definedName>
    <definedName name="___Aug5">'[6]Exh Branch(8K)(依前購)'!$M$63:$M$72</definedName>
    <definedName name="___bla2">'[8]Motor Power List'!$A$2:$F$35</definedName>
    <definedName name="___c20000" localSheetId="2">#REF!</definedName>
    <definedName name="___c20000" localSheetId="5">#REF!</definedName>
    <definedName name="___c20000" localSheetId="6">#REF!</definedName>
    <definedName name="___c20000" localSheetId="7">#REF!</definedName>
    <definedName name="___cda1" localSheetId="2">#REF!</definedName>
    <definedName name="___cda1" localSheetId="5">#REF!</definedName>
    <definedName name="___cda1" localSheetId="6">#REF!</definedName>
    <definedName name="___cda1" localSheetId="7">#REF!</definedName>
    <definedName name="___Dec3">'[6]Exh Branch(8K)(依前購)'!$Q$39:$Q$52</definedName>
    <definedName name="___Dec4">'[6]Exh Branch(8K)(依前購)'!$Q$53:$Q$62</definedName>
    <definedName name="___Dec5">'[6]Exh Branch(8K)(依前購)'!$Q$63:$Q$72</definedName>
    <definedName name="___Fab1">'[6]Exh Branch(8K)(依前購)'!$R$5:$R$11</definedName>
    <definedName name="___Fab3">'[6]Exh Branch(8K)(依前購)'!$R$39:$R$52</definedName>
    <definedName name="___Fab4">'[6]Exh Branch(8K)(依前購)'!$R$53:$R$62</definedName>
    <definedName name="___Fab5">'[6]Exh Branch(8K)(依前購)'!$R$63:$R$72</definedName>
    <definedName name="___Feb3">'[6]Exh Branch(8K)(依前購)'!$G$39:$G$52</definedName>
    <definedName name="___Feb4">'[6]Exh Branch(8K)(依前購)'!$G$53:$G$62</definedName>
    <definedName name="___Feb5">'[6]Exh Branch(8K)(依前購)'!$G$63:$G$72</definedName>
    <definedName name="___Jan3">'[6]Exh Branch(8K)(依前購)'!$F$39:$F$52</definedName>
    <definedName name="___Jan4">'[6]Exh Branch(8K)(依前購)'!$F$53:$F$62</definedName>
    <definedName name="___Jan5">'[6]Exh Branch(8K)(依前購)'!$F$63:$F$72</definedName>
    <definedName name="___Jul3">'[6]Exh Branch(8K)(依前購)'!$L$39:$L$52</definedName>
    <definedName name="___Jul4">'[6]Exh Branch(8K)(依前購)'!$L$53:$L$62</definedName>
    <definedName name="___Jul5">'[6]Exh Branch(8K)(依前購)'!$L$63:$L$72</definedName>
    <definedName name="___Jun3">'[6]Exh Branch(8K)(依前購)'!$K$39:$K$52</definedName>
    <definedName name="___Jun4">'[6]Exh Branch(8K)(依前購)'!$K$53:$K$62</definedName>
    <definedName name="___Jun5">'[6]Exh Branch(8K)(依前購)'!$K$63:$K$72</definedName>
    <definedName name="___l555" localSheetId="2">#REF!</definedName>
    <definedName name="___l555" localSheetId="5">#REF!</definedName>
    <definedName name="___l555" localSheetId="6">#REF!</definedName>
    <definedName name="___l555" localSheetId="7">#REF!</definedName>
    <definedName name="___LV1" localSheetId="2">#REF!</definedName>
    <definedName name="___LV1" localSheetId="5">#REF!</definedName>
    <definedName name="___LV1" localSheetId="6">#REF!</definedName>
    <definedName name="___LV1" localSheetId="7">#REF!</definedName>
    <definedName name="___Mar3">'[6]Exh Branch(8K)(依前購)'!$H$39:$H$52</definedName>
    <definedName name="___Mar4">'[6]Exh Branch(8K)(依前購)'!$H$53:$H$62</definedName>
    <definedName name="___Mar5">'[6]Exh Branch(8K)(依前購)'!$H$63:$H$72</definedName>
    <definedName name="___may3">'[6]Exh Branch(8K)(依前購)'!$J$39:$J$52</definedName>
    <definedName name="___May4">'[6]Exh Branch(8K)(依前購)'!$J$53:$J$62</definedName>
    <definedName name="___May5">'[6]Exh Branch(8K)(依前購)'!$J$63:$J$72</definedName>
    <definedName name="___MB185" localSheetId="2">#REF!</definedName>
    <definedName name="___MB185" localSheetId="5">#REF!</definedName>
    <definedName name="___MB185" localSheetId="6">#REF!</definedName>
    <definedName name="___MB185" localSheetId="7">#REF!</definedName>
    <definedName name="___MLS1" localSheetId="2">[1]標單!#REF!</definedName>
    <definedName name="___MLS1" localSheetId="5">[1]標單!#REF!</definedName>
    <definedName name="___MLS1" localSheetId="6">[1]標單!#REF!</definedName>
    <definedName name="___MLS1" localSheetId="7">[1]標單!#REF!</definedName>
    <definedName name="___MLS2" localSheetId="6">[2]演奏廳各期計價!#REF!</definedName>
    <definedName name="___MLS2" localSheetId="7">[2]演奏廳各期計價!#REF!</definedName>
    <definedName name="___Nov3">'[6]Exh Branch(8K)(依前購)'!$P$39:$P$52</definedName>
    <definedName name="___Nov4">'[6]Exh Branch(8K)(依前購)'!$P$53:$P$62</definedName>
    <definedName name="___Nov5">'[6]Exh Branch(8K)(依前購)'!$P$63:$P$72</definedName>
    <definedName name="___Oct3">'[6]Exh Branch(8K)(依前購)'!$O$39:$O$52</definedName>
    <definedName name="___Oct4">'[6]Exh Branch(8K)(依前購)'!$O$53:$O$62</definedName>
    <definedName name="___Oct5">'[6]Exh Branch(8K)(依前購)'!$O$63:$O$72</definedName>
    <definedName name="___S1" localSheetId="2">#REF!</definedName>
    <definedName name="___S1" localSheetId="5">#REF!</definedName>
    <definedName name="___S1" localSheetId="6">#REF!</definedName>
    <definedName name="___S1" localSheetId="7">#REF!</definedName>
    <definedName name="___S2" localSheetId="2">#REF!</definedName>
    <definedName name="___S2" localSheetId="5">#REF!</definedName>
    <definedName name="___S2" localSheetId="6">#REF!</definedName>
    <definedName name="___S2" localSheetId="7">#REF!</definedName>
    <definedName name="___S3" localSheetId="2">#REF!</definedName>
    <definedName name="___S3" localSheetId="5">#REF!</definedName>
    <definedName name="___S3" localSheetId="6">#REF!</definedName>
    <definedName name="___S3" localSheetId="7">#REF!</definedName>
    <definedName name="___Sep3">'[6]Exh Branch(8K)(依前購)'!$N$39:$N$52</definedName>
    <definedName name="___Sep4">'[6]Exh Branch(8K)(依前購)'!$N$53:$N$62</definedName>
    <definedName name="___Sep5">'[6]Exh Branch(8K)(依前購)'!$N$63:$N$72</definedName>
    <definedName name="___SP1">'[7]HOOK UP'!#REF!</definedName>
    <definedName name="___tr1" localSheetId="2">#REF!</definedName>
    <definedName name="___tr1" localSheetId="5">#REF!</definedName>
    <definedName name="___tr1" localSheetId="6">#REF!</definedName>
    <definedName name="___tr1" localSheetId="7">#REF!</definedName>
    <definedName name="__123Graph_A" localSheetId="2" hidden="1">[9]WIP!#REF!</definedName>
    <definedName name="__123Graph_A" localSheetId="5" hidden="1">[9]WIP!#REF!</definedName>
    <definedName name="__123Graph_A" localSheetId="6" hidden="1">[9]WIP!#REF!</definedName>
    <definedName name="__123Graph_A" localSheetId="7" hidden="1">[9]WIP!#REF!</definedName>
    <definedName name="__123Graph_AGraph1" localSheetId="2" hidden="1">#REF!</definedName>
    <definedName name="__123Graph_AGraph1" localSheetId="5" hidden="1">#REF!</definedName>
    <definedName name="__123Graph_AGraph1" localSheetId="6" hidden="1">#REF!</definedName>
    <definedName name="__123Graph_AGraph1" localSheetId="7" hidden="1">#REF!</definedName>
    <definedName name="__123Graph_AGraph2" localSheetId="2" hidden="1">#REF!</definedName>
    <definedName name="__123Graph_AGraph2" localSheetId="5" hidden="1">#REF!</definedName>
    <definedName name="__123Graph_AGraph2" localSheetId="6" hidden="1">#REF!</definedName>
    <definedName name="__123Graph_AGraph2" localSheetId="7" hidden="1">#REF!</definedName>
    <definedName name="__123Graph_Aｶﾚﾝﾄ" localSheetId="2" hidden="1">#REF!</definedName>
    <definedName name="__123Graph_Aｶﾚﾝﾄ" localSheetId="5" hidden="1">#REF!</definedName>
    <definedName name="__123Graph_Aｶﾚﾝﾄ" localSheetId="6" hidden="1">#REF!</definedName>
    <definedName name="__123Graph_Aｶﾚﾝﾄ" localSheetId="7" hidden="1">#REF!</definedName>
    <definedName name="__123Graph_B" localSheetId="2" hidden="1">[9]WIP!#REF!</definedName>
    <definedName name="__123Graph_B" localSheetId="5" hidden="1">[9]WIP!#REF!</definedName>
    <definedName name="__123Graph_B" localSheetId="6" hidden="1">[9]WIP!#REF!</definedName>
    <definedName name="__123Graph_B" localSheetId="7" hidden="1">[9]WIP!#REF!</definedName>
    <definedName name="__123Graph_BGraph1" localSheetId="2" hidden="1">#REF!</definedName>
    <definedName name="__123Graph_BGraph1" localSheetId="5" hidden="1">#REF!</definedName>
    <definedName name="__123Graph_BGraph1" localSheetId="6" hidden="1">#REF!</definedName>
    <definedName name="__123Graph_BGraph1" localSheetId="7" hidden="1">#REF!</definedName>
    <definedName name="__123Graph_BGraph2" localSheetId="2" hidden="1">#REF!</definedName>
    <definedName name="__123Graph_BGraph2" localSheetId="5" hidden="1">#REF!</definedName>
    <definedName name="__123Graph_BGraph2" localSheetId="6" hidden="1">#REF!</definedName>
    <definedName name="__123Graph_BGraph2" localSheetId="7" hidden="1">#REF!</definedName>
    <definedName name="__123Graph_BPERFORMANCE" localSheetId="2" hidden="1">[10]BQMPALOC!#REF!</definedName>
    <definedName name="__123Graph_BPERFORMANCE" localSheetId="5" hidden="1">[10]BQMPALOC!#REF!</definedName>
    <definedName name="__123Graph_BPERFORMANCE" localSheetId="6" hidden="1">[10]BQMPALOC!#REF!</definedName>
    <definedName name="__123Graph_BPERFORMANCE" localSheetId="7" hidden="1">[10]BQMPALOC!#REF!</definedName>
    <definedName name="__123Graph_Bｶﾚﾝﾄ" localSheetId="2" hidden="1">#REF!</definedName>
    <definedName name="__123Graph_Bｶﾚﾝﾄ" localSheetId="5" hidden="1">#REF!</definedName>
    <definedName name="__123Graph_Bｶﾚﾝﾄ" localSheetId="6" hidden="1">#REF!</definedName>
    <definedName name="__123Graph_Bｶﾚﾝﾄ" localSheetId="7" hidden="1">#REF!</definedName>
    <definedName name="__123Graph_C" localSheetId="2" hidden="1">[11]DRUM!#REF!</definedName>
    <definedName name="__123Graph_C" localSheetId="5" hidden="1">[11]DRUM!#REF!</definedName>
    <definedName name="__123Graph_C" localSheetId="6" hidden="1">[11]DRUM!#REF!</definedName>
    <definedName name="__123Graph_C" localSheetId="7" hidden="1">[11]DRUM!#REF!</definedName>
    <definedName name="__123Graph_CGraph1" localSheetId="2" hidden="1">#REF!</definedName>
    <definedName name="__123Graph_CGraph1" localSheetId="5" hidden="1">#REF!</definedName>
    <definedName name="__123Graph_CGraph1" localSheetId="6" hidden="1">#REF!</definedName>
    <definedName name="__123Graph_CGraph1" localSheetId="7" hidden="1">#REF!</definedName>
    <definedName name="__123Graph_CGraph2" localSheetId="2" hidden="1">#REF!</definedName>
    <definedName name="__123Graph_CGraph2" localSheetId="5" hidden="1">#REF!</definedName>
    <definedName name="__123Graph_CGraph2" localSheetId="6" hidden="1">#REF!</definedName>
    <definedName name="__123Graph_CGraph2" localSheetId="7" hidden="1">#REF!</definedName>
    <definedName name="__123Graph_Cｶﾚﾝﾄ" localSheetId="2" hidden="1">#REF!</definedName>
    <definedName name="__123Graph_Cｶﾚﾝﾄ" localSheetId="5" hidden="1">#REF!</definedName>
    <definedName name="__123Graph_Cｶﾚﾝﾄ" localSheetId="6" hidden="1">#REF!</definedName>
    <definedName name="__123Graph_Cｶﾚﾝﾄ" localSheetId="7" hidden="1">#REF!</definedName>
    <definedName name="__123Graph_D" localSheetId="2" hidden="1">[11]DRUM!#REF!</definedName>
    <definedName name="__123Graph_D" localSheetId="5" hidden="1">[11]DRUM!#REF!</definedName>
    <definedName name="__123Graph_D" localSheetId="6" hidden="1">[11]DRUM!#REF!</definedName>
    <definedName name="__123Graph_D" localSheetId="7" hidden="1">[11]DRUM!#REF!</definedName>
    <definedName name="__123Graph_DGraph1" localSheetId="2" hidden="1">#REF!</definedName>
    <definedName name="__123Graph_DGraph1" localSheetId="5" hidden="1">#REF!</definedName>
    <definedName name="__123Graph_DGraph1" localSheetId="6" hidden="1">#REF!</definedName>
    <definedName name="__123Graph_DGraph1" localSheetId="7" hidden="1">#REF!</definedName>
    <definedName name="__123Graph_DGraph2" localSheetId="2" hidden="1">#REF!</definedName>
    <definedName name="__123Graph_DGraph2" localSheetId="5" hidden="1">#REF!</definedName>
    <definedName name="__123Graph_DGraph2" localSheetId="6" hidden="1">#REF!</definedName>
    <definedName name="__123Graph_DGraph2" localSheetId="7" hidden="1">#REF!</definedName>
    <definedName name="__123Graph_Dｶﾚﾝﾄ" localSheetId="2" hidden="1">#REF!</definedName>
    <definedName name="__123Graph_Dｶﾚﾝﾄ" localSheetId="5" hidden="1">#REF!</definedName>
    <definedName name="__123Graph_Dｶﾚﾝﾄ" localSheetId="6" hidden="1">#REF!</definedName>
    <definedName name="__123Graph_Dｶﾚﾝﾄ" localSheetId="7" hidden="1">#REF!</definedName>
    <definedName name="__123Graph_EGraph1" localSheetId="6" hidden="1">#REF!</definedName>
    <definedName name="__123Graph_EGraph1" hidden="1">#REF!</definedName>
    <definedName name="__123Graph_EGraph2" localSheetId="6" hidden="1">#REF!</definedName>
    <definedName name="__123Graph_EGraph2" hidden="1">#REF!</definedName>
    <definedName name="__123Graph_Eｶﾚﾝﾄ" localSheetId="6" hidden="1">#REF!</definedName>
    <definedName name="__123Graph_Eｶﾚﾝﾄ" hidden="1">#REF!</definedName>
    <definedName name="__123Graph_FGraph1" localSheetId="6" hidden="1">#REF!</definedName>
    <definedName name="__123Graph_FGraph1" hidden="1">#REF!</definedName>
    <definedName name="__123Graph_FGraph2" localSheetId="6" hidden="1">#REF!</definedName>
    <definedName name="__123Graph_FGraph2" hidden="1">#REF!</definedName>
    <definedName name="__123Graph_Fｶﾚﾝﾄ" localSheetId="6" hidden="1">#REF!</definedName>
    <definedName name="__123Graph_Fｶﾚﾝﾄ" hidden="1">#REF!</definedName>
    <definedName name="__123Graph_X" hidden="1">[9]WIP!$D$5:$AH$5</definedName>
    <definedName name="__aa1" localSheetId="4" hidden="1">{#N/A,#N/A,FALSE,"CCTV"}</definedName>
    <definedName name="__aa1" localSheetId="5" hidden="1">{#N/A,#N/A,FALSE,"CCTV"}</definedName>
    <definedName name="__aaa1" localSheetId="4" hidden="1">{#N/A,#N/A,FALSE,"CCTV"}</definedName>
    <definedName name="__aaa1" localSheetId="5" hidden="1">{#N/A,#N/A,FALSE,"CCTV"}</definedName>
    <definedName name="__ADD1" localSheetId="6">[1]標單!#REF!</definedName>
    <definedName name="__ADD1" localSheetId="7">[1]標單!#REF!</definedName>
    <definedName name="__ADD2" localSheetId="6">[1]標單!#REF!</definedName>
    <definedName name="__ADD2" localSheetId="7">[1]標單!#REF!</definedName>
    <definedName name="__ADD3" localSheetId="6">[2]演奏廳各期計價!#REF!</definedName>
    <definedName name="__ADD3" localSheetId="7">[2]演奏廳各期計價!#REF!</definedName>
    <definedName name="__AH19120" localSheetId="2">#REF!</definedName>
    <definedName name="__AH19120" localSheetId="5">#REF!</definedName>
    <definedName name="__AH19120" localSheetId="6">#REF!</definedName>
    <definedName name="__AH19120" localSheetId="7">#REF!</definedName>
    <definedName name="__Apr3">'[6]Exh Branch(8K)(依前購)'!$I$39:$I$52</definedName>
    <definedName name="__Apr4">'[6]Exh Branch(8K)(依前購)'!$I$53:$I$62</definedName>
    <definedName name="__Apr5">'[6]Exh Branch(8K)(依前購)'!$I$63:$I$72</definedName>
    <definedName name="__Aug3">'[6]Exh Branch(8K)(依前購)'!$M$39:$M$52</definedName>
    <definedName name="__Aug4">'[6]Exh Branch(8K)(依前購)'!$M$53:$M$62</definedName>
    <definedName name="__Aug5">'[6]Exh Branch(8K)(依前購)'!$M$63:$M$72</definedName>
    <definedName name="__bbb1" localSheetId="4" hidden="1">{#N/A,#N/A,FALSE,"CCTV"}</definedName>
    <definedName name="__bbb1" localSheetId="5" hidden="1">{#N/A,#N/A,FALSE,"CCTV"}</definedName>
    <definedName name="__bla2">'[8]Motor Power List'!$A$2:$F$35</definedName>
    <definedName name="__c20000" localSheetId="2">#REF!</definedName>
    <definedName name="__c20000" localSheetId="5">#REF!</definedName>
    <definedName name="__c20000" localSheetId="6">#REF!</definedName>
    <definedName name="__c20000" localSheetId="7">#REF!</definedName>
    <definedName name="__cda1" localSheetId="2">#REF!</definedName>
    <definedName name="__cda1" localSheetId="5">#REF!</definedName>
    <definedName name="__cda1" localSheetId="6">#REF!</definedName>
    <definedName name="__cda1" localSheetId="7">#REF!</definedName>
    <definedName name="__Dec3">'[6]Exh Branch(8K)(依前購)'!$Q$39:$Q$52</definedName>
    <definedName name="__Dec4">'[6]Exh Branch(8K)(依前購)'!$Q$53:$Q$62</definedName>
    <definedName name="__Dec5">'[6]Exh Branch(8K)(依前購)'!$Q$63:$Q$72</definedName>
    <definedName name="__Fab1">'[6]Exh Branch(8K)(依前購)'!$R$5:$R$11</definedName>
    <definedName name="__Fab3">'[6]Exh Branch(8K)(依前購)'!$R$39:$R$52</definedName>
    <definedName name="__Fab4">'[6]Exh Branch(8K)(依前購)'!$R$53:$R$62</definedName>
    <definedName name="__Fab5">'[6]Exh Branch(8K)(依前購)'!$R$63:$R$72</definedName>
    <definedName name="__Feb3">'[6]Exh Branch(8K)(依前購)'!$G$39:$G$52</definedName>
    <definedName name="__Feb4">'[6]Exh Branch(8K)(依前購)'!$G$53:$G$62</definedName>
    <definedName name="__Feb5">'[6]Exh Branch(8K)(依前購)'!$G$63:$G$72</definedName>
    <definedName name="__Jan3">'[6]Exh Branch(8K)(依前購)'!$F$39:$F$52</definedName>
    <definedName name="__Jan4">'[6]Exh Branch(8K)(依前購)'!$F$53:$F$62</definedName>
    <definedName name="__Jan5">'[6]Exh Branch(8K)(依前購)'!$F$63:$F$72</definedName>
    <definedName name="__Jul3">'[6]Exh Branch(8K)(依前購)'!$L$39:$L$52</definedName>
    <definedName name="__Jul4">'[6]Exh Branch(8K)(依前購)'!$L$53:$L$62</definedName>
    <definedName name="__Jul5">'[6]Exh Branch(8K)(依前購)'!$L$63:$L$72</definedName>
    <definedName name="__Jun3">'[6]Exh Branch(8K)(依前購)'!$K$39:$K$52</definedName>
    <definedName name="__Jun4">'[6]Exh Branch(8K)(依前購)'!$K$53:$K$62</definedName>
    <definedName name="__Jun5">'[6]Exh Branch(8K)(依前購)'!$K$63:$K$72</definedName>
    <definedName name="__ｋ２" hidden="1">'[12]Utility and Fire flange'!$D$48:$D$49</definedName>
    <definedName name="__l555" localSheetId="2">#REF!</definedName>
    <definedName name="__l555" localSheetId="5">#REF!</definedName>
    <definedName name="__l555" localSheetId="6">#REF!</definedName>
    <definedName name="__l555" localSheetId="7">#REF!</definedName>
    <definedName name="__LV1" localSheetId="2">#REF!</definedName>
    <definedName name="__LV1" localSheetId="5">#REF!</definedName>
    <definedName name="__LV1" localSheetId="6">#REF!</definedName>
    <definedName name="__LV1" localSheetId="7">#REF!</definedName>
    <definedName name="__Mar3">'[6]Exh Branch(8K)(依前購)'!$H$39:$H$52</definedName>
    <definedName name="__Mar4">'[6]Exh Branch(8K)(依前購)'!$H$53:$H$62</definedName>
    <definedName name="__Mar5">'[6]Exh Branch(8K)(依前購)'!$H$63:$H$72</definedName>
    <definedName name="__may3">'[6]Exh Branch(8K)(依前購)'!$J$39:$J$52</definedName>
    <definedName name="__May4">'[6]Exh Branch(8K)(依前購)'!$J$53:$J$62</definedName>
    <definedName name="__May5">'[6]Exh Branch(8K)(依前購)'!$J$63:$J$72</definedName>
    <definedName name="__MB185" localSheetId="2">#REF!</definedName>
    <definedName name="__MB185" localSheetId="5">#REF!</definedName>
    <definedName name="__MB185" localSheetId="6">#REF!</definedName>
    <definedName name="__MB185" localSheetId="7">#REF!</definedName>
    <definedName name="__MLS1" localSheetId="2">[1]標單!#REF!</definedName>
    <definedName name="__MLS1" localSheetId="5">[1]標單!#REF!</definedName>
    <definedName name="__MLS1" localSheetId="6">[1]標單!#REF!</definedName>
    <definedName name="__MLS1" localSheetId="7">[1]標單!#REF!</definedName>
    <definedName name="__MLS2" localSheetId="6">[2]演奏廳各期計價!#REF!</definedName>
    <definedName name="__MLS2" localSheetId="7">[2]演奏廳各期計價!#REF!</definedName>
    <definedName name="__Nov3">'[6]Exh Branch(8K)(依前購)'!$P$39:$P$52</definedName>
    <definedName name="__Nov4">'[6]Exh Branch(8K)(依前購)'!$P$53:$P$62</definedName>
    <definedName name="__Nov5">'[6]Exh Branch(8K)(依前購)'!$P$63:$P$72</definedName>
    <definedName name="__Oct3">'[6]Exh Branch(8K)(依前購)'!$O$39:$O$52</definedName>
    <definedName name="__Oct4">'[6]Exh Branch(8K)(依前購)'!$O$53:$O$62</definedName>
    <definedName name="__Oct5">'[6]Exh Branch(8K)(依前購)'!$O$63:$O$72</definedName>
    <definedName name="__S1" localSheetId="2">#REF!</definedName>
    <definedName name="__S1" localSheetId="5">#REF!</definedName>
    <definedName name="__S1" localSheetId="6">#REF!</definedName>
    <definedName name="__S1" localSheetId="7">#REF!</definedName>
    <definedName name="__S2" localSheetId="2">#REF!</definedName>
    <definedName name="__S2" localSheetId="5">#REF!</definedName>
    <definedName name="__S2" localSheetId="6">#REF!</definedName>
    <definedName name="__S2" localSheetId="7">#REF!</definedName>
    <definedName name="__S3" localSheetId="2">#REF!</definedName>
    <definedName name="__S3" localSheetId="5">#REF!</definedName>
    <definedName name="__S3" localSheetId="6">#REF!</definedName>
    <definedName name="__S3" localSheetId="7">#REF!</definedName>
    <definedName name="__Sep3">'[6]Exh Branch(8K)(依前購)'!$N$39:$N$52</definedName>
    <definedName name="__Sep4">'[6]Exh Branch(8K)(依前購)'!$N$53:$N$62</definedName>
    <definedName name="__Sep5">'[6]Exh Branch(8K)(依前購)'!$N$63:$N$72</definedName>
    <definedName name="__SP1">'[7]HOOK UP'!#REF!</definedName>
    <definedName name="__tr1" localSheetId="2">#REF!</definedName>
    <definedName name="__tr1" localSheetId="5">#REF!</definedName>
    <definedName name="__tr1" localSheetId="6">#REF!</definedName>
    <definedName name="__tr1" localSheetId="7">#REF!</definedName>
    <definedName name="_001" localSheetId="4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_001" localSheetId="5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_1_4" localSheetId="2">#REF!</definedName>
    <definedName name="_1_4" localSheetId="5">#REF!</definedName>
    <definedName name="_1_4" localSheetId="6">#REF!</definedName>
    <definedName name="_1_4" localSheetId="7">#REF!</definedName>
    <definedName name="_1067">#N/A</definedName>
    <definedName name="_11">#N/A</definedName>
    <definedName name="_11.1">#N/A</definedName>
    <definedName name="_11.2">#N/A</definedName>
    <definedName name="_111AASAS" localSheetId="2" hidden="1">[13]CASH!#REF!</definedName>
    <definedName name="_111AASAS" localSheetId="5" hidden="1">[13]CASH!#REF!</definedName>
    <definedName name="_111AASAS" localSheetId="6" hidden="1">[14]CASH!#REF!</definedName>
    <definedName name="_111AASAS" localSheetId="7" hidden="1">[13]CASH!#REF!</definedName>
    <definedName name="_11aa1_" localSheetId="4" hidden="1">{#N/A,#N/A,FALSE,"CCTV"}</definedName>
    <definedName name="_11aa1_" localSheetId="5" hidden="1">{#N/A,#N/A,FALSE,"CCTV"}</definedName>
    <definedName name="_12.1">#N/A</definedName>
    <definedName name="_12.2">#N/A</definedName>
    <definedName name="_13.1">#N/A</definedName>
    <definedName name="_13.2">#N/A</definedName>
    <definedName name="_17.1">#N/A</definedName>
    <definedName name="_17.2">#N/A</definedName>
    <definedName name="_18.1">#N/A</definedName>
    <definedName name="_18.2">#N/A</definedName>
    <definedName name="_1ｋ２_" hidden="1">'[12]Utility and Fire flange'!$D$48:$D$49</definedName>
    <definedName name="_22">#N/A</definedName>
    <definedName name="_22.1">#N/A</definedName>
    <definedName name="_22.2">#N/A</definedName>
    <definedName name="_23_0_0_F" hidden="1">[4]대비표!#REF!</definedName>
    <definedName name="_24_0_0_F" hidden="1">[4]대비표!#REF!</definedName>
    <definedName name="_327">'[6]Exh Branch(8K)(依前購)'!$B$1:$AB$1093</definedName>
    <definedName name="_38">#N/A</definedName>
    <definedName name="_4_0_0_F" hidden="1">[4]대비표!#REF!</definedName>
    <definedName name="_41.1">#N/A</definedName>
    <definedName name="_41.2">#N/A</definedName>
    <definedName name="_41aa1_" localSheetId="4" hidden="1">{#N/A,#N/A,FALSE,"CCTV"}</definedName>
    <definedName name="_41aa1_" localSheetId="5" hidden="1">{#N/A,#N/A,FALSE,"CCTV"}</definedName>
    <definedName name="_5_0_0_F" localSheetId="6" hidden="1">[4]대비표!#REF!</definedName>
    <definedName name="_5_0_0_F" localSheetId="7" hidden="1">[4]대비표!#REF!</definedName>
    <definedName name="_50.1">#N/A</definedName>
    <definedName name="_50.2">#N/A</definedName>
    <definedName name="_51.1">#N/A</definedName>
    <definedName name="_51.2">#N/A</definedName>
    <definedName name="_57.1">#N/A</definedName>
    <definedName name="_58">#N/A</definedName>
    <definedName name="_67">#N/A</definedName>
    <definedName name="_8.1">#N/A</definedName>
    <definedName name="_8.2">#N/A</definedName>
    <definedName name="_a" localSheetId="2">#REF!</definedName>
    <definedName name="_a" localSheetId="5">#REF!</definedName>
    <definedName name="_a" localSheetId="6">#REF!</definedName>
    <definedName name="_a" localSheetId="7">#REF!</definedName>
    <definedName name="_a_18" localSheetId="2">#REF!</definedName>
    <definedName name="_a_18" localSheetId="5">#REF!</definedName>
    <definedName name="_a_18" localSheetId="6">#REF!</definedName>
    <definedName name="_a_18" localSheetId="7">#REF!</definedName>
    <definedName name="_a_19" localSheetId="2">#REF!</definedName>
    <definedName name="_a_19" localSheetId="5">#REF!</definedName>
    <definedName name="_a_19" localSheetId="6">#REF!</definedName>
    <definedName name="_a_19" localSheetId="7">#REF!</definedName>
    <definedName name="_a_26" localSheetId="6">#REF!</definedName>
    <definedName name="_a_26">#REF!</definedName>
    <definedName name="_aa1" localSheetId="4" hidden="1">{#N/A,#N/A,FALSE,"CCTV"}</definedName>
    <definedName name="_aa1" localSheetId="5" hidden="1">{#N/A,#N/A,FALSE,"CCTV"}</definedName>
    <definedName name="_aaa1" localSheetId="4" hidden="1">{#N/A,#N/A,FALSE,"CCTV"}</definedName>
    <definedName name="_aaa1" localSheetId="5" hidden="1">{#N/A,#N/A,FALSE,"CCTV"}</definedName>
    <definedName name="_ADD1">[1]標單!#REF!</definedName>
    <definedName name="_ADD2">[1]標單!#REF!</definedName>
    <definedName name="_ADD3">[2]演奏廳各期計價!#REF!</definedName>
    <definedName name="_AH19120" localSheetId="2">#REF!</definedName>
    <definedName name="_AH19120" localSheetId="5">#REF!</definedName>
    <definedName name="_AH19120" localSheetId="6">#REF!</definedName>
    <definedName name="_AH19120" localSheetId="7">#REF!</definedName>
    <definedName name="_Apr3">'[6]Exh Branch(8K)(依前購)'!$I$39:$I$52</definedName>
    <definedName name="_Apr4">'[6]Exh Branch(8K)(依前購)'!$I$53:$I$62</definedName>
    <definedName name="_Apr5">'[6]Exh Branch(8K)(依前購)'!$I$63:$I$72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544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Aug3">'[6]Exh Branch(8K)(依前購)'!$M$39:$M$52</definedName>
    <definedName name="_Aug4">'[6]Exh Branch(8K)(依前購)'!$M$53:$M$62</definedName>
    <definedName name="_Aug5">'[6]Exh Branch(8K)(依前購)'!$M$63:$M$72</definedName>
    <definedName name="_bbb1" localSheetId="4" hidden="1">{#N/A,#N/A,FALSE,"CCTV"}</definedName>
    <definedName name="_bbb1" localSheetId="5" hidden="1">{#N/A,#N/A,FALSE,"CCTV"}</definedName>
    <definedName name="_bgd1" localSheetId="4" hidden="1">{"'Sheet1'!$A$1:$AE$60","'Sheet1'!$AE$1","'Sheet1'!$A$1:$AE$60"}</definedName>
    <definedName name="_bgd1" localSheetId="5" hidden="1">{"'Sheet1'!$A$1:$AE$60","'Sheet1'!$AE$1","'Sheet1'!$A$1:$AE$60"}</definedName>
    <definedName name="_bla2">'[8]Motor Power List'!$A$2:$F$35</definedName>
    <definedName name="_c20000" localSheetId="2">#REF!</definedName>
    <definedName name="_c20000" localSheetId="5">#REF!</definedName>
    <definedName name="_c20000" localSheetId="6">#REF!</definedName>
    <definedName name="_c20000" localSheetId="7">#REF!</definedName>
    <definedName name="_C2F" localSheetId="2">#REF!</definedName>
    <definedName name="_C2F" localSheetId="5">#REF!</definedName>
    <definedName name="_C2F" localSheetId="6">#REF!</definedName>
    <definedName name="_C2F" localSheetId="7">#REF!</definedName>
    <definedName name="_C3F" localSheetId="2">#REF!</definedName>
    <definedName name="_C3F" localSheetId="5">#REF!</definedName>
    <definedName name="_C3F" localSheetId="6">#REF!</definedName>
    <definedName name="_C3F" localSheetId="7">#REF!</definedName>
    <definedName name="_cda1" localSheetId="6">#REF!</definedName>
    <definedName name="_cda1">#REF!</definedName>
    <definedName name="_Dec3">'[6]Exh Branch(8K)(依前購)'!$Q$39:$Q$52</definedName>
    <definedName name="_Dec4">'[6]Exh Branch(8K)(依前購)'!$Q$53:$Q$62</definedName>
    <definedName name="_Dec5">'[6]Exh Branch(8K)(依前購)'!$Q$63:$Q$72</definedName>
    <definedName name="_Dist_Values" localSheetId="2" hidden="1">#REF!</definedName>
    <definedName name="_Dist_Values" localSheetId="5" hidden="1">#REF!</definedName>
    <definedName name="_Dist_Values" localSheetId="6" hidden="1">#REF!</definedName>
    <definedName name="_Dist_Values" localSheetId="7" hidden="1">#REF!</definedName>
    <definedName name="_Fab1">'[6]Exh Branch(8K)(依前購)'!$R$5:$R$11</definedName>
    <definedName name="_Fab3">'[6]Exh Branch(8K)(依前購)'!$R$39:$R$52</definedName>
    <definedName name="_Fab4">'[6]Exh Branch(8K)(依前購)'!$R$53:$R$62</definedName>
    <definedName name="_Fab5">'[6]Exh Branch(8K)(依前購)'!$R$63:$R$72</definedName>
    <definedName name="_Feb3">'[6]Exh Branch(8K)(依前購)'!$G$39:$G$52</definedName>
    <definedName name="_Feb4">'[6]Exh Branch(8K)(依前購)'!$G$53:$G$62</definedName>
    <definedName name="_Feb5">'[6]Exh Branch(8K)(依前購)'!$G$63:$G$72</definedName>
    <definedName name="_Fill" localSheetId="2" hidden="1">#REF!</definedName>
    <definedName name="_Fill" localSheetId="5" hidden="1">#REF!</definedName>
    <definedName name="_Fill" localSheetId="6" hidden="1">#REF!</definedName>
    <definedName name="_Fill" localSheetId="7" hidden="1">#REF!</definedName>
    <definedName name="_xlnm._FilterDatabase" localSheetId="4" hidden="1">'AR &amp; AP Real 0804'!$K$368:$K$368</definedName>
    <definedName name="_xlnm._FilterDatabase" localSheetId="6" hidden="1">'interconnection-TSMC'!#REF!</definedName>
    <definedName name="_xlnm._FilterDatabase" localSheetId="7" hidden="1">'interconnection-TSMC_417'!#REF!</definedName>
    <definedName name="_xlnm._FilterDatabase" localSheetId="10" hidden="1">'Project List'!$A$1:$S$1</definedName>
    <definedName name="_xlnm._FilterDatabase" localSheetId="0" hidden="1">Sheet1!$F$3:$K$17</definedName>
    <definedName name="_xlnm._FilterDatabase" localSheetId="9" hidden="1">'Tool information_BK'!$A$1:$I$1</definedName>
    <definedName name="_Jan3">'[6]Exh Branch(8K)(依前購)'!$F$39:$F$52</definedName>
    <definedName name="_Jan4">'[6]Exh Branch(8K)(依前購)'!$F$53:$F$62</definedName>
    <definedName name="_Jan5">'[6]Exh Branch(8K)(依前購)'!$F$63:$F$72</definedName>
    <definedName name="_Jul3">'[6]Exh Branch(8K)(依前購)'!$L$39:$L$52</definedName>
    <definedName name="_Jul4">'[6]Exh Branch(8K)(依前購)'!$L$53:$L$62</definedName>
    <definedName name="_Jul5">'[6]Exh Branch(8K)(依前購)'!$L$63:$L$72</definedName>
    <definedName name="_Jun3">'[6]Exh Branch(8K)(依前購)'!$K$39:$K$52</definedName>
    <definedName name="_Jun4">'[6]Exh Branch(8K)(依前購)'!$K$53:$K$62</definedName>
    <definedName name="_Jun5">'[6]Exh Branch(8K)(依前購)'!$K$63:$K$72</definedName>
    <definedName name="_ｋ２" hidden="1">'[12]Utility and Fire flange'!$D$48:$D$49</definedName>
    <definedName name="_Key1" localSheetId="2" hidden="1">#REF!</definedName>
    <definedName name="_Key1" localSheetId="5" hidden="1">#REF!</definedName>
    <definedName name="_Key1" localSheetId="6" hidden="1">#REF!</definedName>
    <definedName name="_Key1" localSheetId="7" hidden="1">#REF!</definedName>
    <definedName name="_Key2" localSheetId="2" hidden="1">#REF!</definedName>
    <definedName name="_Key2" localSheetId="5" hidden="1">#REF!</definedName>
    <definedName name="_Key2" localSheetId="6" hidden="1">#REF!</definedName>
    <definedName name="_Key2" localSheetId="7" hidden="1">#REF!</definedName>
    <definedName name="_l555" localSheetId="2">#REF!</definedName>
    <definedName name="_l555" localSheetId="5">#REF!</definedName>
    <definedName name="_l555" localSheetId="6">#REF!</definedName>
    <definedName name="_l555" localSheetId="7">#REF!</definedName>
    <definedName name="_LV1" localSheetId="6">#REF!</definedName>
    <definedName name="_LV1">#REF!</definedName>
    <definedName name="_Mar3">'[6]Exh Branch(8K)(依前購)'!$H$39:$H$52</definedName>
    <definedName name="_Mar4">'[6]Exh Branch(8K)(依前購)'!$H$53:$H$62</definedName>
    <definedName name="_Mar5">'[6]Exh Branch(8K)(依前購)'!$H$63:$H$72</definedName>
    <definedName name="_may3">'[6]Exh Branch(8K)(依前購)'!$J$39:$J$52</definedName>
    <definedName name="_May4">'[6]Exh Branch(8K)(依前購)'!$J$53:$J$62</definedName>
    <definedName name="_May5">'[6]Exh Branch(8K)(依前購)'!$J$63:$J$72</definedName>
    <definedName name="_MB185" localSheetId="2">#REF!</definedName>
    <definedName name="_MB185" localSheetId="5">#REF!</definedName>
    <definedName name="_MB185" localSheetId="6">#REF!</definedName>
    <definedName name="_MB185" localSheetId="7">#REF!</definedName>
    <definedName name="_MLS1" localSheetId="2">[1]標單!#REF!</definedName>
    <definedName name="_MLS1" localSheetId="5">[1]標單!#REF!</definedName>
    <definedName name="_MLS1" localSheetId="6">[1]標單!#REF!</definedName>
    <definedName name="_MLS1" localSheetId="7">[1]標單!#REF!</definedName>
    <definedName name="_MLS2" localSheetId="6">[2]演奏廳各期計價!#REF!</definedName>
    <definedName name="_MLS2" localSheetId="7">[2]演奏廳各期計價!#REF!</definedName>
    <definedName name="_Nov3">'[6]Exh Branch(8K)(依前購)'!$P$39:$P$52</definedName>
    <definedName name="_Nov4">'[6]Exh Branch(8K)(依前購)'!$P$53:$P$62</definedName>
    <definedName name="_Nov5">'[6]Exh Branch(8K)(依前購)'!$P$63:$P$72</definedName>
    <definedName name="_Oct3">'[6]Exh Branch(8K)(依前購)'!$O$39:$O$52</definedName>
    <definedName name="_Oct4">'[6]Exh Branch(8K)(依前購)'!$O$53:$O$62</definedName>
    <definedName name="_Oct5">'[6]Exh Branch(8K)(依前購)'!$O$63:$O$72</definedName>
    <definedName name="_Order1" hidden="1">255</definedName>
    <definedName name="_Order2" hidden="1">255</definedName>
    <definedName name="_Parse_Out" hidden="1">#REF!</definedName>
    <definedName name="_Regression_Int" hidden="1">1</definedName>
    <definedName name="_S1">#REF!</definedName>
    <definedName name="_S2" localSheetId="2">#REF!</definedName>
    <definedName name="_S2" localSheetId="5">#REF!</definedName>
    <definedName name="_S2" localSheetId="6">#REF!</definedName>
    <definedName name="_S2" localSheetId="7">#REF!</definedName>
    <definedName name="_S3" localSheetId="2">#REF!</definedName>
    <definedName name="_S3" localSheetId="5">#REF!</definedName>
    <definedName name="_S3" localSheetId="6">#REF!</definedName>
    <definedName name="_S3" localSheetId="7">#REF!</definedName>
    <definedName name="_Sep3">'[6]Exh Branch(8K)(依前購)'!$N$39:$N$52</definedName>
    <definedName name="_Sep4">'[6]Exh Branch(8K)(依前購)'!$N$53:$N$62</definedName>
    <definedName name="_Sep5">'[6]Exh Branch(8K)(依前購)'!$N$63:$N$72</definedName>
    <definedName name="_Sort" localSheetId="2" hidden="1">#REF!</definedName>
    <definedName name="_Sort" localSheetId="5" hidden="1">#REF!</definedName>
    <definedName name="_Sort" localSheetId="6" hidden="1">#REF!</definedName>
    <definedName name="_Sort" localSheetId="7" hidden="1">#REF!</definedName>
    <definedName name="_SP1" localSheetId="2">'[7]HOOK UP'!#REF!</definedName>
    <definedName name="_SP1" localSheetId="5">'[7]HOOK UP'!#REF!</definedName>
    <definedName name="_SP1" localSheetId="6">'[7]HOOK UP'!#REF!</definedName>
    <definedName name="_SP1" localSheetId="7">'[7]HOOK UP'!#REF!</definedName>
    <definedName name="_Table1_In1" localSheetId="6" hidden="1">[15]inter!#REF!</definedName>
    <definedName name="_Table1_In1" localSheetId="7" hidden="1">[15]inter!#REF!</definedName>
    <definedName name="_Table1_Out" localSheetId="6" hidden="1">[15]inter!#REF!</definedName>
    <definedName name="_Table1_Out" localSheetId="7" hidden="1">[15]inter!#REF!</definedName>
    <definedName name="_tr1" localSheetId="2">#REF!</definedName>
    <definedName name="_tr1" localSheetId="5">#REF!</definedName>
    <definedName name="_tr1" localSheetId="6">#REF!</definedName>
    <definedName name="_tr1" localSheetId="7">#REF!</definedName>
    <definedName name="_xlcn.WorksheetConnection_PC_Overview_100721_Rev2.xlsxContract" hidden="1">Contract</definedName>
    <definedName name="_xlcn.WorksheetConnection_PC_Overview_100721_Rev2.xlsxProject" hidden="1">Project</definedName>
    <definedName name="_查詢5">[16]主管名單!$A$1:$N$201</definedName>
    <definedName name="a" hidden="1">[1]標單!#REF!</definedName>
    <definedName name="A_18" localSheetId="2">#REF!</definedName>
    <definedName name="A_18" localSheetId="5">#REF!</definedName>
    <definedName name="A_18" localSheetId="6">#REF!</definedName>
    <definedName name="A_18" localSheetId="7">#REF!</definedName>
    <definedName name="A_19" localSheetId="2">#REF!</definedName>
    <definedName name="A_19" localSheetId="5">#REF!</definedName>
    <definedName name="A_19" localSheetId="6">#REF!</definedName>
    <definedName name="A_19" localSheetId="7">#REF!</definedName>
    <definedName name="A_26" localSheetId="2">#REF!</definedName>
    <definedName name="A_26" localSheetId="5">#REF!</definedName>
    <definedName name="A_26" localSheetId="6">#REF!</definedName>
    <definedName name="A_26" localSheetId="7">#REF!</definedName>
    <definedName name="a1112121" localSheetId="6" hidden="1">#REF!</definedName>
    <definedName name="a1112121" hidden="1">#REF!</definedName>
    <definedName name="A2331A" localSheetId="6">#REF!</definedName>
    <definedName name="A2331A">#REF!</definedName>
    <definedName name="AA" localSheetId="4">{"'Sheet1'!$L$16"}</definedName>
    <definedName name="AA" localSheetId="5">{"'Sheet1'!$L$16"}</definedName>
    <definedName name="AA_1" localSheetId="4">{"'Sheet1'!$L$16"}</definedName>
    <definedName name="AA_1" localSheetId="5">{"'Sheet1'!$L$16"}</definedName>
    <definedName name="AA_1_1" localSheetId="4">{"'Sheet1'!$L$16"}</definedName>
    <definedName name="AA_1_1" localSheetId="5">{"'Sheet1'!$L$16"}</definedName>
    <definedName name="AA_2" localSheetId="4">{"'Sheet1'!$L$16"}</definedName>
    <definedName name="AA_2" localSheetId="5">{"'Sheet1'!$L$16"}</definedName>
    <definedName name="AA_3" localSheetId="4">{"'Sheet1'!$L$16"}</definedName>
    <definedName name="AA_3" localSheetId="5">{"'Sheet1'!$L$16"}</definedName>
    <definedName name="AA_4" localSheetId="4">{"'Sheet1'!$L$16"}</definedName>
    <definedName name="AA_4" localSheetId="5">{"'Sheet1'!$L$16"}</definedName>
    <definedName name="AA_5" localSheetId="4">{"'Sheet1'!$L$16"}</definedName>
    <definedName name="AA_5" localSheetId="5">{"'Sheet1'!$L$16"}</definedName>
    <definedName name="aaa" localSheetId="4" hidden="1">{"'Sheet1'!$L$16"}</definedName>
    <definedName name="aaa" localSheetId="5" hidden="1">{"'Sheet1'!$L$16"}</definedName>
    <definedName name="AAAA">#REF!</definedName>
    <definedName name="aaaa1" localSheetId="4" hidden="1">{#N/A,#N/A,FALSE,"CCTV"}</definedName>
    <definedName name="aaaa1" localSheetId="5" hidden="1">{#N/A,#N/A,FALSE,"CCTV"}</definedName>
    <definedName name="AAAAA" localSheetId="2">#REF!</definedName>
    <definedName name="AAAAA" localSheetId="5">#REF!</definedName>
    <definedName name="AAAAA" localSheetId="6">#REF!</definedName>
    <definedName name="AAAAA" localSheetId="7">#REF!</definedName>
    <definedName name="aaaaaaa" localSheetId="4" hidden="1">{#N/A,#N/A,FALSE,"type1";#N/A,#N/A,FALSE,"지지력";#N/A,#N/A,FALSE,"PILE계산";#N/A,#N/A,FALSE,"PILE ";#N/A,#N/A,FALSE,"철근량";#N/A,#N/A,FALSE,"균열검토";#N/A,#N/A,FALSE,"날개벽";#N/A,#N/A,FALSE,"주철근조립도";#N/A,#N/A,FALSE,"교좌"}</definedName>
    <definedName name="aaaaaaa" localSheetId="5" hidden="1">{#N/A,#N/A,FALSE,"type1";#N/A,#N/A,FALSE,"지지력";#N/A,#N/A,FALSE,"PILE계산";#N/A,#N/A,FALSE,"PILE ";#N/A,#N/A,FALSE,"철근량";#N/A,#N/A,FALSE,"균열검토";#N/A,#N/A,FALSE,"날개벽";#N/A,#N/A,FALSE,"주철근조립도";#N/A,#N/A,FALSE,"교좌"}</definedName>
    <definedName name="aas" localSheetId="2">#REF!</definedName>
    <definedName name="aas" localSheetId="5">#REF!</definedName>
    <definedName name="aas" localSheetId="6">#REF!</definedName>
    <definedName name="aas" localSheetId="7">#REF!</definedName>
    <definedName name="ABC">'[17]DRY-CON'!$A$1:$K$27</definedName>
    <definedName name="abcd">'[17]DRY-CON'!$A$1:$K$27</definedName>
    <definedName name="Access_Button" hidden="1">"Equip_21512_List"</definedName>
    <definedName name="AccessDatabase" hidden="1">"C:\CCChangc\Project\Fab6PRPO.mdb"</definedName>
    <definedName name="adaf" hidden="1">#REF!</definedName>
    <definedName name="ADD">[1]標單!#REF!</definedName>
    <definedName name="ADI">#N/A</definedName>
    <definedName name="ADITION" localSheetId="4" hidden="1">{"'장비'!$A$3:$M$12"}</definedName>
    <definedName name="ADITION" localSheetId="5" hidden="1">{"'장비'!$A$3:$M$12"}</definedName>
    <definedName name="afdasgh" localSheetId="4" hidden="1">{#N/A,#N/A,FALSE,"CCTV"}</definedName>
    <definedName name="afdasgh" localSheetId="5" hidden="1">{#N/A,#N/A,FALSE,"CCTV"}</definedName>
    <definedName name="afdsfdg" localSheetId="4" hidden="1">{#N/A,#N/A,FALSE,"CCTV"}</definedName>
    <definedName name="afdsfdg" localSheetId="5" hidden="1">{#N/A,#N/A,FALSE,"CCTV"}</definedName>
    <definedName name="afffgff" localSheetId="4" hidden="1">{#N/A,#N/A,FALSE,"CCTV"}</definedName>
    <definedName name="afffgff" localSheetId="5" hidden="1">{#N/A,#N/A,FALSE,"CCTV"}</definedName>
    <definedName name="ALL_Cost_0" localSheetId="2">#REF!</definedName>
    <definedName name="ALL_Cost_0" localSheetId="5">#REF!</definedName>
    <definedName name="ALL_Cost_0" localSheetId="6">#REF!</definedName>
    <definedName name="ALL_Cost_0" localSheetId="7">#REF!</definedName>
    <definedName name="ALL_Cost_1" localSheetId="2">#REF!</definedName>
    <definedName name="ALL_Cost_1" localSheetId="5">#REF!</definedName>
    <definedName name="ALL_Cost_1" localSheetId="6">#REF!</definedName>
    <definedName name="ALL_Cost_1" localSheetId="7">#REF!</definedName>
    <definedName name="AMOUNT1_Cost_0" localSheetId="2">#REF!</definedName>
    <definedName name="AMOUNT1_Cost_0" localSheetId="5">#REF!</definedName>
    <definedName name="AMOUNT1_Cost_0" localSheetId="6">#REF!</definedName>
    <definedName name="AMOUNT1_Cost_0" localSheetId="7">#REF!</definedName>
    <definedName name="AMOUNT1_Cost_1" localSheetId="6">#REF!</definedName>
    <definedName name="AMOUNT1_Cost_1">#REF!</definedName>
    <definedName name="AMOUNT2_Cost_0" localSheetId="6">#REF!</definedName>
    <definedName name="AMOUNT2_Cost_0">#REF!</definedName>
    <definedName name="AMOUNT2_Cost_1" localSheetId="6">#REF!</definedName>
    <definedName name="AMOUNT2_Cost_1">#REF!</definedName>
    <definedName name="AMOUNT3_Cost_0" localSheetId="6">#REF!</definedName>
    <definedName name="AMOUNT3_Cost_0">#REF!</definedName>
    <definedName name="AMOUNT4_Cost_0" localSheetId="6">#REF!</definedName>
    <definedName name="AMOUNT4_Cost_0">#REF!</definedName>
    <definedName name="anscount" hidden="1">1</definedName>
    <definedName name="Apr2A">'[6]Exh Branch(8K)(依前購)'!$I$12:$I$23</definedName>
    <definedName name="Apr2B">'[6]Exh Branch(8K)(依前購)'!$I$24:$I$38</definedName>
    <definedName name="AprF1">'[6]Exh Branch(8K)(依前購)'!$I$5:$I$11</definedName>
    <definedName name="APRWT">'[6]Exh Branch(8K)(依前購)'!$I$73:$I$76</definedName>
    <definedName name="AQWS" localSheetId="4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AQWS" localSheetId="5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AREA_AREA_Mto_0" localSheetId="2">#REF!</definedName>
    <definedName name="AREA_AREA_Mto_0" localSheetId="5">#REF!</definedName>
    <definedName name="AREA_AREA_Mto_0" localSheetId="6">#REF!</definedName>
    <definedName name="AREA_AREA_Mto_0" localSheetId="7">#REF!</definedName>
    <definedName name="AREA_AREA_Mto_1" localSheetId="2">#REF!</definedName>
    <definedName name="AREA_AREA_Mto_1" localSheetId="5">#REF!</definedName>
    <definedName name="AREA_AREA_Mto_1" localSheetId="6">#REF!</definedName>
    <definedName name="AREA_AREA_Mto_1" localSheetId="7">#REF!</definedName>
    <definedName name="AREAA">#N/A</definedName>
    <definedName name="AREAB">#N/A</definedName>
    <definedName name="AREAC">#N/A</definedName>
    <definedName name="AREACP">#N/A</definedName>
    <definedName name="AREAD">#N/A</definedName>
    <definedName name="AREAE">#N/A</definedName>
    <definedName name="AREAPI">#N/A</definedName>
    <definedName name="AREAWS">#N/A</definedName>
    <definedName name="AREAWT">#N/A</definedName>
    <definedName name="ARRAY" localSheetId="2">#REF!</definedName>
    <definedName name="ARRAY" localSheetId="5">#REF!</definedName>
    <definedName name="ARRAY" localSheetId="6">#REF!</definedName>
    <definedName name="ARRAY" localSheetId="7">#REF!</definedName>
    <definedName name="asd" localSheetId="4" hidden="1">{"'Sheet1'!$L$16"}</definedName>
    <definedName name="asd" localSheetId="5" hidden="1">{"'Sheet1'!$L$16"}</definedName>
    <definedName name="Aug2A">'[6]Exh Branch(8K)(依前購)'!$M$12:$M$23</definedName>
    <definedName name="Aug2B">'[6]Exh Branch(8K)(依前購)'!$M$24:$M$38</definedName>
    <definedName name="AugF1">'[6]Exh Branch(8K)(依前購)'!$M$5:$M$11</definedName>
    <definedName name="AUGWT">'[6]Exh Branch(8K)(依前購)'!$M$73:$M$76</definedName>
    <definedName name="AVG">'[18]Sheet1 (2)'!$A$4:$I$23</definedName>
    <definedName name="AZ" localSheetId="2">#REF!</definedName>
    <definedName name="AZ" localSheetId="5">#REF!</definedName>
    <definedName name="AZ" localSheetId="6">#REF!</definedName>
    <definedName name="AZ" localSheetId="7">#REF!</definedName>
    <definedName name="B0" localSheetId="2">[19]Data!#REF!</definedName>
    <definedName name="B0" localSheetId="5">[19]Data!#REF!</definedName>
    <definedName name="B0" localSheetId="6">[19]Data!#REF!</definedName>
    <definedName name="B0" localSheetId="7">[19]Data!#REF!</definedName>
    <definedName name="B1_1">[19]Data!$L$4:$L$12</definedName>
    <definedName name="B1_2">[19]Data!$M$4:$M$12</definedName>
    <definedName name="B1_3">[19]Data!$N$4:$N$12</definedName>
    <definedName name="B2_1">[19]Data!$L$16:$L$24</definedName>
    <definedName name="B2_2">[19]Data!$M$16:$M$24</definedName>
    <definedName name="B2_3">[19]Data!$N$16:$N$24</definedName>
    <definedName name="b280.">'[20]List (1)'!#REF!</definedName>
    <definedName name="bb">'[6]Exh Branch(8K)(依前購)'!#REF!</definedName>
    <definedName name="BBB" localSheetId="4" hidden="1">{#N/A,#N/A,FALSE,"CCTV"}</definedName>
    <definedName name="BBB" localSheetId="5" hidden="1">{#N/A,#N/A,FALSE,"CCTV"}</definedName>
    <definedName name="BegCancelledCnt" localSheetId="2">#REF!</definedName>
    <definedName name="BegCancelledCnt" localSheetId="5">#REF!</definedName>
    <definedName name="BegCancelledCnt" localSheetId="6">#REF!</definedName>
    <definedName name="BegCancelledCnt" localSheetId="7">#REF!</definedName>
    <definedName name="BegChgRecs" localSheetId="2">#REF!</definedName>
    <definedName name="BegChgRecs" localSheetId="5">#REF!</definedName>
    <definedName name="BegChgRecs" localSheetId="6">#REF!</definedName>
    <definedName name="BegChgRecs" localSheetId="7">#REF!</definedName>
    <definedName name="BegClosedCnt" localSheetId="2">#REF!</definedName>
    <definedName name="BegClosedCnt" localSheetId="5">#REF!</definedName>
    <definedName name="BegClosedCnt" localSheetId="6">#REF!</definedName>
    <definedName name="BegClosedCnt" localSheetId="7">#REF!</definedName>
    <definedName name="BegFSC" localSheetId="6">#REF!</definedName>
    <definedName name="BegFSC">#REF!</definedName>
    <definedName name="BegFSO" localSheetId="6">#REF!</definedName>
    <definedName name="BegFSO">#REF!</definedName>
    <definedName name="BegMergedCnt" localSheetId="6">#REF!</definedName>
    <definedName name="BegMergedCnt">#REF!</definedName>
    <definedName name="BegNewCnt" localSheetId="6">#REF!</definedName>
    <definedName name="BegNewCnt">#REF!</definedName>
    <definedName name="BegUpdatesCnt" localSheetId="6">#REF!</definedName>
    <definedName name="BegUpdatesCnt">#REF!</definedName>
    <definedName name="bfbfdhfdhdfgh" localSheetId="4" hidden="1">{#N/A,#N/A,FALSE,"CCTV"}</definedName>
    <definedName name="bfbfdhfdhdfgh" localSheetId="5" hidden="1">{#N/A,#N/A,FALSE,"CCTV"}</definedName>
    <definedName name="bgd" localSheetId="4" hidden="1">{"'Sheet1'!$A$1:$AE$60","'Sheet1'!$AE$1","'Sheet1'!$A$1:$AE$60"}</definedName>
    <definedName name="bgd" localSheetId="5" hidden="1">{"'Sheet1'!$A$1:$AE$60","'Sheet1'!$AE$1","'Sheet1'!$A$1:$AE$60"}</definedName>
    <definedName name="bla">'[21]Motor Power List'!$A$2:$F$35</definedName>
    <definedName name="blabla">'[8]Motor Power List'!$A$2:$F$35</definedName>
    <definedName name="BN1_1">[19]Data!$AP$4:$AP$12</definedName>
    <definedName name="BN1_2">[19]Data!$AQ$4:$AQ$12</definedName>
    <definedName name="BN1_3">[19]Data!$AR$4:$AR$12</definedName>
    <definedName name="BN1_4">[19]Data!$AS$4:$AS$12</definedName>
    <definedName name="BN1_5">[19]Data!$AT$4:$AT$12</definedName>
    <definedName name="BN1_6">[19]Data!$AU$4:$AU$12</definedName>
    <definedName name="BN1_7">[19]Data!$AV$4:$AV$12</definedName>
    <definedName name="BN2_1">[19]Data!$AP$16:$AP$24</definedName>
    <definedName name="BN2_2">[19]Data!$AQ$16:$AQ$24</definedName>
    <definedName name="BN2_3">[19]Data!$AR$16:$AR$24</definedName>
    <definedName name="BN2_4">[19]Data!$AS$16:$AS$24</definedName>
    <definedName name="BN2_5">[19]Data!$AT$16:$AT$24</definedName>
    <definedName name="BN2_6">[19]Data!$AU$16:$AU$24</definedName>
    <definedName name="BN2_7">[19]Data!$AV$16:$AV$24</definedName>
    <definedName name="Button_1">"Special_gas_pressure_drop_使用說明_List"</definedName>
    <definedName name="Button_1582">"Fab6PRPO_Sheet1_List"</definedName>
    <definedName name="Button_2">"Special_gas_pressure_drop_使用說明_List"</definedName>
    <definedName name="C_">#N/A</definedName>
    <definedName name="CASENEW">#REF!</definedName>
    <definedName name="Cash_Flow_Chart" localSheetId="2">#REF!</definedName>
    <definedName name="Cash_Flow_Chart" localSheetId="5">#REF!</definedName>
    <definedName name="Cash_Flow_Chart" localSheetId="6">#REF!</definedName>
    <definedName name="Cash_Flow_Chart" localSheetId="7">#REF!</definedName>
    <definedName name="CCC" localSheetId="4" hidden="1">{#N/A,#N/A,FALSE,"CCTV"}</definedName>
    <definedName name="CCC" localSheetId="5" hidden="1">{#N/A,#N/A,FALSE,"CCTV"}</definedName>
    <definedName name="ccdssc" localSheetId="4">{"'Sheet1'!$L$16"}</definedName>
    <definedName name="ccdssc" localSheetId="5">{"'Sheet1'!$L$16"}</definedName>
    <definedName name="ccdssc_1" localSheetId="4">{"'Sheet1'!$L$16"}</definedName>
    <definedName name="ccdssc_1" localSheetId="5">{"'Sheet1'!$L$16"}</definedName>
    <definedName name="ccdssc_1_1" localSheetId="4">{"'Sheet1'!$L$16"}</definedName>
    <definedName name="ccdssc_1_1" localSheetId="5">{"'Sheet1'!$L$16"}</definedName>
    <definedName name="ccdssc_2" localSheetId="4">{"'Sheet1'!$L$16"}</definedName>
    <definedName name="ccdssc_2" localSheetId="5">{"'Sheet1'!$L$16"}</definedName>
    <definedName name="ccdssc_3" localSheetId="4">{"'Sheet1'!$L$16"}</definedName>
    <definedName name="ccdssc_3" localSheetId="5">{"'Sheet1'!$L$16"}</definedName>
    <definedName name="ccdssc_4" localSheetId="4">{"'Sheet1'!$L$16"}</definedName>
    <definedName name="ccdssc_4" localSheetId="5">{"'Sheet1'!$L$16"}</definedName>
    <definedName name="ccdssc_5" localSheetId="4">{"'Sheet1'!$L$16"}</definedName>
    <definedName name="ccdssc_5" localSheetId="5">{"'Sheet1'!$L$16"}</definedName>
    <definedName name="cf">#REF!</definedName>
    <definedName name="Changes" localSheetId="6">#REF!</definedName>
    <definedName name="Changes">#REF!</definedName>
    <definedName name="ChartFooterText" localSheetId="6">#REF!</definedName>
    <definedName name="ChartFooterText">#REF!</definedName>
    <definedName name="ChartMonthYear" localSheetId="6">#REF!</definedName>
    <definedName name="ChartMonthYear">#REF!</definedName>
    <definedName name="chemical" localSheetId="4" hidden="1">{#N/A,#N/A,FALSE,"CCTV"}</definedName>
    <definedName name="chemical" localSheetId="5" hidden="1">{#N/A,#N/A,FALSE,"CCTV"}</definedName>
    <definedName name="Chemical_Drain" localSheetId="2">#REF!</definedName>
    <definedName name="Chemical_Drain" localSheetId="5">#REF!</definedName>
    <definedName name="Chemical_Drain" localSheetId="6">#REF!</definedName>
    <definedName name="Chemical_Drain" localSheetId="7">#REF!</definedName>
    <definedName name="ChgHdr" localSheetId="2">#REF!</definedName>
    <definedName name="ChgHdr" localSheetId="5">#REF!</definedName>
    <definedName name="ChgHdr" localSheetId="6">#REF!</definedName>
    <definedName name="ChgHdr" localSheetId="7">#REF!</definedName>
    <definedName name="cho" localSheetId="4" hidden="1">{"LKD",#N/A,FALSE,"표지"}</definedName>
    <definedName name="cho" localSheetId="5" hidden="1">{"LKD",#N/A,FALSE,"표지"}</definedName>
    <definedName name="civil2" localSheetId="4" hidden="1">{"'장비'!$A$3:$M$12"}</definedName>
    <definedName name="civil2" localSheetId="5" hidden="1">{"'장비'!$A$3:$M$12"}</definedName>
    <definedName name="co">#REF!</definedName>
    <definedName name="CONN." localSheetId="6">#REF!</definedName>
    <definedName name="CONN.">#REF!</definedName>
    <definedName name="Copyright" hidden="1">"© 1995 Worley Limited"</definedName>
    <definedName name="CopyrightText">#REF!</definedName>
    <definedName name="Core_Drill" localSheetId="2">#REF!</definedName>
    <definedName name="Core_Drill" localSheetId="5">#REF!</definedName>
    <definedName name="Core_Drill" localSheetId="6">#REF!</definedName>
    <definedName name="Core_Drill" localSheetId="7">#REF!</definedName>
    <definedName name="COST" localSheetId="2">#REF!</definedName>
    <definedName name="COST" localSheetId="5">#REF!</definedName>
    <definedName name="COST" localSheetId="6">#REF!</definedName>
    <definedName name="COST" localSheetId="7">#REF!</definedName>
    <definedName name="COUNT" localSheetId="6">#REF!</definedName>
    <definedName name="COUNT">#REF!</definedName>
    <definedName name="CritCapFoundOwners" localSheetId="6">#REF!</definedName>
    <definedName name="CritCapFoundOwners">#REF!</definedName>
    <definedName name="_xlnm.Database">'[6]Exh Branch(8K)(依前購)'!$A$1:$K$38</definedName>
    <definedName name="DATABASE1" localSheetId="2">#REF!</definedName>
    <definedName name="DATABASE1" localSheetId="5">#REF!</definedName>
    <definedName name="DATABASE1" localSheetId="6">#REF!</definedName>
    <definedName name="DATABASE1" localSheetId="7">#REF!</definedName>
    <definedName name="DD" localSheetId="2">#REF!</definedName>
    <definedName name="DD" localSheetId="5">#REF!</definedName>
    <definedName name="DD" localSheetId="6">#REF!</definedName>
    <definedName name="DD" localSheetId="7">#REF!</definedName>
    <definedName name="DD_18" localSheetId="2">#REF!</definedName>
    <definedName name="DD_18" localSheetId="5">#REF!</definedName>
    <definedName name="DD_18" localSheetId="6">#REF!</definedName>
    <definedName name="DD_18" localSheetId="7">#REF!</definedName>
    <definedName name="DD_19" localSheetId="6">#REF!</definedName>
    <definedName name="DD_19">#REF!</definedName>
    <definedName name="DD_26" localSheetId="6">#REF!</definedName>
    <definedName name="DD_26">#REF!</definedName>
    <definedName name="dddd" localSheetId="6">#REF!</definedName>
    <definedName name="dddd">#REF!</definedName>
    <definedName name="DDFD" localSheetId="4" hidden="1">{#N/A,#N/A,FALSE,"CCTV"}</definedName>
    <definedName name="DDFD" localSheetId="5" hidden="1">{#N/A,#N/A,FALSE,"CCTV"}</definedName>
    <definedName name="Dec2A">'[6]Exh Branch(8K)(依前購)'!$Q$12:$Q$23</definedName>
    <definedName name="Dec2B">'[6]Exh Branch(8K)(依前購)'!$Q$24:$Q$38</definedName>
    <definedName name="DecF1">'[6]Exh Branch(8K)(依前購)'!$Q$5:$Q$11</definedName>
    <definedName name="DECWT">'[6]Exh Branch(8K)(依前購)'!$Q$73:$Q$76</definedName>
    <definedName name="dfaf" localSheetId="4" hidden="1">{"'장비'!$A$3:$M$12"}</definedName>
    <definedName name="dfaf" localSheetId="5" hidden="1">{"'장비'!$A$3:$M$12"}</definedName>
    <definedName name="DFR" localSheetId="6">#REF!</definedName>
    <definedName name="DFR" localSheetId="7">#REF!</definedName>
    <definedName name="DGD" localSheetId="4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GD" localSheetId="5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gfgjgj" localSheetId="4" hidden="1">{#N/A,#N/A,FALSE,"CCTV"}</definedName>
    <definedName name="dgfgjgj" localSheetId="5" hidden="1">{#N/A,#N/A,FALSE,"CCTV"}</definedName>
    <definedName name="Dimension" localSheetId="2">#REF!</definedName>
    <definedName name="Dimension" localSheetId="5">#REF!</definedName>
    <definedName name="Dimension" localSheetId="6">#REF!</definedName>
    <definedName name="Dimension" localSheetId="7">#REF!</definedName>
    <definedName name="DN1_1">[19]Data!$AI$4:$AI$12</definedName>
    <definedName name="DN1_2">[19]Data!$AJ$4:$AJ$12</definedName>
    <definedName name="DN1_3">[19]Data!$AK$4:$AK$12</definedName>
    <definedName name="DN1_4">[19]Data!$AL$4:$AL$12</definedName>
    <definedName name="DN1_5">[19]Data!$AM$4:$AM$12</definedName>
    <definedName name="DN1_6">[19]Data!$AN$4:$AN$12</definedName>
    <definedName name="DN1_7">[19]Data!$AO$4:$AO$12</definedName>
    <definedName name="DN2_1">[19]Data!$AI$16:$AI$24</definedName>
    <definedName name="DN2_2">[19]Data!$AJ$16:$AJ$24</definedName>
    <definedName name="DN2_3">[19]Data!$AK$16:$AK$24</definedName>
    <definedName name="DN2_4">[19]Data!$AL$16:$AL$24</definedName>
    <definedName name="DN2_5">[19]Data!$AM$16:$AM$24</definedName>
    <definedName name="DN2_6">[19]Data!$AN$16:$AN$24</definedName>
    <definedName name="DN2_7">[19]Data!$AO$16:$AO$24</definedName>
    <definedName name="Drain" localSheetId="2">#REF!</definedName>
    <definedName name="Drain" localSheetId="5">#REF!</definedName>
    <definedName name="Drain" localSheetId="6">#REF!</definedName>
    <definedName name="Drain" localSheetId="7">#REF!</definedName>
    <definedName name="Drip_Pan" localSheetId="2">#REF!</definedName>
    <definedName name="Drip_Pan" localSheetId="5">#REF!</definedName>
    <definedName name="Drip_Pan" localSheetId="6">#REF!</definedName>
    <definedName name="Drip_Pan" localSheetId="7">#REF!</definedName>
    <definedName name="Electrical" localSheetId="2">#REF!</definedName>
    <definedName name="Electrical" localSheetId="5">#REF!</definedName>
    <definedName name="Electrical" localSheetId="6">#REF!</definedName>
    <definedName name="Electrical" localSheetId="7">#REF!</definedName>
    <definedName name="ER" localSheetId="4" hidden="1">{#N/A,#N/A,FALSE,"CCTV"}</definedName>
    <definedName name="ER" localSheetId="5" hidden="1">{#N/A,#N/A,FALSE,"CCTV"}</definedName>
    <definedName name="ET" localSheetId="4" hidden="1">{#N/A,#N/A,FALSE,"CCTV"}</definedName>
    <definedName name="ET" localSheetId="5" hidden="1">{#N/A,#N/A,FALSE,"CCTV"}</definedName>
    <definedName name="Excel_BuiltIn_Print_Area" localSheetId="2">#REF!</definedName>
    <definedName name="Excel_BuiltIn_Print_Area" localSheetId="5">#REF!</definedName>
    <definedName name="Excel_BuiltIn_Print_Area" localSheetId="6">#REF!</definedName>
    <definedName name="Excel_BuiltIn_Print_Area" localSheetId="7">#REF!</definedName>
    <definedName name="Excel_BuiltIn_Print_Area_1" localSheetId="2">[22]Exhaust!#REF!</definedName>
    <definedName name="Excel_BuiltIn_Print_Area_1" localSheetId="5">[22]Exhaust!#REF!</definedName>
    <definedName name="Excel_BuiltIn_Print_Area_1" localSheetId="6">[22]Exhaust!#REF!</definedName>
    <definedName name="Excel_BuiltIn_Print_Area_1" localSheetId="7">[22]Exhaust!#REF!</definedName>
    <definedName name="Excel_BuiltIn_Print_Area_2" localSheetId="2">[22]VAC!#REF!</definedName>
    <definedName name="Excel_BuiltIn_Print_Area_2" localSheetId="5">[22]VAC!#REF!</definedName>
    <definedName name="Excel_BuiltIn_Print_Area_2" localSheetId="6">[22]VAC!#REF!</definedName>
    <definedName name="Excel_BuiltIn_Print_Area_2" localSheetId="7">[22]VAC!#REF!</definedName>
    <definedName name="Excel_BuiltIn_Print_Area_3">[22]Water!#REF!</definedName>
    <definedName name="Exhaust" localSheetId="2">#REF!</definedName>
    <definedName name="Exhaust" localSheetId="5">#REF!</definedName>
    <definedName name="Exhaust" localSheetId="6">#REF!</definedName>
    <definedName name="Exhaust" localSheetId="7">#REF!</definedName>
    <definedName name="expedite" localSheetId="4" hidden="1">{"'Sheet1'!$A$1:$AE$60","'Sheet1'!$AE$1","'Sheet1'!$A$1:$AE$60"}</definedName>
    <definedName name="expedite" localSheetId="5" hidden="1">{"'Sheet1'!$A$1:$AE$60","'Sheet1'!$AE$1","'Sheet1'!$A$1:$AE$60"}</definedName>
    <definedName name="ExternalData_1" localSheetId="3" hidden="1">'BB &amp; HK &amp; AMHS &amp;Others'!$A$1:$Q$1401</definedName>
    <definedName name="ExternalData_2" localSheetId="11" hidden="1">MICUINT!$A$1:$AH$1428</definedName>
    <definedName name="eyteyt" localSheetId="4" hidden="1">{#N/A,#N/A,FALSE,"CCTV"}</definedName>
    <definedName name="eyteyt" localSheetId="5" hidden="1">{#N/A,#N/A,FALSE,"CCTV"}</definedName>
    <definedName name="F\5" localSheetId="2">#REF!</definedName>
    <definedName name="F\5" localSheetId="5">#REF!</definedName>
    <definedName name="F\5" localSheetId="6">#REF!</definedName>
    <definedName name="F\5" localSheetId="7">#REF!</definedName>
    <definedName name="Fab1A" localSheetId="2">#REF!</definedName>
    <definedName name="Fab1A" localSheetId="5">#REF!</definedName>
    <definedName name="Fab1A" localSheetId="6">#REF!</definedName>
    <definedName name="Fab1A" localSheetId="7">#REF!</definedName>
    <definedName name="Fab1x">'[6]Exh Branch(8K)(依前購)'!$T$5:$T$11</definedName>
    <definedName name="Fab2A">'[6]Exh Branch(8K)(依前購)'!$R$12:$R$23</definedName>
    <definedName name="Fab2Ax">'[6]Exh Branch(8K)(依前購)'!$T$12:$T$23</definedName>
    <definedName name="Fab2B">'[6]Exh Branch(8K)(依前購)'!$R$24:$R$38</definedName>
    <definedName name="Fab2Bx">'[6]Exh Branch(8K)(依前購)'!$T$24:$T$38</definedName>
    <definedName name="Fab3x">'[6]Exh Branch(8K)(依前購)'!$T$39:$T$52</definedName>
    <definedName name="Fab4x">'[6]Exh Branch(8K)(依前購)'!$T$53:$T$62</definedName>
    <definedName name="Fab5x">'[6]Exh Branch(8K)(依前購)'!$T$63:$T$72</definedName>
    <definedName name="Fab6PRPO_Sheet1_List" localSheetId="2">#REF!</definedName>
    <definedName name="Fab6PRPO_Sheet1_List" localSheetId="5">#REF!</definedName>
    <definedName name="Fab6PRPO_Sheet1_List" localSheetId="6">#REF!</definedName>
    <definedName name="Fab6PRPO_Sheet1_List" localSheetId="7">#REF!</definedName>
    <definedName name="fac" localSheetId="2">#REF!</definedName>
    <definedName name="fac" localSheetId="5">#REF!</definedName>
    <definedName name="fac" localSheetId="6">#REF!</definedName>
    <definedName name="fac" localSheetId="7">#REF!</definedName>
    <definedName name="fddfhdfhdgh" localSheetId="4" hidden="1">{#N/A,#N/A,FALSE,"CCTV"}</definedName>
    <definedName name="fddfhdfhdgh" localSheetId="5" hidden="1">{#N/A,#N/A,FALSE,"CCTV"}</definedName>
    <definedName name="fdf" localSheetId="4" hidden="1">{#N/A,#N/A,FALSE,"CCTV"}</definedName>
    <definedName name="fdf" localSheetId="5" hidden="1">{#N/A,#N/A,FALSE,"CCTV"}</definedName>
    <definedName name="FDFDF" localSheetId="4" hidden="1">{#N/A,#N/A,FALSE,"CCTV"}</definedName>
    <definedName name="FDFDF" localSheetId="5" hidden="1">{#N/A,#N/A,FALSE,"CCTV"}</definedName>
    <definedName name="FDSA" localSheetId="4" hidden="1">{#N/A,#N/A,FALSE,"CCTV"}</definedName>
    <definedName name="FDSA" localSheetId="5" hidden="1">{#N/A,#N/A,FALSE,"CCTV"}</definedName>
    <definedName name="Feb2A">'[6]Exh Branch(8K)(依前購)'!$G$12:$G$23</definedName>
    <definedName name="Feb2B">'[6]Exh Branch(8K)(依前購)'!$G$24:$G$38</definedName>
    <definedName name="FebF1">'[6]Exh Branch(8K)(依前購)'!$G$5:$G$11</definedName>
    <definedName name="FEBWT">'[6]Exh Branch(8K)(依前購)'!$G$73:$G$76</definedName>
    <definedName name="FF">[1]標單!#REF!</definedName>
    <definedName name="fff" localSheetId="2">#REF!</definedName>
    <definedName name="fff" localSheetId="5">#REF!</definedName>
    <definedName name="fff" localSheetId="6">#REF!</definedName>
    <definedName name="fff" localSheetId="7">#REF!</definedName>
    <definedName name="FFFFF" localSheetId="4" hidden="1">{#N/A,#N/A,FALSE,"CCTV"}</definedName>
    <definedName name="FFFFF" localSheetId="5" hidden="1">{#N/A,#N/A,FALSE,"CCTV"}</definedName>
    <definedName name="ffffff" localSheetId="4" hidden="1">{#N/A,#N/A,FALSE,"CCTV"}</definedName>
    <definedName name="ffffff" localSheetId="5" hidden="1">{#N/A,#N/A,FALSE,"CCTV"}</definedName>
    <definedName name="FGF" localSheetId="4" hidden="1">{#N/A,#N/A,FALSE,"CCTV"}</definedName>
    <definedName name="FGF" localSheetId="5" hidden="1">{#N/A,#N/A,FALSE,"CCTV"}</definedName>
    <definedName name="fhgjfghfghgf" localSheetId="4" hidden="1">{#N/A,#N/A,FALSE,"CCTV"}</definedName>
    <definedName name="fhgjfghfghgf" localSheetId="5" hidden="1">{#N/A,#N/A,FALSE,"CCTV"}</definedName>
    <definedName name="Foundation" localSheetId="2">#REF!</definedName>
    <definedName name="Foundation" localSheetId="5">#REF!</definedName>
    <definedName name="Foundation" localSheetId="6">#REF!</definedName>
    <definedName name="Foundation" localSheetId="7">#REF!</definedName>
    <definedName name="FRP" localSheetId="2">#REF!</definedName>
    <definedName name="FRP" localSheetId="5">#REF!</definedName>
    <definedName name="FRP" localSheetId="6">#REF!</definedName>
    <definedName name="FRP" localSheetId="7">#REF!</definedName>
    <definedName name="FSCDB" localSheetId="2">#REF!</definedName>
    <definedName name="FSCDB" localSheetId="5">#REF!</definedName>
    <definedName name="FSCDB" localSheetId="6">#REF!</definedName>
    <definedName name="FSCDB" localSheetId="7">#REF!</definedName>
    <definedName name="FSODB" localSheetId="6">#REF!</definedName>
    <definedName name="FSODB">#REF!</definedName>
    <definedName name="fuck">'[6]Exh Branch(8K)(依前購)'!$A$1:$K$27</definedName>
    <definedName name="Gas" localSheetId="2">#REF!</definedName>
    <definedName name="Gas" localSheetId="5">#REF!</definedName>
    <definedName name="Gas" localSheetId="6">#REF!</definedName>
    <definedName name="Gas" localSheetId="7">#REF!</definedName>
    <definedName name="GDFG" localSheetId="4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DFG" localSheetId="5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DG" localSheetId="4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DG" localSheetId="5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eomTable" localSheetId="2">OFFSET(#REF!,1,0,COUNTA(#REF!),4)</definedName>
    <definedName name="GeomTable" localSheetId="5">OFFSET(#REF!,1,0,COUNTA(#REF!),4)</definedName>
    <definedName name="GeomTable" localSheetId="6">OFFSET(#REF!,1,0,COUNTA(#REF!),4)</definedName>
    <definedName name="GeomTable" localSheetId="7">OFFSET(#REF!,1,0,COUNTA(#REF!),4)</definedName>
    <definedName name="GFDS" localSheetId="4" hidden="1">{#N/A,#N/A,FALSE,"CCTV"}</definedName>
    <definedName name="GFDS" localSheetId="5" hidden="1">{#N/A,#N/A,FALSE,"CCTV"}</definedName>
    <definedName name="GFG" localSheetId="4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FG" localSheetId="5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fjgfh" localSheetId="4" hidden="1">{#N/A,#N/A,FALSE,"CCTV"}</definedName>
    <definedName name="gfjgfh" localSheetId="5" hidden="1">{#N/A,#N/A,FALSE,"CCTV"}</definedName>
    <definedName name="gfjgfhfg" localSheetId="4" hidden="1">{#N/A,#N/A,FALSE,"CCTV"}</definedName>
    <definedName name="gfjgfhfg" localSheetId="5" hidden="1">{#N/A,#N/A,FALSE,"CCTV"}</definedName>
    <definedName name="ggg" localSheetId="2">#REF!</definedName>
    <definedName name="ggg" localSheetId="5">#REF!</definedName>
    <definedName name="ggg" localSheetId="6">#REF!</definedName>
    <definedName name="ggg" localSheetId="7">#REF!</definedName>
    <definedName name="HF11_EL_PLF_01_EI01" localSheetId="2">#REF!</definedName>
    <definedName name="HF11_EL_PLF_01_EI01" localSheetId="5">#REF!</definedName>
    <definedName name="HF11_EL_PLF_01_EI01" localSheetId="6">#REF!</definedName>
    <definedName name="HF11_EL_PLF_01_EI01" localSheetId="7">#REF!</definedName>
    <definedName name="hfdgfdg" localSheetId="4" hidden="1">{#N/A,#N/A,FALSE,"CCTV"}</definedName>
    <definedName name="hfdgfdg" localSheetId="5" hidden="1">{#N/A,#N/A,FALSE,"CCTV"}</definedName>
    <definedName name="hfjhhjj" localSheetId="4" hidden="1">{#N/A,#N/A,FALSE,"CCTV"}</definedName>
    <definedName name="hfjhhjj" localSheetId="5" hidden="1">{#N/A,#N/A,FALSE,"CCTV"}</definedName>
    <definedName name="hgjfgh" localSheetId="4" hidden="1">{#N/A,#N/A,FALSE,"CCTV"}</definedName>
    <definedName name="hgjfgh" localSheetId="5" hidden="1">{#N/A,#N/A,FALSE,"CCTV"}</definedName>
    <definedName name="hgjgfhgh" localSheetId="4" hidden="1">{#N/A,#N/A,FALSE,"CCTV"}</definedName>
    <definedName name="hgjgfhgh" localSheetId="5" hidden="1">{#N/A,#N/A,FALSE,"CCTV"}</definedName>
    <definedName name="hh" localSheetId="4" hidden="1">{#N/A,#N/A,FALSE,"CCTV"}</definedName>
    <definedName name="hh" localSheetId="5" hidden="1">{#N/A,#N/A,FALSE,"CCTV"}</definedName>
    <definedName name="HHH" localSheetId="4" hidden="1">{#N/A,#N/A,FALSE,"CCTV"}</definedName>
    <definedName name="HHH" localSheetId="5" hidden="1">{#N/A,#N/A,FALSE,"CCTV"}</definedName>
    <definedName name="HTML" localSheetId="4" hidden="1">{"'Sheet1'!$L$16"}</definedName>
    <definedName name="HTML" localSheetId="5" hidden="1">{"'Sheet1'!$L$16"}</definedName>
    <definedName name="HTML__Control" localSheetId="4" hidden="1">{"'Sheet1'!$L$16"}</definedName>
    <definedName name="HTML__Control" localSheetId="5" hidden="1">{"'Sheet1'!$L$16"}</definedName>
    <definedName name="HTML_AAA" localSheetId="4">{"'Sheet1'!$L$16"}</definedName>
    <definedName name="HTML_AAA" localSheetId="5">{"'Sheet1'!$L$16"}</definedName>
    <definedName name="HTML_AAA_1" localSheetId="4">{"'Sheet1'!$L$16"}</definedName>
    <definedName name="HTML_AAA_1" localSheetId="5">{"'Sheet1'!$L$16"}</definedName>
    <definedName name="HTML_AAA_1_1" localSheetId="4">{"'Sheet1'!$L$16"}</definedName>
    <definedName name="HTML_AAA_1_1" localSheetId="5">{"'Sheet1'!$L$16"}</definedName>
    <definedName name="HTML_AAA_2" localSheetId="4">{"'Sheet1'!$L$16"}</definedName>
    <definedName name="HTML_AAA_2" localSheetId="5">{"'Sheet1'!$L$16"}</definedName>
    <definedName name="HTML_AAA_3" localSheetId="4">{"'Sheet1'!$L$16"}</definedName>
    <definedName name="HTML_AAA_3" localSheetId="5">{"'Sheet1'!$L$16"}</definedName>
    <definedName name="HTML_AAA_4" localSheetId="4">{"'Sheet1'!$L$16"}</definedName>
    <definedName name="HTML_AAA_4" localSheetId="5">{"'Sheet1'!$L$16"}</definedName>
    <definedName name="HTML_AAA_5" localSheetId="4">{"'Sheet1'!$L$16"}</definedName>
    <definedName name="HTML_AAA_5" localSheetId="5">{"'Sheet1'!$L$16"}</definedName>
    <definedName name="HTML_CodePage" hidden="1">950</definedName>
    <definedName name="HTML_Control" localSheetId="4">{"'Sheet1'!$L$16"}</definedName>
    <definedName name="HTML_Control" localSheetId="5">{"'Sheet1'!$L$16"}</definedName>
    <definedName name="HTML_Control_1" localSheetId="4">{"'Sheet1'!$L$16"}</definedName>
    <definedName name="HTML_Control_1" localSheetId="5">{"'Sheet1'!$L$16"}</definedName>
    <definedName name="HTML_Control_1_1" localSheetId="4">{"'Sheet1'!$L$16"}</definedName>
    <definedName name="HTML_Control_1_1" localSheetId="5">{"'Sheet1'!$L$16"}</definedName>
    <definedName name="HTML_Control_2" localSheetId="4">{"'Sheet1'!$L$16"}</definedName>
    <definedName name="HTML_Control_2" localSheetId="5">{"'Sheet1'!$L$16"}</definedName>
    <definedName name="HTML_Control_3" localSheetId="4">{"'Sheet1'!$L$16"}</definedName>
    <definedName name="HTML_Control_3" localSheetId="5">{"'Sheet1'!$L$16"}</definedName>
    <definedName name="HTML_Control_4" localSheetId="4">{"'Sheet1'!$L$16"}</definedName>
    <definedName name="HTML_Control_4" localSheetId="5">{"'Sheet1'!$L$16"}</definedName>
    <definedName name="HTML_Control_5" localSheetId="4">{"'Sheet1'!$L$16"}</definedName>
    <definedName name="HTML_Control_5" localSheetId="5">{"'Sheet1'!$L$16"}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Title" hidden="1">"00Q3961-SUM"</definedName>
    <definedName name="HTML1" localSheetId="4" hidden="1">{"'Sheet1'!$L$16"}</definedName>
    <definedName name="HTML1" localSheetId="5" hidden="1">{"'Sheet1'!$L$16"}</definedName>
    <definedName name="huy" localSheetId="4" hidden="1">{"'Sheet1'!$L$16"}</definedName>
    <definedName name="huy" localSheetId="5" hidden="1">{"'Sheet1'!$L$16"}</definedName>
    <definedName name="ID" localSheetId="6">#REF!</definedName>
    <definedName name="ID" localSheetId="7">#REF!</definedName>
    <definedName name="ID_18" localSheetId="6">#REF!</definedName>
    <definedName name="ID_18">#REF!</definedName>
    <definedName name="ID_19" localSheetId="6">#REF!</definedName>
    <definedName name="ID_19">#REF!</definedName>
    <definedName name="ID_26" localSheetId="6">#REF!</definedName>
    <definedName name="ID_26">#REF!</definedName>
    <definedName name="idkb754" localSheetId="4" hidden="1">{"INST_DPG",#N/A,FALSE,"INST"}</definedName>
    <definedName name="idkb754" localSheetId="5" hidden="1">{"INST_DPG",#N/A,FALSE,"INST"}</definedName>
    <definedName name="iiouolkll" localSheetId="4" hidden="1">{#N/A,#N/A,FALSE,"CCTV"}</definedName>
    <definedName name="iiouolkll" localSheetId="5" hidden="1">{#N/A,#N/A,FALSE,"CCTV"}</definedName>
    <definedName name="Jan2A">'[6]Exh Branch(8K)(依前購)'!$F$12:$F$23</definedName>
    <definedName name="Jan2B">'[6]Exh Branch(8K)(依前購)'!$F$24:$F$38</definedName>
    <definedName name="JanF1">'[6]Exh Branch(8K)(依前購)'!$F$5:$F$11</definedName>
    <definedName name="JanWT">'[6]Exh Branch(8K)(依前購)'!$F$73:$F$76</definedName>
    <definedName name="jhhhh" localSheetId="4" hidden="1">{#N/A,#N/A,FALSE,"CCTV"}</definedName>
    <definedName name="jhhhh" localSheetId="5" hidden="1">{#N/A,#N/A,FALSE,"CCTV"}</definedName>
    <definedName name="jsy">"文字 10"</definedName>
    <definedName name="Jul2A">'[6]Exh Branch(8K)(依前購)'!$L$12:$L$23</definedName>
    <definedName name="Jul2B">'[6]Exh Branch(8K)(依前購)'!$L$24:$L$38</definedName>
    <definedName name="JulF1">'[6]Exh Branch(8K)(依前購)'!$L$5:$L$11</definedName>
    <definedName name="JULWT">'[6]Exh Branch(8K)(依前購)'!$L$73:$L$76</definedName>
    <definedName name="Jun2A">'[6]Exh Branch(8K)(依前購)'!$K$12:$K$23</definedName>
    <definedName name="Jun2B">'[6]Exh Branch(8K)(依前購)'!$K$24:$K$38</definedName>
    <definedName name="JunF1">'[6]Exh Branch(8K)(依前購)'!$K$5:$K$11</definedName>
    <definedName name="JUNWT">'[6]Exh Branch(8K)(依前購)'!$K$73:$K$76</definedName>
    <definedName name="k" localSheetId="2" hidden="1">#REF!</definedName>
    <definedName name="k" localSheetId="5" hidden="1">#REF!</definedName>
    <definedName name="k" localSheetId="6" hidden="1">#REF!</definedName>
    <definedName name="k" localSheetId="7" hidden="1">#REF!</definedName>
    <definedName name="kghlgh" localSheetId="4" hidden="1">{#N/A,#N/A,FALSE,"CCTV"}</definedName>
    <definedName name="kghlgh" localSheetId="5" hidden="1">{#N/A,#N/A,FALSE,"CCTV"}</definedName>
    <definedName name="kiulil" localSheetId="4" hidden="1">{#N/A,#N/A,FALSE,"CCTV"}</definedName>
    <definedName name="kiulil" localSheetId="5" hidden="1">{#N/A,#N/A,FALSE,"CCTV"}</definedName>
    <definedName name="kjhlh" localSheetId="4" hidden="1">{#N/A,#N/A,FALSE,"CCTV"}</definedName>
    <definedName name="kjhlh" localSheetId="5" hidden="1">{#N/A,#N/A,FALSE,"CCTV"}</definedName>
    <definedName name="kjhljhk" localSheetId="4" hidden="1">{#N/A,#N/A,FALSE,"CCTV"}</definedName>
    <definedName name="kjhljhk" localSheetId="5" hidden="1">{#N/A,#N/A,FALSE,"CCTV"}</definedName>
    <definedName name="l" localSheetId="6">[23]標單!#REF!</definedName>
    <definedName name="l" localSheetId="7">[23]標單!#REF!</definedName>
    <definedName name="L_1" localSheetId="6">[2]演奏廳各期計價!#REF!</definedName>
    <definedName name="L_1" localSheetId="7">[2]演奏廳各期計價!#REF!</definedName>
    <definedName name="L_2" localSheetId="6">[2]演奏廳各期計價!#REF!</definedName>
    <definedName name="L_2" localSheetId="7">[2]演奏廳各期計價!#REF!</definedName>
    <definedName name="L_3">#N/A</definedName>
    <definedName name="L_4" localSheetId="2">#REF!</definedName>
    <definedName name="L_4" localSheetId="5">#REF!</definedName>
    <definedName name="L_4" localSheetId="6">#REF!</definedName>
    <definedName name="L_4" localSheetId="7">#REF!</definedName>
    <definedName name="L_5" localSheetId="2">#REF!</definedName>
    <definedName name="L_5" localSheetId="5">#REF!</definedName>
    <definedName name="L_5" localSheetId="6">#REF!</definedName>
    <definedName name="L_5" localSheetId="7">#REF!</definedName>
    <definedName name="L1_1">[19]Data!$R$4:$R$12</definedName>
    <definedName name="L1_2">[19]Data!$S$4:$S$12</definedName>
    <definedName name="L1_3">[19]Data!$T$4:$T$12</definedName>
    <definedName name="L2_1">[19]Data!$R$16:$R$24</definedName>
    <definedName name="L2_2">[19]Data!$S$16:$S$24</definedName>
    <definedName name="L2_3">[19]Data!$T$16:$T$24</definedName>
    <definedName name="Labor" localSheetId="2">#REF!</definedName>
    <definedName name="Labor" localSheetId="5">#REF!</definedName>
    <definedName name="Labor" localSheetId="6">#REF!</definedName>
    <definedName name="Labor" localSheetId="7">#REF!</definedName>
    <definedName name="LIQUID" localSheetId="2">#REF!</definedName>
    <definedName name="LIQUID" localSheetId="5">#REF!</definedName>
    <definedName name="LIQUID" localSheetId="6">#REF!</definedName>
    <definedName name="LIQUID" localSheetId="7">#REF!</definedName>
    <definedName name="lklhlkjl" localSheetId="4" hidden="1">{#N/A,#N/A,FALSE,"CCTV"}</definedName>
    <definedName name="lklhlkjl" localSheetId="5" hidden="1">{#N/A,#N/A,FALSE,"CCTV"}</definedName>
    <definedName name="LUB" localSheetId="4" hidden="1">{"'Sheet1'!$A$1:$AE$60","'Sheet1'!$AE$1","'Sheet1'!$A$1:$AE$60"}</definedName>
    <definedName name="LUB" localSheetId="5" hidden="1">{"'Sheet1'!$A$1:$AE$60","'Sheet1'!$AE$1","'Sheet1'!$A$1:$AE$60"}</definedName>
    <definedName name="M">'[24]1998'!$P$73:$P$76</definedName>
    <definedName name="M_CLASSIFY1_Cost_0" localSheetId="2">#REF!</definedName>
    <definedName name="M_CLASSIFY1_Cost_0" localSheetId="5">#REF!</definedName>
    <definedName name="M_CLASSIFY1_Cost_0" localSheetId="6">#REF!</definedName>
    <definedName name="M_CLASSIFY1_Cost_0" localSheetId="7">#REF!</definedName>
    <definedName name="M_CLASSIFY1_Cost_1" localSheetId="2">#REF!</definedName>
    <definedName name="M_CLASSIFY1_Cost_1" localSheetId="5">#REF!</definedName>
    <definedName name="M_CLASSIFY1_Cost_1" localSheetId="6">#REF!</definedName>
    <definedName name="M_CLASSIFY1_Cost_1" localSheetId="7">#REF!</definedName>
    <definedName name="M_CLASSIFY2_Cost_0" localSheetId="2">#REF!</definedName>
    <definedName name="M_CLASSIFY2_Cost_0" localSheetId="5">#REF!</definedName>
    <definedName name="M_CLASSIFY2_Cost_0" localSheetId="6">#REF!</definedName>
    <definedName name="M_CLASSIFY2_Cost_0" localSheetId="7">#REF!</definedName>
    <definedName name="M_CLASSIFY2_Cost_1" localSheetId="6">#REF!</definedName>
    <definedName name="M_CLASSIFY2_Cost_1">#REF!</definedName>
    <definedName name="M_CLASSIFY3_Cost_0" localSheetId="6">#REF!</definedName>
    <definedName name="M_CLASSIFY3_Cost_0">#REF!</definedName>
    <definedName name="M_CLASSIFY4_Cost_0" localSheetId="6">#REF!</definedName>
    <definedName name="M_CLASSIFY4_Cost_0">#REF!</definedName>
    <definedName name="M1_1">[19]Data!$D$4:$D$12</definedName>
    <definedName name="M1_2">[19]Data!$E$4:$E$12</definedName>
    <definedName name="M1_3">[19]Data!$F$4:$F$12</definedName>
    <definedName name="M1_4">[19]Data!$G$4:$G$12</definedName>
    <definedName name="M1_5">[19]Data!$H$4:$H$12</definedName>
    <definedName name="M2_1">[19]Data!$D$16:$D$24</definedName>
    <definedName name="M2_2">[19]Data!$E$16:$E$24</definedName>
    <definedName name="M2_3">[19]Data!$F$16:$F$24</definedName>
    <definedName name="M2_4">[19]Data!$G$16:$G$24</definedName>
    <definedName name="M2_5">[19]Data!$H$16:$H$24</definedName>
    <definedName name="MAKER" localSheetId="2">#REF!</definedName>
    <definedName name="MAKER" localSheetId="5">#REF!</definedName>
    <definedName name="MAKER" localSheetId="6">#REF!</definedName>
    <definedName name="MAKER" localSheetId="7">#REF!</definedName>
    <definedName name="Mar2A">'[6]Exh Branch(8K)(依前購)'!$H$12:$H$23</definedName>
    <definedName name="Mar2B">'[6]Exh Branch(8K)(依前購)'!$H$24:$H$38</definedName>
    <definedName name="MarF1">'[6]Exh Branch(8K)(依前購)'!$H$5:$H$11</definedName>
    <definedName name="MARWT">'[6]Exh Branch(8K)(依前購)'!$H$73:$H$76</definedName>
    <definedName name="MAT_L" localSheetId="2">#REF!</definedName>
    <definedName name="MAT_L" localSheetId="5">#REF!</definedName>
    <definedName name="MAT_L" localSheetId="6">#REF!</definedName>
    <definedName name="MAT_L" localSheetId="7">#REF!</definedName>
    <definedName name="May2A">'[6]Exh Branch(8K)(依前購)'!$J$12:$J$23</definedName>
    <definedName name="May2B">'[6]Exh Branch(8K)(依前購)'!$J$24:$J$38</definedName>
    <definedName name="MayF1">'[6]Exh Branch(8K)(依前購)'!$J$5:$J$11</definedName>
    <definedName name="MAYWT">'[6]Exh Branch(8K)(依前購)'!$J$73:$J$76</definedName>
    <definedName name="Method" localSheetId="2">[25]QueryParam!$G$8</definedName>
    <definedName name="Method" localSheetId="5">[25]QueryParam!$G$8</definedName>
    <definedName name="Method" localSheetId="6">[26]QueryParam!$G$8</definedName>
    <definedName name="Method" localSheetId="7">[25]QueryParam!$G$8</definedName>
    <definedName name="mix">[27]Mix!$E$3:$F$12</definedName>
    <definedName name="MLS">[1]標單!#REF!</definedName>
    <definedName name="mmmmm" localSheetId="4" hidden="1">{#N/A,#N/A,FALSE,"CCTV"}</definedName>
    <definedName name="mmmmm" localSheetId="5" hidden="1">{#N/A,#N/A,FALSE,"CCTV"}</definedName>
    <definedName name="MODE" localSheetId="2">#REF!</definedName>
    <definedName name="MODE" localSheetId="5">#REF!</definedName>
    <definedName name="MODE" localSheetId="6">#REF!</definedName>
    <definedName name="MODE" localSheetId="7">#REF!</definedName>
    <definedName name="Motor_power_list">'[28]Motor Power List'!$A$2:$F$35</definedName>
    <definedName name="n" localSheetId="2" hidden="1">#REF!</definedName>
    <definedName name="n" localSheetId="5" hidden="1">#REF!</definedName>
    <definedName name="n" localSheetId="6" hidden="1">#REF!</definedName>
    <definedName name="n" localSheetId="7" hidden="1">#REF!</definedName>
    <definedName name="NEW">'[6]Exh Branch(8K)(依前購)'!$C:$F</definedName>
    <definedName name="NEWNAME" localSheetId="4" hidden="1">{#N/A,#N/A,FALSE,"CCTV"}</definedName>
    <definedName name="NEWNAME" localSheetId="5" hidden="1">{#N/A,#N/A,FALSE,"CCTV"}</definedName>
    <definedName name="nkknk" localSheetId="4" hidden="1">{#N/A,#N/A,FALSE,"CCTV"}</definedName>
    <definedName name="nkknk" localSheetId="5" hidden="1">{#N/A,#N/A,FALSE,"CCTV"}</definedName>
    <definedName name="NLP" localSheetId="4" hidden="1">{"INST_WPE1",#N/A,FALSE,"SUMMARY-INSTS"}</definedName>
    <definedName name="NLP" localSheetId="5" hidden="1">{"INST_WPE1",#N/A,FALSE,"SUMMARY-INSTS"}</definedName>
    <definedName name="Nov2A">'[6]Exh Branch(8K)(依前購)'!$P$12:$P$23</definedName>
    <definedName name="Nov2B">'[6]Exh Branch(8K)(依前購)'!$P$24:$P$38</definedName>
    <definedName name="NovF1">'[6]Exh Branch(8K)(依前購)'!$P$5:$P$11</definedName>
    <definedName name="NOVWT">'[6]Exh Branch(8K)(依前購)'!$P$73:$P$76</definedName>
    <definedName name="O" localSheetId="4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O" localSheetId="5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Oct2A">'[6]Exh Branch(8K)(依前購)'!$O$12:$O$23</definedName>
    <definedName name="Oct2B">'[6]Exh Branch(8K)(依前購)'!$O$24:$O$38</definedName>
    <definedName name="OctF1">'[6]Exh Branch(8K)(依前購)'!$O$5:$O$11</definedName>
    <definedName name="OCTWT">'[6]Exh Branch(8K)(依前購)'!$O$73:$O$76</definedName>
    <definedName name="ODH" localSheetId="2" hidden="1">#REF!</definedName>
    <definedName name="ODH" localSheetId="5" hidden="1">#REF!</definedName>
    <definedName name="ODH" localSheetId="6" hidden="1">#REF!</definedName>
    <definedName name="ODH" localSheetId="7" hidden="1">#REF!</definedName>
    <definedName name="oililui" localSheetId="4" hidden="1">{#N/A,#N/A,FALSE,"CCTV"}</definedName>
    <definedName name="oililui" localSheetId="5" hidden="1">{#N/A,#N/A,FALSE,"CCTV"}</definedName>
    <definedName name="oooii" localSheetId="2">#REF!</definedName>
    <definedName name="oooii" localSheetId="5">#REF!</definedName>
    <definedName name="oooii" localSheetId="6">#REF!</definedName>
    <definedName name="oooii" localSheetId="7">#REF!</definedName>
    <definedName name="oooo" localSheetId="2">#REF!</definedName>
    <definedName name="oooo" localSheetId="5">#REF!</definedName>
    <definedName name="oooo" localSheetId="6">#REF!</definedName>
    <definedName name="oooo" localSheetId="7">#REF!</definedName>
    <definedName name="Option_T23502_Estimate" localSheetId="4" hidden="1">{"'Sheet1'!$L$16"}</definedName>
    <definedName name="Option_T23502_Estimate" localSheetId="5" hidden="1">{"'Sheet1'!$L$16"}</definedName>
    <definedName name="OSBL" localSheetId="4" hidden="1">{#N/A,#N/A,FALSE,"CCTV"}</definedName>
    <definedName name="OSBL" localSheetId="5" hidden="1">{#N/A,#N/A,FALSE,"CCTV"}</definedName>
    <definedName name="OutputCapFoundOwners" localSheetId="2">#REF!</definedName>
    <definedName name="OutputCapFoundOwners" localSheetId="5">#REF!</definedName>
    <definedName name="OutputCapFoundOwners" localSheetId="6">#REF!</definedName>
    <definedName name="OutputCapFoundOwners" localSheetId="7">#REF!</definedName>
    <definedName name="p" localSheetId="2">[23]標單!#REF!</definedName>
    <definedName name="p" localSheetId="5">[23]標單!#REF!</definedName>
    <definedName name="p" localSheetId="6">[23]標單!#REF!</definedName>
    <definedName name="p" localSheetId="7">[23]標單!#REF!</definedName>
    <definedName name="P_1" localSheetId="2">#REF!</definedName>
    <definedName name="P_1" localSheetId="5">#REF!</definedName>
    <definedName name="P_1" localSheetId="6">#REF!</definedName>
    <definedName name="P_1" localSheetId="7">#REF!</definedName>
    <definedName name="P_2" localSheetId="2">#REF!</definedName>
    <definedName name="P_2" localSheetId="5">#REF!</definedName>
    <definedName name="P_2" localSheetId="6">#REF!</definedName>
    <definedName name="P_2" localSheetId="7">#REF!</definedName>
    <definedName name="P_Main" localSheetId="2">#REF!</definedName>
    <definedName name="P_Main" localSheetId="5">#REF!</definedName>
    <definedName name="P_Main" localSheetId="6">#REF!</definedName>
    <definedName name="P_Main" localSheetId="7">#REF!</definedName>
    <definedName name="P1_1">[19]Data!$O$4:$O$12</definedName>
    <definedName name="P1_2">[19]Data!$P$4:$P$12</definedName>
    <definedName name="P1_3">[19]Data!$Q$4:$Q$12</definedName>
    <definedName name="P2_1">[19]Data!$O$16:$O$24</definedName>
    <definedName name="P2_2">[19]Data!$P$16:$P$24</definedName>
    <definedName name="P2_3">[19]Data!$Q$16:$Q$24</definedName>
    <definedName name="PCW" localSheetId="2">#REF!</definedName>
    <definedName name="PCW" localSheetId="5">#REF!</definedName>
    <definedName name="PCW" localSheetId="6">#REF!</definedName>
    <definedName name="PCW" localSheetId="7">#REF!</definedName>
    <definedName name="peroxide" localSheetId="4" hidden="1">{#N/A,#N/A,FALSE,"CCTV"}</definedName>
    <definedName name="peroxide" localSheetId="5" hidden="1">{#N/A,#N/A,FALSE,"CCTV"}</definedName>
    <definedName name="PJ_Eq_MoveIn_Summary" localSheetId="2">#REF!</definedName>
    <definedName name="PJ_Eq_MoveIn_Summary" localSheetId="5">#REF!</definedName>
    <definedName name="PJ_Eq_MoveIn_Summary" localSheetId="6">#REF!</definedName>
    <definedName name="PJ_Eq_MoveIn_Summary" localSheetId="7">#REF!</definedName>
    <definedName name="PM" localSheetId="2">#REF!</definedName>
    <definedName name="PM" localSheetId="5">#REF!</definedName>
    <definedName name="PM" localSheetId="6">#REF!</definedName>
    <definedName name="PM" localSheetId="7">#REF!</definedName>
    <definedName name="Power">'[28]Motor Power List'!$A$2:$F$35</definedName>
    <definedName name="PPP" localSheetId="4" hidden="1">{#N/A,#N/A,FALSE,"CCTV"}</definedName>
    <definedName name="PPP" localSheetId="5" hidden="1">{#N/A,#N/A,FALSE,"CCTV"}</definedName>
    <definedName name="PRAYER" localSheetId="4" hidden="1">{#N/A,#N/A,FALSE,"CCTV"}</definedName>
    <definedName name="PRAYER" localSheetId="5" hidden="1">{#N/A,#N/A,FALSE,"CCTV"}</definedName>
    <definedName name="PRES." localSheetId="2">#REF!</definedName>
    <definedName name="PRES." localSheetId="5">#REF!</definedName>
    <definedName name="PRES." localSheetId="6">#REF!</definedName>
    <definedName name="PRES." localSheetId="7">#REF!</definedName>
    <definedName name="_xlnm.Print_Area" localSheetId="4">'AR &amp; AP Real 0804'!$E$1:$K$202</definedName>
    <definedName name="_xlnm.Print_Area" localSheetId="2">#REF!</definedName>
    <definedName name="_xlnm.Print_Area" localSheetId="5">#REF!</definedName>
    <definedName name="_xlnm.Print_Area" localSheetId="6">#REF!</definedName>
    <definedName name="_xlnm.Print_Area" localSheetId="7">#REF!</definedName>
    <definedName name="_xlnm.Print_Area">#REF!</definedName>
    <definedName name="PRINT_AREA_MI" localSheetId="2">#REF!</definedName>
    <definedName name="PRINT_AREA_MI" localSheetId="5">#REF!</definedName>
    <definedName name="PRINT_AREA_MI" localSheetId="6">#REF!</definedName>
    <definedName name="PRINT_AREA_MI" localSheetId="7">#REF!</definedName>
    <definedName name="print_titiles" localSheetId="2">#REF!</definedName>
    <definedName name="print_titiles" localSheetId="5">#REF!</definedName>
    <definedName name="print_titiles" localSheetId="6">#REF!</definedName>
    <definedName name="print_titiles" localSheetId="7">#REF!</definedName>
    <definedName name="_xlnm.Print_Titles" localSheetId="4">'AR &amp; AP Real 0804'!$1:$1</definedName>
    <definedName name="_xlnm.Print_Titles" localSheetId="2">#REF!</definedName>
    <definedName name="_xlnm.Print_Titles" localSheetId="5">#REF!</definedName>
    <definedName name="_xlnm.Print_Titles" localSheetId="6">#REF!</definedName>
    <definedName name="_xlnm.Print_Titles" localSheetId="7">#REF!</definedName>
    <definedName name="_xlnm.Print_Titles">#REF!</definedName>
    <definedName name="PrintDate" localSheetId="2">#REF!</definedName>
    <definedName name="PrintDate" localSheetId="5">#REF!</definedName>
    <definedName name="PrintDate" localSheetId="6">#REF!</definedName>
    <definedName name="PrintDate" localSheetId="7">#REF!</definedName>
    <definedName name="PrintDate2" localSheetId="2">#REF!</definedName>
    <definedName name="PrintDate2" localSheetId="5">#REF!</definedName>
    <definedName name="PrintDate2" localSheetId="6">#REF!</definedName>
    <definedName name="PrintDate2" localSheetId="7">#REF!</definedName>
    <definedName name="PrintDate3" localSheetId="6">#REF!</definedName>
    <definedName name="PrintDate3">#REF!</definedName>
    <definedName name="Process_Capa">'[29]L7A Capa'!$I$2:$I$8,'[29]L7A Capa'!$I$11:$I$18</definedName>
    <definedName name="ProdConvFmlas" localSheetId="2">#REF!</definedName>
    <definedName name="ProdConvFmlas" localSheetId="5">#REF!</definedName>
    <definedName name="ProdConvFmlas" localSheetId="6">#REF!</definedName>
    <definedName name="ProdConvFmlas" localSheetId="7">#REF!</definedName>
    <definedName name="ProdTypeConvTbl" localSheetId="2">OFFSET(#REF!,1,0,COUNTA(#REF!),5)</definedName>
    <definedName name="ProdTypeConvTbl" localSheetId="5">OFFSET(#REF!,1,0,COUNTA(#REF!),5)</definedName>
    <definedName name="ProdTypeConvTbl" localSheetId="6">OFFSET(#REF!,1,0,COUNTA(#REF!),5)</definedName>
    <definedName name="ProdTypeConvTbl" localSheetId="7">OFFSET(#REF!,1,0,COUNTA(#REF!),5)</definedName>
    <definedName name="PSDB">OFFSET('[30]Project Spending'!$A$4,0,0,COUNTA('[30]Project Spending'!$A$4:$A$100000), COUNTA('[30]Project Spending'!$A$4:$AAC$4))</definedName>
    <definedName name="PV" localSheetId="2">#REF!</definedName>
    <definedName name="PV" localSheetId="5">#REF!</definedName>
    <definedName name="PV" localSheetId="6">#REF!</definedName>
    <definedName name="PV" localSheetId="7">#REF!</definedName>
    <definedName name="q" localSheetId="4">{"'Sheet1'!$L$16"}</definedName>
    <definedName name="q" localSheetId="5">{"'Sheet1'!$L$16"}</definedName>
    <definedName name="q_1" localSheetId="4">{"'Sheet1'!$L$16"}</definedName>
    <definedName name="q_1" localSheetId="5">{"'Sheet1'!$L$16"}</definedName>
    <definedName name="q_2" localSheetId="4">{"'Sheet1'!$L$16"}</definedName>
    <definedName name="q_2" localSheetId="5">{"'Sheet1'!$L$16"}</definedName>
    <definedName name="q_3" localSheetId="4">{"'Sheet1'!$L$16"}</definedName>
    <definedName name="q_3" localSheetId="5">{"'Sheet1'!$L$16"}</definedName>
    <definedName name="q_4" localSheetId="4">{"'Sheet1'!$L$16"}</definedName>
    <definedName name="q_4" localSheetId="5">{"'Sheet1'!$L$16"}</definedName>
    <definedName name="q_5" localSheetId="4">{"'Sheet1'!$L$16"}</definedName>
    <definedName name="q_5" localSheetId="5">{"'Sheet1'!$L$16"}</definedName>
    <definedName name="QQ">#N/A</definedName>
    <definedName name="qqq" localSheetId="6">[31]VAC!#REF!</definedName>
    <definedName name="qqq" localSheetId="7">[31]VAC!#REF!</definedName>
    <definedName name="qqqq" localSheetId="4" hidden="1">{"'장비'!$A$3:$M$12"}</definedName>
    <definedName name="qqqq" localSheetId="5" hidden="1">{"'장비'!$A$3:$M$12"}</definedName>
    <definedName name="qqqqq" localSheetId="6">#REF!</definedName>
    <definedName name="qqqqq" localSheetId="7">#REF!</definedName>
    <definedName name="QTY_AREA_Mto_0" localSheetId="6">#REF!</definedName>
    <definedName name="QTY_AREA_Mto_0">#REF!</definedName>
    <definedName name="QTY_AREA_Mto_1" localSheetId="6">#REF!</definedName>
    <definedName name="QTY_AREA_Mto_1">#REF!</definedName>
    <definedName name="QTY_AREA0_Mto_0" localSheetId="6">#REF!</definedName>
    <definedName name="QTY_AREA0_Mto_0">#REF!</definedName>
    <definedName name="QTY_AREA0_Mto_1" localSheetId="6">#REF!</definedName>
    <definedName name="QTY_AREA0_Mto_1">#REF!</definedName>
    <definedName name="QTY_AREA1_Mto_0" localSheetId="6">#REF!</definedName>
    <definedName name="QTY_AREA1_Mto_0">#REF!</definedName>
    <definedName name="QTY_AREA1_Mto_1" localSheetId="6">#REF!</definedName>
    <definedName name="QTY_AREA1_Mto_1">#REF!</definedName>
    <definedName name="QTY_AREA2_Mto_0" localSheetId="6">#REF!</definedName>
    <definedName name="QTY_AREA2_Mto_0">#REF!</definedName>
    <definedName name="QTY_AREA2_Mto_1" localSheetId="6">#REF!</definedName>
    <definedName name="QTY_AREA2_Mto_1">#REF!</definedName>
    <definedName name="QTY_AREA3_Mto_0" localSheetId="6">#REF!</definedName>
    <definedName name="QTY_AREA3_Mto_0">#REF!</definedName>
    <definedName name="QTY_AREA4_Mto_0" localSheetId="6">#REF!</definedName>
    <definedName name="QTY_AREA4_Mto_0">#REF!</definedName>
    <definedName name="QTY_CLASSIFY1_Cost_0" localSheetId="6">#REF!</definedName>
    <definedName name="QTY_CLASSIFY1_Cost_0">#REF!</definedName>
    <definedName name="QTY_CLASSIFY1_Cost_1" localSheetId="6">#REF!</definedName>
    <definedName name="QTY_CLASSIFY1_Cost_1">#REF!</definedName>
    <definedName name="QTY_CLASSIFY2_Cost_0" localSheetId="6">#REF!</definedName>
    <definedName name="QTY_CLASSIFY2_Cost_0">#REF!</definedName>
    <definedName name="QTY_CLASSIFY2_Cost_1" localSheetId="6">#REF!</definedName>
    <definedName name="QTY_CLASSIFY2_Cost_1">#REF!</definedName>
    <definedName name="QTY_CLASSIFY3_Cost_0" localSheetId="6">#REF!</definedName>
    <definedName name="QTY_CLASSIFY3_Cost_0">#REF!</definedName>
    <definedName name="QTY_CLASSIFY4_Cost_0" localSheetId="6">#REF!</definedName>
    <definedName name="QTY_CLASSIFY4_Cost_0">#REF!</definedName>
    <definedName name="QUANTITY1_Cost_0" localSheetId="6">#REF!</definedName>
    <definedName name="QUANTITY1_Cost_0">#REF!</definedName>
    <definedName name="QUANTITY1_Cost_1" localSheetId="6">#REF!</definedName>
    <definedName name="QUANTITY1_Cost_1">#REF!</definedName>
    <definedName name="QUANTITY2_Cost_0" localSheetId="6">#REF!</definedName>
    <definedName name="QUANTITY2_Cost_0">#REF!</definedName>
    <definedName name="QUANTITY2_Cost_1" localSheetId="6">#REF!</definedName>
    <definedName name="QUANTITY2_Cost_1">#REF!</definedName>
    <definedName name="QUANTITY3_Cost_0" localSheetId="6">#REF!</definedName>
    <definedName name="QUANTITY3_Cost_0">#REF!</definedName>
    <definedName name="QUANTITY4_Cost_0" localSheetId="6">#REF!</definedName>
    <definedName name="QUANTITY4_Cost_0">#REF!</definedName>
    <definedName name="QuarterBegin" localSheetId="6">#REF!</definedName>
    <definedName name="QuarterBegin">#REF!</definedName>
    <definedName name="QuarterEnd" localSheetId="6">#REF!</definedName>
    <definedName name="QuarterEnd">#REF!</definedName>
    <definedName name="Query" localSheetId="6">#REF!</definedName>
    <definedName name="Query">#REF!</definedName>
    <definedName name="RANG1">'[6]Exh Branch(8K)(依前購)'!$A$1:$B$228</definedName>
    <definedName name="RANG2">'[6]Exh Branch(8K)(依前購)'!$A$1:$B$228</definedName>
    <definedName name="RANGE" localSheetId="2">#REF!</definedName>
    <definedName name="RANGE" localSheetId="5">#REF!</definedName>
    <definedName name="RANGE" localSheetId="6">#REF!</definedName>
    <definedName name="RANGE" localSheetId="7">#REF!</definedName>
    <definedName name="RANGRANGZ">#N/A</definedName>
    <definedName name="rarewt" localSheetId="4" hidden="1">{#N/A,#N/A,FALSE,"CCTV"}</definedName>
    <definedName name="rarewt" localSheetId="5" hidden="1">{#N/A,#N/A,FALSE,"CCTV"}</definedName>
    <definedName name="Rate" localSheetId="2">#REF!</definedName>
    <definedName name="Rate" localSheetId="5">#REF!</definedName>
    <definedName name="Rate" localSheetId="6">#REF!</definedName>
    <definedName name="Rate" localSheetId="7">#REF!</definedName>
    <definedName name="RCW" localSheetId="2">#REF!</definedName>
    <definedName name="RCW" localSheetId="5">#REF!</definedName>
    <definedName name="RCW" localSheetId="6">#REF!</definedName>
    <definedName name="RCW" localSheetId="7">#REF!</definedName>
    <definedName name="_xlnm.Recorder">'[6]Exh Branch(8K)(依前購)'!$B:$B</definedName>
    <definedName name="REMARK" localSheetId="2">#REF!</definedName>
    <definedName name="REMARK" localSheetId="5">#REF!</definedName>
    <definedName name="REMARK" localSheetId="6">#REF!</definedName>
    <definedName name="REMARK" localSheetId="7">#REF!</definedName>
    <definedName name="REPAIR_B" localSheetId="2">#REF!</definedName>
    <definedName name="REPAIR_B" localSheetId="5">#REF!</definedName>
    <definedName name="REPAIR_B" localSheetId="6">#REF!</definedName>
    <definedName name="REPAIR_B" localSheetId="7">#REF!</definedName>
    <definedName name="REPEAT_AREA_Mto_0" localSheetId="2">#REF!</definedName>
    <definedName name="REPEAT_AREA_Mto_0" localSheetId="5">#REF!</definedName>
    <definedName name="REPEAT_AREA_Mto_0" localSheetId="6">#REF!</definedName>
    <definedName name="REPEAT_AREA_Mto_0" localSheetId="7">#REF!</definedName>
    <definedName name="REPEAT_AREA_Mto_1" localSheetId="6">#REF!</definedName>
    <definedName name="REPEAT_AREA_Mto_1">#REF!</definedName>
    <definedName name="Rework" localSheetId="6">#REF!</definedName>
    <definedName name="Rework">#REF!</definedName>
    <definedName name="RFV" localSheetId="4" hidden="1">{#N/A,#N/A,FALSE,"CCTV"}</definedName>
    <definedName name="RFV" localSheetId="5" hidden="1">{#N/A,#N/A,FALSE,"CCTV"}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2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FALSE</definedName>
    <definedName name="RRERW" localSheetId="4" hidden="1">{#N/A,#N/A,FALSE,"CCTV"}</definedName>
    <definedName name="RRERW" localSheetId="5" hidden="1">{#N/A,#N/A,FALSE,"CCTV"}</definedName>
    <definedName name="s" localSheetId="6">[1]標單!#REF!</definedName>
    <definedName name="s" localSheetId="7">[1]標單!#REF!</definedName>
    <definedName name="S_01" localSheetId="6">[32]單價分析!#REF!</definedName>
    <definedName name="S_01" localSheetId="7">[32]單價分析!#REF!</definedName>
    <definedName name="S_02" localSheetId="6">[32]單價分析!#REF!</definedName>
    <definedName name="S_02" localSheetId="7">[32]單價分析!#REF!</definedName>
    <definedName name="S_03" localSheetId="6">[32]單價分析!#REF!</definedName>
    <definedName name="S_03" localSheetId="7">[32]單價分析!#REF!</definedName>
    <definedName name="S_22" localSheetId="6">[32]單價分析!#REF!</definedName>
    <definedName name="S_22" localSheetId="7">[32]單價分析!#REF!</definedName>
    <definedName name="S_22A" localSheetId="6">[32]單價分析!#REF!</definedName>
    <definedName name="S_22A" localSheetId="7">[32]單價分析!#REF!</definedName>
    <definedName name="S_23" localSheetId="6">[32]單價分析!#REF!</definedName>
    <definedName name="S_23" localSheetId="7">[32]單價分析!#REF!</definedName>
    <definedName name="S_24" localSheetId="6">[32]單價分析!#REF!</definedName>
    <definedName name="S_24" localSheetId="7">[32]單價分析!#REF!</definedName>
    <definedName name="S_24A" localSheetId="6">[32]單價分析!#REF!</definedName>
    <definedName name="S_24A" localSheetId="7">[32]單價分析!#REF!</definedName>
    <definedName name="S_24B" localSheetId="6">[32]單價分析!#REF!</definedName>
    <definedName name="S_24B" localSheetId="7">[32]單價分析!#REF!</definedName>
    <definedName name="S_24C" localSheetId="6">[32]單價分析!#REF!</definedName>
    <definedName name="S_24C" localSheetId="7">[32]單價分析!#REF!</definedName>
    <definedName name="S_25" localSheetId="6">[32]單價分析!#REF!</definedName>
    <definedName name="S_25" localSheetId="7">[32]單價分析!#REF!</definedName>
    <definedName name="S_25B" localSheetId="6">[32]單價分析!#REF!</definedName>
    <definedName name="S_25B" localSheetId="7">[32]單價分析!#REF!</definedName>
    <definedName name="S_26" localSheetId="6">[32]單價分析!#REF!</definedName>
    <definedName name="S_26" localSheetId="7">[32]單價分析!#REF!</definedName>
    <definedName name="S_27" localSheetId="6">[32]單價分析!#REF!</definedName>
    <definedName name="S_27" localSheetId="7">[32]單價分析!#REF!</definedName>
    <definedName name="S_28" localSheetId="6">[32]單價分析!#REF!</definedName>
    <definedName name="S_28" localSheetId="7">[32]單價分析!#REF!</definedName>
    <definedName name="S_29" localSheetId="2">#REF!</definedName>
    <definedName name="S_29" localSheetId="5">#REF!</definedName>
    <definedName name="S_29" localSheetId="6">#REF!</definedName>
    <definedName name="S_29" localSheetId="7">#REF!</definedName>
    <definedName name="S_32" localSheetId="2">[32]單價分析!#REF!</definedName>
    <definedName name="S_32" localSheetId="5">[32]單價分析!#REF!</definedName>
    <definedName name="S_32" localSheetId="6">[32]單價分析!#REF!</definedName>
    <definedName name="S_32" localSheetId="7">[32]單價分析!#REF!</definedName>
    <definedName name="S_34" localSheetId="6">[32]單價分析!#REF!</definedName>
    <definedName name="S_34" localSheetId="7">[32]單價分析!#REF!</definedName>
    <definedName name="S_35" localSheetId="6">[32]單價分析!#REF!</definedName>
    <definedName name="S_35" localSheetId="7">[32]單價分析!#REF!</definedName>
    <definedName name="S_36" localSheetId="6">[32]單價分析!#REF!</definedName>
    <definedName name="S_36" localSheetId="7">[32]單價分析!#REF!</definedName>
    <definedName name="S_37" localSheetId="6">[32]單價分析!#REF!</definedName>
    <definedName name="S_37" localSheetId="7">[32]單價分析!#REF!</definedName>
    <definedName name="S_38" localSheetId="6">[32]單價分析!#REF!</definedName>
    <definedName name="S_38" localSheetId="7">[32]單價分析!#REF!</definedName>
    <definedName name="S_38B" localSheetId="6">[32]單價分析!#REF!</definedName>
    <definedName name="S_38B" localSheetId="7">[32]單價分析!#REF!</definedName>
    <definedName name="S_38C" localSheetId="6">[32]單價分析!#REF!</definedName>
    <definedName name="S_38C" localSheetId="7">[32]單價分析!#REF!</definedName>
    <definedName name="S_39" localSheetId="6">[32]單價分析!#REF!</definedName>
    <definedName name="S_39" localSheetId="7">[32]單價分析!#REF!</definedName>
    <definedName name="S_4" localSheetId="6">[32]單價分析!#REF!</definedName>
    <definedName name="S_4" localSheetId="7">[32]單價分析!#REF!</definedName>
    <definedName name="S_42" localSheetId="6">[32]單價分析!#REF!</definedName>
    <definedName name="S_42" localSheetId="7">[32]單價分析!#REF!</definedName>
    <definedName name="S_43" localSheetId="6">[32]單價分析!#REF!</definedName>
    <definedName name="S_43" localSheetId="7">[32]單價分析!#REF!</definedName>
    <definedName name="S_44" localSheetId="6">[32]單價分析!#REF!</definedName>
    <definedName name="S_44" localSheetId="7">[32]單價分析!#REF!</definedName>
    <definedName name="S_44B" localSheetId="6">[32]單價分析!#REF!</definedName>
    <definedName name="S_44B" localSheetId="7">[32]單價分析!#REF!</definedName>
    <definedName name="S_45" localSheetId="6">[32]單價分析!#REF!</definedName>
    <definedName name="S_45" localSheetId="7">[32]單價分析!#REF!</definedName>
    <definedName name="S_45B" localSheetId="6">[32]單價分析!#REF!</definedName>
    <definedName name="S_45B" localSheetId="7">[32]單價分析!#REF!</definedName>
    <definedName name="S_46" localSheetId="6">[32]單價分析!#REF!</definedName>
    <definedName name="S_46" localSheetId="7">[32]單價分析!#REF!</definedName>
    <definedName name="S_46B" localSheetId="6">[32]單價分析!#REF!</definedName>
    <definedName name="S_46B" localSheetId="7">[32]單價分析!#REF!</definedName>
    <definedName name="S_46C" localSheetId="6">[32]單價分析!#REF!</definedName>
    <definedName name="S_46C" localSheetId="7">[32]單價分析!#REF!</definedName>
    <definedName name="S_47" localSheetId="6">[32]單價分析!#REF!</definedName>
    <definedName name="S_47" localSheetId="7">[32]單價分析!#REF!</definedName>
    <definedName name="S_48" localSheetId="6">[32]單價分析!#REF!</definedName>
    <definedName name="S_48" localSheetId="7">[32]單價分析!#REF!</definedName>
    <definedName name="S_48B" localSheetId="6">[32]單價分析!#REF!</definedName>
    <definedName name="S_48B" localSheetId="7">[32]單價分析!#REF!</definedName>
    <definedName name="S_48C" localSheetId="6">[32]單價分析!#REF!</definedName>
    <definedName name="S_48C" localSheetId="7">[32]單價分析!#REF!</definedName>
    <definedName name="S_48D" localSheetId="6">[32]單價分析!#REF!</definedName>
    <definedName name="S_48D" localSheetId="7">[32]單價分析!#REF!</definedName>
    <definedName name="S_51">#N/A</definedName>
    <definedName name="S_52" localSheetId="6">[32]單價分析!#REF!</definedName>
    <definedName name="S_52" localSheetId="7">[32]單價分析!#REF!</definedName>
    <definedName name="S_53" localSheetId="6">[32]單價分析!#REF!</definedName>
    <definedName name="S_53" localSheetId="7">[32]單價分析!#REF!</definedName>
    <definedName name="S_54" localSheetId="6">[32]單價分析!#REF!</definedName>
    <definedName name="S_54" localSheetId="7">[32]單價分析!#REF!</definedName>
    <definedName name="S_54B" localSheetId="6">[32]單價分析!#REF!</definedName>
    <definedName name="S_54B" localSheetId="7">[32]單價分析!#REF!</definedName>
    <definedName name="S_54C" localSheetId="6">[32]單價分析!#REF!</definedName>
    <definedName name="S_54C" localSheetId="7">[32]單價分析!#REF!</definedName>
    <definedName name="S_54D" localSheetId="6">[32]單價分析!#REF!</definedName>
    <definedName name="S_54D" localSheetId="7">[32]單價分析!#REF!</definedName>
    <definedName name="S_56" localSheetId="6">[32]單價分析!#REF!</definedName>
    <definedName name="S_56" localSheetId="7">[32]單價分析!#REF!</definedName>
    <definedName name="S_57" localSheetId="6">[32]單價分析!#REF!</definedName>
    <definedName name="S_57" localSheetId="7">[32]單價分析!#REF!</definedName>
    <definedName name="S_62" localSheetId="6">[32]單價分析!#REF!</definedName>
    <definedName name="S_62" localSheetId="7">[32]單價分析!#REF!</definedName>
    <definedName name="S_63" localSheetId="6">[32]單價分析!#REF!</definedName>
    <definedName name="S_63" localSheetId="7">[32]單價分析!#REF!</definedName>
    <definedName name="S_72" localSheetId="6">[32]單價分析!#REF!</definedName>
    <definedName name="S_72" localSheetId="7">[32]單價分析!#REF!</definedName>
    <definedName name="S_73" localSheetId="2">#REF!</definedName>
    <definedName name="S_73" localSheetId="5">#REF!</definedName>
    <definedName name="S_73" localSheetId="6">#REF!</definedName>
    <definedName name="S_73" localSheetId="7">#REF!</definedName>
    <definedName name="S_74" localSheetId="2">#REF!</definedName>
    <definedName name="S_74" localSheetId="5">#REF!</definedName>
    <definedName name="S_74" localSheetId="6">#REF!</definedName>
    <definedName name="S_74" localSheetId="7">#REF!</definedName>
    <definedName name="S_75" localSheetId="2">#REF!</definedName>
    <definedName name="S_75" localSheetId="5">#REF!</definedName>
    <definedName name="S_75" localSheetId="6">#REF!</definedName>
    <definedName name="S_75" localSheetId="7">#REF!</definedName>
    <definedName name="S_76" localSheetId="6">#REF!</definedName>
    <definedName name="S_76">#REF!</definedName>
    <definedName name="S_77" localSheetId="6">#REF!</definedName>
    <definedName name="S_77">#REF!</definedName>
    <definedName name="S_81" localSheetId="6">#REF!</definedName>
    <definedName name="S_81">#REF!</definedName>
    <definedName name="S_82" localSheetId="6">#REF!</definedName>
    <definedName name="S_82">#REF!</definedName>
    <definedName name="S_91" localSheetId="6">#REF!</definedName>
    <definedName name="S_91">#REF!</definedName>
    <definedName name="S11111111" localSheetId="6">#REF!</definedName>
    <definedName name="S11111111">#REF!</definedName>
    <definedName name="S2222222" localSheetId="6">#REF!</definedName>
    <definedName name="S2222222">#REF!</definedName>
    <definedName name="S3333333" localSheetId="6">#REF!</definedName>
    <definedName name="S3333333">#REF!</definedName>
    <definedName name="SAR_Estimate" localSheetId="6">#REF!</definedName>
    <definedName name="SAR_Estimate">#REF!</definedName>
    <definedName name="sasa" localSheetId="4" hidden="1">{#N/A,#N/A,FALSE,"CCTV"}</definedName>
    <definedName name="sasa" localSheetId="5" hidden="1">{#N/A,#N/A,FALSE,"CCTV"}</definedName>
    <definedName name="SASA1" localSheetId="4" hidden="1">{#N/A,#N/A,FALSE,"CCTV"}</definedName>
    <definedName name="SASA1" localSheetId="5" hidden="1">{#N/A,#N/A,FALSE,"CCTV"}</definedName>
    <definedName name="Schedule" localSheetId="2">#REF!</definedName>
    <definedName name="Schedule" localSheetId="5">#REF!</definedName>
    <definedName name="Schedule" localSheetId="6">#REF!</definedName>
    <definedName name="Schedule" localSheetId="7">#REF!</definedName>
    <definedName name="SECTION1_Cost_0" localSheetId="2">#REF!</definedName>
    <definedName name="SECTION1_Cost_0" localSheetId="5">#REF!</definedName>
    <definedName name="SECTION1_Cost_0" localSheetId="6">#REF!</definedName>
    <definedName name="SECTION1_Cost_0" localSheetId="7">#REF!</definedName>
    <definedName name="SECTION1_Cost_1" localSheetId="2">#REF!</definedName>
    <definedName name="SECTION1_Cost_1" localSheetId="5">#REF!</definedName>
    <definedName name="SECTION1_Cost_1" localSheetId="6">#REF!</definedName>
    <definedName name="SECTION1_Cost_1" localSheetId="7">#REF!</definedName>
    <definedName name="SECTION2_Cost_0" localSheetId="6">#REF!</definedName>
    <definedName name="SECTION2_Cost_0">#REF!</definedName>
    <definedName name="SECTION2_Cost_1" localSheetId="6">#REF!</definedName>
    <definedName name="SECTION2_Cost_1">#REF!</definedName>
    <definedName name="SECTION3_Cost_0" localSheetId="6">#REF!</definedName>
    <definedName name="SECTION3_Cost_0">#REF!</definedName>
    <definedName name="SECTION4_Cost_0" localSheetId="6">#REF!</definedName>
    <definedName name="SECTION4_Cost_0">#REF!</definedName>
    <definedName name="sefse" localSheetId="4" hidden="1">{"'장비'!$A$3:$M$12"}</definedName>
    <definedName name="sefse" localSheetId="5" hidden="1">{"'장비'!$A$3:$M$12"}</definedName>
    <definedName name="sencount" hidden="1">1</definedName>
    <definedName name="SEP" localSheetId="4" hidden="1">{"'장비'!$A$3:$M$12"}</definedName>
    <definedName name="SEP" localSheetId="5" hidden="1">{"'장비'!$A$3:$M$12"}</definedName>
    <definedName name="Sep2A">'[6]Exh Branch(8K)(依前購)'!$N$12:$N$23</definedName>
    <definedName name="Sep2B">'[6]Exh Branch(8K)(依前購)'!$N$24:$N$38</definedName>
    <definedName name="SepF1">'[6]Exh Branch(8K)(依前購)'!$N$5:$N$11</definedName>
    <definedName name="SEPWT">'[6]Exh Branch(8K)(依前購)'!$N$73:$N$76</definedName>
    <definedName name="SimOpt_CheckPrecisionAfter" hidden="1">100</definedName>
    <definedName name="SimOpt_GotoSample" hidden="1">0</definedName>
    <definedName name="SimOpt_Macros0" hidden="1">""</definedName>
    <definedName name="SimOpt_Macros1" hidden="1">""</definedName>
    <definedName name="SimOpt_Macros2" hidden="1">""</definedName>
    <definedName name="SimOpt_Macros3" hidden="1">""</definedName>
    <definedName name="SimOpt_MacrosUsage" hidden="1">0</definedName>
    <definedName name="SimOpt_MinSimBufferSize" hidden="1">5000000</definedName>
    <definedName name="SimOpt_RefreshExcel" hidden="1">0</definedName>
    <definedName name="SimOpt_RefreshRate" hidden="1">10</definedName>
    <definedName name="SimOpt_SamplesCount" hidden="1">10000</definedName>
    <definedName name="SimOpt_Seed0" hidden="1">0</definedName>
    <definedName name="SimOpt_SeedFixed" hidden="1">0</definedName>
    <definedName name="SimOpt_SeedMultiplyType" hidden="1">0</definedName>
    <definedName name="SimOpt_ShowResultsAtEnd" hidden="1">1</definedName>
    <definedName name="SimOpt_SimName0" hidden="1">""</definedName>
    <definedName name="SimOpt_SimsCount" hidden="1">1</definedName>
    <definedName name="SimOpt_StopOnOutputError" hidden="1">0</definedName>
    <definedName name="SIZE">#REF!</definedName>
    <definedName name="SN" localSheetId="4" hidden="1">{"LKD",#N/A,FALSE,"표지"}</definedName>
    <definedName name="SN" localSheetId="5" hidden="1">{"LKD",#N/A,FALSE,"표지"}</definedName>
    <definedName name="SP1_18" localSheetId="6">'[7]HOOK UP'!#REF!</definedName>
    <definedName name="SP1_18" localSheetId="7">'[7]HOOK UP'!#REF!</definedName>
    <definedName name="SP1_19" localSheetId="6">'[33]HOOK UP'!#REF!</definedName>
    <definedName name="SP1_19" localSheetId="7">'[33]HOOK UP'!#REF!</definedName>
    <definedName name="SP1_26" localSheetId="6">'[33]HOOK UP'!#REF!</definedName>
    <definedName name="SP1_26" localSheetId="7">'[33]HOOK UP'!#REF!</definedName>
    <definedName name="Special_gas_pressure_drop_使用說明_List" localSheetId="2">#REF!</definedName>
    <definedName name="Special_gas_pressure_drop_使用說明_List" localSheetId="5">#REF!</definedName>
    <definedName name="Special_gas_pressure_drop_使用說明_List" localSheetId="6">#REF!</definedName>
    <definedName name="Special_gas_pressure_drop_使用說明_List" localSheetId="7">#REF!</definedName>
    <definedName name="Special_gas_pressure_drop_使用說明_List_18" localSheetId="2">#REF!</definedName>
    <definedName name="Special_gas_pressure_drop_使用說明_List_18" localSheetId="5">#REF!</definedName>
    <definedName name="Special_gas_pressure_drop_使用說明_List_18" localSheetId="6">#REF!</definedName>
    <definedName name="Special_gas_pressure_drop_使用說明_List_18" localSheetId="7">#REF!</definedName>
    <definedName name="Special_gas_pressure_drop_使用說明_List_19" localSheetId="2">#REF!</definedName>
    <definedName name="Special_gas_pressure_drop_使用說明_List_19" localSheetId="5">#REF!</definedName>
    <definedName name="Special_gas_pressure_drop_使用說明_List_19" localSheetId="6">#REF!</definedName>
    <definedName name="Special_gas_pressure_drop_使用說明_List_19" localSheetId="7">#REF!</definedName>
    <definedName name="Special_gas_pressure_drop_使用說明_List_26" localSheetId="6">#REF!</definedName>
    <definedName name="Special_gas_pressure_drop_使用說明_List_26">#REF!</definedName>
    <definedName name="SPIR" localSheetId="4" hidden="1">{"'Sheet1'!$A$1:$AE$60","'Sheet1'!$AE$1","'Sheet1'!$A$1:$AE$60"}</definedName>
    <definedName name="SPIR" localSheetId="5" hidden="1">{"'Sheet1'!$A$1:$AE$60","'Sheet1'!$AE$1","'Sheet1'!$A$1:$AE$60"}</definedName>
    <definedName name="SS" localSheetId="2">#REF!</definedName>
    <definedName name="SS" localSheetId="5">#REF!</definedName>
    <definedName name="SS" localSheetId="6">#REF!</definedName>
    <definedName name="SS" localSheetId="7">#REF!</definedName>
    <definedName name="sss" localSheetId="2">#REF!</definedName>
    <definedName name="sss" localSheetId="5">#REF!</definedName>
    <definedName name="sss" localSheetId="6">#REF!</definedName>
    <definedName name="sss" localSheetId="7">#REF!</definedName>
    <definedName name="START_HIDE" localSheetId="2">#REF!</definedName>
    <definedName name="START_HIDE" localSheetId="5">#REF!</definedName>
    <definedName name="START_HIDE" localSheetId="6">#REF!</definedName>
    <definedName name="START_HIDE" localSheetId="7">#REF!</definedName>
    <definedName name="StartRowData" localSheetId="6">#REF!</definedName>
    <definedName name="StartRowData">#REF!</definedName>
    <definedName name="system_1">[19]Data!$C$4:$C$12</definedName>
    <definedName name="system_2">[19]Data!$C$16:$C$24</definedName>
    <definedName name="T1_1">[19]Data!$I$4:$I$12</definedName>
    <definedName name="T2_1">[19]Data!$I$16:$I$24</definedName>
    <definedName name="TABLE1" localSheetId="2">#REF!</definedName>
    <definedName name="TABLE1" localSheetId="5">#REF!</definedName>
    <definedName name="TABLE1" localSheetId="6">#REF!</definedName>
    <definedName name="TABLE1" localSheetId="7">#REF!</definedName>
    <definedName name="temp" localSheetId="4">{"'Sheet1'!$A$1:$AE$60","'Sheet1'!$AE$1","'Sheet1'!$A$1:$AE$60"}</definedName>
    <definedName name="temp" localSheetId="5">{"'Sheet1'!$A$1:$AE$60","'Sheet1'!$AE$1","'Sheet1'!$A$1:$AE$60"}</definedName>
    <definedName name="TEMP." localSheetId="2">#REF!</definedName>
    <definedName name="TEMP." localSheetId="5">#REF!</definedName>
    <definedName name="TEMP." localSheetId="6">#REF!</definedName>
    <definedName name="TEMP." localSheetId="7">#REF!</definedName>
    <definedName name="temp_1" localSheetId="4">{"'Sheet1'!$A$1:$AE$60","'Sheet1'!$AE$1","'Sheet1'!$A$1:$AE$60"}</definedName>
    <definedName name="temp_1" localSheetId="5">{"'Sheet1'!$A$1:$AE$60","'Sheet1'!$AE$1","'Sheet1'!$A$1:$AE$60"}</definedName>
    <definedName name="temp_1_1" localSheetId="4">{"'Sheet1'!$A$1:$AE$60","'Sheet1'!$AE$1","'Sheet1'!$A$1:$AE$60"}</definedName>
    <definedName name="temp_1_1" localSheetId="5">{"'Sheet1'!$A$1:$AE$60","'Sheet1'!$AE$1","'Sheet1'!$A$1:$AE$60"}</definedName>
    <definedName name="temp_2" localSheetId="4">{"'Sheet1'!$A$1:$AE$60","'Sheet1'!$AE$1","'Sheet1'!$A$1:$AE$60"}</definedName>
    <definedName name="temp_2" localSheetId="5">{"'Sheet1'!$A$1:$AE$60","'Sheet1'!$AE$1","'Sheet1'!$A$1:$AE$60"}</definedName>
    <definedName name="temp_3" localSheetId="4">{"'Sheet1'!$A$1:$AE$60","'Sheet1'!$AE$1","'Sheet1'!$A$1:$AE$60"}</definedName>
    <definedName name="temp_3" localSheetId="5">{"'Sheet1'!$A$1:$AE$60","'Sheet1'!$AE$1","'Sheet1'!$A$1:$AE$60"}</definedName>
    <definedName name="temp_4" localSheetId="4">{"'Sheet1'!$A$1:$AE$60","'Sheet1'!$AE$1","'Sheet1'!$A$1:$AE$60"}</definedName>
    <definedName name="temp_4" localSheetId="5">{"'Sheet1'!$A$1:$AE$60","'Sheet1'!$AE$1","'Sheet1'!$A$1:$AE$60"}</definedName>
    <definedName name="temp_5" localSheetId="4">{"'Sheet1'!$A$1:$AE$60","'Sheet1'!$AE$1","'Sheet1'!$A$1:$AE$60"}</definedName>
    <definedName name="temp_5" localSheetId="5">{"'Sheet1'!$A$1:$AE$60","'Sheet1'!$AE$1","'Sheet1'!$A$1:$AE$60"}</definedName>
    <definedName name="TEST">[3]預算總表!#REF!</definedName>
    <definedName name="TG" localSheetId="4" hidden="1">{#N/A,#N/A,FALSE,"CCTV"}</definedName>
    <definedName name="TG" localSheetId="5" hidden="1">{#N/A,#N/A,FALSE,"CCTV"}</definedName>
    <definedName name="TheDB" localSheetId="2">#REF!</definedName>
    <definedName name="TheDB" localSheetId="5">#REF!</definedName>
    <definedName name="TheDB" localSheetId="6">#REF!</definedName>
    <definedName name="TheDB" localSheetId="7">#REF!</definedName>
    <definedName name="TITLE" localSheetId="2">#REF!</definedName>
    <definedName name="TITLE" localSheetId="5">#REF!</definedName>
    <definedName name="TITLE" localSheetId="6">#REF!</definedName>
    <definedName name="TITLE" localSheetId="7">#REF!</definedName>
    <definedName name="TITLE_AREA_Mto_0" localSheetId="2">#REF!</definedName>
    <definedName name="TITLE_AREA_Mto_0" localSheetId="5">#REF!</definedName>
    <definedName name="TITLE_AREA_Mto_0" localSheetId="6">#REF!</definedName>
    <definedName name="TITLE_AREA_Mto_0" localSheetId="7">#REF!</definedName>
    <definedName name="TITLE_AREA_Mto_1" localSheetId="6">#REF!</definedName>
    <definedName name="TITLE_AREA_Mto_1">#REF!</definedName>
    <definedName name="TLS" localSheetId="4" hidden="1">{"LKD",#N/A,FALSE,"표지"}</definedName>
    <definedName name="TLS" localSheetId="5" hidden="1">{"LKD",#N/A,FALSE,"표지"}</definedName>
    <definedName name="tlub" localSheetId="4" hidden="1">{"'Sheet1'!$A$1:$AE$60","'Sheet1'!$AE$1","'Sheet1'!$A$1:$AE$60"}</definedName>
    <definedName name="tlub" localSheetId="5" hidden="1">{"'Sheet1'!$A$1:$AE$60","'Sheet1'!$AE$1","'Sheet1'!$A$1:$AE$60"}</definedName>
    <definedName name="TLW" localSheetId="2">#REF!</definedName>
    <definedName name="TLW" localSheetId="5">#REF!</definedName>
    <definedName name="TLW" localSheetId="6">#REF!</definedName>
    <definedName name="TLW" localSheetId="7">#REF!</definedName>
    <definedName name="TOOL" localSheetId="4" hidden="1">{"'Sheet1'!$A$1:$AE$60","'Sheet1'!$AE$1","'Sheet1'!$A$1:$AE$60"}</definedName>
    <definedName name="TOOL" localSheetId="5" hidden="1">{"'Sheet1'!$A$1:$AE$60","'Sheet1'!$AE$1","'Sheet1'!$A$1:$AE$60"}</definedName>
    <definedName name="TOT">#N/A</definedName>
    <definedName name="TPS1_1">[19]Data!$AB$4:$AB$12</definedName>
    <definedName name="TPS1_2">[19]Data!$AC$4:$AC$12</definedName>
    <definedName name="TPS1_3">[19]Data!$AD$4:$AD$12</definedName>
    <definedName name="TPS1_4">[19]Data!$AE$4:$AE$12</definedName>
    <definedName name="TPS1_5">[19]Data!$AF$4:$AF$12</definedName>
    <definedName name="TPS1_6">[19]Data!$AG$4:$AG$12</definedName>
    <definedName name="TPS1_7">[19]Data!$AH$4:$AH$12</definedName>
    <definedName name="TPS2_1">[19]Data!$AB$16:$AB$24</definedName>
    <definedName name="TPS2_2">[19]Data!$AC$16:$AC$24</definedName>
    <definedName name="TPS2_3">[19]Data!$AD$16:$AD$24</definedName>
    <definedName name="TPS2_4">[19]Data!$AE$16:$AE$24</definedName>
    <definedName name="TPS2_5">[19]Data!$AF$16:$AF$24</definedName>
    <definedName name="TPS2_6">[19]Data!$AG$16:$AG$24</definedName>
    <definedName name="TPS2_7">[19]Data!$AH$16:$AH$24</definedName>
    <definedName name="TR" localSheetId="2">#REF!</definedName>
    <definedName name="TR" localSheetId="5">#REF!</definedName>
    <definedName name="TR" localSheetId="6">#REF!</definedName>
    <definedName name="TR" localSheetId="7">#REF!</definedName>
    <definedName name="TREAT." localSheetId="2">#REF!</definedName>
    <definedName name="TREAT." localSheetId="5">#REF!</definedName>
    <definedName name="TREAT." localSheetId="6">#REF!</definedName>
    <definedName name="TREAT." localSheetId="7">#REF!</definedName>
    <definedName name="TRTTR" localSheetId="4" hidden="1">{#N/A,#N/A,FALSE,"C_01 CASE 1";#N/A,#N/A,FALSE,"C_01 CASE 2"}</definedName>
    <definedName name="TRTTR" localSheetId="5" hidden="1">{#N/A,#N/A,FALSE,"C_01 CASE 1";#N/A,#N/A,FALSE,"C_01 CASE 2"}</definedName>
    <definedName name="TS1_1">[19]Data!$U$4:$U$12</definedName>
    <definedName name="TS1_2">[19]Data!$V$4:$V$12</definedName>
    <definedName name="TS1_3">[19]Data!$W$4:$W$12</definedName>
    <definedName name="TS1_4">[19]Data!$X$4:$X$12</definedName>
    <definedName name="TS2_1">[19]Data!$U$16:$U$24</definedName>
    <definedName name="TS2_2">[19]Data!$V$16:$V$24</definedName>
    <definedName name="TS2_3">[19]Data!$W$16:$W$24</definedName>
    <definedName name="TS2_4">[19]Data!$X$16:$X$24</definedName>
    <definedName name="tspir" localSheetId="4" hidden="1">{"'Sheet1'!$A$1:$AE$60","'Sheet1'!$AE$1","'Sheet1'!$A$1:$AE$60"}</definedName>
    <definedName name="tspir" localSheetId="5" hidden="1">{"'Sheet1'!$A$1:$AE$60","'Sheet1'!$AE$1","'Sheet1'!$A$1:$AE$60"}</definedName>
    <definedName name="TSUPPOT" localSheetId="4" hidden="1">{#N/A,#N/A,FALSE,"CCTV"}</definedName>
    <definedName name="TSUPPOT" localSheetId="5" hidden="1">{#N/A,#N/A,FALSE,"CCTV"}</definedName>
    <definedName name="TSUPPOT1" localSheetId="4" hidden="1">{#N/A,#N/A,FALSE,"CCTV"}</definedName>
    <definedName name="TSUPPOT1" localSheetId="5" hidden="1">{#N/A,#N/A,FALSE,"CCTV"}</definedName>
    <definedName name="TT" localSheetId="4" hidden="1">{#N/A,#N/A,FALSE,"CCTV"}</definedName>
    <definedName name="TT" localSheetId="5" hidden="1">{#N/A,#N/A,FALSE,"CCTV"}</definedName>
    <definedName name="ttool" localSheetId="4" hidden="1">{"'Sheet1'!$A$1:$AE$60","'Sheet1'!$AE$1","'Sheet1'!$A$1:$AE$60"}</definedName>
    <definedName name="ttool" localSheetId="5" hidden="1">{"'Sheet1'!$A$1:$AE$60","'Sheet1'!$AE$1","'Sheet1'!$A$1:$AE$60"}</definedName>
    <definedName name="TUBE" localSheetId="4" hidden="1">{#N/A,#N/A,FALSE,"CCTV"}</definedName>
    <definedName name="TUBE" localSheetId="5" hidden="1">{#N/A,#N/A,FALSE,"CCTV"}</definedName>
    <definedName name="ty" localSheetId="2">#REF!</definedName>
    <definedName name="ty" localSheetId="5">#REF!</definedName>
    <definedName name="ty" localSheetId="6">#REF!</definedName>
    <definedName name="ty" localSheetId="7">#REF!</definedName>
    <definedName name="TYPE" localSheetId="2">#REF!</definedName>
    <definedName name="TYPE" localSheetId="5">#REF!</definedName>
    <definedName name="TYPE" localSheetId="6">#REF!</definedName>
    <definedName name="TYPE" localSheetId="7">#REF!</definedName>
    <definedName name="Type總類" localSheetId="2">#REF!</definedName>
    <definedName name="Type總類" localSheetId="5">#REF!</definedName>
    <definedName name="Type總類" localSheetId="6">#REF!</definedName>
    <definedName name="Type總類" localSheetId="7">#REF!</definedName>
    <definedName name="UKKY" localSheetId="4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UKKY" localSheetId="5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UNI_FILT_OFFSPEC" hidden="1">2</definedName>
    <definedName name="UNI_FILT_ONSPEC" hidden="1">1</definedName>
    <definedName name="UNI_NOTHING" hidden="1">0</definedName>
    <definedName name="UNI_PRES_FILTER" hidden="1">1</definedName>
    <definedName name="UNI_PRES_HEADINGS" hidden="1">16</definedName>
    <definedName name="UNI_PRES_INVERT" hidden="1">2</definedName>
    <definedName name="UNI_PRES_MATRIX" hidden="1">4</definedName>
    <definedName name="UNI_PRES_MERGED" hidden="1">8</definedName>
    <definedName name="UNI_PRES_OUTLIERS" hidden="1">32</definedName>
    <definedName name="UNI_RET_ATTRIB" hidden="1">64</definedName>
    <definedName name="UNI_RET_CONF" hidden="1">32</definedName>
    <definedName name="UNI_RET_DESC" hidden="1">4</definedName>
    <definedName name="UNI_RET_EQUIP" hidden="1">1</definedName>
    <definedName name="UNI_RET_OFFSPEC" hidden="1">512</definedName>
    <definedName name="UNI_RET_ONSPEC" hidden="1">256</definedName>
    <definedName name="UNI_RET_PROP" hidden="1">32</definedName>
    <definedName name="UNI_RET_PROPDESC" hidden="1">64</definedName>
    <definedName name="UNI_RET_SMPLPNT" hidden="1">4</definedName>
    <definedName name="UNI_RET_SPECMAX" hidden="1">2048</definedName>
    <definedName name="UNI_RET_SPECMIN" hidden="1">1024</definedName>
    <definedName name="UNI_RET_TAG" hidden="1">1</definedName>
    <definedName name="UNI_RET_TESTTIME" hidden="1">128</definedName>
    <definedName name="UNI_RET_TIME" hidden="1">8</definedName>
    <definedName name="UNI_RET_UNIT" hidden="1">2</definedName>
    <definedName name="UNI_RET_VALUE" hidden="1">16</definedName>
    <definedName name="UP" localSheetId="2">#REF!</definedName>
    <definedName name="UP" localSheetId="5">#REF!</definedName>
    <definedName name="UP" localSheetId="6">#REF!</definedName>
    <definedName name="UP" localSheetId="7">#REF!</definedName>
    <definedName name="UP_1_PLUS_01" localSheetId="2">#REF!+1</definedName>
    <definedName name="UP_1_PLUS_01" localSheetId="5">#REF!+1</definedName>
    <definedName name="UP_1_PLUS_01" localSheetId="6">#REF!+1</definedName>
    <definedName name="UP_1_PLUS_01" localSheetId="7">#REF!+1</definedName>
    <definedName name="UP_1_PLUS_05" localSheetId="2">#REF!+5</definedName>
    <definedName name="UP_1_PLUS_05" localSheetId="5">#REF!+5</definedName>
    <definedName name="UP_1_PLUS_05" localSheetId="6">#REF!+5</definedName>
    <definedName name="UP_1_PLUS_05" localSheetId="7">#REF!+5</definedName>
    <definedName name="UP_1_PLUS_050" localSheetId="6">#REF!+50</definedName>
    <definedName name="UP_1_PLUS_050">#REF!+50</definedName>
    <definedName name="UP_1_PLUS_10" localSheetId="6">#REF!+10</definedName>
    <definedName name="UP_1_PLUS_10">#REF!+10</definedName>
    <definedName name="UP_1_PLUS_100" localSheetId="6">#REF!+100</definedName>
    <definedName name="UP_1_PLUS_100">#REF!+100</definedName>
    <definedName name="UP_2_PLUS_1000" localSheetId="6">#REF!+1000</definedName>
    <definedName name="UP_2_PLUS_1000">#REF!+1000</definedName>
    <definedName name="UPCost_0" localSheetId="6">#REF!</definedName>
    <definedName name="UPCost_0">#REF!</definedName>
    <definedName name="UPCost_1" localSheetId="6">#REF!</definedName>
    <definedName name="UPCost_1">#REF!</definedName>
    <definedName name="UPW" localSheetId="6">#REF!</definedName>
    <definedName name="UPW">#REF!</definedName>
    <definedName name="US">'[6]Exh Branch(8K)(依前購)'!$B$1</definedName>
    <definedName name="US_18" localSheetId="2">#REF!</definedName>
    <definedName name="US_18" localSheetId="5">#REF!</definedName>
    <definedName name="US_18" localSheetId="6">#REF!</definedName>
    <definedName name="US_18" localSheetId="7">#REF!</definedName>
    <definedName name="US_19" localSheetId="2">#REF!</definedName>
    <definedName name="US_19" localSheetId="5">#REF!</definedName>
    <definedName name="US_19" localSheetId="6">#REF!</definedName>
    <definedName name="US_19" localSheetId="7">#REF!</definedName>
    <definedName name="US_26" localSheetId="2">#REF!</definedName>
    <definedName name="US_26" localSheetId="5">#REF!</definedName>
    <definedName name="US_26" localSheetId="6">#REF!</definedName>
    <definedName name="US_26" localSheetId="7">#REF!</definedName>
    <definedName name="UTILITY" localSheetId="2">'[34]VMB Utility'!#REF!</definedName>
    <definedName name="UTILITY" localSheetId="5">'[34]VMB Utility'!#REF!</definedName>
    <definedName name="UTILITY" localSheetId="6">'[34]VMB Utility'!#REF!</definedName>
    <definedName name="UTILITY" localSheetId="7">'[34]VMB Utility'!#REF!</definedName>
    <definedName name="UUU" localSheetId="4" hidden="1">{#N/A,#N/A,FALSE,"CCTV"}</definedName>
    <definedName name="UUU" localSheetId="5" hidden="1">{#N/A,#N/A,FALSE,"CCTV"}</definedName>
    <definedName name="uyy" localSheetId="2">#REF!</definedName>
    <definedName name="uyy" localSheetId="5">#REF!</definedName>
    <definedName name="uyy" localSheetId="6">#REF!</definedName>
    <definedName name="uyy" localSheetId="7">#REF!</definedName>
    <definedName name="V_Test" localSheetId="4" hidden="1">{"'Sheet1'!$L$16"}</definedName>
    <definedName name="V_Test" localSheetId="5" hidden="1">{"'Sheet1'!$L$16"}</definedName>
    <definedName name="Vacuum">#REF!</definedName>
    <definedName name="VALVE_No" localSheetId="6">#REF!</definedName>
    <definedName name="VALVE_No">#REF!</definedName>
    <definedName name="VCB">[35]青年廠!#REF!</definedName>
    <definedName name="Vendor_fill" localSheetId="2" hidden="1">#REF!</definedName>
    <definedName name="Vendor_fill" localSheetId="5" hidden="1">#REF!</definedName>
    <definedName name="Vendor_fill" localSheetId="6" hidden="1">#REF!</definedName>
    <definedName name="Vendor_fill" localSheetId="7" hidden="1">#REF!</definedName>
    <definedName name="VVVF" localSheetId="4" hidden="1">{"'Sheet1'!$L$16"}</definedName>
    <definedName name="VVVF" localSheetId="5" hidden="1">{"'Sheet1'!$L$16"}</definedName>
    <definedName name="W15_" localSheetId="6">[36]單價分析表!#REF!</definedName>
    <definedName name="W15_" localSheetId="7">[36]單價分析表!#REF!</definedName>
    <definedName name="W2F" localSheetId="2">#REF!</definedName>
    <definedName name="W2F" localSheetId="5">#REF!</definedName>
    <definedName name="W2F" localSheetId="6">#REF!</definedName>
    <definedName name="W2F" localSheetId="7">#REF!</definedName>
    <definedName name="W3_" localSheetId="2">[36]單價分析表!#REF!</definedName>
    <definedName name="W3_" localSheetId="5">[36]單價分析表!#REF!</definedName>
    <definedName name="W3_" localSheetId="6">[36]單價分析表!#REF!</definedName>
    <definedName name="W3_" localSheetId="7">[36]單價分析表!#REF!</definedName>
    <definedName name="W3F" localSheetId="2">#REF!</definedName>
    <definedName name="W3F" localSheetId="5">#REF!</definedName>
    <definedName name="W3F" localSheetId="6">#REF!</definedName>
    <definedName name="W3F" localSheetId="7">#REF!</definedName>
    <definedName name="W6_" localSheetId="2">[36]單價分析表!#REF!</definedName>
    <definedName name="W6_" localSheetId="5">[36]單價分析表!#REF!</definedName>
    <definedName name="W6_" localSheetId="6">[36]單價分析表!#REF!</definedName>
    <definedName name="W6_" localSheetId="7">[36]單價分析表!#REF!</definedName>
    <definedName name="WebDirectory" localSheetId="2">[25]QueryParam!$G$6</definedName>
    <definedName name="WebDirectory" localSheetId="5">[25]QueryParam!$G$6</definedName>
    <definedName name="WebDirectory" localSheetId="6">[26]QueryParam!$G$6</definedName>
    <definedName name="WebDirectory" localSheetId="7">[25]QueryParam!$G$6</definedName>
    <definedName name="WIN">#N/A</definedName>
    <definedName name="workshop" localSheetId="4" hidden="1">{#N/A,#N/A,FALSE,"CCTV"}</definedName>
    <definedName name="workshop" localSheetId="5" hidden="1">{#N/A,#N/A,FALSE,"CCTV"}</definedName>
    <definedName name="WRITE" localSheetId="4" hidden="1">{#N/A,#N/A,FALSE,"CCTV"}</definedName>
    <definedName name="WRITE" localSheetId="5" hidden="1">{#N/A,#N/A,FALSE,"CCTV"}</definedName>
    <definedName name="wrn.ALL." localSheetId="4" hidden="1">{"ALL",#N/A,FALSE,"ELECTRICAL"}</definedName>
    <definedName name="wrn.ALL." localSheetId="5" hidden="1">{"ALL",#N/A,FALSE,"ELECTRICAL"}</definedName>
    <definedName name="wrn.ALL._.INST." localSheetId="4" hidden="1">{"ALL INST",#N/A,FALSE,"ELECTRICAL"}</definedName>
    <definedName name="wrn.ALL._.INST." localSheetId="5" hidden="1">{"ALL INST",#N/A,FALSE,"ELECTRICAL"}</definedName>
    <definedName name="wrn.BM." localSheetId="4" hidden="1">{#N/A,#N/A,FALSE,"CCTV"}</definedName>
    <definedName name="wrn.BM." localSheetId="5" hidden="1">{#N/A,#N/A,FALSE,"CCTV"}</definedName>
    <definedName name="wrn.C_01." localSheetId="4" hidden="1">{#N/A,#N/A,FALSE,"C_01 CASE 1";#N/A,#N/A,FALSE,"C_01 CASE 2"}</definedName>
    <definedName name="wrn.C_01." localSheetId="5" hidden="1">{#N/A,#N/A,FALSE,"C_01 CASE 1";#N/A,#N/A,FALSE,"C_01 CASE 2"}</definedName>
    <definedName name="wrn.CBA." localSheetId="4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rn.CBA." localSheetId="5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rn.CBA_RO." localSheetId="4" hidden="1">{#N/A,#N/A,FALSE,"C-001";#N/A,#N/A,FALSE,"C-002";#N/A,#N/A,FALSE,"C-003";#N/A,#N/A,FALSE,"C-004";#N/A,#N/A,FALSE,"C-005";#N/A,#N/A,FALSE,"C-006";#N/A,#N/A,FALSE,"C-007";#N/A,#N/A,FALSE,"C-008";#N/A,#N/A,FALSE,"CF-001";#N/A,#N/A,FALSE,"H-001";#N/A,#N/A,FALSE,"P-001";#N/A,#N/A,FALSE,"P-002";#N/A,#N/A,FALSE,"P-003";#N/A,#N/A,FALSE,"P-004";#N/A,#N/A,FALSE,"P-005";#N/A,#N/A,FALSE,"P-006";#N/A,#N/A,FALSE,"P-001,2,3,4,5";#N/A,#N/A,FALSE,"P-007";#N/A,#N/A,FALSE,"X-001";#N/A,#N/A,FALSE,"X-004"}</definedName>
    <definedName name="wrn.CBA_RO." localSheetId="5" hidden="1">{#N/A,#N/A,FALSE,"C-001";#N/A,#N/A,FALSE,"C-002";#N/A,#N/A,FALSE,"C-003";#N/A,#N/A,FALSE,"C-004";#N/A,#N/A,FALSE,"C-005";#N/A,#N/A,FALSE,"C-006";#N/A,#N/A,FALSE,"C-007";#N/A,#N/A,FALSE,"C-008";#N/A,#N/A,FALSE,"CF-001";#N/A,#N/A,FALSE,"H-001";#N/A,#N/A,FALSE,"P-001";#N/A,#N/A,FALSE,"P-002";#N/A,#N/A,FALSE,"P-003";#N/A,#N/A,FALSE,"P-004";#N/A,#N/A,FALSE,"P-005";#N/A,#N/A,FALSE,"P-006";#N/A,#N/A,FALSE,"P-001,2,3,4,5";#N/A,#N/A,FALSE,"P-007";#N/A,#N/A,FALSE,"X-001";#N/A,#N/A,FALSE,"X-004"}</definedName>
    <definedName name="wrn.CBA_ST." localSheetId="4" hidden="1">{#N/A,#N/A,FALSE,"BE-001";#N/A,#N/A,FALSE,"CA-001";#N/A,#N/A,FALSE,"CY-001";#N/A,#N/A,FALSE,"CU-001";#N/A,#N/A,FALSE,"D-001";#N/A,#N/A,FALSE,"D-002";#N/A,#N/A,FALSE,"DH-001";#N/A,#N/A,FALSE,"DU-001";#N/A,#N/A,FALSE,"E-001";#N/A,#N/A,FALSE,"E-002";#N/A,#N/A,FALSE,"E-003";#N/A,#N/A,FALSE,"E-004";#N/A,#N/A,FALSE,"E-005";#N/A,#N/A,FALSE,"E-006";#N/A,#N/A,FALSE,"E-007";#N/A,#N/A,FALSE,"EH-001";#N/A,#N/A,FALSE,"EL-001";#N/A,#N/A,FALSE,"F-001";#N/A,#N/A,FALSE,"F-002";#N/A,#N/A,FALSE,"FI-001";#N/A,#N/A,FALSE,"J-001";#N/A,#N/A,FALSE,"J-002";#N/A,#N/A,FALSE,"N2-001";#N/A,#N/A,FALSE,"PT-001";#N/A,#N/A,FALSE,"R-001";#N/A,#N/A,FALSE,"SI-001";#N/A,#N/A,FALSE,"SM-001";#N/A,#N/A,FALSE,"T-001";#N/A,#N/A,FALSE,"T-002";#N/A,#N/A,FALSE,"T-003";#N/A,#N/A,FALSE,"TO-001";#N/A,#N/A,FALSE,"X-002";#N/A,#N/A,FALSE,"X-003";#N/A,#N/A,FALSE,"S_STR"}</definedName>
    <definedName name="wrn.CBA_ST." localSheetId="5" hidden="1">{#N/A,#N/A,FALSE,"BE-001";#N/A,#N/A,FALSE,"CA-001";#N/A,#N/A,FALSE,"CY-001";#N/A,#N/A,FALSE,"CU-001";#N/A,#N/A,FALSE,"D-001";#N/A,#N/A,FALSE,"D-002";#N/A,#N/A,FALSE,"DH-001";#N/A,#N/A,FALSE,"DU-001";#N/A,#N/A,FALSE,"E-001";#N/A,#N/A,FALSE,"E-002";#N/A,#N/A,FALSE,"E-003";#N/A,#N/A,FALSE,"E-004";#N/A,#N/A,FALSE,"E-005";#N/A,#N/A,FALSE,"E-006";#N/A,#N/A,FALSE,"E-007";#N/A,#N/A,FALSE,"EH-001";#N/A,#N/A,FALSE,"EL-001";#N/A,#N/A,FALSE,"F-001";#N/A,#N/A,FALSE,"F-002";#N/A,#N/A,FALSE,"FI-001";#N/A,#N/A,FALSE,"J-001";#N/A,#N/A,FALSE,"J-002";#N/A,#N/A,FALSE,"N2-001";#N/A,#N/A,FALSE,"PT-001";#N/A,#N/A,FALSE,"R-001";#N/A,#N/A,FALSE,"SI-001";#N/A,#N/A,FALSE,"SM-001";#N/A,#N/A,FALSE,"T-001";#N/A,#N/A,FALSE,"T-002";#N/A,#N/A,FALSE,"T-003";#N/A,#N/A,FALSE,"TO-001";#N/A,#N/A,FALSE,"X-002";#N/A,#N/A,FALSE,"X-003";#N/A,#N/A,FALSE,"S_STR"}</definedName>
    <definedName name="wrn.DPG." localSheetId="4" hidden="1">{"DPG",#N/A,FALSE,"ELECTRICAL"}</definedName>
    <definedName name="wrn.DPG." localSheetId="5" hidden="1">{"DPG",#N/A,FALSE,"ELECTRICAL"}</definedName>
    <definedName name="wrn.DPG._.INST." localSheetId="4" hidden="1">{"DPG INST",#N/A,FALSE,"ELECTRICAL"}</definedName>
    <definedName name="wrn.DPG._.INST." localSheetId="5" hidden="1">{"DPG INST",#N/A,FALSE,"ELECTRICAL"}</definedName>
    <definedName name="wrn.DPG_INST_SUMMARY." localSheetId="4" hidden="1">{"DPG_INST_SUMMARY",#N/A,FALSE,"SUMMARY-INSTS"}</definedName>
    <definedName name="wrn.DPG_INST_SUMMARY." localSheetId="5" hidden="1">{"DPG_INST_SUMMARY",#N/A,FALSE,"SUMMARY-INSTS"}</definedName>
    <definedName name="wrn.DPH." localSheetId="4" hidden="1">{"DPH",#N/A,FALSE,"ELECTRICAL"}</definedName>
    <definedName name="wrn.DPH." localSheetId="5" hidden="1">{"DPH",#N/A,FALSE,"ELECTRICAL"}</definedName>
    <definedName name="wrn.DPH._.INST." localSheetId="4" hidden="1">{"DPH INST",#N/A,FALSE,"ELECTRICAL"}</definedName>
    <definedName name="wrn.DPH._.INST." localSheetId="5" hidden="1">{"DPH INST",#N/A,FALSE,"ELECTRICAL"}</definedName>
    <definedName name="wrn.DPH_INST_SUMMARY." localSheetId="4" hidden="1">{"DPH_INST_SUMMARY",#N/A,FALSE,"SUMMARY-INSTS"}</definedName>
    <definedName name="wrn.DPH_INST_SUMMARY." localSheetId="5" hidden="1">{"DPH_INST_SUMMARY",#N/A,FALSE,"SUMMARY-INSTS"}</definedName>
    <definedName name="wrn.ENTIRE." localSheetId="4" hidden="1">{#N/A,#N/A,FALSE,"Cover";#N/A,#N/A,FALSE,"Mech (Eng)";#N/A,#N/A,FALSE,"Mech2 (Eng)";#N/A,#N/A,FALSE,"Mech3 (Eng)";#N/A,#N/A,FALSE,"Mech4 (Eng)"}</definedName>
    <definedName name="wrn.ENTIRE." localSheetId="5" hidden="1">{#N/A,#N/A,FALSE,"Cover";#N/A,#N/A,FALSE,"Mech (Eng)";#N/A,#N/A,FALSE,"Mech2 (Eng)";#N/A,#N/A,FALSE,"Mech3 (Eng)";#N/A,#N/A,FALSE,"Mech4 (Eng)"}</definedName>
    <definedName name="wrn.INST_DPG." localSheetId="4" hidden="1">{"INST_DPG",#N/A,FALSE,"INST"}</definedName>
    <definedName name="wrn.INST_DPG." localSheetId="5" hidden="1">{"INST_DPG",#N/A,FALSE,"INST"}</definedName>
    <definedName name="wrn.INST_DPG_SUMMARY." localSheetId="4" hidden="1">{"INST_DPG_SUMMARY",#N/A,FALSE,"SUMMARY-INSTS (2)"}</definedName>
    <definedName name="wrn.INST_DPG_SUMMARY." localSheetId="5" hidden="1">{"INST_DPG_SUMMARY",#N/A,FALSE,"SUMMARY-INSTS (2)"}</definedName>
    <definedName name="wrn.INST_DPH." localSheetId="4" hidden="1">{"INST_DPH",#N/A,FALSE,"INST"}</definedName>
    <definedName name="wrn.INST_DPH." localSheetId="5" hidden="1">{"INST_DPH",#N/A,FALSE,"INST"}</definedName>
    <definedName name="wrn.INST_DPH_SUMMARY." localSheetId="4" hidden="1">{"INST_DPH_SUMMARY",#N/A,FALSE,"SUMMARY-INSTS (2)"}</definedName>
    <definedName name="wrn.INST_DPH_SUMMARY." localSheetId="5" hidden="1">{"INST_DPH_SUMMARY",#N/A,FALSE,"SUMMARY-INSTS (2)"}</definedName>
    <definedName name="wrn.INST_MTO_SUMMARY." localSheetId="4" hidden="1">{#N/A,#N/A,FALSE,"3"}</definedName>
    <definedName name="wrn.INST_MTO_SUMMARY." localSheetId="5" hidden="1">{#N/A,#N/A,FALSE,"3"}</definedName>
    <definedName name="wrn.INST_NASR." localSheetId="4" hidden="1">{"INST_NASR",#N/A,FALSE,"INST"}</definedName>
    <definedName name="wrn.INST_NASR." localSheetId="5" hidden="1">{"INST_NASR",#N/A,FALSE,"INST"}</definedName>
    <definedName name="wrn.INST_NASR_SUMMARY." localSheetId="4" hidden="1">{"INST_NASR_SUMMARY",#N/A,FALSE,"SUMMARY-INSTS (2)"}</definedName>
    <definedName name="wrn.INST_NASR_SUMMARY." localSheetId="5" hidden="1">{"INST_NASR_SUMMARY",#N/A,FALSE,"SUMMARY-INSTS (2)"}</definedName>
    <definedName name="wrn.INST_PPE." localSheetId="4" hidden="1">{"INST_PPE",#N/A,FALSE,"INST"}</definedName>
    <definedName name="wrn.INST_PPE." localSheetId="5" hidden="1">{"INST_PPE",#N/A,FALSE,"INST"}</definedName>
    <definedName name="wrn.INST_PPE_SUMMARY." localSheetId="4" hidden="1">{"INST_PPE_SUMMARY",#N/A,FALSE,"SUMMARY-INSTS (2)"}</definedName>
    <definedName name="wrn.INST_PPE_SUMMARY." localSheetId="5" hidden="1">{"INST_PPE_SUMMARY",#N/A,FALSE,"SUMMARY-INSTS (2)"}</definedName>
    <definedName name="wrn.INST_PR_MTO." localSheetId="4" hidden="1">{#N/A,#N/A,FALSE,"2"}</definedName>
    <definedName name="wrn.INST_PR_MTO." localSheetId="5" hidden="1">{#N/A,#N/A,FALSE,"2"}</definedName>
    <definedName name="wrn.INST_WPE1." localSheetId="4" hidden="1">{"INST_WPE1",#N/A,FALSE,"INST"}</definedName>
    <definedName name="wrn.INST_WPE1." localSheetId="5" hidden="1">{"INST_WPE1",#N/A,FALSE,"INST"}</definedName>
    <definedName name="wrn.INST_WPE1_INST." localSheetId="4" hidden="1">{"INST_WPE1",#N/A,FALSE,"SUMMARY-INSTS"}</definedName>
    <definedName name="wrn.INST_WPE1_INST." localSheetId="5" hidden="1">{"INST_WPE1",#N/A,FALSE,"SUMMARY-INSTS"}</definedName>
    <definedName name="wrn.INST_WPE1_SUMMARY." localSheetId="4" hidden="1">{"INST_WPE1_SUMMARY",#N/A,FALSE,"SUMMARY-INSTS (2)"}</definedName>
    <definedName name="wrn.INST_WPE1_SUMMARY." localSheetId="5" hidden="1">{"INST_WPE1_SUMMARY",#N/A,FALSE,"SUMMARY-INSTS (2)"}</definedName>
    <definedName name="wrn.INST_WPE2." localSheetId="4" hidden="1">{"INST_WPE2",#N/A,FALSE,"INST"}</definedName>
    <definedName name="wrn.INST_WPE2." localSheetId="5" hidden="1">{"INST_WPE2",#N/A,FALSE,"INST"}</definedName>
    <definedName name="wrn.INST_WPE2_SUMMARY." localSheetId="4" hidden="1">{"INST_WPE2_SUMMARY",#N/A,FALSE,"SUMMARY-INSTS (2)"}</definedName>
    <definedName name="wrn.INST_WPE2_SUMMARY." localSheetId="5" hidden="1">{"INST_WPE2_SUMMARY",#N/A,FALSE,"SUMMARY-INSTS (2)"}</definedName>
    <definedName name="wrn.INST_WPE3." localSheetId="4" hidden="1">{"INST_WPE3",#N/A,FALSE,"INST"}</definedName>
    <definedName name="wrn.INST_WPE3." localSheetId="5" hidden="1">{"INST_WPE3",#N/A,FALSE,"INST"}</definedName>
    <definedName name="wrn.INST_WPE3_SUMMARY." localSheetId="4" hidden="1">{"INST_WPE3_SUMMARY",#N/A,FALSE,"SUMMARY-INSTS (2)"}</definedName>
    <definedName name="wrn.INST_WPE3_SUMMARY." localSheetId="5" hidden="1">{"INST_WPE3_SUMMARY",#N/A,FALSE,"SUMMARY-INSTS (2)"}</definedName>
    <definedName name="wrn.NASR_ISLAND_INST_SUMMARY." localSheetId="4" hidden="1">{"NASR_ISLAND_INST_SUMMARY",#N/A,FALSE,"SUMMARY-INSTS"}</definedName>
    <definedName name="wrn.NASR_ISLAND_INST_SUMMARY." localSheetId="5" hidden="1">{"NASR_ISLAND_INST_SUMMARY",#N/A,FALSE,"SUMMARY-INSTS"}</definedName>
    <definedName name="wrn.PANELS.ETC." localSheetId="4" hidden="1">{"PANELS.L.FITTINGS",#N/A,FALSE,"ELECTRICAL"}</definedName>
    <definedName name="wrn.PANELS.ETC." localSheetId="5" hidden="1">{"PANELS.L.FITTINGS",#N/A,FALSE,"ELECTRICAL"}</definedName>
    <definedName name="wrn.PPE." localSheetId="4" hidden="1">{"PPE",#N/A,FALSE,"ELECTRICAL"}</definedName>
    <definedName name="wrn.PPE." localSheetId="5" hidden="1">{"PPE",#N/A,FALSE,"ELECTRICAL"}</definedName>
    <definedName name="wrn.PPE_INST." localSheetId="4" hidden="1">{"PPE_INST",#N/A,FALSE,"INST"}</definedName>
    <definedName name="wrn.PPE_INST." localSheetId="5" hidden="1">{"PPE_INST",#N/A,FALSE,"INST"}</definedName>
    <definedName name="wrn.PPE_INST_SUMMARY." localSheetId="4" hidden="1">{"PPE_INST_SUMMARY",#N/A,FALSE,"SUMMARY-INSTS"}</definedName>
    <definedName name="wrn.PPE_INST_SUMMARY." localSheetId="5" hidden="1">{"PPE_INST_SUMMARY",#N/A,FALSE,"SUMMARY-INSTS"}</definedName>
    <definedName name="wrn.WPE1." localSheetId="4" hidden="1">{"WPE1",#N/A,FALSE,"ELECTRICAL"}</definedName>
    <definedName name="wrn.WPE1." localSheetId="5" hidden="1">{"WPE1",#N/A,FALSE,"ELECTRICAL"}</definedName>
    <definedName name="wrn.WPE1._.INST." localSheetId="4" hidden="1">{"WPE1 INST",#N/A,FALSE,"ELECTRICAL"}</definedName>
    <definedName name="wrn.WPE1._.INST." localSheetId="5" hidden="1">{"WPE1 INST",#N/A,FALSE,"ELECTRICAL"}</definedName>
    <definedName name="wrn.WPE2." localSheetId="4" hidden="1">{"WPE2",#N/A,FALSE,"ELECTRICAL"}</definedName>
    <definedName name="wrn.WPE2." localSheetId="5" hidden="1">{"WPE2",#N/A,FALSE,"ELECTRICAL"}</definedName>
    <definedName name="wrn.WPE2._.INST." localSheetId="4" hidden="1">{"WPE2 INST",#N/A,FALSE,"ELECTRICAL"}</definedName>
    <definedName name="wrn.WPE2._.INST." localSheetId="5" hidden="1">{"WPE2 INST",#N/A,FALSE,"ELECTRICAL"}</definedName>
    <definedName name="wrn.WPE3." localSheetId="4" hidden="1">{"WPE3",#N/A,FALSE,"ELECTRICAL"}</definedName>
    <definedName name="wrn.WPE3." localSheetId="5" hidden="1">{"WPE3",#N/A,FALSE,"ELECTRICAL"}</definedName>
    <definedName name="wrn.WPE3_INST." localSheetId="4" hidden="1">{"WPE3_INST",#N/A,FALSE,"INST"}</definedName>
    <definedName name="wrn.WPE3_INST." localSheetId="5" hidden="1">{"WPE3_INST",#N/A,FALSE,"INST"}</definedName>
    <definedName name="wrn.WPE3_INST_SUMMARY." localSheetId="4" hidden="1">{"WPE3_INST_SUMMARY",#N/A,FALSE,"SUMMARY-INSTS"}</definedName>
    <definedName name="wrn.WPE3_INST_SUMMARY." localSheetId="5" hidden="1">{"WPE3_INST_SUMMARY",#N/A,FALSE,"SUMMARY-INSTS"}</definedName>
    <definedName name="wrn.교대." localSheetId="4" hidden="1">{#N/A,#N/A,FALSE,"type1";#N/A,#N/A,FALSE,"지지력";#N/A,#N/A,FALSE,"PILE계산";#N/A,#N/A,FALSE,"PILE ";#N/A,#N/A,FALSE,"철근량";#N/A,#N/A,FALSE,"균열검토";#N/A,#N/A,FALSE,"날개벽";#N/A,#N/A,FALSE,"주철근조립도";#N/A,#N/A,FALSE,"교좌"}</definedName>
    <definedName name="wrn.교대." localSheetId="5" hidden="1">{#N/A,#N/A,FALSE,"type1";#N/A,#N/A,FALSE,"지지력";#N/A,#N/A,FALSE,"PILE계산";#N/A,#N/A,FALSE,"PILE ";#N/A,#N/A,FALSE,"철근량";#N/A,#N/A,FALSE,"균열검토";#N/A,#N/A,FALSE,"날개벽";#N/A,#N/A,FALSE,"주철근조립도";#N/A,#N/A,FALSE,"교좌"}</definedName>
    <definedName name="wrn.부서회의." localSheetId="4" hidden="1">{"LKD",#N/A,FALSE,"표지"}</definedName>
    <definedName name="wrn.부서회의." localSheetId="5" hidden="1">{"LKD",#N/A,FALSE,"표지"}</definedName>
    <definedName name="WT">'[6]Exh Branch(8K)(依前購)'!$R$73:$R$76</definedName>
    <definedName name="WTx">'[6]Exh Branch(8K)(依前購)'!$T$73:$T$76</definedName>
    <definedName name="WWW" localSheetId="4" hidden="1">{#N/A,#N/A,FALSE,"CCTV"}</definedName>
    <definedName name="WWW" localSheetId="5" hidden="1">{#N/A,#N/A,FALSE,"CCTV"}</definedName>
    <definedName name="x" localSheetId="2">#REF!</definedName>
    <definedName name="x" localSheetId="5">#REF!</definedName>
    <definedName name="x" localSheetId="6">#REF!</definedName>
    <definedName name="x" localSheetId="7">#REF!</definedName>
    <definedName name="xxx" localSheetId="2">#REF!</definedName>
    <definedName name="xxx" localSheetId="5">#REF!</definedName>
    <definedName name="xxx" localSheetId="6">#REF!</definedName>
    <definedName name="xxx" localSheetId="7">#REF!</definedName>
    <definedName name="xxxa" localSheetId="2">#REF!</definedName>
    <definedName name="xxxa" localSheetId="5">#REF!</definedName>
    <definedName name="xxxa" localSheetId="6">#REF!</definedName>
    <definedName name="xxxa" localSheetId="7">#REF!</definedName>
    <definedName name="xxxxxx" localSheetId="6">#REF!</definedName>
    <definedName name="xxxxxx">#REF!</definedName>
    <definedName name="Y" localSheetId="4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Y" localSheetId="5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Yield" localSheetId="2">#REF!</definedName>
    <definedName name="Yield" localSheetId="5">#REF!</definedName>
    <definedName name="Yield" localSheetId="6">#REF!</definedName>
    <definedName name="Yield" localSheetId="7">#REF!</definedName>
    <definedName name="yield.">'[6]Exh Branch(8K)(依前購)'!$B$150</definedName>
    <definedName name="yrdtytyt" localSheetId="4" hidden="1">{#N/A,#N/A,FALSE,"CCTV"}</definedName>
    <definedName name="yrdtytyt" localSheetId="5" hidden="1">{#N/A,#N/A,FALSE,"CCTV"}</definedName>
    <definedName name="YU" localSheetId="4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YU" localSheetId="5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yuuu" localSheetId="2">#REF!</definedName>
    <definedName name="yuuu" localSheetId="5">#REF!</definedName>
    <definedName name="yuuu" localSheetId="6">#REF!</definedName>
    <definedName name="yuuu" localSheetId="7">#REF!</definedName>
    <definedName name="yyy" localSheetId="2">#REF!</definedName>
    <definedName name="yyy" localSheetId="5">#REF!</definedName>
    <definedName name="yyy" localSheetId="6">#REF!</definedName>
    <definedName name="yyy" localSheetId="7">#REF!</definedName>
    <definedName name="zzz" localSheetId="2">#REF!</definedName>
    <definedName name="zzz" localSheetId="5">#REF!</definedName>
    <definedName name="zzz" localSheetId="6">#REF!</definedName>
    <definedName name="zzz" localSheetId="7">#REF!</definedName>
    <definedName name="zzzz" localSheetId="6">#REF!</definedName>
    <definedName name="zzzz">#REF!</definedName>
    <definedName name="α" localSheetId="6">[37]Ⅰ!#REF!</definedName>
    <definedName name="α">[37]Ⅰ!#REF!</definedName>
    <definedName name="β" localSheetId="6">[37]Ⅰ!#REF!</definedName>
    <definedName name="β">[37]Ⅰ!#REF!</definedName>
    <definedName name="γ" localSheetId="6">[37]Ⅰ!#REF!</definedName>
    <definedName name="γ">[37]Ⅰ!#REF!</definedName>
    <definedName name="겡오" localSheetId="4" hidden="1">{#N/A,#N/A,FALSE,"CCTV"}</definedName>
    <definedName name="겡오" localSheetId="5" hidden="1">{#N/A,#N/A,FALSE,"CCTV"}</definedName>
    <definedName name="견적조건" hidden="1">[38]산근!#REF!</definedName>
    <definedName name="경비2차분" localSheetId="4" hidden="1">{"'장비'!$A$3:$M$12"}</definedName>
    <definedName name="경비2차분" localSheetId="5" hidden="1">{"'장비'!$A$3:$M$12"}</definedName>
    <definedName name="계장공사" localSheetId="4" hidden="1">{#N/A,#N/A,FALSE,"CCTV"}</definedName>
    <definedName name="계장공사" localSheetId="5" hidden="1">{#N/A,#N/A,FALSE,"CCTV"}</definedName>
    <definedName name="김명준" localSheetId="4" hidden="1">{"LKD",#N/A,FALSE,"표지"}</definedName>
    <definedName name="김명준" localSheetId="5" hidden="1">{"LKD",#N/A,FALSE,"표지"}</definedName>
    <definedName name="김병철" localSheetId="4" hidden="1">{"LKD",#N/A,FALSE,"표지"}</definedName>
    <definedName name="김병철" localSheetId="5" hidden="1">{"LKD",#N/A,FALSE,"표지"}</definedName>
    <definedName name="김병철1" localSheetId="4" hidden="1">{"LKD",#N/A,FALSE,"표지"}</definedName>
    <definedName name="김병철1" localSheetId="5" hidden="1">{"LKD",#N/A,FALSE,"표지"}</definedName>
    <definedName name="김재홍" localSheetId="4" hidden="1">{"LKD",#N/A,FALSE,"표지"}</definedName>
    <definedName name="김재홍" localSheetId="5" hidden="1">{"LKD",#N/A,FALSE,"표지"}</definedName>
    <definedName name="天和工程企業有限公司" localSheetId="2">#REF!</definedName>
    <definedName name="天和工程企業有限公司" localSheetId="5">#REF!</definedName>
    <definedName name="天和工程企業有限公司" localSheetId="6">#REF!</definedName>
    <definedName name="天和工程企業有限公司" localSheetId="7">#REF!</definedName>
    <definedName name="日圓" localSheetId="2">#REF!</definedName>
    <definedName name="日圓" localSheetId="5">#REF!</definedName>
    <definedName name="日圓" localSheetId="6">#REF!</definedName>
    <definedName name="日圓" localSheetId="7">#REF!</definedName>
    <definedName name="水管工程" localSheetId="2">#REF!</definedName>
    <definedName name="水管工程" localSheetId="5">#REF!</definedName>
    <definedName name="水管工程" localSheetId="6">#REF!</definedName>
    <definedName name="水管工程" localSheetId="7">#REF!</definedName>
    <definedName name="出差費用" localSheetId="4">{"'Sheet1'!$L$16"}</definedName>
    <definedName name="出差費用" localSheetId="5">{"'Sheet1'!$L$16"}</definedName>
    <definedName name="出差費用_1" localSheetId="4">{"'Sheet1'!$L$16"}</definedName>
    <definedName name="出差費用_1" localSheetId="5">{"'Sheet1'!$L$16"}</definedName>
    <definedName name="出差費用_1_1" localSheetId="4">{"'Sheet1'!$L$16"}</definedName>
    <definedName name="出差費用_1_1" localSheetId="5">{"'Sheet1'!$L$16"}</definedName>
    <definedName name="出差費用_2" localSheetId="4">{"'Sheet1'!$L$16"}</definedName>
    <definedName name="出差費用_2" localSheetId="5">{"'Sheet1'!$L$16"}</definedName>
    <definedName name="出差費用_3" localSheetId="4">{"'Sheet1'!$L$16"}</definedName>
    <definedName name="出差費用_3" localSheetId="5">{"'Sheet1'!$L$16"}</definedName>
    <definedName name="出差費用_4" localSheetId="4">{"'Sheet1'!$L$16"}</definedName>
    <definedName name="出差費用_4" localSheetId="5">{"'Sheet1'!$L$16"}</definedName>
    <definedName name="出差費用_5" localSheetId="4">{"'Sheet1'!$L$16"}</definedName>
    <definedName name="出差費用_5" localSheetId="5">{"'Sheet1'!$L$16"}</definedName>
    <definedName name="台幣">#REF!</definedName>
    <definedName name="ㄴㄴ" localSheetId="4" hidden="1">{"LKD",#N/A,FALSE,"표지"}</definedName>
    <definedName name="ㄴㄴ" localSheetId="5" hidden="1">{"LKD",#N/A,FALSE,"표지"}</definedName>
    <definedName name="安裝" localSheetId="2">#REF!</definedName>
    <definedName name="安裝" localSheetId="5">#REF!</definedName>
    <definedName name="安裝" localSheetId="6">#REF!</definedName>
    <definedName name="安裝" localSheetId="7">#REF!</definedName>
    <definedName name="有修改的" localSheetId="2">#REF!</definedName>
    <definedName name="有修改的" localSheetId="5">#REF!</definedName>
    <definedName name="有修改的" localSheetId="6">#REF!</definedName>
    <definedName name="有修改的" localSheetId="7">#REF!</definedName>
    <definedName name="自動化系統工程" localSheetId="2">#REF!</definedName>
    <definedName name="自動化系統工程" localSheetId="5">#REF!</definedName>
    <definedName name="自動化系統工程" localSheetId="6">#REF!</definedName>
    <definedName name="自動化系統工程" localSheetId="7">#REF!</definedName>
    <definedName name="ㄷㄷ" localSheetId="4" hidden="1">{"LKD",#N/A,FALSE,"표지"}</definedName>
    <definedName name="ㄷㄷ" localSheetId="5" hidden="1">{"LKD",#N/A,FALSE,"표지"}</definedName>
    <definedName name="施工區域">[39]施工區域!$A$3:$A$50</definedName>
    <definedName name="美金" localSheetId="2">#REF!</definedName>
    <definedName name="美金" localSheetId="5">#REF!</definedName>
    <definedName name="美金" localSheetId="6">#REF!</definedName>
    <definedName name="美金" localSheetId="7">#REF!</definedName>
    <definedName name="風管工程" localSheetId="2">#REF!</definedName>
    <definedName name="風管工程" localSheetId="5">#REF!</definedName>
    <definedName name="風管工程" localSheetId="6">#REF!</definedName>
    <definedName name="風管工程" localSheetId="7">#REF!</definedName>
    <definedName name="乘">#NAME?</definedName>
    <definedName name="乘_18">#NAME?</definedName>
    <definedName name="乘_19">#NAME?</definedName>
    <definedName name="乘_22">#NAME?</definedName>
    <definedName name="乘_26">#NAME?</definedName>
    <definedName name="乘_6">#NAME?</definedName>
    <definedName name="乘號">#NAME?</definedName>
    <definedName name="乘號_18">#NAME?</definedName>
    <definedName name="乘號_19">#NAME?</definedName>
    <definedName name="乘號_22">#NAME?</definedName>
    <definedName name="乘號_26">#NAME?</definedName>
    <definedName name="乘號_6">#NAME?</definedName>
    <definedName name="原則" localSheetId="2">#REF!</definedName>
    <definedName name="原則" localSheetId="5">#REF!</definedName>
    <definedName name="原則" localSheetId="6">#REF!</definedName>
    <definedName name="原則" localSheetId="7">#REF!</definedName>
    <definedName name="缺失類型" localSheetId="2">#REF!</definedName>
    <definedName name="缺失類型" localSheetId="5">#REF!</definedName>
    <definedName name="缺失類型" localSheetId="6">#REF!</definedName>
    <definedName name="缺失類型" localSheetId="7">#REF!</definedName>
    <definedName name="配電工程" localSheetId="2">#REF!</definedName>
    <definedName name="配電工程" localSheetId="5">#REF!</definedName>
    <definedName name="配電工程" localSheetId="6">#REF!</definedName>
    <definedName name="配電工程" localSheetId="7">#REF!</definedName>
    <definedName name="執行預算">'[6]Exh Branch(8K)(依前購)'!$B:$K,'[6]Exh Branch(8K)(依前購)'!$AB:$AB</definedName>
    <definedName name="第1頁" localSheetId="2">#REF!</definedName>
    <definedName name="第1頁" localSheetId="5">#REF!</definedName>
    <definedName name="第1頁" localSheetId="6">#REF!</definedName>
    <definedName name="第1頁" localSheetId="7">#REF!</definedName>
    <definedName name="第2頁" localSheetId="2">#REF!</definedName>
    <definedName name="第2頁" localSheetId="5">#REF!</definedName>
    <definedName name="第2頁" localSheetId="6">#REF!</definedName>
    <definedName name="第2頁" localSheetId="7">#REF!</definedName>
    <definedName name="第3頁" localSheetId="2">#REF!</definedName>
    <definedName name="第3頁" localSheetId="5">#REF!</definedName>
    <definedName name="第3頁" localSheetId="6">#REF!</definedName>
    <definedName name="第3頁" localSheetId="7">#REF!</definedName>
    <definedName name="第4頁" localSheetId="6">#REF!</definedName>
    <definedName name="第4頁">#REF!</definedName>
    <definedName name="第5頁" localSheetId="6">#REF!</definedName>
    <definedName name="第5頁">#REF!</definedName>
    <definedName name="第6頁" localSheetId="6">#REF!</definedName>
    <definedName name="第6頁">#REF!</definedName>
    <definedName name="第7頁" localSheetId="6">#REF!</definedName>
    <definedName name="第7頁">#REF!</definedName>
    <definedName name="第8頁" localSheetId="6">#REF!</definedName>
    <definedName name="第8頁">#REF!</definedName>
    <definedName name="第一頁" localSheetId="6">#REF!</definedName>
    <definedName name="第一頁">#REF!</definedName>
    <definedName name="報">#N/A</definedName>
    <definedName name="訴" localSheetId="2" hidden="1">#REF!</definedName>
    <definedName name="訴" localSheetId="5" hidden="1">#REF!</definedName>
    <definedName name="訴" localSheetId="6" hidden="1">#REF!</definedName>
    <definedName name="訴" localSheetId="7" hidden="1">#REF!</definedName>
    <definedName name="項目" localSheetId="2">#REF!</definedName>
    <definedName name="項目" localSheetId="5">#REF!</definedName>
    <definedName name="項目" localSheetId="6">#REF!</definedName>
    <definedName name="項目" localSheetId="7">#REF!</definedName>
    <definedName name="ㄹㄹ" localSheetId="4" hidden="1">{"LKD",#N/A,FALSE,"표지"}</definedName>
    <definedName name="ㄹㄹ" localSheetId="5" hidden="1">{"LKD",#N/A,FALSE,"표지"}</definedName>
    <definedName name="류기평" localSheetId="4" hidden="1">{"LKD",#N/A,FALSE,"표지"}</definedName>
    <definedName name="류기평" localSheetId="5" hidden="1">{"LKD",#N/A,FALSE,"표지"}</definedName>
    <definedName name="潛在危害">[40]缺失類型!$A$1:$A$15</definedName>
    <definedName name="ㅁㅁㅁ" localSheetId="4" hidden="1">{"LKD",#N/A,FALSE,"표지"}</definedName>
    <definedName name="ㅁㅁㅁ" localSheetId="5" hidden="1">{"LKD",#N/A,FALSE,"표지"}</definedName>
    <definedName name="ㅁㅁㅁㅁㅁ" localSheetId="4" hidden="1">{"LKD",#N/A,FALSE,"표지"}</definedName>
    <definedName name="ㅁㅁㅁㅁㅁ" localSheetId="5" hidden="1">{"LKD",#N/A,FALSE,"표지"}</definedName>
    <definedName name="機器安裝" localSheetId="2">#REF!</definedName>
    <definedName name="機器安裝" localSheetId="5">#REF!</definedName>
    <definedName name="機器安裝" localSheetId="6">#REF!</definedName>
    <definedName name="機器安裝" localSheetId="7">#REF!</definedName>
    <definedName name="機器設備" localSheetId="2">#REF!</definedName>
    <definedName name="機器設備" localSheetId="5">#REF!</definedName>
    <definedName name="機器設備" localSheetId="6">#REF!</definedName>
    <definedName name="機器設備" localSheetId="7">#REF!</definedName>
    <definedName name="儲冰槽工程" localSheetId="2">#REF!</definedName>
    <definedName name="儲冰槽工程" localSheetId="5">#REF!</definedName>
    <definedName name="儲冰槽工程" localSheetId="6">#REF!</definedName>
    <definedName name="儲冰槽工程" localSheetId="7">#REF!</definedName>
    <definedName name="부대공사" localSheetId="2" hidden="1">#REF!</definedName>
    <definedName name="부대공사" localSheetId="5" hidden="1">#REF!</definedName>
    <definedName name="부대공사" localSheetId="6" hidden="1">#REF!</definedName>
    <definedName name="부대공사" localSheetId="7" hidden="1">#REF!</definedName>
    <definedName name="분류" localSheetId="4" hidden="1">{"LKD",#N/A,FALSE,"표지"}</definedName>
    <definedName name="분류" localSheetId="5" hidden="1">{"LKD",#N/A,FALSE,"표지"}</definedName>
    <definedName name="ㅅㅅ" localSheetId="4" hidden="1">{"LKD",#N/A,FALSE,"표지"}</definedName>
    <definedName name="ㅅㅅ" localSheetId="5" hidden="1">{"LKD",#N/A,FALSE,"표지"}</definedName>
    <definedName name="ㅇㅇ" localSheetId="4" hidden="1">{"LKD",#N/A,FALSE,"표지"}</definedName>
    <definedName name="ㅇㅇ" localSheetId="5" hidden="1">{"LKD",#N/A,FALSE,"표지"}</definedName>
    <definedName name="이금모" localSheetId="4" hidden="1">{"LKD",#N/A,FALSE,"표지"}</definedName>
    <definedName name="이금모" localSheetId="5" hidden="1">{"LKD",#N/A,FALSE,"표지"}</definedName>
    <definedName name="ㅈㅈㅈ" localSheetId="4" hidden="1">{"LKD",#N/A,FALSE,"표지"}</definedName>
    <definedName name="ㅈㅈㅈ" localSheetId="5" hidden="1">{"LKD",#N/A,FALSE,"표지"}</definedName>
    <definedName name="최대현" localSheetId="4" hidden="1">{"LKD",#N/A,FALSE,"표지"}</definedName>
    <definedName name="최대현" localSheetId="5" hidden="1">{"LKD",#N/A,FALSE,"표지"}</definedName>
    <definedName name="최대현1" localSheetId="4" hidden="1">{"LKD",#N/A,FALSE,"표지"}</definedName>
    <definedName name="최대현1" localSheetId="5" hidden="1">{"LKD",#N/A,FALSE,"표지"}</definedName>
    <definedName name="추가분" localSheetId="4" hidden="1">{"'장비'!$A$3:$M$12"}</definedName>
    <definedName name="추가분" localSheetId="5" hidden="1">{"'장비'!$A$3:$M$12"}</definedName>
    <definedName name="토목변경" localSheetId="4" hidden="1">{"'장비'!$A$3:$M$12"}</definedName>
    <definedName name="토목변경" localSheetId="5" hidden="1">{"'장비'!$A$3:$M$12"}</definedName>
    <definedName name="토목실행예산" localSheetId="4" hidden="1">{"'장비'!$A$3:$M$12"}</definedName>
    <definedName name="토목실행예산" localSheetId="5" hidden="1">{"'장비'!$A$3:$M$12"}</definedName>
    <definedName name="토목조정분" localSheetId="4" hidden="1">{"'장비'!$A$3:$M$12"}</definedName>
    <definedName name="토목조정분" localSheetId="5" hidden="1">{"'장비'!$A$3:$M$12"}</definedName>
    <definedName name="하하" localSheetId="4" hidden="1">{"LKD",#N/A,FALSE,"표지"}</definedName>
    <definedName name="하하" localSheetId="5" hidden="1">{"LKD",#N/A,FALSE,"표지"}</definedName>
    <definedName name="할" localSheetId="4" hidden="1">{"LKD",#N/A,FALSE,"표지"}</definedName>
    <definedName name="할" localSheetId="5" hidden="1">{"LKD",#N/A,FALSE,"표지"}</definedName>
    <definedName name="현장조직1" localSheetId="4" hidden="1">{"LKD",#N/A,FALSE,"표지"}</definedName>
    <definedName name="현장조직1" localSheetId="5" hidden="1">{"LKD",#N/A,FALSE,"표지"}</definedName>
    <definedName name="호가" localSheetId="4" hidden="1">{"LKD",#N/A,FALSE,"표지"}</definedName>
    <definedName name="호가" localSheetId="5" hidden="1">{"LKD",#N/A,FALSE,"표지"}</definedName>
    <definedName name="ㅣㅣ" localSheetId="4" hidden="1">{"LKD",#N/A,FALSE,"표지"}</definedName>
    <definedName name="ㅣㅣ" localSheetId="5" hidden="1">{"LKD",#N/A,FALSE,"표지"}</definedName>
  </definedNames>
  <calcPr calcId="191028" calcMode="manual" calcCompleted="0"/>
  <pivotCaches>
    <pivotCache cacheId="3319" r:id="rId53"/>
    <pivotCache cacheId="3320" r:id="rId5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ject" name="Project" connection="WorksheetConnection_PC_Overview_100721_Rev2.xlsx!Project"/>
          <x15:modelTable id="Contract" name="Contract" connection="WorksheetConnection_PC_Overview_100721_Rev2.xlsx!Contrac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2" i="75" l="1"/>
  <c r="X3" i="75"/>
  <c r="X4" i="75"/>
  <c r="X5" i="75"/>
  <c r="X6" i="75"/>
  <c r="X7" i="75"/>
  <c r="X8" i="75"/>
  <c r="X9" i="75"/>
  <c r="X10" i="75"/>
  <c r="X11" i="75"/>
  <c r="X12" i="75"/>
  <c r="X13" i="75"/>
  <c r="X14" i="75"/>
  <c r="X15" i="75"/>
  <c r="X16" i="75"/>
  <c r="X17" i="75"/>
  <c r="X18" i="75"/>
  <c r="X19" i="75"/>
  <c r="X20" i="75"/>
  <c r="X21" i="75"/>
  <c r="X22" i="75"/>
  <c r="X23" i="75"/>
  <c r="X24" i="75"/>
  <c r="X25" i="75"/>
  <c r="X26" i="75"/>
  <c r="X27" i="75"/>
  <c r="X28" i="75"/>
  <c r="X29" i="75"/>
  <c r="X30" i="75"/>
  <c r="X31" i="75"/>
  <c r="X32" i="75"/>
  <c r="X33" i="75"/>
  <c r="X34" i="75"/>
  <c r="X35" i="75"/>
  <c r="X36" i="75"/>
  <c r="X37" i="75"/>
  <c r="X38" i="75"/>
  <c r="X39" i="75"/>
  <c r="X40" i="75"/>
  <c r="X41" i="75"/>
  <c r="X42" i="75"/>
  <c r="X43" i="75"/>
  <c r="X44" i="75"/>
  <c r="X45" i="75"/>
  <c r="X46" i="75"/>
  <c r="X47" i="75"/>
  <c r="X48" i="75"/>
  <c r="X49" i="75"/>
  <c r="X50" i="75"/>
  <c r="X51" i="75"/>
  <c r="X52" i="75"/>
  <c r="X53" i="75"/>
  <c r="X54" i="75"/>
  <c r="X55" i="75"/>
  <c r="X56" i="75"/>
  <c r="X57" i="75"/>
  <c r="X58" i="75"/>
  <c r="X59" i="75"/>
  <c r="X60" i="75"/>
  <c r="X61" i="75"/>
  <c r="X62" i="75"/>
  <c r="X63" i="75"/>
  <c r="X64" i="75"/>
  <c r="X65" i="75"/>
  <c r="X66" i="75"/>
  <c r="X67" i="75"/>
  <c r="X68" i="75"/>
  <c r="X69" i="75"/>
  <c r="X70" i="75"/>
  <c r="X71" i="75"/>
  <c r="X72" i="75"/>
  <c r="X73" i="75"/>
  <c r="X74" i="75"/>
  <c r="X75" i="75"/>
  <c r="X76" i="75"/>
  <c r="X77" i="75"/>
  <c r="X78" i="75"/>
  <c r="X79" i="75"/>
  <c r="X80" i="75"/>
  <c r="X81" i="75"/>
  <c r="X82" i="75"/>
  <c r="X83" i="75"/>
  <c r="X84" i="75"/>
  <c r="X85" i="75"/>
  <c r="X86" i="75"/>
  <c r="X87" i="75"/>
  <c r="X88" i="75"/>
  <c r="X89" i="75"/>
  <c r="X90" i="75"/>
  <c r="X91" i="75"/>
  <c r="X92" i="75"/>
  <c r="X93" i="75"/>
  <c r="X94" i="75"/>
  <c r="X95" i="75"/>
  <c r="X96" i="75"/>
  <c r="X97" i="75"/>
  <c r="X98" i="75"/>
  <c r="X99" i="75"/>
  <c r="X100" i="75"/>
  <c r="X101" i="75"/>
  <c r="X102" i="75"/>
  <c r="X103" i="75"/>
  <c r="X104" i="75"/>
  <c r="X105" i="75"/>
  <c r="X106" i="75"/>
  <c r="X107" i="75"/>
  <c r="X108" i="75"/>
  <c r="X109" i="75"/>
  <c r="X110" i="75"/>
  <c r="X111" i="75"/>
  <c r="X112" i="75"/>
  <c r="X113" i="75"/>
  <c r="X114" i="75"/>
  <c r="X115" i="75"/>
  <c r="X116" i="75"/>
  <c r="X117" i="75"/>
  <c r="X118" i="75"/>
  <c r="X119" i="75"/>
  <c r="X120" i="75"/>
  <c r="X121" i="75"/>
  <c r="X122" i="75"/>
  <c r="X123" i="75"/>
  <c r="X124" i="75"/>
  <c r="X125" i="75"/>
  <c r="X126" i="75"/>
  <c r="X127" i="75"/>
  <c r="X128" i="75"/>
  <c r="X129" i="75"/>
  <c r="X130" i="75"/>
  <c r="X131" i="75"/>
  <c r="X132" i="75"/>
  <c r="X133" i="75"/>
  <c r="X134" i="75"/>
  <c r="X135" i="75"/>
  <c r="X136" i="75"/>
  <c r="X137" i="75"/>
  <c r="X138" i="75"/>
  <c r="X139" i="75"/>
  <c r="X140" i="75"/>
  <c r="X141" i="75"/>
  <c r="X142" i="75"/>
  <c r="X143" i="75"/>
  <c r="X144" i="75"/>
  <c r="X145" i="75"/>
  <c r="X146" i="75"/>
  <c r="X147" i="75"/>
  <c r="X148" i="75"/>
  <c r="X149" i="75"/>
  <c r="X150" i="75"/>
  <c r="X151" i="75"/>
  <c r="X153" i="75"/>
  <c r="X154" i="75"/>
  <c r="X155" i="75"/>
  <c r="X157" i="75"/>
  <c r="X158" i="75"/>
  <c r="X160" i="75"/>
  <c r="X161" i="75"/>
  <c r="X162" i="75"/>
  <c r="X163" i="75"/>
  <c r="X164" i="75"/>
  <c r="X165" i="75"/>
  <c r="X166" i="75"/>
  <c r="X167" i="75"/>
  <c r="X168" i="75"/>
  <c r="X169" i="75"/>
  <c r="X170" i="75"/>
  <c r="X171" i="75"/>
  <c r="X172" i="75"/>
  <c r="X173" i="75"/>
  <c r="X174" i="75"/>
  <c r="X175" i="75"/>
  <c r="X176" i="75"/>
  <c r="X177" i="75"/>
  <c r="X178" i="75"/>
  <c r="X179" i="75"/>
  <c r="X180" i="75"/>
  <c r="X181" i="75"/>
  <c r="X182" i="75"/>
  <c r="X183" i="75"/>
  <c r="X184" i="75"/>
  <c r="X185" i="75"/>
  <c r="X186" i="75"/>
  <c r="X187" i="75"/>
  <c r="X188" i="75"/>
  <c r="X189" i="75"/>
  <c r="X190" i="75"/>
  <c r="X191" i="75"/>
  <c r="X192" i="75"/>
  <c r="X193" i="75"/>
  <c r="X194" i="75"/>
  <c r="X195" i="75"/>
  <c r="X196" i="75"/>
  <c r="X197" i="75"/>
  <c r="X198" i="75"/>
  <c r="X199" i="75"/>
  <c r="X200" i="75"/>
  <c r="X201" i="75"/>
  <c r="X202" i="75"/>
  <c r="X203" i="75"/>
  <c r="X204" i="75"/>
  <c r="X205" i="75"/>
  <c r="X206" i="75"/>
  <c r="X207" i="75"/>
  <c r="X208" i="75"/>
  <c r="X209" i="75"/>
  <c r="X210" i="75"/>
  <c r="X211" i="75"/>
  <c r="X212" i="75"/>
  <c r="X213" i="75"/>
  <c r="X214" i="75"/>
  <c r="X215" i="75"/>
  <c r="X216" i="75"/>
  <c r="X217" i="75"/>
  <c r="X218" i="75"/>
  <c r="X219" i="75"/>
  <c r="X220" i="75"/>
  <c r="X221" i="75"/>
  <c r="X222" i="75"/>
  <c r="X223" i="75"/>
  <c r="X224" i="75"/>
  <c r="X225" i="75"/>
  <c r="X226" i="75"/>
  <c r="X227" i="75"/>
  <c r="X228" i="75"/>
  <c r="X229" i="75"/>
  <c r="X230" i="75"/>
  <c r="X231" i="75"/>
  <c r="X232" i="75"/>
  <c r="X233" i="75"/>
  <c r="X234" i="75"/>
  <c r="X235" i="75"/>
  <c r="X236" i="75"/>
  <c r="X237" i="75"/>
  <c r="X238" i="75"/>
  <c r="X239" i="75"/>
  <c r="X240" i="75"/>
  <c r="X241" i="75"/>
  <c r="X242" i="75"/>
  <c r="X243" i="75"/>
  <c r="X244" i="75"/>
  <c r="X245" i="75"/>
  <c r="X246" i="75"/>
  <c r="X249" i="75"/>
  <c r="X250" i="75"/>
  <c r="X251" i="75"/>
  <c r="X252" i="75"/>
  <c r="X253" i="75"/>
  <c r="X282" i="75"/>
  <c r="X283" i="75"/>
  <c r="X284" i="75"/>
  <c r="X285" i="75"/>
  <c r="X286" i="75"/>
  <c r="X287" i="75"/>
  <c r="X288" i="75"/>
  <c r="X289" i="75"/>
  <c r="X290" i="75"/>
  <c r="X291" i="75"/>
  <c r="X292" i="75"/>
  <c r="X293" i="75"/>
  <c r="X294" i="75"/>
  <c r="X295" i="75"/>
  <c r="X296" i="75"/>
  <c r="X297" i="75"/>
  <c r="X298" i="75"/>
  <c r="X299" i="75"/>
  <c r="X300" i="75"/>
  <c r="X301" i="75"/>
  <c r="X302" i="75"/>
  <c r="X303" i="75"/>
  <c r="X304" i="75"/>
  <c r="X305" i="75"/>
  <c r="X306" i="75"/>
  <c r="X307" i="75"/>
  <c r="X308" i="75"/>
  <c r="X309" i="75"/>
  <c r="X310" i="75"/>
  <c r="X311" i="75"/>
  <c r="X312" i="75"/>
  <c r="X313" i="75"/>
  <c r="X314" i="75"/>
  <c r="X315" i="75"/>
  <c r="X316" i="75"/>
  <c r="X317" i="75"/>
  <c r="X318" i="75"/>
  <c r="X319" i="75"/>
  <c r="X320" i="75"/>
  <c r="X321" i="75"/>
  <c r="X322" i="75"/>
  <c r="X323" i="75"/>
  <c r="X324" i="75"/>
  <c r="X325" i="75"/>
  <c r="X326" i="75"/>
  <c r="X327" i="75"/>
  <c r="X328" i="75"/>
  <c r="X329" i="75"/>
  <c r="X330" i="75"/>
  <c r="X331" i="75"/>
  <c r="X332" i="75"/>
  <c r="X333" i="75"/>
  <c r="X334" i="75"/>
  <c r="X335" i="75"/>
  <c r="X336" i="75"/>
  <c r="X337" i="75"/>
  <c r="X338" i="75"/>
  <c r="X339" i="75"/>
  <c r="X340" i="75"/>
  <c r="X341" i="75"/>
  <c r="X342" i="75"/>
  <c r="X343" i="75"/>
  <c r="X344" i="75"/>
  <c r="X345" i="75"/>
  <c r="X346" i="75"/>
  <c r="X347" i="75"/>
  <c r="X348" i="75"/>
  <c r="X349" i="75"/>
  <c r="X351" i="75"/>
  <c r="X354" i="75"/>
  <c r="X355" i="75"/>
  <c r="X356" i="75"/>
  <c r="X357" i="75"/>
  <c r="X358" i="75"/>
  <c r="X359" i="75"/>
  <c r="X360" i="75"/>
  <c r="X361" i="75"/>
  <c r="X362" i="75"/>
  <c r="X363" i="75"/>
  <c r="X364" i="75"/>
  <c r="X365" i="75"/>
  <c r="X366" i="75"/>
  <c r="X367" i="75"/>
  <c r="X368" i="75"/>
  <c r="X369" i="75"/>
  <c r="X370" i="75"/>
  <c r="X371" i="75"/>
  <c r="X372" i="75"/>
  <c r="X373" i="75"/>
  <c r="X374" i="75"/>
  <c r="X375" i="75"/>
  <c r="X376" i="75"/>
  <c r="X377" i="75"/>
  <c r="X378" i="75"/>
  <c r="X379" i="75"/>
  <c r="X380" i="75"/>
  <c r="X381" i="75"/>
  <c r="X382" i="75"/>
  <c r="X383" i="75"/>
  <c r="X384" i="75"/>
  <c r="X385" i="75"/>
  <c r="X386" i="75"/>
  <c r="X387" i="75"/>
  <c r="X388" i="75"/>
  <c r="X389" i="75"/>
  <c r="X390" i="75"/>
  <c r="X391" i="75"/>
  <c r="X392" i="75"/>
  <c r="X393" i="75"/>
  <c r="X394" i="75"/>
  <c r="X395" i="75"/>
  <c r="X396" i="75"/>
  <c r="X397" i="75"/>
  <c r="X398" i="75"/>
  <c r="X399" i="75"/>
  <c r="X400" i="75"/>
  <c r="X401" i="75"/>
  <c r="X402" i="75"/>
  <c r="X403" i="75"/>
  <c r="X404" i="75"/>
  <c r="X405" i="75"/>
  <c r="X406" i="75"/>
  <c r="X407" i="75"/>
  <c r="X408" i="75"/>
  <c r="X409" i="75"/>
  <c r="X410" i="75"/>
  <c r="X411" i="75"/>
  <c r="X412" i="75"/>
  <c r="X413" i="75"/>
  <c r="X414" i="75"/>
  <c r="X415" i="75"/>
  <c r="X416" i="75"/>
  <c r="X417" i="75"/>
  <c r="X418" i="75"/>
  <c r="X419" i="75"/>
  <c r="X420" i="75"/>
  <c r="X421" i="75"/>
  <c r="X422" i="75"/>
  <c r="X423" i="75"/>
  <c r="X424" i="75"/>
  <c r="X425" i="75"/>
  <c r="X426" i="75"/>
  <c r="X427" i="75"/>
  <c r="X428" i="75"/>
  <c r="X429" i="75"/>
  <c r="X430" i="75"/>
  <c r="X431" i="75"/>
  <c r="X432" i="75"/>
  <c r="X433" i="75"/>
  <c r="X434" i="75"/>
  <c r="X435" i="75"/>
  <c r="X436" i="75"/>
  <c r="X437" i="75"/>
  <c r="X438" i="75"/>
  <c r="X439" i="75"/>
  <c r="X440" i="75"/>
  <c r="X441" i="75"/>
  <c r="X442" i="75"/>
  <c r="X443" i="75"/>
  <c r="X444" i="75"/>
  <c r="X445" i="75"/>
  <c r="X446" i="75"/>
  <c r="X447" i="75"/>
  <c r="X448" i="75"/>
  <c r="X449" i="75"/>
  <c r="X450" i="75"/>
  <c r="X451" i="75"/>
  <c r="X452" i="75"/>
  <c r="X453" i="75"/>
  <c r="X454" i="75"/>
  <c r="X455" i="75"/>
  <c r="X456" i="75"/>
  <c r="X457" i="75"/>
  <c r="X458" i="75"/>
  <c r="X459" i="75"/>
  <c r="X460" i="75"/>
  <c r="X461" i="75"/>
  <c r="X462" i="75"/>
  <c r="X463" i="75"/>
  <c r="X464" i="75"/>
  <c r="X465" i="75"/>
  <c r="X466" i="75"/>
  <c r="X467" i="75"/>
  <c r="X468" i="75"/>
  <c r="X469" i="75"/>
  <c r="X470" i="75"/>
  <c r="X471" i="75"/>
  <c r="X472" i="75"/>
  <c r="X473" i="75"/>
  <c r="X474" i="75"/>
  <c r="X475" i="75"/>
  <c r="X476" i="75"/>
  <c r="X477" i="75"/>
  <c r="X478" i="75"/>
  <c r="X479" i="75"/>
  <c r="X480" i="75"/>
  <c r="X481" i="75"/>
  <c r="X482" i="75"/>
  <c r="X483" i="75"/>
  <c r="X484" i="75"/>
  <c r="X485" i="75"/>
  <c r="X486" i="75"/>
  <c r="X487" i="75"/>
  <c r="X488" i="75"/>
  <c r="X489" i="75"/>
  <c r="X490" i="75"/>
  <c r="X491" i="75"/>
  <c r="X492" i="75"/>
  <c r="X493" i="75"/>
  <c r="X494" i="75"/>
  <c r="X495" i="75"/>
  <c r="X496" i="75"/>
  <c r="X497" i="75"/>
  <c r="X498" i="75"/>
  <c r="X499" i="75"/>
  <c r="X500" i="75"/>
  <c r="X501" i="75"/>
  <c r="X502" i="75"/>
  <c r="X503" i="75"/>
  <c r="X504" i="75"/>
  <c r="X505" i="75"/>
  <c r="X506" i="75"/>
  <c r="X507" i="75"/>
  <c r="X508" i="75"/>
  <c r="X509" i="75"/>
  <c r="X510" i="75"/>
  <c r="X511" i="75"/>
  <c r="X512" i="75"/>
  <c r="X513" i="75"/>
  <c r="X514" i="75"/>
  <c r="X515" i="75"/>
  <c r="X516" i="75"/>
  <c r="X517" i="75"/>
  <c r="X518" i="75"/>
  <c r="X519" i="75"/>
  <c r="X520" i="75"/>
  <c r="X521" i="75"/>
  <c r="X522" i="75"/>
  <c r="X523" i="75"/>
  <c r="X524" i="75"/>
  <c r="X525" i="75"/>
  <c r="X526" i="75"/>
  <c r="X527" i="75"/>
  <c r="X528" i="75"/>
  <c r="X529" i="75"/>
  <c r="X530" i="75"/>
  <c r="X531" i="75"/>
  <c r="X532" i="75"/>
  <c r="X533" i="75"/>
  <c r="X534" i="75"/>
  <c r="X535" i="75"/>
  <c r="X536" i="75"/>
  <c r="X537" i="75"/>
  <c r="X538" i="75"/>
  <c r="X539" i="75"/>
  <c r="X540" i="75"/>
  <c r="X541" i="75"/>
  <c r="X542" i="75"/>
  <c r="X543" i="75"/>
  <c r="X544" i="75"/>
  <c r="X545" i="75"/>
  <c r="X546" i="75"/>
  <c r="X547" i="75"/>
  <c r="X548" i="75"/>
  <c r="X549" i="75"/>
  <c r="X550" i="75"/>
  <c r="X551" i="75"/>
  <c r="X552" i="75"/>
  <c r="Q308" i="28"/>
  <c r="BG308" i="28"/>
  <c r="CQ3" i="28"/>
  <c r="AT1135" i="102"/>
  <c r="AT1136" i="102"/>
  <c r="AT1137" i="102"/>
  <c r="AT1138" i="102"/>
  <c r="AT1139" i="102"/>
  <c r="AT1140" i="102"/>
  <c r="AW1135" i="102"/>
  <c r="AW1136" i="102"/>
  <c r="AW1137" i="102"/>
  <c r="AW1138" i="102"/>
  <c r="AW1139" i="102"/>
  <c r="AW1140" i="102"/>
  <c r="AX1135" i="102"/>
  <c r="AX1136" i="102"/>
  <c r="AX1137" i="102"/>
  <c r="AX1138" i="102"/>
  <c r="AX1139" i="102"/>
  <c r="AX1140" i="102"/>
  <c r="AY1135" i="102"/>
  <c r="AY1136" i="102"/>
  <c r="AY1137" i="102"/>
  <c r="AY1138" i="102"/>
  <c r="AY1139" i="102"/>
  <c r="AY1140" i="102"/>
  <c r="AZ1135" i="102"/>
  <c r="AZ1136" i="102"/>
  <c r="AZ1137" i="102"/>
  <c r="AZ1138" i="102"/>
  <c r="AZ1139" i="102"/>
  <c r="AZ1140" i="102"/>
  <c r="BA1135" i="102"/>
  <c r="BA1136" i="102"/>
  <c r="BA1137" i="102"/>
  <c r="BA1138" i="102"/>
  <c r="BA1139" i="102"/>
  <c r="BA1140" i="102"/>
  <c r="BB1135" i="102"/>
  <c r="BB1136" i="102"/>
  <c r="BB1137" i="102"/>
  <c r="BB1138" i="102"/>
  <c r="BB1139" i="102"/>
  <c r="BB1140" i="102"/>
  <c r="R551" i="75"/>
  <c r="R552" i="75"/>
  <c r="S551" i="75"/>
  <c r="S552" i="75"/>
  <c r="Y551" i="75"/>
  <c r="Y552" i="75"/>
  <c r="Z551" i="75"/>
  <c r="Z552" i="75"/>
  <c r="BR551" i="75"/>
  <c r="BR552" i="75"/>
  <c r="P418" i="28"/>
  <c r="R418" i="28" s="1"/>
  <c r="P419" i="28"/>
  <c r="T419" i="28" s="1"/>
  <c r="P420" i="28"/>
  <c r="T420" i="28" s="1"/>
  <c r="P421" i="28"/>
  <c r="P422" i="28"/>
  <c r="P423" i="28"/>
  <c r="S423" i="28" s="1"/>
  <c r="P424" i="28"/>
  <c r="P425" i="28"/>
  <c r="S425" i="28" s="1"/>
  <c r="Q418" i="28"/>
  <c r="Q419" i="28"/>
  <c r="Q420" i="28"/>
  <c r="Q421" i="28"/>
  <c r="Q422" i="28"/>
  <c r="Q423" i="28"/>
  <c r="Q424" i="28"/>
  <c r="Q425" i="28"/>
  <c r="R419" i="28"/>
  <c r="R420" i="28"/>
  <c r="R421" i="28"/>
  <c r="R422" i="28"/>
  <c r="R423" i="28"/>
  <c r="R424" i="28"/>
  <c r="R425" i="28"/>
  <c r="S421" i="28"/>
  <c r="S422" i="28"/>
  <c r="S424" i="28"/>
  <c r="T421" i="28"/>
  <c r="T422" i="28"/>
  <c r="T424" i="28"/>
  <c r="T425" i="28"/>
  <c r="CP418" i="28"/>
  <c r="CP419" i="28"/>
  <c r="CP420" i="28"/>
  <c r="CP421" i="28"/>
  <c r="CP422" i="28"/>
  <c r="CP423" i="28"/>
  <c r="CP424" i="28"/>
  <c r="CP425" i="28"/>
  <c r="CR418" i="28"/>
  <c r="CR419" i="28"/>
  <c r="CR420" i="28"/>
  <c r="CR421" i="28"/>
  <c r="CR422" i="28"/>
  <c r="CR423" i="28"/>
  <c r="CR424" i="28"/>
  <c r="CR425" i="28"/>
  <c r="CS418" i="28"/>
  <c r="CS419" i="28"/>
  <c r="CS420" i="28"/>
  <c r="CS421" i="28"/>
  <c r="CS422" i="28"/>
  <c r="CS423" i="28"/>
  <c r="CS424" i="28"/>
  <c r="CS425" i="28"/>
  <c r="CT418" i="28"/>
  <c r="CT419" i="28"/>
  <c r="CT420" i="28"/>
  <c r="CT421" i="28"/>
  <c r="CT422" i="28"/>
  <c r="CT423" i="28"/>
  <c r="CT424" i="28"/>
  <c r="CT425" i="28"/>
  <c r="AJ2" i="102"/>
  <c r="AT2" i="102"/>
  <c r="AS2" i="102"/>
  <c r="AW2" i="102"/>
  <c r="AX2" i="102"/>
  <c r="AY2" i="102"/>
  <c r="AZ2" i="102"/>
  <c r="BA2" i="102"/>
  <c r="BB2" i="102"/>
  <c r="AJ3" i="102"/>
  <c r="AT3" i="102"/>
  <c r="AS3" i="102"/>
  <c r="AW3" i="102"/>
  <c r="AX3" i="102"/>
  <c r="AY3" i="102"/>
  <c r="AZ3" i="102"/>
  <c r="BA3" i="102"/>
  <c r="BB3" i="102"/>
  <c r="AJ4" i="102"/>
  <c r="AT4" i="102"/>
  <c r="AS4" i="102"/>
  <c r="AW4" i="102"/>
  <c r="AX4" i="102"/>
  <c r="AY4" i="102"/>
  <c r="AZ4" i="102"/>
  <c r="BA4" i="102"/>
  <c r="BB4" i="102"/>
  <c r="AJ5" i="102"/>
  <c r="AT5" i="102"/>
  <c r="AS5" i="102"/>
  <c r="AW5" i="102"/>
  <c r="AX5" i="102"/>
  <c r="AY5" i="102"/>
  <c r="AZ5" i="102"/>
  <c r="BA5" i="102"/>
  <c r="BB5" i="102"/>
  <c r="AJ6" i="102"/>
  <c r="AT6" i="102"/>
  <c r="AS6" i="102"/>
  <c r="AW6" i="102"/>
  <c r="AX6" i="102"/>
  <c r="AY6" i="102"/>
  <c r="AZ6" i="102"/>
  <c r="BA6" i="102"/>
  <c r="BB6" i="102"/>
  <c r="AJ7" i="102"/>
  <c r="AT7" i="102"/>
  <c r="AS7" i="102"/>
  <c r="AW7" i="102"/>
  <c r="AX7" i="102"/>
  <c r="AY7" i="102"/>
  <c r="AZ7" i="102"/>
  <c r="BA7" i="102"/>
  <c r="BB7" i="102"/>
  <c r="AJ8" i="102"/>
  <c r="AT8" i="102"/>
  <c r="AS8" i="102"/>
  <c r="AW8" i="102"/>
  <c r="AX8" i="102"/>
  <c r="AY8" i="102"/>
  <c r="AZ8" i="102"/>
  <c r="BA8" i="102"/>
  <c r="BB8" i="102"/>
  <c r="AJ9" i="102"/>
  <c r="AT9" i="102"/>
  <c r="AS9" i="102"/>
  <c r="AW9" i="102"/>
  <c r="AX9" i="102"/>
  <c r="AY9" i="102"/>
  <c r="AZ9" i="102"/>
  <c r="BA9" i="102"/>
  <c r="BB9" i="102"/>
  <c r="AJ10" i="102"/>
  <c r="AT10" i="102"/>
  <c r="AS10" i="102"/>
  <c r="AW10" i="102"/>
  <c r="AX10" i="102"/>
  <c r="AY10" i="102"/>
  <c r="AZ10" i="102"/>
  <c r="BA10" i="102"/>
  <c r="BB10" i="102"/>
  <c r="AJ11" i="102"/>
  <c r="AT11" i="102"/>
  <c r="AS11" i="102"/>
  <c r="AW11" i="102"/>
  <c r="AX11" i="102"/>
  <c r="AY11" i="102"/>
  <c r="AZ11" i="102"/>
  <c r="BA11" i="102"/>
  <c r="BB11" i="102"/>
  <c r="AJ12" i="102"/>
  <c r="AT12" i="102"/>
  <c r="AS12" i="102"/>
  <c r="AW12" i="102"/>
  <c r="AX12" i="102"/>
  <c r="AY12" i="102"/>
  <c r="AZ12" i="102"/>
  <c r="BA12" i="102"/>
  <c r="BB12" i="102"/>
  <c r="AJ13" i="102"/>
  <c r="AT13" i="102"/>
  <c r="AS13" i="102"/>
  <c r="AW13" i="102"/>
  <c r="AX13" i="102"/>
  <c r="AY13" i="102"/>
  <c r="AZ13" i="102"/>
  <c r="BA13" i="102"/>
  <c r="BB13" i="102"/>
  <c r="AJ14" i="102"/>
  <c r="AT14" i="102"/>
  <c r="AS14" i="102"/>
  <c r="AW14" i="102"/>
  <c r="AX14" i="102"/>
  <c r="AY14" i="102"/>
  <c r="AZ14" i="102"/>
  <c r="BA14" i="102"/>
  <c r="BB14" i="102"/>
  <c r="AJ15" i="102"/>
  <c r="AT15" i="102"/>
  <c r="AS15" i="102"/>
  <c r="AW15" i="102"/>
  <c r="AX15" i="102"/>
  <c r="AY15" i="102"/>
  <c r="AZ15" i="102"/>
  <c r="BA15" i="102"/>
  <c r="BB15" i="102"/>
  <c r="AJ16" i="102"/>
  <c r="AT16" i="102"/>
  <c r="AS16" i="102"/>
  <c r="AW16" i="102"/>
  <c r="AX16" i="102"/>
  <c r="AY16" i="102"/>
  <c r="AZ16" i="102"/>
  <c r="BA16" i="102"/>
  <c r="BB16" i="102"/>
  <c r="AJ17" i="102"/>
  <c r="AT17" i="102"/>
  <c r="AS17" i="102"/>
  <c r="AW17" i="102"/>
  <c r="AX17" i="102"/>
  <c r="AY17" i="102"/>
  <c r="AZ17" i="102"/>
  <c r="BA17" i="102"/>
  <c r="BB17" i="102"/>
  <c r="AJ18" i="102"/>
  <c r="AT18" i="102"/>
  <c r="AS18" i="102"/>
  <c r="AW18" i="102"/>
  <c r="AX18" i="102"/>
  <c r="AY18" i="102"/>
  <c r="AZ18" i="102"/>
  <c r="BA18" i="102"/>
  <c r="BB18" i="102"/>
  <c r="AJ19" i="102"/>
  <c r="AT19" i="102"/>
  <c r="AS19" i="102"/>
  <c r="AW19" i="102"/>
  <c r="AX19" i="102"/>
  <c r="AY19" i="102"/>
  <c r="AZ19" i="102"/>
  <c r="BA19" i="102"/>
  <c r="BB19" i="102"/>
  <c r="AJ20" i="102"/>
  <c r="AT20" i="102"/>
  <c r="AS20" i="102"/>
  <c r="AW20" i="102"/>
  <c r="AX20" i="102"/>
  <c r="AY20" i="102"/>
  <c r="AZ20" i="102"/>
  <c r="BA20" i="102"/>
  <c r="BB20" i="102"/>
  <c r="AJ21" i="102"/>
  <c r="AT21" i="102"/>
  <c r="AS21" i="102"/>
  <c r="AW21" i="102"/>
  <c r="AX21" i="102"/>
  <c r="AY21" i="102"/>
  <c r="AZ21" i="102"/>
  <c r="BA21" i="102"/>
  <c r="BB21" i="102"/>
  <c r="AJ22" i="102"/>
  <c r="AT22" i="102"/>
  <c r="AS22" i="102"/>
  <c r="AW22" i="102"/>
  <c r="AX22" i="102"/>
  <c r="AY22" i="102"/>
  <c r="AZ22" i="102"/>
  <c r="BA22" i="102"/>
  <c r="BB22" i="102"/>
  <c r="AJ23" i="102"/>
  <c r="AT23" i="102"/>
  <c r="AS23" i="102"/>
  <c r="AW23" i="102"/>
  <c r="AX23" i="102"/>
  <c r="AY23" i="102"/>
  <c r="AZ23" i="102"/>
  <c r="BA23" i="102"/>
  <c r="BB23" i="102"/>
  <c r="AJ24" i="102"/>
  <c r="AT24" i="102"/>
  <c r="AS24" i="102"/>
  <c r="AW24" i="102"/>
  <c r="AX24" i="102"/>
  <c r="AY24" i="102"/>
  <c r="AZ24" i="102"/>
  <c r="BA24" i="102"/>
  <c r="BB24" i="102"/>
  <c r="AJ25" i="102"/>
  <c r="AT25" i="102"/>
  <c r="AS25" i="102"/>
  <c r="AW25" i="102"/>
  <c r="AX25" i="102"/>
  <c r="AY25" i="102"/>
  <c r="AZ25" i="102"/>
  <c r="BA25" i="102"/>
  <c r="BB25" i="102"/>
  <c r="AJ26" i="102"/>
  <c r="AT26" i="102"/>
  <c r="AS26" i="102"/>
  <c r="AW26" i="102"/>
  <c r="AX26" i="102"/>
  <c r="AY26" i="102"/>
  <c r="AZ26" i="102"/>
  <c r="BA26" i="102"/>
  <c r="BB26" i="102"/>
  <c r="AJ27" i="102"/>
  <c r="AT27" i="102"/>
  <c r="AS27" i="102"/>
  <c r="AW27" i="102"/>
  <c r="AX27" i="102"/>
  <c r="AY27" i="102"/>
  <c r="AZ27" i="102"/>
  <c r="BA27" i="102"/>
  <c r="BB27" i="102"/>
  <c r="AJ28" i="102"/>
  <c r="AT28" i="102"/>
  <c r="AS28" i="102"/>
  <c r="AW28" i="102"/>
  <c r="AX28" i="102"/>
  <c r="AY28" i="102"/>
  <c r="AZ28" i="102"/>
  <c r="BA28" i="102"/>
  <c r="BB28" i="102"/>
  <c r="AJ29" i="102"/>
  <c r="AT29" i="102"/>
  <c r="AS29" i="102"/>
  <c r="AW29" i="102"/>
  <c r="AX29" i="102"/>
  <c r="AY29" i="102"/>
  <c r="AZ29" i="102"/>
  <c r="BA29" i="102"/>
  <c r="BB29" i="102"/>
  <c r="AJ30" i="102"/>
  <c r="AT30" i="102"/>
  <c r="AS30" i="102"/>
  <c r="AW30" i="102"/>
  <c r="AX30" i="102"/>
  <c r="AY30" i="102"/>
  <c r="AZ30" i="102"/>
  <c r="BA30" i="102"/>
  <c r="BB30" i="102"/>
  <c r="AJ31" i="102"/>
  <c r="AT31" i="102"/>
  <c r="AS31" i="102"/>
  <c r="AW31" i="102"/>
  <c r="AX31" i="102"/>
  <c r="AY31" i="102"/>
  <c r="AZ31" i="102"/>
  <c r="BA31" i="102"/>
  <c r="BB31" i="102"/>
  <c r="AJ32" i="102"/>
  <c r="AT32" i="102"/>
  <c r="AW32" i="102"/>
  <c r="AX32" i="102"/>
  <c r="AY32" i="102"/>
  <c r="AZ32" i="102"/>
  <c r="BA32" i="102"/>
  <c r="BB32" i="102"/>
  <c r="AJ33" i="102"/>
  <c r="AT33" i="102"/>
  <c r="AS33" i="102"/>
  <c r="AW33" i="102"/>
  <c r="AX33" i="102"/>
  <c r="AY33" i="102"/>
  <c r="AZ33" i="102"/>
  <c r="BA33" i="102"/>
  <c r="BB33" i="102"/>
  <c r="AJ34" i="102"/>
  <c r="AT34" i="102"/>
  <c r="AS34" i="102"/>
  <c r="AW34" i="102"/>
  <c r="AX34" i="102"/>
  <c r="AY34" i="102"/>
  <c r="AZ34" i="102"/>
  <c r="BA34" i="102"/>
  <c r="BB34" i="102"/>
  <c r="AJ35" i="102"/>
  <c r="AT35" i="102"/>
  <c r="AS35" i="102"/>
  <c r="AW35" i="102"/>
  <c r="AX35" i="102"/>
  <c r="AY35" i="102"/>
  <c r="AZ35" i="102"/>
  <c r="BA35" i="102"/>
  <c r="BB35" i="102"/>
  <c r="AJ36" i="102"/>
  <c r="AT36" i="102"/>
  <c r="AS36" i="102"/>
  <c r="AW36" i="102"/>
  <c r="AX36" i="102"/>
  <c r="AY36" i="102"/>
  <c r="AZ36" i="102"/>
  <c r="BA36" i="102"/>
  <c r="BB36" i="102"/>
  <c r="AJ37" i="102"/>
  <c r="AT37" i="102"/>
  <c r="AS37" i="102"/>
  <c r="AW37" i="102"/>
  <c r="AX37" i="102"/>
  <c r="AY37" i="102"/>
  <c r="AZ37" i="102"/>
  <c r="BA37" i="102"/>
  <c r="BB37" i="102"/>
  <c r="AJ38" i="102"/>
  <c r="AT38" i="102"/>
  <c r="AS38" i="102"/>
  <c r="AW38" i="102"/>
  <c r="AX38" i="102"/>
  <c r="AY38" i="102"/>
  <c r="AZ38" i="102"/>
  <c r="BA38" i="102"/>
  <c r="BB38" i="102"/>
  <c r="AJ39" i="102"/>
  <c r="AT39" i="102"/>
  <c r="AS39" i="102"/>
  <c r="AW39" i="102"/>
  <c r="AX39" i="102"/>
  <c r="AY39" i="102"/>
  <c r="AZ39" i="102"/>
  <c r="BA39" i="102"/>
  <c r="BB39" i="102"/>
  <c r="AJ40" i="102"/>
  <c r="AT40" i="102"/>
  <c r="AS40" i="102"/>
  <c r="AW40" i="102"/>
  <c r="AX40" i="102"/>
  <c r="AY40" i="102"/>
  <c r="AZ40" i="102"/>
  <c r="BA40" i="102"/>
  <c r="BB40" i="102"/>
  <c r="AJ41" i="102"/>
  <c r="AT41" i="102"/>
  <c r="AS41" i="102"/>
  <c r="AW41" i="102"/>
  <c r="AX41" i="102"/>
  <c r="AY41" i="102"/>
  <c r="AZ41" i="102"/>
  <c r="BA41" i="102"/>
  <c r="BB41" i="102"/>
  <c r="AJ42" i="102"/>
  <c r="AT42" i="102"/>
  <c r="AW42" i="102"/>
  <c r="AX42" i="102"/>
  <c r="AY42" i="102"/>
  <c r="AZ42" i="102"/>
  <c r="BA42" i="102"/>
  <c r="BB42" i="102"/>
  <c r="AJ43" i="102"/>
  <c r="AT43" i="102"/>
  <c r="AS43" i="102"/>
  <c r="AW43" i="102"/>
  <c r="AX43" i="102"/>
  <c r="AY43" i="102"/>
  <c r="AZ43" i="102"/>
  <c r="BA43" i="102"/>
  <c r="BB43" i="102"/>
  <c r="AJ44" i="102"/>
  <c r="AT44" i="102"/>
  <c r="AS44" i="102"/>
  <c r="AW44" i="102"/>
  <c r="AX44" i="102"/>
  <c r="AY44" i="102"/>
  <c r="AZ44" i="102"/>
  <c r="BA44" i="102"/>
  <c r="BB44" i="102"/>
  <c r="AJ45" i="102"/>
  <c r="AT45" i="102"/>
  <c r="AS45" i="102"/>
  <c r="AW45" i="102"/>
  <c r="AX45" i="102"/>
  <c r="AY45" i="102"/>
  <c r="AZ45" i="102"/>
  <c r="BA45" i="102"/>
  <c r="BB45" i="102"/>
  <c r="AJ46" i="102"/>
  <c r="AT46" i="102"/>
  <c r="AS46" i="102"/>
  <c r="AW46" i="102"/>
  <c r="AX46" i="102"/>
  <c r="AY46" i="102"/>
  <c r="AZ46" i="102"/>
  <c r="BA46" i="102"/>
  <c r="BB46" i="102"/>
  <c r="AJ47" i="102"/>
  <c r="AT47" i="102"/>
  <c r="AS47" i="102"/>
  <c r="AW47" i="102"/>
  <c r="AX47" i="102"/>
  <c r="AY47" i="102"/>
  <c r="AZ47" i="102"/>
  <c r="BA47" i="102"/>
  <c r="BB47" i="102"/>
  <c r="AJ48" i="102"/>
  <c r="AT48" i="102"/>
  <c r="AS48" i="102"/>
  <c r="AW48" i="102"/>
  <c r="AX48" i="102"/>
  <c r="AY48" i="102"/>
  <c r="AZ48" i="102"/>
  <c r="BA48" i="102"/>
  <c r="BB48" i="102"/>
  <c r="AJ49" i="102"/>
  <c r="AT49" i="102"/>
  <c r="AS49" i="102"/>
  <c r="AW49" i="102"/>
  <c r="AX49" i="102"/>
  <c r="AY49" i="102"/>
  <c r="AZ49" i="102"/>
  <c r="BA49" i="102"/>
  <c r="BB49" i="102"/>
  <c r="AJ50" i="102"/>
  <c r="AT50" i="102"/>
  <c r="AS50" i="102"/>
  <c r="AW50" i="102"/>
  <c r="AX50" i="102"/>
  <c r="AY50" i="102"/>
  <c r="AZ50" i="102"/>
  <c r="BA50" i="102"/>
  <c r="BB50" i="102"/>
  <c r="AJ51" i="102"/>
  <c r="AT51" i="102"/>
  <c r="AS51" i="102"/>
  <c r="AW51" i="102"/>
  <c r="AX51" i="102"/>
  <c r="AY51" i="102"/>
  <c r="AZ51" i="102"/>
  <c r="BA51" i="102"/>
  <c r="BB51" i="102"/>
  <c r="AJ52" i="102"/>
  <c r="AT52" i="102"/>
  <c r="AS52" i="102"/>
  <c r="AW52" i="102"/>
  <c r="AX52" i="102"/>
  <c r="AY52" i="102"/>
  <c r="AZ52" i="102"/>
  <c r="BA52" i="102"/>
  <c r="BB52" i="102"/>
  <c r="AJ53" i="102"/>
  <c r="AT53" i="102"/>
  <c r="AS53" i="102"/>
  <c r="AW53" i="102"/>
  <c r="AX53" i="102"/>
  <c r="AY53" i="102"/>
  <c r="AZ53" i="102"/>
  <c r="BA53" i="102"/>
  <c r="BB53" i="102"/>
  <c r="AJ54" i="102"/>
  <c r="AT54" i="102"/>
  <c r="AS54" i="102"/>
  <c r="AW54" i="102"/>
  <c r="AX54" i="102"/>
  <c r="AY54" i="102"/>
  <c r="AZ54" i="102"/>
  <c r="BA54" i="102"/>
  <c r="BB54" i="102"/>
  <c r="AJ55" i="102"/>
  <c r="AT55" i="102"/>
  <c r="AS55" i="102"/>
  <c r="AW55" i="102"/>
  <c r="AX55" i="102"/>
  <c r="AY55" i="102"/>
  <c r="AZ55" i="102"/>
  <c r="BA55" i="102"/>
  <c r="BB55" i="102"/>
  <c r="AJ56" i="102"/>
  <c r="AT56" i="102"/>
  <c r="AS56" i="102"/>
  <c r="AW56" i="102"/>
  <c r="AX56" i="102"/>
  <c r="AY56" i="102"/>
  <c r="AZ56" i="102"/>
  <c r="BA56" i="102"/>
  <c r="BB56" i="102"/>
  <c r="AJ57" i="102"/>
  <c r="AT57" i="102"/>
  <c r="AS57" i="102"/>
  <c r="AW57" i="102"/>
  <c r="AX57" i="102"/>
  <c r="AY57" i="102"/>
  <c r="AZ57" i="102"/>
  <c r="BA57" i="102"/>
  <c r="BB57" i="102"/>
  <c r="AJ58" i="102"/>
  <c r="AT58" i="102"/>
  <c r="AS58" i="102"/>
  <c r="AW58" i="102"/>
  <c r="AX58" i="102"/>
  <c r="AY58" i="102"/>
  <c r="AZ58" i="102"/>
  <c r="BA58" i="102"/>
  <c r="BB58" i="102"/>
  <c r="AJ59" i="102"/>
  <c r="AT59" i="102"/>
  <c r="AS59" i="102"/>
  <c r="AW59" i="102"/>
  <c r="AX59" i="102"/>
  <c r="AY59" i="102"/>
  <c r="AZ59" i="102"/>
  <c r="BA59" i="102"/>
  <c r="BB59" i="102"/>
  <c r="AJ60" i="102"/>
  <c r="AT60" i="102"/>
  <c r="AS60" i="102"/>
  <c r="AW60" i="102"/>
  <c r="AX60" i="102"/>
  <c r="AY60" i="102"/>
  <c r="AZ60" i="102"/>
  <c r="BA60" i="102"/>
  <c r="BB60" i="102"/>
  <c r="AJ61" i="102"/>
  <c r="AT61" i="102"/>
  <c r="AS61" i="102"/>
  <c r="AW61" i="102"/>
  <c r="AX61" i="102"/>
  <c r="AY61" i="102"/>
  <c r="AZ61" i="102"/>
  <c r="BA61" i="102"/>
  <c r="BB61" i="102"/>
  <c r="AJ62" i="102"/>
  <c r="AT62" i="102"/>
  <c r="AS62" i="102"/>
  <c r="AW62" i="102"/>
  <c r="AX62" i="102"/>
  <c r="AY62" i="102"/>
  <c r="AZ62" i="102"/>
  <c r="BA62" i="102"/>
  <c r="BB62" i="102"/>
  <c r="AJ63" i="102"/>
  <c r="AT63" i="102"/>
  <c r="AS63" i="102"/>
  <c r="AW63" i="102"/>
  <c r="AX63" i="102"/>
  <c r="AY63" i="102"/>
  <c r="AZ63" i="102"/>
  <c r="BA63" i="102"/>
  <c r="BB63" i="102"/>
  <c r="AJ64" i="102"/>
  <c r="AT64" i="102"/>
  <c r="AS64" i="102"/>
  <c r="AW64" i="102"/>
  <c r="AX64" i="102"/>
  <c r="AY64" i="102"/>
  <c r="AZ64" i="102"/>
  <c r="BA64" i="102"/>
  <c r="BB64" i="102"/>
  <c r="AJ65" i="102"/>
  <c r="AT65" i="102"/>
  <c r="AS65" i="102"/>
  <c r="AW65" i="102"/>
  <c r="AX65" i="102"/>
  <c r="AY65" i="102"/>
  <c r="AZ65" i="102"/>
  <c r="BA65" i="102"/>
  <c r="BB65" i="102"/>
  <c r="AJ66" i="102"/>
  <c r="AT66" i="102"/>
  <c r="AS66" i="102"/>
  <c r="AW66" i="102"/>
  <c r="AX66" i="102"/>
  <c r="AY66" i="102"/>
  <c r="AZ66" i="102"/>
  <c r="BA66" i="102"/>
  <c r="BB66" i="102"/>
  <c r="AJ67" i="102"/>
  <c r="AT67" i="102"/>
  <c r="AS67" i="102"/>
  <c r="AW67" i="102"/>
  <c r="AX67" i="102"/>
  <c r="AY67" i="102"/>
  <c r="AZ67" i="102"/>
  <c r="BA67" i="102"/>
  <c r="BB67" i="102"/>
  <c r="AJ68" i="102"/>
  <c r="AT68" i="102"/>
  <c r="AS68" i="102"/>
  <c r="AW68" i="102"/>
  <c r="AX68" i="102"/>
  <c r="AY68" i="102"/>
  <c r="AZ68" i="102"/>
  <c r="BA68" i="102"/>
  <c r="BB68" i="102"/>
  <c r="AJ69" i="102"/>
  <c r="AT69" i="102"/>
  <c r="AS69" i="102"/>
  <c r="AW69" i="102"/>
  <c r="AX69" i="102"/>
  <c r="AY69" i="102"/>
  <c r="AZ69" i="102"/>
  <c r="BA69" i="102"/>
  <c r="BB69" i="102"/>
  <c r="AJ70" i="102"/>
  <c r="AT70" i="102"/>
  <c r="AS70" i="102"/>
  <c r="AW70" i="102"/>
  <c r="AX70" i="102"/>
  <c r="AY70" i="102"/>
  <c r="AZ70" i="102"/>
  <c r="BA70" i="102"/>
  <c r="BB70" i="102"/>
  <c r="AJ71" i="102"/>
  <c r="AT71" i="102"/>
  <c r="AS71" i="102"/>
  <c r="AW71" i="102"/>
  <c r="AX71" i="102"/>
  <c r="AY71" i="102"/>
  <c r="AZ71" i="102"/>
  <c r="BA71" i="102"/>
  <c r="BB71" i="102"/>
  <c r="AJ72" i="102"/>
  <c r="AT72" i="102"/>
  <c r="AS72" i="102"/>
  <c r="AW72" i="102"/>
  <c r="AX72" i="102"/>
  <c r="AY72" i="102"/>
  <c r="AZ72" i="102"/>
  <c r="BA72" i="102"/>
  <c r="BB72" i="102"/>
  <c r="AJ73" i="102"/>
  <c r="AT73" i="102"/>
  <c r="AS73" i="102"/>
  <c r="AW73" i="102"/>
  <c r="AX73" i="102"/>
  <c r="AY73" i="102"/>
  <c r="AZ73" i="102"/>
  <c r="BA73" i="102"/>
  <c r="BB73" i="102"/>
  <c r="AJ74" i="102"/>
  <c r="AT74" i="102"/>
  <c r="AS74" i="102"/>
  <c r="AW74" i="102"/>
  <c r="AX74" i="102"/>
  <c r="AY74" i="102"/>
  <c r="AZ74" i="102"/>
  <c r="BA74" i="102"/>
  <c r="BB74" i="102"/>
  <c r="AJ75" i="102"/>
  <c r="AT75" i="102"/>
  <c r="AS75" i="102"/>
  <c r="AW75" i="102"/>
  <c r="AX75" i="102"/>
  <c r="AY75" i="102"/>
  <c r="AZ75" i="102"/>
  <c r="BA75" i="102"/>
  <c r="BB75" i="102"/>
  <c r="AJ76" i="102"/>
  <c r="AT76" i="102"/>
  <c r="AS76" i="102"/>
  <c r="AW76" i="102"/>
  <c r="AX76" i="102"/>
  <c r="AY76" i="102"/>
  <c r="AZ76" i="102"/>
  <c r="BA76" i="102"/>
  <c r="BB76" i="102"/>
  <c r="AJ77" i="102"/>
  <c r="AT77" i="102"/>
  <c r="AS77" i="102"/>
  <c r="AW77" i="102"/>
  <c r="AX77" i="102"/>
  <c r="AY77" i="102"/>
  <c r="AZ77" i="102"/>
  <c r="BA77" i="102"/>
  <c r="BB77" i="102"/>
  <c r="AJ78" i="102"/>
  <c r="AT78" i="102"/>
  <c r="AS78" i="102"/>
  <c r="AW78" i="102"/>
  <c r="AX78" i="102"/>
  <c r="AY78" i="102"/>
  <c r="AZ78" i="102"/>
  <c r="BA78" i="102"/>
  <c r="BB78" i="102"/>
  <c r="AJ79" i="102"/>
  <c r="AT79" i="102"/>
  <c r="AS79" i="102"/>
  <c r="AW79" i="102"/>
  <c r="AX79" i="102"/>
  <c r="AY79" i="102"/>
  <c r="AZ79" i="102"/>
  <c r="BA79" i="102"/>
  <c r="BB79" i="102"/>
  <c r="AJ80" i="102"/>
  <c r="AT80" i="102"/>
  <c r="AS80" i="102"/>
  <c r="AW80" i="102"/>
  <c r="AX80" i="102"/>
  <c r="AY80" i="102"/>
  <c r="AZ80" i="102"/>
  <c r="BA80" i="102"/>
  <c r="BB80" i="102"/>
  <c r="AJ81" i="102"/>
  <c r="AT81" i="102"/>
  <c r="AS81" i="102"/>
  <c r="AW81" i="102"/>
  <c r="AX81" i="102"/>
  <c r="AY81" i="102"/>
  <c r="AZ81" i="102"/>
  <c r="BA81" i="102"/>
  <c r="BB81" i="102"/>
  <c r="AJ82" i="102"/>
  <c r="AT82" i="102"/>
  <c r="AS82" i="102"/>
  <c r="AW82" i="102"/>
  <c r="AX82" i="102"/>
  <c r="AY82" i="102"/>
  <c r="AZ82" i="102"/>
  <c r="BA82" i="102"/>
  <c r="BB82" i="102"/>
  <c r="AJ83" i="102"/>
  <c r="AT83" i="102"/>
  <c r="AS83" i="102"/>
  <c r="AW83" i="102"/>
  <c r="AX83" i="102"/>
  <c r="AY83" i="102"/>
  <c r="AZ83" i="102"/>
  <c r="BA83" i="102"/>
  <c r="BB83" i="102"/>
  <c r="AJ84" i="102"/>
  <c r="AT84" i="102"/>
  <c r="AS84" i="102"/>
  <c r="AW84" i="102"/>
  <c r="AX84" i="102"/>
  <c r="AY84" i="102"/>
  <c r="AZ84" i="102"/>
  <c r="BA84" i="102"/>
  <c r="BB84" i="102"/>
  <c r="AJ85" i="102"/>
  <c r="AT85" i="102"/>
  <c r="AS85" i="102"/>
  <c r="AW85" i="102"/>
  <c r="AX85" i="102"/>
  <c r="AY85" i="102"/>
  <c r="AZ85" i="102"/>
  <c r="BA85" i="102"/>
  <c r="BB85" i="102"/>
  <c r="AJ86" i="102"/>
  <c r="AT86" i="102"/>
  <c r="AS86" i="102"/>
  <c r="AW86" i="102"/>
  <c r="AX86" i="102"/>
  <c r="AY86" i="102"/>
  <c r="AZ86" i="102"/>
  <c r="BA86" i="102"/>
  <c r="BB86" i="102"/>
  <c r="AJ87" i="102"/>
  <c r="AT87" i="102"/>
  <c r="AS87" i="102"/>
  <c r="AW87" i="102"/>
  <c r="AX87" i="102"/>
  <c r="AY87" i="102"/>
  <c r="AZ87" i="102"/>
  <c r="BA87" i="102"/>
  <c r="BB87" i="102"/>
  <c r="AJ88" i="102"/>
  <c r="AT88" i="102"/>
  <c r="AS88" i="102"/>
  <c r="AW88" i="102"/>
  <c r="AX88" i="102"/>
  <c r="AY88" i="102"/>
  <c r="AZ88" i="102"/>
  <c r="BA88" i="102"/>
  <c r="BB88" i="102"/>
  <c r="AJ89" i="102"/>
  <c r="AT89" i="102"/>
  <c r="AS89" i="102"/>
  <c r="AW89" i="102"/>
  <c r="AX89" i="102"/>
  <c r="AY89" i="102"/>
  <c r="AZ89" i="102"/>
  <c r="BA89" i="102"/>
  <c r="BB89" i="102"/>
  <c r="AJ90" i="102"/>
  <c r="AT90" i="102"/>
  <c r="AS90" i="102"/>
  <c r="AW90" i="102"/>
  <c r="AX90" i="102"/>
  <c r="AY90" i="102"/>
  <c r="AZ90" i="102"/>
  <c r="BA90" i="102"/>
  <c r="BB90" i="102"/>
  <c r="AJ91" i="102"/>
  <c r="AT91" i="102"/>
  <c r="AS91" i="102"/>
  <c r="AW91" i="102"/>
  <c r="AX91" i="102"/>
  <c r="AY91" i="102"/>
  <c r="AZ91" i="102"/>
  <c r="BA91" i="102"/>
  <c r="BB91" i="102"/>
  <c r="AJ92" i="102"/>
  <c r="AT92" i="102"/>
  <c r="AS92" i="102"/>
  <c r="AW92" i="102"/>
  <c r="AX92" i="102"/>
  <c r="AY92" i="102"/>
  <c r="AZ92" i="102"/>
  <c r="BA92" i="102"/>
  <c r="BB92" i="102"/>
  <c r="AJ93" i="102"/>
  <c r="AT93" i="102"/>
  <c r="AS93" i="102"/>
  <c r="AW93" i="102"/>
  <c r="AX93" i="102"/>
  <c r="AY93" i="102"/>
  <c r="AZ93" i="102"/>
  <c r="BA93" i="102"/>
  <c r="BB93" i="102"/>
  <c r="AJ94" i="102"/>
  <c r="AT94" i="102"/>
  <c r="AS94" i="102"/>
  <c r="AW94" i="102"/>
  <c r="AX94" i="102"/>
  <c r="AY94" i="102"/>
  <c r="AZ94" i="102"/>
  <c r="BA94" i="102"/>
  <c r="BB94" i="102"/>
  <c r="AJ95" i="102"/>
  <c r="AT95" i="102"/>
  <c r="AS95" i="102"/>
  <c r="AW95" i="102"/>
  <c r="AX95" i="102"/>
  <c r="AY95" i="102"/>
  <c r="AZ95" i="102"/>
  <c r="BA95" i="102"/>
  <c r="BB95" i="102"/>
  <c r="AJ96" i="102"/>
  <c r="AT96" i="102"/>
  <c r="AS96" i="102"/>
  <c r="AW96" i="102"/>
  <c r="AX96" i="102"/>
  <c r="AY96" i="102"/>
  <c r="AZ96" i="102"/>
  <c r="BA96" i="102"/>
  <c r="BB96" i="102"/>
  <c r="AJ97" i="102"/>
  <c r="AT97" i="102"/>
  <c r="AS97" i="102"/>
  <c r="AW97" i="102"/>
  <c r="AX97" i="102"/>
  <c r="AY97" i="102"/>
  <c r="AZ97" i="102"/>
  <c r="BA97" i="102"/>
  <c r="BB97" i="102"/>
  <c r="AJ98" i="102"/>
  <c r="AT98" i="102"/>
  <c r="AS98" i="102"/>
  <c r="AW98" i="102"/>
  <c r="AX98" i="102"/>
  <c r="AY98" i="102"/>
  <c r="AZ98" i="102"/>
  <c r="BA98" i="102"/>
  <c r="BB98" i="102"/>
  <c r="AJ99" i="102"/>
  <c r="AT99" i="102"/>
  <c r="AS99" i="102"/>
  <c r="AW99" i="102"/>
  <c r="AX99" i="102"/>
  <c r="AY99" i="102"/>
  <c r="AZ99" i="102"/>
  <c r="BA99" i="102"/>
  <c r="BB99" i="102"/>
  <c r="AJ100" i="102"/>
  <c r="AT100" i="102"/>
  <c r="AS100" i="102"/>
  <c r="AW100" i="102"/>
  <c r="AX100" i="102"/>
  <c r="AY100" i="102"/>
  <c r="AZ100" i="102"/>
  <c r="BA100" i="102"/>
  <c r="BB100" i="102"/>
  <c r="AJ101" i="102"/>
  <c r="AT101" i="102"/>
  <c r="AS101" i="102"/>
  <c r="AW101" i="102"/>
  <c r="AX101" i="102"/>
  <c r="AY101" i="102"/>
  <c r="AZ101" i="102"/>
  <c r="BA101" i="102"/>
  <c r="BB101" i="102"/>
  <c r="AJ102" i="102"/>
  <c r="AT102" i="102"/>
  <c r="AS102" i="102"/>
  <c r="AW102" i="102"/>
  <c r="AX102" i="102"/>
  <c r="AY102" i="102"/>
  <c r="AZ102" i="102"/>
  <c r="BA102" i="102"/>
  <c r="BB102" i="102"/>
  <c r="AJ103" i="102"/>
  <c r="AT103" i="102"/>
  <c r="AS103" i="102"/>
  <c r="AW103" i="102"/>
  <c r="AX103" i="102"/>
  <c r="AY103" i="102"/>
  <c r="AZ103" i="102"/>
  <c r="BA103" i="102"/>
  <c r="BB103" i="102"/>
  <c r="AJ104" i="102"/>
  <c r="AT104" i="102"/>
  <c r="AS104" i="102"/>
  <c r="AW104" i="102"/>
  <c r="AX104" i="102"/>
  <c r="AY104" i="102"/>
  <c r="AZ104" i="102"/>
  <c r="BA104" i="102"/>
  <c r="BB104" i="102"/>
  <c r="AJ105" i="102"/>
  <c r="AT105" i="102"/>
  <c r="AS105" i="102"/>
  <c r="AW105" i="102"/>
  <c r="AX105" i="102"/>
  <c r="AY105" i="102"/>
  <c r="AZ105" i="102"/>
  <c r="BA105" i="102"/>
  <c r="BB105" i="102"/>
  <c r="AJ106" i="102"/>
  <c r="AT106" i="102"/>
  <c r="AS106" i="102"/>
  <c r="AW106" i="102"/>
  <c r="AX106" i="102"/>
  <c r="AY106" i="102"/>
  <c r="AZ106" i="102"/>
  <c r="BA106" i="102"/>
  <c r="BB106" i="102"/>
  <c r="AJ107" i="102"/>
  <c r="AT107" i="102"/>
  <c r="AS107" i="102"/>
  <c r="AW107" i="102"/>
  <c r="AX107" i="102"/>
  <c r="AY107" i="102"/>
  <c r="AZ107" i="102"/>
  <c r="BA107" i="102"/>
  <c r="BB107" i="102"/>
  <c r="AJ108" i="102"/>
  <c r="AT108" i="102"/>
  <c r="AS108" i="102"/>
  <c r="AW108" i="102"/>
  <c r="AX108" i="102"/>
  <c r="AY108" i="102"/>
  <c r="AZ108" i="102"/>
  <c r="BA108" i="102"/>
  <c r="BB108" i="102"/>
  <c r="AJ109" i="102"/>
  <c r="AT109" i="102"/>
  <c r="AS109" i="102"/>
  <c r="AW109" i="102"/>
  <c r="AX109" i="102"/>
  <c r="AY109" i="102"/>
  <c r="AZ109" i="102"/>
  <c r="BA109" i="102"/>
  <c r="BB109" i="102"/>
  <c r="AJ110" i="102"/>
  <c r="AT110" i="102"/>
  <c r="AS110" i="102"/>
  <c r="AW110" i="102"/>
  <c r="AX110" i="102"/>
  <c r="AY110" i="102"/>
  <c r="AZ110" i="102"/>
  <c r="BA110" i="102"/>
  <c r="BB110" i="102"/>
  <c r="AJ111" i="102"/>
  <c r="AT111" i="102"/>
  <c r="AS111" i="102"/>
  <c r="AW111" i="102"/>
  <c r="AX111" i="102"/>
  <c r="AY111" i="102"/>
  <c r="AZ111" i="102"/>
  <c r="BA111" i="102"/>
  <c r="BB111" i="102"/>
  <c r="AJ112" i="102"/>
  <c r="AT112" i="102"/>
  <c r="AS112" i="102"/>
  <c r="AW112" i="102"/>
  <c r="AX112" i="102"/>
  <c r="AY112" i="102"/>
  <c r="AZ112" i="102"/>
  <c r="BA112" i="102"/>
  <c r="BB112" i="102"/>
  <c r="AJ113" i="102"/>
  <c r="AT113" i="102"/>
  <c r="AS113" i="102"/>
  <c r="AW113" i="102"/>
  <c r="AX113" i="102"/>
  <c r="AY113" i="102"/>
  <c r="AZ113" i="102"/>
  <c r="BA113" i="102"/>
  <c r="BB113" i="102"/>
  <c r="AJ114" i="102"/>
  <c r="AT114" i="102"/>
  <c r="AS114" i="102"/>
  <c r="AW114" i="102"/>
  <c r="AX114" i="102"/>
  <c r="AY114" i="102"/>
  <c r="AZ114" i="102"/>
  <c r="BA114" i="102"/>
  <c r="BB114" i="102"/>
  <c r="AJ115" i="102"/>
  <c r="AT115" i="102"/>
  <c r="AS115" i="102"/>
  <c r="AW115" i="102"/>
  <c r="AX115" i="102"/>
  <c r="AY115" i="102"/>
  <c r="AZ115" i="102"/>
  <c r="BA115" i="102"/>
  <c r="BB115" i="102"/>
  <c r="AJ116" i="102"/>
  <c r="AT116" i="102"/>
  <c r="AS116" i="102"/>
  <c r="AW116" i="102"/>
  <c r="AX116" i="102"/>
  <c r="AY116" i="102"/>
  <c r="AZ116" i="102"/>
  <c r="BA116" i="102"/>
  <c r="BB116" i="102"/>
  <c r="AJ117" i="102"/>
  <c r="AT117" i="102"/>
  <c r="AS117" i="102"/>
  <c r="AW117" i="102"/>
  <c r="AX117" i="102"/>
  <c r="AY117" i="102"/>
  <c r="AZ117" i="102"/>
  <c r="BA117" i="102"/>
  <c r="BB117" i="102"/>
  <c r="AJ118" i="102"/>
  <c r="AT118" i="102"/>
  <c r="AS118" i="102"/>
  <c r="AW118" i="102"/>
  <c r="AX118" i="102"/>
  <c r="AY118" i="102"/>
  <c r="AZ118" i="102"/>
  <c r="BA118" i="102"/>
  <c r="BB118" i="102"/>
  <c r="AJ119" i="102"/>
  <c r="AT119" i="102"/>
  <c r="AS119" i="102"/>
  <c r="AW119" i="102"/>
  <c r="AX119" i="102"/>
  <c r="AY119" i="102"/>
  <c r="AZ119" i="102"/>
  <c r="BA119" i="102"/>
  <c r="BB119" i="102"/>
  <c r="AJ120" i="102"/>
  <c r="AT120" i="102"/>
  <c r="AS120" i="102"/>
  <c r="AW120" i="102"/>
  <c r="AX120" i="102"/>
  <c r="AY120" i="102"/>
  <c r="AZ120" i="102"/>
  <c r="BA120" i="102"/>
  <c r="BB120" i="102"/>
  <c r="AJ121" i="102"/>
  <c r="AT121" i="102"/>
  <c r="AS121" i="102"/>
  <c r="AW121" i="102"/>
  <c r="AX121" i="102"/>
  <c r="AY121" i="102"/>
  <c r="AZ121" i="102"/>
  <c r="BA121" i="102"/>
  <c r="BB121" i="102"/>
  <c r="AJ122" i="102"/>
  <c r="AT122" i="102"/>
  <c r="AS122" i="102"/>
  <c r="AW122" i="102"/>
  <c r="AX122" i="102"/>
  <c r="AY122" i="102"/>
  <c r="AZ122" i="102"/>
  <c r="BA122" i="102"/>
  <c r="BB122" i="102"/>
  <c r="AJ123" i="102"/>
  <c r="AT123" i="102"/>
  <c r="AS123" i="102"/>
  <c r="AW123" i="102"/>
  <c r="AX123" i="102"/>
  <c r="AY123" i="102"/>
  <c r="AZ123" i="102"/>
  <c r="BA123" i="102"/>
  <c r="BB123" i="102"/>
  <c r="AJ124" i="102"/>
  <c r="AT124" i="102"/>
  <c r="AS124" i="102"/>
  <c r="AW124" i="102"/>
  <c r="AX124" i="102"/>
  <c r="AY124" i="102"/>
  <c r="AZ124" i="102"/>
  <c r="BA124" i="102"/>
  <c r="BB124" i="102"/>
  <c r="AJ125" i="102"/>
  <c r="AT125" i="102"/>
  <c r="AS125" i="102"/>
  <c r="AW125" i="102"/>
  <c r="AX125" i="102"/>
  <c r="AY125" i="102"/>
  <c r="AZ125" i="102"/>
  <c r="BA125" i="102"/>
  <c r="BB125" i="102"/>
  <c r="AJ126" i="102"/>
  <c r="AT126" i="102"/>
  <c r="AS126" i="102"/>
  <c r="AW126" i="102"/>
  <c r="AX126" i="102"/>
  <c r="AY126" i="102"/>
  <c r="AZ126" i="102"/>
  <c r="BA126" i="102"/>
  <c r="BB126" i="102"/>
  <c r="AJ127" i="102"/>
  <c r="AT127" i="102"/>
  <c r="AS127" i="102"/>
  <c r="AW127" i="102"/>
  <c r="AX127" i="102"/>
  <c r="AY127" i="102"/>
  <c r="AZ127" i="102"/>
  <c r="BA127" i="102"/>
  <c r="BB127" i="102"/>
  <c r="AJ128" i="102"/>
  <c r="AT128" i="102"/>
  <c r="AS128" i="102"/>
  <c r="AW128" i="102"/>
  <c r="AX128" i="102"/>
  <c r="AY128" i="102"/>
  <c r="AZ128" i="102"/>
  <c r="BA128" i="102"/>
  <c r="BB128" i="102"/>
  <c r="AJ129" i="102"/>
  <c r="AT129" i="102"/>
  <c r="AS129" i="102"/>
  <c r="AW129" i="102"/>
  <c r="AX129" i="102"/>
  <c r="AY129" i="102"/>
  <c r="AZ129" i="102"/>
  <c r="BA129" i="102"/>
  <c r="BB129" i="102"/>
  <c r="AJ130" i="102"/>
  <c r="AT130" i="102"/>
  <c r="AS130" i="102"/>
  <c r="AW130" i="102"/>
  <c r="AX130" i="102"/>
  <c r="AY130" i="102"/>
  <c r="AZ130" i="102"/>
  <c r="BA130" i="102"/>
  <c r="BB130" i="102"/>
  <c r="AJ131" i="102"/>
  <c r="AT131" i="102"/>
  <c r="AS131" i="102"/>
  <c r="AW131" i="102"/>
  <c r="AX131" i="102"/>
  <c r="AY131" i="102"/>
  <c r="AZ131" i="102"/>
  <c r="BA131" i="102"/>
  <c r="BB131" i="102"/>
  <c r="AJ132" i="102"/>
  <c r="AT132" i="102"/>
  <c r="AS132" i="102"/>
  <c r="AW132" i="102"/>
  <c r="AX132" i="102"/>
  <c r="AY132" i="102"/>
  <c r="AZ132" i="102"/>
  <c r="BA132" i="102"/>
  <c r="BB132" i="102"/>
  <c r="AJ133" i="102"/>
  <c r="AT133" i="102"/>
  <c r="AS133" i="102"/>
  <c r="AW133" i="102"/>
  <c r="AX133" i="102"/>
  <c r="AY133" i="102"/>
  <c r="AZ133" i="102"/>
  <c r="BA133" i="102"/>
  <c r="BB133" i="102"/>
  <c r="AJ134" i="102"/>
  <c r="AT134" i="102"/>
  <c r="AS134" i="102"/>
  <c r="AW134" i="102"/>
  <c r="AX134" i="102"/>
  <c r="AY134" i="102"/>
  <c r="AZ134" i="102"/>
  <c r="BA134" i="102"/>
  <c r="BB134" i="102"/>
  <c r="AJ135" i="102"/>
  <c r="AT135" i="102"/>
  <c r="AS135" i="102"/>
  <c r="AW135" i="102"/>
  <c r="AX135" i="102"/>
  <c r="AY135" i="102"/>
  <c r="AZ135" i="102"/>
  <c r="BA135" i="102"/>
  <c r="BB135" i="102"/>
  <c r="AJ136" i="102"/>
  <c r="AT136" i="102"/>
  <c r="AS136" i="102"/>
  <c r="AW136" i="102"/>
  <c r="AX136" i="102"/>
  <c r="AY136" i="102"/>
  <c r="AZ136" i="102"/>
  <c r="BA136" i="102"/>
  <c r="BB136" i="102"/>
  <c r="AJ137" i="102"/>
  <c r="AT137" i="102"/>
  <c r="AS137" i="102"/>
  <c r="AW137" i="102"/>
  <c r="AX137" i="102"/>
  <c r="AY137" i="102"/>
  <c r="AZ137" i="102"/>
  <c r="BA137" i="102"/>
  <c r="BB137" i="102"/>
  <c r="AJ138" i="102"/>
  <c r="AT138" i="102"/>
  <c r="AS138" i="102"/>
  <c r="AW138" i="102"/>
  <c r="AX138" i="102"/>
  <c r="AY138" i="102"/>
  <c r="AZ138" i="102"/>
  <c r="BA138" i="102"/>
  <c r="BB138" i="102"/>
  <c r="AJ139" i="102"/>
  <c r="AT139" i="102"/>
  <c r="AS139" i="102"/>
  <c r="AW139" i="102"/>
  <c r="AX139" i="102"/>
  <c r="AY139" i="102"/>
  <c r="AZ139" i="102"/>
  <c r="BA139" i="102"/>
  <c r="BB139" i="102"/>
  <c r="AJ140" i="102"/>
  <c r="AT140" i="102"/>
  <c r="AS140" i="102"/>
  <c r="AW140" i="102"/>
  <c r="AX140" i="102"/>
  <c r="AY140" i="102"/>
  <c r="AZ140" i="102"/>
  <c r="BA140" i="102"/>
  <c r="BB140" i="102"/>
  <c r="AJ141" i="102"/>
  <c r="AT141" i="102"/>
  <c r="AS141" i="102"/>
  <c r="AW141" i="102"/>
  <c r="AX141" i="102"/>
  <c r="AY141" i="102"/>
  <c r="AZ141" i="102"/>
  <c r="BA141" i="102"/>
  <c r="BB141" i="102"/>
  <c r="AJ142" i="102"/>
  <c r="AT142" i="102"/>
  <c r="AS142" i="102"/>
  <c r="AW142" i="102"/>
  <c r="AX142" i="102"/>
  <c r="AY142" i="102"/>
  <c r="AZ142" i="102"/>
  <c r="BA142" i="102"/>
  <c r="BB142" i="102"/>
  <c r="AJ143" i="102"/>
  <c r="AT143" i="102"/>
  <c r="AS143" i="102"/>
  <c r="AW143" i="102"/>
  <c r="AX143" i="102"/>
  <c r="AY143" i="102"/>
  <c r="AZ143" i="102"/>
  <c r="BA143" i="102"/>
  <c r="BB143" i="102"/>
  <c r="AJ144" i="102"/>
  <c r="AT144" i="102"/>
  <c r="AS144" i="102"/>
  <c r="AW144" i="102"/>
  <c r="AX144" i="102"/>
  <c r="AY144" i="102"/>
  <c r="AZ144" i="102"/>
  <c r="BA144" i="102"/>
  <c r="BB144" i="102"/>
  <c r="AJ145" i="102"/>
  <c r="AT145" i="102"/>
  <c r="AS145" i="102"/>
  <c r="AW145" i="102"/>
  <c r="AX145" i="102"/>
  <c r="AY145" i="102"/>
  <c r="AZ145" i="102"/>
  <c r="BA145" i="102"/>
  <c r="BB145" i="102"/>
  <c r="AJ146" i="102"/>
  <c r="AT146" i="102"/>
  <c r="AS146" i="102"/>
  <c r="AW146" i="102"/>
  <c r="AX146" i="102"/>
  <c r="AY146" i="102"/>
  <c r="AZ146" i="102"/>
  <c r="BA146" i="102"/>
  <c r="BB146" i="102"/>
  <c r="AJ147" i="102"/>
  <c r="AT147" i="102"/>
  <c r="AS147" i="102"/>
  <c r="AW147" i="102"/>
  <c r="AX147" i="102"/>
  <c r="AY147" i="102"/>
  <c r="AZ147" i="102"/>
  <c r="BA147" i="102"/>
  <c r="BB147" i="102"/>
  <c r="AJ148" i="102"/>
  <c r="AT148" i="102"/>
  <c r="AS148" i="102"/>
  <c r="AW148" i="102"/>
  <c r="AX148" i="102"/>
  <c r="AY148" i="102"/>
  <c r="AZ148" i="102"/>
  <c r="BA148" i="102"/>
  <c r="BB148" i="102"/>
  <c r="AJ149" i="102"/>
  <c r="AT149" i="102"/>
  <c r="AS149" i="102"/>
  <c r="AW149" i="102"/>
  <c r="AX149" i="102"/>
  <c r="AY149" i="102"/>
  <c r="AZ149" i="102"/>
  <c r="BA149" i="102"/>
  <c r="BB149" i="102"/>
  <c r="AJ150" i="102"/>
  <c r="AT150" i="102"/>
  <c r="AS150" i="102"/>
  <c r="AW150" i="102"/>
  <c r="AX150" i="102"/>
  <c r="AY150" i="102"/>
  <c r="AZ150" i="102"/>
  <c r="BA150" i="102"/>
  <c r="BB150" i="102"/>
  <c r="AJ151" i="102"/>
  <c r="AT151" i="102"/>
  <c r="AS151" i="102"/>
  <c r="AW151" i="102"/>
  <c r="AX151" i="102"/>
  <c r="AY151" i="102"/>
  <c r="AZ151" i="102"/>
  <c r="BA151" i="102"/>
  <c r="BB151" i="102"/>
  <c r="AJ152" i="102"/>
  <c r="AT152" i="102"/>
  <c r="AS152" i="102"/>
  <c r="AW152" i="102"/>
  <c r="AX152" i="102"/>
  <c r="AY152" i="102"/>
  <c r="AZ152" i="102"/>
  <c r="BA152" i="102"/>
  <c r="BB152" i="102"/>
  <c r="AJ153" i="102"/>
  <c r="AT153" i="102"/>
  <c r="AS153" i="102"/>
  <c r="AW153" i="102"/>
  <c r="AX153" i="102"/>
  <c r="AY153" i="102"/>
  <c r="AZ153" i="102"/>
  <c r="BA153" i="102"/>
  <c r="BB153" i="102"/>
  <c r="AJ154" i="102"/>
  <c r="AT154" i="102"/>
  <c r="AS154" i="102"/>
  <c r="AW154" i="102"/>
  <c r="AX154" i="102"/>
  <c r="AY154" i="102"/>
  <c r="AZ154" i="102"/>
  <c r="BA154" i="102"/>
  <c r="BB154" i="102"/>
  <c r="AJ155" i="102"/>
  <c r="AT155" i="102"/>
  <c r="AS155" i="102"/>
  <c r="AW155" i="102"/>
  <c r="AX155" i="102"/>
  <c r="AY155" i="102"/>
  <c r="AZ155" i="102"/>
  <c r="BA155" i="102"/>
  <c r="BB155" i="102"/>
  <c r="AJ156" i="102"/>
  <c r="AT156" i="102"/>
  <c r="AS156" i="102"/>
  <c r="AW156" i="102"/>
  <c r="AX156" i="102"/>
  <c r="AY156" i="102"/>
  <c r="AZ156" i="102"/>
  <c r="BA156" i="102"/>
  <c r="BB156" i="102"/>
  <c r="AJ157" i="102"/>
  <c r="AT157" i="102"/>
  <c r="AS157" i="102"/>
  <c r="AW157" i="102"/>
  <c r="AX157" i="102"/>
  <c r="AY157" i="102"/>
  <c r="AZ157" i="102"/>
  <c r="BA157" i="102"/>
  <c r="BB157" i="102"/>
  <c r="AJ158" i="102"/>
  <c r="AT158" i="102"/>
  <c r="AS158" i="102"/>
  <c r="AW158" i="102"/>
  <c r="AX158" i="102"/>
  <c r="AY158" i="102"/>
  <c r="AZ158" i="102"/>
  <c r="BA158" i="102"/>
  <c r="BB158" i="102"/>
  <c r="AJ159" i="102"/>
  <c r="AT159" i="102"/>
  <c r="AS159" i="102"/>
  <c r="AW159" i="102"/>
  <c r="AX159" i="102"/>
  <c r="AY159" i="102"/>
  <c r="AZ159" i="102"/>
  <c r="BA159" i="102"/>
  <c r="BB159" i="102"/>
  <c r="AJ160" i="102"/>
  <c r="AT160" i="102"/>
  <c r="AS160" i="102"/>
  <c r="AW160" i="102"/>
  <c r="AX160" i="102"/>
  <c r="AY160" i="102"/>
  <c r="AZ160" i="102"/>
  <c r="BA160" i="102"/>
  <c r="BB160" i="102"/>
  <c r="AJ161" i="102"/>
  <c r="AT161" i="102"/>
  <c r="AS161" i="102"/>
  <c r="AW161" i="102"/>
  <c r="AX161" i="102"/>
  <c r="AY161" i="102"/>
  <c r="AZ161" i="102"/>
  <c r="BA161" i="102"/>
  <c r="BB161" i="102"/>
  <c r="AJ162" i="102"/>
  <c r="AT162" i="102"/>
  <c r="AS162" i="102"/>
  <c r="AW162" i="102"/>
  <c r="AX162" i="102"/>
  <c r="AY162" i="102"/>
  <c r="AZ162" i="102"/>
  <c r="BA162" i="102"/>
  <c r="BB162" i="102"/>
  <c r="AJ163" i="102"/>
  <c r="AT163" i="102"/>
  <c r="AS163" i="102"/>
  <c r="AW163" i="102"/>
  <c r="AX163" i="102"/>
  <c r="AY163" i="102"/>
  <c r="AZ163" i="102"/>
  <c r="BA163" i="102"/>
  <c r="BB163" i="102"/>
  <c r="AJ164" i="102"/>
  <c r="AT164" i="102"/>
  <c r="AS164" i="102"/>
  <c r="AW164" i="102"/>
  <c r="AX164" i="102"/>
  <c r="AY164" i="102"/>
  <c r="AZ164" i="102"/>
  <c r="BA164" i="102"/>
  <c r="BB164" i="102"/>
  <c r="AJ165" i="102"/>
  <c r="AT165" i="102"/>
  <c r="AS165" i="102"/>
  <c r="AW165" i="102"/>
  <c r="AX165" i="102"/>
  <c r="AY165" i="102"/>
  <c r="AZ165" i="102"/>
  <c r="BA165" i="102"/>
  <c r="BB165" i="102"/>
  <c r="AJ166" i="102"/>
  <c r="AT166" i="102"/>
  <c r="AS166" i="102"/>
  <c r="AW166" i="102"/>
  <c r="AX166" i="102"/>
  <c r="AY166" i="102"/>
  <c r="AZ166" i="102"/>
  <c r="BA166" i="102"/>
  <c r="BB166" i="102"/>
  <c r="AJ167" i="102"/>
  <c r="AT167" i="102"/>
  <c r="AS167" i="102"/>
  <c r="AW167" i="102"/>
  <c r="AX167" i="102"/>
  <c r="AY167" i="102"/>
  <c r="AZ167" i="102"/>
  <c r="BA167" i="102"/>
  <c r="BB167" i="102"/>
  <c r="AJ168" i="102"/>
  <c r="AT168" i="102"/>
  <c r="AS168" i="102"/>
  <c r="AW168" i="102"/>
  <c r="AX168" i="102"/>
  <c r="AY168" i="102"/>
  <c r="AZ168" i="102"/>
  <c r="BA168" i="102"/>
  <c r="BB168" i="102"/>
  <c r="AJ169" i="102"/>
  <c r="AT169" i="102"/>
  <c r="AS169" i="102"/>
  <c r="AW169" i="102"/>
  <c r="AX169" i="102"/>
  <c r="AY169" i="102"/>
  <c r="AZ169" i="102"/>
  <c r="BA169" i="102"/>
  <c r="BB169" i="102"/>
  <c r="AJ170" i="102"/>
  <c r="AT170" i="102"/>
  <c r="AS170" i="102"/>
  <c r="AW170" i="102"/>
  <c r="AX170" i="102"/>
  <c r="AY170" i="102"/>
  <c r="AZ170" i="102"/>
  <c r="BA170" i="102"/>
  <c r="BB170" i="102"/>
  <c r="AJ171" i="102"/>
  <c r="AT171" i="102"/>
  <c r="AS171" i="102"/>
  <c r="AW171" i="102"/>
  <c r="AX171" i="102"/>
  <c r="AY171" i="102"/>
  <c r="AZ171" i="102"/>
  <c r="BA171" i="102"/>
  <c r="BB171" i="102"/>
  <c r="AJ172" i="102"/>
  <c r="AT172" i="102"/>
  <c r="AS172" i="102"/>
  <c r="AW172" i="102"/>
  <c r="AX172" i="102"/>
  <c r="AY172" i="102"/>
  <c r="AZ172" i="102"/>
  <c r="BA172" i="102"/>
  <c r="BB172" i="102"/>
  <c r="AJ173" i="102"/>
  <c r="AT173" i="102"/>
  <c r="AS173" i="102"/>
  <c r="AW173" i="102"/>
  <c r="AX173" i="102"/>
  <c r="AY173" i="102"/>
  <c r="AZ173" i="102"/>
  <c r="BA173" i="102"/>
  <c r="BB173" i="102"/>
  <c r="AJ174" i="102"/>
  <c r="AT174" i="102"/>
  <c r="AS174" i="102"/>
  <c r="AW174" i="102"/>
  <c r="AX174" i="102"/>
  <c r="AY174" i="102"/>
  <c r="AZ174" i="102"/>
  <c r="BA174" i="102"/>
  <c r="BB174" i="102"/>
  <c r="AJ175" i="102"/>
  <c r="AT175" i="102"/>
  <c r="AS175" i="102"/>
  <c r="AW175" i="102"/>
  <c r="AX175" i="102"/>
  <c r="AY175" i="102"/>
  <c r="AZ175" i="102"/>
  <c r="BA175" i="102"/>
  <c r="BB175" i="102"/>
  <c r="AJ176" i="102"/>
  <c r="AT176" i="102"/>
  <c r="AS176" i="102"/>
  <c r="AW176" i="102"/>
  <c r="AX176" i="102"/>
  <c r="AY176" i="102"/>
  <c r="AZ176" i="102"/>
  <c r="BA176" i="102"/>
  <c r="BB176" i="102"/>
  <c r="AJ177" i="102"/>
  <c r="AT177" i="102"/>
  <c r="AS177" i="102"/>
  <c r="AW177" i="102"/>
  <c r="AX177" i="102"/>
  <c r="AY177" i="102"/>
  <c r="AZ177" i="102"/>
  <c r="BA177" i="102"/>
  <c r="BB177" i="102"/>
  <c r="AJ178" i="102"/>
  <c r="AT178" i="102"/>
  <c r="AS178" i="102"/>
  <c r="AW178" i="102"/>
  <c r="AX178" i="102"/>
  <c r="AY178" i="102"/>
  <c r="AZ178" i="102"/>
  <c r="BA178" i="102"/>
  <c r="BB178" i="102"/>
  <c r="AJ179" i="102"/>
  <c r="AT179" i="102"/>
  <c r="AS179" i="102"/>
  <c r="AW179" i="102"/>
  <c r="AX179" i="102"/>
  <c r="AY179" i="102"/>
  <c r="AZ179" i="102"/>
  <c r="BA179" i="102"/>
  <c r="BB179" i="102"/>
  <c r="AJ180" i="102"/>
  <c r="AT180" i="102"/>
  <c r="AS180" i="102"/>
  <c r="AW180" i="102"/>
  <c r="AX180" i="102"/>
  <c r="AY180" i="102"/>
  <c r="AZ180" i="102"/>
  <c r="BA180" i="102"/>
  <c r="BB180" i="102"/>
  <c r="AJ181" i="102"/>
  <c r="AT181" i="102"/>
  <c r="AS181" i="102"/>
  <c r="AW181" i="102"/>
  <c r="AX181" i="102"/>
  <c r="AY181" i="102"/>
  <c r="AZ181" i="102"/>
  <c r="BA181" i="102"/>
  <c r="BB181" i="102"/>
  <c r="AJ182" i="102"/>
  <c r="AT182" i="102"/>
  <c r="AS182" i="102"/>
  <c r="AW182" i="102"/>
  <c r="AX182" i="102"/>
  <c r="AY182" i="102"/>
  <c r="AZ182" i="102"/>
  <c r="BA182" i="102"/>
  <c r="BB182" i="102"/>
  <c r="AJ183" i="102"/>
  <c r="AT183" i="102"/>
  <c r="AS183" i="102"/>
  <c r="AW183" i="102"/>
  <c r="AX183" i="102"/>
  <c r="AY183" i="102"/>
  <c r="AZ183" i="102"/>
  <c r="BA183" i="102"/>
  <c r="BB183" i="102"/>
  <c r="AJ184" i="102"/>
  <c r="AT184" i="102"/>
  <c r="AS184" i="102"/>
  <c r="AW184" i="102"/>
  <c r="AX184" i="102"/>
  <c r="AY184" i="102"/>
  <c r="AZ184" i="102"/>
  <c r="BA184" i="102"/>
  <c r="BB184" i="102"/>
  <c r="AJ185" i="102"/>
  <c r="AT185" i="102"/>
  <c r="AS185" i="102"/>
  <c r="AW185" i="102"/>
  <c r="AX185" i="102"/>
  <c r="AY185" i="102"/>
  <c r="AZ185" i="102"/>
  <c r="BA185" i="102"/>
  <c r="BB185" i="102"/>
  <c r="AJ186" i="102"/>
  <c r="AT186" i="102"/>
  <c r="AS186" i="102"/>
  <c r="AW186" i="102"/>
  <c r="AX186" i="102"/>
  <c r="AY186" i="102"/>
  <c r="AZ186" i="102"/>
  <c r="BA186" i="102"/>
  <c r="BB186" i="102"/>
  <c r="AJ187" i="102"/>
  <c r="AT187" i="102"/>
  <c r="AS187" i="102"/>
  <c r="AW187" i="102"/>
  <c r="AX187" i="102"/>
  <c r="AY187" i="102"/>
  <c r="AZ187" i="102"/>
  <c r="BA187" i="102"/>
  <c r="BB187" i="102"/>
  <c r="AJ188" i="102"/>
  <c r="AT188" i="102"/>
  <c r="AS188" i="102"/>
  <c r="AW188" i="102"/>
  <c r="AX188" i="102"/>
  <c r="AY188" i="102"/>
  <c r="AZ188" i="102"/>
  <c r="BA188" i="102"/>
  <c r="BB188" i="102"/>
  <c r="AJ189" i="102"/>
  <c r="AT189" i="102"/>
  <c r="AS189" i="102"/>
  <c r="AW189" i="102"/>
  <c r="AX189" i="102"/>
  <c r="AY189" i="102"/>
  <c r="AZ189" i="102"/>
  <c r="BA189" i="102"/>
  <c r="BB189" i="102"/>
  <c r="AJ190" i="102"/>
  <c r="AT190" i="102"/>
  <c r="AS190" i="102"/>
  <c r="AW190" i="102"/>
  <c r="AX190" i="102"/>
  <c r="AY190" i="102"/>
  <c r="AZ190" i="102"/>
  <c r="BA190" i="102"/>
  <c r="BB190" i="102"/>
  <c r="AJ191" i="102"/>
  <c r="AT191" i="102"/>
  <c r="AS191" i="102"/>
  <c r="AW191" i="102"/>
  <c r="AX191" i="102"/>
  <c r="AY191" i="102"/>
  <c r="AZ191" i="102"/>
  <c r="BA191" i="102"/>
  <c r="BB191" i="102"/>
  <c r="AJ192" i="102"/>
  <c r="AT192" i="102"/>
  <c r="AS192" i="102"/>
  <c r="AW192" i="102"/>
  <c r="AX192" i="102"/>
  <c r="AY192" i="102"/>
  <c r="AZ192" i="102"/>
  <c r="BA192" i="102"/>
  <c r="BB192" i="102"/>
  <c r="AJ193" i="102"/>
  <c r="AT193" i="102"/>
  <c r="AS193" i="102"/>
  <c r="AW193" i="102"/>
  <c r="AX193" i="102"/>
  <c r="AY193" i="102"/>
  <c r="AZ193" i="102"/>
  <c r="BA193" i="102"/>
  <c r="BB193" i="102"/>
  <c r="AJ194" i="102"/>
  <c r="AT194" i="102"/>
  <c r="AS194" i="102"/>
  <c r="AW194" i="102"/>
  <c r="AX194" i="102"/>
  <c r="AY194" i="102"/>
  <c r="AZ194" i="102"/>
  <c r="BA194" i="102"/>
  <c r="BB194" i="102"/>
  <c r="AJ195" i="102"/>
  <c r="AT195" i="102"/>
  <c r="AS195" i="102"/>
  <c r="AW195" i="102"/>
  <c r="AX195" i="102"/>
  <c r="AY195" i="102"/>
  <c r="AZ195" i="102"/>
  <c r="BA195" i="102"/>
  <c r="BB195" i="102"/>
  <c r="AJ196" i="102"/>
  <c r="AT196" i="102"/>
  <c r="AS196" i="102"/>
  <c r="AW196" i="102"/>
  <c r="AX196" i="102"/>
  <c r="AY196" i="102"/>
  <c r="AZ196" i="102"/>
  <c r="BA196" i="102"/>
  <c r="BB196" i="102"/>
  <c r="AJ197" i="102"/>
  <c r="AT197" i="102"/>
  <c r="AS197" i="102"/>
  <c r="AW197" i="102"/>
  <c r="AX197" i="102"/>
  <c r="AY197" i="102"/>
  <c r="AZ197" i="102"/>
  <c r="BA197" i="102"/>
  <c r="BB197" i="102"/>
  <c r="AJ198" i="102"/>
  <c r="AT198" i="102"/>
  <c r="AS198" i="102"/>
  <c r="AW198" i="102"/>
  <c r="AX198" i="102"/>
  <c r="AY198" i="102"/>
  <c r="AZ198" i="102"/>
  <c r="BA198" i="102"/>
  <c r="BB198" i="102"/>
  <c r="AJ199" i="102"/>
  <c r="AT199" i="102"/>
  <c r="AS199" i="102"/>
  <c r="AW199" i="102"/>
  <c r="AX199" i="102"/>
  <c r="AY199" i="102"/>
  <c r="AZ199" i="102"/>
  <c r="BA199" i="102"/>
  <c r="BB199" i="102"/>
  <c r="AJ200" i="102"/>
  <c r="AT200" i="102"/>
  <c r="AS200" i="102"/>
  <c r="AW200" i="102"/>
  <c r="AX200" i="102"/>
  <c r="AY200" i="102"/>
  <c r="AZ200" i="102"/>
  <c r="BA200" i="102"/>
  <c r="BB200" i="102"/>
  <c r="AJ201" i="102"/>
  <c r="AT201" i="102"/>
  <c r="AS201" i="102"/>
  <c r="AW201" i="102"/>
  <c r="AX201" i="102"/>
  <c r="AY201" i="102"/>
  <c r="AZ201" i="102"/>
  <c r="BA201" i="102"/>
  <c r="BB201" i="102"/>
  <c r="AJ202" i="102"/>
  <c r="AT202" i="102"/>
  <c r="AS202" i="102"/>
  <c r="AW202" i="102"/>
  <c r="AX202" i="102"/>
  <c r="AY202" i="102"/>
  <c r="AZ202" i="102"/>
  <c r="BA202" i="102"/>
  <c r="BB202" i="102"/>
  <c r="AJ203" i="102"/>
  <c r="AT203" i="102"/>
  <c r="AS203" i="102"/>
  <c r="AW203" i="102"/>
  <c r="AX203" i="102"/>
  <c r="AY203" i="102"/>
  <c r="AZ203" i="102"/>
  <c r="BA203" i="102"/>
  <c r="BB203" i="102"/>
  <c r="AJ204" i="102"/>
  <c r="AT204" i="102"/>
  <c r="AS204" i="102"/>
  <c r="AW204" i="102"/>
  <c r="AX204" i="102"/>
  <c r="AY204" i="102"/>
  <c r="AZ204" i="102"/>
  <c r="BA204" i="102"/>
  <c r="BB204" i="102"/>
  <c r="AJ205" i="102"/>
  <c r="AT205" i="102"/>
  <c r="AS205" i="102"/>
  <c r="AW205" i="102"/>
  <c r="AX205" i="102"/>
  <c r="AY205" i="102"/>
  <c r="AZ205" i="102"/>
  <c r="BA205" i="102"/>
  <c r="BB205" i="102"/>
  <c r="AJ206" i="102"/>
  <c r="AT206" i="102"/>
  <c r="AS206" i="102"/>
  <c r="AW206" i="102"/>
  <c r="AX206" i="102"/>
  <c r="AY206" i="102"/>
  <c r="AZ206" i="102"/>
  <c r="BA206" i="102"/>
  <c r="BB206" i="102"/>
  <c r="AJ207" i="102"/>
  <c r="AT207" i="102"/>
  <c r="AS207" i="102"/>
  <c r="AW207" i="102"/>
  <c r="AX207" i="102"/>
  <c r="AY207" i="102"/>
  <c r="AZ207" i="102"/>
  <c r="BA207" i="102"/>
  <c r="BB207" i="102"/>
  <c r="AJ208" i="102"/>
  <c r="AT208" i="102"/>
  <c r="AS208" i="102"/>
  <c r="AW208" i="102"/>
  <c r="AX208" i="102"/>
  <c r="AY208" i="102"/>
  <c r="AZ208" i="102"/>
  <c r="BA208" i="102"/>
  <c r="BB208" i="102"/>
  <c r="AJ209" i="102"/>
  <c r="AT209" i="102"/>
  <c r="AS209" i="102"/>
  <c r="AW209" i="102"/>
  <c r="AX209" i="102"/>
  <c r="AY209" i="102"/>
  <c r="AZ209" i="102"/>
  <c r="BA209" i="102"/>
  <c r="BB209" i="102"/>
  <c r="AJ210" i="102"/>
  <c r="AT210" i="102"/>
  <c r="AS210" i="102"/>
  <c r="AW210" i="102"/>
  <c r="AX210" i="102"/>
  <c r="AY210" i="102"/>
  <c r="AZ210" i="102"/>
  <c r="BA210" i="102"/>
  <c r="BB210" i="102"/>
  <c r="AJ211" i="102"/>
  <c r="AT211" i="102"/>
  <c r="AS211" i="102"/>
  <c r="AW211" i="102"/>
  <c r="AX211" i="102"/>
  <c r="AY211" i="102"/>
  <c r="AZ211" i="102"/>
  <c r="BA211" i="102"/>
  <c r="BB211" i="102"/>
  <c r="AJ212" i="102"/>
  <c r="AT212" i="102"/>
  <c r="AS212" i="102"/>
  <c r="AW212" i="102"/>
  <c r="AX212" i="102"/>
  <c r="AY212" i="102"/>
  <c r="AZ212" i="102"/>
  <c r="BA212" i="102"/>
  <c r="BB212" i="102"/>
  <c r="AJ213" i="102"/>
  <c r="AT213" i="102"/>
  <c r="AS213" i="102"/>
  <c r="AW213" i="102"/>
  <c r="AX213" i="102"/>
  <c r="AY213" i="102"/>
  <c r="AZ213" i="102"/>
  <c r="BA213" i="102"/>
  <c r="BB213" i="102"/>
  <c r="AJ214" i="102"/>
  <c r="AT214" i="102"/>
  <c r="AS214" i="102"/>
  <c r="AW214" i="102"/>
  <c r="AX214" i="102"/>
  <c r="AY214" i="102"/>
  <c r="AZ214" i="102"/>
  <c r="BA214" i="102"/>
  <c r="BB214" i="102"/>
  <c r="AJ215" i="102"/>
  <c r="AT215" i="102"/>
  <c r="AS215" i="102"/>
  <c r="AW215" i="102"/>
  <c r="AX215" i="102"/>
  <c r="AY215" i="102"/>
  <c r="AZ215" i="102"/>
  <c r="BA215" i="102"/>
  <c r="BB215" i="102"/>
  <c r="AJ216" i="102"/>
  <c r="AT216" i="102"/>
  <c r="AS216" i="102"/>
  <c r="AW216" i="102"/>
  <c r="AX216" i="102"/>
  <c r="AY216" i="102"/>
  <c r="AZ216" i="102"/>
  <c r="BA216" i="102"/>
  <c r="BB216" i="102"/>
  <c r="AJ217" i="102"/>
  <c r="AT217" i="102"/>
  <c r="AS217" i="102"/>
  <c r="AW217" i="102"/>
  <c r="AX217" i="102"/>
  <c r="AY217" i="102"/>
  <c r="AZ217" i="102"/>
  <c r="BA217" i="102"/>
  <c r="BB217" i="102"/>
  <c r="AJ218" i="102"/>
  <c r="AT218" i="102"/>
  <c r="AS218" i="102"/>
  <c r="AW218" i="102"/>
  <c r="AX218" i="102"/>
  <c r="AY218" i="102"/>
  <c r="AZ218" i="102"/>
  <c r="BA218" i="102"/>
  <c r="BB218" i="102"/>
  <c r="AJ219" i="102"/>
  <c r="AT219" i="102"/>
  <c r="AS219" i="102"/>
  <c r="AW219" i="102"/>
  <c r="AX219" i="102"/>
  <c r="AY219" i="102"/>
  <c r="AZ219" i="102"/>
  <c r="BA219" i="102"/>
  <c r="BB219" i="102"/>
  <c r="AJ220" i="102"/>
  <c r="AT220" i="102"/>
  <c r="AS220" i="102"/>
  <c r="AW220" i="102"/>
  <c r="AX220" i="102"/>
  <c r="AY220" i="102"/>
  <c r="AZ220" i="102"/>
  <c r="BA220" i="102"/>
  <c r="BB220" i="102"/>
  <c r="AJ221" i="102"/>
  <c r="AT221" i="102"/>
  <c r="AS221" i="102"/>
  <c r="AW221" i="102"/>
  <c r="AX221" i="102"/>
  <c r="AY221" i="102"/>
  <c r="AZ221" i="102"/>
  <c r="BA221" i="102"/>
  <c r="BB221" i="102"/>
  <c r="AJ222" i="102"/>
  <c r="AT222" i="102"/>
  <c r="AS222" i="102"/>
  <c r="AW222" i="102"/>
  <c r="AX222" i="102"/>
  <c r="AY222" i="102"/>
  <c r="AZ222" i="102"/>
  <c r="BA222" i="102"/>
  <c r="BB222" i="102"/>
  <c r="AJ223" i="102"/>
  <c r="AT223" i="102"/>
  <c r="AS223" i="102"/>
  <c r="AW223" i="102"/>
  <c r="AX223" i="102"/>
  <c r="AY223" i="102"/>
  <c r="AZ223" i="102"/>
  <c r="BA223" i="102"/>
  <c r="BB223" i="102"/>
  <c r="AJ224" i="102"/>
  <c r="AT224" i="102"/>
  <c r="AS224" i="102"/>
  <c r="AW224" i="102"/>
  <c r="AX224" i="102"/>
  <c r="AY224" i="102"/>
  <c r="AZ224" i="102"/>
  <c r="BA224" i="102"/>
  <c r="BB224" i="102"/>
  <c r="AJ225" i="102"/>
  <c r="AT225" i="102"/>
  <c r="AS225" i="102"/>
  <c r="AW225" i="102"/>
  <c r="AX225" i="102"/>
  <c r="AY225" i="102"/>
  <c r="AZ225" i="102"/>
  <c r="BA225" i="102"/>
  <c r="BB225" i="102"/>
  <c r="AJ226" i="102"/>
  <c r="AT226" i="102"/>
  <c r="AS226" i="102"/>
  <c r="AW226" i="102"/>
  <c r="AX226" i="102"/>
  <c r="AY226" i="102"/>
  <c r="AZ226" i="102"/>
  <c r="BA226" i="102"/>
  <c r="BB226" i="102"/>
  <c r="AJ227" i="102"/>
  <c r="AT227" i="102"/>
  <c r="AS227" i="102"/>
  <c r="AW227" i="102"/>
  <c r="AX227" i="102"/>
  <c r="AY227" i="102"/>
  <c r="AZ227" i="102"/>
  <c r="BA227" i="102"/>
  <c r="BB227" i="102"/>
  <c r="AJ228" i="102"/>
  <c r="AT228" i="102"/>
  <c r="AS228" i="102"/>
  <c r="AW228" i="102"/>
  <c r="AX228" i="102"/>
  <c r="AY228" i="102"/>
  <c r="AZ228" i="102"/>
  <c r="BA228" i="102"/>
  <c r="BB228" i="102"/>
  <c r="AJ229" i="102"/>
  <c r="AT229" i="102"/>
  <c r="AS229" i="102"/>
  <c r="AW229" i="102"/>
  <c r="AX229" i="102"/>
  <c r="AY229" i="102"/>
  <c r="AZ229" i="102"/>
  <c r="BA229" i="102"/>
  <c r="BB229" i="102"/>
  <c r="AJ230" i="102"/>
  <c r="AT230" i="102"/>
  <c r="AS230" i="102"/>
  <c r="AW230" i="102"/>
  <c r="AX230" i="102"/>
  <c r="AY230" i="102"/>
  <c r="AZ230" i="102"/>
  <c r="BA230" i="102"/>
  <c r="BB230" i="102"/>
  <c r="AJ231" i="102"/>
  <c r="AT231" i="102"/>
  <c r="AS231" i="102"/>
  <c r="AW231" i="102"/>
  <c r="AX231" i="102"/>
  <c r="AY231" i="102"/>
  <c r="AZ231" i="102"/>
  <c r="BA231" i="102"/>
  <c r="BB231" i="102"/>
  <c r="AJ232" i="102"/>
  <c r="AT232" i="102"/>
  <c r="AS232" i="102"/>
  <c r="AW232" i="102"/>
  <c r="AX232" i="102"/>
  <c r="AY232" i="102"/>
  <c r="AZ232" i="102"/>
  <c r="BA232" i="102"/>
  <c r="BB232" i="102"/>
  <c r="AJ233" i="102"/>
  <c r="AT233" i="102"/>
  <c r="AS233" i="102"/>
  <c r="AW233" i="102"/>
  <c r="AX233" i="102"/>
  <c r="AY233" i="102"/>
  <c r="AZ233" i="102"/>
  <c r="BA233" i="102"/>
  <c r="BB233" i="102"/>
  <c r="AJ234" i="102"/>
  <c r="AT234" i="102"/>
  <c r="AS234" i="102"/>
  <c r="AW234" i="102"/>
  <c r="AX234" i="102"/>
  <c r="AY234" i="102"/>
  <c r="AZ234" i="102"/>
  <c r="BA234" i="102"/>
  <c r="BB234" i="102"/>
  <c r="AJ235" i="102"/>
  <c r="AT235" i="102"/>
  <c r="AS235" i="102"/>
  <c r="AW235" i="102"/>
  <c r="AX235" i="102"/>
  <c r="AY235" i="102"/>
  <c r="AZ235" i="102"/>
  <c r="BA235" i="102"/>
  <c r="BB235" i="102"/>
  <c r="AJ236" i="102"/>
  <c r="AT236" i="102"/>
  <c r="AS236" i="102"/>
  <c r="AW236" i="102"/>
  <c r="AX236" i="102"/>
  <c r="AY236" i="102"/>
  <c r="AZ236" i="102"/>
  <c r="BA236" i="102"/>
  <c r="BB236" i="102"/>
  <c r="AJ237" i="102"/>
  <c r="AT237" i="102"/>
  <c r="AS237" i="102"/>
  <c r="AW237" i="102"/>
  <c r="AX237" i="102"/>
  <c r="AY237" i="102"/>
  <c r="AZ237" i="102"/>
  <c r="BA237" i="102"/>
  <c r="BB237" i="102"/>
  <c r="AJ238" i="102"/>
  <c r="AT238" i="102"/>
  <c r="AS238" i="102"/>
  <c r="AW238" i="102"/>
  <c r="AX238" i="102"/>
  <c r="AY238" i="102"/>
  <c r="AZ238" i="102"/>
  <c r="BA238" i="102"/>
  <c r="BB238" i="102"/>
  <c r="AJ239" i="102"/>
  <c r="AT239" i="102"/>
  <c r="AS239" i="102"/>
  <c r="AW239" i="102"/>
  <c r="AX239" i="102"/>
  <c r="AY239" i="102"/>
  <c r="AZ239" i="102"/>
  <c r="BA239" i="102"/>
  <c r="BB239" i="102"/>
  <c r="AJ240" i="102"/>
  <c r="AT240" i="102"/>
  <c r="AS240" i="102"/>
  <c r="AW240" i="102"/>
  <c r="AX240" i="102"/>
  <c r="AY240" i="102"/>
  <c r="AZ240" i="102"/>
  <c r="BA240" i="102"/>
  <c r="BB240" i="102"/>
  <c r="AJ241" i="102"/>
  <c r="AT241" i="102"/>
  <c r="AS241" i="102"/>
  <c r="AW241" i="102"/>
  <c r="AX241" i="102"/>
  <c r="AY241" i="102"/>
  <c r="AZ241" i="102"/>
  <c r="BA241" i="102"/>
  <c r="BB241" i="102"/>
  <c r="AJ242" i="102"/>
  <c r="AT242" i="102"/>
  <c r="AS242" i="102"/>
  <c r="AW242" i="102"/>
  <c r="AX242" i="102"/>
  <c r="AY242" i="102"/>
  <c r="AZ242" i="102"/>
  <c r="BA242" i="102"/>
  <c r="BB242" i="102"/>
  <c r="AJ243" i="102"/>
  <c r="AT243" i="102"/>
  <c r="AS243" i="102"/>
  <c r="AW243" i="102"/>
  <c r="AX243" i="102"/>
  <c r="AY243" i="102"/>
  <c r="AZ243" i="102"/>
  <c r="BA243" i="102"/>
  <c r="BB243" i="102"/>
  <c r="AJ244" i="102"/>
  <c r="AT244" i="102"/>
  <c r="AS244" i="102"/>
  <c r="AW244" i="102"/>
  <c r="AX244" i="102"/>
  <c r="AY244" i="102"/>
  <c r="AZ244" i="102"/>
  <c r="BA244" i="102"/>
  <c r="BB244" i="102"/>
  <c r="AJ245" i="102"/>
  <c r="AT245" i="102"/>
  <c r="AS245" i="102"/>
  <c r="AW245" i="102"/>
  <c r="AX245" i="102"/>
  <c r="AY245" i="102"/>
  <c r="AZ245" i="102"/>
  <c r="BA245" i="102"/>
  <c r="BB245" i="102"/>
  <c r="AJ246" i="102"/>
  <c r="AT246" i="102"/>
  <c r="AS246" i="102"/>
  <c r="AW246" i="102"/>
  <c r="AX246" i="102"/>
  <c r="AY246" i="102"/>
  <c r="AZ246" i="102"/>
  <c r="BA246" i="102"/>
  <c r="BB246" i="102"/>
  <c r="AJ247" i="102"/>
  <c r="AT247" i="102"/>
  <c r="AS247" i="102"/>
  <c r="AW247" i="102"/>
  <c r="AX247" i="102"/>
  <c r="AY247" i="102"/>
  <c r="AZ247" i="102"/>
  <c r="BA247" i="102"/>
  <c r="BB247" i="102"/>
  <c r="AJ248" i="102"/>
  <c r="AT248" i="102"/>
  <c r="AS248" i="102"/>
  <c r="AW248" i="102"/>
  <c r="AX248" i="102"/>
  <c r="AY248" i="102"/>
  <c r="AZ248" i="102"/>
  <c r="BA248" i="102"/>
  <c r="BB248" i="102"/>
  <c r="AJ249" i="102"/>
  <c r="AT249" i="102"/>
  <c r="AS249" i="102"/>
  <c r="AW249" i="102"/>
  <c r="AX249" i="102"/>
  <c r="AY249" i="102"/>
  <c r="AZ249" i="102"/>
  <c r="BA249" i="102"/>
  <c r="BB249" i="102"/>
  <c r="AJ250" i="102"/>
  <c r="AT250" i="102"/>
  <c r="AS250" i="102"/>
  <c r="AW250" i="102"/>
  <c r="AX250" i="102"/>
  <c r="AY250" i="102"/>
  <c r="AZ250" i="102"/>
  <c r="BA250" i="102"/>
  <c r="BB250" i="102"/>
  <c r="AJ251" i="102"/>
  <c r="AT251" i="102"/>
  <c r="AS251" i="102"/>
  <c r="AW251" i="102"/>
  <c r="AX251" i="102"/>
  <c r="AY251" i="102"/>
  <c r="AZ251" i="102"/>
  <c r="BA251" i="102"/>
  <c r="BB251" i="102"/>
  <c r="AJ252" i="102"/>
  <c r="AT252" i="102"/>
  <c r="AS252" i="102"/>
  <c r="AW252" i="102"/>
  <c r="AX252" i="102"/>
  <c r="AY252" i="102"/>
  <c r="AZ252" i="102"/>
  <c r="BA252" i="102"/>
  <c r="BB252" i="102"/>
  <c r="AJ253" i="102"/>
  <c r="AT253" i="102"/>
  <c r="AS253" i="102"/>
  <c r="AW253" i="102"/>
  <c r="AX253" i="102"/>
  <c r="AY253" i="102"/>
  <c r="AZ253" i="102"/>
  <c r="BA253" i="102"/>
  <c r="BB253" i="102"/>
  <c r="AJ254" i="102"/>
  <c r="AT254" i="102"/>
  <c r="AS254" i="102"/>
  <c r="AW254" i="102"/>
  <c r="AX254" i="102"/>
  <c r="AY254" i="102"/>
  <c r="AZ254" i="102"/>
  <c r="BA254" i="102"/>
  <c r="BB254" i="102"/>
  <c r="AJ255" i="102"/>
  <c r="AT255" i="102"/>
  <c r="AS255" i="102"/>
  <c r="AW255" i="102"/>
  <c r="AX255" i="102"/>
  <c r="AY255" i="102"/>
  <c r="AZ255" i="102"/>
  <c r="BA255" i="102"/>
  <c r="BB255" i="102"/>
  <c r="AJ256" i="102"/>
  <c r="AT256" i="102"/>
  <c r="AS256" i="102"/>
  <c r="AW256" i="102"/>
  <c r="AX256" i="102"/>
  <c r="AY256" i="102"/>
  <c r="AZ256" i="102"/>
  <c r="BA256" i="102"/>
  <c r="BB256" i="102"/>
  <c r="AJ257" i="102"/>
  <c r="AT257" i="102"/>
  <c r="AS257" i="102"/>
  <c r="AW257" i="102"/>
  <c r="AX257" i="102"/>
  <c r="AY257" i="102"/>
  <c r="AZ257" i="102"/>
  <c r="BA257" i="102"/>
  <c r="BB257" i="102"/>
  <c r="AJ258" i="102"/>
  <c r="AT258" i="102"/>
  <c r="AS258" i="102"/>
  <c r="AW258" i="102"/>
  <c r="AX258" i="102"/>
  <c r="AY258" i="102"/>
  <c r="AZ258" i="102"/>
  <c r="BA258" i="102"/>
  <c r="BB258" i="102"/>
  <c r="AJ259" i="102"/>
  <c r="AT259" i="102"/>
  <c r="AS259" i="102"/>
  <c r="AW259" i="102"/>
  <c r="AX259" i="102"/>
  <c r="AY259" i="102"/>
  <c r="AZ259" i="102"/>
  <c r="BA259" i="102"/>
  <c r="BB259" i="102"/>
  <c r="AJ260" i="102"/>
  <c r="AT260" i="102"/>
  <c r="AS260" i="102"/>
  <c r="AW260" i="102"/>
  <c r="AX260" i="102"/>
  <c r="AY260" i="102"/>
  <c r="AZ260" i="102"/>
  <c r="BA260" i="102"/>
  <c r="BB260" i="102"/>
  <c r="AJ261" i="102"/>
  <c r="AT261" i="102"/>
  <c r="AS261" i="102"/>
  <c r="AW261" i="102"/>
  <c r="AX261" i="102"/>
  <c r="AY261" i="102"/>
  <c r="AZ261" i="102"/>
  <c r="BA261" i="102"/>
  <c r="BB261" i="102"/>
  <c r="AJ262" i="102"/>
  <c r="AT262" i="102"/>
  <c r="AS262" i="102"/>
  <c r="AW262" i="102"/>
  <c r="AX262" i="102"/>
  <c r="AY262" i="102"/>
  <c r="AZ262" i="102"/>
  <c r="BA262" i="102"/>
  <c r="BB262" i="102"/>
  <c r="AJ263" i="102"/>
  <c r="AT263" i="102"/>
  <c r="AS263" i="102"/>
  <c r="AW263" i="102"/>
  <c r="AX263" i="102"/>
  <c r="AY263" i="102"/>
  <c r="AZ263" i="102"/>
  <c r="BA263" i="102"/>
  <c r="BB263" i="102"/>
  <c r="AJ264" i="102"/>
  <c r="AT264" i="102"/>
  <c r="AS264" i="102"/>
  <c r="AW264" i="102"/>
  <c r="AX264" i="102"/>
  <c r="AY264" i="102"/>
  <c r="AZ264" i="102"/>
  <c r="BA264" i="102"/>
  <c r="BB264" i="102"/>
  <c r="AJ265" i="102"/>
  <c r="AT265" i="102"/>
  <c r="AS265" i="102"/>
  <c r="AW265" i="102"/>
  <c r="AX265" i="102"/>
  <c r="AY265" i="102"/>
  <c r="AZ265" i="102"/>
  <c r="BA265" i="102"/>
  <c r="BB265" i="102"/>
  <c r="AJ266" i="102"/>
  <c r="AT266" i="102"/>
  <c r="AS266" i="102"/>
  <c r="AW266" i="102"/>
  <c r="AX266" i="102"/>
  <c r="AY266" i="102"/>
  <c r="AZ266" i="102"/>
  <c r="BA266" i="102"/>
  <c r="BB266" i="102"/>
  <c r="AJ267" i="102"/>
  <c r="AT267" i="102"/>
  <c r="AS267" i="102"/>
  <c r="AW267" i="102"/>
  <c r="AX267" i="102"/>
  <c r="AY267" i="102"/>
  <c r="AZ267" i="102"/>
  <c r="BA267" i="102"/>
  <c r="BB267" i="102"/>
  <c r="AJ268" i="102"/>
  <c r="AT268" i="102"/>
  <c r="AS268" i="102"/>
  <c r="AW268" i="102"/>
  <c r="AX268" i="102"/>
  <c r="AY268" i="102"/>
  <c r="AZ268" i="102"/>
  <c r="BA268" i="102"/>
  <c r="BB268" i="102"/>
  <c r="AJ269" i="102"/>
  <c r="AT269" i="102"/>
  <c r="AS269" i="102"/>
  <c r="AW269" i="102"/>
  <c r="AX269" i="102"/>
  <c r="AY269" i="102"/>
  <c r="AZ269" i="102"/>
  <c r="BA269" i="102"/>
  <c r="BB269" i="102"/>
  <c r="AJ270" i="102"/>
  <c r="AT270" i="102"/>
  <c r="AS270" i="102"/>
  <c r="AW270" i="102"/>
  <c r="AX270" i="102"/>
  <c r="AY270" i="102"/>
  <c r="AZ270" i="102"/>
  <c r="BA270" i="102"/>
  <c r="BB270" i="102"/>
  <c r="AJ271" i="102"/>
  <c r="AT271" i="102"/>
  <c r="AS271" i="102"/>
  <c r="AW271" i="102"/>
  <c r="AX271" i="102"/>
  <c r="AY271" i="102"/>
  <c r="AZ271" i="102"/>
  <c r="BA271" i="102"/>
  <c r="BB271" i="102"/>
  <c r="AJ272" i="102"/>
  <c r="AT272" i="102"/>
  <c r="AS272" i="102"/>
  <c r="AW272" i="102"/>
  <c r="AX272" i="102"/>
  <c r="AY272" i="102"/>
  <c r="AZ272" i="102"/>
  <c r="BA272" i="102"/>
  <c r="BB272" i="102"/>
  <c r="AJ273" i="102"/>
  <c r="AT273" i="102"/>
  <c r="AS273" i="102"/>
  <c r="AW273" i="102"/>
  <c r="AX273" i="102"/>
  <c r="AY273" i="102"/>
  <c r="AZ273" i="102"/>
  <c r="BA273" i="102"/>
  <c r="BB273" i="102"/>
  <c r="AJ274" i="102"/>
  <c r="AT274" i="102"/>
  <c r="AS274" i="102"/>
  <c r="AW274" i="102"/>
  <c r="AX274" i="102"/>
  <c r="AY274" i="102"/>
  <c r="AZ274" i="102"/>
  <c r="BA274" i="102"/>
  <c r="BB274" i="102"/>
  <c r="AJ275" i="102"/>
  <c r="AT275" i="102"/>
  <c r="AS275" i="102"/>
  <c r="AW275" i="102"/>
  <c r="AX275" i="102"/>
  <c r="AY275" i="102"/>
  <c r="AZ275" i="102"/>
  <c r="BA275" i="102"/>
  <c r="BB275" i="102"/>
  <c r="AJ276" i="102"/>
  <c r="AT276" i="102"/>
  <c r="AS276" i="102"/>
  <c r="AW276" i="102"/>
  <c r="AX276" i="102"/>
  <c r="AY276" i="102"/>
  <c r="AZ276" i="102"/>
  <c r="BA276" i="102"/>
  <c r="BB276" i="102"/>
  <c r="AJ277" i="102"/>
  <c r="AT277" i="102"/>
  <c r="AS277" i="102"/>
  <c r="AW277" i="102"/>
  <c r="AX277" i="102"/>
  <c r="AY277" i="102"/>
  <c r="AZ277" i="102"/>
  <c r="BA277" i="102"/>
  <c r="BB277" i="102"/>
  <c r="AJ278" i="102"/>
  <c r="AT278" i="102"/>
  <c r="AS278" i="102"/>
  <c r="AW278" i="102"/>
  <c r="AX278" i="102"/>
  <c r="AY278" i="102"/>
  <c r="AZ278" i="102"/>
  <c r="BA278" i="102"/>
  <c r="BB278" i="102"/>
  <c r="AJ279" i="102"/>
  <c r="AT279" i="102"/>
  <c r="AS279" i="102"/>
  <c r="AW279" i="102"/>
  <c r="AX279" i="102"/>
  <c r="AY279" i="102"/>
  <c r="AZ279" i="102"/>
  <c r="BA279" i="102"/>
  <c r="BB279" i="102"/>
  <c r="AJ280" i="102"/>
  <c r="AT280" i="102"/>
  <c r="AS280" i="102"/>
  <c r="AW280" i="102"/>
  <c r="AX280" i="102"/>
  <c r="AY280" i="102"/>
  <c r="AZ280" i="102"/>
  <c r="BA280" i="102"/>
  <c r="BB280" i="102"/>
  <c r="AJ281" i="102"/>
  <c r="AT281" i="102"/>
  <c r="AS281" i="102"/>
  <c r="AW281" i="102"/>
  <c r="AX281" i="102"/>
  <c r="AY281" i="102"/>
  <c r="AZ281" i="102"/>
  <c r="BA281" i="102"/>
  <c r="BB281" i="102"/>
  <c r="AJ282" i="102"/>
  <c r="AT282" i="102"/>
  <c r="AS282" i="102"/>
  <c r="AW282" i="102"/>
  <c r="AX282" i="102"/>
  <c r="AY282" i="102"/>
  <c r="AZ282" i="102"/>
  <c r="BA282" i="102"/>
  <c r="BB282" i="102"/>
  <c r="AJ283" i="102"/>
  <c r="AT283" i="102"/>
  <c r="AS283" i="102"/>
  <c r="AW283" i="102"/>
  <c r="AX283" i="102"/>
  <c r="AY283" i="102"/>
  <c r="AZ283" i="102"/>
  <c r="BA283" i="102"/>
  <c r="BB283" i="102"/>
  <c r="AJ284" i="102"/>
  <c r="AT284" i="102"/>
  <c r="AS284" i="102"/>
  <c r="AW284" i="102"/>
  <c r="AX284" i="102"/>
  <c r="AY284" i="102"/>
  <c r="AZ284" i="102"/>
  <c r="BA284" i="102"/>
  <c r="BB284" i="102"/>
  <c r="AJ285" i="102"/>
  <c r="AT285" i="102"/>
  <c r="AS285" i="102"/>
  <c r="AW285" i="102"/>
  <c r="AX285" i="102"/>
  <c r="AY285" i="102"/>
  <c r="AZ285" i="102"/>
  <c r="BA285" i="102"/>
  <c r="BB285" i="102"/>
  <c r="AJ286" i="102"/>
  <c r="AT286" i="102"/>
  <c r="AS286" i="102"/>
  <c r="AW286" i="102"/>
  <c r="AX286" i="102"/>
  <c r="AY286" i="102"/>
  <c r="AZ286" i="102"/>
  <c r="BA286" i="102"/>
  <c r="BB286" i="102"/>
  <c r="AJ287" i="102"/>
  <c r="AT287" i="102"/>
  <c r="AS287" i="102"/>
  <c r="AW287" i="102"/>
  <c r="AX287" i="102"/>
  <c r="AY287" i="102"/>
  <c r="AZ287" i="102"/>
  <c r="BA287" i="102"/>
  <c r="BB287" i="102"/>
  <c r="AJ288" i="102"/>
  <c r="AT288" i="102"/>
  <c r="AS288" i="102"/>
  <c r="AW288" i="102"/>
  <c r="AX288" i="102"/>
  <c r="AY288" i="102"/>
  <c r="AZ288" i="102"/>
  <c r="BA288" i="102"/>
  <c r="BB288" i="102"/>
  <c r="AJ289" i="102"/>
  <c r="AT289" i="102"/>
  <c r="AS289" i="102"/>
  <c r="AW289" i="102"/>
  <c r="AX289" i="102"/>
  <c r="AY289" i="102"/>
  <c r="AZ289" i="102"/>
  <c r="BA289" i="102"/>
  <c r="BB289" i="102"/>
  <c r="AJ290" i="102"/>
  <c r="AT290" i="102"/>
  <c r="AS290" i="102"/>
  <c r="AW290" i="102"/>
  <c r="AX290" i="102"/>
  <c r="AY290" i="102"/>
  <c r="AZ290" i="102"/>
  <c r="BA290" i="102"/>
  <c r="BB290" i="102"/>
  <c r="AJ291" i="102"/>
  <c r="AT291" i="102"/>
  <c r="AS291" i="102"/>
  <c r="AW291" i="102"/>
  <c r="AX291" i="102"/>
  <c r="AY291" i="102"/>
  <c r="AZ291" i="102"/>
  <c r="BA291" i="102"/>
  <c r="BB291" i="102"/>
  <c r="AJ292" i="102"/>
  <c r="AT292" i="102"/>
  <c r="AS292" i="102"/>
  <c r="AW292" i="102"/>
  <c r="AX292" i="102"/>
  <c r="AY292" i="102"/>
  <c r="AZ292" i="102"/>
  <c r="BA292" i="102"/>
  <c r="BB292" i="102"/>
  <c r="AJ293" i="102"/>
  <c r="AT293" i="102"/>
  <c r="AS293" i="102"/>
  <c r="AW293" i="102"/>
  <c r="AX293" i="102"/>
  <c r="AY293" i="102"/>
  <c r="AZ293" i="102"/>
  <c r="BA293" i="102"/>
  <c r="BB293" i="102"/>
  <c r="AJ294" i="102"/>
  <c r="AT294" i="102"/>
  <c r="AS294" i="102"/>
  <c r="AW294" i="102"/>
  <c r="AX294" i="102"/>
  <c r="AY294" i="102"/>
  <c r="AZ294" i="102"/>
  <c r="BA294" i="102"/>
  <c r="BB294" i="102"/>
  <c r="AJ295" i="102"/>
  <c r="AT295" i="102"/>
  <c r="AS295" i="102"/>
  <c r="AW295" i="102"/>
  <c r="AX295" i="102"/>
  <c r="AY295" i="102"/>
  <c r="AZ295" i="102"/>
  <c r="BA295" i="102"/>
  <c r="BB295" i="102"/>
  <c r="AJ296" i="102"/>
  <c r="AT296" i="102"/>
  <c r="AS296" i="102"/>
  <c r="AW296" i="102"/>
  <c r="AX296" i="102"/>
  <c r="AY296" i="102"/>
  <c r="AZ296" i="102"/>
  <c r="BA296" i="102"/>
  <c r="BB296" i="102"/>
  <c r="AJ297" i="102"/>
  <c r="AT297" i="102"/>
  <c r="AS297" i="102"/>
  <c r="AW297" i="102"/>
  <c r="AX297" i="102"/>
  <c r="AY297" i="102"/>
  <c r="AZ297" i="102"/>
  <c r="BA297" i="102"/>
  <c r="BB297" i="102"/>
  <c r="AJ298" i="102"/>
  <c r="AT298" i="102"/>
  <c r="AS298" i="102"/>
  <c r="AW298" i="102"/>
  <c r="AX298" i="102"/>
  <c r="AY298" i="102"/>
  <c r="AZ298" i="102"/>
  <c r="BA298" i="102"/>
  <c r="BB298" i="102"/>
  <c r="AJ299" i="102"/>
  <c r="AT299" i="102"/>
  <c r="AS299" i="102"/>
  <c r="AW299" i="102"/>
  <c r="AX299" i="102"/>
  <c r="AY299" i="102"/>
  <c r="AZ299" i="102"/>
  <c r="BA299" i="102"/>
  <c r="BB299" i="102"/>
  <c r="AJ300" i="102"/>
  <c r="AT300" i="102"/>
  <c r="AS300" i="102"/>
  <c r="AW300" i="102"/>
  <c r="AX300" i="102"/>
  <c r="AY300" i="102"/>
  <c r="AZ300" i="102"/>
  <c r="BA300" i="102"/>
  <c r="BB300" i="102"/>
  <c r="AJ301" i="102"/>
  <c r="AT301" i="102"/>
  <c r="AS301" i="102"/>
  <c r="AW301" i="102"/>
  <c r="AX301" i="102"/>
  <c r="AY301" i="102"/>
  <c r="AZ301" i="102"/>
  <c r="BA301" i="102"/>
  <c r="BB301" i="102"/>
  <c r="AJ302" i="102"/>
  <c r="AT302" i="102"/>
  <c r="AS302" i="102"/>
  <c r="AW302" i="102"/>
  <c r="AX302" i="102"/>
  <c r="AY302" i="102"/>
  <c r="AZ302" i="102"/>
  <c r="BA302" i="102"/>
  <c r="BB302" i="102"/>
  <c r="AJ303" i="102"/>
  <c r="AT303" i="102"/>
  <c r="AS303" i="102"/>
  <c r="AW303" i="102"/>
  <c r="AX303" i="102"/>
  <c r="AY303" i="102"/>
  <c r="AZ303" i="102"/>
  <c r="BA303" i="102"/>
  <c r="BB303" i="102"/>
  <c r="AJ304" i="102"/>
  <c r="AT304" i="102"/>
  <c r="AS304" i="102"/>
  <c r="AW304" i="102"/>
  <c r="AX304" i="102"/>
  <c r="AY304" i="102"/>
  <c r="AZ304" i="102"/>
  <c r="BA304" i="102"/>
  <c r="BB304" i="102"/>
  <c r="AJ305" i="102"/>
  <c r="AT305" i="102"/>
  <c r="AS305" i="102"/>
  <c r="AW305" i="102"/>
  <c r="AX305" i="102"/>
  <c r="AY305" i="102"/>
  <c r="AZ305" i="102"/>
  <c r="BA305" i="102"/>
  <c r="BB305" i="102"/>
  <c r="AJ306" i="102"/>
  <c r="AT306" i="102"/>
  <c r="AS306" i="102"/>
  <c r="AW306" i="102"/>
  <c r="AX306" i="102"/>
  <c r="AY306" i="102"/>
  <c r="AZ306" i="102"/>
  <c r="BA306" i="102"/>
  <c r="BB306" i="102"/>
  <c r="AJ307" i="102"/>
  <c r="AT307" i="102"/>
  <c r="AS307" i="102"/>
  <c r="AW307" i="102"/>
  <c r="AX307" i="102"/>
  <c r="AY307" i="102"/>
  <c r="AZ307" i="102"/>
  <c r="BA307" i="102"/>
  <c r="BB307" i="102"/>
  <c r="AJ308" i="102"/>
  <c r="AT308" i="102"/>
  <c r="AS308" i="102"/>
  <c r="AW308" i="102"/>
  <c r="AX308" i="102"/>
  <c r="AY308" i="102"/>
  <c r="AZ308" i="102"/>
  <c r="BA308" i="102"/>
  <c r="BB308" i="102"/>
  <c r="AJ309" i="102"/>
  <c r="AT309" i="102"/>
  <c r="AS309" i="102"/>
  <c r="AW309" i="102"/>
  <c r="AX309" i="102"/>
  <c r="AY309" i="102"/>
  <c r="AZ309" i="102"/>
  <c r="BA309" i="102"/>
  <c r="BB309" i="102"/>
  <c r="AJ310" i="102"/>
  <c r="AT310" i="102"/>
  <c r="AS310" i="102"/>
  <c r="AW310" i="102"/>
  <c r="AX310" i="102"/>
  <c r="AY310" i="102"/>
  <c r="AZ310" i="102"/>
  <c r="BA310" i="102"/>
  <c r="BB310" i="102"/>
  <c r="AJ311" i="102"/>
  <c r="AT311" i="102"/>
  <c r="AS311" i="102"/>
  <c r="AW311" i="102"/>
  <c r="AX311" i="102"/>
  <c r="AY311" i="102"/>
  <c r="AZ311" i="102"/>
  <c r="BA311" i="102"/>
  <c r="BB311" i="102"/>
  <c r="AJ312" i="102"/>
  <c r="AT312" i="102"/>
  <c r="AS312" i="102"/>
  <c r="AW312" i="102"/>
  <c r="AX312" i="102"/>
  <c r="AY312" i="102"/>
  <c r="AZ312" i="102"/>
  <c r="BA312" i="102"/>
  <c r="BB312" i="102"/>
  <c r="AJ313" i="102"/>
  <c r="AT313" i="102"/>
  <c r="AS313" i="102"/>
  <c r="AW313" i="102"/>
  <c r="AX313" i="102"/>
  <c r="AY313" i="102"/>
  <c r="AZ313" i="102"/>
  <c r="BA313" i="102"/>
  <c r="BB313" i="102"/>
  <c r="AJ314" i="102"/>
  <c r="AT314" i="102"/>
  <c r="AS314" i="102"/>
  <c r="AW314" i="102"/>
  <c r="AX314" i="102"/>
  <c r="AY314" i="102"/>
  <c r="AZ314" i="102"/>
  <c r="BA314" i="102"/>
  <c r="BB314" i="102"/>
  <c r="AJ315" i="102"/>
  <c r="AT315" i="102"/>
  <c r="AS315" i="102"/>
  <c r="AW315" i="102"/>
  <c r="AX315" i="102"/>
  <c r="AY315" i="102"/>
  <c r="AZ315" i="102"/>
  <c r="BA315" i="102"/>
  <c r="BB315" i="102"/>
  <c r="AJ316" i="102"/>
  <c r="AT316" i="102"/>
  <c r="AS316" i="102"/>
  <c r="AW316" i="102"/>
  <c r="AX316" i="102"/>
  <c r="AY316" i="102"/>
  <c r="AZ316" i="102"/>
  <c r="BA316" i="102"/>
  <c r="BB316" i="102"/>
  <c r="AJ317" i="102"/>
  <c r="AT317" i="102"/>
  <c r="AS317" i="102"/>
  <c r="AW317" i="102"/>
  <c r="AX317" i="102"/>
  <c r="AY317" i="102"/>
  <c r="AZ317" i="102"/>
  <c r="BA317" i="102"/>
  <c r="BB317" i="102"/>
  <c r="AJ318" i="102"/>
  <c r="AT318" i="102"/>
  <c r="AS318" i="102"/>
  <c r="AW318" i="102"/>
  <c r="AX318" i="102"/>
  <c r="AY318" i="102"/>
  <c r="AZ318" i="102"/>
  <c r="BA318" i="102"/>
  <c r="BB318" i="102"/>
  <c r="AJ319" i="102"/>
  <c r="AT319" i="102"/>
  <c r="AS319" i="102"/>
  <c r="AW319" i="102"/>
  <c r="AX319" i="102"/>
  <c r="AY319" i="102"/>
  <c r="AZ319" i="102"/>
  <c r="BA319" i="102"/>
  <c r="BB319" i="102"/>
  <c r="AJ320" i="102"/>
  <c r="AT320" i="102"/>
  <c r="AS320" i="102"/>
  <c r="AW320" i="102"/>
  <c r="AX320" i="102"/>
  <c r="AY320" i="102"/>
  <c r="AZ320" i="102"/>
  <c r="BA320" i="102"/>
  <c r="BB320" i="102"/>
  <c r="AJ321" i="102"/>
  <c r="AT321" i="102"/>
  <c r="AS321" i="102"/>
  <c r="AW321" i="102"/>
  <c r="AX321" i="102"/>
  <c r="AY321" i="102"/>
  <c r="AZ321" i="102"/>
  <c r="BA321" i="102"/>
  <c r="BB321" i="102"/>
  <c r="AJ322" i="102"/>
  <c r="AT322" i="102"/>
  <c r="AS322" i="102"/>
  <c r="AW322" i="102"/>
  <c r="AX322" i="102"/>
  <c r="AY322" i="102"/>
  <c r="AZ322" i="102"/>
  <c r="BA322" i="102"/>
  <c r="BB322" i="102"/>
  <c r="AJ323" i="102"/>
  <c r="AT323" i="102"/>
  <c r="AS323" i="102"/>
  <c r="AW323" i="102"/>
  <c r="AX323" i="102"/>
  <c r="AY323" i="102"/>
  <c r="AZ323" i="102"/>
  <c r="BA323" i="102"/>
  <c r="BB323" i="102"/>
  <c r="AJ324" i="102"/>
  <c r="AT324" i="102"/>
  <c r="AS324" i="102"/>
  <c r="AW324" i="102"/>
  <c r="AX324" i="102"/>
  <c r="AY324" i="102"/>
  <c r="AZ324" i="102"/>
  <c r="BA324" i="102"/>
  <c r="BB324" i="102"/>
  <c r="AJ325" i="102"/>
  <c r="AT325" i="102"/>
  <c r="AS325" i="102"/>
  <c r="AW325" i="102"/>
  <c r="AX325" i="102"/>
  <c r="AY325" i="102"/>
  <c r="AZ325" i="102"/>
  <c r="BA325" i="102"/>
  <c r="BB325" i="102"/>
  <c r="AJ326" i="102"/>
  <c r="AT326" i="102"/>
  <c r="AS326" i="102"/>
  <c r="AW326" i="102"/>
  <c r="AX326" i="102"/>
  <c r="AY326" i="102"/>
  <c r="AZ326" i="102"/>
  <c r="BA326" i="102"/>
  <c r="BB326" i="102"/>
  <c r="AJ327" i="102"/>
  <c r="AT327" i="102"/>
  <c r="AS327" i="102"/>
  <c r="AW327" i="102"/>
  <c r="AX327" i="102"/>
  <c r="AY327" i="102"/>
  <c r="AZ327" i="102"/>
  <c r="BA327" i="102"/>
  <c r="BB327" i="102"/>
  <c r="AJ328" i="102"/>
  <c r="AT328" i="102"/>
  <c r="AS328" i="102"/>
  <c r="AW328" i="102"/>
  <c r="AX328" i="102"/>
  <c r="AY328" i="102"/>
  <c r="AZ328" i="102"/>
  <c r="BA328" i="102"/>
  <c r="BB328" i="102"/>
  <c r="AJ329" i="102"/>
  <c r="AT329" i="102"/>
  <c r="AS329" i="102"/>
  <c r="AW329" i="102"/>
  <c r="AX329" i="102"/>
  <c r="AY329" i="102"/>
  <c r="AZ329" i="102"/>
  <c r="BA329" i="102"/>
  <c r="BB329" i="102"/>
  <c r="AJ330" i="102"/>
  <c r="AT330" i="102"/>
  <c r="AS330" i="102"/>
  <c r="AW330" i="102"/>
  <c r="AX330" i="102"/>
  <c r="AY330" i="102"/>
  <c r="AZ330" i="102"/>
  <c r="BA330" i="102"/>
  <c r="BB330" i="102"/>
  <c r="AJ331" i="102"/>
  <c r="AT331" i="102"/>
  <c r="AS331" i="102"/>
  <c r="AW331" i="102"/>
  <c r="AX331" i="102"/>
  <c r="AY331" i="102"/>
  <c r="AZ331" i="102"/>
  <c r="BA331" i="102"/>
  <c r="BB331" i="102"/>
  <c r="AJ332" i="102"/>
  <c r="AT332" i="102"/>
  <c r="AS332" i="102"/>
  <c r="AW332" i="102"/>
  <c r="AX332" i="102"/>
  <c r="AY332" i="102"/>
  <c r="AZ332" i="102"/>
  <c r="BA332" i="102"/>
  <c r="BB332" i="102"/>
  <c r="AJ333" i="102"/>
  <c r="AT333" i="102"/>
  <c r="AS333" i="102"/>
  <c r="AW333" i="102"/>
  <c r="AX333" i="102"/>
  <c r="AY333" i="102"/>
  <c r="AZ333" i="102"/>
  <c r="BA333" i="102"/>
  <c r="BB333" i="102"/>
  <c r="AJ334" i="102"/>
  <c r="AT334" i="102"/>
  <c r="AS334" i="102"/>
  <c r="AW334" i="102"/>
  <c r="AX334" i="102"/>
  <c r="AY334" i="102"/>
  <c r="AZ334" i="102"/>
  <c r="BA334" i="102"/>
  <c r="BB334" i="102"/>
  <c r="AJ335" i="102"/>
  <c r="AT335" i="102"/>
  <c r="AS335" i="102"/>
  <c r="AW335" i="102"/>
  <c r="AX335" i="102"/>
  <c r="AY335" i="102"/>
  <c r="AZ335" i="102"/>
  <c r="BA335" i="102"/>
  <c r="BB335" i="102"/>
  <c r="AJ336" i="102"/>
  <c r="AT336" i="102"/>
  <c r="AS336" i="102"/>
  <c r="AW336" i="102"/>
  <c r="AX336" i="102"/>
  <c r="AY336" i="102"/>
  <c r="AZ336" i="102"/>
  <c r="BA336" i="102"/>
  <c r="BB336" i="102"/>
  <c r="AJ337" i="102"/>
  <c r="AT337" i="102"/>
  <c r="AS337" i="102"/>
  <c r="AW337" i="102"/>
  <c r="AX337" i="102"/>
  <c r="AY337" i="102"/>
  <c r="AZ337" i="102"/>
  <c r="BA337" i="102"/>
  <c r="BB337" i="102"/>
  <c r="AJ338" i="102"/>
  <c r="AT338" i="102"/>
  <c r="AS338" i="102"/>
  <c r="AW338" i="102"/>
  <c r="AX338" i="102"/>
  <c r="AY338" i="102"/>
  <c r="AZ338" i="102"/>
  <c r="BA338" i="102"/>
  <c r="BB338" i="102"/>
  <c r="AJ339" i="102"/>
  <c r="AT339" i="102"/>
  <c r="AS339" i="102"/>
  <c r="AW339" i="102"/>
  <c r="AX339" i="102"/>
  <c r="AY339" i="102"/>
  <c r="AZ339" i="102"/>
  <c r="BA339" i="102"/>
  <c r="BB339" i="102"/>
  <c r="AJ340" i="102"/>
  <c r="AT340" i="102"/>
  <c r="AS340" i="102"/>
  <c r="AW340" i="102"/>
  <c r="AX340" i="102"/>
  <c r="AY340" i="102"/>
  <c r="AZ340" i="102"/>
  <c r="BA340" i="102"/>
  <c r="BB340" i="102"/>
  <c r="AJ341" i="102"/>
  <c r="AT341" i="102"/>
  <c r="AS341" i="102"/>
  <c r="AW341" i="102"/>
  <c r="AX341" i="102"/>
  <c r="AY341" i="102"/>
  <c r="AZ341" i="102"/>
  <c r="BA341" i="102"/>
  <c r="BB341" i="102"/>
  <c r="AJ342" i="102"/>
  <c r="AT342" i="102"/>
  <c r="AS342" i="102"/>
  <c r="AW342" i="102"/>
  <c r="AX342" i="102"/>
  <c r="AY342" i="102"/>
  <c r="AZ342" i="102"/>
  <c r="BA342" i="102"/>
  <c r="BB342" i="102"/>
  <c r="AJ343" i="102"/>
  <c r="AT343" i="102"/>
  <c r="AS343" i="102"/>
  <c r="AW343" i="102"/>
  <c r="AX343" i="102"/>
  <c r="AY343" i="102"/>
  <c r="AZ343" i="102"/>
  <c r="BA343" i="102"/>
  <c r="BB343" i="102"/>
  <c r="AJ344" i="102"/>
  <c r="AT344" i="102"/>
  <c r="AS344" i="102"/>
  <c r="AW344" i="102"/>
  <c r="AX344" i="102"/>
  <c r="AY344" i="102"/>
  <c r="AZ344" i="102"/>
  <c r="BA344" i="102"/>
  <c r="BB344" i="102"/>
  <c r="AJ345" i="102"/>
  <c r="AT345" i="102"/>
  <c r="AS345" i="102"/>
  <c r="AW345" i="102"/>
  <c r="AX345" i="102"/>
  <c r="AY345" i="102"/>
  <c r="AZ345" i="102"/>
  <c r="BA345" i="102"/>
  <c r="BB345" i="102"/>
  <c r="AJ346" i="102"/>
  <c r="AT346" i="102"/>
  <c r="AS346" i="102"/>
  <c r="AW346" i="102"/>
  <c r="AX346" i="102"/>
  <c r="AY346" i="102"/>
  <c r="AZ346" i="102"/>
  <c r="BA346" i="102"/>
  <c r="BB346" i="102"/>
  <c r="AJ347" i="102"/>
  <c r="AT347" i="102"/>
  <c r="AS347" i="102"/>
  <c r="AW347" i="102"/>
  <c r="AX347" i="102"/>
  <c r="AY347" i="102"/>
  <c r="AZ347" i="102"/>
  <c r="BA347" i="102"/>
  <c r="BB347" i="102"/>
  <c r="AJ348" i="102"/>
  <c r="AT348" i="102"/>
  <c r="AS348" i="102"/>
  <c r="AW348" i="102"/>
  <c r="AX348" i="102"/>
  <c r="AY348" i="102"/>
  <c r="AZ348" i="102"/>
  <c r="BA348" i="102"/>
  <c r="BB348" i="102"/>
  <c r="AJ349" i="102"/>
  <c r="AT349" i="102"/>
  <c r="AS349" i="102"/>
  <c r="AW349" i="102"/>
  <c r="AX349" i="102"/>
  <c r="AY349" i="102"/>
  <c r="AZ349" i="102"/>
  <c r="BA349" i="102"/>
  <c r="BB349" i="102"/>
  <c r="AJ350" i="102"/>
  <c r="AT350" i="102"/>
  <c r="AS350" i="102"/>
  <c r="AW350" i="102"/>
  <c r="AX350" i="102"/>
  <c r="AY350" i="102"/>
  <c r="AZ350" i="102"/>
  <c r="BA350" i="102"/>
  <c r="BB350" i="102"/>
  <c r="AJ351" i="102"/>
  <c r="AT351" i="102"/>
  <c r="AS351" i="102"/>
  <c r="AW351" i="102"/>
  <c r="AX351" i="102"/>
  <c r="AY351" i="102"/>
  <c r="AZ351" i="102"/>
  <c r="BA351" i="102"/>
  <c r="BB351" i="102"/>
  <c r="AJ352" i="102"/>
  <c r="AT352" i="102"/>
  <c r="AS352" i="102"/>
  <c r="AW352" i="102"/>
  <c r="AX352" i="102"/>
  <c r="AY352" i="102"/>
  <c r="AZ352" i="102"/>
  <c r="BA352" i="102"/>
  <c r="BB352" i="102"/>
  <c r="AJ353" i="102"/>
  <c r="AT353" i="102"/>
  <c r="AS353" i="102"/>
  <c r="AW353" i="102"/>
  <c r="AX353" i="102"/>
  <c r="AY353" i="102"/>
  <c r="AZ353" i="102"/>
  <c r="BA353" i="102"/>
  <c r="BB353" i="102"/>
  <c r="AJ354" i="102"/>
  <c r="AT354" i="102"/>
  <c r="AS354" i="102"/>
  <c r="AW354" i="102"/>
  <c r="AX354" i="102"/>
  <c r="AY354" i="102"/>
  <c r="AZ354" i="102"/>
  <c r="BA354" i="102"/>
  <c r="BB354" i="102"/>
  <c r="AJ355" i="102"/>
  <c r="AT355" i="102"/>
  <c r="AS355" i="102"/>
  <c r="AW355" i="102"/>
  <c r="AX355" i="102"/>
  <c r="AY355" i="102"/>
  <c r="AZ355" i="102"/>
  <c r="BA355" i="102"/>
  <c r="BB355" i="102"/>
  <c r="AJ356" i="102"/>
  <c r="AT356" i="102"/>
  <c r="AS356" i="102"/>
  <c r="AW356" i="102"/>
  <c r="AX356" i="102"/>
  <c r="AY356" i="102"/>
  <c r="AZ356" i="102"/>
  <c r="BA356" i="102"/>
  <c r="BB356" i="102"/>
  <c r="AJ357" i="102"/>
  <c r="AT357" i="102"/>
  <c r="AS357" i="102"/>
  <c r="AW357" i="102"/>
  <c r="AX357" i="102"/>
  <c r="AY357" i="102"/>
  <c r="AZ357" i="102"/>
  <c r="BA357" i="102"/>
  <c r="BB357" i="102"/>
  <c r="AJ358" i="102"/>
  <c r="AT358" i="102"/>
  <c r="AS358" i="102"/>
  <c r="AW358" i="102"/>
  <c r="AX358" i="102"/>
  <c r="AY358" i="102"/>
  <c r="AZ358" i="102"/>
  <c r="BA358" i="102"/>
  <c r="BB358" i="102"/>
  <c r="AJ359" i="102"/>
  <c r="AT359" i="102"/>
  <c r="AS359" i="102"/>
  <c r="AW359" i="102"/>
  <c r="AX359" i="102"/>
  <c r="AY359" i="102"/>
  <c r="AZ359" i="102"/>
  <c r="BA359" i="102"/>
  <c r="BB359" i="102"/>
  <c r="AJ360" i="102"/>
  <c r="AT360" i="102"/>
  <c r="AS360" i="102"/>
  <c r="AW360" i="102"/>
  <c r="AX360" i="102"/>
  <c r="AY360" i="102"/>
  <c r="AZ360" i="102"/>
  <c r="BA360" i="102"/>
  <c r="BB360" i="102"/>
  <c r="AJ361" i="102"/>
  <c r="AT361" i="102"/>
  <c r="AS361" i="102"/>
  <c r="AW361" i="102"/>
  <c r="AX361" i="102"/>
  <c r="AY361" i="102"/>
  <c r="AZ361" i="102"/>
  <c r="BA361" i="102"/>
  <c r="BB361" i="102"/>
  <c r="AJ362" i="102"/>
  <c r="AT362" i="102"/>
  <c r="AS362" i="102"/>
  <c r="AW362" i="102"/>
  <c r="AX362" i="102"/>
  <c r="AY362" i="102"/>
  <c r="AZ362" i="102"/>
  <c r="BA362" i="102"/>
  <c r="BB362" i="102"/>
  <c r="AJ363" i="102"/>
  <c r="AT363" i="102"/>
  <c r="AS363" i="102"/>
  <c r="AW363" i="102"/>
  <c r="AX363" i="102"/>
  <c r="AY363" i="102"/>
  <c r="AZ363" i="102"/>
  <c r="BA363" i="102"/>
  <c r="BB363" i="102"/>
  <c r="AJ364" i="102"/>
  <c r="AT364" i="102"/>
  <c r="AS364" i="102"/>
  <c r="AW364" i="102"/>
  <c r="AX364" i="102"/>
  <c r="AY364" i="102"/>
  <c r="AZ364" i="102"/>
  <c r="BA364" i="102"/>
  <c r="BB364" i="102"/>
  <c r="AJ365" i="102"/>
  <c r="AT365" i="102"/>
  <c r="AS365" i="102"/>
  <c r="AW365" i="102"/>
  <c r="AX365" i="102"/>
  <c r="AY365" i="102"/>
  <c r="AZ365" i="102"/>
  <c r="BA365" i="102"/>
  <c r="BB365" i="102"/>
  <c r="AJ366" i="102"/>
  <c r="AT366" i="102"/>
  <c r="AS366" i="102"/>
  <c r="AW366" i="102"/>
  <c r="AX366" i="102"/>
  <c r="AY366" i="102"/>
  <c r="AZ366" i="102"/>
  <c r="BA366" i="102"/>
  <c r="BB366" i="102"/>
  <c r="AJ367" i="102"/>
  <c r="AT367" i="102"/>
  <c r="AS367" i="102"/>
  <c r="AW367" i="102"/>
  <c r="AX367" i="102"/>
  <c r="AY367" i="102"/>
  <c r="AZ367" i="102"/>
  <c r="BA367" i="102"/>
  <c r="BB367" i="102"/>
  <c r="AJ368" i="102"/>
  <c r="AT368" i="102"/>
  <c r="AS368" i="102"/>
  <c r="AW368" i="102"/>
  <c r="AX368" i="102"/>
  <c r="AY368" i="102"/>
  <c r="AZ368" i="102"/>
  <c r="BA368" i="102"/>
  <c r="BB368" i="102"/>
  <c r="AJ369" i="102"/>
  <c r="AT369" i="102"/>
  <c r="AS369" i="102"/>
  <c r="AW369" i="102"/>
  <c r="AX369" i="102"/>
  <c r="AY369" i="102"/>
  <c r="AZ369" i="102"/>
  <c r="BA369" i="102"/>
  <c r="BB369" i="102"/>
  <c r="AJ370" i="102"/>
  <c r="AT370" i="102"/>
  <c r="AS370" i="102"/>
  <c r="AW370" i="102"/>
  <c r="AX370" i="102"/>
  <c r="AY370" i="102"/>
  <c r="AZ370" i="102"/>
  <c r="BA370" i="102"/>
  <c r="BB370" i="102"/>
  <c r="AJ371" i="102"/>
  <c r="AT371" i="102"/>
  <c r="AS371" i="102"/>
  <c r="AW371" i="102"/>
  <c r="AX371" i="102"/>
  <c r="AY371" i="102"/>
  <c r="AZ371" i="102"/>
  <c r="BA371" i="102"/>
  <c r="BB371" i="102"/>
  <c r="AJ372" i="102"/>
  <c r="AT372" i="102"/>
  <c r="AS372" i="102"/>
  <c r="AW372" i="102"/>
  <c r="AX372" i="102"/>
  <c r="AY372" i="102"/>
  <c r="AZ372" i="102"/>
  <c r="BA372" i="102"/>
  <c r="BB372" i="102"/>
  <c r="AJ373" i="102"/>
  <c r="AT373" i="102"/>
  <c r="AS373" i="102"/>
  <c r="AW373" i="102"/>
  <c r="AX373" i="102"/>
  <c r="AY373" i="102"/>
  <c r="AZ373" i="102"/>
  <c r="BA373" i="102"/>
  <c r="BB373" i="102"/>
  <c r="AJ374" i="102"/>
  <c r="AT374" i="102"/>
  <c r="AS374" i="102"/>
  <c r="AW374" i="102"/>
  <c r="AX374" i="102"/>
  <c r="AY374" i="102"/>
  <c r="AZ374" i="102"/>
  <c r="BA374" i="102"/>
  <c r="BB374" i="102"/>
  <c r="AJ375" i="102"/>
  <c r="AT375" i="102"/>
  <c r="AS375" i="102"/>
  <c r="AW375" i="102"/>
  <c r="AX375" i="102"/>
  <c r="AY375" i="102"/>
  <c r="AZ375" i="102"/>
  <c r="BA375" i="102"/>
  <c r="BB375" i="102"/>
  <c r="AJ376" i="102"/>
  <c r="AT376" i="102"/>
  <c r="AS376" i="102"/>
  <c r="AW376" i="102"/>
  <c r="AX376" i="102"/>
  <c r="AY376" i="102"/>
  <c r="AZ376" i="102"/>
  <c r="BA376" i="102"/>
  <c r="BB376" i="102"/>
  <c r="AJ377" i="102"/>
  <c r="AT377" i="102"/>
  <c r="AS377" i="102"/>
  <c r="AW377" i="102"/>
  <c r="AX377" i="102"/>
  <c r="AY377" i="102"/>
  <c r="AZ377" i="102"/>
  <c r="BA377" i="102"/>
  <c r="BB377" i="102"/>
  <c r="AJ378" i="102"/>
  <c r="AT378" i="102"/>
  <c r="AS378" i="102"/>
  <c r="AW378" i="102"/>
  <c r="AX378" i="102"/>
  <c r="AY378" i="102"/>
  <c r="AZ378" i="102"/>
  <c r="BA378" i="102"/>
  <c r="BB378" i="102"/>
  <c r="AJ379" i="102"/>
  <c r="AT379" i="102"/>
  <c r="AS379" i="102"/>
  <c r="AW379" i="102"/>
  <c r="AX379" i="102"/>
  <c r="AY379" i="102"/>
  <c r="AZ379" i="102"/>
  <c r="BA379" i="102"/>
  <c r="BB379" i="102"/>
  <c r="AJ380" i="102"/>
  <c r="AT380" i="102"/>
  <c r="AS380" i="102"/>
  <c r="AW380" i="102"/>
  <c r="AX380" i="102"/>
  <c r="AY380" i="102"/>
  <c r="AZ380" i="102"/>
  <c r="BA380" i="102"/>
  <c r="BB380" i="102"/>
  <c r="AJ381" i="102"/>
  <c r="AT381" i="102"/>
  <c r="AS381" i="102"/>
  <c r="AW381" i="102"/>
  <c r="AX381" i="102"/>
  <c r="AY381" i="102"/>
  <c r="AZ381" i="102"/>
  <c r="BA381" i="102"/>
  <c r="BB381" i="102"/>
  <c r="AJ382" i="102"/>
  <c r="AT382" i="102"/>
  <c r="AS382" i="102"/>
  <c r="AW382" i="102"/>
  <c r="AX382" i="102"/>
  <c r="AY382" i="102"/>
  <c r="AZ382" i="102"/>
  <c r="BA382" i="102"/>
  <c r="BB382" i="102"/>
  <c r="AJ383" i="102"/>
  <c r="AT383" i="102"/>
  <c r="AS383" i="102"/>
  <c r="AW383" i="102"/>
  <c r="AX383" i="102"/>
  <c r="AY383" i="102"/>
  <c r="AZ383" i="102"/>
  <c r="BA383" i="102"/>
  <c r="BB383" i="102"/>
  <c r="AJ384" i="102"/>
  <c r="AT384" i="102"/>
  <c r="AS384" i="102"/>
  <c r="AW384" i="102"/>
  <c r="AX384" i="102"/>
  <c r="AY384" i="102"/>
  <c r="AZ384" i="102"/>
  <c r="BA384" i="102"/>
  <c r="BB384" i="102"/>
  <c r="AJ385" i="102"/>
  <c r="AT385" i="102"/>
  <c r="AS385" i="102"/>
  <c r="AW385" i="102"/>
  <c r="AX385" i="102"/>
  <c r="AY385" i="102"/>
  <c r="AZ385" i="102"/>
  <c r="BA385" i="102"/>
  <c r="BB385" i="102"/>
  <c r="AJ386" i="102"/>
  <c r="AT386" i="102"/>
  <c r="AS386" i="102"/>
  <c r="AW386" i="102"/>
  <c r="AX386" i="102"/>
  <c r="AY386" i="102"/>
  <c r="AZ386" i="102"/>
  <c r="BA386" i="102"/>
  <c r="BB386" i="102"/>
  <c r="AJ387" i="102"/>
  <c r="AT387" i="102"/>
  <c r="AS387" i="102"/>
  <c r="AW387" i="102"/>
  <c r="AX387" i="102"/>
  <c r="AY387" i="102"/>
  <c r="AZ387" i="102"/>
  <c r="BA387" i="102"/>
  <c r="BB387" i="102"/>
  <c r="AJ388" i="102"/>
  <c r="AT388" i="102"/>
  <c r="AS388" i="102"/>
  <c r="AW388" i="102"/>
  <c r="AX388" i="102"/>
  <c r="AY388" i="102"/>
  <c r="AZ388" i="102"/>
  <c r="BA388" i="102"/>
  <c r="BB388" i="102"/>
  <c r="AJ389" i="102"/>
  <c r="AT389" i="102"/>
  <c r="AW389" i="102"/>
  <c r="AX389" i="102"/>
  <c r="AY389" i="102"/>
  <c r="AZ389" i="102"/>
  <c r="BA389" i="102"/>
  <c r="BB389" i="102"/>
  <c r="AJ390" i="102"/>
  <c r="AT390" i="102"/>
  <c r="AW390" i="102"/>
  <c r="AX390" i="102"/>
  <c r="AY390" i="102"/>
  <c r="AZ390" i="102"/>
  <c r="BA390" i="102"/>
  <c r="BB390" i="102"/>
  <c r="AJ391" i="102"/>
  <c r="AT391" i="102"/>
  <c r="AW391" i="102"/>
  <c r="AX391" i="102"/>
  <c r="AY391" i="102"/>
  <c r="AZ391" i="102"/>
  <c r="BA391" i="102"/>
  <c r="BB391" i="102"/>
  <c r="AJ392" i="102"/>
  <c r="AT392" i="102"/>
  <c r="AW392" i="102"/>
  <c r="AX392" i="102"/>
  <c r="AY392" i="102"/>
  <c r="AZ392" i="102"/>
  <c r="BA392" i="102"/>
  <c r="BB392" i="102"/>
  <c r="AJ393" i="102"/>
  <c r="AT393" i="102"/>
  <c r="AW393" i="102"/>
  <c r="AX393" i="102"/>
  <c r="AY393" i="102"/>
  <c r="AZ393" i="102"/>
  <c r="BA393" i="102"/>
  <c r="BB393" i="102"/>
  <c r="AJ394" i="102"/>
  <c r="AT394" i="102"/>
  <c r="AW394" i="102"/>
  <c r="AX394" i="102"/>
  <c r="AY394" i="102"/>
  <c r="AZ394" i="102"/>
  <c r="BA394" i="102"/>
  <c r="BB394" i="102"/>
  <c r="AJ395" i="102"/>
  <c r="AT395" i="102"/>
  <c r="AW395" i="102"/>
  <c r="AX395" i="102"/>
  <c r="AY395" i="102"/>
  <c r="AZ395" i="102"/>
  <c r="BA395" i="102"/>
  <c r="BB395" i="102"/>
  <c r="AJ396" i="102"/>
  <c r="AT396" i="102"/>
  <c r="AW396" i="102"/>
  <c r="AX396" i="102"/>
  <c r="AY396" i="102"/>
  <c r="AZ396" i="102"/>
  <c r="BA396" i="102"/>
  <c r="BB396" i="102"/>
  <c r="AJ397" i="102"/>
  <c r="AT397" i="102"/>
  <c r="AS397" i="102"/>
  <c r="AW397" i="102"/>
  <c r="AX397" i="102"/>
  <c r="AY397" i="102"/>
  <c r="AZ397" i="102"/>
  <c r="BA397" i="102"/>
  <c r="BB397" i="102"/>
  <c r="AJ398" i="102"/>
  <c r="AT398" i="102"/>
  <c r="AS398" i="102"/>
  <c r="AW398" i="102"/>
  <c r="AX398" i="102"/>
  <c r="AY398" i="102"/>
  <c r="AZ398" i="102"/>
  <c r="BA398" i="102"/>
  <c r="BB398" i="102"/>
  <c r="AJ399" i="102"/>
  <c r="AT399" i="102"/>
  <c r="AS399" i="102"/>
  <c r="AW399" i="102"/>
  <c r="AX399" i="102"/>
  <c r="AY399" i="102"/>
  <c r="AZ399" i="102"/>
  <c r="BA399" i="102"/>
  <c r="BB399" i="102"/>
  <c r="AJ400" i="102"/>
  <c r="AT400" i="102"/>
  <c r="AS400" i="102"/>
  <c r="AW400" i="102"/>
  <c r="AX400" i="102"/>
  <c r="AY400" i="102"/>
  <c r="AZ400" i="102"/>
  <c r="BA400" i="102"/>
  <c r="BB400" i="102"/>
  <c r="AJ401" i="102"/>
  <c r="AT401" i="102"/>
  <c r="AS401" i="102"/>
  <c r="AW401" i="102"/>
  <c r="AX401" i="102"/>
  <c r="AY401" i="102"/>
  <c r="AZ401" i="102"/>
  <c r="BA401" i="102"/>
  <c r="BB401" i="102"/>
  <c r="AJ402" i="102"/>
  <c r="AT402" i="102"/>
  <c r="AS402" i="102"/>
  <c r="AW402" i="102"/>
  <c r="AX402" i="102"/>
  <c r="AY402" i="102"/>
  <c r="AZ402" i="102"/>
  <c r="BA402" i="102"/>
  <c r="BB402" i="102"/>
  <c r="AJ403" i="102"/>
  <c r="AT403" i="102"/>
  <c r="AS403" i="102"/>
  <c r="AW403" i="102"/>
  <c r="AX403" i="102"/>
  <c r="AY403" i="102"/>
  <c r="AZ403" i="102"/>
  <c r="BA403" i="102"/>
  <c r="BB403" i="102"/>
  <c r="AJ404" i="102"/>
  <c r="AT404" i="102"/>
  <c r="AS404" i="102"/>
  <c r="AW404" i="102"/>
  <c r="AX404" i="102"/>
  <c r="AY404" i="102"/>
  <c r="AZ404" i="102"/>
  <c r="BA404" i="102"/>
  <c r="BB404" i="102"/>
  <c r="AJ405" i="102"/>
  <c r="AT405" i="102"/>
  <c r="AS405" i="102"/>
  <c r="AW405" i="102"/>
  <c r="AX405" i="102"/>
  <c r="AY405" i="102"/>
  <c r="AZ405" i="102"/>
  <c r="BA405" i="102"/>
  <c r="BB405" i="102"/>
  <c r="AJ406" i="102"/>
  <c r="AT406" i="102"/>
  <c r="AS406" i="102"/>
  <c r="AW406" i="102"/>
  <c r="AX406" i="102"/>
  <c r="AY406" i="102"/>
  <c r="AZ406" i="102"/>
  <c r="BA406" i="102"/>
  <c r="BB406" i="102"/>
  <c r="AJ407" i="102"/>
  <c r="AT407" i="102"/>
  <c r="AS407" i="102"/>
  <c r="AW407" i="102"/>
  <c r="AX407" i="102"/>
  <c r="AY407" i="102"/>
  <c r="AZ407" i="102"/>
  <c r="BA407" i="102"/>
  <c r="BB407" i="102"/>
  <c r="AJ408" i="102"/>
  <c r="AT408" i="102"/>
  <c r="AS408" i="102"/>
  <c r="AW408" i="102"/>
  <c r="AX408" i="102"/>
  <c r="AY408" i="102"/>
  <c r="AZ408" i="102"/>
  <c r="BA408" i="102"/>
  <c r="BB408" i="102"/>
  <c r="AJ409" i="102"/>
  <c r="AT409" i="102"/>
  <c r="AS409" i="102"/>
  <c r="AW409" i="102"/>
  <c r="AX409" i="102"/>
  <c r="AY409" i="102"/>
  <c r="AZ409" i="102"/>
  <c r="BA409" i="102"/>
  <c r="BB409" i="102"/>
  <c r="AJ410" i="102"/>
  <c r="AT410" i="102"/>
  <c r="AS410" i="102"/>
  <c r="AW410" i="102"/>
  <c r="AX410" i="102"/>
  <c r="AY410" i="102"/>
  <c r="AZ410" i="102"/>
  <c r="BA410" i="102"/>
  <c r="BB410" i="102"/>
  <c r="AJ411" i="102"/>
  <c r="AT411" i="102"/>
  <c r="AS411" i="102"/>
  <c r="AW411" i="102"/>
  <c r="AX411" i="102"/>
  <c r="AY411" i="102"/>
  <c r="AZ411" i="102"/>
  <c r="BA411" i="102"/>
  <c r="BB411" i="102"/>
  <c r="AJ412" i="102"/>
  <c r="AT412" i="102"/>
  <c r="AS412" i="102"/>
  <c r="AW412" i="102"/>
  <c r="AX412" i="102"/>
  <c r="AY412" i="102"/>
  <c r="AZ412" i="102"/>
  <c r="BA412" i="102"/>
  <c r="BB412" i="102"/>
  <c r="AJ413" i="102"/>
  <c r="AT413" i="102"/>
  <c r="AS413" i="102"/>
  <c r="AW413" i="102"/>
  <c r="AX413" i="102"/>
  <c r="AY413" i="102"/>
  <c r="AZ413" i="102"/>
  <c r="BA413" i="102"/>
  <c r="BB413" i="102"/>
  <c r="AJ414" i="102"/>
  <c r="AT414" i="102"/>
  <c r="AS414" i="102"/>
  <c r="AW414" i="102"/>
  <c r="AX414" i="102"/>
  <c r="AY414" i="102"/>
  <c r="AZ414" i="102"/>
  <c r="BA414" i="102"/>
  <c r="BB414" i="102"/>
  <c r="AJ415" i="102"/>
  <c r="AT415" i="102"/>
  <c r="AS415" i="102"/>
  <c r="AW415" i="102"/>
  <c r="AX415" i="102"/>
  <c r="AY415" i="102"/>
  <c r="AZ415" i="102"/>
  <c r="BA415" i="102"/>
  <c r="BB415" i="102"/>
  <c r="AJ416" i="102"/>
  <c r="AT416" i="102"/>
  <c r="AS416" i="102"/>
  <c r="AW416" i="102"/>
  <c r="AX416" i="102"/>
  <c r="AY416" i="102"/>
  <c r="AZ416" i="102"/>
  <c r="BA416" i="102"/>
  <c r="BB416" i="102"/>
  <c r="AJ417" i="102"/>
  <c r="AT417" i="102"/>
  <c r="AS417" i="102"/>
  <c r="AW417" i="102"/>
  <c r="AX417" i="102"/>
  <c r="AY417" i="102"/>
  <c r="AZ417" i="102"/>
  <c r="BA417" i="102"/>
  <c r="BB417" i="102"/>
  <c r="AJ418" i="102"/>
  <c r="AT418" i="102"/>
  <c r="AS418" i="102"/>
  <c r="AW418" i="102"/>
  <c r="AX418" i="102"/>
  <c r="AY418" i="102"/>
  <c r="AZ418" i="102"/>
  <c r="BA418" i="102"/>
  <c r="BB418" i="102"/>
  <c r="AJ419" i="102"/>
  <c r="AT419" i="102"/>
  <c r="AS419" i="102"/>
  <c r="AW419" i="102"/>
  <c r="AX419" i="102"/>
  <c r="AY419" i="102"/>
  <c r="AZ419" i="102"/>
  <c r="BA419" i="102"/>
  <c r="BB419" i="102"/>
  <c r="AJ420" i="102"/>
  <c r="AT420" i="102"/>
  <c r="AS420" i="102"/>
  <c r="AW420" i="102"/>
  <c r="AX420" i="102"/>
  <c r="AY420" i="102"/>
  <c r="AZ420" i="102"/>
  <c r="BA420" i="102"/>
  <c r="BB420" i="102"/>
  <c r="AJ421" i="102"/>
  <c r="AT421" i="102"/>
  <c r="AS421" i="102"/>
  <c r="AW421" i="102"/>
  <c r="AX421" i="102"/>
  <c r="AY421" i="102"/>
  <c r="AZ421" i="102"/>
  <c r="BA421" i="102"/>
  <c r="BB421" i="102"/>
  <c r="AJ422" i="102"/>
  <c r="AT422" i="102"/>
  <c r="AS422" i="102"/>
  <c r="AW422" i="102"/>
  <c r="AX422" i="102"/>
  <c r="AY422" i="102"/>
  <c r="AZ422" i="102"/>
  <c r="BA422" i="102"/>
  <c r="BB422" i="102"/>
  <c r="AJ423" i="102"/>
  <c r="AT423" i="102"/>
  <c r="AS423" i="102"/>
  <c r="AW423" i="102"/>
  <c r="AX423" i="102"/>
  <c r="AY423" i="102"/>
  <c r="AZ423" i="102"/>
  <c r="BA423" i="102"/>
  <c r="BB423" i="102"/>
  <c r="AJ424" i="102"/>
  <c r="AT424" i="102"/>
  <c r="AS424" i="102"/>
  <c r="AW424" i="102"/>
  <c r="AX424" i="102"/>
  <c r="AY424" i="102"/>
  <c r="AZ424" i="102"/>
  <c r="BA424" i="102"/>
  <c r="BB424" i="102"/>
  <c r="AJ425" i="102"/>
  <c r="AT425" i="102"/>
  <c r="AS425" i="102"/>
  <c r="AW425" i="102"/>
  <c r="AX425" i="102"/>
  <c r="AY425" i="102"/>
  <c r="AZ425" i="102"/>
  <c r="BA425" i="102"/>
  <c r="BB425" i="102"/>
  <c r="AJ426" i="102"/>
  <c r="AT426" i="102"/>
  <c r="AS426" i="102"/>
  <c r="AW426" i="102"/>
  <c r="AX426" i="102"/>
  <c r="AY426" i="102"/>
  <c r="AZ426" i="102"/>
  <c r="BA426" i="102"/>
  <c r="BB426" i="102"/>
  <c r="AJ427" i="102"/>
  <c r="AT427" i="102"/>
  <c r="AS427" i="102"/>
  <c r="AW427" i="102"/>
  <c r="AX427" i="102"/>
  <c r="AY427" i="102"/>
  <c r="AZ427" i="102"/>
  <c r="BA427" i="102"/>
  <c r="BB427" i="102"/>
  <c r="AJ428" i="102"/>
  <c r="AT428" i="102"/>
  <c r="AS428" i="102"/>
  <c r="AW428" i="102"/>
  <c r="AX428" i="102"/>
  <c r="AY428" i="102"/>
  <c r="AZ428" i="102"/>
  <c r="BA428" i="102"/>
  <c r="BB428" i="102"/>
  <c r="AJ429" i="102"/>
  <c r="AT429" i="102"/>
  <c r="AS429" i="102"/>
  <c r="AW429" i="102"/>
  <c r="AX429" i="102"/>
  <c r="AY429" i="102"/>
  <c r="AZ429" i="102"/>
  <c r="BA429" i="102"/>
  <c r="BB429" i="102"/>
  <c r="AJ430" i="102"/>
  <c r="AT430" i="102"/>
  <c r="AS430" i="102"/>
  <c r="AW430" i="102"/>
  <c r="AX430" i="102"/>
  <c r="AY430" i="102"/>
  <c r="AZ430" i="102"/>
  <c r="BA430" i="102"/>
  <c r="BB430" i="102"/>
  <c r="AJ431" i="102"/>
  <c r="AT431" i="102"/>
  <c r="AS431" i="102"/>
  <c r="AW431" i="102"/>
  <c r="AX431" i="102"/>
  <c r="AY431" i="102"/>
  <c r="AZ431" i="102"/>
  <c r="BA431" i="102"/>
  <c r="BB431" i="102"/>
  <c r="AJ432" i="102"/>
  <c r="AT432" i="102"/>
  <c r="AS432" i="102"/>
  <c r="AW432" i="102"/>
  <c r="AX432" i="102"/>
  <c r="AY432" i="102"/>
  <c r="AZ432" i="102"/>
  <c r="BA432" i="102"/>
  <c r="BB432" i="102"/>
  <c r="AJ433" i="102"/>
  <c r="AT433" i="102"/>
  <c r="AS433" i="102"/>
  <c r="AW433" i="102"/>
  <c r="AX433" i="102"/>
  <c r="AY433" i="102"/>
  <c r="AZ433" i="102"/>
  <c r="BA433" i="102"/>
  <c r="BB433" i="102"/>
  <c r="AJ434" i="102"/>
  <c r="AT434" i="102"/>
  <c r="AS434" i="102"/>
  <c r="AW434" i="102"/>
  <c r="AX434" i="102"/>
  <c r="AY434" i="102"/>
  <c r="AZ434" i="102"/>
  <c r="BA434" i="102"/>
  <c r="BB434" i="102"/>
  <c r="AJ435" i="102"/>
  <c r="AT435" i="102"/>
  <c r="AW435" i="102"/>
  <c r="AX435" i="102"/>
  <c r="AY435" i="102"/>
  <c r="AZ435" i="102"/>
  <c r="BA435" i="102"/>
  <c r="BB435" i="102"/>
  <c r="AJ436" i="102"/>
  <c r="AT436" i="102"/>
  <c r="AS436" i="102"/>
  <c r="AW436" i="102"/>
  <c r="AX436" i="102"/>
  <c r="AY436" i="102"/>
  <c r="AZ436" i="102"/>
  <c r="BA436" i="102"/>
  <c r="BB436" i="102"/>
  <c r="AJ437" i="102"/>
  <c r="AT437" i="102"/>
  <c r="AS437" i="102"/>
  <c r="AW437" i="102"/>
  <c r="AX437" i="102"/>
  <c r="AY437" i="102"/>
  <c r="AZ437" i="102"/>
  <c r="BA437" i="102"/>
  <c r="BB437" i="102"/>
  <c r="AJ438" i="102"/>
  <c r="AT438" i="102"/>
  <c r="AS438" i="102"/>
  <c r="AW438" i="102"/>
  <c r="AX438" i="102"/>
  <c r="AY438" i="102"/>
  <c r="AZ438" i="102"/>
  <c r="BA438" i="102"/>
  <c r="BB438" i="102"/>
  <c r="AJ439" i="102"/>
  <c r="AT439" i="102"/>
  <c r="AS439" i="102"/>
  <c r="AW439" i="102"/>
  <c r="AX439" i="102"/>
  <c r="AY439" i="102"/>
  <c r="AZ439" i="102"/>
  <c r="BA439" i="102"/>
  <c r="BB439" i="102"/>
  <c r="AJ440" i="102"/>
  <c r="AT440" i="102"/>
  <c r="AS440" i="102"/>
  <c r="AW440" i="102"/>
  <c r="AX440" i="102"/>
  <c r="AY440" i="102"/>
  <c r="AZ440" i="102"/>
  <c r="BA440" i="102"/>
  <c r="BB440" i="102"/>
  <c r="AJ441" i="102"/>
  <c r="AT441" i="102"/>
  <c r="AS441" i="102"/>
  <c r="AW441" i="102"/>
  <c r="AX441" i="102"/>
  <c r="AY441" i="102"/>
  <c r="AZ441" i="102"/>
  <c r="BA441" i="102"/>
  <c r="BB441" i="102"/>
  <c r="AJ442" i="102"/>
  <c r="AT442" i="102"/>
  <c r="AS442" i="102"/>
  <c r="AW442" i="102"/>
  <c r="AX442" i="102"/>
  <c r="AY442" i="102"/>
  <c r="AZ442" i="102"/>
  <c r="BA442" i="102"/>
  <c r="BB442" i="102"/>
  <c r="AJ443" i="102"/>
  <c r="AT443" i="102"/>
  <c r="AS443" i="102"/>
  <c r="AW443" i="102"/>
  <c r="AX443" i="102"/>
  <c r="AY443" i="102"/>
  <c r="AZ443" i="102"/>
  <c r="BA443" i="102"/>
  <c r="BB443" i="102"/>
  <c r="AJ444" i="102"/>
  <c r="AT444" i="102"/>
  <c r="AS444" i="102"/>
  <c r="AW444" i="102"/>
  <c r="AX444" i="102"/>
  <c r="AY444" i="102"/>
  <c r="AZ444" i="102"/>
  <c r="BA444" i="102"/>
  <c r="BB444" i="102"/>
  <c r="AJ445" i="102"/>
  <c r="AT445" i="102"/>
  <c r="AS445" i="102"/>
  <c r="AW445" i="102"/>
  <c r="AX445" i="102"/>
  <c r="AY445" i="102"/>
  <c r="AZ445" i="102"/>
  <c r="BA445" i="102"/>
  <c r="BB445" i="102"/>
  <c r="AJ446" i="102"/>
  <c r="AT446" i="102"/>
  <c r="AS446" i="102"/>
  <c r="AW446" i="102"/>
  <c r="AX446" i="102"/>
  <c r="AY446" i="102"/>
  <c r="AZ446" i="102"/>
  <c r="BA446" i="102"/>
  <c r="BB446" i="102"/>
  <c r="AJ447" i="102"/>
  <c r="AT447" i="102"/>
  <c r="AS447" i="102"/>
  <c r="AW447" i="102"/>
  <c r="AX447" i="102"/>
  <c r="AY447" i="102"/>
  <c r="AZ447" i="102"/>
  <c r="BA447" i="102"/>
  <c r="BB447" i="102"/>
  <c r="AJ448" i="102"/>
  <c r="AT448" i="102"/>
  <c r="AS448" i="102"/>
  <c r="AW448" i="102"/>
  <c r="AX448" i="102"/>
  <c r="AY448" i="102"/>
  <c r="AZ448" i="102"/>
  <c r="BA448" i="102"/>
  <c r="BB448" i="102"/>
  <c r="AJ449" i="102"/>
  <c r="AT449" i="102"/>
  <c r="AS449" i="102"/>
  <c r="AW449" i="102"/>
  <c r="AX449" i="102"/>
  <c r="AY449" i="102"/>
  <c r="AZ449" i="102"/>
  <c r="BA449" i="102"/>
  <c r="BB449" i="102"/>
  <c r="AJ450" i="102"/>
  <c r="AT450" i="102"/>
  <c r="AS450" i="102"/>
  <c r="AW450" i="102"/>
  <c r="AX450" i="102"/>
  <c r="AY450" i="102"/>
  <c r="AZ450" i="102"/>
  <c r="BA450" i="102"/>
  <c r="BB450" i="102"/>
  <c r="AJ451" i="102"/>
  <c r="AT451" i="102"/>
  <c r="AS451" i="102"/>
  <c r="AW451" i="102"/>
  <c r="AX451" i="102"/>
  <c r="AY451" i="102"/>
  <c r="AZ451" i="102"/>
  <c r="BA451" i="102"/>
  <c r="BB451" i="102"/>
  <c r="AJ452" i="102"/>
  <c r="AT452" i="102"/>
  <c r="AS452" i="102"/>
  <c r="AW452" i="102"/>
  <c r="AX452" i="102"/>
  <c r="AY452" i="102"/>
  <c r="AZ452" i="102"/>
  <c r="BA452" i="102"/>
  <c r="BB452" i="102"/>
  <c r="AJ453" i="102"/>
  <c r="AT453" i="102"/>
  <c r="AS453" i="102"/>
  <c r="AW453" i="102"/>
  <c r="AX453" i="102"/>
  <c r="AY453" i="102"/>
  <c r="AZ453" i="102"/>
  <c r="BA453" i="102"/>
  <c r="BB453" i="102"/>
  <c r="AJ454" i="102"/>
  <c r="AT454" i="102"/>
  <c r="AS454" i="102"/>
  <c r="AW454" i="102"/>
  <c r="AX454" i="102"/>
  <c r="AY454" i="102"/>
  <c r="AZ454" i="102"/>
  <c r="BA454" i="102"/>
  <c r="BB454" i="102"/>
  <c r="AJ455" i="102"/>
  <c r="AT455" i="102"/>
  <c r="AS455" i="102"/>
  <c r="AW455" i="102"/>
  <c r="AX455" i="102"/>
  <c r="AY455" i="102"/>
  <c r="AZ455" i="102"/>
  <c r="BA455" i="102"/>
  <c r="BB455" i="102"/>
  <c r="AJ456" i="102"/>
  <c r="AT456" i="102"/>
  <c r="AS456" i="102"/>
  <c r="AW456" i="102"/>
  <c r="AX456" i="102"/>
  <c r="AY456" i="102"/>
  <c r="AZ456" i="102"/>
  <c r="BA456" i="102"/>
  <c r="BB456" i="102"/>
  <c r="AJ457" i="102"/>
  <c r="AT457" i="102"/>
  <c r="AS457" i="102"/>
  <c r="AW457" i="102"/>
  <c r="AX457" i="102"/>
  <c r="AY457" i="102"/>
  <c r="AZ457" i="102"/>
  <c r="BA457" i="102"/>
  <c r="BB457" i="102"/>
  <c r="AJ458" i="102"/>
  <c r="AT458" i="102"/>
  <c r="AS458" i="102"/>
  <c r="AW458" i="102"/>
  <c r="AX458" i="102"/>
  <c r="AY458" i="102"/>
  <c r="AZ458" i="102"/>
  <c r="BA458" i="102"/>
  <c r="BB458" i="102"/>
  <c r="AJ459" i="102"/>
  <c r="AT459" i="102"/>
  <c r="AS459" i="102"/>
  <c r="AW459" i="102"/>
  <c r="AX459" i="102"/>
  <c r="AY459" i="102"/>
  <c r="AZ459" i="102"/>
  <c r="BA459" i="102"/>
  <c r="BB459" i="102"/>
  <c r="AJ460" i="102"/>
  <c r="AT460" i="102"/>
  <c r="AW460" i="102"/>
  <c r="AX460" i="102"/>
  <c r="AY460" i="102"/>
  <c r="AZ460" i="102"/>
  <c r="BA460" i="102"/>
  <c r="BB460" i="102"/>
  <c r="AJ461" i="102"/>
  <c r="AT461" i="102"/>
  <c r="AS461" i="102"/>
  <c r="AW461" i="102"/>
  <c r="AX461" i="102"/>
  <c r="AY461" i="102"/>
  <c r="AZ461" i="102"/>
  <c r="BA461" i="102"/>
  <c r="BB461" i="102"/>
  <c r="AJ462" i="102"/>
  <c r="AT462" i="102"/>
  <c r="AS462" i="102"/>
  <c r="AW462" i="102"/>
  <c r="AX462" i="102"/>
  <c r="AY462" i="102"/>
  <c r="AZ462" i="102"/>
  <c r="BA462" i="102"/>
  <c r="BB462" i="102"/>
  <c r="AJ463" i="102"/>
  <c r="AT463" i="102"/>
  <c r="AS463" i="102"/>
  <c r="AW463" i="102"/>
  <c r="AX463" i="102"/>
  <c r="AY463" i="102"/>
  <c r="AZ463" i="102"/>
  <c r="BA463" i="102"/>
  <c r="BB463" i="102"/>
  <c r="AJ464" i="102"/>
  <c r="AT464" i="102"/>
  <c r="AS464" i="102"/>
  <c r="AW464" i="102"/>
  <c r="AX464" i="102"/>
  <c r="AY464" i="102"/>
  <c r="AZ464" i="102"/>
  <c r="BA464" i="102"/>
  <c r="BB464" i="102"/>
  <c r="AJ465" i="102"/>
  <c r="AT465" i="102"/>
  <c r="AS465" i="102"/>
  <c r="AW465" i="102"/>
  <c r="AX465" i="102"/>
  <c r="AY465" i="102"/>
  <c r="AZ465" i="102"/>
  <c r="BA465" i="102"/>
  <c r="BB465" i="102"/>
  <c r="AJ466" i="102"/>
  <c r="AT466" i="102"/>
  <c r="AS466" i="102"/>
  <c r="AW466" i="102"/>
  <c r="AX466" i="102"/>
  <c r="AY466" i="102"/>
  <c r="AZ466" i="102"/>
  <c r="BA466" i="102"/>
  <c r="BB466" i="102"/>
  <c r="AJ467" i="102"/>
  <c r="AT467" i="102"/>
  <c r="AS467" i="102"/>
  <c r="AW467" i="102"/>
  <c r="AX467" i="102"/>
  <c r="AY467" i="102"/>
  <c r="AZ467" i="102"/>
  <c r="BA467" i="102"/>
  <c r="BB467" i="102"/>
  <c r="AJ468" i="102"/>
  <c r="AT468" i="102"/>
  <c r="AW468" i="102"/>
  <c r="AX468" i="102"/>
  <c r="AY468" i="102"/>
  <c r="AZ468" i="102"/>
  <c r="BA468" i="102"/>
  <c r="BB468" i="102"/>
  <c r="AJ469" i="102"/>
  <c r="AT469" i="102"/>
  <c r="AS469" i="102"/>
  <c r="AW469" i="102"/>
  <c r="AX469" i="102"/>
  <c r="AY469" i="102"/>
  <c r="AZ469" i="102"/>
  <c r="BA469" i="102"/>
  <c r="BB469" i="102"/>
  <c r="AJ470" i="102"/>
  <c r="AT470" i="102"/>
  <c r="AS470" i="102"/>
  <c r="AW470" i="102"/>
  <c r="AX470" i="102"/>
  <c r="AY470" i="102"/>
  <c r="AZ470" i="102"/>
  <c r="BA470" i="102"/>
  <c r="BB470" i="102"/>
  <c r="AJ471" i="102"/>
  <c r="AT471" i="102"/>
  <c r="AS471" i="102"/>
  <c r="AW471" i="102"/>
  <c r="AX471" i="102"/>
  <c r="AY471" i="102"/>
  <c r="AZ471" i="102"/>
  <c r="BA471" i="102"/>
  <c r="BB471" i="102"/>
  <c r="AJ472" i="102"/>
  <c r="AT472" i="102"/>
  <c r="AS472" i="102"/>
  <c r="AW472" i="102"/>
  <c r="AX472" i="102"/>
  <c r="AY472" i="102"/>
  <c r="AZ472" i="102"/>
  <c r="BA472" i="102"/>
  <c r="BB472" i="102"/>
  <c r="AJ473" i="102"/>
  <c r="AT473" i="102"/>
  <c r="AS473" i="102"/>
  <c r="AW473" i="102"/>
  <c r="AX473" i="102"/>
  <c r="AY473" i="102"/>
  <c r="AZ473" i="102"/>
  <c r="BA473" i="102"/>
  <c r="BB473" i="102"/>
  <c r="AJ474" i="102"/>
  <c r="AT474" i="102"/>
  <c r="AS474" i="102"/>
  <c r="AW474" i="102"/>
  <c r="AX474" i="102"/>
  <c r="AY474" i="102"/>
  <c r="AZ474" i="102"/>
  <c r="BA474" i="102"/>
  <c r="BB474" i="102"/>
  <c r="AJ475" i="102"/>
  <c r="AT475" i="102"/>
  <c r="AS475" i="102"/>
  <c r="AW475" i="102"/>
  <c r="AX475" i="102"/>
  <c r="AY475" i="102"/>
  <c r="AZ475" i="102"/>
  <c r="BA475" i="102"/>
  <c r="BB475" i="102"/>
  <c r="AJ476" i="102"/>
  <c r="AT476" i="102"/>
  <c r="AS476" i="102"/>
  <c r="AW476" i="102"/>
  <c r="AX476" i="102"/>
  <c r="AY476" i="102"/>
  <c r="AZ476" i="102"/>
  <c r="BA476" i="102"/>
  <c r="BB476" i="102"/>
  <c r="AJ477" i="102"/>
  <c r="AT477" i="102"/>
  <c r="AS477" i="102"/>
  <c r="AW477" i="102"/>
  <c r="AX477" i="102"/>
  <c r="AY477" i="102"/>
  <c r="AZ477" i="102"/>
  <c r="BA477" i="102"/>
  <c r="BB477" i="102"/>
  <c r="AJ478" i="102"/>
  <c r="AT478" i="102"/>
  <c r="AS478" i="102"/>
  <c r="AW478" i="102"/>
  <c r="AX478" i="102"/>
  <c r="AY478" i="102"/>
  <c r="AZ478" i="102"/>
  <c r="BA478" i="102"/>
  <c r="BB478" i="102"/>
  <c r="AJ479" i="102"/>
  <c r="AT479" i="102"/>
  <c r="AS479" i="102"/>
  <c r="AW479" i="102"/>
  <c r="AX479" i="102"/>
  <c r="AY479" i="102"/>
  <c r="AZ479" i="102"/>
  <c r="BA479" i="102"/>
  <c r="BB479" i="102"/>
  <c r="AJ480" i="102"/>
  <c r="AT480" i="102"/>
  <c r="AS480" i="102"/>
  <c r="AW480" i="102"/>
  <c r="AX480" i="102"/>
  <c r="AY480" i="102"/>
  <c r="AZ480" i="102"/>
  <c r="BA480" i="102"/>
  <c r="BB480" i="102"/>
  <c r="AJ481" i="102"/>
  <c r="AT481" i="102"/>
  <c r="AS481" i="102"/>
  <c r="AW481" i="102"/>
  <c r="AX481" i="102"/>
  <c r="AY481" i="102"/>
  <c r="AZ481" i="102"/>
  <c r="BA481" i="102"/>
  <c r="BB481" i="102"/>
  <c r="AJ482" i="102"/>
  <c r="AT482" i="102"/>
  <c r="AS482" i="102"/>
  <c r="AW482" i="102"/>
  <c r="AX482" i="102"/>
  <c r="AY482" i="102"/>
  <c r="AZ482" i="102"/>
  <c r="BA482" i="102"/>
  <c r="BB482" i="102"/>
  <c r="AJ483" i="102"/>
  <c r="AT483" i="102"/>
  <c r="AW483" i="102"/>
  <c r="AX483" i="102"/>
  <c r="AY483" i="102"/>
  <c r="AZ483" i="102"/>
  <c r="BA483" i="102"/>
  <c r="BB483" i="102"/>
  <c r="AJ484" i="102"/>
  <c r="AT484" i="102"/>
  <c r="AS484" i="102"/>
  <c r="AW484" i="102"/>
  <c r="AX484" i="102"/>
  <c r="AY484" i="102"/>
  <c r="AZ484" i="102"/>
  <c r="BA484" i="102"/>
  <c r="BB484" i="102"/>
  <c r="AJ485" i="102"/>
  <c r="AT485" i="102"/>
  <c r="AW485" i="102"/>
  <c r="AX485" i="102"/>
  <c r="AY485" i="102"/>
  <c r="AZ485" i="102"/>
  <c r="BA485" i="102"/>
  <c r="BB485" i="102"/>
  <c r="AJ486" i="102"/>
  <c r="AT486" i="102"/>
  <c r="AW486" i="102"/>
  <c r="AX486" i="102"/>
  <c r="AY486" i="102"/>
  <c r="AZ486" i="102"/>
  <c r="BA486" i="102"/>
  <c r="BB486" i="102"/>
  <c r="AJ487" i="102"/>
  <c r="AT487" i="102"/>
  <c r="AS487" i="102"/>
  <c r="AW487" i="102"/>
  <c r="AX487" i="102"/>
  <c r="AY487" i="102"/>
  <c r="AZ487" i="102"/>
  <c r="BA487" i="102"/>
  <c r="BB487" i="102"/>
  <c r="AJ488" i="102"/>
  <c r="AT488" i="102"/>
  <c r="AS488" i="102"/>
  <c r="AW488" i="102"/>
  <c r="AX488" i="102"/>
  <c r="AY488" i="102"/>
  <c r="AZ488" i="102"/>
  <c r="BA488" i="102"/>
  <c r="BB488" i="102"/>
  <c r="AJ489" i="102"/>
  <c r="AT489" i="102"/>
  <c r="AS489" i="102"/>
  <c r="AW489" i="102"/>
  <c r="AX489" i="102"/>
  <c r="AY489" i="102"/>
  <c r="AZ489" i="102"/>
  <c r="BA489" i="102"/>
  <c r="BB489" i="102"/>
  <c r="AJ490" i="102"/>
  <c r="AT490" i="102"/>
  <c r="AS490" i="102"/>
  <c r="AW490" i="102"/>
  <c r="AX490" i="102"/>
  <c r="AY490" i="102"/>
  <c r="AZ490" i="102"/>
  <c r="BA490" i="102"/>
  <c r="BB490" i="102"/>
  <c r="AJ491" i="102"/>
  <c r="AT491" i="102"/>
  <c r="AS491" i="102"/>
  <c r="AW491" i="102"/>
  <c r="AX491" i="102"/>
  <c r="AY491" i="102"/>
  <c r="AZ491" i="102"/>
  <c r="BA491" i="102"/>
  <c r="BB491" i="102"/>
  <c r="AJ492" i="102"/>
  <c r="AT492" i="102"/>
  <c r="AS492" i="102"/>
  <c r="AW492" i="102"/>
  <c r="AX492" i="102"/>
  <c r="AY492" i="102"/>
  <c r="AZ492" i="102"/>
  <c r="BA492" i="102"/>
  <c r="BB492" i="102"/>
  <c r="AJ493" i="102"/>
  <c r="AT493" i="102"/>
  <c r="AS493" i="102"/>
  <c r="AW493" i="102"/>
  <c r="AX493" i="102"/>
  <c r="AY493" i="102"/>
  <c r="AZ493" i="102"/>
  <c r="BA493" i="102"/>
  <c r="BB493" i="102"/>
  <c r="AJ494" i="102"/>
  <c r="AT494" i="102"/>
  <c r="AS494" i="102"/>
  <c r="AW494" i="102"/>
  <c r="AX494" i="102"/>
  <c r="AY494" i="102"/>
  <c r="AZ494" i="102"/>
  <c r="BA494" i="102"/>
  <c r="BB494" i="102"/>
  <c r="AJ495" i="102"/>
  <c r="AT495" i="102"/>
  <c r="AS495" i="102"/>
  <c r="AW495" i="102"/>
  <c r="AX495" i="102"/>
  <c r="AY495" i="102"/>
  <c r="AZ495" i="102"/>
  <c r="BA495" i="102"/>
  <c r="BB495" i="102"/>
  <c r="AJ496" i="102"/>
  <c r="AT496" i="102"/>
  <c r="AS496" i="102"/>
  <c r="AW496" i="102"/>
  <c r="AX496" i="102"/>
  <c r="AY496" i="102"/>
  <c r="AZ496" i="102"/>
  <c r="BA496" i="102"/>
  <c r="BB496" i="102"/>
  <c r="AJ497" i="102"/>
  <c r="AT497" i="102"/>
  <c r="AS497" i="102"/>
  <c r="AW497" i="102"/>
  <c r="AX497" i="102"/>
  <c r="AY497" i="102"/>
  <c r="AZ497" i="102"/>
  <c r="BA497" i="102"/>
  <c r="BB497" i="102"/>
  <c r="AJ498" i="102"/>
  <c r="AT498" i="102"/>
  <c r="AS498" i="102"/>
  <c r="AW498" i="102"/>
  <c r="AX498" i="102"/>
  <c r="AY498" i="102"/>
  <c r="AZ498" i="102"/>
  <c r="BA498" i="102"/>
  <c r="BB498" i="102"/>
  <c r="AJ499" i="102"/>
  <c r="AT499" i="102"/>
  <c r="AS499" i="102"/>
  <c r="AW499" i="102"/>
  <c r="AX499" i="102"/>
  <c r="AY499" i="102"/>
  <c r="AZ499" i="102"/>
  <c r="BA499" i="102"/>
  <c r="BB499" i="102"/>
  <c r="AJ500" i="102"/>
  <c r="AT500" i="102"/>
  <c r="AS500" i="102"/>
  <c r="AW500" i="102"/>
  <c r="AX500" i="102"/>
  <c r="AY500" i="102"/>
  <c r="AZ500" i="102"/>
  <c r="BA500" i="102"/>
  <c r="BB500" i="102"/>
  <c r="AJ501" i="102"/>
  <c r="AT501" i="102"/>
  <c r="AS501" i="102"/>
  <c r="AW501" i="102"/>
  <c r="AX501" i="102"/>
  <c r="AY501" i="102"/>
  <c r="AZ501" i="102"/>
  <c r="BA501" i="102"/>
  <c r="BB501" i="102"/>
  <c r="AJ502" i="102"/>
  <c r="AT502" i="102"/>
  <c r="AS502" i="102"/>
  <c r="AW502" i="102"/>
  <c r="AX502" i="102"/>
  <c r="AY502" i="102"/>
  <c r="AZ502" i="102"/>
  <c r="BA502" i="102"/>
  <c r="BB502" i="102"/>
  <c r="AJ503" i="102"/>
  <c r="AT503" i="102"/>
  <c r="AS503" i="102"/>
  <c r="AW503" i="102"/>
  <c r="AX503" i="102"/>
  <c r="AY503" i="102"/>
  <c r="AZ503" i="102"/>
  <c r="BA503" i="102"/>
  <c r="BB503" i="102"/>
  <c r="AJ504" i="102"/>
  <c r="AT504" i="102"/>
  <c r="AS504" i="102"/>
  <c r="AW504" i="102"/>
  <c r="AX504" i="102"/>
  <c r="AY504" i="102"/>
  <c r="AZ504" i="102"/>
  <c r="BA504" i="102"/>
  <c r="BB504" i="102"/>
  <c r="AJ505" i="102"/>
  <c r="AT505" i="102"/>
  <c r="AS505" i="102"/>
  <c r="AW505" i="102"/>
  <c r="AX505" i="102"/>
  <c r="AY505" i="102"/>
  <c r="AZ505" i="102"/>
  <c r="BA505" i="102"/>
  <c r="BB505" i="102"/>
  <c r="AJ506" i="102"/>
  <c r="AT506" i="102"/>
  <c r="AS506" i="102"/>
  <c r="AW506" i="102"/>
  <c r="AX506" i="102"/>
  <c r="AY506" i="102"/>
  <c r="AZ506" i="102"/>
  <c r="BA506" i="102"/>
  <c r="BB506" i="102"/>
  <c r="AJ507" i="102"/>
  <c r="AT507" i="102"/>
  <c r="AS507" i="102"/>
  <c r="AW507" i="102"/>
  <c r="AX507" i="102"/>
  <c r="AY507" i="102"/>
  <c r="AZ507" i="102"/>
  <c r="BA507" i="102"/>
  <c r="BB507" i="102"/>
  <c r="AJ508" i="102"/>
  <c r="AT508" i="102"/>
  <c r="AS508" i="102"/>
  <c r="AW508" i="102"/>
  <c r="AX508" i="102"/>
  <c r="AY508" i="102"/>
  <c r="AZ508" i="102"/>
  <c r="BA508" i="102"/>
  <c r="BB508" i="102"/>
  <c r="AJ509" i="102"/>
  <c r="AT509" i="102"/>
  <c r="AS509" i="102"/>
  <c r="AW509" i="102"/>
  <c r="AX509" i="102"/>
  <c r="AY509" i="102"/>
  <c r="AZ509" i="102"/>
  <c r="BA509" i="102"/>
  <c r="BB509" i="102"/>
  <c r="AJ510" i="102"/>
  <c r="AT510" i="102"/>
  <c r="AS510" i="102"/>
  <c r="AW510" i="102"/>
  <c r="AX510" i="102"/>
  <c r="AY510" i="102"/>
  <c r="AZ510" i="102"/>
  <c r="BA510" i="102"/>
  <c r="BB510" i="102"/>
  <c r="AJ511" i="102"/>
  <c r="AT511" i="102"/>
  <c r="AS511" i="102"/>
  <c r="AW511" i="102"/>
  <c r="AX511" i="102"/>
  <c r="AY511" i="102"/>
  <c r="AZ511" i="102"/>
  <c r="BA511" i="102"/>
  <c r="BB511" i="102"/>
  <c r="AJ512" i="102"/>
  <c r="AT512" i="102"/>
  <c r="AS512" i="102"/>
  <c r="AW512" i="102"/>
  <c r="AX512" i="102"/>
  <c r="AY512" i="102"/>
  <c r="AZ512" i="102"/>
  <c r="BA512" i="102"/>
  <c r="BB512" i="102"/>
  <c r="AJ513" i="102"/>
  <c r="AT513" i="102"/>
  <c r="AS513" i="102"/>
  <c r="AW513" i="102"/>
  <c r="AX513" i="102"/>
  <c r="AY513" i="102"/>
  <c r="AZ513" i="102"/>
  <c r="BA513" i="102"/>
  <c r="BB513" i="102"/>
  <c r="AJ514" i="102"/>
  <c r="AT514" i="102"/>
  <c r="AS514" i="102"/>
  <c r="AW514" i="102"/>
  <c r="AX514" i="102"/>
  <c r="AY514" i="102"/>
  <c r="AZ514" i="102"/>
  <c r="BA514" i="102"/>
  <c r="BB514" i="102"/>
  <c r="AJ515" i="102"/>
  <c r="AT515" i="102"/>
  <c r="AS515" i="102"/>
  <c r="AW515" i="102"/>
  <c r="AX515" i="102"/>
  <c r="AY515" i="102"/>
  <c r="AZ515" i="102"/>
  <c r="BA515" i="102"/>
  <c r="BB515" i="102"/>
  <c r="AJ516" i="102"/>
  <c r="AT516" i="102"/>
  <c r="AS516" i="102"/>
  <c r="AW516" i="102"/>
  <c r="AX516" i="102"/>
  <c r="AY516" i="102"/>
  <c r="AZ516" i="102"/>
  <c r="BA516" i="102"/>
  <c r="BB516" i="102"/>
  <c r="AJ517" i="102"/>
  <c r="AT517" i="102"/>
  <c r="AS517" i="102"/>
  <c r="AW517" i="102"/>
  <c r="AX517" i="102"/>
  <c r="AY517" i="102"/>
  <c r="AZ517" i="102"/>
  <c r="BA517" i="102"/>
  <c r="BB517" i="102"/>
  <c r="AJ518" i="102"/>
  <c r="AT518" i="102"/>
  <c r="AS518" i="102"/>
  <c r="AW518" i="102"/>
  <c r="AX518" i="102"/>
  <c r="AY518" i="102"/>
  <c r="AZ518" i="102"/>
  <c r="BA518" i="102"/>
  <c r="BB518" i="102"/>
  <c r="AJ519" i="102"/>
  <c r="AT519" i="102"/>
  <c r="AS519" i="102"/>
  <c r="AW519" i="102"/>
  <c r="AX519" i="102"/>
  <c r="AY519" i="102"/>
  <c r="AZ519" i="102"/>
  <c r="BA519" i="102"/>
  <c r="BB519" i="102"/>
  <c r="AJ520" i="102"/>
  <c r="AT520" i="102"/>
  <c r="AS520" i="102"/>
  <c r="AW520" i="102"/>
  <c r="AX520" i="102"/>
  <c r="AY520" i="102"/>
  <c r="AZ520" i="102"/>
  <c r="BA520" i="102"/>
  <c r="BB520" i="102"/>
  <c r="AJ521" i="102"/>
  <c r="AT521" i="102"/>
  <c r="AS521" i="102"/>
  <c r="AW521" i="102"/>
  <c r="AX521" i="102"/>
  <c r="AY521" i="102"/>
  <c r="AZ521" i="102"/>
  <c r="BA521" i="102"/>
  <c r="BB521" i="102"/>
  <c r="AJ522" i="102"/>
  <c r="AT522" i="102"/>
  <c r="AS522" i="102"/>
  <c r="AW522" i="102"/>
  <c r="AX522" i="102"/>
  <c r="AY522" i="102"/>
  <c r="AZ522" i="102"/>
  <c r="BA522" i="102"/>
  <c r="BB522" i="102"/>
  <c r="AJ523" i="102"/>
  <c r="AT523" i="102"/>
  <c r="AS523" i="102"/>
  <c r="AW523" i="102"/>
  <c r="AX523" i="102"/>
  <c r="AY523" i="102"/>
  <c r="AZ523" i="102"/>
  <c r="BA523" i="102"/>
  <c r="BB523" i="102"/>
  <c r="AJ524" i="102"/>
  <c r="AT524" i="102"/>
  <c r="AS524" i="102"/>
  <c r="AW524" i="102"/>
  <c r="AX524" i="102"/>
  <c r="AY524" i="102"/>
  <c r="AZ524" i="102"/>
  <c r="BA524" i="102"/>
  <c r="BB524" i="102"/>
  <c r="AJ525" i="102"/>
  <c r="AT525" i="102"/>
  <c r="AS525" i="102"/>
  <c r="AW525" i="102"/>
  <c r="AX525" i="102"/>
  <c r="AY525" i="102"/>
  <c r="AZ525" i="102"/>
  <c r="BA525" i="102"/>
  <c r="BB525" i="102"/>
  <c r="AJ526" i="102"/>
  <c r="AT526" i="102"/>
  <c r="AS526" i="102"/>
  <c r="AW526" i="102"/>
  <c r="AX526" i="102"/>
  <c r="AY526" i="102"/>
  <c r="AZ526" i="102"/>
  <c r="BA526" i="102"/>
  <c r="BB526" i="102"/>
  <c r="AJ527" i="102"/>
  <c r="AT527" i="102"/>
  <c r="AS527" i="102"/>
  <c r="AW527" i="102"/>
  <c r="AX527" i="102"/>
  <c r="AY527" i="102"/>
  <c r="AZ527" i="102"/>
  <c r="BA527" i="102"/>
  <c r="BB527" i="102"/>
  <c r="AJ528" i="102"/>
  <c r="AT528" i="102"/>
  <c r="AS528" i="102"/>
  <c r="AW528" i="102"/>
  <c r="AX528" i="102"/>
  <c r="AY528" i="102"/>
  <c r="AZ528" i="102"/>
  <c r="BA528" i="102"/>
  <c r="BB528" i="102"/>
  <c r="AJ529" i="102"/>
  <c r="AT529" i="102"/>
  <c r="AS529" i="102"/>
  <c r="AW529" i="102"/>
  <c r="AX529" i="102"/>
  <c r="AY529" i="102"/>
  <c r="AZ529" i="102"/>
  <c r="BA529" i="102"/>
  <c r="BB529" i="102"/>
  <c r="AJ530" i="102"/>
  <c r="AT530" i="102"/>
  <c r="AS530" i="102"/>
  <c r="AW530" i="102"/>
  <c r="AX530" i="102"/>
  <c r="AY530" i="102"/>
  <c r="AZ530" i="102"/>
  <c r="BA530" i="102"/>
  <c r="BB530" i="102"/>
  <c r="AJ531" i="102"/>
  <c r="AT531" i="102"/>
  <c r="AS531" i="102"/>
  <c r="AW531" i="102"/>
  <c r="AX531" i="102"/>
  <c r="AY531" i="102"/>
  <c r="AZ531" i="102"/>
  <c r="BA531" i="102"/>
  <c r="BB531" i="102"/>
  <c r="AJ532" i="102"/>
  <c r="AT532" i="102"/>
  <c r="AS532" i="102"/>
  <c r="AW532" i="102"/>
  <c r="AX532" i="102"/>
  <c r="AY532" i="102"/>
  <c r="AZ532" i="102"/>
  <c r="BA532" i="102"/>
  <c r="BB532" i="102"/>
  <c r="AJ533" i="102"/>
  <c r="AT533" i="102"/>
  <c r="AS533" i="102"/>
  <c r="AW533" i="102"/>
  <c r="AX533" i="102"/>
  <c r="AY533" i="102"/>
  <c r="AZ533" i="102"/>
  <c r="BA533" i="102"/>
  <c r="BB533" i="102"/>
  <c r="AJ534" i="102"/>
  <c r="AT534" i="102"/>
  <c r="AS534" i="102"/>
  <c r="AW534" i="102"/>
  <c r="AX534" i="102"/>
  <c r="AY534" i="102"/>
  <c r="AZ534" i="102"/>
  <c r="BA534" i="102"/>
  <c r="BB534" i="102"/>
  <c r="AJ535" i="102"/>
  <c r="AT535" i="102"/>
  <c r="AS535" i="102"/>
  <c r="AW535" i="102"/>
  <c r="AX535" i="102"/>
  <c r="AY535" i="102"/>
  <c r="AZ535" i="102"/>
  <c r="BA535" i="102"/>
  <c r="BB535" i="102"/>
  <c r="AJ536" i="102"/>
  <c r="AT536" i="102"/>
  <c r="AS536" i="102"/>
  <c r="AW536" i="102"/>
  <c r="AX536" i="102"/>
  <c r="AY536" i="102"/>
  <c r="AZ536" i="102"/>
  <c r="BA536" i="102"/>
  <c r="BB536" i="102"/>
  <c r="AJ537" i="102"/>
  <c r="AT537" i="102"/>
  <c r="AS537" i="102"/>
  <c r="AW537" i="102"/>
  <c r="AX537" i="102"/>
  <c r="AY537" i="102"/>
  <c r="AZ537" i="102"/>
  <c r="BA537" i="102"/>
  <c r="BB537" i="102"/>
  <c r="AJ538" i="102"/>
  <c r="AT538" i="102"/>
  <c r="AS538" i="102"/>
  <c r="AW538" i="102"/>
  <c r="AX538" i="102"/>
  <c r="AY538" i="102"/>
  <c r="AZ538" i="102"/>
  <c r="BA538" i="102"/>
  <c r="BB538" i="102"/>
  <c r="AJ539" i="102"/>
  <c r="AT539" i="102"/>
  <c r="AS539" i="102"/>
  <c r="AW539" i="102"/>
  <c r="AX539" i="102"/>
  <c r="AY539" i="102"/>
  <c r="AZ539" i="102"/>
  <c r="BA539" i="102"/>
  <c r="BB539" i="102"/>
  <c r="AJ540" i="102"/>
  <c r="AT540" i="102"/>
  <c r="AS540" i="102"/>
  <c r="AW540" i="102"/>
  <c r="AX540" i="102"/>
  <c r="AY540" i="102"/>
  <c r="AZ540" i="102"/>
  <c r="BA540" i="102"/>
  <c r="BB540" i="102"/>
  <c r="AJ541" i="102"/>
  <c r="AT541" i="102"/>
  <c r="AS541" i="102"/>
  <c r="AW541" i="102"/>
  <c r="AX541" i="102"/>
  <c r="AY541" i="102"/>
  <c r="AZ541" i="102"/>
  <c r="BA541" i="102"/>
  <c r="BB541" i="102"/>
  <c r="AJ542" i="102"/>
  <c r="AT542" i="102"/>
  <c r="AS542" i="102"/>
  <c r="AW542" i="102"/>
  <c r="AX542" i="102"/>
  <c r="AY542" i="102"/>
  <c r="AZ542" i="102"/>
  <c r="BA542" i="102"/>
  <c r="BB542" i="102"/>
  <c r="AJ543" i="102"/>
  <c r="AT543" i="102"/>
  <c r="AS543" i="102"/>
  <c r="AW543" i="102"/>
  <c r="AX543" i="102"/>
  <c r="AY543" i="102"/>
  <c r="AZ543" i="102"/>
  <c r="BA543" i="102"/>
  <c r="BB543" i="102"/>
  <c r="AJ544" i="102"/>
  <c r="AT544" i="102"/>
  <c r="AS544" i="102"/>
  <c r="AW544" i="102"/>
  <c r="AX544" i="102"/>
  <c r="AY544" i="102"/>
  <c r="AZ544" i="102"/>
  <c r="BA544" i="102"/>
  <c r="BB544" i="102"/>
  <c r="AJ545" i="102"/>
  <c r="AT545" i="102"/>
  <c r="AS545" i="102"/>
  <c r="AW545" i="102"/>
  <c r="AX545" i="102"/>
  <c r="AY545" i="102"/>
  <c r="AZ545" i="102"/>
  <c r="BA545" i="102"/>
  <c r="BB545" i="102"/>
  <c r="AJ546" i="102"/>
  <c r="AT546" i="102"/>
  <c r="AS546" i="102"/>
  <c r="AW546" i="102"/>
  <c r="AX546" i="102"/>
  <c r="AY546" i="102"/>
  <c r="AZ546" i="102"/>
  <c r="BA546" i="102"/>
  <c r="BB546" i="102"/>
  <c r="AJ547" i="102"/>
  <c r="AT547" i="102"/>
  <c r="AS547" i="102"/>
  <c r="AW547" i="102"/>
  <c r="AX547" i="102"/>
  <c r="AY547" i="102"/>
  <c r="AZ547" i="102"/>
  <c r="BA547" i="102"/>
  <c r="BB547" i="102"/>
  <c r="AJ548" i="102"/>
  <c r="AT548" i="102"/>
  <c r="AS548" i="102"/>
  <c r="AW548" i="102"/>
  <c r="AX548" i="102"/>
  <c r="AY548" i="102"/>
  <c r="AZ548" i="102"/>
  <c r="BA548" i="102"/>
  <c r="BB548" i="102"/>
  <c r="AJ549" i="102"/>
  <c r="AT549" i="102"/>
  <c r="AS549" i="102"/>
  <c r="AW549" i="102"/>
  <c r="AX549" i="102"/>
  <c r="AY549" i="102"/>
  <c r="AZ549" i="102"/>
  <c r="BA549" i="102"/>
  <c r="BB549" i="102"/>
  <c r="AJ550" i="102"/>
  <c r="AT550" i="102"/>
  <c r="AS550" i="102"/>
  <c r="AW550" i="102"/>
  <c r="AX550" i="102"/>
  <c r="AY550" i="102"/>
  <c r="AZ550" i="102"/>
  <c r="BA550" i="102"/>
  <c r="BB550" i="102"/>
  <c r="AJ551" i="102"/>
  <c r="AT551" i="102"/>
  <c r="AS551" i="102"/>
  <c r="AW551" i="102"/>
  <c r="AX551" i="102"/>
  <c r="AY551" i="102"/>
  <c r="AZ551" i="102"/>
  <c r="BA551" i="102"/>
  <c r="BB551" i="102"/>
  <c r="AJ552" i="102"/>
  <c r="AT552" i="102"/>
  <c r="AS552" i="102"/>
  <c r="AW552" i="102"/>
  <c r="AX552" i="102"/>
  <c r="AY552" i="102"/>
  <c r="AZ552" i="102"/>
  <c r="BA552" i="102"/>
  <c r="BB552" i="102"/>
  <c r="AJ553" i="102"/>
  <c r="AT553" i="102"/>
  <c r="AS553" i="102"/>
  <c r="AW553" i="102"/>
  <c r="AX553" i="102"/>
  <c r="AY553" i="102"/>
  <c r="AZ553" i="102"/>
  <c r="BA553" i="102"/>
  <c r="BB553" i="102"/>
  <c r="AJ554" i="102"/>
  <c r="AT554" i="102"/>
  <c r="AS554" i="102"/>
  <c r="AW554" i="102"/>
  <c r="AX554" i="102"/>
  <c r="AY554" i="102"/>
  <c r="AZ554" i="102"/>
  <c r="BA554" i="102"/>
  <c r="BB554" i="102"/>
  <c r="AJ555" i="102"/>
  <c r="AT555" i="102"/>
  <c r="AS555" i="102"/>
  <c r="AW555" i="102"/>
  <c r="AX555" i="102"/>
  <c r="AY555" i="102"/>
  <c r="AZ555" i="102"/>
  <c r="BA555" i="102"/>
  <c r="BB555" i="102"/>
  <c r="AJ556" i="102"/>
  <c r="AT556" i="102"/>
  <c r="AS556" i="102"/>
  <c r="AW556" i="102"/>
  <c r="AX556" i="102"/>
  <c r="AY556" i="102"/>
  <c r="AZ556" i="102"/>
  <c r="BA556" i="102"/>
  <c r="BB556" i="102"/>
  <c r="AJ557" i="102"/>
  <c r="AT557" i="102"/>
  <c r="AS557" i="102"/>
  <c r="AW557" i="102"/>
  <c r="AX557" i="102"/>
  <c r="AY557" i="102"/>
  <c r="AZ557" i="102"/>
  <c r="BA557" i="102"/>
  <c r="BB557" i="102"/>
  <c r="AJ558" i="102"/>
  <c r="AT558" i="102"/>
  <c r="AS558" i="102"/>
  <c r="AW558" i="102"/>
  <c r="AX558" i="102"/>
  <c r="AY558" i="102"/>
  <c r="AZ558" i="102"/>
  <c r="BA558" i="102"/>
  <c r="BB558" i="102"/>
  <c r="AJ559" i="102"/>
  <c r="AT559" i="102"/>
  <c r="AS559" i="102"/>
  <c r="AW559" i="102"/>
  <c r="AX559" i="102"/>
  <c r="AY559" i="102"/>
  <c r="AZ559" i="102"/>
  <c r="BA559" i="102"/>
  <c r="BB559" i="102"/>
  <c r="AJ560" i="102"/>
  <c r="AT560" i="102"/>
  <c r="AS560" i="102"/>
  <c r="AW560" i="102"/>
  <c r="AX560" i="102"/>
  <c r="AY560" i="102"/>
  <c r="AZ560" i="102"/>
  <c r="BA560" i="102"/>
  <c r="BB560" i="102"/>
  <c r="AJ561" i="102"/>
  <c r="AT561" i="102"/>
  <c r="AS561" i="102"/>
  <c r="AW561" i="102"/>
  <c r="AX561" i="102"/>
  <c r="AY561" i="102"/>
  <c r="AZ561" i="102"/>
  <c r="BA561" i="102"/>
  <c r="BB561" i="102"/>
  <c r="AJ562" i="102"/>
  <c r="AT562" i="102"/>
  <c r="AS562" i="102"/>
  <c r="AW562" i="102"/>
  <c r="AX562" i="102"/>
  <c r="AY562" i="102"/>
  <c r="AZ562" i="102"/>
  <c r="BA562" i="102"/>
  <c r="BB562" i="102"/>
  <c r="AJ563" i="102"/>
  <c r="AT563" i="102"/>
  <c r="AS563" i="102"/>
  <c r="AW563" i="102"/>
  <c r="AX563" i="102"/>
  <c r="AY563" i="102"/>
  <c r="AZ563" i="102"/>
  <c r="BA563" i="102"/>
  <c r="BB563" i="102"/>
  <c r="AJ564" i="102"/>
  <c r="AT564" i="102"/>
  <c r="AS564" i="102"/>
  <c r="AW564" i="102"/>
  <c r="AX564" i="102"/>
  <c r="AY564" i="102"/>
  <c r="AZ564" i="102"/>
  <c r="BA564" i="102"/>
  <c r="BB564" i="102"/>
  <c r="AJ565" i="102"/>
  <c r="AT565" i="102"/>
  <c r="AS565" i="102"/>
  <c r="AW565" i="102"/>
  <c r="AX565" i="102"/>
  <c r="AY565" i="102"/>
  <c r="AZ565" i="102"/>
  <c r="BA565" i="102"/>
  <c r="BB565" i="102"/>
  <c r="AJ566" i="102"/>
  <c r="AT566" i="102"/>
  <c r="AS566" i="102"/>
  <c r="AW566" i="102"/>
  <c r="AX566" i="102"/>
  <c r="AY566" i="102"/>
  <c r="AZ566" i="102"/>
  <c r="BA566" i="102"/>
  <c r="BB566" i="102"/>
  <c r="AJ567" i="102"/>
  <c r="AT567" i="102"/>
  <c r="AS567" i="102"/>
  <c r="AW567" i="102"/>
  <c r="AX567" i="102"/>
  <c r="AY567" i="102"/>
  <c r="AZ567" i="102"/>
  <c r="BA567" i="102"/>
  <c r="BB567" i="102"/>
  <c r="AJ568" i="102"/>
  <c r="AT568" i="102"/>
  <c r="AS568" i="102"/>
  <c r="AW568" i="102"/>
  <c r="AX568" i="102"/>
  <c r="AY568" i="102"/>
  <c r="AZ568" i="102"/>
  <c r="BA568" i="102"/>
  <c r="BB568" i="102"/>
  <c r="AJ569" i="102"/>
  <c r="AT569" i="102"/>
  <c r="AS569" i="102"/>
  <c r="AW569" i="102"/>
  <c r="AX569" i="102"/>
  <c r="AY569" i="102"/>
  <c r="AZ569" i="102"/>
  <c r="BA569" i="102"/>
  <c r="BB569" i="102"/>
  <c r="AJ570" i="102"/>
  <c r="AT570" i="102"/>
  <c r="AS570" i="102"/>
  <c r="AW570" i="102"/>
  <c r="AX570" i="102"/>
  <c r="AY570" i="102"/>
  <c r="AZ570" i="102"/>
  <c r="BA570" i="102"/>
  <c r="BB570" i="102"/>
  <c r="AJ571" i="102"/>
  <c r="AT571" i="102"/>
  <c r="AS571" i="102"/>
  <c r="AW571" i="102"/>
  <c r="AX571" i="102"/>
  <c r="AY571" i="102"/>
  <c r="AZ571" i="102"/>
  <c r="BA571" i="102"/>
  <c r="BB571" i="102"/>
  <c r="AJ572" i="102"/>
  <c r="AT572" i="102"/>
  <c r="AS572" i="102"/>
  <c r="AW572" i="102"/>
  <c r="AX572" i="102"/>
  <c r="AY572" i="102"/>
  <c r="AZ572" i="102"/>
  <c r="BA572" i="102"/>
  <c r="BB572" i="102"/>
  <c r="AJ573" i="102"/>
  <c r="AT573" i="102"/>
  <c r="AS573" i="102"/>
  <c r="AW573" i="102"/>
  <c r="AX573" i="102"/>
  <c r="AY573" i="102"/>
  <c r="AZ573" i="102"/>
  <c r="BA573" i="102"/>
  <c r="BB573" i="102"/>
  <c r="AJ574" i="102"/>
  <c r="AT574" i="102"/>
  <c r="AS574" i="102"/>
  <c r="AW574" i="102"/>
  <c r="AX574" i="102"/>
  <c r="AY574" i="102"/>
  <c r="AZ574" i="102"/>
  <c r="BA574" i="102"/>
  <c r="BB574" i="102"/>
  <c r="AJ575" i="102"/>
  <c r="AT575" i="102"/>
  <c r="AS575" i="102"/>
  <c r="AW575" i="102"/>
  <c r="AX575" i="102"/>
  <c r="AY575" i="102"/>
  <c r="AZ575" i="102"/>
  <c r="BA575" i="102"/>
  <c r="BB575" i="102"/>
  <c r="AJ576" i="102"/>
  <c r="AT576" i="102"/>
  <c r="AS576" i="102"/>
  <c r="AW576" i="102"/>
  <c r="AX576" i="102"/>
  <c r="AY576" i="102"/>
  <c r="AZ576" i="102"/>
  <c r="BA576" i="102"/>
  <c r="BB576" i="102"/>
  <c r="AJ577" i="102"/>
  <c r="AT577" i="102"/>
  <c r="AS577" i="102"/>
  <c r="AW577" i="102"/>
  <c r="AX577" i="102"/>
  <c r="AY577" i="102"/>
  <c r="AZ577" i="102"/>
  <c r="BA577" i="102"/>
  <c r="BB577" i="102"/>
  <c r="AJ578" i="102"/>
  <c r="AT578" i="102"/>
  <c r="AS578" i="102"/>
  <c r="AW578" i="102"/>
  <c r="AX578" i="102"/>
  <c r="AY578" i="102"/>
  <c r="AZ578" i="102"/>
  <c r="BA578" i="102"/>
  <c r="BB578" i="102"/>
  <c r="AJ579" i="102"/>
  <c r="AT579" i="102"/>
  <c r="AS579" i="102"/>
  <c r="AW579" i="102"/>
  <c r="AX579" i="102"/>
  <c r="AY579" i="102"/>
  <c r="AZ579" i="102"/>
  <c r="BA579" i="102"/>
  <c r="BB579" i="102"/>
  <c r="AJ580" i="102"/>
  <c r="AT580" i="102"/>
  <c r="AS580" i="102"/>
  <c r="AW580" i="102"/>
  <c r="AX580" i="102"/>
  <c r="AY580" i="102"/>
  <c r="AZ580" i="102"/>
  <c r="BA580" i="102"/>
  <c r="BB580" i="102"/>
  <c r="AJ581" i="102"/>
  <c r="AT581" i="102"/>
  <c r="AS581" i="102"/>
  <c r="AW581" i="102"/>
  <c r="AX581" i="102"/>
  <c r="AY581" i="102"/>
  <c r="AZ581" i="102"/>
  <c r="BA581" i="102"/>
  <c r="BB581" i="102"/>
  <c r="AJ582" i="102"/>
  <c r="AT582" i="102"/>
  <c r="AS582" i="102"/>
  <c r="AW582" i="102"/>
  <c r="AX582" i="102"/>
  <c r="AY582" i="102"/>
  <c r="AZ582" i="102"/>
  <c r="BA582" i="102"/>
  <c r="BB582" i="102"/>
  <c r="AJ583" i="102"/>
  <c r="AT583" i="102"/>
  <c r="AS583" i="102"/>
  <c r="AW583" i="102"/>
  <c r="AX583" i="102"/>
  <c r="AY583" i="102"/>
  <c r="AZ583" i="102"/>
  <c r="BA583" i="102"/>
  <c r="BB583" i="102"/>
  <c r="AJ584" i="102"/>
  <c r="AT584" i="102"/>
  <c r="AS584" i="102"/>
  <c r="AW584" i="102"/>
  <c r="AX584" i="102"/>
  <c r="AY584" i="102"/>
  <c r="AZ584" i="102"/>
  <c r="BA584" i="102"/>
  <c r="BB584" i="102"/>
  <c r="AJ585" i="102"/>
  <c r="AT585" i="102"/>
  <c r="AS585" i="102"/>
  <c r="AW585" i="102"/>
  <c r="AX585" i="102"/>
  <c r="AY585" i="102"/>
  <c r="AZ585" i="102"/>
  <c r="BA585" i="102"/>
  <c r="BB585" i="102"/>
  <c r="AJ586" i="102"/>
  <c r="AT586" i="102"/>
  <c r="AS586" i="102"/>
  <c r="AW586" i="102"/>
  <c r="AX586" i="102"/>
  <c r="AY586" i="102"/>
  <c r="AZ586" i="102"/>
  <c r="BA586" i="102"/>
  <c r="BB586" i="102"/>
  <c r="AJ587" i="102"/>
  <c r="AT587" i="102"/>
  <c r="AS587" i="102"/>
  <c r="AW587" i="102"/>
  <c r="AX587" i="102"/>
  <c r="AY587" i="102"/>
  <c r="AZ587" i="102"/>
  <c r="BA587" i="102"/>
  <c r="BB587" i="102"/>
  <c r="AJ588" i="102"/>
  <c r="AT588" i="102"/>
  <c r="AS588" i="102"/>
  <c r="AW588" i="102"/>
  <c r="AX588" i="102"/>
  <c r="AY588" i="102"/>
  <c r="AZ588" i="102"/>
  <c r="BA588" i="102"/>
  <c r="BB588" i="102"/>
  <c r="AJ589" i="102"/>
  <c r="AT589" i="102"/>
  <c r="AS589" i="102"/>
  <c r="AW589" i="102"/>
  <c r="AX589" i="102"/>
  <c r="AY589" i="102"/>
  <c r="AZ589" i="102"/>
  <c r="BA589" i="102"/>
  <c r="BB589" i="102"/>
  <c r="AJ590" i="102"/>
  <c r="AT590" i="102"/>
  <c r="AS590" i="102"/>
  <c r="AW590" i="102"/>
  <c r="AX590" i="102"/>
  <c r="AY590" i="102"/>
  <c r="AZ590" i="102"/>
  <c r="BA590" i="102"/>
  <c r="BB590" i="102"/>
  <c r="AJ591" i="102"/>
  <c r="AT591" i="102"/>
  <c r="AS591" i="102"/>
  <c r="AW591" i="102"/>
  <c r="AX591" i="102"/>
  <c r="AY591" i="102"/>
  <c r="AZ591" i="102"/>
  <c r="BA591" i="102"/>
  <c r="BB591" i="102"/>
  <c r="AJ592" i="102"/>
  <c r="AT592" i="102"/>
  <c r="AS592" i="102"/>
  <c r="AW592" i="102"/>
  <c r="AX592" i="102"/>
  <c r="AY592" i="102"/>
  <c r="AZ592" i="102"/>
  <c r="BA592" i="102"/>
  <c r="BB592" i="102"/>
  <c r="AJ593" i="102"/>
  <c r="AT593" i="102"/>
  <c r="AS593" i="102"/>
  <c r="AW593" i="102"/>
  <c r="AX593" i="102"/>
  <c r="AY593" i="102"/>
  <c r="AZ593" i="102"/>
  <c r="BA593" i="102"/>
  <c r="BB593" i="102"/>
  <c r="AJ594" i="102"/>
  <c r="AT594" i="102"/>
  <c r="AS594" i="102"/>
  <c r="AW594" i="102"/>
  <c r="AX594" i="102"/>
  <c r="AY594" i="102"/>
  <c r="AZ594" i="102"/>
  <c r="BA594" i="102"/>
  <c r="BB594" i="102"/>
  <c r="AJ595" i="102"/>
  <c r="AT595" i="102"/>
  <c r="AS595" i="102"/>
  <c r="AW595" i="102"/>
  <c r="AX595" i="102"/>
  <c r="AY595" i="102"/>
  <c r="AZ595" i="102"/>
  <c r="BA595" i="102"/>
  <c r="BB595" i="102"/>
  <c r="AJ596" i="102"/>
  <c r="AT596" i="102"/>
  <c r="AS596" i="102"/>
  <c r="AW596" i="102"/>
  <c r="AX596" i="102"/>
  <c r="AY596" i="102"/>
  <c r="AZ596" i="102"/>
  <c r="BA596" i="102"/>
  <c r="BB596" i="102"/>
  <c r="AJ597" i="102"/>
  <c r="AT597" i="102"/>
  <c r="AS597" i="102"/>
  <c r="AW597" i="102"/>
  <c r="AX597" i="102"/>
  <c r="AY597" i="102"/>
  <c r="AZ597" i="102"/>
  <c r="BA597" i="102"/>
  <c r="BB597" i="102"/>
  <c r="AJ598" i="102"/>
  <c r="AT598" i="102"/>
  <c r="AS598" i="102"/>
  <c r="AW598" i="102"/>
  <c r="AX598" i="102"/>
  <c r="AY598" i="102"/>
  <c r="AZ598" i="102"/>
  <c r="BA598" i="102"/>
  <c r="BB598" i="102"/>
  <c r="AJ599" i="102"/>
  <c r="AT599" i="102"/>
  <c r="AS599" i="102"/>
  <c r="AW599" i="102"/>
  <c r="AX599" i="102"/>
  <c r="AY599" i="102"/>
  <c r="AZ599" i="102"/>
  <c r="BA599" i="102"/>
  <c r="BB599" i="102"/>
  <c r="AJ600" i="102"/>
  <c r="AT600" i="102"/>
  <c r="AS600" i="102"/>
  <c r="AW600" i="102"/>
  <c r="AX600" i="102"/>
  <c r="AY600" i="102"/>
  <c r="AZ600" i="102"/>
  <c r="BA600" i="102"/>
  <c r="BB600" i="102"/>
  <c r="AJ601" i="102"/>
  <c r="AT601" i="102"/>
  <c r="AS601" i="102"/>
  <c r="AW601" i="102"/>
  <c r="AX601" i="102"/>
  <c r="AY601" i="102"/>
  <c r="AZ601" i="102"/>
  <c r="BA601" i="102"/>
  <c r="BB601" i="102"/>
  <c r="AJ602" i="102"/>
  <c r="AT602" i="102"/>
  <c r="AS602" i="102"/>
  <c r="AW602" i="102"/>
  <c r="AX602" i="102"/>
  <c r="AY602" i="102"/>
  <c r="AZ602" i="102"/>
  <c r="BA602" i="102"/>
  <c r="BB602" i="102"/>
  <c r="AJ603" i="102"/>
  <c r="AT603" i="102"/>
  <c r="AS603" i="102"/>
  <c r="AW603" i="102"/>
  <c r="AX603" i="102"/>
  <c r="AY603" i="102"/>
  <c r="AZ603" i="102"/>
  <c r="BA603" i="102"/>
  <c r="BB603" i="102"/>
  <c r="AJ604" i="102"/>
  <c r="AT604" i="102"/>
  <c r="AS604" i="102"/>
  <c r="AW604" i="102"/>
  <c r="AX604" i="102"/>
  <c r="AY604" i="102"/>
  <c r="AZ604" i="102"/>
  <c r="BA604" i="102"/>
  <c r="BB604" i="102"/>
  <c r="AJ605" i="102"/>
  <c r="AT605" i="102"/>
  <c r="AS605" i="102"/>
  <c r="AW605" i="102"/>
  <c r="AX605" i="102"/>
  <c r="AY605" i="102"/>
  <c r="AZ605" i="102"/>
  <c r="BA605" i="102"/>
  <c r="BB605" i="102"/>
  <c r="AJ606" i="102"/>
  <c r="AT606" i="102"/>
  <c r="AS606" i="102"/>
  <c r="AW606" i="102"/>
  <c r="AX606" i="102"/>
  <c r="AY606" i="102"/>
  <c r="AZ606" i="102"/>
  <c r="BA606" i="102"/>
  <c r="BB606" i="102"/>
  <c r="AJ607" i="102"/>
  <c r="AT607" i="102"/>
  <c r="AS607" i="102"/>
  <c r="AW607" i="102"/>
  <c r="AX607" i="102"/>
  <c r="AY607" i="102"/>
  <c r="AZ607" i="102"/>
  <c r="BA607" i="102"/>
  <c r="BB607" i="102"/>
  <c r="AJ608" i="102"/>
  <c r="AT608" i="102"/>
  <c r="AS608" i="102"/>
  <c r="AW608" i="102"/>
  <c r="AX608" i="102"/>
  <c r="AY608" i="102"/>
  <c r="AZ608" i="102"/>
  <c r="BA608" i="102"/>
  <c r="BB608" i="102"/>
  <c r="AJ609" i="102"/>
  <c r="AT609" i="102"/>
  <c r="AS609" i="102"/>
  <c r="AW609" i="102"/>
  <c r="AX609" i="102"/>
  <c r="AY609" i="102"/>
  <c r="AZ609" i="102"/>
  <c r="BA609" i="102"/>
  <c r="BB609" i="102"/>
  <c r="AJ610" i="102"/>
  <c r="AT610" i="102"/>
  <c r="AS610" i="102"/>
  <c r="AW610" i="102"/>
  <c r="AX610" i="102"/>
  <c r="AY610" i="102"/>
  <c r="AZ610" i="102"/>
  <c r="BA610" i="102"/>
  <c r="BB610" i="102"/>
  <c r="AJ611" i="102"/>
  <c r="AT611" i="102"/>
  <c r="AS611" i="102"/>
  <c r="AW611" i="102"/>
  <c r="AX611" i="102"/>
  <c r="AY611" i="102"/>
  <c r="AZ611" i="102"/>
  <c r="BA611" i="102"/>
  <c r="BB611" i="102"/>
  <c r="AJ612" i="102"/>
  <c r="AT612" i="102"/>
  <c r="AS612" i="102"/>
  <c r="AW612" i="102"/>
  <c r="AX612" i="102"/>
  <c r="AY612" i="102"/>
  <c r="AZ612" i="102"/>
  <c r="BA612" i="102"/>
  <c r="BB612" i="102"/>
  <c r="AJ613" i="102"/>
  <c r="AT613" i="102"/>
  <c r="AW613" i="102"/>
  <c r="AX613" i="102"/>
  <c r="AY613" i="102"/>
  <c r="AZ613" i="102"/>
  <c r="BA613" i="102"/>
  <c r="BB613" i="102"/>
  <c r="AJ614" i="102"/>
  <c r="AT614" i="102"/>
  <c r="AS614" i="102"/>
  <c r="AW614" i="102"/>
  <c r="AX614" i="102"/>
  <c r="AY614" i="102"/>
  <c r="AZ614" i="102"/>
  <c r="BA614" i="102"/>
  <c r="BB614" i="102"/>
  <c r="AJ615" i="102"/>
  <c r="AT615" i="102"/>
  <c r="AS615" i="102"/>
  <c r="AW615" i="102"/>
  <c r="AX615" i="102"/>
  <c r="AY615" i="102"/>
  <c r="AZ615" i="102"/>
  <c r="BA615" i="102"/>
  <c r="BB615" i="102"/>
  <c r="AJ616" i="102"/>
  <c r="AT616" i="102"/>
  <c r="AS616" i="102"/>
  <c r="AW616" i="102"/>
  <c r="AX616" i="102"/>
  <c r="AY616" i="102"/>
  <c r="AZ616" i="102"/>
  <c r="BA616" i="102"/>
  <c r="BB616" i="102"/>
  <c r="AJ617" i="102"/>
  <c r="AT617" i="102"/>
  <c r="AS617" i="102"/>
  <c r="AW617" i="102"/>
  <c r="AX617" i="102"/>
  <c r="AY617" i="102"/>
  <c r="AZ617" i="102"/>
  <c r="BA617" i="102"/>
  <c r="BB617" i="102"/>
  <c r="AJ618" i="102"/>
  <c r="AT618" i="102"/>
  <c r="AS618" i="102"/>
  <c r="AW618" i="102"/>
  <c r="AX618" i="102"/>
  <c r="AY618" i="102"/>
  <c r="AZ618" i="102"/>
  <c r="BA618" i="102"/>
  <c r="BB618" i="102"/>
  <c r="AJ619" i="102"/>
  <c r="AT619" i="102"/>
  <c r="AS619" i="102"/>
  <c r="AW619" i="102"/>
  <c r="AX619" i="102"/>
  <c r="AY619" i="102"/>
  <c r="AZ619" i="102"/>
  <c r="BA619" i="102"/>
  <c r="BB619" i="102"/>
  <c r="AJ620" i="102"/>
  <c r="AT620" i="102"/>
  <c r="AS620" i="102"/>
  <c r="AW620" i="102"/>
  <c r="AX620" i="102"/>
  <c r="AY620" i="102"/>
  <c r="AZ620" i="102"/>
  <c r="BA620" i="102"/>
  <c r="BB620" i="102"/>
  <c r="AJ621" i="102"/>
  <c r="AT621" i="102"/>
  <c r="AS621" i="102"/>
  <c r="AW621" i="102"/>
  <c r="AX621" i="102"/>
  <c r="AY621" i="102"/>
  <c r="AZ621" i="102"/>
  <c r="BA621" i="102"/>
  <c r="BB621" i="102"/>
  <c r="AJ622" i="102"/>
  <c r="AT622" i="102"/>
  <c r="AS622" i="102"/>
  <c r="AW622" i="102"/>
  <c r="AX622" i="102"/>
  <c r="AY622" i="102"/>
  <c r="AZ622" i="102"/>
  <c r="BA622" i="102"/>
  <c r="BB622" i="102"/>
  <c r="AJ623" i="102"/>
  <c r="AT623" i="102"/>
  <c r="AS623" i="102"/>
  <c r="AW623" i="102"/>
  <c r="AX623" i="102"/>
  <c r="AY623" i="102"/>
  <c r="AZ623" i="102"/>
  <c r="BA623" i="102"/>
  <c r="BB623" i="102"/>
  <c r="AJ624" i="102"/>
  <c r="AT624" i="102"/>
  <c r="AS624" i="102"/>
  <c r="AW624" i="102"/>
  <c r="AX624" i="102"/>
  <c r="AY624" i="102"/>
  <c r="AZ624" i="102"/>
  <c r="BA624" i="102"/>
  <c r="BB624" i="102"/>
  <c r="AJ625" i="102"/>
  <c r="AT625" i="102"/>
  <c r="AS625" i="102"/>
  <c r="AW625" i="102"/>
  <c r="AX625" i="102"/>
  <c r="AY625" i="102"/>
  <c r="AZ625" i="102"/>
  <c r="BA625" i="102"/>
  <c r="BB625" i="102"/>
  <c r="AJ626" i="102"/>
  <c r="AT626" i="102"/>
  <c r="AS626" i="102"/>
  <c r="AW626" i="102"/>
  <c r="AX626" i="102"/>
  <c r="AY626" i="102"/>
  <c r="AZ626" i="102"/>
  <c r="BA626" i="102"/>
  <c r="BB626" i="102"/>
  <c r="AJ627" i="102"/>
  <c r="AT627" i="102"/>
  <c r="AS627" i="102"/>
  <c r="AW627" i="102"/>
  <c r="AX627" i="102"/>
  <c r="AY627" i="102"/>
  <c r="AZ627" i="102"/>
  <c r="BA627" i="102"/>
  <c r="BB627" i="102"/>
  <c r="AJ628" i="102"/>
  <c r="AT628" i="102"/>
  <c r="AS628" i="102"/>
  <c r="AW628" i="102"/>
  <c r="AX628" i="102"/>
  <c r="AY628" i="102"/>
  <c r="AZ628" i="102"/>
  <c r="BA628" i="102"/>
  <c r="BB628" i="102"/>
  <c r="AJ629" i="102"/>
  <c r="AT629" i="102"/>
  <c r="AS629" i="102"/>
  <c r="AW629" i="102"/>
  <c r="AX629" i="102"/>
  <c r="AY629" i="102"/>
  <c r="AZ629" i="102"/>
  <c r="BA629" i="102"/>
  <c r="BB629" i="102"/>
  <c r="AJ630" i="102"/>
  <c r="AT630" i="102"/>
  <c r="AS630" i="102"/>
  <c r="AW630" i="102"/>
  <c r="AX630" i="102"/>
  <c r="AY630" i="102"/>
  <c r="AZ630" i="102"/>
  <c r="BA630" i="102"/>
  <c r="BB630" i="102"/>
  <c r="AJ631" i="102"/>
  <c r="AT631" i="102"/>
  <c r="AS631" i="102"/>
  <c r="AW631" i="102"/>
  <c r="AX631" i="102"/>
  <c r="AY631" i="102"/>
  <c r="AZ631" i="102"/>
  <c r="BA631" i="102"/>
  <c r="BB631" i="102"/>
  <c r="AJ632" i="102"/>
  <c r="AT632" i="102"/>
  <c r="AS632" i="102"/>
  <c r="AW632" i="102"/>
  <c r="AX632" i="102"/>
  <c r="AY632" i="102"/>
  <c r="AZ632" i="102"/>
  <c r="BA632" i="102"/>
  <c r="BB632" i="102"/>
  <c r="AJ633" i="102"/>
  <c r="AT633" i="102"/>
  <c r="AS633" i="102"/>
  <c r="AW633" i="102"/>
  <c r="AX633" i="102"/>
  <c r="AY633" i="102"/>
  <c r="AZ633" i="102"/>
  <c r="BA633" i="102"/>
  <c r="BB633" i="102"/>
  <c r="AJ634" i="102"/>
  <c r="AT634" i="102"/>
  <c r="AS634" i="102"/>
  <c r="AW634" i="102"/>
  <c r="AX634" i="102"/>
  <c r="AY634" i="102"/>
  <c r="AZ634" i="102"/>
  <c r="BA634" i="102"/>
  <c r="BB634" i="102"/>
  <c r="AJ635" i="102"/>
  <c r="AT635" i="102"/>
  <c r="AS635" i="102"/>
  <c r="AW635" i="102"/>
  <c r="AX635" i="102"/>
  <c r="AY635" i="102"/>
  <c r="AZ635" i="102"/>
  <c r="BA635" i="102"/>
  <c r="BB635" i="102"/>
  <c r="AJ636" i="102"/>
  <c r="AT636" i="102"/>
  <c r="AS636" i="102"/>
  <c r="AW636" i="102"/>
  <c r="AX636" i="102"/>
  <c r="AY636" i="102"/>
  <c r="AZ636" i="102"/>
  <c r="BA636" i="102"/>
  <c r="BB636" i="102"/>
  <c r="AJ637" i="102"/>
  <c r="AT637" i="102"/>
  <c r="AS637" i="102"/>
  <c r="AW637" i="102"/>
  <c r="AX637" i="102"/>
  <c r="AY637" i="102"/>
  <c r="AZ637" i="102"/>
  <c r="BA637" i="102"/>
  <c r="BB637" i="102"/>
  <c r="AJ638" i="102"/>
  <c r="AT638" i="102"/>
  <c r="AS638" i="102"/>
  <c r="AW638" i="102"/>
  <c r="AX638" i="102"/>
  <c r="AY638" i="102"/>
  <c r="AZ638" i="102"/>
  <c r="BA638" i="102"/>
  <c r="BB638" i="102"/>
  <c r="AJ639" i="102"/>
  <c r="AT639" i="102"/>
  <c r="AW639" i="102"/>
  <c r="AX639" i="102"/>
  <c r="AY639" i="102"/>
  <c r="AZ639" i="102"/>
  <c r="BA639" i="102"/>
  <c r="BB639" i="102"/>
  <c r="AJ640" i="102"/>
  <c r="AT640" i="102"/>
  <c r="AS640" i="102"/>
  <c r="AW640" i="102"/>
  <c r="AX640" i="102"/>
  <c r="AY640" i="102"/>
  <c r="AZ640" i="102"/>
  <c r="BA640" i="102"/>
  <c r="BB640" i="102"/>
  <c r="AJ641" i="102"/>
  <c r="AT641" i="102"/>
  <c r="AS641" i="102"/>
  <c r="AW641" i="102"/>
  <c r="AX641" i="102"/>
  <c r="AY641" i="102"/>
  <c r="AZ641" i="102"/>
  <c r="BA641" i="102"/>
  <c r="BB641" i="102"/>
  <c r="AJ642" i="102"/>
  <c r="AT642" i="102"/>
  <c r="AS642" i="102"/>
  <c r="AW642" i="102"/>
  <c r="AX642" i="102"/>
  <c r="AY642" i="102"/>
  <c r="AZ642" i="102"/>
  <c r="BA642" i="102"/>
  <c r="BB642" i="102"/>
  <c r="AJ643" i="102"/>
  <c r="AT643" i="102"/>
  <c r="AS643" i="102"/>
  <c r="AW643" i="102"/>
  <c r="AX643" i="102"/>
  <c r="AY643" i="102"/>
  <c r="AZ643" i="102"/>
  <c r="BA643" i="102"/>
  <c r="BB643" i="102"/>
  <c r="AJ644" i="102"/>
  <c r="AT644" i="102"/>
  <c r="AS644" i="102"/>
  <c r="AW644" i="102"/>
  <c r="AX644" i="102"/>
  <c r="AY644" i="102"/>
  <c r="AZ644" i="102"/>
  <c r="BA644" i="102"/>
  <c r="BB644" i="102"/>
  <c r="AJ645" i="102"/>
  <c r="AT645" i="102"/>
  <c r="AS645" i="102"/>
  <c r="AW645" i="102"/>
  <c r="AX645" i="102"/>
  <c r="AY645" i="102"/>
  <c r="AZ645" i="102"/>
  <c r="BA645" i="102"/>
  <c r="BB645" i="102"/>
  <c r="AJ646" i="102"/>
  <c r="AT646" i="102"/>
  <c r="AS646" i="102"/>
  <c r="AW646" i="102"/>
  <c r="AX646" i="102"/>
  <c r="AY646" i="102"/>
  <c r="AZ646" i="102"/>
  <c r="BA646" i="102"/>
  <c r="BB646" i="102"/>
  <c r="AJ647" i="102"/>
  <c r="AT647" i="102"/>
  <c r="AS647" i="102"/>
  <c r="AW647" i="102"/>
  <c r="AX647" i="102"/>
  <c r="AY647" i="102"/>
  <c r="AZ647" i="102"/>
  <c r="BA647" i="102"/>
  <c r="BB647" i="102"/>
  <c r="AJ648" i="102"/>
  <c r="AT648" i="102"/>
  <c r="AS648" i="102"/>
  <c r="AW648" i="102"/>
  <c r="AX648" i="102"/>
  <c r="AY648" i="102"/>
  <c r="AZ648" i="102"/>
  <c r="BA648" i="102"/>
  <c r="BB648" i="102"/>
  <c r="AJ649" i="102"/>
  <c r="AT649" i="102"/>
  <c r="AS649" i="102"/>
  <c r="AW649" i="102"/>
  <c r="AX649" i="102"/>
  <c r="AY649" i="102"/>
  <c r="AZ649" i="102"/>
  <c r="BA649" i="102"/>
  <c r="BB649" i="102"/>
  <c r="AJ650" i="102"/>
  <c r="AT650" i="102"/>
  <c r="AS650" i="102"/>
  <c r="AW650" i="102"/>
  <c r="AX650" i="102"/>
  <c r="AY650" i="102"/>
  <c r="AZ650" i="102"/>
  <c r="BA650" i="102"/>
  <c r="BB650" i="102"/>
  <c r="AJ651" i="102"/>
  <c r="AT651" i="102"/>
  <c r="AS651" i="102"/>
  <c r="AW651" i="102"/>
  <c r="AX651" i="102"/>
  <c r="AY651" i="102"/>
  <c r="AZ651" i="102"/>
  <c r="BA651" i="102"/>
  <c r="BB651" i="102"/>
  <c r="AJ652" i="102"/>
  <c r="AT652" i="102"/>
  <c r="AS652" i="102"/>
  <c r="AW652" i="102"/>
  <c r="AX652" i="102"/>
  <c r="AY652" i="102"/>
  <c r="AZ652" i="102"/>
  <c r="BA652" i="102"/>
  <c r="BB652" i="102"/>
  <c r="AJ653" i="102"/>
  <c r="AT653" i="102"/>
  <c r="AS653" i="102"/>
  <c r="AW653" i="102"/>
  <c r="AX653" i="102"/>
  <c r="AY653" i="102"/>
  <c r="AZ653" i="102"/>
  <c r="BA653" i="102"/>
  <c r="BB653" i="102"/>
  <c r="AJ654" i="102"/>
  <c r="AT654" i="102"/>
  <c r="AS654" i="102"/>
  <c r="AW654" i="102"/>
  <c r="AX654" i="102"/>
  <c r="AY654" i="102"/>
  <c r="AZ654" i="102"/>
  <c r="BA654" i="102"/>
  <c r="BB654" i="102"/>
  <c r="AJ655" i="102"/>
  <c r="AT655" i="102"/>
  <c r="AS655" i="102"/>
  <c r="AW655" i="102"/>
  <c r="AX655" i="102"/>
  <c r="AY655" i="102"/>
  <c r="AZ655" i="102"/>
  <c r="BA655" i="102"/>
  <c r="BB655" i="102"/>
  <c r="AJ656" i="102"/>
  <c r="AT656" i="102"/>
  <c r="AS656" i="102"/>
  <c r="AW656" i="102"/>
  <c r="AX656" i="102"/>
  <c r="AY656" i="102"/>
  <c r="AZ656" i="102"/>
  <c r="BA656" i="102"/>
  <c r="BB656" i="102"/>
  <c r="AJ657" i="102"/>
  <c r="AT657" i="102"/>
  <c r="AS657" i="102"/>
  <c r="AW657" i="102"/>
  <c r="AX657" i="102"/>
  <c r="AY657" i="102"/>
  <c r="AZ657" i="102"/>
  <c r="BA657" i="102"/>
  <c r="BB657" i="102"/>
  <c r="AJ658" i="102"/>
  <c r="AT658" i="102"/>
  <c r="AS658" i="102"/>
  <c r="AW658" i="102"/>
  <c r="AX658" i="102"/>
  <c r="AY658" i="102"/>
  <c r="AZ658" i="102"/>
  <c r="BA658" i="102"/>
  <c r="BB658" i="102"/>
  <c r="AJ659" i="102"/>
  <c r="AT659" i="102"/>
  <c r="AS659" i="102"/>
  <c r="AW659" i="102"/>
  <c r="AX659" i="102"/>
  <c r="AY659" i="102"/>
  <c r="AZ659" i="102"/>
  <c r="BA659" i="102"/>
  <c r="BB659" i="102"/>
  <c r="AJ660" i="102"/>
  <c r="AT660" i="102"/>
  <c r="AS660" i="102"/>
  <c r="AW660" i="102"/>
  <c r="AX660" i="102"/>
  <c r="AY660" i="102"/>
  <c r="AZ660" i="102"/>
  <c r="BA660" i="102"/>
  <c r="BB660" i="102"/>
  <c r="AJ661" i="102"/>
  <c r="AT661" i="102"/>
  <c r="AS661" i="102"/>
  <c r="AW661" i="102"/>
  <c r="AX661" i="102"/>
  <c r="AY661" i="102"/>
  <c r="AZ661" i="102"/>
  <c r="BA661" i="102"/>
  <c r="BB661" i="102"/>
  <c r="AJ662" i="102"/>
  <c r="AT662" i="102"/>
  <c r="AS662" i="102"/>
  <c r="AW662" i="102"/>
  <c r="AX662" i="102"/>
  <c r="AY662" i="102"/>
  <c r="AZ662" i="102"/>
  <c r="BA662" i="102"/>
  <c r="BB662" i="102"/>
  <c r="AJ663" i="102"/>
  <c r="AT663" i="102"/>
  <c r="AW663" i="102"/>
  <c r="AX663" i="102"/>
  <c r="AY663" i="102"/>
  <c r="AZ663" i="102"/>
  <c r="BA663" i="102"/>
  <c r="BB663" i="102"/>
  <c r="AJ664" i="102"/>
  <c r="AT664" i="102"/>
  <c r="AS664" i="102"/>
  <c r="AW664" i="102"/>
  <c r="AX664" i="102"/>
  <c r="AY664" i="102"/>
  <c r="AZ664" i="102"/>
  <c r="BA664" i="102"/>
  <c r="BB664" i="102"/>
  <c r="AJ665" i="102"/>
  <c r="AT665" i="102"/>
  <c r="AW665" i="102"/>
  <c r="AX665" i="102"/>
  <c r="AY665" i="102"/>
  <c r="AZ665" i="102"/>
  <c r="BA665" i="102"/>
  <c r="BB665" i="102"/>
  <c r="AJ666" i="102"/>
  <c r="AT666" i="102"/>
  <c r="AS666" i="102"/>
  <c r="AW666" i="102"/>
  <c r="AX666" i="102"/>
  <c r="AY666" i="102"/>
  <c r="AZ666" i="102"/>
  <c r="BA666" i="102"/>
  <c r="BB666" i="102"/>
  <c r="AJ667" i="102"/>
  <c r="AT667" i="102"/>
  <c r="AS667" i="102"/>
  <c r="AW667" i="102"/>
  <c r="AX667" i="102"/>
  <c r="AY667" i="102"/>
  <c r="AZ667" i="102"/>
  <c r="BA667" i="102"/>
  <c r="BB667" i="102"/>
  <c r="AJ668" i="102"/>
  <c r="AT668" i="102"/>
  <c r="AS668" i="102"/>
  <c r="AW668" i="102"/>
  <c r="AX668" i="102"/>
  <c r="AY668" i="102"/>
  <c r="AZ668" i="102"/>
  <c r="BA668" i="102"/>
  <c r="BB668" i="102"/>
  <c r="AJ669" i="102"/>
  <c r="AT669" i="102"/>
  <c r="AS669" i="102"/>
  <c r="AW669" i="102"/>
  <c r="AX669" i="102"/>
  <c r="AY669" i="102"/>
  <c r="AZ669" i="102"/>
  <c r="BA669" i="102"/>
  <c r="BB669" i="102"/>
  <c r="AJ670" i="102"/>
  <c r="AT670" i="102"/>
  <c r="AS670" i="102"/>
  <c r="AW670" i="102"/>
  <c r="AX670" i="102"/>
  <c r="AY670" i="102"/>
  <c r="AZ670" i="102"/>
  <c r="BA670" i="102"/>
  <c r="BB670" i="102"/>
  <c r="AJ671" i="102"/>
  <c r="AT671" i="102"/>
  <c r="AS671" i="102"/>
  <c r="AW671" i="102"/>
  <c r="AX671" i="102"/>
  <c r="AY671" i="102"/>
  <c r="AZ671" i="102"/>
  <c r="BA671" i="102"/>
  <c r="BB671" i="102"/>
  <c r="AJ672" i="102"/>
  <c r="AT672" i="102"/>
  <c r="AS672" i="102"/>
  <c r="AW672" i="102"/>
  <c r="AX672" i="102"/>
  <c r="AY672" i="102"/>
  <c r="AZ672" i="102"/>
  <c r="BA672" i="102"/>
  <c r="BB672" i="102"/>
  <c r="AJ673" i="102"/>
  <c r="AT673" i="102"/>
  <c r="AS673" i="102"/>
  <c r="AW673" i="102"/>
  <c r="AX673" i="102"/>
  <c r="AY673" i="102"/>
  <c r="AZ673" i="102"/>
  <c r="BA673" i="102"/>
  <c r="BB673" i="102"/>
  <c r="AJ674" i="102"/>
  <c r="AT674" i="102"/>
  <c r="AS674" i="102"/>
  <c r="AW674" i="102"/>
  <c r="AX674" i="102"/>
  <c r="AY674" i="102"/>
  <c r="AZ674" i="102"/>
  <c r="BA674" i="102"/>
  <c r="BB674" i="102"/>
  <c r="AJ675" i="102"/>
  <c r="AT675" i="102"/>
  <c r="AS675" i="102"/>
  <c r="AW675" i="102"/>
  <c r="AX675" i="102"/>
  <c r="AY675" i="102"/>
  <c r="AZ675" i="102"/>
  <c r="BA675" i="102"/>
  <c r="BB675" i="102"/>
  <c r="AJ676" i="102"/>
  <c r="AT676" i="102"/>
  <c r="AS676" i="102"/>
  <c r="AW676" i="102"/>
  <c r="AX676" i="102"/>
  <c r="AY676" i="102"/>
  <c r="AZ676" i="102"/>
  <c r="BA676" i="102"/>
  <c r="BB676" i="102"/>
  <c r="AJ677" i="102"/>
  <c r="AT677" i="102"/>
  <c r="AS677" i="102"/>
  <c r="AW677" i="102"/>
  <c r="AX677" i="102"/>
  <c r="AY677" i="102"/>
  <c r="AZ677" i="102"/>
  <c r="BA677" i="102"/>
  <c r="BB677" i="102"/>
  <c r="AJ678" i="102"/>
  <c r="AT678" i="102"/>
  <c r="AS678" i="102"/>
  <c r="AW678" i="102"/>
  <c r="AX678" i="102"/>
  <c r="AY678" i="102"/>
  <c r="AZ678" i="102"/>
  <c r="BA678" i="102"/>
  <c r="BB678" i="102"/>
  <c r="AJ679" i="102"/>
  <c r="AT679" i="102"/>
  <c r="AS679" i="102"/>
  <c r="AW679" i="102"/>
  <c r="AX679" i="102"/>
  <c r="AY679" i="102"/>
  <c r="AZ679" i="102"/>
  <c r="BA679" i="102"/>
  <c r="BB679" i="102"/>
  <c r="AJ680" i="102"/>
  <c r="AT680" i="102"/>
  <c r="AS680" i="102"/>
  <c r="AW680" i="102"/>
  <c r="AX680" i="102"/>
  <c r="AY680" i="102"/>
  <c r="AZ680" i="102"/>
  <c r="BA680" i="102"/>
  <c r="BB680" i="102"/>
  <c r="AJ681" i="102"/>
  <c r="AT681" i="102"/>
  <c r="AS681" i="102"/>
  <c r="AW681" i="102"/>
  <c r="AX681" i="102"/>
  <c r="AY681" i="102"/>
  <c r="AZ681" i="102"/>
  <c r="BA681" i="102"/>
  <c r="BB681" i="102"/>
  <c r="AJ682" i="102"/>
  <c r="AT682" i="102"/>
  <c r="AS682" i="102"/>
  <c r="AW682" i="102"/>
  <c r="AX682" i="102"/>
  <c r="AY682" i="102"/>
  <c r="AZ682" i="102"/>
  <c r="BA682" i="102"/>
  <c r="BB682" i="102"/>
  <c r="AJ683" i="102"/>
  <c r="AT683" i="102"/>
  <c r="AS683" i="102"/>
  <c r="AW683" i="102"/>
  <c r="AX683" i="102"/>
  <c r="AY683" i="102"/>
  <c r="AZ683" i="102"/>
  <c r="BA683" i="102"/>
  <c r="BB683" i="102"/>
  <c r="AJ684" i="102"/>
  <c r="AT684" i="102"/>
  <c r="AS684" i="102"/>
  <c r="AW684" i="102"/>
  <c r="AX684" i="102"/>
  <c r="AY684" i="102"/>
  <c r="AZ684" i="102"/>
  <c r="BA684" i="102"/>
  <c r="BB684" i="102"/>
  <c r="AJ685" i="102"/>
  <c r="AT685" i="102"/>
  <c r="AS685" i="102"/>
  <c r="AW685" i="102"/>
  <c r="AX685" i="102"/>
  <c r="AY685" i="102"/>
  <c r="AZ685" i="102"/>
  <c r="BA685" i="102"/>
  <c r="BB685" i="102"/>
  <c r="AJ686" i="102"/>
  <c r="AT686" i="102"/>
  <c r="AS686" i="102"/>
  <c r="AW686" i="102"/>
  <c r="AX686" i="102"/>
  <c r="AY686" i="102"/>
  <c r="AZ686" i="102"/>
  <c r="BA686" i="102"/>
  <c r="BB686" i="102"/>
  <c r="AJ687" i="102"/>
  <c r="AT687" i="102"/>
  <c r="AS687" i="102"/>
  <c r="AW687" i="102"/>
  <c r="AX687" i="102"/>
  <c r="AY687" i="102"/>
  <c r="AZ687" i="102"/>
  <c r="BA687" i="102"/>
  <c r="BB687" i="102"/>
  <c r="AJ688" i="102"/>
  <c r="AT688" i="102"/>
  <c r="AS688" i="102"/>
  <c r="AW688" i="102"/>
  <c r="AX688" i="102"/>
  <c r="AY688" i="102"/>
  <c r="AZ688" i="102"/>
  <c r="BA688" i="102"/>
  <c r="BB688" i="102"/>
  <c r="AJ689" i="102"/>
  <c r="AT689" i="102"/>
  <c r="AS689" i="102"/>
  <c r="AW689" i="102"/>
  <c r="AX689" i="102"/>
  <c r="AY689" i="102"/>
  <c r="AZ689" i="102"/>
  <c r="BA689" i="102"/>
  <c r="BB689" i="102"/>
  <c r="AJ690" i="102"/>
  <c r="AT690" i="102"/>
  <c r="AS690" i="102"/>
  <c r="AW690" i="102"/>
  <c r="AX690" i="102"/>
  <c r="AY690" i="102"/>
  <c r="AZ690" i="102"/>
  <c r="BA690" i="102"/>
  <c r="BB690" i="102"/>
  <c r="AJ691" i="102"/>
  <c r="AT691" i="102"/>
  <c r="AS691" i="102"/>
  <c r="AW691" i="102"/>
  <c r="AX691" i="102"/>
  <c r="AY691" i="102"/>
  <c r="AZ691" i="102"/>
  <c r="BA691" i="102"/>
  <c r="BB691" i="102"/>
  <c r="AJ692" i="102"/>
  <c r="AT692" i="102"/>
  <c r="AS692" i="102"/>
  <c r="AW692" i="102"/>
  <c r="AX692" i="102"/>
  <c r="AY692" i="102"/>
  <c r="AZ692" i="102"/>
  <c r="BA692" i="102"/>
  <c r="BB692" i="102"/>
  <c r="AJ693" i="102"/>
  <c r="AT693" i="102"/>
  <c r="AS693" i="102"/>
  <c r="AW693" i="102"/>
  <c r="AX693" i="102"/>
  <c r="AY693" i="102"/>
  <c r="AZ693" i="102"/>
  <c r="BA693" i="102"/>
  <c r="BB693" i="102"/>
  <c r="AJ694" i="102"/>
  <c r="AT694" i="102"/>
  <c r="AS694" i="102"/>
  <c r="AW694" i="102"/>
  <c r="AX694" i="102"/>
  <c r="AY694" i="102"/>
  <c r="AZ694" i="102"/>
  <c r="BA694" i="102"/>
  <c r="BB694" i="102"/>
  <c r="AJ695" i="102"/>
  <c r="AT695" i="102"/>
  <c r="AS695" i="102"/>
  <c r="AW695" i="102"/>
  <c r="AX695" i="102"/>
  <c r="AY695" i="102"/>
  <c r="AZ695" i="102"/>
  <c r="BA695" i="102"/>
  <c r="BB695" i="102"/>
  <c r="AJ696" i="102"/>
  <c r="AT696" i="102"/>
  <c r="AS696" i="102"/>
  <c r="AW696" i="102"/>
  <c r="AX696" i="102"/>
  <c r="AY696" i="102"/>
  <c r="AZ696" i="102"/>
  <c r="BA696" i="102"/>
  <c r="BB696" i="102"/>
  <c r="AJ697" i="102"/>
  <c r="AT697" i="102"/>
  <c r="AW697" i="102"/>
  <c r="AX697" i="102"/>
  <c r="AY697" i="102"/>
  <c r="AZ697" i="102"/>
  <c r="BA697" i="102"/>
  <c r="BB697" i="102"/>
  <c r="AJ698" i="102"/>
  <c r="AT698" i="102"/>
  <c r="AS698" i="102"/>
  <c r="AW698" i="102"/>
  <c r="AX698" i="102"/>
  <c r="AY698" i="102"/>
  <c r="AZ698" i="102"/>
  <c r="BA698" i="102"/>
  <c r="BB698" i="102"/>
  <c r="AJ699" i="102"/>
  <c r="AT699" i="102"/>
  <c r="AS699" i="102"/>
  <c r="AW699" i="102"/>
  <c r="AX699" i="102"/>
  <c r="AY699" i="102"/>
  <c r="AZ699" i="102"/>
  <c r="BA699" i="102"/>
  <c r="BB699" i="102"/>
  <c r="AJ700" i="102"/>
  <c r="AT700" i="102"/>
  <c r="AS700" i="102"/>
  <c r="AW700" i="102"/>
  <c r="AX700" i="102"/>
  <c r="AY700" i="102"/>
  <c r="AZ700" i="102"/>
  <c r="BA700" i="102"/>
  <c r="BB700" i="102"/>
  <c r="AJ701" i="102"/>
  <c r="AT701" i="102"/>
  <c r="AS701" i="102"/>
  <c r="AW701" i="102"/>
  <c r="AX701" i="102"/>
  <c r="AY701" i="102"/>
  <c r="AZ701" i="102"/>
  <c r="BA701" i="102"/>
  <c r="BB701" i="102"/>
  <c r="AJ702" i="102"/>
  <c r="AT702" i="102"/>
  <c r="AS702" i="102"/>
  <c r="AW702" i="102"/>
  <c r="AX702" i="102"/>
  <c r="AY702" i="102"/>
  <c r="AZ702" i="102"/>
  <c r="BA702" i="102"/>
  <c r="BB702" i="102"/>
  <c r="AJ703" i="102"/>
  <c r="AT703" i="102"/>
  <c r="AS703" i="102"/>
  <c r="AW703" i="102"/>
  <c r="AX703" i="102"/>
  <c r="AY703" i="102"/>
  <c r="AZ703" i="102"/>
  <c r="BA703" i="102"/>
  <c r="BB703" i="102"/>
  <c r="AJ704" i="102"/>
  <c r="AT704" i="102"/>
  <c r="AS704" i="102"/>
  <c r="AW704" i="102"/>
  <c r="AX704" i="102"/>
  <c r="AY704" i="102"/>
  <c r="AZ704" i="102"/>
  <c r="BA704" i="102"/>
  <c r="BB704" i="102"/>
  <c r="AJ705" i="102"/>
  <c r="AT705" i="102"/>
  <c r="AS705" i="102"/>
  <c r="AW705" i="102"/>
  <c r="AX705" i="102"/>
  <c r="AY705" i="102"/>
  <c r="AZ705" i="102"/>
  <c r="BA705" i="102"/>
  <c r="BB705" i="102"/>
  <c r="AJ706" i="102"/>
  <c r="AT706" i="102"/>
  <c r="AS706" i="102"/>
  <c r="AW706" i="102"/>
  <c r="AX706" i="102"/>
  <c r="AY706" i="102"/>
  <c r="AZ706" i="102"/>
  <c r="BA706" i="102"/>
  <c r="BB706" i="102"/>
  <c r="AJ707" i="102"/>
  <c r="AT707" i="102"/>
  <c r="AS707" i="102"/>
  <c r="AW707" i="102"/>
  <c r="AX707" i="102"/>
  <c r="AY707" i="102"/>
  <c r="AZ707" i="102"/>
  <c r="BA707" i="102"/>
  <c r="BB707" i="102"/>
  <c r="AJ708" i="102"/>
  <c r="AT708" i="102"/>
  <c r="AS708" i="102"/>
  <c r="AW708" i="102"/>
  <c r="AX708" i="102"/>
  <c r="AY708" i="102"/>
  <c r="AZ708" i="102"/>
  <c r="BA708" i="102"/>
  <c r="BB708" i="102"/>
  <c r="AJ709" i="102"/>
  <c r="AT709" i="102"/>
  <c r="AS709" i="102"/>
  <c r="AW709" i="102"/>
  <c r="AX709" i="102"/>
  <c r="AY709" i="102"/>
  <c r="AZ709" i="102"/>
  <c r="BA709" i="102"/>
  <c r="BB709" i="102"/>
  <c r="AJ710" i="102"/>
  <c r="AT710" i="102"/>
  <c r="AS710" i="102"/>
  <c r="AW710" i="102"/>
  <c r="AX710" i="102"/>
  <c r="AY710" i="102"/>
  <c r="AZ710" i="102"/>
  <c r="BA710" i="102"/>
  <c r="BB710" i="102"/>
  <c r="AJ711" i="102"/>
  <c r="AT711" i="102"/>
  <c r="AS711" i="102"/>
  <c r="AW711" i="102"/>
  <c r="AX711" i="102"/>
  <c r="AY711" i="102"/>
  <c r="AZ711" i="102"/>
  <c r="BA711" i="102"/>
  <c r="BB711" i="102"/>
  <c r="AJ712" i="102"/>
  <c r="AT712" i="102"/>
  <c r="AS712" i="102"/>
  <c r="AW712" i="102"/>
  <c r="AX712" i="102"/>
  <c r="AY712" i="102"/>
  <c r="AZ712" i="102"/>
  <c r="BA712" i="102"/>
  <c r="BB712" i="102"/>
  <c r="AJ713" i="102"/>
  <c r="AT713" i="102"/>
  <c r="AS713" i="102"/>
  <c r="AW713" i="102"/>
  <c r="AX713" i="102"/>
  <c r="AY713" i="102"/>
  <c r="AZ713" i="102"/>
  <c r="BA713" i="102"/>
  <c r="BB713" i="102"/>
  <c r="AJ714" i="102"/>
  <c r="AT714" i="102"/>
  <c r="AS714" i="102"/>
  <c r="AW714" i="102"/>
  <c r="AX714" i="102"/>
  <c r="AY714" i="102"/>
  <c r="AZ714" i="102"/>
  <c r="BA714" i="102"/>
  <c r="BB714" i="102"/>
  <c r="AJ715" i="102"/>
  <c r="AT715" i="102"/>
  <c r="AS715" i="102"/>
  <c r="AW715" i="102"/>
  <c r="AX715" i="102"/>
  <c r="AY715" i="102"/>
  <c r="AZ715" i="102"/>
  <c r="BA715" i="102"/>
  <c r="BB715" i="102"/>
  <c r="AJ716" i="102"/>
  <c r="AT716" i="102"/>
  <c r="AS716" i="102"/>
  <c r="AW716" i="102"/>
  <c r="AX716" i="102"/>
  <c r="AY716" i="102"/>
  <c r="AZ716" i="102"/>
  <c r="BA716" i="102"/>
  <c r="BB716" i="102"/>
  <c r="AJ717" i="102"/>
  <c r="AT717" i="102"/>
  <c r="AS717" i="102"/>
  <c r="AW717" i="102"/>
  <c r="AX717" i="102"/>
  <c r="AY717" i="102"/>
  <c r="AZ717" i="102"/>
  <c r="BA717" i="102"/>
  <c r="BB717" i="102"/>
  <c r="AJ718" i="102"/>
  <c r="AT718" i="102"/>
  <c r="AS718" i="102"/>
  <c r="AW718" i="102"/>
  <c r="AX718" i="102"/>
  <c r="AY718" i="102"/>
  <c r="AZ718" i="102"/>
  <c r="BA718" i="102"/>
  <c r="BB718" i="102"/>
  <c r="AJ719" i="102"/>
  <c r="AT719" i="102"/>
  <c r="AS719" i="102"/>
  <c r="AW719" i="102"/>
  <c r="AX719" i="102"/>
  <c r="AY719" i="102"/>
  <c r="AZ719" i="102"/>
  <c r="BA719" i="102"/>
  <c r="BB719" i="102"/>
  <c r="AJ720" i="102"/>
  <c r="AT720" i="102"/>
  <c r="AS720" i="102"/>
  <c r="AW720" i="102"/>
  <c r="AX720" i="102"/>
  <c r="AY720" i="102"/>
  <c r="AZ720" i="102"/>
  <c r="BA720" i="102"/>
  <c r="BB720" i="102"/>
  <c r="AJ721" i="102"/>
  <c r="AT721" i="102"/>
  <c r="AS721" i="102"/>
  <c r="AW721" i="102"/>
  <c r="AX721" i="102"/>
  <c r="AY721" i="102"/>
  <c r="AZ721" i="102"/>
  <c r="BA721" i="102"/>
  <c r="BB721" i="102"/>
  <c r="AJ722" i="102"/>
  <c r="AT722" i="102"/>
  <c r="AS722" i="102"/>
  <c r="AW722" i="102"/>
  <c r="AX722" i="102"/>
  <c r="AY722" i="102"/>
  <c r="AZ722" i="102"/>
  <c r="BA722" i="102"/>
  <c r="BB722" i="102"/>
  <c r="AJ723" i="102"/>
  <c r="AT723" i="102"/>
  <c r="AS723" i="102"/>
  <c r="AW723" i="102"/>
  <c r="AX723" i="102"/>
  <c r="AY723" i="102"/>
  <c r="AZ723" i="102"/>
  <c r="BA723" i="102"/>
  <c r="BB723" i="102"/>
  <c r="AJ724" i="102"/>
  <c r="AT724" i="102"/>
  <c r="AS724" i="102"/>
  <c r="AW724" i="102"/>
  <c r="AX724" i="102"/>
  <c r="AY724" i="102"/>
  <c r="AZ724" i="102"/>
  <c r="BA724" i="102"/>
  <c r="BB724" i="102"/>
  <c r="AJ725" i="102"/>
  <c r="AT725" i="102"/>
  <c r="AS725" i="102"/>
  <c r="AW725" i="102"/>
  <c r="AX725" i="102"/>
  <c r="AY725" i="102"/>
  <c r="AZ725" i="102"/>
  <c r="BA725" i="102"/>
  <c r="BB725" i="102"/>
  <c r="AJ726" i="102"/>
  <c r="AT726" i="102"/>
  <c r="AS726" i="102"/>
  <c r="AW726" i="102"/>
  <c r="AX726" i="102"/>
  <c r="AY726" i="102"/>
  <c r="AZ726" i="102"/>
  <c r="BA726" i="102"/>
  <c r="BB726" i="102"/>
  <c r="AJ727" i="102"/>
  <c r="AT727" i="102"/>
  <c r="AS727" i="102"/>
  <c r="AW727" i="102"/>
  <c r="AX727" i="102"/>
  <c r="AY727" i="102"/>
  <c r="AZ727" i="102"/>
  <c r="BA727" i="102"/>
  <c r="BB727" i="102"/>
  <c r="AJ728" i="102"/>
  <c r="AT728" i="102"/>
  <c r="AS728" i="102"/>
  <c r="AW728" i="102"/>
  <c r="AX728" i="102"/>
  <c r="AY728" i="102"/>
  <c r="AZ728" i="102"/>
  <c r="BA728" i="102"/>
  <c r="BB728" i="102"/>
  <c r="AJ729" i="102"/>
  <c r="AT729" i="102"/>
  <c r="AS729" i="102"/>
  <c r="AW729" i="102"/>
  <c r="AX729" i="102"/>
  <c r="AY729" i="102"/>
  <c r="AZ729" i="102"/>
  <c r="BA729" i="102"/>
  <c r="BB729" i="102"/>
  <c r="AJ730" i="102"/>
  <c r="AT730" i="102"/>
  <c r="AS730" i="102"/>
  <c r="AW730" i="102"/>
  <c r="AX730" i="102"/>
  <c r="AY730" i="102"/>
  <c r="AZ730" i="102"/>
  <c r="BA730" i="102"/>
  <c r="BB730" i="102"/>
  <c r="AJ731" i="102"/>
  <c r="AT731" i="102"/>
  <c r="AS731" i="102"/>
  <c r="AW731" i="102"/>
  <c r="AX731" i="102"/>
  <c r="AY731" i="102"/>
  <c r="AZ731" i="102"/>
  <c r="BA731" i="102"/>
  <c r="BB731" i="102"/>
  <c r="AJ732" i="102"/>
  <c r="AT732" i="102"/>
  <c r="AS732" i="102"/>
  <c r="AW732" i="102"/>
  <c r="AX732" i="102"/>
  <c r="AY732" i="102"/>
  <c r="AZ732" i="102"/>
  <c r="BA732" i="102"/>
  <c r="BB732" i="102"/>
  <c r="AJ733" i="102"/>
  <c r="AT733" i="102"/>
  <c r="AS733" i="102"/>
  <c r="AW733" i="102"/>
  <c r="AX733" i="102"/>
  <c r="AY733" i="102"/>
  <c r="AZ733" i="102"/>
  <c r="BA733" i="102"/>
  <c r="BB733" i="102"/>
  <c r="AJ734" i="102"/>
  <c r="AT734" i="102"/>
  <c r="AS734" i="102"/>
  <c r="AW734" i="102"/>
  <c r="AX734" i="102"/>
  <c r="AY734" i="102"/>
  <c r="AZ734" i="102"/>
  <c r="BA734" i="102"/>
  <c r="BB734" i="102"/>
  <c r="AJ735" i="102"/>
  <c r="AT735" i="102"/>
  <c r="AS735" i="102"/>
  <c r="AW735" i="102"/>
  <c r="AX735" i="102"/>
  <c r="AY735" i="102"/>
  <c r="AZ735" i="102"/>
  <c r="BA735" i="102"/>
  <c r="BB735" i="102"/>
  <c r="AJ736" i="102"/>
  <c r="AT736" i="102"/>
  <c r="AS736" i="102"/>
  <c r="AW736" i="102"/>
  <c r="AX736" i="102"/>
  <c r="AY736" i="102"/>
  <c r="AZ736" i="102"/>
  <c r="BA736" i="102"/>
  <c r="BB736" i="102"/>
  <c r="AJ737" i="102"/>
  <c r="AT737" i="102"/>
  <c r="AS737" i="102"/>
  <c r="AW737" i="102"/>
  <c r="AX737" i="102"/>
  <c r="AY737" i="102"/>
  <c r="AZ737" i="102"/>
  <c r="BA737" i="102"/>
  <c r="BB737" i="102"/>
  <c r="AJ738" i="102"/>
  <c r="AT738" i="102"/>
  <c r="AS738" i="102"/>
  <c r="AW738" i="102"/>
  <c r="AX738" i="102"/>
  <c r="AY738" i="102"/>
  <c r="AZ738" i="102"/>
  <c r="BA738" i="102"/>
  <c r="BB738" i="102"/>
  <c r="AJ739" i="102"/>
  <c r="AT739" i="102"/>
  <c r="AS739" i="102"/>
  <c r="AW739" i="102"/>
  <c r="AX739" i="102"/>
  <c r="AY739" i="102"/>
  <c r="AZ739" i="102"/>
  <c r="BA739" i="102"/>
  <c r="BB739" i="102"/>
  <c r="AJ740" i="102"/>
  <c r="AT740" i="102"/>
  <c r="AS740" i="102"/>
  <c r="AW740" i="102"/>
  <c r="AX740" i="102"/>
  <c r="AY740" i="102"/>
  <c r="AZ740" i="102"/>
  <c r="BA740" i="102"/>
  <c r="BB740" i="102"/>
  <c r="AJ741" i="102"/>
  <c r="AT741" i="102"/>
  <c r="AS741" i="102"/>
  <c r="AW741" i="102"/>
  <c r="AX741" i="102"/>
  <c r="AY741" i="102"/>
  <c r="AZ741" i="102"/>
  <c r="BA741" i="102"/>
  <c r="BB741" i="102"/>
  <c r="AJ742" i="102"/>
  <c r="AT742" i="102"/>
  <c r="AS742" i="102"/>
  <c r="AW742" i="102"/>
  <c r="AX742" i="102"/>
  <c r="AY742" i="102"/>
  <c r="AZ742" i="102"/>
  <c r="BA742" i="102"/>
  <c r="BB742" i="102"/>
  <c r="AJ743" i="102"/>
  <c r="AT743" i="102"/>
  <c r="AS743" i="102"/>
  <c r="AW743" i="102"/>
  <c r="AX743" i="102"/>
  <c r="AY743" i="102"/>
  <c r="AZ743" i="102"/>
  <c r="BA743" i="102"/>
  <c r="BB743" i="102"/>
  <c r="AJ744" i="102"/>
  <c r="AT744" i="102"/>
  <c r="AS744" i="102"/>
  <c r="AW744" i="102"/>
  <c r="AX744" i="102"/>
  <c r="AY744" i="102"/>
  <c r="AZ744" i="102"/>
  <c r="BA744" i="102"/>
  <c r="BB744" i="102"/>
  <c r="AJ745" i="102"/>
  <c r="AT745" i="102"/>
  <c r="AS745" i="102"/>
  <c r="AW745" i="102"/>
  <c r="AX745" i="102"/>
  <c r="AY745" i="102"/>
  <c r="AZ745" i="102"/>
  <c r="BA745" i="102"/>
  <c r="BB745" i="102"/>
  <c r="AJ746" i="102"/>
  <c r="AT746" i="102"/>
  <c r="AS746" i="102"/>
  <c r="AW746" i="102"/>
  <c r="AX746" i="102"/>
  <c r="AY746" i="102"/>
  <c r="AZ746" i="102"/>
  <c r="BA746" i="102"/>
  <c r="BB746" i="102"/>
  <c r="AJ747" i="102"/>
  <c r="AT747" i="102"/>
  <c r="AS747" i="102"/>
  <c r="AW747" i="102"/>
  <c r="AX747" i="102"/>
  <c r="AY747" i="102"/>
  <c r="AZ747" i="102"/>
  <c r="BA747" i="102"/>
  <c r="BB747" i="102"/>
  <c r="AJ748" i="102"/>
  <c r="AT748" i="102"/>
  <c r="AS748" i="102"/>
  <c r="AW748" i="102"/>
  <c r="AX748" i="102"/>
  <c r="AY748" i="102"/>
  <c r="AZ748" i="102"/>
  <c r="BA748" i="102"/>
  <c r="BB748" i="102"/>
  <c r="AJ749" i="102"/>
  <c r="AT749" i="102"/>
  <c r="AS749" i="102"/>
  <c r="AW749" i="102"/>
  <c r="AX749" i="102"/>
  <c r="AY749" i="102"/>
  <c r="AZ749" i="102"/>
  <c r="BA749" i="102"/>
  <c r="BB749" i="102"/>
  <c r="AJ750" i="102"/>
  <c r="AT750" i="102"/>
  <c r="AS750" i="102"/>
  <c r="AW750" i="102"/>
  <c r="AX750" i="102"/>
  <c r="AY750" i="102"/>
  <c r="AZ750" i="102"/>
  <c r="BA750" i="102"/>
  <c r="BB750" i="102"/>
  <c r="AJ751" i="102"/>
  <c r="AT751" i="102"/>
  <c r="AS751" i="102"/>
  <c r="AW751" i="102"/>
  <c r="AX751" i="102"/>
  <c r="AY751" i="102"/>
  <c r="AZ751" i="102"/>
  <c r="BA751" i="102"/>
  <c r="BB751" i="102"/>
  <c r="AJ752" i="102"/>
  <c r="AT752" i="102"/>
  <c r="AS752" i="102"/>
  <c r="AW752" i="102"/>
  <c r="AX752" i="102"/>
  <c r="AY752" i="102"/>
  <c r="AZ752" i="102"/>
  <c r="BA752" i="102"/>
  <c r="BB752" i="102"/>
  <c r="AJ753" i="102"/>
  <c r="AT753" i="102"/>
  <c r="AS753" i="102"/>
  <c r="AW753" i="102"/>
  <c r="AX753" i="102"/>
  <c r="AY753" i="102"/>
  <c r="AZ753" i="102"/>
  <c r="BA753" i="102"/>
  <c r="BB753" i="102"/>
  <c r="AJ754" i="102"/>
  <c r="AT754" i="102"/>
  <c r="AS754" i="102"/>
  <c r="AW754" i="102"/>
  <c r="AX754" i="102"/>
  <c r="AY754" i="102"/>
  <c r="AZ754" i="102"/>
  <c r="BA754" i="102"/>
  <c r="BB754" i="102"/>
  <c r="AJ755" i="102"/>
  <c r="AT755" i="102"/>
  <c r="AS755" i="102"/>
  <c r="AW755" i="102"/>
  <c r="AX755" i="102"/>
  <c r="AY755" i="102"/>
  <c r="AZ755" i="102"/>
  <c r="BA755" i="102"/>
  <c r="BB755" i="102"/>
  <c r="AJ756" i="102"/>
  <c r="AT756" i="102"/>
  <c r="AS756" i="102"/>
  <c r="AW756" i="102"/>
  <c r="AX756" i="102"/>
  <c r="AY756" i="102"/>
  <c r="AZ756" i="102"/>
  <c r="BA756" i="102"/>
  <c r="BB756" i="102"/>
  <c r="AJ757" i="102"/>
  <c r="AT757" i="102"/>
  <c r="AS757" i="102"/>
  <c r="AW757" i="102"/>
  <c r="AX757" i="102"/>
  <c r="AY757" i="102"/>
  <c r="AZ757" i="102"/>
  <c r="BA757" i="102"/>
  <c r="BB757" i="102"/>
  <c r="AJ758" i="102"/>
  <c r="AT758" i="102"/>
  <c r="AS758" i="102"/>
  <c r="AW758" i="102"/>
  <c r="AX758" i="102"/>
  <c r="AY758" i="102"/>
  <c r="AZ758" i="102"/>
  <c r="BA758" i="102"/>
  <c r="BB758" i="102"/>
  <c r="AJ759" i="102"/>
  <c r="AT759" i="102"/>
  <c r="AS759" i="102"/>
  <c r="AW759" i="102"/>
  <c r="AX759" i="102"/>
  <c r="AY759" i="102"/>
  <c r="AZ759" i="102"/>
  <c r="BA759" i="102"/>
  <c r="BB759" i="102"/>
  <c r="AJ760" i="102"/>
  <c r="AT760" i="102"/>
  <c r="AS760" i="102"/>
  <c r="AW760" i="102"/>
  <c r="AX760" i="102"/>
  <c r="AY760" i="102"/>
  <c r="AZ760" i="102"/>
  <c r="BA760" i="102"/>
  <c r="BB760" i="102"/>
  <c r="AJ761" i="102"/>
  <c r="AT761" i="102"/>
  <c r="AS761" i="102"/>
  <c r="AW761" i="102"/>
  <c r="AX761" i="102"/>
  <c r="AY761" i="102"/>
  <c r="AZ761" i="102"/>
  <c r="BA761" i="102"/>
  <c r="BB761" i="102"/>
  <c r="AJ762" i="102"/>
  <c r="AT762" i="102"/>
  <c r="AS762" i="102"/>
  <c r="AW762" i="102"/>
  <c r="AX762" i="102"/>
  <c r="AY762" i="102"/>
  <c r="AZ762" i="102"/>
  <c r="BA762" i="102"/>
  <c r="BB762" i="102"/>
  <c r="AJ763" i="102"/>
  <c r="AT763" i="102"/>
  <c r="AS763" i="102"/>
  <c r="AW763" i="102"/>
  <c r="AX763" i="102"/>
  <c r="AY763" i="102"/>
  <c r="AZ763" i="102"/>
  <c r="BA763" i="102"/>
  <c r="BB763" i="102"/>
  <c r="AJ764" i="102"/>
  <c r="AT764" i="102"/>
  <c r="AS764" i="102"/>
  <c r="AW764" i="102"/>
  <c r="AX764" i="102"/>
  <c r="AY764" i="102"/>
  <c r="AZ764" i="102"/>
  <c r="BA764" i="102"/>
  <c r="BB764" i="102"/>
  <c r="AJ765" i="102"/>
  <c r="AT765" i="102"/>
  <c r="AS765" i="102"/>
  <c r="AW765" i="102"/>
  <c r="AX765" i="102"/>
  <c r="AY765" i="102"/>
  <c r="AZ765" i="102"/>
  <c r="BA765" i="102"/>
  <c r="BB765" i="102"/>
  <c r="AJ766" i="102"/>
  <c r="AT766" i="102"/>
  <c r="AS766" i="102"/>
  <c r="AW766" i="102"/>
  <c r="AX766" i="102"/>
  <c r="AY766" i="102"/>
  <c r="AZ766" i="102"/>
  <c r="BA766" i="102"/>
  <c r="BB766" i="102"/>
  <c r="AJ767" i="102"/>
  <c r="AT767" i="102"/>
  <c r="AS767" i="102"/>
  <c r="AW767" i="102"/>
  <c r="AX767" i="102"/>
  <c r="AY767" i="102"/>
  <c r="AZ767" i="102"/>
  <c r="BA767" i="102"/>
  <c r="BB767" i="102"/>
  <c r="AJ768" i="102"/>
  <c r="AT768" i="102"/>
  <c r="AS768" i="102"/>
  <c r="AW768" i="102"/>
  <c r="AX768" i="102"/>
  <c r="AY768" i="102"/>
  <c r="AZ768" i="102"/>
  <c r="BA768" i="102"/>
  <c r="BB768" i="102"/>
  <c r="AJ769" i="102"/>
  <c r="AT769" i="102"/>
  <c r="AS769" i="102"/>
  <c r="AW769" i="102"/>
  <c r="AX769" i="102"/>
  <c r="AY769" i="102"/>
  <c r="AZ769" i="102"/>
  <c r="BA769" i="102"/>
  <c r="BB769" i="102"/>
  <c r="AJ770" i="102"/>
  <c r="AT770" i="102"/>
  <c r="AS770" i="102"/>
  <c r="AW770" i="102"/>
  <c r="AX770" i="102"/>
  <c r="AY770" i="102"/>
  <c r="AZ770" i="102"/>
  <c r="BA770" i="102"/>
  <c r="BB770" i="102"/>
  <c r="AJ771" i="102"/>
  <c r="AT771" i="102"/>
  <c r="AS771" i="102"/>
  <c r="AW771" i="102"/>
  <c r="AX771" i="102"/>
  <c r="AY771" i="102"/>
  <c r="AZ771" i="102"/>
  <c r="BA771" i="102"/>
  <c r="BB771" i="102"/>
  <c r="AJ772" i="102"/>
  <c r="AT772" i="102"/>
  <c r="AS772" i="102"/>
  <c r="AW772" i="102"/>
  <c r="AX772" i="102"/>
  <c r="AY772" i="102"/>
  <c r="AZ772" i="102"/>
  <c r="BA772" i="102"/>
  <c r="BB772" i="102"/>
  <c r="AJ773" i="102"/>
  <c r="AT773" i="102"/>
  <c r="AS773" i="102"/>
  <c r="AW773" i="102"/>
  <c r="AX773" i="102"/>
  <c r="AY773" i="102"/>
  <c r="AZ773" i="102"/>
  <c r="BA773" i="102"/>
  <c r="BB773" i="102"/>
  <c r="AJ774" i="102"/>
  <c r="AT774" i="102"/>
  <c r="AS774" i="102"/>
  <c r="AW774" i="102"/>
  <c r="AX774" i="102"/>
  <c r="AY774" i="102"/>
  <c r="AZ774" i="102"/>
  <c r="BA774" i="102"/>
  <c r="BB774" i="102"/>
  <c r="AJ775" i="102"/>
  <c r="AT775" i="102"/>
  <c r="AS775" i="102"/>
  <c r="AW775" i="102"/>
  <c r="AX775" i="102"/>
  <c r="AY775" i="102"/>
  <c r="AZ775" i="102"/>
  <c r="BA775" i="102"/>
  <c r="BB775" i="102"/>
  <c r="AJ776" i="102"/>
  <c r="AT776" i="102"/>
  <c r="AS776" i="102"/>
  <c r="AW776" i="102"/>
  <c r="AX776" i="102"/>
  <c r="AY776" i="102"/>
  <c r="AZ776" i="102"/>
  <c r="BA776" i="102"/>
  <c r="BB776" i="102"/>
  <c r="AJ777" i="102"/>
  <c r="AT777" i="102"/>
  <c r="AS777" i="102"/>
  <c r="AW777" i="102"/>
  <c r="AX777" i="102"/>
  <c r="AY777" i="102"/>
  <c r="AZ777" i="102"/>
  <c r="BA777" i="102"/>
  <c r="BB777" i="102"/>
  <c r="AJ778" i="102"/>
  <c r="AT778" i="102"/>
  <c r="AS778" i="102"/>
  <c r="AW778" i="102"/>
  <c r="AX778" i="102"/>
  <c r="AY778" i="102"/>
  <c r="AZ778" i="102"/>
  <c r="BA778" i="102"/>
  <c r="BB778" i="102"/>
  <c r="AJ779" i="102"/>
  <c r="AT779" i="102"/>
  <c r="AS779" i="102"/>
  <c r="AW779" i="102"/>
  <c r="AX779" i="102"/>
  <c r="AY779" i="102"/>
  <c r="AZ779" i="102"/>
  <c r="BA779" i="102"/>
  <c r="BB779" i="102"/>
  <c r="AJ780" i="102"/>
  <c r="AT780" i="102"/>
  <c r="AS780" i="102"/>
  <c r="AW780" i="102"/>
  <c r="AX780" i="102"/>
  <c r="AY780" i="102"/>
  <c r="AZ780" i="102"/>
  <c r="BA780" i="102"/>
  <c r="BB780" i="102"/>
  <c r="AJ781" i="102"/>
  <c r="AT781" i="102"/>
  <c r="AS781" i="102"/>
  <c r="AW781" i="102"/>
  <c r="AX781" i="102"/>
  <c r="AY781" i="102"/>
  <c r="AZ781" i="102"/>
  <c r="BA781" i="102"/>
  <c r="BB781" i="102"/>
  <c r="AJ782" i="102"/>
  <c r="AT782" i="102"/>
  <c r="AS782" i="102"/>
  <c r="AW782" i="102"/>
  <c r="AX782" i="102"/>
  <c r="AY782" i="102"/>
  <c r="AZ782" i="102"/>
  <c r="BA782" i="102"/>
  <c r="BB782" i="102"/>
  <c r="AJ783" i="102"/>
  <c r="AT783" i="102"/>
  <c r="AS783" i="102"/>
  <c r="AW783" i="102"/>
  <c r="AX783" i="102"/>
  <c r="AY783" i="102"/>
  <c r="AZ783" i="102"/>
  <c r="BA783" i="102"/>
  <c r="BB783" i="102"/>
  <c r="AJ784" i="102"/>
  <c r="AT784" i="102"/>
  <c r="AS784" i="102"/>
  <c r="AW784" i="102"/>
  <c r="AX784" i="102"/>
  <c r="AY784" i="102"/>
  <c r="AZ784" i="102"/>
  <c r="BA784" i="102"/>
  <c r="BB784" i="102"/>
  <c r="AJ785" i="102"/>
  <c r="AT785" i="102"/>
  <c r="AS785" i="102"/>
  <c r="AW785" i="102"/>
  <c r="AX785" i="102"/>
  <c r="AY785" i="102"/>
  <c r="AZ785" i="102"/>
  <c r="BA785" i="102"/>
  <c r="BB785" i="102"/>
  <c r="AJ786" i="102"/>
  <c r="AT786" i="102"/>
  <c r="AS786" i="102"/>
  <c r="AW786" i="102"/>
  <c r="AX786" i="102"/>
  <c r="AY786" i="102"/>
  <c r="AZ786" i="102"/>
  <c r="BA786" i="102"/>
  <c r="BB786" i="102"/>
  <c r="AJ787" i="102"/>
  <c r="AT787" i="102"/>
  <c r="AS787" i="102"/>
  <c r="AW787" i="102"/>
  <c r="AX787" i="102"/>
  <c r="AY787" i="102"/>
  <c r="AZ787" i="102"/>
  <c r="BA787" i="102"/>
  <c r="BB787" i="102"/>
  <c r="AJ788" i="102"/>
  <c r="AT788" i="102"/>
  <c r="AS788" i="102"/>
  <c r="AW788" i="102"/>
  <c r="AX788" i="102"/>
  <c r="AY788" i="102"/>
  <c r="AZ788" i="102"/>
  <c r="BA788" i="102"/>
  <c r="BB788" i="102"/>
  <c r="AJ789" i="102"/>
  <c r="AT789" i="102"/>
  <c r="AS789" i="102"/>
  <c r="AW789" i="102"/>
  <c r="AX789" i="102"/>
  <c r="AY789" i="102"/>
  <c r="AZ789" i="102"/>
  <c r="BA789" i="102"/>
  <c r="BB789" i="102"/>
  <c r="AJ790" i="102"/>
  <c r="AT790" i="102"/>
  <c r="AS790" i="102"/>
  <c r="AW790" i="102"/>
  <c r="AX790" i="102"/>
  <c r="AY790" i="102"/>
  <c r="AZ790" i="102"/>
  <c r="BA790" i="102"/>
  <c r="BB790" i="102"/>
  <c r="AJ791" i="102"/>
  <c r="AT791" i="102"/>
  <c r="AS791" i="102"/>
  <c r="AW791" i="102"/>
  <c r="AX791" i="102"/>
  <c r="AY791" i="102"/>
  <c r="AZ791" i="102"/>
  <c r="BA791" i="102"/>
  <c r="BB791" i="102"/>
  <c r="AJ792" i="102"/>
  <c r="AT792" i="102"/>
  <c r="AS792" i="102"/>
  <c r="AW792" i="102"/>
  <c r="AX792" i="102"/>
  <c r="AY792" i="102"/>
  <c r="AZ792" i="102"/>
  <c r="BA792" i="102"/>
  <c r="BB792" i="102"/>
  <c r="AJ793" i="102"/>
  <c r="AT793" i="102"/>
  <c r="AS793" i="102"/>
  <c r="AW793" i="102"/>
  <c r="AX793" i="102"/>
  <c r="AY793" i="102"/>
  <c r="AZ793" i="102"/>
  <c r="BA793" i="102"/>
  <c r="BB793" i="102"/>
  <c r="AJ794" i="102"/>
  <c r="AT794" i="102"/>
  <c r="AS794" i="102"/>
  <c r="AW794" i="102"/>
  <c r="AX794" i="102"/>
  <c r="AY794" i="102"/>
  <c r="AZ794" i="102"/>
  <c r="BA794" i="102"/>
  <c r="BB794" i="102"/>
  <c r="AJ795" i="102"/>
  <c r="AT795" i="102"/>
  <c r="AS795" i="102"/>
  <c r="AW795" i="102"/>
  <c r="AX795" i="102"/>
  <c r="AY795" i="102"/>
  <c r="AZ795" i="102"/>
  <c r="BA795" i="102"/>
  <c r="BB795" i="102"/>
  <c r="AJ796" i="102"/>
  <c r="AT796" i="102"/>
  <c r="AS796" i="102"/>
  <c r="AW796" i="102"/>
  <c r="AX796" i="102"/>
  <c r="AY796" i="102"/>
  <c r="AZ796" i="102"/>
  <c r="BA796" i="102"/>
  <c r="BB796" i="102"/>
  <c r="AJ797" i="102"/>
  <c r="AT797" i="102"/>
  <c r="AS797" i="102"/>
  <c r="AW797" i="102"/>
  <c r="AX797" i="102"/>
  <c r="AY797" i="102"/>
  <c r="AZ797" i="102"/>
  <c r="BA797" i="102"/>
  <c r="BB797" i="102"/>
  <c r="AJ798" i="102"/>
  <c r="AT798" i="102"/>
  <c r="AS798" i="102"/>
  <c r="AW798" i="102"/>
  <c r="AX798" i="102"/>
  <c r="AY798" i="102"/>
  <c r="AZ798" i="102"/>
  <c r="BA798" i="102"/>
  <c r="BB798" i="102"/>
  <c r="AJ799" i="102"/>
  <c r="AT799" i="102"/>
  <c r="AS799" i="102"/>
  <c r="AW799" i="102"/>
  <c r="AX799" i="102"/>
  <c r="AY799" i="102"/>
  <c r="AZ799" i="102"/>
  <c r="BA799" i="102"/>
  <c r="BB799" i="102"/>
  <c r="AJ800" i="102"/>
  <c r="AT800" i="102"/>
  <c r="AS800" i="102"/>
  <c r="AW800" i="102"/>
  <c r="AX800" i="102"/>
  <c r="AY800" i="102"/>
  <c r="AZ800" i="102"/>
  <c r="BA800" i="102"/>
  <c r="BB800" i="102"/>
  <c r="AJ801" i="102"/>
  <c r="AT801" i="102"/>
  <c r="AS801" i="102"/>
  <c r="AW801" i="102"/>
  <c r="AX801" i="102"/>
  <c r="AY801" i="102"/>
  <c r="AZ801" i="102"/>
  <c r="BA801" i="102"/>
  <c r="BB801" i="102"/>
  <c r="AJ802" i="102"/>
  <c r="AT802" i="102"/>
  <c r="AS802" i="102"/>
  <c r="AW802" i="102"/>
  <c r="AX802" i="102"/>
  <c r="AY802" i="102"/>
  <c r="AZ802" i="102"/>
  <c r="BA802" i="102"/>
  <c r="BB802" i="102"/>
  <c r="AJ803" i="102"/>
  <c r="AT803" i="102"/>
  <c r="AS803" i="102"/>
  <c r="AW803" i="102"/>
  <c r="AX803" i="102"/>
  <c r="AY803" i="102"/>
  <c r="AZ803" i="102"/>
  <c r="BA803" i="102"/>
  <c r="BB803" i="102"/>
  <c r="AJ804" i="102"/>
  <c r="AT804" i="102"/>
  <c r="AS804" i="102"/>
  <c r="AW804" i="102"/>
  <c r="AX804" i="102"/>
  <c r="AY804" i="102"/>
  <c r="AZ804" i="102"/>
  <c r="BA804" i="102"/>
  <c r="BB804" i="102"/>
  <c r="AJ805" i="102"/>
  <c r="AT805" i="102"/>
  <c r="AS805" i="102"/>
  <c r="AW805" i="102"/>
  <c r="AX805" i="102"/>
  <c r="AY805" i="102"/>
  <c r="AZ805" i="102"/>
  <c r="BA805" i="102"/>
  <c r="BB805" i="102"/>
  <c r="AJ806" i="102"/>
  <c r="AT806" i="102"/>
  <c r="AS806" i="102"/>
  <c r="AW806" i="102"/>
  <c r="AX806" i="102"/>
  <c r="AY806" i="102"/>
  <c r="AZ806" i="102"/>
  <c r="BA806" i="102"/>
  <c r="BB806" i="102"/>
  <c r="AJ807" i="102"/>
  <c r="AT807" i="102"/>
  <c r="AS807" i="102"/>
  <c r="AW807" i="102"/>
  <c r="AX807" i="102"/>
  <c r="AY807" i="102"/>
  <c r="AZ807" i="102"/>
  <c r="BA807" i="102"/>
  <c r="BB807" i="102"/>
  <c r="AJ808" i="102"/>
  <c r="AT808" i="102"/>
  <c r="AS808" i="102"/>
  <c r="AW808" i="102"/>
  <c r="AX808" i="102"/>
  <c r="AY808" i="102"/>
  <c r="AZ808" i="102"/>
  <c r="BA808" i="102"/>
  <c r="BB808" i="102"/>
  <c r="AJ809" i="102"/>
  <c r="AT809" i="102"/>
  <c r="AS809" i="102"/>
  <c r="AW809" i="102"/>
  <c r="AX809" i="102"/>
  <c r="AY809" i="102"/>
  <c r="AZ809" i="102"/>
  <c r="BA809" i="102"/>
  <c r="BB809" i="102"/>
  <c r="AJ810" i="102"/>
  <c r="AT810" i="102"/>
  <c r="AS810" i="102"/>
  <c r="AW810" i="102"/>
  <c r="AX810" i="102"/>
  <c r="AY810" i="102"/>
  <c r="AZ810" i="102"/>
  <c r="BA810" i="102"/>
  <c r="BB810" i="102"/>
  <c r="AJ811" i="102"/>
  <c r="AT811" i="102"/>
  <c r="AS811" i="102"/>
  <c r="AW811" i="102"/>
  <c r="AX811" i="102"/>
  <c r="AY811" i="102"/>
  <c r="AZ811" i="102"/>
  <c r="BA811" i="102"/>
  <c r="BB811" i="102"/>
  <c r="AJ812" i="102"/>
  <c r="AT812" i="102"/>
  <c r="AS812" i="102"/>
  <c r="AW812" i="102"/>
  <c r="AX812" i="102"/>
  <c r="AY812" i="102"/>
  <c r="AZ812" i="102"/>
  <c r="BA812" i="102"/>
  <c r="BB812" i="102"/>
  <c r="AJ813" i="102"/>
  <c r="AT813" i="102"/>
  <c r="AS813" i="102"/>
  <c r="AW813" i="102"/>
  <c r="AX813" i="102"/>
  <c r="AY813" i="102"/>
  <c r="AZ813" i="102"/>
  <c r="BA813" i="102"/>
  <c r="BB813" i="102"/>
  <c r="AJ814" i="102"/>
  <c r="AT814" i="102"/>
  <c r="AS814" i="102"/>
  <c r="AW814" i="102"/>
  <c r="AX814" i="102"/>
  <c r="AY814" i="102"/>
  <c r="AZ814" i="102"/>
  <c r="BA814" i="102"/>
  <c r="BB814" i="102"/>
  <c r="AJ815" i="102"/>
  <c r="AT815" i="102"/>
  <c r="AS815" i="102"/>
  <c r="AW815" i="102"/>
  <c r="AX815" i="102"/>
  <c r="AY815" i="102"/>
  <c r="AZ815" i="102"/>
  <c r="BA815" i="102"/>
  <c r="BB815" i="102"/>
  <c r="AJ816" i="102"/>
  <c r="AT816" i="102"/>
  <c r="AS816" i="102"/>
  <c r="AW816" i="102"/>
  <c r="AX816" i="102"/>
  <c r="AY816" i="102"/>
  <c r="AZ816" i="102"/>
  <c r="BA816" i="102"/>
  <c r="BB816" i="102"/>
  <c r="AJ817" i="102"/>
  <c r="AT817" i="102"/>
  <c r="AS817" i="102"/>
  <c r="AW817" i="102"/>
  <c r="AX817" i="102"/>
  <c r="AY817" i="102"/>
  <c r="AZ817" i="102"/>
  <c r="BA817" i="102"/>
  <c r="BB817" i="102"/>
  <c r="S818" i="102"/>
  <c r="AJ818" i="102"/>
  <c r="AT818" i="102"/>
  <c r="AS818" i="102"/>
  <c r="AW818" i="102"/>
  <c r="AX818" i="102"/>
  <c r="AY818" i="102"/>
  <c r="AZ818" i="102"/>
  <c r="BA818" i="102"/>
  <c r="BB818" i="102"/>
  <c r="S819" i="102"/>
  <c r="AJ819" i="102"/>
  <c r="AT819" i="102"/>
  <c r="AS819" i="102"/>
  <c r="AW819" i="102"/>
  <c r="AX819" i="102"/>
  <c r="AY819" i="102"/>
  <c r="AZ819" i="102"/>
  <c r="BA819" i="102"/>
  <c r="BB819" i="102"/>
  <c r="S820" i="102"/>
  <c r="AJ820" i="102"/>
  <c r="AT820" i="102"/>
  <c r="AS820" i="102"/>
  <c r="AW820" i="102"/>
  <c r="AX820" i="102"/>
  <c r="AY820" i="102"/>
  <c r="AZ820" i="102"/>
  <c r="BA820" i="102"/>
  <c r="BB820" i="102"/>
  <c r="S821" i="102"/>
  <c r="AJ821" i="102"/>
  <c r="AT821" i="102"/>
  <c r="AS821" i="102"/>
  <c r="AW821" i="102"/>
  <c r="AX821" i="102"/>
  <c r="AY821" i="102"/>
  <c r="AZ821" i="102"/>
  <c r="BA821" i="102"/>
  <c r="BB821" i="102"/>
  <c r="AJ822" i="102"/>
  <c r="AT822" i="102"/>
  <c r="AS822" i="102"/>
  <c r="AW822" i="102"/>
  <c r="AX822" i="102"/>
  <c r="AY822" i="102"/>
  <c r="AZ822" i="102"/>
  <c r="BA822" i="102"/>
  <c r="BB822" i="102"/>
  <c r="S823" i="102"/>
  <c r="AJ823" i="102"/>
  <c r="AT823" i="102"/>
  <c r="AS823" i="102"/>
  <c r="AW823" i="102"/>
  <c r="AX823" i="102"/>
  <c r="AY823" i="102"/>
  <c r="AZ823" i="102"/>
  <c r="BA823" i="102"/>
  <c r="BB823" i="102"/>
  <c r="S824" i="102"/>
  <c r="AJ824" i="102"/>
  <c r="AT824" i="102"/>
  <c r="AS824" i="102"/>
  <c r="AW824" i="102"/>
  <c r="AX824" i="102"/>
  <c r="AY824" i="102"/>
  <c r="AZ824" i="102"/>
  <c r="BA824" i="102"/>
  <c r="BB824" i="102"/>
  <c r="S825" i="102"/>
  <c r="AJ825" i="102"/>
  <c r="AT825" i="102"/>
  <c r="AS825" i="102"/>
  <c r="AW825" i="102"/>
  <c r="AX825" i="102"/>
  <c r="AY825" i="102"/>
  <c r="AZ825" i="102"/>
  <c r="BA825" i="102"/>
  <c r="BB825" i="102"/>
  <c r="S826" i="102"/>
  <c r="AJ826" i="102"/>
  <c r="AT826" i="102"/>
  <c r="AS826" i="102"/>
  <c r="AW826" i="102"/>
  <c r="AX826" i="102"/>
  <c r="AY826" i="102"/>
  <c r="AZ826" i="102"/>
  <c r="BA826" i="102"/>
  <c r="BB826" i="102"/>
  <c r="S827" i="102"/>
  <c r="AJ827" i="102"/>
  <c r="AT827" i="102"/>
  <c r="AS827" i="102"/>
  <c r="AW827" i="102"/>
  <c r="AX827" i="102"/>
  <c r="AY827" i="102"/>
  <c r="AZ827" i="102"/>
  <c r="BA827" i="102"/>
  <c r="BB827" i="102"/>
  <c r="S828" i="102"/>
  <c r="AJ828" i="102"/>
  <c r="AT828" i="102"/>
  <c r="AS828" i="102"/>
  <c r="AW828" i="102"/>
  <c r="AX828" i="102"/>
  <c r="AY828" i="102"/>
  <c r="AZ828" i="102"/>
  <c r="BA828" i="102"/>
  <c r="BB828" i="102"/>
  <c r="S829" i="102"/>
  <c r="AJ829" i="102"/>
  <c r="AT829" i="102"/>
  <c r="AS829" i="102"/>
  <c r="AW829" i="102"/>
  <c r="AX829" i="102"/>
  <c r="AY829" i="102"/>
  <c r="AZ829" i="102"/>
  <c r="BA829" i="102"/>
  <c r="BB829" i="102"/>
  <c r="S830" i="102"/>
  <c r="AJ830" i="102"/>
  <c r="AT830" i="102"/>
  <c r="AS830" i="102"/>
  <c r="AW830" i="102"/>
  <c r="AX830" i="102"/>
  <c r="AY830" i="102"/>
  <c r="AZ830" i="102"/>
  <c r="BA830" i="102"/>
  <c r="BB830" i="102"/>
  <c r="S831" i="102"/>
  <c r="AJ831" i="102"/>
  <c r="AT831" i="102"/>
  <c r="AS831" i="102"/>
  <c r="AW831" i="102"/>
  <c r="AX831" i="102"/>
  <c r="AY831" i="102"/>
  <c r="AZ831" i="102"/>
  <c r="BA831" i="102"/>
  <c r="BB831" i="102"/>
  <c r="AJ832" i="102"/>
  <c r="AT832" i="102"/>
  <c r="AS832" i="102"/>
  <c r="AW832" i="102"/>
  <c r="AX832" i="102"/>
  <c r="AY832" i="102"/>
  <c r="AZ832" i="102"/>
  <c r="BA832" i="102"/>
  <c r="BB832" i="102"/>
  <c r="AJ833" i="102"/>
  <c r="AT833" i="102"/>
  <c r="AS833" i="102"/>
  <c r="AW833" i="102"/>
  <c r="AX833" i="102"/>
  <c r="AY833" i="102"/>
  <c r="AZ833" i="102"/>
  <c r="BA833" i="102"/>
  <c r="BB833" i="102"/>
  <c r="AJ834" i="102"/>
  <c r="AT834" i="102"/>
  <c r="AS834" i="102"/>
  <c r="AW834" i="102"/>
  <c r="AX834" i="102"/>
  <c r="AY834" i="102"/>
  <c r="AZ834" i="102"/>
  <c r="BA834" i="102"/>
  <c r="BB834" i="102"/>
  <c r="S835" i="102"/>
  <c r="AJ835" i="102"/>
  <c r="AT835" i="102"/>
  <c r="AS835" i="102"/>
  <c r="AW835" i="102"/>
  <c r="AX835" i="102"/>
  <c r="AY835" i="102"/>
  <c r="AZ835" i="102"/>
  <c r="BA835" i="102"/>
  <c r="BB835" i="102"/>
  <c r="S836" i="102"/>
  <c r="AJ836" i="102"/>
  <c r="AT836" i="102"/>
  <c r="AS836" i="102"/>
  <c r="AW836" i="102"/>
  <c r="AX836" i="102"/>
  <c r="AY836" i="102"/>
  <c r="AZ836" i="102"/>
  <c r="BA836" i="102"/>
  <c r="BB836" i="102"/>
  <c r="S837" i="102"/>
  <c r="AJ837" i="102"/>
  <c r="AT837" i="102"/>
  <c r="AS837" i="102"/>
  <c r="AW837" i="102"/>
  <c r="AX837" i="102"/>
  <c r="AY837" i="102"/>
  <c r="AZ837" i="102"/>
  <c r="BA837" i="102"/>
  <c r="BB837" i="102"/>
  <c r="S838" i="102"/>
  <c r="AJ838" i="102"/>
  <c r="AT838" i="102"/>
  <c r="AS838" i="102"/>
  <c r="AW838" i="102"/>
  <c r="AX838" i="102"/>
  <c r="AY838" i="102"/>
  <c r="AZ838" i="102"/>
  <c r="BA838" i="102"/>
  <c r="BB838" i="102"/>
  <c r="AJ839" i="102"/>
  <c r="AT839" i="102"/>
  <c r="AS839" i="102"/>
  <c r="AW839" i="102"/>
  <c r="AX839" i="102"/>
  <c r="AY839" i="102"/>
  <c r="AZ839" i="102"/>
  <c r="BA839" i="102"/>
  <c r="BB839" i="102"/>
  <c r="AJ840" i="102"/>
  <c r="AT840" i="102"/>
  <c r="AS840" i="102"/>
  <c r="AW840" i="102"/>
  <c r="AX840" i="102"/>
  <c r="AY840" i="102"/>
  <c r="AZ840" i="102"/>
  <c r="BA840" i="102"/>
  <c r="BB840" i="102"/>
  <c r="AJ841" i="102"/>
  <c r="AT841" i="102"/>
  <c r="AS841" i="102"/>
  <c r="AW841" i="102"/>
  <c r="AX841" i="102"/>
  <c r="AY841" i="102"/>
  <c r="AZ841" i="102"/>
  <c r="BA841" i="102"/>
  <c r="BB841" i="102"/>
  <c r="AJ842" i="102"/>
  <c r="AT842" i="102"/>
  <c r="AS842" i="102"/>
  <c r="AW842" i="102"/>
  <c r="AX842" i="102"/>
  <c r="AY842" i="102"/>
  <c r="AZ842" i="102"/>
  <c r="BA842" i="102"/>
  <c r="BB842" i="102"/>
  <c r="AJ843" i="102"/>
  <c r="AT843" i="102"/>
  <c r="AS843" i="102"/>
  <c r="AW843" i="102"/>
  <c r="AX843" i="102"/>
  <c r="AY843" i="102"/>
  <c r="AZ843" i="102"/>
  <c r="BA843" i="102"/>
  <c r="BB843" i="102"/>
  <c r="AJ844" i="102"/>
  <c r="AT844" i="102"/>
  <c r="AS844" i="102"/>
  <c r="AW844" i="102"/>
  <c r="AX844" i="102"/>
  <c r="AY844" i="102"/>
  <c r="AZ844" i="102"/>
  <c r="BA844" i="102"/>
  <c r="BB844" i="102"/>
  <c r="AJ845" i="102"/>
  <c r="AT845" i="102"/>
  <c r="AS845" i="102"/>
  <c r="AW845" i="102"/>
  <c r="AX845" i="102"/>
  <c r="AY845" i="102"/>
  <c r="AZ845" i="102"/>
  <c r="BA845" i="102"/>
  <c r="BB845" i="102"/>
  <c r="AJ846" i="102"/>
  <c r="AT846" i="102"/>
  <c r="AS846" i="102"/>
  <c r="AW846" i="102"/>
  <c r="AX846" i="102"/>
  <c r="AY846" i="102"/>
  <c r="AZ846" i="102"/>
  <c r="BA846" i="102"/>
  <c r="BB846" i="102"/>
  <c r="AJ847" i="102"/>
  <c r="AT847" i="102"/>
  <c r="AS847" i="102"/>
  <c r="AW847" i="102"/>
  <c r="AX847" i="102"/>
  <c r="AY847" i="102"/>
  <c r="AZ847" i="102"/>
  <c r="BA847" i="102"/>
  <c r="BB847" i="102"/>
  <c r="AJ848" i="102"/>
  <c r="AT848" i="102"/>
  <c r="AS848" i="102"/>
  <c r="AW848" i="102"/>
  <c r="AX848" i="102"/>
  <c r="AY848" i="102"/>
  <c r="AZ848" i="102"/>
  <c r="BA848" i="102"/>
  <c r="BB848" i="102"/>
  <c r="AJ849" i="102"/>
  <c r="AT849" i="102"/>
  <c r="AS849" i="102"/>
  <c r="AW849" i="102"/>
  <c r="AX849" i="102"/>
  <c r="AY849" i="102"/>
  <c r="AZ849" i="102"/>
  <c r="BA849" i="102"/>
  <c r="BB849" i="102"/>
  <c r="AJ850" i="102"/>
  <c r="AT850" i="102"/>
  <c r="AS850" i="102"/>
  <c r="AW850" i="102"/>
  <c r="AX850" i="102"/>
  <c r="AY850" i="102"/>
  <c r="AZ850" i="102"/>
  <c r="BA850" i="102"/>
  <c r="BB850" i="102"/>
  <c r="AJ851" i="102"/>
  <c r="AT851" i="102"/>
  <c r="AS851" i="102"/>
  <c r="AW851" i="102"/>
  <c r="AX851" i="102"/>
  <c r="AY851" i="102"/>
  <c r="AZ851" i="102"/>
  <c r="BA851" i="102"/>
  <c r="BB851" i="102"/>
  <c r="AJ852" i="102"/>
  <c r="AT852" i="102"/>
  <c r="AS852" i="102"/>
  <c r="AW852" i="102"/>
  <c r="AX852" i="102"/>
  <c r="AY852" i="102"/>
  <c r="AZ852" i="102"/>
  <c r="BA852" i="102"/>
  <c r="BB852" i="102"/>
  <c r="AJ853" i="102"/>
  <c r="AT853" i="102"/>
  <c r="AS853" i="102"/>
  <c r="AW853" i="102"/>
  <c r="AX853" i="102"/>
  <c r="AY853" i="102"/>
  <c r="AZ853" i="102"/>
  <c r="BA853" i="102"/>
  <c r="BB853" i="102"/>
  <c r="AJ854" i="102"/>
  <c r="AT854" i="102"/>
  <c r="AS854" i="102"/>
  <c r="AW854" i="102"/>
  <c r="AX854" i="102"/>
  <c r="AY854" i="102"/>
  <c r="AZ854" i="102"/>
  <c r="BA854" i="102"/>
  <c r="BB854" i="102"/>
  <c r="AJ855" i="102"/>
  <c r="AT855" i="102"/>
  <c r="AS855" i="102"/>
  <c r="AW855" i="102"/>
  <c r="AX855" i="102"/>
  <c r="AY855" i="102"/>
  <c r="AZ855" i="102"/>
  <c r="BA855" i="102"/>
  <c r="BB855" i="102"/>
  <c r="AJ856" i="102"/>
  <c r="AT856" i="102"/>
  <c r="AS856" i="102"/>
  <c r="AW856" i="102"/>
  <c r="AX856" i="102"/>
  <c r="AY856" i="102"/>
  <c r="AZ856" i="102"/>
  <c r="BA856" i="102"/>
  <c r="BB856" i="102"/>
  <c r="AJ857" i="102"/>
  <c r="AT857" i="102"/>
  <c r="AS857" i="102"/>
  <c r="AW857" i="102"/>
  <c r="AX857" i="102"/>
  <c r="AY857" i="102"/>
  <c r="AZ857" i="102"/>
  <c r="BA857" i="102"/>
  <c r="BB857" i="102"/>
  <c r="AJ858" i="102"/>
  <c r="AT858" i="102"/>
  <c r="AS858" i="102"/>
  <c r="AW858" i="102"/>
  <c r="AX858" i="102"/>
  <c r="AY858" i="102"/>
  <c r="AZ858" i="102"/>
  <c r="BA858" i="102"/>
  <c r="BB858" i="102"/>
  <c r="AJ859" i="102"/>
  <c r="AT859" i="102"/>
  <c r="AS859" i="102"/>
  <c r="AW859" i="102"/>
  <c r="AX859" i="102"/>
  <c r="AY859" i="102"/>
  <c r="AZ859" i="102"/>
  <c r="BA859" i="102"/>
  <c r="BB859" i="102"/>
  <c r="AJ860" i="102"/>
  <c r="AT860" i="102"/>
  <c r="AS860" i="102"/>
  <c r="AW860" i="102"/>
  <c r="AX860" i="102"/>
  <c r="AY860" i="102"/>
  <c r="AZ860" i="102"/>
  <c r="BA860" i="102"/>
  <c r="BB860" i="102"/>
  <c r="AJ861" i="102"/>
  <c r="AT861" i="102"/>
  <c r="AS861" i="102"/>
  <c r="AW861" i="102"/>
  <c r="AX861" i="102"/>
  <c r="AY861" i="102"/>
  <c r="AZ861" i="102"/>
  <c r="BA861" i="102"/>
  <c r="BB861" i="102"/>
  <c r="AJ862" i="102"/>
  <c r="AT862" i="102"/>
  <c r="AS862" i="102"/>
  <c r="AW862" i="102"/>
  <c r="AX862" i="102"/>
  <c r="AY862" i="102"/>
  <c r="AZ862" i="102"/>
  <c r="BA862" i="102"/>
  <c r="BB862" i="102"/>
  <c r="AJ863" i="102"/>
  <c r="AT863" i="102"/>
  <c r="AS863" i="102"/>
  <c r="AW863" i="102"/>
  <c r="AX863" i="102"/>
  <c r="AY863" i="102"/>
  <c r="AZ863" i="102"/>
  <c r="BA863" i="102"/>
  <c r="BB863" i="102"/>
  <c r="AJ864" i="102"/>
  <c r="AT864" i="102"/>
  <c r="AS864" i="102"/>
  <c r="AW864" i="102"/>
  <c r="AX864" i="102"/>
  <c r="AY864" i="102"/>
  <c r="AZ864" i="102"/>
  <c r="BA864" i="102"/>
  <c r="BB864" i="102"/>
  <c r="AJ865" i="102"/>
  <c r="AT865" i="102"/>
  <c r="AS865" i="102"/>
  <c r="AW865" i="102"/>
  <c r="AX865" i="102"/>
  <c r="AY865" i="102"/>
  <c r="AZ865" i="102"/>
  <c r="BA865" i="102"/>
  <c r="BB865" i="102"/>
  <c r="AJ866" i="102"/>
  <c r="AT866" i="102"/>
  <c r="AS866" i="102"/>
  <c r="AW866" i="102"/>
  <c r="AX866" i="102"/>
  <c r="AY866" i="102"/>
  <c r="AZ866" i="102"/>
  <c r="BA866" i="102"/>
  <c r="BB866" i="102"/>
  <c r="AJ867" i="102"/>
  <c r="AT867" i="102"/>
  <c r="AS867" i="102"/>
  <c r="AW867" i="102"/>
  <c r="AX867" i="102"/>
  <c r="AY867" i="102"/>
  <c r="AZ867" i="102"/>
  <c r="BA867" i="102"/>
  <c r="BB867" i="102"/>
  <c r="AJ868" i="102"/>
  <c r="AT868" i="102"/>
  <c r="AS868" i="102"/>
  <c r="AW868" i="102"/>
  <c r="AX868" i="102"/>
  <c r="AY868" i="102"/>
  <c r="AZ868" i="102"/>
  <c r="BA868" i="102"/>
  <c r="BB868" i="102"/>
  <c r="AJ869" i="102"/>
  <c r="AT869" i="102"/>
  <c r="AS869" i="102"/>
  <c r="AW869" i="102"/>
  <c r="AX869" i="102"/>
  <c r="AY869" i="102"/>
  <c r="AZ869" i="102"/>
  <c r="BA869" i="102"/>
  <c r="BB869" i="102"/>
  <c r="AJ870" i="102"/>
  <c r="AT870" i="102"/>
  <c r="AS870" i="102"/>
  <c r="AW870" i="102"/>
  <c r="AX870" i="102"/>
  <c r="AY870" i="102"/>
  <c r="AZ870" i="102"/>
  <c r="BA870" i="102"/>
  <c r="BB870" i="102"/>
  <c r="AJ871" i="102"/>
  <c r="AT871" i="102"/>
  <c r="AS871" i="102"/>
  <c r="AW871" i="102"/>
  <c r="AX871" i="102"/>
  <c r="AY871" i="102"/>
  <c r="AZ871" i="102"/>
  <c r="BA871" i="102"/>
  <c r="BB871" i="102"/>
  <c r="AJ872" i="102"/>
  <c r="AT872" i="102"/>
  <c r="AS872" i="102"/>
  <c r="AW872" i="102"/>
  <c r="AX872" i="102"/>
  <c r="AY872" i="102"/>
  <c r="AZ872" i="102"/>
  <c r="BA872" i="102"/>
  <c r="BB872" i="102"/>
  <c r="AJ873" i="102"/>
  <c r="AT873" i="102"/>
  <c r="AS873" i="102"/>
  <c r="AW873" i="102"/>
  <c r="AX873" i="102"/>
  <c r="AY873" i="102"/>
  <c r="AZ873" i="102"/>
  <c r="BA873" i="102"/>
  <c r="BB873" i="102"/>
  <c r="AJ874" i="102"/>
  <c r="AT874" i="102"/>
  <c r="AS874" i="102"/>
  <c r="AW874" i="102"/>
  <c r="AX874" i="102"/>
  <c r="AY874" i="102"/>
  <c r="AZ874" i="102"/>
  <c r="BA874" i="102"/>
  <c r="BB874" i="102"/>
  <c r="AJ875" i="102"/>
  <c r="AT875" i="102"/>
  <c r="AS875" i="102"/>
  <c r="AW875" i="102"/>
  <c r="AX875" i="102"/>
  <c r="AY875" i="102"/>
  <c r="AZ875" i="102"/>
  <c r="BA875" i="102"/>
  <c r="BB875" i="102"/>
  <c r="AJ876" i="102"/>
  <c r="AT876" i="102"/>
  <c r="AS876" i="102"/>
  <c r="AW876" i="102"/>
  <c r="AX876" i="102"/>
  <c r="AY876" i="102"/>
  <c r="AZ876" i="102"/>
  <c r="BA876" i="102"/>
  <c r="BB876" i="102"/>
  <c r="AJ877" i="102"/>
  <c r="AT877" i="102"/>
  <c r="AS877" i="102"/>
  <c r="AW877" i="102"/>
  <c r="AX877" i="102"/>
  <c r="AY877" i="102"/>
  <c r="AZ877" i="102"/>
  <c r="BA877" i="102"/>
  <c r="BB877" i="102"/>
  <c r="AJ878" i="102"/>
  <c r="AT878" i="102"/>
  <c r="AS878" i="102"/>
  <c r="AW878" i="102"/>
  <c r="AX878" i="102"/>
  <c r="AY878" i="102"/>
  <c r="AZ878" i="102"/>
  <c r="BA878" i="102"/>
  <c r="BB878" i="102"/>
  <c r="AJ879" i="102"/>
  <c r="AT879" i="102"/>
  <c r="AS879" i="102"/>
  <c r="AW879" i="102"/>
  <c r="AX879" i="102"/>
  <c r="AY879" i="102"/>
  <c r="AZ879" i="102"/>
  <c r="BA879" i="102"/>
  <c r="BB879" i="102"/>
  <c r="AJ880" i="102"/>
  <c r="AT880" i="102"/>
  <c r="AS880" i="102"/>
  <c r="AW880" i="102"/>
  <c r="AX880" i="102"/>
  <c r="AY880" i="102"/>
  <c r="AZ880" i="102"/>
  <c r="BA880" i="102"/>
  <c r="BB880" i="102"/>
  <c r="AJ881" i="102"/>
  <c r="AT881" i="102"/>
  <c r="AS881" i="102"/>
  <c r="AW881" i="102"/>
  <c r="AX881" i="102"/>
  <c r="AY881" i="102"/>
  <c r="AZ881" i="102"/>
  <c r="BA881" i="102"/>
  <c r="BB881" i="102"/>
  <c r="AJ882" i="102"/>
  <c r="AT882" i="102"/>
  <c r="AS882" i="102"/>
  <c r="AW882" i="102"/>
  <c r="AX882" i="102"/>
  <c r="AY882" i="102"/>
  <c r="AZ882" i="102"/>
  <c r="BA882" i="102"/>
  <c r="BB882" i="102"/>
  <c r="AJ883" i="102"/>
  <c r="AT883" i="102"/>
  <c r="AS883" i="102"/>
  <c r="AW883" i="102"/>
  <c r="AX883" i="102"/>
  <c r="AY883" i="102"/>
  <c r="AZ883" i="102"/>
  <c r="BA883" i="102"/>
  <c r="BB883" i="102"/>
  <c r="AJ884" i="102"/>
  <c r="AT884" i="102"/>
  <c r="AS884" i="102"/>
  <c r="AW884" i="102"/>
  <c r="AX884" i="102"/>
  <c r="AY884" i="102"/>
  <c r="AZ884" i="102"/>
  <c r="BA884" i="102"/>
  <c r="BB884" i="102"/>
  <c r="AJ885" i="102"/>
  <c r="AT885" i="102"/>
  <c r="AS885" i="102"/>
  <c r="AW885" i="102"/>
  <c r="AX885" i="102"/>
  <c r="AY885" i="102"/>
  <c r="AZ885" i="102"/>
  <c r="BA885" i="102"/>
  <c r="BB885" i="102"/>
  <c r="AJ886" i="102"/>
  <c r="AT886" i="102"/>
  <c r="AS886" i="102"/>
  <c r="AW886" i="102"/>
  <c r="AX886" i="102"/>
  <c r="AY886" i="102"/>
  <c r="AZ886" i="102"/>
  <c r="BA886" i="102"/>
  <c r="BB886" i="102"/>
  <c r="AJ887" i="102"/>
  <c r="AT887" i="102"/>
  <c r="AS887" i="102"/>
  <c r="AW887" i="102"/>
  <c r="AX887" i="102"/>
  <c r="AY887" i="102"/>
  <c r="AZ887" i="102"/>
  <c r="BA887" i="102"/>
  <c r="BB887" i="102"/>
  <c r="AJ888" i="102"/>
  <c r="AT888" i="102"/>
  <c r="AS888" i="102"/>
  <c r="AW888" i="102"/>
  <c r="AX888" i="102"/>
  <c r="AY888" i="102"/>
  <c r="AZ888" i="102"/>
  <c r="BA888" i="102"/>
  <c r="BB888" i="102"/>
  <c r="AJ889" i="102"/>
  <c r="AT889" i="102"/>
  <c r="AS889" i="102"/>
  <c r="AW889" i="102"/>
  <c r="AX889" i="102"/>
  <c r="AY889" i="102"/>
  <c r="AZ889" i="102"/>
  <c r="BA889" i="102"/>
  <c r="BB889" i="102"/>
  <c r="AJ890" i="102"/>
  <c r="AT890" i="102"/>
  <c r="AS890" i="102"/>
  <c r="AW890" i="102"/>
  <c r="AX890" i="102"/>
  <c r="AY890" i="102"/>
  <c r="AZ890" i="102"/>
  <c r="BA890" i="102"/>
  <c r="BB890" i="102"/>
  <c r="AJ891" i="102"/>
  <c r="AT891" i="102"/>
  <c r="AS891" i="102"/>
  <c r="AW891" i="102"/>
  <c r="AX891" i="102"/>
  <c r="AY891" i="102"/>
  <c r="AZ891" i="102"/>
  <c r="BA891" i="102"/>
  <c r="BB891" i="102"/>
  <c r="AJ892" i="102"/>
  <c r="AT892" i="102"/>
  <c r="AS892" i="102"/>
  <c r="AW892" i="102"/>
  <c r="AX892" i="102"/>
  <c r="AY892" i="102"/>
  <c r="AZ892" i="102"/>
  <c r="BA892" i="102"/>
  <c r="BB892" i="102"/>
  <c r="AJ893" i="102"/>
  <c r="AT893" i="102"/>
  <c r="AS893" i="102"/>
  <c r="AW893" i="102"/>
  <c r="AX893" i="102"/>
  <c r="AY893" i="102"/>
  <c r="AZ893" i="102"/>
  <c r="BA893" i="102"/>
  <c r="BB893" i="102"/>
  <c r="AJ894" i="102"/>
  <c r="AT894" i="102"/>
  <c r="AS894" i="102"/>
  <c r="AW894" i="102"/>
  <c r="AX894" i="102"/>
  <c r="AY894" i="102"/>
  <c r="AZ894" i="102"/>
  <c r="BA894" i="102"/>
  <c r="BB894" i="102"/>
  <c r="AJ895" i="102"/>
  <c r="AT895" i="102"/>
  <c r="AS895" i="102"/>
  <c r="AW895" i="102"/>
  <c r="AX895" i="102"/>
  <c r="AY895" i="102"/>
  <c r="AZ895" i="102"/>
  <c r="BA895" i="102"/>
  <c r="BB895" i="102"/>
  <c r="AJ896" i="102"/>
  <c r="AT896" i="102"/>
  <c r="AS896" i="102"/>
  <c r="AW896" i="102"/>
  <c r="AX896" i="102"/>
  <c r="AY896" i="102"/>
  <c r="AZ896" i="102"/>
  <c r="BA896" i="102"/>
  <c r="BB896" i="102"/>
  <c r="AJ897" i="102"/>
  <c r="AT897" i="102"/>
  <c r="AS897" i="102"/>
  <c r="AW897" i="102"/>
  <c r="AX897" i="102"/>
  <c r="AY897" i="102"/>
  <c r="AZ897" i="102"/>
  <c r="BA897" i="102"/>
  <c r="BB897" i="102"/>
  <c r="AJ898" i="102"/>
  <c r="AT898" i="102"/>
  <c r="AS898" i="102"/>
  <c r="AW898" i="102"/>
  <c r="AX898" i="102"/>
  <c r="AY898" i="102"/>
  <c r="AZ898" i="102"/>
  <c r="BA898" i="102"/>
  <c r="BB898" i="102"/>
  <c r="AJ899" i="102"/>
  <c r="AT899" i="102"/>
  <c r="AS899" i="102"/>
  <c r="AW899" i="102"/>
  <c r="AX899" i="102"/>
  <c r="AY899" i="102"/>
  <c r="AZ899" i="102"/>
  <c r="BA899" i="102"/>
  <c r="BB899" i="102"/>
  <c r="AJ900" i="102"/>
  <c r="AT900" i="102"/>
  <c r="AS900" i="102"/>
  <c r="AW900" i="102"/>
  <c r="AX900" i="102"/>
  <c r="AY900" i="102"/>
  <c r="AZ900" i="102"/>
  <c r="BA900" i="102"/>
  <c r="BB900" i="102"/>
  <c r="AJ901" i="102"/>
  <c r="AT901" i="102"/>
  <c r="AS901" i="102"/>
  <c r="AW901" i="102"/>
  <c r="AX901" i="102"/>
  <c r="AY901" i="102"/>
  <c r="AZ901" i="102"/>
  <c r="BA901" i="102"/>
  <c r="BB901" i="102"/>
  <c r="AJ902" i="102"/>
  <c r="AT902" i="102"/>
  <c r="AS902" i="102"/>
  <c r="AW902" i="102"/>
  <c r="AX902" i="102"/>
  <c r="AY902" i="102"/>
  <c r="AZ902" i="102"/>
  <c r="BA902" i="102"/>
  <c r="BB902" i="102"/>
  <c r="AJ903" i="102"/>
  <c r="AT903" i="102"/>
  <c r="AS903" i="102"/>
  <c r="AW903" i="102"/>
  <c r="AX903" i="102"/>
  <c r="AY903" i="102"/>
  <c r="AZ903" i="102"/>
  <c r="BA903" i="102"/>
  <c r="BB903" i="102"/>
  <c r="AJ904" i="102"/>
  <c r="AT904" i="102"/>
  <c r="AS904" i="102"/>
  <c r="AW904" i="102"/>
  <c r="AX904" i="102"/>
  <c r="AY904" i="102"/>
  <c r="AZ904" i="102"/>
  <c r="BA904" i="102"/>
  <c r="BB904" i="102"/>
  <c r="AJ905" i="102"/>
  <c r="AT905" i="102"/>
  <c r="AS905" i="102"/>
  <c r="AW905" i="102"/>
  <c r="AX905" i="102"/>
  <c r="AY905" i="102"/>
  <c r="AZ905" i="102"/>
  <c r="BA905" i="102"/>
  <c r="BB905" i="102"/>
  <c r="AJ906" i="102"/>
  <c r="AT906" i="102"/>
  <c r="AS906" i="102"/>
  <c r="AW906" i="102"/>
  <c r="AX906" i="102"/>
  <c r="AY906" i="102"/>
  <c r="AZ906" i="102"/>
  <c r="BA906" i="102"/>
  <c r="BB906" i="102"/>
  <c r="AJ907" i="102"/>
  <c r="AT907" i="102"/>
  <c r="AS907" i="102"/>
  <c r="AW907" i="102"/>
  <c r="AX907" i="102"/>
  <c r="AY907" i="102"/>
  <c r="AZ907" i="102"/>
  <c r="BA907" i="102"/>
  <c r="BB907" i="102"/>
  <c r="AJ908" i="102"/>
  <c r="AT908" i="102"/>
  <c r="AS908" i="102"/>
  <c r="AW908" i="102"/>
  <c r="AX908" i="102"/>
  <c r="AY908" i="102"/>
  <c r="AZ908" i="102"/>
  <c r="BA908" i="102"/>
  <c r="BB908" i="102"/>
  <c r="AJ909" i="102"/>
  <c r="AT909" i="102"/>
  <c r="AS909" i="102"/>
  <c r="AW909" i="102"/>
  <c r="AX909" i="102"/>
  <c r="AY909" i="102"/>
  <c r="AZ909" i="102"/>
  <c r="BA909" i="102"/>
  <c r="BB909" i="102"/>
  <c r="AJ910" i="102"/>
  <c r="AT910" i="102"/>
  <c r="AS910" i="102"/>
  <c r="AW910" i="102"/>
  <c r="AX910" i="102"/>
  <c r="AY910" i="102"/>
  <c r="AZ910" i="102"/>
  <c r="BA910" i="102"/>
  <c r="BB910" i="102"/>
  <c r="AJ911" i="102"/>
  <c r="AT911" i="102"/>
  <c r="AS911" i="102"/>
  <c r="AW911" i="102"/>
  <c r="AX911" i="102"/>
  <c r="AY911" i="102"/>
  <c r="AZ911" i="102"/>
  <c r="BA911" i="102"/>
  <c r="BB911" i="102"/>
  <c r="AJ912" i="102"/>
  <c r="AT912" i="102"/>
  <c r="AS912" i="102"/>
  <c r="AW912" i="102"/>
  <c r="AX912" i="102"/>
  <c r="AY912" i="102"/>
  <c r="AZ912" i="102"/>
  <c r="BA912" i="102"/>
  <c r="BB912" i="102"/>
  <c r="AJ913" i="102"/>
  <c r="AT913" i="102"/>
  <c r="AS913" i="102"/>
  <c r="AW913" i="102"/>
  <c r="AX913" i="102"/>
  <c r="AY913" i="102"/>
  <c r="AZ913" i="102"/>
  <c r="BA913" i="102"/>
  <c r="BB913" i="102"/>
  <c r="AJ914" i="102"/>
  <c r="AT914" i="102"/>
  <c r="AS914" i="102"/>
  <c r="AW914" i="102"/>
  <c r="AX914" i="102"/>
  <c r="AY914" i="102"/>
  <c r="AZ914" i="102"/>
  <c r="BA914" i="102"/>
  <c r="BB914" i="102"/>
  <c r="AJ915" i="102"/>
  <c r="AT915" i="102"/>
  <c r="AS915" i="102"/>
  <c r="AW915" i="102"/>
  <c r="AX915" i="102"/>
  <c r="AY915" i="102"/>
  <c r="AZ915" i="102"/>
  <c r="BA915" i="102"/>
  <c r="BB915" i="102"/>
  <c r="AJ916" i="102"/>
  <c r="AT916" i="102"/>
  <c r="AS916" i="102"/>
  <c r="AW916" i="102"/>
  <c r="AX916" i="102"/>
  <c r="AY916" i="102"/>
  <c r="AZ916" i="102"/>
  <c r="BA916" i="102"/>
  <c r="BB916" i="102"/>
  <c r="AJ917" i="102"/>
  <c r="AT917" i="102"/>
  <c r="AS917" i="102"/>
  <c r="AW917" i="102"/>
  <c r="AX917" i="102"/>
  <c r="AY917" i="102"/>
  <c r="AZ917" i="102"/>
  <c r="BA917" i="102"/>
  <c r="BB917" i="102"/>
  <c r="AJ918" i="102"/>
  <c r="AT918" i="102"/>
  <c r="AS918" i="102"/>
  <c r="AW918" i="102"/>
  <c r="AX918" i="102"/>
  <c r="AY918" i="102"/>
  <c r="AZ918" i="102"/>
  <c r="BA918" i="102"/>
  <c r="BB918" i="102"/>
  <c r="AJ919" i="102"/>
  <c r="AT919" i="102"/>
  <c r="AS919" i="102"/>
  <c r="AW919" i="102"/>
  <c r="AX919" i="102"/>
  <c r="AY919" i="102"/>
  <c r="AZ919" i="102"/>
  <c r="BA919" i="102"/>
  <c r="BB919" i="102"/>
  <c r="AJ920" i="102"/>
  <c r="AT920" i="102"/>
  <c r="AS920" i="102"/>
  <c r="AW920" i="102"/>
  <c r="AX920" i="102"/>
  <c r="AY920" i="102"/>
  <c r="AZ920" i="102"/>
  <c r="BA920" i="102"/>
  <c r="BB920" i="102"/>
  <c r="AJ921" i="102"/>
  <c r="AT921" i="102"/>
  <c r="AS921" i="102"/>
  <c r="AW921" i="102"/>
  <c r="AX921" i="102"/>
  <c r="AY921" i="102"/>
  <c r="AZ921" i="102"/>
  <c r="BA921" i="102"/>
  <c r="BB921" i="102"/>
  <c r="AJ922" i="102"/>
  <c r="AT922" i="102"/>
  <c r="AS922" i="102"/>
  <c r="AW922" i="102"/>
  <c r="AX922" i="102"/>
  <c r="AY922" i="102"/>
  <c r="AZ922" i="102"/>
  <c r="BA922" i="102"/>
  <c r="BB922" i="102"/>
  <c r="AJ923" i="102"/>
  <c r="AT923" i="102"/>
  <c r="AS923" i="102"/>
  <c r="AW923" i="102"/>
  <c r="AX923" i="102"/>
  <c r="AY923" i="102"/>
  <c r="AZ923" i="102"/>
  <c r="BA923" i="102"/>
  <c r="BB923" i="102"/>
  <c r="AJ924" i="102"/>
  <c r="AT924" i="102"/>
  <c r="AS924" i="102"/>
  <c r="AW924" i="102"/>
  <c r="AX924" i="102"/>
  <c r="AY924" i="102"/>
  <c r="AZ924" i="102"/>
  <c r="BA924" i="102"/>
  <c r="BB924" i="102"/>
  <c r="AJ925" i="102"/>
  <c r="AT925" i="102"/>
  <c r="AS925" i="102"/>
  <c r="AW925" i="102"/>
  <c r="AX925" i="102"/>
  <c r="AY925" i="102"/>
  <c r="AZ925" i="102"/>
  <c r="BA925" i="102"/>
  <c r="BB925" i="102"/>
  <c r="AJ926" i="102"/>
  <c r="AT926" i="102"/>
  <c r="AS926" i="102"/>
  <c r="AW926" i="102"/>
  <c r="AX926" i="102"/>
  <c r="AY926" i="102"/>
  <c r="AZ926" i="102"/>
  <c r="BA926" i="102"/>
  <c r="BB926" i="102"/>
  <c r="AJ927" i="102"/>
  <c r="AT927" i="102"/>
  <c r="AS927" i="102"/>
  <c r="AW927" i="102"/>
  <c r="AX927" i="102"/>
  <c r="AY927" i="102"/>
  <c r="AZ927" i="102"/>
  <c r="BA927" i="102"/>
  <c r="BB927" i="102"/>
  <c r="AJ928" i="102"/>
  <c r="AT928" i="102"/>
  <c r="AS928" i="102"/>
  <c r="AW928" i="102"/>
  <c r="AX928" i="102"/>
  <c r="AY928" i="102"/>
  <c r="AZ928" i="102"/>
  <c r="BA928" i="102"/>
  <c r="BB928" i="102"/>
  <c r="AJ929" i="102"/>
  <c r="AT929" i="102"/>
  <c r="AS929" i="102"/>
  <c r="AW929" i="102"/>
  <c r="AX929" i="102"/>
  <c r="AY929" i="102"/>
  <c r="AZ929" i="102"/>
  <c r="BA929" i="102"/>
  <c r="BB929" i="102"/>
  <c r="AJ930" i="102"/>
  <c r="AT930" i="102"/>
  <c r="AS930" i="102"/>
  <c r="AW930" i="102"/>
  <c r="AX930" i="102"/>
  <c r="AY930" i="102"/>
  <c r="AZ930" i="102"/>
  <c r="BA930" i="102"/>
  <c r="BB930" i="102"/>
  <c r="AJ931" i="102"/>
  <c r="AT931" i="102"/>
  <c r="AS931" i="102"/>
  <c r="AW931" i="102"/>
  <c r="AX931" i="102"/>
  <c r="AY931" i="102"/>
  <c r="AZ931" i="102"/>
  <c r="BA931" i="102"/>
  <c r="BB931" i="102"/>
  <c r="AJ932" i="102"/>
  <c r="AT932" i="102"/>
  <c r="AS932" i="102"/>
  <c r="AW932" i="102"/>
  <c r="AX932" i="102"/>
  <c r="AY932" i="102"/>
  <c r="AZ932" i="102"/>
  <c r="BA932" i="102"/>
  <c r="BB932" i="102"/>
  <c r="AJ933" i="102"/>
  <c r="AT933" i="102"/>
  <c r="AS933" i="102"/>
  <c r="AW933" i="102"/>
  <c r="AX933" i="102"/>
  <c r="AY933" i="102"/>
  <c r="AZ933" i="102"/>
  <c r="BA933" i="102"/>
  <c r="BB933" i="102"/>
  <c r="AJ934" i="102"/>
  <c r="AT934" i="102"/>
  <c r="AS934" i="102"/>
  <c r="AW934" i="102"/>
  <c r="AX934" i="102"/>
  <c r="AY934" i="102"/>
  <c r="AZ934" i="102"/>
  <c r="BA934" i="102"/>
  <c r="BB934" i="102"/>
  <c r="AJ935" i="102"/>
  <c r="AT935" i="102"/>
  <c r="AS935" i="102"/>
  <c r="AW935" i="102"/>
  <c r="AX935" i="102"/>
  <c r="AY935" i="102"/>
  <c r="AZ935" i="102"/>
  <c r="BA935" i="102"/>
  <c r="BB935" i="102"/>
  <c r="AJ936" i="102"/>
  <c r="AT936" i="102"/>
  <c r="AS936" i="102"/>
  <c r="AW936" i="102"/>
  <c r="AX936" i="102"/>
  <c r="AY936" i="102"/>
  <c r="AZ936" i="102"/>
  <c r="BA936" i="102"/>
  <c r="BB936" i="102"/>
  <c r="AJ937" i="102"/>
  <c r="AT937" i="102"/>
  <c r="AS937" i="102"/>
  <c r="AW937" i="102"/>
  <c r="AX937" i="102"/>
  <c r="AY937" i="102"/>
  <c r="AZ937" i="102"/>
  <c r="BA937" i="102"/>
  <c r="BB937" i="102"/>
  <c r="AJ938" i="102"/>
  <c r="AT938" i="102"/>
  <c r="AW938" i="102"/>
  <c r="AX938" i="102"/>
  <c r="AY938" i="102"/>
  <c r="AZ938" i="102"/>
  <c r="BA938" i="102"/>
  <c r="BB938" i="102"/>
  <c r="AJ939" i="102"/>
  <c r="AT939" i="102"/>
  <c r="AW939" i="102"/>
  <c r="AX939" i="102"/>
  <c r="AY939" i="102"/>
  <c r="AZ939" i="102"/>
  <c r="BA939" i="102"/>
  <c r="BB939" i="102"/>
  <c r="AJ940" i="102"/>
  <c r="AT940" i="102"/>
  <c r="AW940" i="102"/>
  <c r="AX940" i="102"/>
  <c r="AY940" i="102"/>
  <c r="AZ940" i="102"/>
  <c r="BA940" i="102"/>
  <c r="BB940" i="102"/>
  <c r="AJ941" i="102"/>
  <c r="AT941" i="102"/>
  <c r="AW941" i="102"/>
  <c r="AX941" i="102"/>
  <c r="AY941" i="102"/>
  <c r="AZ941" i="102"/>
  <c r="BA941" i="102"/>
  <c r="BB941" i="102"/>
  <c r="AJ942" i="102"/>
  <c r="AT942" i="102"/>
  <c r="AW942" i="102"/>
  <c r="AX942" i="102"/>
  <c r="AY942" i="102"/>
  <c r="AZ942" i="102"/>
  <c r="BA942" i="102"/>
  <c r="BB942" i="102"/>
  <c r="AJ943" i="102"/>
  <c r="AT943" i="102"/>
  <c r="AW943" i="102"/>
  <c r="AX943" i="102"/>
  <c r="AY943" i="102"/>
  <c r="AZ943" i="102"/>
  <c r="BA943" i="102"/>
  <c r="BB943" i="102"/>
  <c r="AJ944" i="102"/>
  <c r="AT944" i="102"/>
  <c r="AW944" i="102"/>
  <c r="AX944" i="102"/>
  <c r="AY944" i="102"/>
  <c r="AZ944" i="102"/>
  <c r="BA944" i="102"/>
  <c r="BB944" i="102"/>
  <c r="AJ945" i="102"/>
  <c r="AT945" i="102"/>
  <c r="AW945" i="102"/>
  <c r="AX945" i="102"/>
  <c r="AY945" i="102"/>
  <c r="AZ945" i="102"/>
  <c r="BA945" i="102"/>
  <c r="BB945" i="102"/>
  <c r="AJ946" i="102"/>
  <c r="AT946" i="102"/>
  <c r="AW946" i="102"/>
  <c r="AX946" i="102"/>
  <c r="AY946" i="102"/>
  <c r="AZ946" i="102"/>
  <c r="BA946" i="102"/>
  <c r="BB946" i="102"/>
  <c r="AJ947" i="102"/>
  <c r="AT947" i="102"/>
  <c r="AW947" i="102"/>
  <c r="AX947" i="102"/>
  <c r="AY947" i="102"/>
  <c r="AZ947" i="102"/>
  <c r="BA947" i="102"/>
  <c r="BB947" i="102"/>
  <c r="AJ948" i="102"/>
  <c r="AT948" i="102"/>
  <c r="AS948" i="102"/>
  <c r="AW948" i="102"/>
  <c r="AX948" i="102"/>
  <c r="AY948" i="102"/>
  <c r="AZ948" i="102"/>
  <c r="BA948" i="102"/>
  <c r="BB948" i="102"/>
  <c r="AJ949" i="102"/>
  <c r="AT949" i="102"/>
  <c r="AS949" i="102"/>
  <c r="AW949" i="102"/>
  <c r="AX949" i="102"/>
  <c r="AY949" i="102"/>
  <c r="AZ949" i="102"/>
  <c r="BA949" i="102"/>
  <c r="BB949" i="102"/>
  <c r="AJ950" i="102"/>
  <c r="AT950" i="102"/>
  <c r="AW950" i="102"/>
  <c r="AX950" i="102"/>
  <c r="AY950" i="102"/>
  <c r="AZ950" i="102"/>
  <c r="BA950" i="102"/>
  <c r="BB950" i="102"/>
  <c r="AJ951" i="102"/>
  <c r="AT951" i="102"/>
  <c r="AW951" i="102"/>
  <c r="AX951" i="102"/>
  <c r="AY951" i="102"/>
  <c r="AZ951" i="102"/>
  <c r="BA951" i="102"/>
  <c r="BB951" i="102"/>
  <c r="AJ952" i="102"/>
  <c r="AT952" i="102"/>
  <c r="AS952" i="102"/>
  <c r="AW952" i="102"/>
  <c r="AX952" i="102"/>
  <c r="AY952" i="102"/>
  <c r="AZ952" i="102"/>
  <c r="BA952" i="102"/>
  <c r="BB952" i="102"/>
  <c r="AJ953" i="102"/>
  <c r="AT953" i="102"/>
  <c r="AS953" i="102"/>
  <c r="AW953" i="102"/>
  <c r="AX953" i="102"/>
  <c r="AY953" i="102"/>
  <c r="AZ953" i="102"/>
  <c r="BA953" i="102"/>
  <c r="BB953" i="102"/>
  <c r="AJ954" i="102"/>
  <c r="AT954" i="102"/>
  <c r="AS954" i="102"/>
  <c r="AW954" i="102"/>
  <c r="AX954" i="102"/>
  <c r="AY954" i="102"/>
  <c r="AZ954" i="102"/>
  <c r="BA954" i="102"/>
  <c r="BB954" i="102"/>
  <c r="AJ955" i="102"/>
  <c r="AT955" i="102"/>
  <c r="AS955" i="102"/>
  <c r="AW955" i="102"/>
  <c r="AX955" i="102"/>
  <c r="AY955" i="102"/>
  <c r="AZ955" i="102"/>
  <c r="BA955" i="102"/>
  <c r="BB955" i="102"/>
  <c r="AJ956" i="102"/>
  <c r="AT956" i="102"/>
  <c r="AS956" i="102"/>
  <c r="AW956" i="102"/>
  <c r="AX956" i="102"/>
  <c r="AY956" i="102"/>
  <c r="AZ956" i="102"/>
  <c r="BA956" i="102"/>
  <c r="BB956" i="102"/>
  <c r="AJ957" i="102"/>
  <c r="AT957" i="102"/>
  <c r="AS957" i="102"/>
  <c r="AW957" i="102"/>
  <c r="AX957" i="102"/>
  <c r="AY957" i="102"/>
  <c r="AZ957" i="102"/>
  <c r="BA957" i="102"/>
  <c r="BB957" i="102"/>
  <c r="AJ958" i="102"/>
  <c r="AT958" i="102"/>
  <c r="AS958" i="102"/>
  <c r="AW958" i="102"/>
  <c r="AX958" i="102"/>
  <c r="AY958" i="102"/>
  <c r="AZ958" i="102"/>
  <c r="BA958" i="102"/>
  <c r="BB958" i="102"/>
  <c r="AJ959" i="102"/>
  <c r="AT959" i="102"/>
  <c r="AS959" i="102"/>
  <c r="AW959" i="102"/>
  <c r="AX959" i="102"/>
  <c r="AY959" i="102"/>
  <c r="AZ959" i="102"/>
  <c r="BA959" i="102"/>
  <c r="BB959" i="102"/>
  <c r="AJ960" i="102"/>
  <c r="AT960" i="102"/>
  <c r="AS960" i="102"/>
  <c r="AW960" i="102"/>
  <c r="AX960" i="102"/>
  <c r="AY960" i="102"/>
  <c r="AZ960" i="102"/>
  <c r="BA960" i="102"/>
  <c r="BB960" i="102"/>
  <c r="AJ961" i="102"/>
  <c r="AT961" i="102"/>
  <c r="AS961" i="102"/>
  <c r="AW961" i="102"/>
  <c r="AX961" i="102"/>
  <c r="AY961" i="102"/>
  <c r="AZ961" i="102"/>
  <c r="BA961" i="102"/>
  <c r="BB961" i="102"/>
  <c r="AJ962" i="102"/>
  <c r="AT962" i="102"/>
  <c r="AS962" i="102"/>
  <c r="AW962" i="102"/>
  <c r="AX962" i="102"/>
  <c r="AY962" i="102"/>
  <c r="AZ962" i="102"/>
  <c r="BA962" i="102"/>
  <c r="BB962" i="102"/>
  <c r="AJ963" i="102"/>
  <c r="AT963" i="102"/>
  <c r="AS963" i="102"/>
  <c r="AW963" i="102"/>
  <c r="AX963" i="102"/>
  <c r="AY963" i="102"/>
  <c r="AZ963" i="102"/>
  <c r="BA963" i="102"/>
  <c r="BB963" i="102"/>
  <c r="AJ964" i="102"/>
  <c r="AT964" i="102"/>
  <c r="AS964" i="102"/>
  <c r="AW964" i="102"/>
  <c r="AX964" i="102"/>
  <c r="AY964" i="102"/>
  <c r="AZ964" i="102"/>
  <c r="BA964" i="102"/>
  <c r="BB964" i="102"/>
  <c r="AJ965" i="102"/>
  <c r="AT965" i="102"/>
  <c r="AS965" i="102"/>
  <c r="AW965" i="102"/>
  <c r="AX965" i="102"/>
  <c r="AY965" i="102"/>
  <c r="AZ965" i="102"/>
  <c r="BA965" i="102"/>
  <c r="BB965" i="102"/>
  <c r="AJ966" i="102"/>
  <c r="AT966" i="102"/>
  <c r="AS966" i="102"/>
  <c r="AW966" i="102"/>
  <c r="AX966" i="102"/>
  <c r="AY966" i="102"/>
  <c r="AZ966" i="102"/>
  <c r="BA966" i="102"/>
  <c r="BB966" i="102"/>
  <c r="AJ967" i="102"/>
  <c r="AT967" i="102"/>
  <c r="AS967" i="102"/>
  <c r="AW967" i="102"/>
  <c r="AX967" i="102"/>
  <c r="AY967" i="102"/>
  <c r="AZ967" i="102"/>
  <c r="BA967" i="102"/>
  <c r="BB967" i="102"/>
  <c r="AJ968" i="102"/>
  <c r="AT968" i="102"/>
  <c r="AS968" i="102"/>
  <c r="AW968" i="102"/>
  <c r="AX968" i="102"/>
  <c r="AY968" i="102"/>
  <c r="AZ968" i="102"/>
  <c r="BA968" i="102"/>
  <c r="BB968" i="102"/>
  <c r="AJ969" i="102"/>
  <c r="AT969" i="102"/>
  <c r="AS969" i="102"/>
  <c r="AW969" i="102"/>
  <c r="AX969" i="102"/>
  <c r="AY969" i="102"/>
  <c r="AZ969" i="102"/>
  <c r="BA969" i="102"/>
  <c r="BB969" i="102"/>
  <c r="AJ970" i="102"/>
  <c r="AT970" i="102"/>
  <c r="AS970" i="102"/>
  <c r="AW970" i="102"/>
  <c r="AX970" i="102"/>
  <c r="AY970" i="102"/>
  <c r="AZ970" i="102"/>
  <c r="BA970" i="102"/>
  <c r="BB970" i="102"/>
  <c r="AJ971" i="102"/>
  <c r="AT971" i="102"/>
  <c r="AS971" i="102"/>
  <c r="AW971" i="102"/>
  <c r="AX971" i="102"/>
  <c r="AY971" i="102"/>
  <c r="AZ971" i="102"/>
  <c r="BA971" i="102"/>
  <c r="BB971" i="102"/>
  <c r="AJ972" i="102"/>
  <c r="AT972" i="102"/>
  <c r="AS972" i="102"/>
  <c r="AW972" i="102"/>
  <c r="AX972" i="102"/>
  <c r="AY972" i="102"/>
  <c r="AZ972" i="102"/>
  <c r="BA972" i="102"/>
  <c r="BB972" i="102"/>
  <c r="AJ973" i="102"/>
  <c r="AT973" i="102"/>
  <c r="AS973" i="102"/>
  <c r="AW973" i="102"/>
  <c r="AX973" i="102"/>
  <c r="AY973" i="102"/>
  <c r="AZ973" i="102"/>
  <c r="BA973" i="102"/>
  <c r="BB973" i="102"/>
  <c r="AJ974" i="102"/>
  <c r="AT974" i="102"/>
  <c r="AS974" i="102"/>
  <c r="AW974" i="102"/>
  <c r="AX974" i="102"/>
  <c r="AY974" i="102"/>
  <c r="AZ974" i="102"/>
  <c r="BA974" i="102"/>
  <c r="BB974" i="102"/>
  <c r="AJ975" i="102"/>
  <c r="AT975" i="102"/>
  <c r="AS975" i="102"/>
  <c r="AW975" i="102"/>
  <c r="AX975" i="102"/>
  <c r="AY975" i="102"/>
  <c r="AZ975" i="102"/>
  <c r="BA975" i="102"/>
  <c r="BB975" i="102"/>
  <c r="AJ976" i="102"/>
  <c r="AT976" i="102"/>
  <c r="AS976" i="102"/>
  <c r="AW976" i="102"/>
  <c r="AX976" i="102"/>
  <c r="AY976" i="102"/>
  <c r="AZ976" i="102"/>
  <c r="BA976" i="102"/>
  <c r="BB976" i="102"/>
  <c r="AJ977" i="102"/>
  <c r="AT977" i="102"/>
  <c r="AS977" i="102"/>
  <c r="AW977" i="102"/>
  <c r="AX977" i="102"/>
  <c r="AY977" i="102"/>
  <c r="AZ977" i="102"/>
  <c r="BA977" i="102"/>
  <c r="BB977" i="102"/>
  <c r="AJ978" i="102"/>
  <c r="AT978" i="102"/>
  <c r="AS978" i="102"/>
  <c r="AW978" i="102"/>
  <c r="AX978" i="102"/>
  <c r="AY978" i="102"/>
  <c r="AZ978" i="102"/>
  <c r="BA978" i="102"/>
  <c r="BB978" i="102"/>
  <c r="AJ979" i="102"/>
  <c r="AT979" i="102"/>
  <c r="AS979" i="102"/>
  <c r="AW979" i="102"/>
  <c r="AX979" i="102"/>
  <c r="AY979" i="102"/>
  <c r="AZ979" i="102"/>
  <c r="BA979" i="102"/>
  <c r="BB979" i="102"/>
  <c r="AJ980" i="102"/>
  <c r="AT980" i="102"/>
  <c r="AS980" i="102"/>
  <c r="AW980" i="102"/>
  <c r="AX980" i="102"/>
  <c r="AY980" i="102"/>
  <c r="AZ980" i="102"/>
  <c r="BA980" i="102"/>
  <c r="BB980" i="102"/>
  <c r="AJ981" i="102"/>
  <c r="AT981" i="102"/>
  <c r="AS981" i="102"/>
  <c r="AW981" i="102"/>
  <c r="AX981" i="102"/>
  <c r="AY981" i="102"/>
  <c r="AZ981" i="102"/>
  <c r="BA981" i="102"/>
  <c r="BB981" i="102"/>
  <c r="AJ982" i="102"/>
  <c r="AT982" i="102"/>
  <c r="AS982" i="102"/>
  <c r="AW982" i="102"/>
  <c r="AX982" i="102"/>
  <c r="AY982" i="102"/>
  <c r="AZ982" i="102"/>
  <c r="BA982" i="102"/>
  <c r="BB982" i="102"/>
  <c r="AJ983" i="102"/>
  <c r="AT983" i="102"/>
  <c r="AS983" i="102"/>
  <c r="AW983" i="102"/>
  <c r="AX983" i="102"/>
  <c r="AY983" i="102"/>
  <c r="AZ983" i="102"/>
  <c r="BA983" i="102"/>
  <c r="BB983" i="102"/>
  <c r="AJ984" i="102"/>
  <c r="AT984" i="102"/>
  <c r="AS984" i="102"/>
  <c r="AW984" i="102"/>
  <c r="AX984" i="102"/>
  <c r="AY984" i="102"/>
  <c r="AZ984" i="102"/>
  <c r="BA984" i="102"/>
  <c r="BB984" i="102"/>
  <c r="AJ985" i="102"/>
  <c r="AT985" i="102"/>
  <c r="AS985" i="102"/>
  <c r="AW985" i="102"/>
  <c r="AX985" i="102"/>
  <c r="AY985" i="102"/>
  <c r="AZ985" i="102"/>
  <c r="BA985" i="102"/>
  <c r="BB985" i="102"/>
  <c r="AJ986" i="102"/>
  <c r="AT986" i="102"/>
  <c r="AS986" i="102"/>
  <c r="AW986" i="102"/>
  <c r="AX986" i="102"/>
  <c r="AY986" i="102"/>
  <c r="AZ986" i="102"/>
  <c r="BA986" i="102"/>
  <c r="BB986" i="102"/>
  <c r="AJ987" i="102"/>
  <c r="AT987" i="102"/>
  <c r="AS987" i="102"/>
  <c r="AW987" i="102"/>
  <c r="AX987" i="102"/>
  <c r="AY987" i="102"/>
  <c r="AZ987" i="102"/>
  <c r="BA987" i="102"/>
  <c r="BB987" i="102"/>
  <c r="AJ988" i="102"/>
  <c r="AT988" i="102"/>
  <c r="AS988" i="102"/>
  <c r="AW988" i="102"/>
  <c r="AX988" i="102"/>
  <c r="AY988" i="102"/>
  <c r="AZ988" i="102"/>
  <c r="BA988" i="102"/>
  <c r="BB988" i="102"/>
  <c r="AJ989" i="102"/>
  <c r="AT989" i="102"/>
  <c r="AS989" i="102"/>
  <c r="AW989" i="102"/>
  <c r="AX989" i="102"/>
  <c r="AY989" i="102"/>
  <c r="AZ989" i="102"/>
  <c r="BA989" i="102"/>
  <c r="BB989" i="102"/>
  <c r="AJ990" i="102"/>
  <c r="AT990" i="102"/>
  <c r="AS990" i="102"/>
  <c r="AW990" i="102"/>
  <c r="AX990" i="102"/>
  <c r="AY990" i="102"/>
  <c r="AZ990" i="102"/>
  <c r="BA990" i="102"/>
  <c r="BB990" i="102"/>
  <c r="AJ991" i="102"/>
  <c r="AT991" i="102"/>
  <c r="AS991" i="102"/>
  <c r="AW991" i="102"/>
  <c r="AX991" i="102"/>
  <c r="AY991" i="102"/>
  <c r="AZ991" i="102"/>
  <c r="BA991" i="102"/>
  <c r="BB991" i="102"/>
  <c r="AJ992" i="102"/>
  <c r="AT992" i="102"/>
  <c r="AS992" i="102"/>
  <c r="AW992" i="102"/>
  <c r="AX992" i="102"/>
  <c r="AY992" i="102"/>
  <c r="AZ992" i="102"/>
  <c r="BA992" i="102"/>
  <c r="BB992" i="102"/>
  <c r="AJ993" i="102"/>
  <c r="AT993" i="102"/>
  <c r="AS993" i="102"/>
  <c r="AW993" i="102"/>
  <c r="AX993" i="102"/>
  <c r="AY993" i="102"/>
  <c r="AZ993" i="102"/>
  <c r="BA993" i="102"/>
  <c r="BB993" i="102"/>
  <c r="AJ994" i="102"/>
  <c r="AT994" i="102"/>
  <c r="AS994" i="102"/>
  <c r="AW994" i="102"/>
  <c r="AX994" i="102"/>
  <c r="AY994" i="102"/>
  <c r="AZ994" i="102"/>
  <c r="BA994" i="102"/>
  <c r="BB994" i="102"/>
  <c r="AJ995" i="102"/>
  <c r="AT995" i="102"/>
  <c r="AS995" i="102"/>
  <c r="AW995" i="102"/>
  <c r="AX995" i="102"/>
  <c r="AY995" i="102"/>
  <c r="AZ995" i="102"/>
  <c r="BA995" i="102"/>
  <c r="BB995" i="102"/>
  <c r="AJ996" i="102"/>
  <c r="AT996" i="102"/>
  <c r="AS996" i="102"/>
  <c r="AW996" i="102"/>
  <c r="AX996" i="102"/>
  <c r="AY996" i="102"/>
  <c r="AZ996" i="102"/>
  <c r="BA996" i="102"/>
  <c r="BB996" i="102"/>
  <c r="AJ997" i="102"/>
  <c r="AT997" i="102"/>
  <c r="AS997" i="102"/>
  <c r="AW997" i="102"/>
  <c r="AX997" i="102"/>
  <c r="AY997" i="102"/>
  <c r="AZ997" i="102"/>
  <c r="BA997" i="102"/>
  <c r="BB997" i="102"/>
  <c r="AJ998" i="102"/>
  <c r="AT998" i="102"/>
  <c r="AS998" i="102"/>
  <c r="AW998" i="102"/>
  <c r="AX998" i="102"/>
  <c r="AY998" i="102"/>
  <c r="AZ998" i="102"/>
  <c r="BA998" i="102"/>
  <c r="BB998" i="102"/>
  <c r="AJ999" i="102"/>
  <c r="AT999" i="102"/>
  <c r="AS999" i="102"/>
  <c r="AW999" i="102"/>
  <c r="AX999" i="102"/>
  <c r="AY999" i="102"/>
  <c r="AZ999" i="102"/>
  <c r="BA999" i="102"/>
  <c r="BB999" i="102"/>
  <c r="AJ1000" i="102"/>
  <c r="AT1000" i="102"/>
  <c r="AS1000" i="102"/>
  <c r="AW1000" i="102"/>
  <c r="AX1000" i="102"/>
  <c r="AY1000" i="102"/>
  <c r="AZ1000" i="102"/>
  <c r="BA1000" i="102"/>
  <c r="BB1000" i="102"/>
  <c r="AJ1001" i="102"/>
  <c r="AT1001" i="102"/>
  <c r="AS1001" i="102"/>
  <c r="AW1001" i="102"/>
  <c r="AX1001" i="102"/>
  <c r="AY1001" i="102"/>
  <c r="AZ1001" i="102"/>
  <c r="BA1001" i="102"/>
  <c r="BB1001" i="102"/>
  <c r="AJ1002" i="102"/>
  <c r="AT1002" i="102"/>
  <c r="AS1002" i="102"/>
  <c r="AW1002" i="102"/>
  <c r="AX1002" i="102"/>
  <c r="AY1002" i="102"/>
  <c r="AZ1002" i="102"/>
  <c r="BA1002" i="102"/>
  <c r="BB1002" i="102"/>
  <c r="AJ1003" i="102"/>
  <c r="AT1003" i="102"/>
  <c r="AS1003" i="102"/>
  <c r="AW1003" i="102"/>
  <c r="AX1003" i="102"/>
  <c r="AY1003" i="102"/>
  <c r="AZ1003" i="102"/>
  <c r="BA1003" i="102"/>
  <c r="BB1003" i="102"/>
  <c r="AJ1004" i="102"/>
  <c r="AT1004" i="102"/>
  <c r="AS1004" i="102"/>
  <c r="AW1004" i="102"/>
  <c r="AX1004" i="102"/>
  <c r="AY1004" i="102"/>
  <c r="AZ1004" i="102"/>
  <c r="BA1004" i="102"/>
  <c r="BB1004" i="102"/>
  <c r="AJ1005" i="102"/>
  <c r="AT1005" i="102"/>
  <c r="AS1005" i="102"/>
  <c r="AW1005" i="102"/>
  <c r="AX1005" i="102"/>
  <c r="AY1005" i="102"/>
  <c r="AZ1005" i="102"/>
  <c r="BA1005" i="102"/>
  <c r="BB1005" i="102"/>
  <c r="AJ1006" i="102"/>
  <c r="AT1006" i="102"/>
  <c r="AS1006" i="102"/>
  <c r="AW1006" i="102"/>
  <c r="AX1006" i="102"/>
  <c r="AY1006" i="102"/>
  <c r="AZ1006" i="102"/>
  <c r="BA1006" i="102"/>
  <c r="BB1006" i="102"/>
  <c r="AJ1007" i="102"/>
  <c r="AT1007" i="102"/>
  <c r="AS1007" i="102"/>
  <c r="AW1007" i="102"/>
  <c r="AX1007" i="102"/>
  <c r="AY1007" i="102"/>
  <c r="AZ1007" i="102"/>
  <c r="BA1007" i="102"/>
  <c r="BB1007" i="102"/>
  <c r="AJ1008" i="102"/>
  <c r="AT1008" i="102"/>
  <c r="AS1008" i="102"/>
  <c r="AW1008" i="102"/>
  <c r="AX1008" i="102"/>
  <c r="AY1008" i="102"/>
  <c r="AZ1008" i="102"/>
  <c r="BA1008" i="102"/>
  <c r="BB1008" i="102"/>
  <c r="AJ1009" i="102"/>
  <c r="AT1009" i="102"/>
  <c r="AS1009" i="102"/>
  <c r="AW1009" i="102"/>
  <c r="AX1009" i="102"/>
  <c r="AY1009" i="102"/>
  <c r="AZ1009" i="102"/>
  <c r="BA1009" i="102"/>
  <c r="BB1009" i="102"/>
  <c r="AJ1010" i="102"/>
  <c r="AT1010" i="102"/>
  <c r="AS1010" i="102"/>
  <c r="AW1010" i="102"/>
  <c r="AX1010" i="102"/>
  <c r="AY1010" i="102"/>
  <c r="AZ1010" i="102"/>
  <c r="BA1010" i="102"/>
  <c r="BB1010" i="102"/>
  <c r="AJ1011" i="102"/>
  <c r="AT1011" i="102"/>
  <c r="AS1011" i="102"/>
  <c r="AW1011" i="102"/>
  <c r="AX1011" i="102"/>
  <c r="AY1011" i="102"/>
  <c r="AZ1011" i="102"/>
  <c r="BA1011" i="102"/>
  <c r="BB1011" i="102"/>
  <c r="AJ1012" i="102"/>
  <c r="AT1012" i="102"/>
  <c r="AS1012" i="102"/>
  <c r="AW1012" i="102"/>
  <c r="AX1012" i="102"/>
  <c r="AY1012" i="102"/>
  <c r="AZ1012" i="102"/>
  <c r="BA1012" i="102"/>
  <c r="BB1012" i="102"/>
  <c r="AJ1013" i="102"/>
  <c r="AT1013" i="102"/>
  <c r="AS1013" i="102"/>
  <c r="AW1013" i="102"/>
  <c r="AX1013" i="102"/>
  <c r="AY1013" i="102"/>
  <c r="AZ1013" i="102"/>
  <c r="BA1013" i="102"/>
  <c r="BB1013" i="102"/>
  <c r="AJ1014" i="102"/>
  <c r="AT1014" i="102"/>
  <c r="AS1014" i="102"/>
  <c r="AW1014" i="102"/>
  <c r="AX1014" i="102"/>
  <c r="AY1014" i="102"/>
  <c r="AZ1014" i="102"/>
  <c r="BA1014" i="102"/>
  <c r="BB1014" i="102"/>
  <c r="AJ1015" i="102"/>
  <c r="AT1015" i="102"/>
  <c r="AS1015" i="102"/>
  <c r="AW1015" i="102"/>
  <c r="AX1015" i="102"/>
  <c r="AY1015" i="102"/>
  <c r="AZ1015" i="102"/>
  <c r="BA1015" i="102"/>
  <c r="BB1015" i="102"/>
  <c r="AJ1016" i="102"/>
  <c r="AT1016" i="102"/>
  <c r="AS1016" i="102"/>
  <c r="AW1016" i="102"/>
  <c r="AX1016" i="102"/>
  <c r="AY1016" i="102"/>
  <c r="AZ1016" i="102"/>
  <c r="BA1016" i="102"/>
  <c r="BB1016" i="102"/>
  <c r="AJ1017" i="102"/>
  <c r="AT1017" i="102"/>
  <c r="AS1017" i="102"/>
  <c r="AW1017" i="102"/>
  <c r="AX1017" i="102"/>
  <c r="AY1017" i="102"/>
  <c r="AZ1017" i="102"/>
  <c r="BA1017" i="102"/>
  <c r="BB1017" i="102"/>
  <c r="AJ1018" i="102"/>
  <c r="AT1018" i="102"/>
  <c r="AS1018" i="102"/>
  <c r="AW1018" i="102"/>
  <c r="AX1018" i="102"/>
  <c r="AY1018" i="102"/>
  <c r="AZ1018" i="102"/>
  <c r="BA1018" i="102"/>
  <c r="BB1018" i="102"/>
  <c r="AJ1019" i="102"/>
  <c r="AT1019" i="102"/>
  <c r="AS1019" i="102"/>
  <c r="AW1019" i="102"/>
  <c r="AX1019" i="102"/>
  <c r="AY1019" i="102"/>
  <c r="AZ1019" i="102"/>
  <c r="BA1019" i="102"/>
  <c r="BB1019" i="102"/>
  <c r="AJ1020" i="102"/>
  <c r="AT1020" i="102"/>
  <c r="AS1020" i="102"/>
  <c r="AW1020" i="102"/>
  <c r="AX1020" i="102"/>
  <c r="AY1020" i="102"/>
  <c r="AZ1020" i="102"/>
  <c r="BA1020" i="102"/>
  <c r="BB1020" i="102"/>
  <c r="AJ1021" i="102"/>
  <c r="AT1021" i="102"/>
  <c r="AS1021" i="102"/>
  <c r="AW1021" i="102"/>
  <c r="AX1021" i="102"/>
  <c r="AY1021" i="102"/>
  <c r="AZ1021" i="102"/>
  <c r="BA1021" i="102"/>
  <c r="BB1021" i="102"/>
  <c r="AJ1022" i="102"/>
  <c r="AT1022" i="102"/>
  <c r="AS1022" i="102"/>
  <c r="AW1022" i="102"/>
  <c r="AX1022" i="102"/>
  <c r="AY1022" i="102"/>
  <c r="AZ1022" i="102"/>
  <c r="BA1022" i="102"/>
  <c r="BB1022" i="102"/>
  <c r="AJ1023" i="102"/>
  <c r="AT1023" i="102"/>
  <c r="AS1023" i="102"/>
  <c r="AW1023" i="102"/>
  <c r="AX1023" i="102"/>
  <c r="AY1023" i="102"/>
  <c r="AZ1023" i="102"/>
  <c r="BA1023" i="102"/>
  <c r="BB1023" i="102"/>
  <c r="AJ1024" i="102"/>
  <c r="AT1024" i="102"/>
  <c r="AS1024" i="102"/>
  <c r="AW1024" i="102"/>
  <c r="AX1024" i="102"/>
  <c r="AY1024" i="102"/>
  <c r="AZ1024" i="102"/>
  <c r="BA1024" i="102"/>
  <c r="BB1024" i="102"/>
  <c r="AJ1025" i="102"/>
  <c r="AT1025" i="102"/>
  <c r="AS1025" i="102"/>
  <c r="AW1025" i="102"/>
  <c r="AX1025" i="102"/>
  <c r="AY1025" i="102"/>
  <c r="AZ1025" i="102"/>
  <c r="BA1025" i="102"/>
  <c r="BB1025" i="102"/>
  <c r="AJ1026" i="102"/>
  <c r="AT1026" i="102"/>
  <c r="AS1026" i="102"/>
  <c r="AW1026" i="102"/>
  <c r="AX1026" i="102"/>
  <c r="AY1026" i="102"/>
  <c r="AZ1026" i="102"/>
  <c r="BA1026" i="102"/>
  <c r="BB1026" i="102"/>
  <c r="AJ1027" i="102"/>
  <c r="AT1027" i="102"/>
  <c r="AS1027" i="102"/>
  <c r="AW1027" i="102"/>
  <c r="AX1027" i="102"/>
  <c r="AY1027" i="102"/>
  <c r="AZ1027" i="102"/>
  <c r="BA1027" i="102"/>
  <c r="BB1027" i="102"/>
  <c r="AJ1028" i="102"/>
  <c r="AT1028" i="102"/>
  <c r="AS1028" i="102"/>
  <c r="AW1028" i="102"/>
  <c r="AX1028" i="102"/>
  <c r="AY1028" i="102"/>
  <c r="AZ1028" i="102"/>
  <c r="BA1028" i="102"/>
  <c r="BB1028" i="102"/>
  <c r="AJ1029" i="102"/>
  <c r="AT1029" i="102"/>
  <c r="AS1029" i="102"/>
  <c r="AW1029" i="102"/>
  <c r="AX1029" i="102"/>
  <c r="AY1029" i="102"/>
  <c r="AZ1029" i="102"/>
  <c r="BA1029" i="102"/>
  <c r="BB1029" i="102"/>
  <c r="AJ1030" i="102"/>
  <c r="AT1030" i="102"/>
  <c r="AS1030" i="102"/>
  <c r="AW1030" i="102"/>
  <c r="AX1030" i="102"/>
  <c r="AY1030" i="102"/>
  <c r="AZ1030" i="102"/>
  <c r="BA1030" i="102"/>
  <c r="BB1030" i="102"/>
  <c r="AJ1031" i="102"/>
  <c r="AT1031" i="102"/>
  <c r="AS1031" i="102"/>
  <c r="AW1031" i="102"/>
  <c r="AX1031" i="102"/>
  <c r="AY1031" i="102"/>
  <c r="AZ1031" i="102"/>
  <c r="BA1031" i="102"/>
  <c r="BB1031" i="102"/>
  <c r="AJ1032" i="102"/>
  <c r="AT1032" i="102"/>
  <c r="AS1032" i="102"/>
  <c r="AW1032" i="102"/>
  <c r="AX1032" i="102"/>
  <c r="AY1032" i="102"/>
  <c r="AZ1032" i="102"/>
  <c r="BA1032" i="102"/>
  <c r="BB1032" i="102"/>
  <c r="AJ1033" i="102"/>
  <c r="AT1033" i="102"/>
  <c r="AS1033" i="102"/>
  <c r="AW1033" i="102"/>
  <c r="AX1033" i="102"/>
  <c r="AY1033" i="102"/>
  <c r="AZ1033" i="102"/>
  <c r="BA1033" i="102"/>
  <c r="BB1033" i="102"/>
  <c r="AJ1034" i="102"/>
  <c r="AT1034" i="102"/>
  <c r="AS1034" i="102"/>
  <c r="AW1034" i="102"/>
  <c r="AX1034" i="102"/>
  <c r="AY1034" i="102"/>
  <c r="AZ1034" i="102"/>
  <c r="BA1034" i="102"/>
  <c r="BB1034" i="102"/>
  <c r="AJ1035" i="102"/>
  <c r="AT1035" i="102"/>
  <c r="AS1035" i="102"/>
  <c r="AW1035" i="102"/>
  <c r="AX1035" i="102"/>
  <c r="AY1035" i="102"/>
  <c r="AZ1035" i="102"/>
  <c r="BA1035" i="102"/>
  <c r="BB1035" i="102"/>
  <c r="AJ1036" i="102"/>
  <c r="AT1036" i="102"/>
  <c r="AS1036" i="102"/>
  <c r="AW1036" i="102"/>
  <c r="AX1036" i="102"/>
  <c r="AY1036" i="102"/>
  <c r="AZ1036" i="102"/>
  <c r="BA1036" i="102"/>
  <c r="BB1036" i="102"/>
  <c r="AJ1037" i="102"/>
  <c r="AT1037" i="102"/>
  <c r="AS1037" i="102"/>
  <c r="AW1037" i="102"/>
  <c r="AX1037" i="102"/>
  <c r="AY1037" i="102"/>
  <c r="AZ1037" i="102"/>
  <c r="BA1037" i="102"/>
  <c r="BB1037" i="102"/>
  <c r="AJ1038" i="102"/>
  <c r="AT1038" i="102"/>
  <c r="AS1038" i="102"/>
  <c r="AW1038" i="102"/>
  <c r="AX1038" i="102"/>
  <c r="AY1038" i="102"/>
  <c r="AZ1038" i="102"/>
  <c r="BA1038" i="102"/>
  <c r="BB1038" i="102"/>
  <c r="AJ1039" i="102"/>
  <c r="AT1039" i="102"/>
  <c r="AS1039" i="102"/>
  <c r="AW1039" i="102"/>
  <c r="AX1039" i="102"/>
  <c r="AY1039" i="102"/>
  <c r="AZ1039" i="102"/>
  <c r="BA1039" i="102"/>
  <c r="BB1039" i="102"/>
  <c r="AJ1040" i="102"/>
  <c r="AT1040" i="102"/>
  <c r="AS1040" i="102"/>
  <c r="AW1040" i="102"/>
  <c r="AX1040" i="102"/>
  <c r="AY1040" i="102"/>
  <c r="AZ1040" i="102"/>
  <c r="BA1040" i="102"/>
  <c r="BB1040" i="102"/>
  <c r="AT1041" i="102"/>
  <c r="AW1041" i="102"/>
  <c r="AX1041" i="102"/>
  <c r="AY1041" i="102"/>
  <c r="AZ1041" i="102"/>
  <c r="BA1041" i="102"/>
  <c r="BB1041" i="102"/>
  <c r="AT1042" i="102"/>
  <c r="AS1042" i="102"/>
  <c r="AW1042" i="102"/>
  <c r="AX1042" i="102"/>
  <c r="AY1042" i="102"/>
  <c r="AZ1042" i="102"/>
  <c r="BA1042" i="102"/>
  <c r="BB1042" i="102"/>
  <c r="AT1043" i="102"/>
  <c r="AS1043" i="102"/>
  <c r="AW1043" i="102"/>
  <c r="AX1043" i="102"/>
  <c r="AY1043" i="102"/>
  <c r="AZ1043" i="102"/>
  <c r="BA1043" i="102"/>
  <c r="BB1043" i="102"/>
  <c r="AT1044" i="102"/>
  <c r="AS1044" i="102"/>
  <c r="AW1044" i="102"/>
  <c r="AX1044" i="102"/>
  <c r="AY1044" i="102"/>
  <c r="AZ1044" i="102"/>
  <c r="BA1044" i="102"/>
  <c r="BB1044" i="102"/>
  <c r="AT1045" i="102"/>
  <c r="AS1045" i="102"/>
  <c r="AW1045" i="102"/>
  <c r="AX1045" i="102"/>
  <c r="AY1045" i="102"/>
  <c r="AZ1045" i="102"/>
  <c r="BA1045" i="102"/>
  <c r="BB1045" i="102"/>
  <c r="AT1046" i="102"/>
  <c r="AS1046" i="102"/>
  <c r="AW1046" i="102"/>
  <c r="AX1046" i="102"/>
  <c r="AY1046" i="102"/>
  <c r="AZ1046" i="102"/>
  <c r="BA1046" i="102"/>
  <c r="BB1046" i="102"/>
  <c r="AT1047" i="102"/>
  <c r="AS1047" i="102"/>
  <c r="AW1047" i="102"/>
  <c r="AX1047" i="102"/>
  <c r="AY1047" i="102"/>
  <c r="AZ1047" i="102"/>
  <c r="BA1047" i="102"/>
  <c r="BB1047" i="102"/>
  <c r="AT1048" i="102"/>
  <c r="AS1048" i="102"/>
  <c r="AW1048" i="102"/>
  <c r="AX1048" i="102"/>
  <c r="AY1048" i="102"/>
  <c r="AZ1048" i="102"/>
  <c r="BA1048" i="102"/>
  <c r="BB1048" i="102"/>
  <c r="AT1049" i="102"/>
  <c r="AS1049" i="102"/>
  <c r="AW1049" i="102"/>
  <c r="AX1049" i="102"/>
  <c r="AY1049" i="102"/>
  <c r="AZ1049" i="102"/>
  <c r="BA1049" i="102"/>
  <c r="BB1049" i="102"/>
  <c r="AT1050" i="102"/>
  <c r="AS1050" i="102"/>
  <c r="AW1050" i="102"/>
  <c r="AX1050" i="102"/>
  <c r="AY1050" i="102"/>
  <c r="AZ1050" i="102"/>
  <c r="BA1050" i="102"/>
  <c r="BB1050" i="102"/>
  <c r="AT1051" i="102"/>
  <c r="AS1051" i="102"/>
  <c r="AW1051" i="102"/>
  <c r="AX1051" i="102"/>
  <c r="AY1051" i="102"/>
  <c r="AZ1051" i="102"/>
  <c r="BA1051" i="102"/>
  <c r="BB1051" i="102"/>
  <c r="AT1052" i="102"/>
  <c r="AS1052" i="102"/>
  <c r="AW1052" i="102"/>
  <c r="AX1052" i="102"/>
  <c r="AY1052" i="102"/>
  <c r="AZ1052" i="102"/>
  <c r="BA1052" i="102"/>
  <c r="BB1052" i="102"/>
  <c r="AT1053" i="102"/>
  <c r="AS1053" i="102"/>
  <c r="AW1053" i="102"/>
  <c r="AX1053" i="102"/>
  <c r="AY1053" i="102"/>
  <c r="AZ1053" i="102"/>
  <c r="BA1053" i="102"/>
  <c r="BB1053" i="102"/>
  <c r="AT1054" i="102"/>
  <c r="AS1054" i="102"/>
  <c r="AW1054" i="102"/>
  <c r="AX1054" i="102"/>
  <c r="AY1054" i="102"/>
  <c r="AZ1054" i="102"/>
  <c r="BA1054" i="102"/>
  <c r="BB1054" i="102"/>
  <c r="AT1055" i="102"/>
  <c r="AS1055" i="102"/>
  <c r="AW1055" i="102"/>
  <c r="AX1055" i="102"/>
  <c r="AY1055" i="102"/>
  <c r="AZ1055" i="102"/>
  <c r="BA1055" i="102"/>
  <c r="BB1055" i="102"/>
  <c r="AT1056" i="102"/>
  <c r="AS1056" i="102"/>
  <c r="AW1056" i="102"/>
  <c r="AX1056" i="102"/>
  <c r="AY1056" i="102"/>
  <c r="AZ1056" i="102"/>
  <c r="BA1056" i="102"/>
  <c r="BB1056" i="102"/>
  <c r="AT1057" i="102"/>
  <c r="AS1057" i="102"/>
  <c r="AW1057" i="102"/>
  <c r="AX1057" i="102"/>
  <c r="AY1057" i="102"/>
  <c r="AZ1057" i="102"/>
  <c r="BA1057" i="102"/>
  <c r="BB1057" i="102"/>
  <c r="AT1058" i="102"/>
  <c r="AS1058" i="102"/>
  <c r="AW1058" i="102"/>
  <c r="AX1058" i="102"/>
  <c r="AY1058" i="102"/>
  <c r="AZ1058" i="102"/>
  <c r="BA1058" i="102"/>
  <c r="BB1058" i="102"/>
  <c r="AT1059" i="102"/>
  <c r="AS1059" i="102"/>
  <c r="AW1059" i="102"/>
  <c r="AX1059" i="102"/>
  <c r="AY1059" i="102"/>
  <c r="AZ1059" i="102"/>
  <c r="BA1059" i="102"/>
  <c r="BB1059" i="102"/>
  <c r="AT1060" i="102"/>
  <c r="AS1060" i="102"/>
  <c r="AW1060" i="102"/>
  <c r="AX1060" i="102"/>
  <c r="AY1060" i="102"/>
  <c r="AZ1060" i="102"/>
  <c r="BA1060" i="102"/>
  <c r="BB1060" i="102"/>
  <c r="AT1061" i="102"/>
  <c r="AS1061" i="102"/>
  <c r="AW1061" i="102"/>
  <c r="AX1061" i="102"/>
  <c r="AY1061" i="102"/>
  <c r="AZ1061" i="102"/>
  <c r="BA1061" i="102"/>
  <c r="BB1061" i="102"/>
  <c r="AT1062" i="102"/>
  <c r="AS1062" i="102"/>
  <c r="AW1062" i="102"/>
  <c r="AX1062" i="102"/>
  <c r="AY1062" i="102"/>
  <c r="AZ1062" i="102"/>
  <c r="BA1062" i="102"/>
  <c r="BB1062" i="102"/>
  <c r="AT1063" i="102"/>
  <c r="AW1063" i="102"/>
  <c r="AX1063" i="102"/>
  <c r="AY1063" i="102"/>
  <c r="AZ1063" i="102"/>
  <c r="BA1063" i="102"/>
  <c r="BB1063" i="102"/>
  <c r="AT1064" i="102"/>
  <c r="AW1064" i="102"/>
  <c r="AX1064" i="102"/>
  <c r="AY1064" i="102"/>
  <c r="AZ1064" i="102"/>
  <c r="BA1064" i="102"/>
  <c r="BB1064" i="102"/>
  <c r="AT1065" i="102"/>
  <c r="AW1065" i="102"/>
  <c r="AX1065" i="102"/>
  <c r="AY1065" i="102"/>
  <c r="AZ1065" i="102"/>
  <c r="BA1065" i="102"/>
  <c r="BB1065" i="102"/>
  <c r="AT1066" i="102"/>
  <c r="AS1066" i="102"/>
  <c r="AW1066" i="102"/>
  <c r="AX1066" i="102"/>
  <c r="AY1066" i="102"/>
  <c r="AZ1066" i="102"/>
  <c r="BA1066" i="102"/>
  <c r="BB1066" i="102"/>
  <c r="AT1067" i="102"/>
  <c r="AS1067" i="102"/>
  <c r="AW1067" i="102"/>
  <c r="AX1067" i="102"/>
  <c r="AY1067" i="102"/>
  <c r="AZ1067" i="102"/>
  <c r="BA1067" i="102"/>
  <c r="BB1067" i="102"/>
  <c r="AT1068" i="102"/>
  <c r="AS1068" i="102"/>
  <c r="AW1068" i="102"/>
  <c r="AX1068" i="102"/>
  <c r="AY1068" i="102"/>
  <c r="AZ1068" i="102"/>
  <c r="BA1068" i="102"/>
  <c r="BB1068" i="102"/>
  <c r="AT1069" i="102"/>
  <c r="AS1069" i="102"/>
  <c r="AW1069" i="102"/>
  <c r="AX1069" i="102"/>
  <c r="AY1069" i="102"/>
  <c r="AZ1069" i="102"/>
  <c r="BA1069" i="102"/>
  <c r="BB1069" i="102"/>
  <c r="AT1070" i="102"/>
  <c r="AS1070" i="102"/>
  <c r="AW1070" i="102"/>
  <c r="AX1070" i="102"/>
  <c r="AY1070" i="102"/>
  <c r="AZ1070" i="102"/>
  <c r="BA1070" i="102"/>
  <c r="BB1070" i="102"/>
  <c r="AT1071" i="102"/>
  <c r="AS1071" i="102"/>
  <c r="AW1071" i="102"/>
  <c r="AX1071" i="102"/>
  <c r="AY1071" i="102"/>
  <c r="AZ1071" i="102"/>
  <c r="BA1071" i="102"/>
  <c r="BB1071" i="102"/>
  <c r="AT1072" i="102"/>
  <c r="AS1072" i="102"/>
  <c r="AW1072" i="102"/>
  <c r="AX1072" i="102"/>
  <c r="AY1072" i="102"/>
  <c r="AZ1072" i="102"/>
  <c r="BA1072" i="102"/>
  <c r="BB1072" i="102"/>
  <c r="AT1073" i="102"/>
  <c r="AS1073" i="102"/>
  <c r="AW1073" i="102"/>
  <c r="AX1073" i="102"/>
  <c r="AY1073" i="102"/>
  <c r="AZ1073" i="102"/>
  <c r="BA1073" i="102"/>
  <c r="BB1073" i="102"/>
  <c r="AT1074" i="102"/>
  <c r="AS1074" i="102"/>
  <c r="AW1074" i="102"/>
  <c r="AX1074" i="102"/>
  <c r="AY1074" i="102"/>
  <c r="AZ1074" i="102"/>
  <c r="BA1074" i="102"/>
  <c r="BB1074" i="102"/>
  <c r="AT1075" i="102"/>
  <c r="AS1075" i="102"/>
  <c r="AW1075" i="102"/>
  <c r="AX1075" i="102"/>
  <c r="AY1075" i="102"/>
  <c r="AZ1075" i="102"/>
  <c r="BA1075" i="102"/>
  <c r="BB1075" i="102"/>
  <c r="AT1076" i="102"/>
  <c r="AS1076" i="102"/>
  <c r="AW1076" i="102"/>
  <c r="AX1076" i="102"/>
  <c r="AY1076" i="102"/>
  <c r="AZ1076" i="102"/>
  <c r="BA1076" i="102"/>
  <c r="BB1076" i="102"/>
  <c r="AJ1077" i="102"/>
  <c r="AT1077" i="102"/>
  <c r="AS1077" i="102"/>
  <c r="AW1077" i="102"/>
  <c r="AX1077" i="102"/>
  <c r="AY1077" i="102"/>
  <c r="AZ1077" i="102"/>
  <c r="BA1077" i="102"/>
  <c r="BB1077" i="102"/>
  <c r="AJ1078" i="102"/>
  <c r="AT1078" i="102"/>
  <c r="AS1078" i="102"/>
  <c r="AW1078" i="102"/>
  <c r="AX1078" i="102"/>
  <c r="AY1078" i="102"/>
  <c r="AZ1078" i="102"/>
  <c r="BA1078" i="102"/>
  <c r="BB1078" i="102"/>
  <c r="AJ1079" i="102"/>
  <c r="AT1079" i="102"/>
  <c r="AS1079" i="102"/>
  <c r="AW1079" i="102"/>
  <c r="AX1079" i="102"/>
  <c r="AY1079" i="102"/>
  <c r="AZ1079" i="102"/>
  <c r="BA1079" i="102"/>
  <c r="BB1079" i="102"/>
  <c r="AJ1080" i="102"/>
  <c r="AT1080" i="102"/>
  <c r="AS1080" i="102"/>
  <c r="AW1080" i="102"/>
  <c r="AX1080" i="102"/>
  <c r="AY1080" i="102"/>
  <c r="AZ1080" i="102"/>
  <c r="BA1080" i="102"/>
  <c r="BB1080" i="102"/>
  <c r="AT1081" i="102"/>
  <c r="AS1081" i="102"/>
  <c r="AW1081" i="102"/>
  <c r="AX1081" i="102"/>
  <c r="AY1081" i="102"/>
  <c r="AZ1081" i="102"/>
  <c r="BA1081" i="102"/>
  <c r="BB1081" i="102"/>
  <c r="AT1082" i="102"/>
  <c r="AS1082" i="102"/>
  <c r="AW1082" i="102"/>
  <c r="AX1082" i="102"/>
  <c r="AY1082" i="102"/>
  <c r="AZ1082" i="102"/>
  <c r="BA1082" i="102"/>
  <c r="BB1082" i="102"/>
  <c r="AT1083" i="102"/>
  <c r="AS1083" i="102"/>
  <c r="AW1083" i="102"/>
  <c r="AX1083" i="102"/>
  <c r="AY1083" i="102"/>
  <c r="AZ1083" i="102"/>
  <c r="BA1083" i="102"/>
  <c r="BB1083" i="102"/>
  <c r="AT1084" i="102"/>
  <c r="AS1084" i="102"/>
  <c r="AW1084" i="102"/>
  <c r="AX1084" i="102"/>
  <c r="AY1084" i="102"/>
  <c r="AZ1084" i="102"/>
  <c r="BA1084" i="102"/>
  <c r="BB1084" i="102"/>
  <c r="AT1085" i="102"/>
  <c r="AS1085" i="102"/>
  <c r="AW1085" i="102"/>
  <c r="AX1085" i="102"/>
  <c r="AY1085" i="102"/>
  <c r="AZ1085" i="102"/>
  <c r="BA1085" i="102"/>
  <c r="BB1085" i="102"/>
  <c r="AT1086" i="102"/>
  <c r="AS1086" i="102"/>
  <c r="AW1086" i="102"/>
  <c r="AX1086" i="102"/>
  <c r="AY1086" i="102"/>
  <c r="AZ1086" i="102"/>
  <c r="BA1086" i="102"/>
  <c r="BB1086" i="102"/>
  <c r="AT1087" i="102"/>
  <c r="AS1087" i="102"/>
  <c r="AW1087" i="102"/>
  <c r="AX1087" i="102"/>
  <c r="AY1087" i="102"/>
  <c r="AZ1087" i="102"/>
  <c r="BA1087" i="102"/>
  <c r="BB1087" i="102"/>
  <c r="AT1088" i="102"/>
  <c r="AS1088" i="102"/>
  <c r="AW1088" i="102"/>
  <c r="AX1088" i="102"/>
  <c r="AY1088" i="102"/>
  <c r="AZ1088" i="102"/>
  <c r="BA1088" i="102"/>
  <c r="BB1088" i="102"/>
  <c r="AT1089" i="102"/>
  <c r="AS1089" i="102"/>
  <c r="AW1089" i="102"/>
  <c r="AX1089" i="102"/>
  <c r="AY1089" i="102"/>
  <c r="AZ1089" i="102"/>
  <c r="BA1089" i="102"/>
  <c r="BB1089" i="102"/>
  <c r="AT1090" i="102"/>
  <c r="AS1090" i="102"/>
  <c r="AW1090" i="102"/>
  <c r="AX1090" i="102"/>
  <c r="AY1090" i="102"/>
  <c r="AZ1090" i="102"/>
  <c r="BA1090" i="102"/>
  <c r="BB1090" i="102"/>
  <c r="AT1091" i="102"/>
  <c r="AS1091" i="102"/>
  <c r="AW1091" i="102"/>
  <c r="AX1091" i="102"/>
  <c r="AY1091" i="102"/>
  <c r="AZ1091" i="102"/>
  <c r="BA1091" i="102"/>
  <c r="BB1091" i="102"/>
  <c r="AT1092" i="102"/>
  <c r="AS1092" i="102"/>
  <c r="AW1092" i="102"/>
  <c r="AX1092" i="102"/>
  <c r="AY1092" i="102"/>
  <c r="AZ1092" i="102"/>
  <c r="BA1092" i="102"/>
  <c r="BB1092" i="102"/>
  <c r="AT1093" i="102"/>
  <c r="AS1093" i="102"/>
  <c r="AW1093" i="102"/>
  <c r="AX1093" i="102"/>
  <c r="AY1093" i="102"/>
  <c r="AZ1093" i="102"/>
  <c r="BA1093" i="102"/>
  <c r="BB1093" i="102"/>
  <c r="AT1094" i="102"/>
  <c r="AS1094" i="102"/>
  <c r="AW1094" i="102"/>
  <c r="AX1094" i="102"/>
  <c r="AY1094" i="102"/>
  <c r="AZ1094" i="102"/>
  <c r="BA1094" i="102"/>
  <c r="BB1094" i="102"/>
  <c r="AT1095" i="102"/>
  <c r="AS1095" i="102"/>
  <c r="AW1095" i="102"/>
  <c r="AX1095" i="102"/>
  <c r="AY1095" i="102"/>
  <c r="AZ1095" i="102"/>
  <c r="BA1095" i="102"/>
  <c r="BB1095" i="102"/>
  <c r="AT1096" i="102"/>
  <c r="AS1096" i="102"/>
  <c r="AW1096" i="102"/>
  <c r="AX1096" i="102"/>
  <c r="AY1096" i="102"/>
  <c r="AZ1096" i="102"/>
  <c r="BA1096" i="102"/>
  <c r="BB1096" i="102"/>
  <c r="AT1097" i="102"/>
  <c r="AS1097" i="102"/>
  <c r="AW1097" i="102"/>
  <c r="AX1097" i="102"/>
  <c r="AY1097" i="102"/>
  <c r="AZ1097" i="102"/>
  <c r="BA1097" i="102"/>
  <c r="BB1097" i="102"/>
  <c r="AT1098" i="102"/>
  <c r="AS1098" i="102"/>
  <c r="AW1098" i="102"/>
  <c r="AX1098" i="102"/>
  <c r="AY1098" i="102"/>
  <c r="AZ1098" i="102"/>
  <c r="BA1098" i="102"/>
  <c r="BB1098" i="102"/>
  <c r="AT1099" i="102"/>
  <c r="AS1099" i="102"/>
  <c r="AW1099" i="102"/>
  <c r="AX1099" i="102"/>
  <c r="AY1099" i="102"/>
  <c r="AZ1099" i="102"/>
  <c r="BA1099" i="102"/>
  <c r="BB1099" i="102"/>
  <c r="AT1100" i="102"/>
  <c r="AS1100" i="102"/>
  <c r="AW1100" i="102"/>
  <c r="AX1100" i="102"/>
  <c r="AY1100" i="102"/>
  <c r="AZ1100" i="102"/>
  <c r="BA1100" i="102"/>
  <c r="BB1100" i="102"/>
  <c r="AT1101" i="102"/>
  <c r="AS1101" i="102"/>
  <c r="AW1101" i="102"/>
  <c r="AX1101" i="102"/>
  <c r="AY1101" i="102"/>
  <c r="AZ1101" i="102"/>
  <c r="BA1101" i="102"/>
  <c r="BB1101" i="102"/>
  <c r="AT1102" i="102"/>
  <c r="AS1102" i="102"/>
  <c r="AW1102" i="102"/>
  <c r="AX1102" i="102"/>
  <c r="AY1102" i="102"/>
  <c r="AZ1102" i="102"/>
  <c r="BA1102" i="102"/>
  <c r="BB1102" i="102"/>
  <c r="AT1103" i="102"/>
  <c r="AS1103" i="102"/>
  <c r="AW1103" i="102"/>
  <c r="AX1103" i="102"/>
  <c r="AY1103" i="102"/>
  <c r="AZ1103" i="102"/>
  <c r="BA1103" i="102"/>
  <c r="BB1103" i="102"/>
  <c r="AT1104" i="102"/>
  <c r="AS1104" i="102"/>
  <c r="AW1104" i="102"/>
  <c r="AX1104" i="102"/>
  <c r="AY1104" i="102"/>
  <c r="AZ1104" i="102"/>
  <c r="BA1104" i="102"/>
  <c r="BB1104" i="102"/>
  <c r="AT1105" i="102"/>
  <c r="AS1105" i="102"/>
  <c r="AW1105" i="102"/>
  <c r="AX1105" i="102"/>
  <c r="AY1105" i="102"/>
  <c r="AZ1105" i="102"/>
  <c r="BA1105" i="102"/>
  <c r="BB1105" i="102"/>
  <c r="AT1106" i="102"/>
  <c r="AS1106" i="102"/>
  <c r="AW1106" i="102"/>
  <c r="AX1106" i="102"/>
  <c r="AY1106" i="102"/>
  <c r="AZ1106" i="102"/>
  <c r="BA1106" i="102"/>
  <c r="BB1106" i="102"/>
  <c r="AT1107" i="102"/>
  <c r="AS1107" i="102"/>
  <c r="AW1107" i="102"/>
  <c r="AX1107" i="102"/>
  <c r="AY1107" i="102"/>
  <c r="AZ1107" i="102"/>
  <c r="BA1107" i="102"/>
  <c r="BB1107" i="102"/>
  <c r="AT1108" i="102"/>
  <c r="AS1108" i="102"/>
  <c r="AW1108" i="102"/>
  <c r="AX1108" i="102"/>
  <c r="AY1108" i="102"/>
  <c r="AZ1108" i="102"/>
  <c r="BA1108" i="102"/>
  <c r="BB1108" i="102"/>
  <c r="AT1109" i="102"/>
  <c r="AS1109" i="102"/>
  <c r="AW1109" i="102"/>
  <c r="AX1109" i="102"/>
  <c r="AY1109" i="102"/>
  <c r="AZ1109" i="102"/>
  <c r="BA1109" i="102"/>
  <c r="BB1109" i="102"/>
  <c r="AT1110" i="102"/>
  <c r="AS1110" i="102"/>
  <c r="AW1110" i="102"/>
  <c r="AX1110" i="102"/>
  <c r="AY1110" i="102"/>
  <c r="AZ1110" i="102"/>
  <c r="BA1110" i="102"/>
  <c r="BB1110" i="102"/>
  <c r="AT1111" i="102"/>
  <c r="AS1111" i="102"/>
  <c r="AW1111" i="102"/>
  <c r="AX1111" i="102"/>
  <c r="AY1111" i="102"/>
  <c r="AZ1111" i="102"/>
  <c r="BA1111" i="102"/>
  <c r="BB1111" i="102"/>
  <c r="AT1112" i="102"/>
  <c r="AS1112" i="102"/>
  <c r="AW1112" i="102"/>
  <c r="AX1112" i="102"/>
  <c r="AY1112" i="102"/>
  <c r="AZ1112" i="102"/>
  <c r="BA1112" i="102"/>
  <c r="BB1112" i="102"/>
  <c r="AT1113" i="102"/>
  <c r="AS1113" i="102"/>
  <c r="AW1113" i="102"/>
  <c r="AX1113" i="102"/>
  <c r="AY1113" i="102"/>
  <c r="AZ1113" i="102"/>
  <c r="BA1113" i="102"/>
  <c r="BB1113" i="102"/>
  <c r="AT1114" i="102"/>
  <c r="AS1114" i="102"/>
  <c r="AW1114" i="102"/>
  <c r="AX1114" i="102"/>
  <c r="AY1114" i="102"/>
  <c r="AZ1114" i="102"/>
  <c r="BA1114" i="102"/>
  <c r="BB1114" i="102"/>
  <c r="AT1115" i="102"/>
  <c r="AS1115" i="102"/>
  <c r="AW1115" i="102"/>
  <c r="AX1115" i="102"/>
  <c r="AY1115" i="102"/>
  <c r="AZ1115" i="102"/>
  <c r="BA1115" i="102"/>
  <c r="BB1115" i="102"/>
  <c r="AT1116" i="102"/>
  <c r="AS1116" i="102"/>
  <c r="AW1116" i="102"/>
  <c r="AX1116" i="102"/>
  <c r="AY1116" i="102"/>
  <c r="AZ1116" i="102"/>
  <c r="BA1116" i="102"/>
  <c r="BB1116" i="102"/>
  <c r="AT1117" i="102"/>
  <c r="AS1117" i="102"/>
  <c r="AW1117" i="102"/>
  <c r="AX1117" i="102"/>
  <c r="AY1117" i="102"/>
  <c r="AZ1117" i="102"/>
  <c r="BA1117" i="102"/>
  <c r="BB1117" i="102"/>
  <c r="AT1118" i="102"/>
  <c r="AS1118" i="102"/>
  <c r="AW1118" i="102"/>
  <c r="AX1118" i="102"/>
  <c r="AY1118" i="102"/>
  <c r="AZ1118" i="102"/>
  <c r="BA1118" i="102"/>
  <c r="BB1118" i="102"/>
  <c r="AT1119" i="102"/>
  <c r="AS1119" i="102"/>
  <c r="AW1119" i="102"/>
  <c r="AX1119" i="102"/>
  <c r="AY1119" i="102"/>
  <c r="AZ1119" i="102"/>
  <c r="BA1119" i="102"/>
  <c r="BB1119" i="102"/>
  <c r="AT1120" i="102"/>
  <c r="AS1120" i="102"/>
  <c r="AW1120" i="102"/>
  <c r="AX1120" i="102"/>
  <c r="AY1120" i="102"/>
  <c r="AZ1120" i="102"/>
  <c r="BA1120" i="102"/>
  <c r="BB1120" i="102"/>
  <c r="AT1121" i="102"/>
  <c r="AS1121" i="102"/>
  <c r="AW1121" i="102"/>
  <c r="AX1121" i="102"/>
  <c r="AY1121" i="102"/>
  <c r="AZ1121" i="102"/>
  <c r="BA1121" i="102"/>
  <c r="BB1121" i="102"/>
  <c r="AT1122" i="102"/>
  <c r="AS1122" i="102"/>
  <c r="AW1122" i="102"/>
  <c r="AX1122" i="102"/>
  <c r="AY1122" i="102"/>
  <c r="AZ1122" i="102"/>
  <c r="BA1122" i="102"/>
  <c r="BB1122" i="102"/>
  <c r="AT1123" i="102"/>
  <c r="AS1123" i="102"/>
  <c r="AW1123" i="102"/>
  <c r="AX1123" i="102"/>
  <c r="AY1123" i="102"/>
  <c r="AZ1123" i="102"/>
  <c r="BA1123" i="102"/>
  <c r="BB1123" i="102"/>
  <c r="AT1124" i="102"/>
  <c r="AS1124" i="102"/>
  <c r="AW1124" i="102"/>
  <c r="AX1124" i="102"/>
  <c r="AY1124" i="102"/>
  <c r="AZ1124" i="102"/>
  <c r="BA1124" i="102"/>
  <c r="BB1124" i="102"/>
  <c r="AT1125" i="102"/>
  <c r="AS1125" i="102"/>
  <c r="AW1125" i="102"/>
  <c r="AX1125" i="102"/>
  <c r="AY1125" i="102"/>
  <c r="AZ1125" i="102"/>
  <c r="BA1125" i="102"/>
  <c r="BB1125" i="102"/>
  <c r="AT1126" i="102"/>
  <c r="AS1126" i="102"/>
  <c r="AW1126" i="102"/>
  <c r="AX1126" i="102"/>
  <c r="AY1126" i="102"/>
  <c r="AZ1126" i="102"/>
  <c r="BA1126" i="102"/>
  <c r="BB1126" i="102"/>
  <c r="AT1127" i="102"/>
  <c r="AS1127" i="102"/>
  <c r="AW1127" i="102"/>
  <c r="AX1127" i="102"/>
  <c r="AY1127" i="102"/>
  <c r="AZ1127" i="102"/>
  <c r="BA1127" i="102"/>
  <c r="BB1127" i="102"/>
  <c r="AT1128" i="102"/>
  <c r="AS1128" i="102"/>
  <c r="AW1128" i="102"/>
  <c r="AX1128" i="102"/>
  <c r="AY1128" i="102"/>
  <c r="AZ1128" i="102"/>
  <c r="BA1128" i="102"/>
  <c r="BB1128" i="102"/>
  <c r="AT1129" i="102"/>
  <c r="AS1129" i="102"/>
  <c r="AW1129" i="102"/>
  <c r="AX1129" i="102"/>
  <c r="AY1129" i="102"/>
  <c r="AZ1129" i="102"/>
  <c r="BA1129" i="102"/>
  <c r="BB1129" i="102"/>
  <c r="AT1130" i="102"/>
  <c r="AS1130" i="102"/>
  <c r="AW1130" i="102"/>
  <c r="AX1130" i="102"/>
  <c r="AY1130" i="102"/>
  <c r="AZ1130" i="102"/>
  <c r="BA1130" i="102"/>
  <c r="BB1130" i="102"/>
  <c r="AT1131" i="102"/>
  <c r="AS1131" i="102"/>
  <c r="AW1131" i="102"/>
  <c r="AX1131" i="102"/>
  <c r="AY1131" i="102"/>
  <c r="AZ1131" i="102"/>
  <c r="BA1131" i="102"/>
  <c r="BB1131" i="102"/>
  <c r="AT1132" i="102"/>
  <c r="AS1132" i="102"/>
  <c r="AW1132" i="102"/>
  <c r="AX1132" i="102"/>
  <c r="AY1132" i="102"/>
  <c r="AZ1132" i="102"/>
  <c r="BA1132" i="102"/>
  <c r="BB1132" i="102"/>
  <c r="AT1133" i="102"/>
  <c r="AS1133" i="102"/>
  <c r="AW1133" i="102"/>
  <c r="AX1133" i="102"/>
  <c r="AY1133" i="102"/>
  <c r="AZ1133" i="102"/>
  <c r="BA1133" i="102"/>
  <c r="BB1133" i="102"/>
  <c r="AT1134" i="102"/>
  <c r="AS1134" i="102" s="1"/>
  <c r="AW1134" i="102"/>
  <c r="AX1134" i="102"/>
  <c r="AY1134" i="102"/>
  <c r="AZ1134" i="102"/>
  <c r="BA1134" i="102"/>
  <c r="BB1134" i="102"/>
  <c r="S29" i="101"/>
  <c r="S23" i="101"/>
  <c r="S419" i="28" l="1"/>
  <c r="T418" i="28"/>
  <c r="S420" i="28"/>
  <c r="S418" i="28"/>
  <c r="T423" i="28"/>
  <c r="E19" i="103"/>
  <c r="E18" i="103"/>
  <c r="E17" i="103"/>
  <c r="E16" i="103"/>
  <c r="E15" i="103"/>
  <c r="E14" i="103"/>
  <c r="E13" i="103"/>
  <c r="E12" i="103"/>
  <c r="E11" i="103"/>
  <c r="E10" i="103"/>
  <c r="E9" i="103"/>
  <c r="E8" i="103"/>
  <c r="E7" i="103"/>
  <c r="E6" i="103"/>
  <c r="E5" i="103"/>
  <c r="E4" i="103"/>
  <c r="E3" i="103"/>
  <c r="E2" i="103"/>
  <c r="E1" i="103"/>
  <c r="CQ417" i="28" l="1"/>
  <c r="CQ416" i="28"/>
  <c r="CQ415" i="28"/>
  <c r="CQ414" i="28"/>
  <c r="CQ413" i="28"/>
  <c r="CQ412" i="28"/>
  <c r="CQ411" i="28"/>
  <c r="CQ410" i="28"/>
  <c r="CQ409" i="28"/>
  <c r="CQ408" i="28"/>
  <c r="CQ407" i="28"/>
  <c r="CQ406" i="28"/>
  <c r="CQ405" i="28"/>
  <c r="CQ404" i="28"/>
  <c r="CQ403" i="28"/>
  <c r="CQ402" i="28"/>
  <c r="CQ401" i="28"/>
  <c r="CQ400" i="28"/>
  <c r="CQ399" i="28"/>
  <c r="CQ398" i="28"/>
  <c r="CQ397" i="28"/>
  <c r="CQ396" i="28"/>
  <c r="CQ395" i="28"/>
  <c r="CQ394" i="28"/>
  <c r="BP150" i="75" l="1"/>
  <c r="CT406" i="28"/>
  <c r="CT407" i="28"/>
  <c r="CT408" i="28"/>
  <c r="CT409" i="28"/>
  <c r="CT410" i="28"/>
  <c r="CT411" i="28"/>
  <c r="CT412" i="28"/>
  <c r="CT413" i="28"/>
  <c r="CT414" i="28"/>
  <c r="CT415" i="28"/>
  <c r="CT416" i="28"/>
  <c r="CT417" i="28"/>
  <c r="CS406" i="28"/>
  <c r="P406" i="28" s="1"/>
  <c r="CS407" i="28"/>
  <c r="P407" i="28" s="1"/>
  <c r="CS408" i="28"/>
  <c r="P408" i="28" s="1"/>
  <c r="CS409" i="28"/>
  <c r="P409" i="28" s="1"/>
  <c r="CS410" i="28"/>
  <c r="P410" i="28" s="1"/>
  <c r="CS411" i="28"/>
  <c r="P411" i="28" s="1"/>
  <c r="CS412" i="28"/>
  <c r="P412" i="28" s="1"/>
  <c r="CS413" i="28"/>
  <c r="P413" i="28" s="1"/>
  <c r="CS414" i="28"/>
  <c r="P414" i="28" s="1"/>
  <c r="CS415" i="28"/>
  <c r="P415" i="28" s="1"/>
  <c r="CS416" i="28"/>
  <c r="P416" i="28" s="1"/>
  <c r="CS417" i="28"/>
  <c r="P417" i="28" s="1"/>
  <c r="R417" i="28" s="1"/>
  <c r="CR406" i="28"/>
  <c r="CR407" i="28"/>
  <c r="CR408" i="28"/>
  <c r="CR409" i="28"/>
  <c r="CR410" i="28"/>
  <c r="CR411" i="28"/>
  <c r="CR412" i="28"/>
  <c r="CR413" i="28"/>
  <c r="CR414" i="28"/>
  <c r="CR415" i="28"/>
  <c r="CR416" i="28"/>
  <c r="CR417" i="28"/>
  <c r="CP406" i="28"/>
  <c r="CP407" i="28"/>
  <c r="CP408" i="28"/>
  <c r="CP409" i="28"/>
  <c r="CP410" i="28"/>
  <c r="CP411" i="28"/>
  <c r="CP412" i="28"/>
  <c r="CP413" i="28"/>
  <c r="CP414" i="28"/>
  <c r="CP415" i="28"/>
  <c r="CP416" i="28"/>
  <c r="CP417" i="28"/>
  <c r="R406" i="28"/>
  <c r="R407" i="28"/>
  <c r="R408" i="28"/>
  <c r="R409" i="28"/>
  <c r="R410" i="28"/>
  <c r="R411" i="28"/>
  <c r="R412" i="28"/>
  <c r="R413" i="28"/>
  <c r="R414" i="28"/>
  <c r="R415" i="28"/>
  <c r="R416" i="28"/>
  <c r="Q406" i="28"/>
  <c r="Q407" i="28"/>
  <c r="Q408" i="28"/>
  <c r="Q409" i="28"/>
  <c r="Q410" i="28"/>
  <c r="Q411" i="28"/>
  <c r="Q412" i="28"/>
  <c r="Q413" i="28"/>
  <c r="Q414" i="28"/>
  <c r="Q415" i="28"/>
  <c r="Q416" i="28"/>
  <c r="Q417" i="28"/>
  <c r="CT2" i="28"/>
  <c r="CT3" i="28"/>
  <c r="CT4" i="28"/>
  <c r="CT5" i="28"/>
  <c r="CT6" i="28"/>
  <c r="CT7" i="28"/>
  <c r="CT8" i="28"/>
  <c r="CT9" i="28"/>
  <c r="CT10" i="28"/>
  <c r="CT11" i="28"/>
  <c r="CT12" i="28"/>
  <c r="CT13" i="28"/>
  <c r="CT14" i="28"/>
  <c r="CT15" i="28"/>
  <c r="CT16" i="28"/>
  <c r="CT17" i="28"/>
  <c r="CT18" i="28"/>
  <c r="CT19" i="28"/>
  <c r="CT20" i="28"/>
  <c r="CT21" i="28"/>
  <c r="CT22" i="28"/>
  <c r="CT23" i="28"/>
  <c r="CT24" i="28"/>
  <c r="CT25" i="28"/>
  <c r="CT26" i="28"/>
  <c r="CT27" i="28"/>
  <c r="CT28" i="28"/>
  <c r="CT29" i="28"/>
  <c r="CT30" i="28"/>
  <c r="CT31" i="28"/>
  <c r="CT32" i="28"/>
  <c r="CT33" i="28"/>
  <c r="CT34" i="28"/>
  <c r="CT35" i="28"/>
  <c r="CT36" i="28"/>
  <c r="CT37" i="28"/>
  <c r="CT38" i="28"/>
  <c r="CT39" i="28"/>
  <c r="CT40" i="28"/>
  <c r="CT41" i="28"/>
  <c r="CT42" i="28"/>
  <c r="CT43" i="28"/>
  <c r="CT44" i="28"/>
  <c r="CT45" i="28"/>
  <c r="CT46" i="28"/>
  <c r="CT47" i="28"/>
  <c r="CT48" i="28"/>
  <c r="CT49" i="28"/>
  <c r="CT50" i="28"/>
  <c r="CT51" i="28"/>
  <c r="CT52" i="28"/>
  <c r="CT53" i="28"/>
  <c r="CT54" i="28"/>
  <c r="CT55" i="28"/>
  <c r="CT56" i="28"/>
  <c r="CT57" i="28"/>
  <c r="CT58" i="28"/>
  <c r="CT59" i="28"/>
  <c r="CT60" i="28"/>
  <c r="CT61" i="28"/>
  <c r="CT62" i="28"/>
  <c r="CT63" i="28"/>
  <c r="CT64" i="28"/>
  <c r="CT65" i="28"/>
  <c r="CT66" i="28"/>
  <c r="CT67" i="28"/>
  <c r="CT68" i="28"/>
  <c r="CT69" i="28"/>
  <c r="CT70" i="28"/>
  <c r="CT71" i="28"/>
  <c r="CT72" i="28"/>
  <c r="CT73" i="28"/>
  <c r="CT74" i="28"/>
  <c r="CT75" i="28"/>
  <c r="CT76" i="28"/>
  <c r="CT77" i="28"/>
  <c r="CT78" i="28"/>
  <c r="CT79" i="28"/>
  <c r="CT80" i="28"/>
  <c r="CT81" i="28"/>
  <c r="CT82" i="28"/>
  <c r="CT83" i="28"/>
  <c r="CT84" i="28"/>
  <c r="CT85" i="28"/>
  <c r="CT86" i="28"/>
  <c r="CT87" i="28"/>
  <c r="CT88" i="28"/>
  <c r="CT89" i="28"/>
  <c r="CT90" i="28"/>
  <c r="CT91" i="28"/>
  <c r="CT92" i="28"/>
  <c r="CT93" i="28"/>
  <c r="CT94" i="28"/>
  <c r="CT95" i="28"/>
  <c r="CT96" i="28"/>
  <c r="CT97" i="28"/>
  <c r="CT98" i="28"/>
  <c r="CT99" i="28"/>
  <c r="CT100" i="28"/>
  <c r="CT101" i="28"/>
  <c r="CT102" i="28"/>
  <c r="CT103" i="28"/>
  <c r="CT104" i="28"/>
  <c r="CT105" i="28"/>
  <c r="CT106" i="28"/>
  <c r="CT107" i="28"/>
  <c r="CT108" i="28"/>
  <c r="CT109" i="28"/>
  <c r="CT110" i="28"/>
  <c r="CT111" i="28"/>
  <c r="CT112" i="28"/>
  <c r="CT113" i="28"/>
  <c r="CT114" i="28"/>
  <c r="CT115" i="28"/>
  <c r="CT116" i="28"/>
  <c r="CT117" i="28"/>
  <c r="CT118" i="28"/>
  <c r="CT119" i="28"/>
  <c r="CT120" i="28"/>
  <c r="CT121" i="28"/>
  <c r="CT122" i="28"/>
  <c r="CT123" i="28"/>
  <c r="CT124" i="28"/>
  <c r="CT125" i="28"/>
  <c r="CT126" i="28"/>
  <c r="CT127" i="28"/>
  <c r="CT128" i="28"/>
  <c r="CT129" i="28"/>
  <c r="CT130" i="28"/>
  <c r="CT131" i="28"/>
  <c r="CT132" i="28"/>
  <c r="CT133" i="28"/>
  <c r="CT134" i="28"/>
  <c r="CT135" i="28"/>
  <c r="CT136" i="28"/>
  <c r="CT137" i="28"/>
  <c r="CT138" i="28"/>
  <c r="CT139" i="28"/>
  <c r="CT140" i="28"/>
  <c r="CT141" i="28"/>
  <c r="CT142" i="28"/>
  <c r="CT143" i="28"/>
  <c r="CT144" i="28"/>
  <c r="CT145" i="28"/>
  <c r="CT146" i="28"/>
  <c r="CT147" i="28"/>
  <c r="CT148" i="28"/>
  <c r="CT149" i="28"/>
  <c r="CT150" i="28"/>
  <c r="CT151" i="28"/>
  <c r="CT152" i="28"/>
  <c r="CT153" i="28"/>
  <c r="CT154" i="28"/>
  <c r="CT155" i="28"/>
  <c r="CT156" i="28"/>
  <c r="CT157" i="28"/>
  <c r="CT158" i="28"/>
  <c r="CT159" i="28"/>
  <c r="CT160" i="28"/>
  <c r="CT161" i="28"/>
  <c r="CT162" i="28"/>
  <c r="CT163" i="28"/>
  <c r="CT164" i="28"/>
  <c r="CT165" i="28"/>
  <c r="CT166" i="28"/>
  <c r="CT167" i="28"/>
  <c r="CT168" i="28"/>
  <c r="CT169" i="28"/>
  <c r="CT170" i="28"/>
  <c r="CT171" i="28"/>
  <c r="CT172" i="28"/>
  <c r="CT173" i="28"/>
  <c r="CT174" i="28"/>
  <c r="CT175" i="28"/>
  <c r="CT176" i="28"/>
  <c r="CT177" i="28"/>
  <c r="CT178" i="28"/>
  <c r="CT179" i="28"/>
  <c r="CT180" i="28"/>
  <c r="CT181" i="28"/>
  <c r="CT182" i="28"/>
  <c r="CT183" i="28"/>
  <c r="CT184" i="28"/>
  <c r="CT185" i="28"/>
  <c r="CT186" i="28"/>
  <c r="CT187" i="28"/>
  <c r="CT188" i="28"/>
  <c r="CT189" i="28"/>
  <c r="CT190" i="28"/>
  <c r="CT191" i="28"/>
  <c r="CT192" i="28"/>
  <c r="CT193" i="28"/>
  <c r="CT194" i="28"/>
  <c r="CT195" i="28"/>
  <c r="CT196" i="28"/>
  <c r="CT197" i="28"/>
  <c r="CT198" i="28"/>
  <c r="CT199" i="28"/>
  <c r="CT200" i="28"/>
  <c r="CT201" i="28"/>
  <c r="CT202" i="28"/>
  <c r="CT203" i="28"/>
  <c r="CT204" i="28"/>
  <c r="CT205" i="28"/>
  <c r="CT206" i="28"/>
  <c r="CT207" i="28"/>
  <c r="CT208" i="28"/>
  <c r="CT209" i="28"/>
  <c r="CT210" i="28"/>
  <c r="CT211" i="28"/>
  <c r="CT212" i="28"/>
  <c r="CT213" i="28"/>
  <c r="CT214" i="28"/>
  <c r="CT215" i="28"/>
  <c r="CT216" i="28"/>
  <c r="CT217" i="28"/>
  <c r="CT218" i="28"/>
  <c r="CT219" i="28"/>
  <c r="CT220" i="28"/>
  <c r="CT221" i="28"/>
  <c r="CT222" i="28"/>
  <c r="CT223" i="28"/>
  <c r="CT224" i="28"/>
  <c r="CT225" i="28"/>
  <c r="CT226" i="28"/>
  <c r="CT227" i="28"/>
  <c r="CT228" i="28"/>
  <c r="CT229" i="28"/>
  <c r="CT230" i="28"/>
  <c r="CT231" i="28"/>
  <c r="CT232" i="28"/>
  <c r="CT233" i="28"/>
  <c r="CT234" i="28"/>
  <c r="CT235" i="28"/>
  <c r="CT236" i="28"/>
  <c r="CT237" i="28"/>
  <c r="CT238" i="28"/>
  <c r="CT239" i="28"/>
  <c r="CT240" i="28"/>
  <c r="CT241" i="28"/>
  <c r="CT242" i="28"/>
  <c r="CT243" i="28"/>
  <c r="CT244" i="28"/>
  <c r="CT245" i="28"/>
  <c r="CT246" i="28"/>
  <c r="CT247" i="28"/>
  <c r="CT248" i="28"/>
  <c r="CT249" i="28"/>
  <c r="CT250" i="28"/>
  <c r="CT251" i="28"/>
  <c r="CT252" i="28"/>
  <c r="CT253" i="28"/>
  <c r="CT254" i="28"/>
  <c r="CT255" i="28"/>
  <c r="CT256" i="28"/>
  <c r="CT257" i="28"/>
  <c r="CT258" i="28"/>
  <c r="CT259" i="28"/>
  <c r="CT260" i="28"/>
  <c r="CT261" i="28"/>
  <c r="CT262" i="28"/>
  <c r="CT263" i="28"/>
  <c r="CT264" i="28"/>
  <c r="CT265" i="28"/>
  <c r="CT266" i="28"/>
  <c r="CT267" i="28"/>
  <c r="CT268" i="28"/>
  <c r="CT269" i="28"/>
  <c r="CT270" i="28"/>
  <c r="CT271" i="28"/>
  <c r="CT272" i="28"/>
  <c r="CT273" i="28"/>
  <c r="CT274" i="28"/>
  <c r="CT275" i="28"/>
  <c r="CT276" i="28"/>
  <c r="CT277" i="28"/>
  <c r="CT278" i="28"/>
  <c r="CT279" i="28"/>
  <c r="CT280" i="28"/>
  <c r="CT281" i="28"/>
  <c r="CT282" i="28"/>
  <c r="CT283" i="28"/>
  <c r="CT284" i="28"/>
  <c r="CT285" i="28"/>
  <c r="CT286" i="28"/>
  <c r="CT287" i="28"/>
  <c r="CT288" i="28"/>
  <c r="CT289" i="28"/>
  <c r="CT290" i="28"/>
  <c r="CT291" i="28"/>
  <c r="CT292" i="28"/>
  <c r="CT293" i="28"/>
  <c r="CT294" i="28"/>
  <c r="CT295" i="28"/>
  <c r="CT296" i="28"/>
  <c r="CT297" i="28"/>
  <c r="CT298" i="28"/>
  <c r="CT299" i="28"/>
  <c r="CT300" i="28"/>
  <c r="CT301" i="28"/>
  <c r="CT302" i="28"/>
  <c r="CT303" i="28"/>
  <c r="CT304" i="28"/>
  <c r="CT305" i="28"/>
  <c r="CT306" i="28"/>
  <c r="CT307" i="28"/>
  <c r="CT308" i="28"/>
  <c r="CT309" i="28"/>
  <c r="CT310" i="28"/>
  <c r="CT311" i="28"/>
  <c r="CT312" i="28"/>
  <c r="CT313" i="28"/>
  <c r="CT314" i="28"/>
  <c r="CT315" i="28"/>
  <c r="CT316" i="28"/>
  <c r="CT317" i="28"/>
  <c r="CT318" i="28"/>
  <c r="CT319" i="28"/>
  <c r="CT320" i="28"/>
  <c r="CT321" i="28"/>
  <c r="CT322" i="28"/>
  <c r="CT323" i="28"/>
  <c r="CT324" i="28"/>
  <c r="CT325" i="28"/>
  <c r="CT326" i="28"/>
  <c r="CT327" i="28"/>
  <c r="CT328" i="28"/>
  <c r="CT329" i="28"/>
  <c r="CT330" i="28"/>
  <c r="CT331" i="28"/>
  <c r="CT332" i="28"/>
  <c r="CT333" i="28"/>
  <c r="CT334" i="28"/>
  <c r="CT335" i="28"/>
  <c r="CT336" i="28"/>
  <c r="CT337" i="28"/>
  <c r="CT338" i="28"/>
  <c r="CT339" i="28"/>
  <c r="CT340" i="28"/>
  <c r="CT341" i="28"/>
  <c r="CT342" i="28"/>
  <c r="CT343" i="28"/>
  <c r="CT344" i="28"/>
  <c r="CT345" i="28"/>
  <c r="CT346" i="28"/>
  <c r="CT347" i="28"/>
  <c r="CT348" i="28"/>
  <c r="CT349" i="28"/>
  <c r="CT350" i="28"/>
  <c r="CT351" i="28"/>
  <c r="CT352" i="28"/>
  <c r="CT353" i="28"/>
  <c r="CT354" i="28"/>
  <c r="CT355" i="28"/>
  <c r="CT356" i="28"/>
  <c r="CT357" i="28"/>
  <c r="CT358" i="28"/>
  <c r="CT359" i="28"/>
  <c r="CT360" i="28"/>
  <c r="CT361" i="28"/>
  <c r="CT362" i="28"/>
  <c r="CT363" i="28"/>
  <c r="CT364" i="28"/>
  <c r="CT365" i="28"/>
  <c r="CT366" i="28"/>
  <c r="CT367" i="28"/>
  <c r="CT368" i="28"/>
  <c r="CT369" i="28"/>
  <c r="CT370" i="28"/>
  <c r="CT371" i="28"/>
  <c r="CT372" i="28"/>
  <c r="CT373" i="28"/>
  <c r="CT374" i="28"/>
  <c r="CT375" i="28"/>
  <c r="CT376" i="28"/>
  <c r="CT377" i="28"/>
  <c r="CT378" i="28"/>
  <c r="CT379" i="28"/>
  <c r="CT380" i="28"/>
  <c r="CT381" i="28"/>
  <c r="CT382" i="28"/>
  <c r="CT383" i="28"/>
  <c r="CT384" i="28"/>
  <c r="CT385" i="28"/>
  <c r="CT386" i="28"/>
  <c r="CT387" i="28"/>
  <c r="CT388" i="28"/>
  <c r="CT389" i="28"/>
  <c r="CT390" i="28"/>
  <c r="CT391" i="28"/>
  <c r="CT392" i="28"/>
  <c r="CT393" i="28"/>
  <c r="CT394" i="28"/>
  <c r="CT395" i="28"/>
  <c r="CT396" i="28"/>
  <c r="CT397" i="28"/>
  <c r="CT398" i="28"/>
  <c r="CT399" i="28"/>
  <c r="CT400" i="28"/>
  <c r="CT401" i="28"/>
  <c r="CT402" i="28"/>
  <c r="CT403" i="28"/>
  <c r="CT404" i="28"/>
  <c r="CT405" i="28"/>
  <c r="CS2" i="28"/>
  <c r="CS3" i="28"/>
  <c r="CS4" i="28"/>
  <c r="CS5" i="28"/>
  <c r="CS6" i="28"/>
  <c r="CS7" i="28"/>
  <c r="CS8" i="28"/>
  <c r="CS9" i="28"/>
  <c r="CS10" i="28"/>
  <c r="CS11" i="28"/>
  <c r="CS12" i="28"/>
  <c r="CS13" i="28"/>
  <c r="CS14" i="28"/>
  <c r="CS15" i="28"/>
  <c r="CS16" i="28"/>
  <c r="CS17" i="28"/>
  <c r="CS18" i="28"/>
  <c r="CS19" i="28"/>
  <c r="CS20" i="28"/>
  <c r="CS21" i="28"/>
  <c r="CS22" i="28"/>
  <c r="CS23" i="28"/>
  <c r="CS24" i="28"/>
  <c r="CS25" i="28"/>
  <c r="CS26" i="28"/>
  <c r="CS27" i="28"/>
  <c r="CS28" i="28"/>
  <c r="CS29" i="28"/>
  <c r="CS30" i="28"/>
  <c r="CS31" i="28"/>
  <c r="CS32" i="28"/>
  <c r="CS33" i="28"/>
  <c r="CS34" i="28"/>
  <c r="CS35" i="28"/>
  <c r="CS36" i="28"/>
  <c r="CS37" i="28"/>
  <c r="CS38" i="28"/>
  <c r="CS39" i="28"/>
  <c r="CS40" i="28"/>
  <c r="CS41" i="28"/>
  <c r="CS42" i="28"/>
  <c r="CS43" i="28"/>
  <c r="CS44" i="28"/>
  <c r="CS45" i="28"/>
  <c r="CS46" i="28"/>
  <c r="CS47" i="28"/>
  <c r="CS48" i="28"/>
  <c r="CS49" i="28"/>
  <c r="CS50" i="28"/>
  <c r="CS51" i="28"/>
  <c r="CS52" i="28"/>
  <c r="CS53" i="28"/>
  <c r="CS54" i="28"/>
  <c r="CS55" i="28"/>
  <c r="CS56" i="28"/>
  <c r="CS57" i="28"/>
  <c r="CS58" i="28"/>
  <c r="CS59" i="28"/>
  <c r="CS60" i="28"/>
  <c r="CS61" i="28"/>
  <c r="CS62" i="28"/>
  <c r="CS63" i="28"/>
  <c r="CS64" i="28"/>
  <c r="CS65" i="28"/>
  <c r="CS66" i="28"/>
  <c r="CS67" i="28"/>
  <c r="CS68" i="28"/>
  <c r="CS69" i="28"/>
  <c r="CS70" i="28"/>
  <c r="CS71" i="28"/>
  <c r="CS72" i="28"/>
  <c r="CS73" i="28"/>
  <c r="CS74" i="28"/>
  <c r="CS75" i="28"/>
  <c r="CS76" i="28"/>
  <c r="CS77" i="28"/>
  <c r="CS78" i="28"/>
  <c r="CS79" i="28"/>
  <c r="CS80" i="28"/>
  <c r="CS81" i="28"/>
  <c r="CS82" i="28"/>
  <c r="CS83" i="28"/>
  <c r="CS84" i="28"/>
  <c r="CS85" i="28"/>
  <c r="CS86" i="28"/>
  <c r="CS87" i="28"/>
  <c r="CS88" i="28"/>
  <c r="CS89" i="28"/>
  <c r="CS90" i="28"/>
  <c r="CS91" i="28"/>
  <c r="CS92" i="28"/>
  <c r="CS93" i="28"/>
  <c r="CS94" i="28"/>
  <c r="CS95" i="28"/>
  <c r="CS96" i="28"/>
  <c r="CS97" i="28"/>
  <c r="CS98" i="28"/>
  <c r="CS99" i="28"/>
  <c r="CS100" i="28"/>
  <c r="CS101" i="28"/>
  <c r="CS102" i="28"/>
  <c r="CS103" i="28"/>
  <c r="CS104" i="28"/>
  <c r="CS105" i="28"/>
  <c r="CS106" i="28"/>
  <c r="CS107" i="28"/>
  <c r="CS108" i="28"/>
  <c r="CS109" i="28"/>
  <c r="CS110" i="28"/>
  <c r="CS111" i="28"/>
  <c r="CS112" i="28"/>
  <c r="CS113" i="28"/>
  <c r="CS114" i="28"/>
  <c r="CS115" i="28"/>
  <c r="CS116" i="28"/>
  <c r="CS117" i="28"/>
  <c r="CS118" i="28"/>
  <c r="CS119" i="28"/>
  <c r="CS120" i="28"/>
  <c r="CS121" i="28"/>
  <c r="CS122" i="28"/>
  <c r="CS123" i="28"/>
  <c r="CS124" i="28"/>
  <c r="CS125" i="28"/>
  <c r="CS126" i="28"/>
  <c r="CS127" i="28"/>
  <c r="CS128" i="28"/>
  <c r="CS129" i="28"/>
  <c r="CS130" i="28"/>
  <c r="CS131" i="28"/>
  <c r="CS132" i="28"/>
  <c r="CS133" i="28"/>
  <c r="CS134" i="28"/>
  <c r="CS135" i="28"/>
  <c r="CS136" i="28"/>
  <c r="CS137" i="28"/>
  <c r="CS138" i="28"/>
  <c r="CS139" i="28"/>
  <c r="CS140" i="28"/>
  <c r="CS141" i="28"/>
  <c r="CS142" i="28"/>
  <c r="CS143" i="28"/>
  <c r="CS144" i="28"/>
  <c r="CS145" i="28"/>
  <c r="CS146" i="28"/>
  <c r="CS147" i="28"/>
  <c r="CS148" i="28"/>
  <c r="CS149" i="28"/>
  <c r="CS150" i="28"/>
  <c r="CS151" i="28"/>
  <c r="CS152" i="28"/>
  <c r="CS153" i="28"/>
  <c r="CS154" i="28"/>
  <c r="CS155" i="28"/>
  <c r="CS156" i="28"/>
  <c r="CS157" i="28"/>
  <c r="CS158" i="28"/>
  <c r="CS159" i="28"/>
  <c r="CS160" i="28"/>
  <c r="CS161" i="28"/>
  <c r="CS162" i="28"/>
  <c r="CS163" i="28"/>
  <c r="CS164" i="28"/>
  <c r="CS165" i="28"/>
  <c r="CS166" i="28"/>
  <c r="CS167" i="28"/>
  <c r="CS168" i="28"/>
  <c r="CS169" i="28"/>
  <c r="CS170" i="28"/>
  <c r="CS171" i="28"/>
  <c r="CS172" i="28"/>
  <c r="CS173" i="28"/>
  <c r="CS174" i="28"/>
  <c r="CS175" i="28"/>
  <c r="CS176" i="28"/>
  <c r="CS177" i="28"/>
  <c r="CS178" i="28"/>
  <c r="CS179" i="28"/>
  <c r="CS180" i="28"/>
  <c r="CS181" i="28"/>
  <c r="CS182" i="28"/>
  <c r="CS183" i="28"/>
  <c r="CS184" i="28"/>
  <c r="CS185" i="28"/>
  <c r="CS186" i="28"/>
  <c r="CS187" i="28"/>
  <c r="CS188" i="28"/>
  <c r="CS189" i="28"/>
  <c r="CS190" i="28"/>
  <c r="CS191" i="28"/>
  <c r="CS192" i="28"/>
  <c r="CS193" i="28"/>
  <c r="CS194" i="28"/>
  <c r="CS195" i="28"/>
  <c r="CS196" i="28"/>
  <c r="CS197" i="28"/>
  <c r="CS198" i="28"/>
  <c r="CS199" i="28"/>
  <c r="CS200" i="28"/>
  <c r="CS201" i="28"/>
  <c r="CS202" i="28"/>
  <c r="CS203" i="28"/>
  <c r="CS204" i="28"/>
  <c r="CS205" i="28"/>
  <c r="CS206" i="28"/>
  <c r="CS207" i="28"/>
  <c r="CS208" i="28"/>
  <c r="CS209" i="28"/>
  <c r="CS210" i="28"/>
  <c r="CS211" i="28"/>
  <c r="CS212" i="28"/>
  <c r="CS213" i="28"/>
  <c r="CS214" i="28"/>
  <c r="CS215" i="28"/>
  <c r="CS216" i="28"/>
  <c r="CS217" i="28"/>
  <c r="CS218" i="28"/>
  <c r="CS219" i="28"/>
  <c r="CS220" i="28"/>
  <c r="CS221" i="28"/>
  <c r="CS222" i="28"/>
  <c r="CS223" i="28"/>
  <c r="CS224" i="28"/>
  <c r="CS225" i="28"/>
  <c r="CS226" i="28"/>
  <c r="CS227" i="28"/>
  <c r="CS228" i="28"/>
  <c r="CS229" i="28"/>
  <c r="CS230" i="28"/>
  <c r="CS231" i="28"/>
  <c r="CS232" i="28"/>
  <c r="CS233" i="28"/>
  <c r="CS234" i="28"/>
  <c r="CS235" i="28"/>
  <c r="CS236" i="28"/>
  <c r="CS237" i="28"/>
  <c r="CS238" i="28"/>
  <c r="CS239" i="28"/>
  <c r="CS240" i="28"/>
  <c r="CS241" i="28"/>
  <c r="CS242" i="28"/>
  <c r="CS243" i="28"/>
  <c r="CS244" i="28"/>
  <c r="CS245" i="28"/>
  <c r="CS246" i="28"/>
  <c r="CS247" i="28"/>
  <c r="CS248" i="28"/>
  <c r="CS249" i="28"/>
  <c r="CS250" i="28"/>
  <c r="CS251" i="28"/>
  <c r="CS252" i="28"/>
  <c r="CS253" i="28"/>
  <c r="CS254" i="28"/>
  <c r="CS255" i="28"/>
  <c r="CS256" i="28"/>
  <c r="CS257" i="28"/>
  <c r="CS258" i="28"/>
  <c r="CS259" i="28"/>
  <c r="CS260" i="28"/>
  <c r="CS261" i="28"/>
  <c r="CS262" i="28"/>
  <c r="CS263" i="28"/>
  <c r="CS264" i="28"/>
  <c r="CS265" i="28"/>
  <c r="CS266" i="28"/>
  <c r="CS267" i="28"/>
  <c r="CS268" i="28"/>
  <c r="CS269" i="28"/>
  <c r="CS270" i="28"/>
  <c r="CS271" i="28"/>
  <c r="CS272" i="28"/>
  <c r="CS273" i="28"/>
  <c r="CS274" i="28"/>
  <c r="CS275" i="28"/>
  <c r="CS276" i="28"/>
  <c r="CS277" i="28"/>
  <c r="CS278" i="28"/>
  <c r="CS279" i="28"/>
  <c r="CS280" i="28"/>
  <c r="CS281" i="28"/>
  <c r="CS282" i="28"/>
  <c r="CS283" i="28"/>
  <c r="CS284" i="28"/>
  <c r="CS285" i="28"/>
  <c r="CS286" i="28"/>
  <c r="CS287" i="28"/>
  <c r="CS288" i="28"/>
  <c r="CS289" i="28"/>
  <c r="CS290" i="28"/>
  <c r="CS291" i="28"/>
  <c r="CS292" i="28"/>
  <c r="CS293" i="28"/>
  <c r="CS294" i="28"/>
  <c r="CS295" i="28"/>
  <c r="CS296" i="28"/>
  <c r="CS297" i="28"/>
  <c r="CS298" i="28"/>
  <c r="CS299" i="28"/>
  <c r="CS300" i="28"/>
  <c r="CS301" i="28"/>
  <c r="CS303" i="28"/>
  <c r="CS304" i="28"/>
  <c r="CS305" i="28"/>
  <c r="CS306" i="28"/>
  <c r="CS307" i="28"/>
  <c r="CS308" i="28"/>
  <c r="CS309" i="28"/>
  <c r="CS310" i="28"/>
  <c r="CS311" i="28"/>
  <c r="CS312" i="28"/>
  <c r="CS313" i="28"/>
  <c r="CS314" i="28"/>
  <c r="CS315" i="28"/>
  <c r="CS316" i="28"/>
  <c r="CS317" i="28"/>
  <c r="CS318" i="28"/>
  <c r="CS319" i="28"/>
  <c r="CS320" i="28"/>
  <c r="CS321" i="28"/>
  <c r="CS322" i="28"/>
  <c r="CS323" i="28"/>
  <c r="CS324" i="28"/>
  <c r="CS325" i="28"/>
  <c r="CS326" i="28"/>
  <c r="CS327" i="28"/>
  <c r="CS328" i="28"/>
  <c r="CS329" i="28"/>
  <c r="CS330" i="28"/>
  <c r="CS331" i="28"/>
  <c r="CS332" i="28"/>
  <c r="CS333" i="28"/>
  <c r="CS334" i="28"/>
  <c r="CS335" i="28"/>
  <c r="CS336" i="28"/>
  <c r="CS337" i="28"/>
  <c r="CS338" i="28"/>
  <c r="CS339" i="28"/>
  <c r="CS340" i="28"/>
  <c r="CS341" i="28"/>
  <c r="CS342" i="28"/>
  <c r="CS343" i="28"/>
  <c r="CS344" i="28"/>
  <c r="CS345" i="28"/>
  <c r="CS346" i="28"/>
  <c r="CS347" i="28"/>
  <c r="CS348" i="28"/>
  <c r="CS349" i="28"/>
  <c r="CS350" i="28"/>
  <c r="CS351" i="28"/>
  <c r="CS352" i="28"/>
  <c r="CS353" i="28"/>
  <c r="CS354" i="28"/>
  <c r="CS355" i="28"/>
  <c r="CS356" i="28"/>
  <c r="CS357" i="28"/>
  <c r="CS358" i="28"/>
  <c r="CS359" i="28"/>
  <c r="CS360" i="28"/>
  <c r="CS361" i="28"/>
  <c r="CS362" i="28"/>
  <c r="CS363" i="28"/>
  <c r="CS364" i="28"/>
  <c r="CS365" i="28"/>
  <c r="CS366" i="28"/>
  <c r="CS367" i="28"/>
  <c r="CS368" i="28"/>
  <c r="CS369" i="28"/>
  <c r="CS370" i="28"/>
  <c r="CS371" i="28"/>
  <c r="CS372" i="28"/>
  <c r="CS374" i="28"/>
  <c r="CS375" i="28"/>
  <c r="CS376" i="28"/>
  <c r="CS377" i="28"/>
  <c r="CS378" i="28"/>
  <c r="CS379" i="28"/>
  <c r="CS380" i="28"/>
  <c r="CS381" i="28"/>
  <c r="CS382" i="28"/>
  <c r="CS383" i="28"/>
  <c r="CS384" i="28"/>
  <c r="CS385" i="28"/>
  <c r="CS386" i="28"/>
  <c r="CS387" i="28"/>
  <c r="CS388" i="28"/>
  <c r="CS389" i="28"/>
  <c r="CS390" i="28"/>
  <c r="CS391" i="28"/>
  <c r="CS392" i="28"/>
  <c r="CS393" i="28"/>
  <c r="CS394" i="28"/>
  <c r="P394" i="28" s="1"/>
  <c r="CS395" i="28"/>
  <c r="P395" i="28" s="1"/>
  <c r="CS396" i="28"/>
  <c r="P396" i="28" s="1"/>
  <c r="CS397" i="28"/>
  <c r="P397" i="28" s="1"/>
  <c r="CS398" i="28"/>
  <c r="P398" i="28" s="1"/>
  <c r="CS399" i="28"/>
  <c r="P399" i="28" s="1"/>
  <c r="CS400" i="28"/>
  <c r="P400" i="28" s="1"/>
  <c r="CS401" i="28"/>
  <c r="P401" i="28" s="1"/>
  <c r="CS402" i="28"/>
  <c r="P402" i="28" s="1"/>
  <c r="CS403" i="28"/>
  <c r="P403" i="28" s="1"/>
  <c r="CS404" i="28"/>
  <c r="P404" i="28" s="1"/>
  <c r="CS405" i="28"/>
  <c r="P405" i="28" s="1"/>
  <c r="R12" i="75"/>
  <c r="S24" i="101"/>
  <c r="T10" i="101"/>
  <c r="T2" i="101"/>
  <c r="S14" i="101"/>
  <c r="S2" i="101"/>
  <c r="S3" i="101"/>
  <c r="T3" i="101"/>
  <c r="S4" i="101"/>
  <c r="T4" i="101"/>
  <c r="S5" i="101"/>
  <c r="T5" i="101"/>
  <c r="S6" i="101"/>
  <c r="T6" i="101"/>
  <c r="S7" i="101"/>
  <c r="T7" i="101"/>
  <c r="S8" i="101"/>
  <c r="T8" i="101"/>
  <c r="S9" i="101"/>
  <c r="T9" i="101"/>
  <c r="S10" i="101"/>
  <c r="F11" i="101"/>
  <c r="S11" i="101"/>
  <c r="T11" i="101"/>
  <c r="S12" i="101"/>
  <c r="T12" i="101"/>
  <c r="F13" i="101"/>
  <c r="S13" i="101"/>
  <c r="T13" i="101"/>
  <c r="T14" i="101"/>
  <c r="Q15" i="101"/>
  <c r="R15" i="101"/>
  <c r="S15" i="101"/>
  <c r="T15" i="101"/>
  <c r="T23" i="101"/>
  <c r="T24" i="101"/>
  <c r="S25" i="101"/>
  <c r="T25" i="101"/>
  <c r="S26" i="101"/>
  <c r="T26" i="101"/>
  <c r="S27" i="101"/>
  <c r="T27" i="101"/>
  <c r="S28" i="101"/>
  <c r="T28" i="101"/>
  <c r="T29" i="101"/>
  <c r="S30" i="101"/>
  <c r="T30" i="101"/>
  <c r="S31" i="101"/>
  <c r="T31" i="101"/>
  <c r="S32" i="101"/>
  <c r="T32" i="101"/>
  <c r="S33" i="101"/>
  <c r="T33" i="101"/>
  <c r="S34" i="101"/>
  <c r="T34" i="101"/>
  <c r="S35" i="101"/>
  <c r="T35" i="101"/>
  <c r="S36" i="101"/>
  <c r="T36" i="101"/>
  <c r="S37" i="101"/>
  <c r="T37" i="101"/>
  <c r="S38" i="101"/>
  <c r="T38" i="101"/>
  <c r="S39" i="101"/>
  <c r="T39" i="101"/>
  <c r="S40" i="101"/>
  <c r="T40" i="101"/>
  <c r="S41" i="101"/>
  <c r="T41" i="101"/>
  <c r="S42" i="101"/>
  <c r="T42" i="101"/>
  <c r="S43" i="101"/>
  <c r="T43" i="101"/>
  <c r="S44" i="101"/>
  <c r="T44" i="101"/>
  <c r="S45" i="101"/>
  <c r="T45" i="101"/>
  <c r="S46" i="101"/>
  <c r="T46" i="101"/>
  <c r="Q47" i="101"/>
  <c r="R47" i="101"/>
  <c r="S47" i="101"/>
  <c r="T47" i="101"/>
  <c r="P3" i="28" l="1"/>
  <c r="S3" i="28" s="1"/>
  <c r="T417" i="28"/>
  <c r="S417" i="28"/>
  <c r="T416" i="28"/>
  <c r="S416" i="28"/>
  <c r="T415" i="28"/>
  <c r="S415" i="28"/>
  <c r="T414" i="28"/>
  <c r="S414" i="28"/>
  <c r="T413" i="28"/>
  <c r="S413" i="28"/>
  <c r="T412" i="28"/>
  <c r="S412" i="28"/>
  <c r="T411" i="28"/>
  <c r="S411" i="28"/>
  <c r="T410" i="28"/>
  <c r="S410" i="28"/>
  <c r="T409" i="28"/>
  <c r="S409" i="28"/>
  <c r="T408" i="28"/>
  <c r="S408" i="28"/>
  <c r="T407" i="28"/>
  <c r="S407" i="28"/>
  <c r="T406" i="28"/>
  <c r="S406" i="28"/>
  <c r="X2" i="103"/>
  <c r="X3" i="103"/>
  <c r="X4" i="103"/>
  <c r="X5" i="103"/>
  <c r="X6" i="103"/>
  <c r="X7" i="103"/>
  <c r="X8" i="103"/>
  <c r="X9" i="103"/>
  <c r="X10" i="103"/>
  <c r="X11" i="103"/>
  <c r="X12" i="103"/>
  <c r="X13" i="103"/>
  <c r="X14" i="103"/>
  <c r="X15" i="103"/>
  <c r="X16" i="103"/>
  <c r="X17" i="103"/>
  <c r="X18" i="103"/>
  <c r="X19" i="103"/>
  <c r="X20" i="103"/>
  <c r="X21" i="103"/>
  <c r="X22" i="103"/>
  <c r="X23" i="103"/>
  <c r="X24" i="103"/>
  <c r="Y4" i="103" l="1"/>
  <c r="Y15" i="103"/>
  <c r="Y20" i="103" l="1"/>
  <c r="Y17" i="103"/>
  <c r="Y3" i="103"/>
  <c r="Y14" i="103"/>
  <c r="Y11" i="103"/>
  <c r="Y8" i="103"/>
  <c r="Y5" i="103"/>
  <c r="Y22" i="103"/>
  <c r="Y19" i="103"/>
  <c r="Y16" i="103"/>
  <c r="Y2" i="103"/>
  <c r="Y23" i="103"/>
  <c r="Y13" i="103"/>
  <c r="Y10" i="103"/>
  <c r="Y12" i="103"/>
  <c r="Y9" i="103"/>
  <c r="Y6" i="103"/>
  <c r="Y7" i="103"/>
  <c r="Y21" i="103"/>
  <c r="Y18" i="103"/>
  <c r="Y24" i="103"/>
  <c r="S404" i="28"/>
  <c r="T405" i="28"/>
  <c r="Q404" i="28"/>
  <c r="Q405" i="28"/>
  <c r="R404" i="28"/>
  <c r="R405" i="28"/>
  <c r="CP404" i="28"/>
  <c r="CP405" i="28"/>
  <c r="CR404" i="28"/>
  <c r="CR405" i="28"/>
  <c r="T404" i="28" l="1"/>
  <c r="S405" i="28"/>
  <c r="S394" i="28"/>
  <c r="T396" i="28"/>
  <c r="S397" i="28"/>
  <c r="T398" i="28"/>
  <c r="S399" i="28"/>
  <c r="S400" i="28"/>
  <c r="T401" i="28"/>
  <c r="T402" i="28"/>
  <c r="T403" i="28"/>
  <c r="Q394" i="28"/>
  <c r="Q395" i="28"/>
  <c r="Q396" i="28"/>
  <c r="Q397" i="28"/>
  <c r="Q398" i="28"/>
  <c r="Q399" i="28"/>
  <c r="Q400" i="28"/>
  <c r="Q401" i="28"/>
  <c r="Q402" i="28"/>
  <c r="Q403" i="28"/>
  <c r="R394" i="28"/>
  <c r="R395" i="28"/>
  <c r="R396" i="28"/>
  <c r="R397" i="28"/>
  <c r="R398" i="28"/>
  <c r="R399" i="28"/>
  <c r="R400" i="28"/>
  <c r="R401" i="28"/>
  <c r="R402" i="28"/>
  <c r="R403" i="28"/>
  <c r="CP394" i="28"/>
  <c r="CP395" i="28"/>
  <c r="CP396" i="28"/>
  <c r="CP397" i="28"/>
  <c r="CP398" i="28"/>
  <c r="CP399" i="28"/>
  <c r="CP400" i="28"/>
  <c r="CP401" i="28"/>
  <c r="CP402" i="28"/>
  <c r="CP403" i="28"/>
  <c r="CR394" i="28"/>
  <c r="CR395" i="28"/>
  <c r="CR396" i="28"/>
  <c r="CR397" i="28"/>
  <c r="CR398" i="28"/>
  <c r="CR399" i="28"/>
  <c r="CR400" i="28"/>
  <c r="CR401" i="28"/>
  <c r="CR402" i="28"/>
  <c r="CR403" i="28"/>
  <c r="S395" i="28" l="1"/>
  <c r="S396" i="28"/>
  <c r="S398" i="28"/>
  <c r="T397" i="28"/>
  <c r="T395" i="28"/>
  <c r="T394" i="28"/>
  <c r="T400" i="28"/>
  <c r="T399" i="28"/>
  <c r="S403" i="28"/>
  <c r="S402" i="28"/>
  <c r="S401" i="28"/>
  <c r="CR393" i="28" l="1"/>
  <c r="CR392" i="28"/>
  <c r="CR391" i="28"/>
  <c r="CR390" i="28"/>
  <c r="CR389" i="28"/>
  <c r="CR388" i="28"/>
  <c r="CR387" i="28"/>
  <c r="CR386" i="28"/>
  <c r="CR385" i="28"/>
  <c r="CR384" i="28"/>
  <c r="CR383" i="28"/>
  <c r="CR382" i="28"/>
  <c r="CR381" i="28"/>
  <c r="CR380" i="28"/>
  <c r="CR379" i="28"/>
  <c r="CR378" i="28"/>
  <c r="CR377" i="28"/>
  <c r="CR376" i="28"/>
  <c r="CR375" i="28"/>
  <c r="CR374" i="28"/>
  <c r="CR373" i="28"/>
  <c r="CR372" i="28"/>
  <c r="CR371" i="28"/>
  <c r="CR370" i="28"/>
  <c r="CR369" i="28"/>
  <c r="CR368" i="28"/>
  <c r="CR367" i="28"/>
  <c r="CR366" i="28"/>
  <c r="CR365" i="28"/>
  <c r="CR364" i="28"/>
  <c r="CR363" i="28"/>
  <c r="CR362" i="28"/>
  <c r="CR361" i="28"/>
  <c r="CR360" i="28"/>
  <c r="CR359" i="28"/>
  <c r="CR358" i="28"/>
  <c r="CR357" i="28"/>
  <c r="CR356" i="28"/>
  <c r="CR355" i="28"/>
  <c r="CR354" i="28"/>
  <c r="CR353" i="28"/>
  <c r="CR352" i="28"/>
  <c r="CR351" i="28"/>
  <c r="CR350" i="28"/>
  <c r="CR349" i="28"/>
  <c r="CR348" i="28"/>
  <c r="CR347" i="28"/>
  <c r="CR346" i="28"/>
  <c r="CR345" i="28"/>
  <c r="CR344" i="28"/>
  <c r="CR343" i="28"/>
  <c r="CR342" i="28"/>
  <c r="CR341" i="28"/>
  <c r="CR340" i="28"/>
  <c r="CR339" i="28"/>
  <c r="CR338" i="28"/>
  <c r="CR337" i="28"/>
  <c r="CR336" i="28"/>
  <c r="CR335" i="28"/>
  <c r="CR334" i="28"/>
  <c r="CR333" i="28"/>
  <c r="CR332" i="28"/>
  <c r="CR331" i="28"/>
  <c r="CR330" i="28"/>
  <c r="CR329" i="28"/>
  <c r="CR328" i="28"/>
  <c r="CR327" i="28"/>
  <c r="CR326" i="28"/>
  <c r="CR325" i="28"/>
  <c r="CR324" i="28"/>
  <c r="CR323" i="28"/>
  <c r="CR322" i="28"/>
  <c r="CR321" i="28"/>
  <c r="CR320" i="28"/>
  <c r="CR319" i="28"/>
  <c r="CR318" i="28"/>
  <c r="CR317" i="28"/>
  <c r="CR316" i="28"/>
  <c r="CR315" i="28"/>
  <c r="CR314" i="28"/>
  <c r="CR313" i="28"/>
  <c r="CR312" i="28"/>
  <c r="CR311" i="28"/>
  <c r="CR310" i="28"/>
  <c r="CR309" i="28"/>
  <c r="CR308" i="28"/>
  <c r="CR307" i="28"/>
  <c r="CR306" i="28"/>
  <c r="CR305" i="28"/>
  <c r="CR304" i="28"/>
  <c r="CR303" i="28"/>
  <c r="CR302" i="28"/>
  <c r="CR301" i="28"/>
  <c r="CR300" i="28"/>
  <c r="CR299" i="28"/>
  <c r="CR298" i="28"/>
  <c r="CR297" i="28"/>
  <c r="CR296" i="28"/>
  <c r="CR295" i="28"/>
  <c r="CR294" i="28"/>
  <c r="CR293" i="28"/>
  <c r="CR292" i="28"/>
  <c r="CR291" i="28"/>
  <c r="CR290" i="28"/>
  <c r="CR289" i="28"/>
  <c r="CR288" i="28"/>
  <c r="CR287" i="28"/>
  <c r="CR286" i="28"/>
  <c r="CR285" i="28"/>
  <c r="CR284" i="28"/>
  <c r="CR283" i="28"/>
  <c r="CR282" i="28"/>
  <c r="CR281" i="28"/>
  <c r="CR280" i="28"/>
  <c r="CR279" i="28"/>
  <c r="CR278" i="28"/>
  <c r="CR277" i="28"/>
  <c r="CR276" i="28"/>
  <c r="CR275" i="28"/>
  <c r="CR274" i="28"/>
  <c r="CR273" i="28"/>
  <c r="CR272" i="28"/>
  <c r="CR271" i="28"/>
  <c r="CR270" i="28"/>
  <c r="CR269" i="28"/>
  <c r="CR268" i="28"/>
  <c r="CR267" i="28"/>
  <c r="CR266" i="28"/>
  <c r="CR265" i="28"/>
  <c r="CR264" i="28"/>
  <c r="CR263" i="28"/>
  <c r="CR262" i="28"/>
  <c r="CR261" i="28"/>
  <c r="CR260" i="28"/>
  <c r="CR259" i="28"/>
  <c r="CR258" i="28"/>
  <c r="CR257" i="28"/>
  <c r="CR256" i="28"/>
  <c r="CR255" i="28"/>
  <c r="CR254" i="28"/>
  <c r="CR253" i="28"/>
  <c r="CR252" i="28"/>
  <c r="CR251" i="28"/>
  <c r="CR250" i="28"/>
  <c r="CR249" i="28"/>
  <c r="CR248" i="28"/>
  <c r="CR247" i="28"/>
  <c r="CR246" i="28"/>
  <c r="CR245" i="28"/>
  <c r="CR244" i="28"/>
  <c r="CR243" i="28"/>
  <c r="CR242" i="28"/>
  <c r="CR241" i="28"/>
  <c r="CR240" i="28"/>
  <c r="CR239" i="28"/>
  <c r="CR238" i="28"/>
  <c r="CR237" i="28"/>
  <c r="CR236" i="28"/>
  <c r="CR235" i="28"/>
  <c r="CR234" i="28"/>
  <c r="CR233" i="28"/>
  <c r="CR232" i="28"/>
  <c r="CR231" i="28"/>
  <c r="CR230" i="28"/>
  <c r="CR229" i="28"/>
  <c r="CR228" i="28"/>
  <c r="CR227" i="28"/>
  <c r="CR226" i="28"/>
  <c r="CR225" i="28"/>
  <c r="CR224" i="28"/>
  <c r="CR223" i="28"/>
  <c r="CR222" i="28"/>
  <c r="CR221" i="28"/>
  <c r="CR220" i="28"/>
  <c r="CR219" i="28"/>
  <c r="CR218" i="28"/>
  <c r="CR217" i="28"/>
  <c r="CR216" i="28"/>
  <c r="CR215" i="28"/>
  <c r="CR214" i="28"/>
  <c r="CR213" i="28"/>
  <c r="CR212" i="28"/>
  <c r="CR211" i="28"/>
  <c r="CR210" i="28"/>
  <c r="CR209" i="28"/>
  <c r="CR208" i="28"/>
  <c r="CR207" i="28"/>
  <c r="CR206" i="28"/>
  <c r="CR205" i="28"/>
  <c r="CR204" i="28"/>
  <c r="CR203" i="28"/>
  <c r="CR202" i="28"/>
  <c r="CR201" i="28"/>
  <c r="CR200" i="28"/>
  <c r="CR199" i="28"/>
  <c r="CR198" i="28"/>
  <c r="CR197" i="28"/>
  <c r="CR196" i="28"/>
  <c r="CR195" i="28"/>
  <c r="CR194" i="28"/>
  <c r="CR193" i="28"/>
  <c r="CR192" i="28"/>
  <c r="CR191" i="28"/>
  <c r="CR190" i="28"/>
  <c r="CR189" i="28"/>
  <c r="CR188" i="28"/>
  <c r="CR187" i="28"/>
  <c r="CR186" i="28"/>
  <c r="CR185" i="28"/>
  <c r="CR184" i="28"/>
  <c r="CR183" i="28"/>
  <c r="CR182" i="28"/>
  <c r="CR181" i="28"/>
  <c r="CR180" i="28"/>
  <c r="CR179" i="28"/>
  <c r="CR178" i="28"/>
  <c r="CR177" i="28"/>
  <c r="CR176" i="28"/>
  <c r="CR175" i="28"/>
  <c r="CR174" i="28"/>
  <c r="CR173" i="28"/>
  <c r="CR172" i="28"/>
  <c r="CR171" i="28"/>
  <c r="CR170" i="28"/>
  <c r="CR169" i="28"/>
  <c r="CR168" i="28"/>
  <c r="CR167" i="28"/>
  <c r="CR166" i="28"/>
  <c r="CR165" i="28"/>
  <c r="CR164" i="28"/>
  <c r="CR163" i="28"/>
  <c r="CR162" i="28"/>
  <c r="CR161" i="28"/>
  <c r="CR160" i="28"/>
  <c r="CR159" i="28"/>
  <c r="CR158" i="28"/>
  <c r="CR157" i="28"/>
  <c r="CR156" i="28"/>
  <c r="CR155" i="28"/>
  <c r="CR154" i="28"/>
  <c r="CR153" i="28"/>
  <c r="CR152" i="28"/>
  <c r="CR151" i="28"/>
  <c r="CR150" i="28"/>
  <c r="CR149" i="28"/>
  <c r="CR148" i="28"/>
  <c r="CR147" i="28"/>
  <c r="CR146" i="28"/>
  <c r="CR145" i="28"/>
  <c r="CR144" i="28"/>
  <c r="CR143" i="28"/>
  <c r="CR142" i="28"/>
  <c r="CR141" i="28"/>
  <c r="CR140" i="28"/>
  <c r="CR139" i="28"/>
  <c r="CR138" i="28"/>
  <c r="CR137" i="28"/>
  <c r="CR136" i="28"/>
  <c r="CR135" i="28"/>
  <c r="CR134" i="28"/>
  <c r="CR133" i="28"/>
  <c r="CR132" i="28"/>
  <c r="CR131" i="28"/>
  <c r="CR130" i="28"/>
  <c r="CR129" i="28"/>
  <c r="CR128" i="28"/>
  <c r="CR127" i="28"/>
  <c r="CR126" i="28"/>
  <c r="CR125" i="28"/>
  <c r="CR124" i="28"/>
  <c r="CR123" i="28"/>
  <c r="CR122" i="28"/>
  <c r="CR121" i="28"/>
  <c r="CR120" i="28"/>
  <c r="CR119" i="28"/>
  <c r="CR118" i="28"/>
  <c r="CR117" i="28"/>
  <c r="CR116" i="28"/>
  <c r="CR115" i="28"/>
  <c r="CR114" i="28"/>
  <c r="CR113" i="28"/>
  <c r="CR112" i="28"/>
  <c r="CR111" i="28"/>
  <c r="CR110" i="28"/>
  <c r="CR109" i="28"/>
  <c r="CR108" i="28"/>
  <c r="CR107" i="28"/>
  <c r="CR106" i="28"/>
  <c r="CR105" i="28"/>
  <c r="CR104" i="28"/>
  <c r="CR103" i="28"/>
  <c r="CR102" i="28"/>
  <c r="CR101" i="28"/>
  <c r="CR100" i="28"/>
  <c r="CR99" i="28"/>
  <c r="CR98" i="28"/>
  <c r="CR97" i="28"/>
  <c r="CR96" i="28"/>
  <c r="CR95" i="28"/>
  <c r="CR94" i="28"/>
  <c r="CR93" i="28"/>
  <c r="CR92" i="28"/>
  <c r="CR91" i="28"/>
  <c r="CR90" i="28"/>
  <c r="CR89" i="28"/>
  <c r="CR88" i="28"/>
  <c r="CR87" i="28"/>
  <c r="CR86" i="28"/>
  <c r="CR85" i="28"/>
  <c r="CR84" i="28"/>
  <c r="CR83" i="28"/>
  <c r="CR82" i="28"/>
  <c r="CR81" i="28"/>
  <c r="CR80" i="28"/>
  <c r="CR79" i="28"/>
  <c r="CR78" i="28"/>
  <c r="CR77" i="28"/>
  <c r="CR76" i="28"/>
  <c r="CR75" i="28"/>
  <c r="CR74" i="28"/>
  <c r="CR73" i="28"/>
  <c r="CR72" i="28"/>
  <c r="CR71" i="28"/>
  <c r="CR70" i="28"/>
  <c r="CR69" i="28"/>
  <c r="CR68" i="28"/>
  <c r="CR67" i="28"/>
  <c r="CR66" i="28"/>
  <c r="CR65" i="28"/>
  <c r="CR64" i="28"/>
  <c r="CR63" i="28"/>
  <c r="CR62" i="28"/>
  <c r="CR61" i="28"/>
  <c r="CR60" i="28"/>
  <c r="CR59" i="28"/>
  <c r="CR58" i="28"/>
  <c r="CR57" i="28"/>
  <c r="CR56" i="28"/>
  <c r="CR55" i="28"/>
  <c r="CR54" i="28"/>
  <c r="CR53" i="28"/>
  <c r="CR52" i="28"/>
  <c r="CR51" i="28"/>
  <c r="CR50" i="28"/>
  <c r="CR49" i="28"/>
  <c r="CR48" i="28"/>
  <c r="CR47" i="28"/>
  <c r="CR46" i="28"/>
  <c r="CR45" i="28"/>
  <c r="CR44" i="28"/>
  <c r="CR43" i="28"/>
  <c r="CR42" i="28"/>
  <c r="CR41" i="28"/>
  <c r="CR40" i="28"/>
  <c r="CR39" i="28"/>
  <c r="CR38" i="28"/>
  <c r="CR37" i="28"/>
  <c r="CR36" i="28"/>
  <c r="CR35" i="28"/>
  <c r="CR34" i="28"/>
  <c r="CR33" i="28"/>
  <c r="CR32" i="28"/>
  <c r="CR31" i="28"/>
  <c r="CR30" i="28"/>
  <c r="CR29" i="28"/>
  <c r="CR28" i="28"/>
  <c r="CR27" i="28"/>
  <c r="CR26" i="28"/>
  <c r="CR25" i="28"/>
  <c r="CR24" i="28"/>
  <c r="CR23" i="28"/>
  <c r="CR22" i="28"/>
  <c r="CR21" i="28"/>
  <c r="CR20" i="28"/>
  <c r="CR19" i="28"/>
  <c r="CR18" i="28"/>
  <c r="CR17" i="28"/>
  <c r="CR16" i="28"/>
  <c r="CR15" i="28"/>
  <c r="CR14" i="28"/>
  <c r="CR13" i="28"/>
  <c r="CR12" i="28"/>
  <c r="CR11" i="28"/>
  <c r="CR10" i="28"/>
  <c r="CR9" i="28"/>
  <c r="CR8" i="28"/>
  <c r="CR7" i="28"/>
  <c r="CR6" i="28"/>
  <c r="CR5" i="28"/>
  <c r="CR4" i="28"/>
  <c r="CR3" i="28"/>
  <c r="CO383" i="28" l="1"/>
  <c r="CQ393" i="28"/>
  <c r="P393" i="28" s="1"/>
  <c r="CQ392" i="28"/>
  <c r="P392" i="28" s="1"/>
  <c r="CQ391" i="28"/>
  <c r="P391" i="28" s="1"/>
  <c r="CQ390" i="28"/>
  <c r="P390" i="28" s="1"/>
  <c r="CQ389" i="28"/>
  <c r="P389" i="28" s="1"/>
  <c r="CQ388" i="28"/>
  <c r="P388" i="28" s="1"/>
  <c r="R550" i="75" l="1"/>
  <c r="S550" i="75" s="1"/>
  <c r="BR550" i="75"/>
  <c r="T392" i="28"/>
  <c r="S393" i="28"/>
  <c r="Q392" i="28"/>
  <c r="Q393" i="28"/>
  <c r="R392" i="28"/>
  <c r="R393" i="28"/>
  <c r="CP392" i="28"/>
  <c r="CP393" i="28"/>
  <c r="T388" i="28"/>
  <c r="T389" i="28"/>
  <c r="S390" i="28"/>
  <c r="S391" i="28"/>
  <c r="Q388" i="28"/>
  <c r="Q389" i="28"/>
  <c r="Q390" i="28"/>
  <c r="Q391" i="28"/>
  <c r="R388" i="28"/>
  <c r="R389" i="28"/>
  <c r="R390" i="28"/>
  <c r="R391" i="28"/>
  <c r="CP388" i="28"/>
  <c r="CP389" i="28"/>
  <c r="CP390" i="28"/>
  <c r="CP391" i="28"/>
  <c r="CQ2" i="28"/>
  <c r="CQ5" i="28"/>
  <c r="CQ4" i="28"/>
  <c r="CQ381" i="28"/>
  <c r="CQ387" i="28"/>
  <c r="CQ386" i="28"/>
  <c r="CQ385" i="28"/>
  <c r="CQ384" i="28"/>
  <c r="CQ383" i="28"/>
  <c r="CQ366" i="28"/>
  <c r="CQ365" i="28"/>
  <c r="CQ364" i="28"/>
  <c r="CQ363" i="28"/>
  <c r="CQ362" i="28"/>
  <c r="CQ361" i="28"/>
  <c r="CQ360" i="28"/>
  <c r="CQ359" i="28"/>
  <c r="CQ358" i="28"/>
  <c r="CQ357" i="28"/>
  <c r="CQ356" i="28"/>
  <c r="CQ355" i="28"/>
  <c r="CQ354" i="28"/>
  <c r="CQ353" i="28"/>
  <c r="CQ352" i="28"/>
  <c r="CQ351" i="28"/>
  <c r="CQ350" i="28"/>
  <c r="CQ349" i="28"/>
  <c r="CQ348" i="28"/>
  <c r="CQ347" i="28"/>
  <c r="CQ346" i="28"/>
  <c r="CQ345" i="28"/>
  <c r="CQ344" i="28"/>
  <c r="CQ343" i="28"/>
  <c r="CQ342" i="28"/>
  <c r="CQ341" i="28"/>
  <c r="CQ340" i="28"/>
  <c r="CQ339" i="28"/>
  <c r="CQ338" i="28"/>
  <c r="CQ337" i="28"/>
  <c r="CQ336" i="28"/>
  <c r="CQ335" i="28"/>
  <c r="CQ334" i="28"/>
  <c r="CQ333" i="28"/>
  <c r="CQ332" i="28"/>
  <c r="CQ331" i="28"/>
  <c r="CQ330" i="28"/>
  <c r="CQ329" i="28"/>
  <c r="CQ328" i="28"/>
  <c r="CQ327" i="28"/>
  <c r="CQ326" i="28"/>
  <c r="CQ325" i="28"/>
  <c r="CQ324" i="28"/>
  <c r="CQ323" i="28"/>
  <c r="CQ322" i="28"/>
  <c r="CQ321" i="28"/>
  <c r="CQ320" i="28"/>
  <c r="CQ319" i="28"/>
  <c r="CQ318" i="28"/>
  <c r="CQ317" i="28"/>
  <c r="CQ301" i="28"/>
  <c r="P301" i="28" s="1"/>
  <c r="CQ300" i="28"/>
  <c r="CQ299" i="28"/>
  <c r="CQ298" i="28"/>
  <c r="CQ297" i="28"/>
  <c r="CQ296" i="28"/>
  <c r="CQ295" i="28"/>
  <c r="CQ294" i="28"/>
  <c r="CQ293" i="28"/>
  <c r="CQ292" i="28"/>
  <c r="CQ291" i="28"/>
  <c r="CQ290" i="28"/>
  <c r="CQ289" i="28"/>
  <c r="CQ288" i="28"/>
  <c r="CQ287" i="28"/>
  <c r="CQ286" i="28"/>
  <c r="CQ285" i="28"/>
  <c r="CQ284" i="28"/>
  <c r="CQ283" i="28"/>
  <c r="CQ282" i="28"/>
  <c r="CQ281" i="28"/>
  <c r="CQ280" i="28"/>
  <c r="CQ279" i="28"/>
  <c r="CQ278" i="28"/>
  <c r="CQ277" i="28"/>
  <c r="CQ276" i="28"/>
  <c r="CQ275" i="28"/>
  <c r="CQ274" i="28"/>
  <c r="CQ273" i="28"/>
  <c r="CQ272" i="28"/>
  <c r="CQ271" i="28"/>
  <c r="CQ270" i="28"/>
  <c r="CQ269" i="28"/>
  <c r="CQ268" i="28"/>
  <c r="CQ267" i="28"/>
  <c r="CQ266" i="28"/>
  <c r="CQ265" i="28"/>
  <c r="CQ264" i="28"/>
  <c r="CQ263" i="28"/>
  <c r="CQ262" i="28"/>
  <c r="CQ261" i="28"/>
  <c r="CQ260" i="28"/>
  <c r="CQ259" i="28"/>
  <c r="CQ258" i="28"/>
  <c r="CQ257" i="28"/>
  <c r="CQ256" i="28"/>
  <c r="CQ255" i="28"/>
  <c r="CQ254" i="28"/>
  <c r="CQ253" i="28"/>
  <c r="CQ252" i="28"/>
  <c r="CQ251" i="28"/>
  <c r="CQ250" i="28"/>
  <c r="CQ249" i="28"/>
  <c r="CQ248" i="28"/>
  <c r="CQ247" i="28"/>
  <c r="CQ246" i="28"/>
  <c r="CQ245" i="28"/>
  <c r="CQ244" i="28"/>
  <c r="CQ243" i="28"/>
  <c r="CQ242" i="28"/>
  <c r="CQ241" i="28"/>
  <c r="CQ240" i="28"/>
  <c r="CQ239" i="28"/>
  <c r="CQ238" i="28"/>
  <c r="CQ237" i="28"/>
  <c r="CQ236" i="28"/>
  <c r="CQ235" i="28"/>
  <c r="CQ234" i="28"/>
  <c r="CQ233" i="28"/>
  <c r="CQ232" i="28"/>
  <c r="CQ231" i="28"/>
  <c r="CQ230" i="28"/>
  <c r="CQ229" i="28"/>
  <c r="CQ228" i="28"/>
  <c r="CQ227" i="28"/>
  <c r="CQ226" i="28"/>
  <c r="CQ225" i="28"/>
  <c r="CQ224" i="28"/>
  <c r="CQ223" i="28"/>
  <c r="CQ222" i="28"/>
  <c r="CQ221" i="28"/>
  <c r="CQ220" i="28"/>
  <c r="CQ219" i="28"/>
  <c r="CQ218" i="28"/>
  <c r="CQ217" i="28"/>
  <c r="CQ216" i="28"/>
  <c r="CQ215" i="28"/>
  <c r="CQ214" i="28"/>
  <c r="CQ213" i="28"/>
  <c r="CQ212" i="28"/>
  <c r="CQ211" i="28"/>
  <c r="CQ210" i="28"/>
  <c r="CQ209" i="28"/>
  <c r="CQ208" i="28"/>
  <c r="CQ207" i="28"/>
  <c r="CQ206" i="28"/>
  <c r="CQ205" i="28"/>
  <c r="CQ204" i="28"/>
  <c r="CQ203" i="28"/>
  <c r="CQ202" i="28"/>
  <c r="CQ201" i="28"/>
  <c r="CQ200" i="28"/>
  <c r="CQ199" i="28"/>
  <c r="CQ198" i="28"/>
  <c r="CQ197" i="28"/>
  <c r="CQ196" i="28"/>
  <c r="CQ195" i="28"/>
  <c r="CQ194" i="28"/>
  <c r="CQ193" i="28"/>
  <c r="CQ192" i="28"/>
  <c r="CQ191" i="28"/>
  <c r="CQ190" i="28"/>
  <c r="CQ189" i="28"/>
  <c r="CQ188" i="28"/>
  <c r="CQ187" i="28"/>
  <c r="CQ186" i="28"/>
  <c r="CQ185" i="28"/>
  <c r="CQ184" i="28"/>
  <c r="CQ183" i="28"/>
  <c r="CQ182" i="28"/>
  <c r="CQ181" i="28"/>
  <c r="CQ180" i="28"/>
  <c r="CQ179" i="28"/>
  <c r="CQ178" i="28"/>
  <c r="CQ177" i="28"/>
  <c r="CQ176" i="28"/>
  <c r="CQ175" i="28"/>
  <c r="CQ174" i="28"/>
  <c r="CQ173" i="28"/>
  <c r="CQ172" i="28"/>
  <c r="CQ171" i="28"/>
  <c r="CQ170" i="28"/>
  <c r="CQ169" i="28"/>
  <c r="CQ168" i="28"/>
  <c r="CQ167" i="28"/>
  <c r="CQ166" i="28"/>
  <c r="CQ165" i="28"/>
  <c r="CQ164" i="28"/>
  <c r="CQ163" i="28"/>
  <c r="CQ162" i="28"/>
  <c r="CQ161" i="28"/>
  <c r="CQ160" i="28"/>
  <c r="CQ159" i="28"/>
  <c r="CQ158" i="28"/>
  <c r="CQ157" i="28"/>
  <c r="CQ156" i="28"/>
  <c r="CQ155" i="28"/>
  <c r="CQ154" i="28"/>
  <c r="CQ153" i="28"/>
  <c r="CQ152" i="28"/>
  <c r="CQ151" i="28"/>
  <c r="CQ150" i="28"/>
  <c r="CQ149" i="28"/>
  <c r="CQ148" i="28"/>
  <c r="CQ147" i="28"/>
  <c r="CQ146" i="28"/>
  <c r="CQ145" i="28"/>
  <c r="CQ144" i="28"/>
  <c r="CQ143" i="28"/>
  <c r="CQ142" i="28"/>
  <c r="CQ141" i="28"/>
  <c r="CQ140" i="28"/>
  <c r="CQ139" i="28"/>
  <c r="CQ138" i="28"/>
  <c r="CQ137" i="28"/>
  <c r="CQ136" i="28"/>
  <c r="CQ135" i="28"/>
  <c r="CQ134" i="28"/>
  <c r="CQ133" i="28"/>
  <c r="CQ132" i="28"/>
  <c r="CQ131" i="28"/>
  <c r="CQ130" i="28"/>
  <c r="CQ129" i="28"/>
  <c r="CQ128" i="28"/>
  <c r="CQ127" i="28"/>
  <c r="CQ126" i="28"/>
  <c r="CQ125" i="28"/>
  <c r="CQ124" i="28"/>
  <c r="CQ123" i="28"/>
  <c r="CQ122" i="28"/>
  <c r="CQ121" i="28"/>
  <c r="CQ120" i="28"/>
  <c r="CQ119" i="28"/>
  <c r="CQ118" i="28"/>
  <c r="CQ117" i="28"/>
  <c r="CQ116" i="28"/>
  <c r="CQ115" i="28"/>
  <c r="CQ114" i="28"/>
  <c r="CQ113" i="28"/>
  <c r="CQ112" i="28"/>
  <c r="CQ111" i="28"/>
  <c r="CQ110" i="28"/>
  <c r="CQ109" i="28"/>
  <c r="CQ108" i="28"/>
  <c r="CQ107" i="28"/>
  <c r="CQ106" i="28"/>
  <c r="CQ105" i="28"/>
  <c r="CQ104" i="28"/>
  <c r="CQ103" i="28"/>
  <c r="CQ102" i="28"/>
  <c r="CQ101" i="28"/>
  <c r="CQ100" i="28"/>
  <c r="CQ99" i="28"/>
  <c r="CQ98" i="28"/>
  <c r="CQ97" i="28"/>
  <c r="CQ96" i="28"/>
  <c r="CQ95" i="28"/>
  <c r="CQ94" i="28"/>
  <c r="CQ93" i="28"/>
  <c r="CQ92" i="28"/>
  <c r="CQ91" i="28"/>
  <c r="CQ90" i="28"/>
  <c r="CQ89" i="28"/>
  <c r="CQ88" i="28"/>
  <c r="CQ87" i="28"/>
  <c r="CQ86" i="28"/>
  <c r="CQ85" i="28"/>
  <c r="CQ84" i="28"/>
  <c r="CQ83" i="28"/>
  <c r="CQ82" i="28"/>
  <c r="CQ81" i="28"/>
  <c r="CQ80" i="28"/>
  <c r="CQ79" i="28"/>
  <c r="CQ78" i="28"/>
  <c r="CQ77" i="28"/>
  <c r="CQ76" i="28"/>
  <c r="CQ75" i="28"/>
  <c r="CQ74" i="28"/>
  <c r="CQ73" i="28"/>
  <c r="CQ72" i="28"/>
  <c r="CQ71" i="28"/>
  <c r="CQ70" i="28"/>
  <c r="CQ69" i="28"/>
  <c r="CQ68" i="28"/>
  <c r="CQ67" i="28"/>
  <c r="CQ66" i="28"/>
  <c r="CQ65" i="28"/>
  <c r="CQ64" i="28"/>
  <c r="CQ63" i="28"/>
  <c r="CQ62" i="28"/>
  <c r="CQ61" i="28"/>
  <c r="CQ60" i="28"/>
  <c r="CQ59" i="28"/>
  <c r="CQ58" i="28"/>
  <c r="CQ57" i="28"/>
  <c r="CQ56" i="28"/>
  <c r="CQ55" i="28"/>
  <c r="CQ54" i="28"/>
  <c r="CQ53" i="28"/>
  <c r="CQ52" i="28"/>
  <c r="CQ51" i="28"/>
  <c r="CQ50" i="28"/>
  <c r="CQ49" i="28"/>
  <c r="CQ48" i="28"/>
  <c r="CQ47" i="28"/>
  <c r="CQ46" i="28"/>
  <c r="CQ45" i="28"/>
  <c r="CQ44" i="28"/>
  <c r="CQ43" i="28"/>
  <c r="CQ42" i="28"/>
  <c r="CQ41" i="28"/>
  <c r="CQ40" i="28"/>
  <c r="CQ39" i="28"/>
  <c r="CQ38" i="28"/>
  <c r="CQ37" i="28"/>
  <c r="CQ36" i="28"/>
  <c r="CQ35" i="28"/>
  <c r="CQ34" i="28"/>
  <c r="CQ33" i="28"/>
  <c r="CQ32" i="28"/>
  <c r="CQ31" i="28"/>
  <c r="CQ30" i="28"/>
  <c r="CQ29" i="28"/>
  <c r="CQ28" i="28"/>
  <c r="CQ27" i="28"/>
  <c r="CQ26" i="28"/>
  <c r="CQ25" i="28"/>
  <c r="CQ24" i="28"/>
  <c r="CQ23" i="28"/>
  <c r="CQ18" i="28"/>
  <c r="CQ17" i="28"/>
  <c r="CQ16" i="28"/>
  <c r="CQ15" i="28"/>
  <c r="CQ14" i="28"/>
  <c r="CQ13" i="28"/>
  <c r="CQ12" i="28"/>
  <c r="CQ11" i="28"/>
  <c r="CQ10" i="28"/>
  <c r="CQ9" i="28"/>
  <c r="CQ8" i="28"/>
  <c r="CQ7" i="28"/>
  <c r="CQ6" i="28"/>
  <c r="CO381" i="28"/>
  <c r="R548" i="75"/>
  <c r="S548" i="75" s="1"/>
  <c r="R549" i="75"/>
  <c r="S549" i="75" s="1"/>
  <c r="BR548" i="75"/>
  <c r="BR549" i="75"/>
  <c r="Q383" i="28"/>
  <c r="Q298" i="28"/>
  <c r="Q299" i="28"/>
  <c r="Q4" i="28"/>
  <c r="Q5" i="28"/>
  <c r="Q300" i="28"/>
  <c r="Q301" i="28"/>
  <c r="R298" i="28"/>
  <c r="R299" i="28"/>
  <c r="R4" i="28"/>
  <c r="R5" i="28"/>
  <c r="R300" i="28"/>
  <c r="R301" i="28"/>
  <c r="CP383" i="28"/>
  <c r="CP298" i="28"/>
  <c r="CP299" i="28"/>
  <c r="CP4" i="28"/>
  <c r="CP5" i="28"/>
  <c r="CP300" i="28"/>
  <c r="CP301" i="28"/>
  <c r="Q296" i="28"/>
  <c r="Q297" i="28"/>
  <c r="R296" i="28"/>
  <c r="R297" i="28"/>
  <c r="CP296" i="28"/>
  <c r="CP297" i="28"/>
  <c r="R311" i="28"/>
  <c r="R316" i="28"/>
  <c r="R6" i="28"/>
  <c r="R7" i="28"/>
  <c r="R8" i="28"/>
  <c r="R9" i="28"/>
  <c r="R10" i="28"/>
  <c r="R11" i="28"/>
  <c r="R12" i="28"/>
  <c r="R13" i="28"/>
  <c r="R14" i="28"/>
  <c r="R15" i="28"/>
  <c r="R16" i="28"/>
  <c r="R17" i="28"/>
  <c r="R18" i="28"/>
  <c r="R3" i="28"/>
  <c r="R315" i="28"/>
  <c r="R310" i="28"/>
  <c r="R23" i="28"/>
  <c r="R24" i="28"/>
  <c r="R25" i="28"/>
  <c r="R26" i="28"/>
  <c r="R27" i="28"/>
  <c r="R28" i="28"/>
  <c r="R29" i="28"/>
  <c r="R30" i="28"/>
  <c r="R31" i="28"/>
  <c r="R32" i="28"/>
  <c r="R33" i="28"/>
  <c r="R34" i="28"/>
  <c r="R35" i="28"/>
  <c r="R36" i="28"/>
  <c r="R37" i="28"/>
  <c r="R38" i="28"/>
  <c r="R39" i="28"/>
  <c r="R40" i="28"/>
  <c r="R41" i="28"/>
  <c r="R42" i="28"/>
  <c r="R43" i="28"/>
  <c r="R44" i="28"/>
  <c r="R45" i="28"/>
  <c r="R46" i="28"/>
  <c r="R47" i="28"/>
  <c r="R48" i="28"/>
  <c r="R49" i="28"/>
  <c r="R50" i="28"/>
  <c r="R51" i="28"/>
  <c r="R52" i="28"/>
  <c r="R53" i="28"/>
  <c r="R54" i="28"/>
  <c r="R55" i="28"/>
  <c r="R56" i="28"/>
  <c r="R57" i="28"/>
  <c r="R58" i="28"/>
  <c r="R59" i="28"/>
  <c r="R60" i="28"/>
  <c r="R61" i="28"/>
  <c r="R62" i="28"/>
  <c r="R63" i="28"/>
  <c r="R64" i="28"/>
  <c r="R65" i="28"/>
  <c r="R66" i="28"/>
  <c r="R67" i="28"/>
  <c r="R68" i="28"/>
  <c r="R69" i="28"/>
  <c r="R70" i="28"/>
  <c r="R71" i="28"/>
  <c r="R72" i="28"/>
  <c r="R73" i="28"/>
  <c r="R74" i="28"/>
  <c r="R75" i="28"/>
  <c r="R76" i="28"/>
  <c r="R77" i="28"/>
  <c r="R78" i="28"/>
  <c r="R79" i="28"/>
  <c r="R80" i="28"/>
  <c r="R81" i="28"/>
  <c r="R82" i="28"/>
  <c r="R83" i="28"/>
  <c r="R84" i="28"/>
  <c r="R85" i="28"/>
  <c r="R86" i="28"/>
  <c r="R87" i="28"/>
  <c r="R88" i="28"/>
  <c r="R89" i="28"/>
  <c r="R90" i="28"/>
  <c r="R91" i="28"/>
  <c r="R92" i="28"/>
  <c r="R93" i="28"/>
  <c r="R94" i="28"/>
  <c r="R95" i="28"/>
  <c r="R96" i="28"/>
  <c r="R97" i="28"/>
  <c r="R98" i="28"/>
  <c r="R99" i="28"/>
  <c r="R100" i="28"/>
  <c r="R101" i="28"/>
  <c r="R102" i="28"/>
  <c r="R103" i="28"/>
  <c r="R104" i="28"/>
  <c r="R105" i="28"/>
  <c r="R106" i="28"/>
  <c r="R107" i="28"/>
  <c r="R108" i="28"/>
  <c r="R109" i="28"/>
  <c r="R110" i="28"/>
  <c r="R111" i="28"/>
  <c r="R112" i="28"/>
  <c r="R113" i="28"/>
  <c r="R114" i="28"/>
  <c r="R115" i="28"/>
  <c r="R116" i="28"/>
  <c r="R117" i="28"/>
  <c r="R118" i="28"/>
  <c r="R119" i="28"/>
  <c r="R120" i="28"/>
  <c r="R121" i="28"/>
  <c r="R122" i="28"/>
  <c r="R123" i="28"/>
  <c r="R124" i="28"/>
  <c r="R125" i="28"/>
  <c r="R126" i="28"/>
  <c r="R127" i="28"/>
  <c r="R128" i="28"/>
  <c r="R129" i="28"/>
  <c r="R130" i="28"/>
  <c r="R131" i="28"/>
  <c r="R132" i="28"/>
  <c r="R133" i="28"/>
  <c r="R134" i="28"/>
  <c r="R135" i="28"/>
  <c r="R136" i="28"/>
  <c r="R137" i="28"/>
  <c r="R138" i="28"/>
  <c r="R139" i="28"/>
  <c r="R140" i="28"/>
  <c r="R141" i="28"/>
  <c r="R142" i="28"/>
  <c r="R143" i="28"/>
  <c r="R144" i="28"/>
  <c r="R145" i="28"/>
  <c r="R146" i="28"/>
  <c r="R147" i="28"/>
  <c r="R148" i="28"/>
  <c r="R149" i="28"/>
  <c r="R150" i="28"/>
  <c r="R151" i="28"/>
  <c r="R152" i="28"/>
  <c r="R153" i="28"/>
  <c r="R154" i="28"/>
  <c r="R155" i="28"/>
  <c r="R156" i="28"/>
  <c r="R157" i="28"/>
  <c r="R158" i="28"/>
  <c r="R159" i="28"/>
  <c r="R160" i="28"/>
  <c r="R161" i="28"/>
  <c r="R162" i="28"/>
  <c r="R163" i="28"/>
  <c r="R164" i="28"/>
  <c r="R165" i="28"/>
  <c r="R166" i="28"/>
  <c r="R167" i="28"/>
  <c r="R168" i="28"/>
  <c r="R169" i="28"/>
  <c r="R170" i="28"/>
  <c r="R171" i="28"/>
  <c r="R172" i="28"/>
  <c r="R173" i="28"/>
  <c r="R174" i="28"/>
  <c r="R175" i="28"/>
  <c r="R176" i="28"/>
  <c r="R177" i="28"/>
  <c r="R178" i="28"/>
  <c r="R179" i="28"/>
  <c r="R180" i="28"/>
  <c r="R181" i="28"/>
  <c r="R182" i="28"/>
  <c r="R183" i="28"/>
  <c r="R184" i="28"/>
  <c r="R185" i="28"/>
  <c r="R186" i="28"/>
  <c r="R187" i="28"/>
  <c r="R188" i="28"/>
  <c r="R189" i="28"/>
  <c r="R190" i="28"/>
  <c r="R191" i="28"/>
  <c r="R192" i="28"/>
  <c r="R193" i="28"/>
  <c r="R194" i="28"/>
  <c r="R195" i="28"/>
  <c r="R196" i="28"/>
  <c r="R197" i="28"/>
  <c r="R198" i="28"/>
  <c r="R199" i="28"/>
  <c r="R200" i="28"/>
  <c r="R201" i="28"/>
  <c r="R202" i="28"/>
  <c r="R203" i="28"/>
  <c r="R204" i="28"/>
  <c r="R205" i="28"/>
  <c r="R206" i="28"/>
  <c r="R207" i="28"/>
  <c r="R208" i="28"/>
  <c r="R209" i="28"/>
  <c r="R210" i="28"/>
  <c r="R211" i="28"/>
  <c r="R212" i="28"/>
  <c r="R213" i="28"/>
  <c r="R214" i="28"/>
  <c r="R215" i="28"/>
  <c r="R216" i="28"/>
  <c r="R217" i="28"/>
  <c r="R218" i="28"/>
  <c r="R219" i="28"/>
  <c r="R220" i="28"/>
  <c r="R221" i="28"/>
  <c r="R222" i="28"/>
  <c r="R223" i="28"/>
  <c r="R224" i="28"/>
  <c r="R225" i="28"/>
  <c r="R226" i="28"/>
  <c r="R227" i="28"/>
  <c r="R228" i="28"/>
  <c r="R229" i="28"/>
  <c r="R230" i="28"/>
  <c r="R231" i="28"/>
  <c r="R232" i="28"/>
  <c r="R233" i="28"/>
  <c r="R234" i="28"/>
  <c r="R235" i="28"/>
  <c r="R236" i="28"/>
  <c r="R237" i="28"/>
  <c r="R238" i="28"/>
  <c r="R239" i="28"/>
  <c r="R240" i="28"/>
  <c r="R241" i="28"/>
  <c r="R242" i="28"/>
  <c r="R243" i="28"/>
  <c r="R244" i="28"/>
  <c r="R245" i="28"/>
  <c r="R246" i="28"/>
  <c r="R247" i="28"/>
  <c r="R248" i="28"/>
  <c r="R249" i="28"/>
  <c r="R250" i="28"/>
  <c r="R251" i="28"/>
  <c r="R252" i="28"/>
  <c r="R253" i="28"/>
  <c r="R254" i="28"/>
  <c r="R255" i="28"/>
  <c r="R256" i="28"/>
  <c r="R257" i="28"/>
  <c r="R258" i="28"/>
  <c r="R259" i="28"/>
  <c r="R260" i="28"/>
  <c r="R261" i="28"/>
  <c r="R262" i="28"/>
  <c r="R263" i="28"/>
  <c r="R264" i="28"/>
  <c r="R265" i="28"/>
  <c r="R266" i="28"/>
  <c r="R267" i="28"/>
  <c r="R268" i="28"/>
  <c r="R269" i="28"/>
  <c r="R270" i="28"/>
  <c r="R271" i="28"/>
  <c r="R272" i="28"/>
  <c r="R273" i="28"/>
  <c r="R274" i="28"/>
  <c r="R275" i="28"/>
  <c r="R276" i="28"/>
  <c r="R277" i="28"/>
  <c r="R278" i="28"/>
  <c r="R279" i="28"/>
  <c r="R280" i="28"/>
  <c r="R281" i="28"/>
  <c r="R282" i="28"/>
  <c r="R283" i="28"/>
  <c r="R284" i="28"/>
  <c r="R285" i="28"/>
  <c r="R286" i="28"/>
  <c r="R287" i="28"/>
  <c r="R288" i="28"/>
  <c r="R289" i="28"/>
  <c r="R290" i="28"/>
  <c r="R291" i="28"/>
  <c r="R292" i="28"/>
  <c r="R293" i="28"/>
  <c r="R294" i="28"/>
  <c r="R295" i="28"/>
  <c r="R305" i="28"/>
  <c r="R369" i="28"/>
  <c r="R370" i="28"/>
  <c r="R304" i="28"/>
  <c r="R306" i="28"/>
  <c r="R307" i="28"/>
  <c r="R313" i="28"/>
  <c r="R314" i="28"/>
  <c r="R384" i="28"/>
  <c r="R308" i="28"/>
  <c r="R309" i="28"/>
  <c r="R312" i="28"/>
  <c r="R376" i="28"/>
  <c r="R377" i="28"/>
  <c r="R378" i="28"/>
  <c r="R19" i="28"/>
  <c r="R317" i="28"/>
  <c r="R318" i="28"/>
  <c r="R319" i="28"/>
  <c r="R320" i="28"/>
  <c r="R321" i="28"/>
  <c r="R322" i="28"/>
  <c r="R323" i="28"/>
  <c r="R324" i="28"/>
  <c r="R325" i="28"/>
  <c r="R326" i="28"/>
  <c r="R327" i="28"/>
  <c r="R328" i="28"/>
  <c r="R329" i="28"/>
  <c r="R330" i="28"/>
  <c r="R331" i="28"/>
  <c r="R332" i="28"/>
  <c r="R333" i="28"/>
  <c r="R334" i="28"/>
  <c r="R335" i="28"/>
  <c r="R336" i="28"/>
  <c r="R337" i="28"/>
  <c r="R338" i="28"/>
  <c r="R339" i="28"/>
  <c r="R340" i="28"/>
  <c r="R341" i="28"/>
  <c r="R342" i="28"/>
  <c r="R343" i="28"/>
  <c r="R344" i="28"/>
  <c r="R345" i="28"/>
  <c r="R346" i="28"/>
  <c r="R347" i="28"/>
  <c r="R348" i="28"/>
  <c r="R349" i="28"/>
  <c r="R350" i="28"/>
  <c r="R351" i="28"/>
  <c r="R352" i="28"/>
  <c r="R353" i="28"/>
  <c r="R354" i="28"/>
  <c r="R355" i="28"/>
  <c r="R356" i="28"/>
  <c r="R357" i="28"/>
  <c r="R358" i="28"/>
  <c r="R359" i="28"/>
  <c r="R360" i="28"/>
  <c r="R361" i="28"/>
  <c r="R362" i="28"/>
  <c r="R363" i="28"/>
  <c r="R364" i="28"/>
  <c r="R365" i="28"/>
  <c r="R366" i="28"/>
  <c r="R20" i="28"/>
  <c r="R21" i="28"/>
  <c r="R22" i="28"/>
  <c r="R379" i="28"/>
  <c r="R375" i="28"/>
  <c r="R372" i="28"/>
  <c r="R303" i="28"/>
  <c r="R371" i="28"/>
  <c r="R373" i="28"/>
  <c r="R374" i="28"/>
  <c r="R385" i="28"/>
  <c r="R386" i="28"/>
  <c r="R367" i="28"/>
  <c r="R368" i="28"/>
  <c r="R387" i="28"/>
  <c r="R2" i="28"/>
  <c r="R302" i="28"/>
  <c r="CQ302" i="28"/>
  <c r="CR2" i="28"/>
  <c r="CQ368" i="28"/>
  <c r="CQ367" i="28"/>
  <c r="CQ374" i="28"/>
  <c r="CQ373" i="28"/>
  <c r="CQ371" i="28"/>
  <c r="CQ303" i="28"/>
  <c r="CQ372" i="28"/>
  <c r="CQ375" i="28"/>
  <c r="CQ379" i="28"/>
  <c r="CQ382" i="28"/>
  <c r="CQ380" i="28"/>
  <c r="CQ22" i="28"/>
  <c r="CQ21" i="28"/>
  <c r="P21" i="28" s="1"/>
  <c r="CQ20" i="28"/>
  <c r="CQ19" i="28"/>
  <c r="CQ378" i="28"/>
  <c r="CQ377" i="28"/>
  <c r="CQ376" i="28"/>
  <c r="CQ312" i="28"/>
  <c r="CQ311" i="28"/>
  <c r="CQ309" i="28"/>
  <c r="CQ308" i="28"/>
  <c r="CQ314" i="28"/>
  <c r="CQ313" i="28"/>
  <c r="CQ307" i="28"/>
  <c r="CQ306" i="28"/>
  <c r="CQ304" i="28"/>
  <c r="CQ370" i="28"/>
  <c r="CQ369" i="28"/>
  <c r="CQ305" i="28"/>
  <c r="CQ310" i="28"/>
  <c r="CQ315" i="28"/>
  <c r="P315" i="28" s="1"/>
  <c r="P381" i="28" l="1"/>
  <c r="P4" i="28"/>
  <c r="T4" i="28" s="1"/>
  <c r="P299" i="28"/>
  <c r="S299" i="28" s="1"/>
  <c r="P5" i="28"/>
  <c r="S5" i="28" s="1"/>
  <c r="P298" i="28"/>
  <c r="T298" i="28" s="1"/>
  <c r="P296" i="28"/>
  <c r="S296" i="28" s="1"/>
  <c r="P297" i="28"/>
  <c r="S297" i="28" s="1"/>
  <c r="P300" i="28"/>
  <c r="T300" i="28" s="1"/>
  <c r="P383" i="28"/>
  <c r="T383" i="28" s="1"/>
  <c r="S301" i="28"/>
  <c r="T393" i="28"/>
  <c r="S389" i="28"/>
  <c r="Z550" i="75"/>
  <c r="Y550" i="75"/>
  <c r="S392" i="28"/>
  <c r="S388" i="28"/>
  <c r="T391" i="28"/>
  <c r="T390" i="28"/>
  <c r="Z548" i="75"/>
  <c r="Y548" i="75"/>
  <c r="Y549" i="75"/>
  <c r="Z549" i="75"/>
  <c r="S4" i="28" l="1"/>
  <c r="S300" i="28"/>
  <c r="T297" i="28"/>
  <c r="R383" i="28"/>
  <c r="T296" i="28"/>
  <c r="S298" i="28"/>
  <c r="T299" i="28"/>
  <c r="S383" i="28"/>
  <c r="T5" i="28"/>
  <c r="T301" i="28"/>
  <c r="AX1040" i="76" a="1"/>
  <c r="AX1040" i="76" s="1"/>
  <c r="AX1039" i="76" a="1"/>
  <c r="AX1039" i="76" s="1"/>
  <c r="AX1038" i="76" a="1"/>
  <c r="AX1038" i="76" s="1"/>
  <c r="AX1037" i="76" a="1"/>
  <c r="AX1037" i="76" s="1"/>
  <c r="AX1036" i="76" a="1"/>
  <c r="AX1036" i="76" s="1"/>
  <c r="AX1035" i="76" a="1"/>
  <c r="AX1035" i="76" s="1"/>
  <c r="AX1034" i="76" a="1"/>
  <c r="AX1034" i="76" s="1"/>
  <c r="AX1033" i="76" a="1"/>
  <c r="AX1033" i="76" s="1"/>
  <c r="AX1032" i="76" a="1"/>
  <c r="AX1032" i="76" s="1"/>
  <c r="AX1031" i="76" a="1"/>
  <c r="AX1031" i="76" s="1"/>
  <c r="AX1030" i="76" a="1"/>
  <c r="AX1030" i="76" s="1"/>
  <c r="AX1029" i="76" a="1"/>
  <c r="AX1029" i="76" s="1"/>
  <c r="AX1028" i="76" a="1"/>
  <c r="AX1028" i="76" s="1"/>
  <c r="AX1027" i="76" a="1"/>
  <c r="AX1027" i="76" s="1"/>
  <c r="AX1026" i="76" a="1"/>
  <c r="AX1026" i="76" s="1"/>
  <c r="AX1025" i="76" a="1"/>
  <c r="AX1025" i="76" s="1"/>
  <c r="AX1024" i="76" a="1"/>
  <c r="AX1024" i="76" s="1"/>
  <c r="AX1023" i="76" a="1"/>
  <c r="AX1023" i="76" s="1"/>
  <c r="AX1022" i="76" a="1"/>
  <c r="AX1022" i="76" s="1"/>
  <c r="AX1021" i="76" a="1"/>
  <c r="AX1021" i="76" s="1"/>
  <c r="AX1020" i="76" a="1"/>
  <c r="AX1020" i="76" s="1"/>
  <c r="AX1019" i="76" a="1"/>
  <c r="AX1019" i="76" s="1"/>
  <c r="AX1018" i="76" a="1"/>
  <c r="AX1018" i="76" s="1"/>
  <c r="AX1017" i="76" a="1"/>
  <c r="AX1017" i="76" s="1"/>
  <c r="AX1016" i="76" a="1"/>
  <c r="AX1016" i="76" s="1"/>
  <c r="AX1015" i="76" a="1"/>
  <c r="AX1015" i="76" s="1"/>
  <c r="AX1014" i="76" a="1"/>
  <c r="AX1014" i="76" s="1"/>
  <c r="AX1013" i="76" a="1"/>
  <c r="AX1013" i="76" s="1"/>
  <c r="AX1012" i="76" a="1"/>
  <c r="AX1012" i="76" s="1"/>
  <c r="AX1011" i="76" a="1"/>
  <c r="AX1011" i="76" s="1"/>
  <c r="AX1010" i="76" a="1"/>
  <c r="AX1010" i="76" s="1"/>
  <c r="AX1009" i="76" a="1"/>
  <c r="AX1009" i="76" s="1"/>
  <c r="AX1008" i="76" a="1"/>
  <c r="AX1008" i="76" s="1"/>
  <c r="AX1007" i="76" a="1"/>
  <c r="AX1007" i="76" s="1"/>
  <c r="AX1006" i="76" a="1"/>
  <c r="AX1006" i="76" s="1"/>
  <c r="AX1005" i="76" a="1"/>
  <c r="AX1005" i="76" s="1"/>
  <c r="AX1004" i="76" a="1"/>
  <c r="AX1004" i="76" s="1"/>
  <c r="AX1003" i="76" a="1"/>
  <c r="AX1003" i="76" s="1"/>
  <c r="AX1002" i="76" a="1"/>
  <c r="AX1002" i="76" s="1"/>
  <c r="AX1001" i="76" a="1"/>
  <c r="AX1001" i="76" s="1"/>
  <c r="AX1000" i="76" a="1"/>
  <c r="AX1000" i="76" s="1"/>
  <c r="AX999" i="76" a="1"/>
  <c r="AX999" i="76" s="1"/>
  <c r="AX998" i="76" a="1"/>
  <c r="AX998" i="76" s="1"/>
  <c r="AX997" i="76" a="1"/>
  <c r="AX997" i="76" s="1"/>
  <c r="AX996" i="76" a="1"/>
  <c r="AX996" i="76" s="1"/>
  <c r="AX995" i="76" a="1"/>
  <c r="AX995" i="76" s="1"/>
  <c r="AX994" i="76" a="1"/>
  <c r="AX994" i="76" s="1"/>
  <c r="AX993" i="76" a="1"/>
  <c r="AX993" i="76" s="1"/>
  <c r="AX992" i="76" a="1"/>
  <c r="AX992" i="76" s="1"/>
  <c r="AX991" i="76" a="1"/>
  <c r="AX991" i="76" s="1"/>
  <c r="AX990" i="76" a="1"/>
  <c r="AX990" i="76" s="1"/>
  <c r="AX989" i="76" a="1"/>
  <c r="AX989" i="76" s="1"/>
  <c r="AX988" i="76" a="1"/>
  <c r="AX988" i="76" s="1"/>
  <c r="AX987" i="76" a="1"/>
  <c r="AX987" i="76" s="1"/>
  <c r="AX986" i="76" a="1"/>
  <c r="AX986" i="76" s="1"/>
  <c r="AX985" i="76" a="1"/>
  <c r="AX985" i="76" s="1"/>
  <c r="AX984" i="76" a="1"/>
  <c r="AX984" i="76" s="1"/>
  <c r="AX983" i="76" a="1"/>
  <c r="AX983" i="76" s="1"/>
  <c r="AX982" i="76" a="1"/>
  <c r="AX982" i="76" s="1"/>
  <c r="AX981" i="76" a="1"/>
  <c r="AX981" i="76" s="1"/>
  <c r="AX980" i="76" a="1"/>
  <c r="AX980" i="76" s="1"/>
  <c r="AX979" i="76" a="1"/>
  <c r="AX979" i="76" s="1"/>
  <c r="AX978" i="76" a="1"/>
  <c r="AX978" i="76" s="1"/>
  <c r="AX977" i="76" a="1"/>
  <c r="AX977" i="76" s="1"/>
  <c r="AX976" i="76" a="1"/>
  <c r="AX976" i="76" s="1"/>
  <c r="AX975" i="76" a="1"/>
  <c r="AX975" i="76" s="1"/>
  <c r="AX974" i="76" a="1"/>
  <c r="AX974" i="76" s="1"/>
  <c r="AX973" i="76" a="1"/>
  <c r="AX973" i="76" s="1"/>
  <c r="AX972" i="76" a="1"/>
  <c r="AX972" i="76" s="1"/>
  <c r="AX971" i="76" a="1"/>
  <c r="AX971" i="76" s="1"/>
  <c r="AX970" i="76" a="1"/>
  <c r="AX970" i="76" s="1"/>
  <c r="AX969" i="76" a="1"/>
  <c r="AX969" i="76" s="1"/>
  <c r="AX968" i="76" a="1"/>
  <c r="AX968" i="76" s="1"/>
  <c r="AX967" i="76" a="1"/>
  <c r="AX967" i="76" s="1"/>
  <c r="AX966" i="76" a="1"/>
  <c r="AX966" i="76" s="1"/>
  <c r="AX965" i="76" a="1"/>
  <c r="AX965" i="76" s="1"/>
  <c r="AX964" i="76" a="1"/>
  <c r="AX964" i="76" s="1"/>
  <c r="AX963" i="76" a="1"/>
  <c r="AX963" i="76" s="1"/>
  <c r="AX962" i="76" a="1"/>
  <c r="AX962" i="76" s="1"/>
  <c r="AX961" i="76" a="1"/>
  <c r="AX961" i="76" s="1"/>
  <c r="AX960" i="76" a="1"/>
  <c r="AX960" i="76" s="1"/>
  <c r="AX959" i="76" a="1"/>
  <c r="AX959" i="76" s="1"/>
  <c r="AX958" i="76" a="1"/>
  <c r="AX958" i="76" s="1"/>
  <c r="AX957" i="76" a="1"/>
  <c r="AX957" i="76" s="1"/>
  <c r="AX956" i="76" a="1"/>
  <c r="AX956" i="76" s="1"/>
  <c r="AX955" i="76" a="1"/>
  <c r="AX955" i="76" s="1"/>
  <c r="AX954" i="76" a="1"/>
  <c r="AX954" i="76" s="1"/>
  <c r="AX953" i="76" a="1"/>
  <c r="AX953" i="76" s="1"/>
  <c r="AX952" i="76" a="1"/>
  <c r="AX952" i="76" s="1"/>
  <c r="AX951" i="76" a="1"/>
  <c r="AX951" i="76" s="1"/>
  <c r="AX950" i="76" a="1"/>
  <c r="AX950" i="76" s="1"/>
  <c r="AX949" i="76" a="1"/>
  <c r="AX949" i="76" s="1"/>
  <c r="AX948" i="76" a="1"/>
  <c r="AX948" i="76" s="1"/>
  <c r="AX947" i="76" a="1"/>
  <c r="AX947" i="76" s="1"/>
  <c r="AX946" i="76" a="1"/>
  <c r="AX946" i="76" s="1"/>
  <c r="AX945" i="76" a="1"/>
  <c r="AX945" i="76" s="1"/>
  <c r="AX944" i="76" a="1"/>
  <c r="AX944" i="76" s="1"/>
  <c r="AX943" i="76" a="1"/>
  <c r="AX943" i="76" s="1"/>
  <c r="AX942" i="76" a="1"/>
  <c r="AX942" i="76" s="1"/>
  <c r="AX941" i="76" a="1"/>
  <c r="AX941" i="76" s="1"/>
  <c r="AX940" i="76" a="1"/>
  <c r="AX940" i="76" s="1"/>
  <c r="AX939" i="76" a="1"/>
  <c r="AX939" i="76" s="1"/>
  <c r="AX938" i="76" a="1"/>
  <c r="AX938" i="76" s="1"/>
  <c r="AX937" i="76" a="1"/>
  <c r="AX937" i="76" s="1"/>
  <c r="AX936" i="76" a="1"/>
  <c r="AX936" i="76" s="1"/>
  <c r="AX935" i="76" a="1"/>
  <c r="AX935" i="76" s="1"/>
  <c r="AX934" i="76" a="1"/>
  <c r="AX934" i="76" s="1"/>
  <c r="AX933" i="76" a="1"/>
  <c r="AX933" i="76" s="1"/>
  <c r="AX932" i="76" a="1"/>
  <c r="AX932" i="76" s="1"/>
  <c r="AX931" i="76" a="1"/>
  <c r="AX931" i="76" s="1"/>
  <c r="AX930" i="76" a="1"/>
  <c r="AX930" i="76" s="1"/>
  <c r="AX929" i="76" a="1"/>
  <c r="AX929" i="76" s="1"/>
  <c r="AX928" i="76" a="1"/>
  <c r="AX928" i="76" s="1"/>
  <c r="AX927" i="76" a="1"/>
  <c r="AX927" i="76" s="1"/>
  <c r="AX926" i="76" a="1"/>
  <c r="AX926" i="76" s="1"/>
  <c r="AX925" i="76" a="1"/>
  <c r="AX925" i="76" s="1"/>
  <c r="AX924" i="76" a="1"/>
  <c r="AX924" i="76" s="1"/>
  <c r="AX923" i="76" a="1"/>
  <c r="AX923" i="76" s="1"/>
  <c r="AX922" i="76" a="1"/>
  <c r="AX922" i="76" s="1"/>
  <c r="AX921" i="76" a="1"/>
  <c r="AX921" i="76" s="1"/>
  <c r="AX920" i="76" a="1"/>
  <c r="AX920" i="76" s="1"/>
  <c r="AX919" i="76" a="1"/>
  <c r="AX919" i="76" s="1"/>
  <c r="AX918" i="76" a="1"/>
  <c r="AX918" i="76" s="1"/>
  <c r="AX917" i="76" a="1"/>
  <c r="AX917" i="76" s="1"/>
  <c r="AX916" i="76" a="1"/>
  <c r="AX916" i="76" s="1"/>
  <c r="AX915" i="76" a="1"/>
  <c r="AX915" i="76" s="1"/>
  <c r="AX914" i="76" a="1"/>
  <c r="AX914" i="76" s="1"/>
  <c r="AX913" i="76" a="1"/>
  <c r="AX913" i="76" s="1"/>
  <c r="AX912" i="76" a="1"/>
  <c r="AX912" i="76" s="1"/>
  <c r="AX911" i="76" a="1"/>
  <c r="AX911" i="76" s="1"/>
  <c r="AX910" i="76" a="1"/>
  <c r="AX910" i="76" s="1"/>
  <c r="AX909" i="76" a="1"/>
  <c r="AX909" i="76" s="1"/>
  <c r="AX908" i="76" a="1"/>
  <c r="AX908" i="76" s="1"/>
  <c r="AX907" i="76" a="1"/>
  <c r="AX907" i="76" s="1"/>
  <c r="AX906" i="76" a="1"/>
  <c r="AX906" i="76" s="1"/>
  <c r="AX905" i="76" a="1"/>
  <c r="AX905" i="76" s="1"/>
  <c r="AX904" i="76" a="1"/>
  <c r="AX904" i="76" s="1"/>
  <c r="AX903" i="76" a="1"/>
  <c r="AX903" i="76" s="1"/>
  <c r="AX902" i="76" a="1"/>
  <c r="AX902" i="76" s="1"/>
  <c r="AX901" i="76" a="1"/>
  <c r="AX901" i="76" s="1"/>
  <c r="AX900" i="76" a="1"/>
  <c r="AX900" i="76" s="1"/>
  <c r="AX899" i="76" a="1"/>
  <c r="AX899" i="76" s="1"/>
  <c r="AX898" i="76" a="1"/>
  <c r="AX898" i="76" s="1"/>
  <c r="AX897" i="76" a="1"/>
  <c r="AX897" i="76" s="1"/>
  <c r="AX896" i="76" a="1"/>
  <c r="AX896" i="76" s="1"/>
  <c r="AX895" i="76" a="1"/>
  <c r="AX895" i="76" s="1"/>
  <c r="AX894" i="76" a="1"/>
  <c r="AX894" i="76" s="1"/>
  <c r="AX893" i="76" a="1"/>
  <c r="AX893" i="76" s="1"/>
  <c r="AX892" i="76" a="1"/>
  <c r="AX892" i="76" s="1"/>
  <c r="AX891" i="76" a="1"/>
  <c r="AX891" i="76" s="1"/>
  <c r="AX890" i="76" a="1"/>
  <c r="AX890" i="76" s="1"/>
  <c r="AX889" i="76" a="1"/>
  <c r="AX889" i="76" s="1"/>
  <c r="AX888" i="76" a="1"/>
  <c r="AX888" i="76" s="1"/>
  <c r="AX887" i="76" a="1"/>
  <c r="AX887" i="76" s="1"/>
  <c r="AX886" i="76" a="1"/>
  <c r="AX886" i="76" s="1"/>
  <c r="AX885" i="76" a="1"/>
  <c r="AX885" i="76" s="1"/>
  <c r="AX884" i="76" a="1"/>
  <c r="AX884" i="76" s="1"/>
  <c r="AX883" i="76" a="1"/>
  <c r="AX883" i="76" s="1"/>
  <c r="AX882" i="76" a="1"/>
  <c r="AX882" i="76" s="1"/>
  <c r="AX881" i="76" a="1"/>
  <c r="AX881" i="76" s="1"/>
  <c r="AX880" i="76" a="1"/>
  <c r="AX880" i="76" s="1"/>
  <c r="AX879" i="76" a="1"/>
  <c r="AX879" i="76" s="1"/>
  <c r="AX878" i="76" a="1"/>
  <c r="AX878" i="76" s="1"/>
  <c r="AX877" i="76" a="1"/>
  <c r="AX877" i="76" s="1"/>
  <c r="AX876" i="76" a="1"/>
  <c r="AX876" i="76" s="1"/>
  <c r="AX875" i="76" a="1"/>
  <c r="AX875" i="76" s="1"/>
  <c r="AX874" i="76" a="1"/>
  <c r="AX874" i="76" s="1"/>
  <c r="AX873" i="76" a="1"/>
  <c r="AX873" i="76" s="1"/>
  <c r="AX872" i="76" a="1"/>
  <c r="AX872" i="76" s="1"/>
  <c r="AX871" i="76" a="1"/>
  <c r="AX871" i="76" s="1"/>
  <c r="AX870" i="76" a="1"/>
  <c r="AX870" i="76" s="1"/>
  <c r="AX869" i="76" a="1"/>
  <c r="AX869" i="76" s="1"/>
  <c r="AX868" i="76" a="1"/>
  <c r="AX868" i="76" s="1"/>
  <c r="AX867" i="76" a="1"/>
  <c r="AX867" i="76" s="1"/>
  <c r="AX866" i="76" a="1"/>
  <c r="AX866" i="76" s="1"/>
  <c r="AX865" i="76" a="1"/>
  <c r="AX865" i="76" s="1"/>
  <c r="AX864" i="76" a="1"/>
  <c r="AX864" i="76" s="1"/>
  <c r="AX863" i="76" a="1"/>
  <c r="AX863" i="76" s="1"/>
  <c r="AX862" i="76" a="1"/>
  <c r="AX862" i="76" s="1"/>
  <c r="AX861" i="76" a="1"/>
  <c r="AX861" i="76" s="1"/>
  <c r="AX860" i="76" a="1"/>
  <c r="AX860" i="76" s="1"/>
  <c r="AX859" i="76" a="1"/>
  <c r="AX859" i="76" s="1"/>
  <c r="AX858" i="76" a="1"/>
  <c r="AX858" i="76" s="1"/>
  <c r="AX857" i="76" a="1"/>
  <c r="AX857" i="76" s="1"/>
  <c r="AX856" i="76" a="1"/>
  <c r="AX856" i="76" s="1"/>
  <c r="AX855" i="76" a="1"/>
  <c r="AX855" i="76" s="1"/>
  <c r="AX854" i="76" a="1"/>
  <c r="AX854" i="76" s="1"/>
  <c r="AX853" i="76" a="1"/>
  <c r="AX853" i="76" s="1"/>
  <c r="AX852" i="76" a="1"/>
  <c r="AX852" i="76" s="1"/>
  <c r="AX851" i="76" a="1"/>
  <c r="AX851" i="76" s="1"/>
  <c r="AX850" i="76" a="1"/>
  <c r="AX850" i="76" s="1"/>
  <c r="AX849" i="76" a="1"/>
  <c r="AX849" i="76" s="1"/>
  <c r="AX848" i="76" a="1"/>
  <c r="AX848" i="76" s="1"/>
  <c r="AX847" i="76" a="1"/>
  <c r="AX847" i="76" s="1"/>
  <c r="AX846" i="76" a="1"/>
  <c r="AX846" i="76" s="1"/>
  <c r="AX845" i="76" a="1"/>
  <c r="AX845" i="76" s="1"/>
  <c r="AX844" i="76" a="1"/>
  <c r="AX844" i="76" s="1"/>
  <c r="AX843" i="76" a="1"/>
  <c r="AX843" i="76" s="1"/>
  <c r="AX842" i="76" a="1"/>
  <c r="AX842" i="76" s="1"/>
  <c r="AX841" i="76" a="1"/>
  <c r="AX841" i="76" s="1"/>
  <c r="AX840" i="76" a="1"/>
  <c r="AX840" i="76" s="1"/>
  <c r="AX839" i="76" a="1"/>
  <c r="AX839" i="76" s="1"/>
  <c r="AX838" i="76" a="1"/>
  <c r="AX838" i="76" s="1"/>
  <c r="AX837" i="76" a="1"/>
  <c r="AX837" i="76" s="1"/>
  <c r="AX836" i="76" a="1"/>
  <c r="AX836" i="76" s="1"/>
  <c r="AX835" i="76" a="1"/>
  <c r="AX835" i="76" s="1"/>
  <c r="AX834" i="76" a="1"/>
  <c r="AX834" i="76" s="1"/>
  <c r="AX833" i="76" a="1"/>
  <c r="AX833" i="76" s="1"/>
  <c r="AX832" i="76" a="1"/>
  <c r="AX832" i="76" s="1"/>
  <c r="AX831" i="76" a="1"/>
  <c r="AX831" i="76" s="1"/>
  <c r="AX830" i="76" a="1"/>
  <c r="AX830" i="76" s="1"/>
  <c r="AX829" i="76" a="1"/>
  <c r="AX829" i="76" s="1"/>
  <c r="AX828" i="76" a="1"/>
  <c r="AX828" i="76" s="1"/>
  <c r="AX827" i="76" a="1"/>
  <c r="AX827" i="76" s="1"/>
  <c r="AX826" i="76" a="1"/>
  <c r="AX826" i="76" s="1"/>
  <c r="AX825" i="76" a="1"/>
  <c r="AX825" i="76" s="1"/>
  <c r="AX824" i="76" a="1"/>
  <c r="AX824" i="76" s="1"/>
  <c r="AX823" i="76" a="1"/>
  <c r="AX823" i="76" s="1"/>
  <c r="AX822" i="76" a="1"/>
  <c r="AX822" i="76" s="1"/>
  <c r="AX821" i="76" a="1"/>
  <c r="AX821" i="76" s="1"/>
  <c r="AX820" i="76" a="1"/>
  <c r="AX820" i="76" s="1"/>
  <c r="AX819" i="76" a="1"/>
  <c r="AX819" i="76" s="1"/>
  <c r="AX818" i="76" a="1"/>
  <c r="AX818" i="76" s="1"/>
  <c r="AX817" i="76" a="1"/>
  <c r="AX817" i="76" s="1"/>
  <c r="AX816" i="76" a="1"/>
  <c r="AX816" i="76" s="1"/>
  <c r="AX815" i="76" a="1"/>
  <c r="AX815" i="76" s="1"/>
  <c r="AX814" i="76" a="1"/>
  <c r="AX814" i="76" s="1"/>
  <c r="AX813" i="76" a="1"/>
  <c r="AX813" i="76" s="1"/>
  <c r="AX812" i="76" a="1"/>
  <c r="AX812" i="76" s="1"/>
  <c r="AX811" i="76" a="1"/>
  <c r="AX811" i="76" s="1"/>
  <c r="AX810" i="76" a="1"/>
  <c r="AX810" i="76" s="1"/>
  <c r="AX809" i="76" a="1"/>
  <c r="AX809" i="76" s="1"/>
  <c r="AX808" i="76" a="1"/>
  <c r="AX808" i="76" s="1"/>
  <c r="AX807" i="76" a="1"/>
  <c r="AX807" i="76" s="1"/>
  <c r="AX806" i="76" a="1"/>
  <c r="AX806" i="76" s="1"/>
  <c r="AX805" i="76" a="1"/>
  <c r="AX805" i="76" s="1"/>
  <c r="AX804" i="76" a="1"/>
  <c r="AX804" i="76" s="1"/>
  <c r="AX803" i="76" a="1"/>
  <c r="AX803" i="76" s="1"/>
  <c r="AX802" i="76" a="1"/>
  <c r="AX802" i="76" s="1"/>
  <c r="AX801" i="76" a="1"/>
  <c r="AX801" i="76" s="1"/>
  <c r="AX800" i="76" a="1"/>
  <c r="AX800" i="76" s="1"/>
  <c r="AX799" i="76" a="1"/>
  <c r="AX799" i="76" s="1"/>
  <c r="AX798" i="76" a="1"/>
  <c r="AX798" i="76" s="1"/>
  <c r="AX797" i="76" a="1"/>
  <c r="AX797" i="76" s="1"/>
  <c r="AX796" i="76" a="1"/>
  <c r="AX796" i="76" s="1"/>
  <c r="AX795" i="76" a="1"/>
  <c r="AX795" i="76" s="1"/>
  <c r="AX794" i="76" a="1"/>
  <c r="AX794" i="76" s="1"/>
  <c r="AX793" i="76" a="1"/>
  <c r="AX793" i="76" s="1"/>
  <c r="AX792" i="76" a="1"/>
  <c r="AX792" i="76" s="1"/>
  <c r="AX791" i="76" a="1"/>
  <c r="AX791" i="76" s="1"/>
  <c r="AX790" i="76" a="1"/>
  <c r="AX790" i="76" s="1"/>
  <c r="AX789" i="76" a="1"/>
  <c r="AX789" i="76" s="1"/>
  <c r="AX788" i="76" a="1"/>
  <c r="AX788" i="76" s="1"/>
  <c r="AX787" i="76" a="1"/>
  <c r="AX787" i="76" s="1"/>
  <c r="AX786" i="76" a="1"/>
  <c r="AX786" i="76" s="1"/>
  <c r="AX785" i="76" a="1"/>
  <c r="AX785" i="76" s="1"/>
  <c r="AX784" i="76" a="1"/>
  <c r="AX784" i="76" s="1"/>
  <c r="AX783" i="76" a="1"/>
  <c r="AX783" i="76" s="1"/>
  <c r="AX782" i="76" a="1"/>
  <c r="AX782" i="76" s="1"/>
  <c r="AX781" i="76" a="1"/>
  <c r="AX781" i="76" s="1"/>
  <c r="AX780" i="76" a="1"/>
  <c r="AX780" i="76" s="1"/>
  <c r="AX779" i="76" a="1"/>
  <c r="AX779" i="76" s="1"/>
  <c r="AX778" i="76" a="1"/>
  <c r="AX778" i="76" s="1"/>
  <c r="AX777" i="76" a="1"/>
  <c r="AX777" i="76" s="1"/>
  <c r="AX776" i="76" a="1"/>
  <c r="AX776" i="76" s="1"/>
  <c r="AX775" i="76" a="1"/>
  <c r="AX775" i="76" s="1"/>
  <c r="AX774" i="76" a="1"/>
  <c r="AX774" i="76" s="1"/>
  <c r="AX773" i="76" a="1"/>
  <c r="AX773" i="76" s="1"/>
  <c r="AX772" i="76" a="1"/>
  <c r="AX772" i="76" s="1"/>
  <c r="AX771" i="76" a="1"/>
  <c r="AX771" i="76" s="1"/>
  <c r="AX770" i="76" a="1"/>
  <c r="AX770" i="76" s="1"/>
  <c r="AX769" i="76" a="1"/>
  <c r="AX769" i="76" s="1"/>
  <c r="AX768" i="76" a="1"/>
  <c r="AX768" i="76" s="1"/>
  <c r="AX767" i="76" a="1"/>
  <c r="AX767" i="76" s="1"/>
  <c r="AX766" i="76" a="1"/>
  <c r="AX766" i="76" s="1"/>
  <c r="AX765" i="76" a="1"/>
  <c r="AX765" i="76" s="1"/>
  <c r="AX764" i="76" a="1"/>
  <c r="AX764" i="76" s="1"/>
  <c r="AX763" i="76" a="1"/>
  <c r="AX763" i="76" s="1"/>
  <c r="AX762" i="76" a="1"/>
  <c r="AX762" i="76" s="1"/>
  <c r="AX761" i="76" a="1"/>
  <c r="AX761" i="76" s="1"/>
  <c r="AX760" i="76" a="1"/>
  <c r="AX760" i="76" s="1"/>
  <c r="AX759" i="76" a="1"/>
  <c r="AX759" i="76" s="1"/>
  <c r="AX758" i="76" a="1"/>
  <c r="AX758" i="76" s="1"/>
  <c r="AX757" i="76" a="1"/>
  <c r="AX757" i="76" s="1"/>
  <c r="AX756" i="76" a="1"/>
  <c r="AX756" i="76" s="1"/>
  <c r="AX755" i="76" a="1"/>
  <c r="AX755" i="76" s="1"/>
  <c r="AX754" i="76" a="1"/>
  <c r="AX754" i="76" s="1"/>
  <c r="AX753" i="76" a="1"/>
  <c r="AX753" i="76" s="1"/>
  <c r="AX752" i="76" a="1"/>
  <c r="AX752" i="76" s="1"/>
  <c r="AX751" i="76" a="1"/>
  <c r="AX751" i="76" s="1"/>
  <c r="AX750" i="76" a="1"/>
  <c r="AX750" i="76" s="1"/>
  <c r="AX749" i="76" a="1"/>
  <c r="AX749" i="76" s="1"/>
  <c r="AX748" i="76" a="1"/>
  <c r="AX748" i="76" s="1"/>
  <c r="AX747" i="76" a="1"/>
  <c r="AX747" i="76" s="1"/>
  <c r="AX746" i="76" a="1"/>
  <c r="AX746" i="76" s="1"/>
  <c r="AX745" i="76" a="1"/>
  <c r="AX745" i="76" s="1"/>
  <c r="AX744" i="76" a="1"/>
  <c r="AX744" i="76" s="1"/>
  <c r="AX743" i="76" a="1"/>
  <c r="AX743" i="76" s="1"/>
  <c r="AX742" i="76" a="1"/>
  <c r="AX742" i="76" s="1"/>
  <c r="AX741" i="76" a="1"/>
  <c r="AX741" i="76" s="1"/>
  <c r="AX740" i="76" a="1"/>
  <c r="AX740" i="76" s="1"/>
  <c r="AX739" i="76" a="1"/>
  <c r="AX739" i="76" s="1"/>
  <c r="AX738" i="76" a="1"/>
  <c r="AX738" i="76" s="1"/>
  <c r="AX737" i="76" a="1"/>
  <c r="AX737" i="76" s="1"/>
  <c r="AX736" i="76" a="1"/>
  <c r="AX736" i="76" s="1"/>
  <c r="AX735" i="76" a="1"/>
  <c r="AX735" i="76" s="1"/>
  <c r="AX734" i="76" a="1"/>
  <c r="AX734" i="76" s="1"/>
  <c r="AX733" i="76" a="1"/>
  <c r="AX733" i="76" s="1"/>
  <c r="AX732" i="76" a="1"/>
  <c r="AX732" i="76" s="1"/>
  <c r="AX731" i="76" a="1"/>
  <c r="AX731" i="76" s="1"/>
  <c r="AX730" i="76" a="1"/>
  <c r="AX730" i="76" s="1"/>
  <c r="AX729" i="76" a="1"/>
  <c r="AX729" i="76" s="1"/>
  <c r="AX728" i="76" a="1"/>
  <c r="AX728" i="76" s="1"/>
  <c r="AX727" i="76" a="1"/>
  <c r="AX727" i="76" s="1"/>
  <c r="AX726" i="76" a="1"/>
  <c r="AX726" i="76" s="1"/>
  <c r="AX725" i="76" a="1"/>
  <c r="AX725" i="76" s="1"/>
  <c r="AX724" i="76" a="1"/>
  <c r="AX724" i="76" s="1"/>
  <c r="AX723" i="76" a="1"/>
  <c r="AX723" i="76" s="1"/>
  <c r="AX722" i="76" a="1"/>
  <c r="AX722" i="76" s="1"/>
  <c r="AX721" i="76" a="1"/>
  <c r="AX721" i="76" s="1"/>
  <c r="AX720" i="76" a="1"/>
  <c r="AX720" i="76" s="1"/>
  <c r="AX719" i="76" a="1"/>
  <c r="AX719" i="76" s="1"/>
  <c r="AX718" i="76" a="1"/>
  <c r="AX718" i="76" s="1"/>
  <c r="AX717" i="76" a="1"/>
  <c r="AX717" i="76" s="1"/>
  <c r="AX716" i="76" a="1"/>
  <c r="AX716" i="76" s="1"/>
  <c r="AX715" i="76" a="1"/>
  <c r="AX715" i="76" s="1"/>
  <c r="AX714" i="76" a="1"/>
  <c r="AX714" i="76" s="1"/>
  <c r="AX713" i="76" a="1"/>
  <c r="AX713" i="76" s="1"/>
  <c r="AX712" i="76" a="1"/>
  <c r="AX712" i="76" s="1"/>
  <c r="AX711" i="76" a="1"/>
  <c r="AX711" i="76" s="1"/>
  <c r="AX710" i="76" a="1"/>
  <c r="AX710" i="76" s="1"/>
  <c r="AX709" i="76" a="1"/>
  <c r="AX709" i="76" s="1"/>
  <c r="AX708" i="76" a="1"/>
  <c r="AX708" i="76" s="1"/>
  <c r="AX707" i="76" a="1"/>
  <c r="AX707" i="76" s="1"/>
  <c r="AX706" i="76" a="1"/>
  <c r="AX706" i="76" s="1"/>
  <c r="AX705" i="76" a="1"/>
  <c r="AX705" i="76" s="1"/>
  <c r="AX704" i="76" a="1"/>
  <c r="AX704" i="76" s="1"/>
  <c r="AX703" i="76" a="1"/>
  <c r="AX703" i="76" s="1"/>
  <c r="AX702" i="76" a="1"/>
  <c r="AX702" i="76" s="1"/>
  <c r="AX701" i="76" a="1"/>
  <c r="AX701" i="76" s="1"/>
  <c r="AX700" i="76" a="1"/>
  <c r="AX700" i="76" s="1"/>
  <c r="AX699" i="76" a="1"/>
  <c r="AX699" i="76" s="1"/>
  <c r="AX698" i="76" a="1"/>
  <c r="AX698" i="76" s="1"/>
  <c r="AX697" i="76" a="1"/>
  <c r="AX697" i="76" s="1"/>
  <c r="AX696" i="76" a="1"/>
  <c r="AX696" i="76" s="1"/>
  <c r="AX695" i="76" a="1"/>
  <c r="AX695" i="76" s="1"/>
  <c r="AX694" i="76" a="1"/>
  <c r="AX694" i="76" s="1"/>
  <c r="AX693" i="76" a="1"/>
  <c r="AX693" i="76" s="1"/>
  <c r="AX692" i="76" a="1"/>
  <c r="AX692" i="76" s="1"/>
  <c r="AX691" i="76" a="1"/>
  <c r="AX691" i="76" s="1"/>
  <c r="AX690" i="76" a="1"/>
  <c r="AX690" i="76" s="1"/>
  <c r="AX689" i="76" a="1"/>
  <c r="AX689" i="76" s="1"/>
  <c r="AX688" i="76" a="1"/>
  <c r="AX688" i="76" s="1"/>
  <c r="AX687" i="76" a="1"/>
  <c r="AX687" i="76" s="1"/>
  <c r="AX686" i="76" a="1"/>
  <c r="AX686" i="76" s="1"/>
  <c r="AX685" i="76" a="1"/>
  <c r="AX685" i="76" s="1"/>
  <c r="AX684" i="76" a="1"/>
  <c r="AX684" i="76" s="1"/>
  <c r="AX683" i="76" a="1"/>
  <c r="AX683" i="76" s="1"/>
  <c r="AX682" i="76" a="1"/>
  <c r="AX682" i="76" s="1"/>
  <c r="AX681" i="76" a="1"/>
  <c r="AX681" i="76" s="1"/>
  <c r="AX680" i="76" a="1"/>
  <c r="AX680" i="76" s="1"/>
  <c r="AX679" i="76" a="1"/>
  <c r="AX679" i="76" s="1"/>
  <c r="AX678" i="76" a="1"/>
  <c r="AX678" i="76" s="1"/>
  <c r="AX677" i="76" a="1"/>
  <c r="AX677" i="76" s="1"/>
  <c r="AX676" i="76" a="1"/>
  <c r="AX676" i="76" s="1"/>
  <c r="AX675" i="76" a="1"/>
  <c r="AX675" i="76" s="1"/>
  <c r="AX674" i="76" a="1"/>
  <c r="AX674" i="76" s="1"/>
  <c r="AX673" i="76" a="1"/>
  <c r="AX673" i="76" s="1"/>
  <c r="AX672" i="76" a="1"/>
  <c r="AX672" i="76" s="1"/>
  <c r="AX671" i="76" a="1"/>
  <c r="AX671" i="76" s="1"/>
  <c r="AX670" i="76" a="1"/>
  <c r="AX670" i="76" s="1"/>
  <c r="AX669" i="76" a="1"/>
  <c r="AX669" i="76" s="1"/>
  <c r="AX668" i="76" a="1"/>
  <c r="AX668" i="76" s="1"/>
  <c r="AX667" i="76" a="1"/>
  <c r="AX667" i="76" s="1"/>
  <c r="AX666" i="76" a="1"/>
  <c r="AX666" i="76" s="1"/>
  <c r="AX665" i="76" a="1"/>
  <c r="AX665" i="76" s="1"/>
  <c r="AX664" i="76" a="1"/>
  <c r="AX664" i="76" s="1"/>
  <c r="AX663" i="76" a="1"/>
  <c r="AX663" i="76" s="1"/>
  <c r="AX662" i="76" a="1"/>
  <c r="AX662" i="76" s="1"/>
  <c r="AX661" i="76" a="1"/>
  <c r="AX661" i="76" s="1"/>
  <c r="AX660" i="76" a="1"/>
  <c r="AX660" i="76" s="1"/>
  <c r="AX659" i="76" a="1"/>
  <c r="AX659" i="76" s="1"/>
  <c r="AX658" i="76" a="1"/>
  <c r="AX658" i="76" s="1"/>
  <c r="AX657" i="76" a="1"/>
  <c r="AX657" i="76" s="1"/>
  <c r="AX656" i="76" a="1"/>
  <c r="AX656" i="76" s="1"/>
  <c r="AX655" i="76" a="1"/>
  <c r="AX655" i="76" s="1"/>
  <c r="AX654" i="76" a="1"/>
  <c r="AX654" i="76" s="1"/>
  <c r="AX653" i="76" a="1"/>
  <c r="AX653" i="76" s="1"/>
  <c r="AX652" i="76" a="1"/>
  <c r="AX652" i="76" s="1"/>
  <c r="AX651" i="76" a="1"/>
  <c r="AX651" i="76" s="1"/>
  <c r="AX650" i="76" a="1"/>
  <c r="AX650" i="76" s="1"/>
  <c r="AX649" i="76" a="1"/>
  <c r="AX649" i="76" s="1"/>
  <c r="AX648" i="76" a="1"/>
  <c r="AX648" i="76" s="1"/>
  <c r="AX647" i="76" a="1"/>
  <c r="AX647" i="76" s="1"/>
  <c r="AX646" i="76" a="1"/>
  <c r="AX646" i="76" s="1"/>
  <c r="AX645" i="76" a="1"/>
  <c r="AX645" i="76" s="1"/>
  <c r="AX644" i="76" a="1"/>
  <c r="AX644" i="76" s="1"/>
  <c r="AX643" i="76" a="1"/>
  <c r="AX643" i="76" s="1"/>
  <c r="AX642" i="76" a="1"/>
  <c r="AX642" i="76" s="1"/>
  <c r="AX641" i="76" a="1"/>
  <c r="AX641" i="76" s="1"/>
  <c r="AX640" i="76" a="1"/>
  <c r="AX640" i="76" s="1"/>
  <c r="AX639" i="76" a="1"/>
  <c r="AX639" i="76" s="1"/>
  <c r="AX638" i="76" a="1"/>
  <c r="AX638" i="76" s="1"/>
  <c r="AX637" i="76" a="1"/>
  <c r="AX637" i="76" s="1"/>
  <c r="AX636" i="76" a="1"/>
  <c r="AX636" i="76" s="1"/>
  <c r="AX635" i="76" a="1"/>
  <c r="AX635" i="76" s="1"/>
  <c r="AX634" i="76" a="1"/>
  <c r="AX634" i="76" s="1"/>
  <c r="AX633" i="76" a="1"/>
  <c r="AX633" i="76" s="1"/>
  <c r="AX632" i="76" a="1"/>
  <c r="AX632" i="76" s="1"/>
  <c r="AX631" i="76" a="1"/>
  <c r="AX631" i="76" s="1"/>
  <c r="AX630" i="76" a="1"/>
  <c r="AX630" i="76" s="1"/>
  <c r="AX629" i="76" a="1"/>
  <c r="AX629" i="76" s="1"/>
  <c r="AX628" i="76" a="1"/>
  <c r="AX628" i="76" s="1"/>
  <c r="AX627" i="76" a="1"/>
  <c r="AX627" i="76" s="1"/>
  <c r="AX626" i="76" a="1"/>
  <c r="AX626" i="76" s="1"/>
  <c r="AX625" i="76" a="1"/>
  <c r="AX625" i="76" s="1"/>
  <c r="AX624" i="76" a="1"/>
  <c r="AX624" i="76" s="1"/>
  <c r="AX623" i="76" a="1"/>
  <c r="AX623" i="76" s="1"/>
  <c r="AX622" i="76" a="1"/>
  <c r="AX622" i="76" s="1"/>
  <c r="AX621" i="76" a="1"/>
  <c r="AX621" i="76" s="1"/>
  <c r="AX620" i="76" a="1"/>
  <c r="AX620" i="76" s="1"/>
  <c r="AX619" i="76" a="1"/>
  <c r="AX619" i="76" s="1"/>
  <c r="AX618" i="76" a="1"/>
  <c r="AX618" i="76" s="1"/>
  <c r="AX617" i="76" a="1"/>
  <c r="AX617" i="76" s="1"/>
  <c r="AX616" i="76" a="1"/>
  <c r="AX616" i="76" s="1"/>
  <c r="AX615" i="76" a="1"/>
  <c r="AX615" i="76" s="1"/>
  <c r="AX614" i="76" a="1"/>
  <c r="AX614" i="76" s="1"/>
  <c r="AX613" i="76" a="1"/>
  <c r="AX613" i="76" s="1"/>
  <c r="AX612" i="76" a="1"/>
  <c r="AX612" i="76" s="1"/>
  <c r="AX611" i="76" a="1"/>
  <c r="AX611" i="76" s="1"/>
  <c r="AX610" i="76" a="1"/>
  <c r="AX610" i="76" s="1"/>
  <c r="AX609" i="76" a="1"/>
  <c r="AX609" i="76" s="1"/>
  <c r="AX608" i="76" a="1"/>
  <c r="AX608" i="76" s="1"/>
  <c r="AX607" i="76" a="1"/>
  <c r="AX607" i="76" s="1"/>
  <c r="AX606" i="76" a="1"/>
  <c r="AX606" i="76" s="1"/>
  <c r="AX605" i="76" a="1"/>
  <c r="AX605" i="76" s="1"/>
  <c r="AX604" i="76" a="1"/>
  <c r="AX604" i="76" s="1"/>
  <c r="AX603" i="76" a="1"/>
  <c r="AX603" i="76" s="1"/>
  <c r="AX602" i="76" a="1"/>
  <c r="AX602" i="76" s="1"/>
  <c r="AX601" i="76" a="1"/>
  <c r="AX601" i="76" s="1"/>
  <c r="AX600" i="76" a="1"/>
  <c r="AX600" i="76" s="1"/>
  <c r="AX599" i="76" a="1"/>
  <c r="AX599" i="76" s="1"/>
  <c r="AX598" i="76" a="1"/>
  <c r="AX598" i="76" s="1"/>
  <c r="AX597" i="76" a="1"/>
  <c r="AX597" i="76" s="1"/>
  <c r="AX596" i="76" a="1"/>
  <c r="AX596" i="76" s="1"/>
  <c r="AX595" i="76" a="1"/>
  <c r="AX595" i="76" s="1"/>
  <c r="AX594" i="76" a="1"/>
  <c r="AX594" i="76" s="1"/>
  <c r="AX593" i="76" a="1"/>
  <c r="AX593" i="76" s="1"/>
  <c r="AX592" i="76" a="1"/>
  <c r="AX592" i="76" s="1"/>
  <c r="AX591" i="76" a="1"/>
  <c r="AX591" i="76" s="1"/>
  <c r="AX590" i="76" a="1"/>
  <c r="AX590" i="76" s="1"/>
  <c r="AX589" i="76" a="1"/>
  <c r="AX589" i="76" s="1"/>
  <c r="AX588" i="76" a="1"/>
  <c r="AX588" i="76" s="1"/>
  <c r="AX587" i="76" a="1"/>
  <c r="AX587" i="76" s="1"/>
  <c r="AX586" i="76" a="1"/>
  <c r="AX586" i="76" s="1"/>
  <c r="AX585" i="76" a="1"/>
  <c r="AX585" i="76" s="1"/>
  <c r="AX584" i="76" a="1"/>
  <c r="AX584" i="76" s="1"/>
  <c r="AX583" i="76" a="1"/>
  <c r="AX583" i="76" s="1"/>
  <c r="AX582" i="76" a="1"/>
  <c r="AX582" i="76" s="1"/>
  <c r="AX581" i="76" a="1"/>
  <c r="AX581" i="76" s="1"/>
  <c r="AX580" i="76" a="1"/>
  <c r="AX580" i="76" s="1"/>
  <c r="AX579" i="76" a="1"/>
  <c r="AX579" i="76" s="1"/>
  <c r="AX578" i="76" a="1"/>
  <c r="AX578" i="76" s="1"/>
  <c r="AX577" i="76" a="1"/>
  <c r="AX577" i="76" s="1"/>
  <c r="AX576" i="76" a="1"/>
  <c r="AX576" i="76" s="1"/>
  <c r="AX575" i="76" a="1"/>
  <c r="AX575" i="76" s="1"/>
  <c r="AX574" i="76" a="1"/>
  <c r="AX574" i="76" s="1"/>
  <c r="AX573" i="76" a="1"/>
  <c r="AX573" i="76" s="1"/>
  <c r="AX572" i="76" a="1"/>
  <c r="AX572" i="76" s="1"/>
  <c r="AX571" i="76" a="1"/>
  <c r="AX571" i="76" s="1"/>
  <c r="AX570" i="76" a="1"/>
  <c r="AX570" i="76" s="1"/>
  <c r="AX569" i="76" a="1"/>
  <c r="AX569" i="76" s="1"/>
  <c r="AX568" i="76" a="1"/>
  <c r="AX568" i="76" s="1"/>
  <c r="AX567" i="76" a="1"/>
  <c r="AX567" i="76" s="1"/>
  <c r="AX566" i="76" a="1"/>
  <c r="AX566" i="76" s="1"/>
  <c r="AX565" i="76" a="1"/>
  <c r="AX565" i="76" s="1"/>
  <c r="AX564" i="76" a="1"/>
  <c r="AX564" i="76" s="1"/>
  <c r="AX563" i="76" a="1"/>
  <c r="AX563" i="76" s="1"/>
  <c r="AX562" i="76" a="1"/>
  <c r="AX562" i="76" s="1"/>
  <c r="AX561" i="76" a="1"/>
  <c r="AX561" i="76" s="1"/>
  <c r="AX560" i="76" a="1"/>
  <c r="AX560" i="76" s="1"/>
  <c r="AX559" i="76" a="1"/>
  <c r="AX559" i="76" s="1"/>
  <c r="AX558" i="76" a="1"/>
  <c r="AX558" i="76" s="1"/>
  <c r="AX557" i="76" a="1"/>
  <c r="AX557" i="76" s="1"/>
  <c r="AX556" i="76" a="1"/>
  <c r="AX556" i="76" s="1"/>
  <c r="AX555" i="76" a="1"/>
  <c r="AX555" i="76" s="1"/>
  <c r="AX554" i="76" a="1"/>
  <c r="AX554" i="76" s="1"/>
  <c r="AX553" i="76" a="1"/>
  <c r="AX553" i="76" s="1"/>
  <c r="AX552" i="76" a="1"/>
  <c r="AX552" i="76" s="1"/>
  <c r="AX551" i="76" a="1"/>
  <c r="AX551" i="76" s="1"/>
  <c r="AX550" i="76" a="1"/>
  <c r="AX550" i="76" s="1"/>
  <c r="AX549" i="76" a="1"/>
  <c r="AX549" i="76" s="1"/>
  <c r="AX548" i="76" a="1"/>
  <c r="AX548" i="76" s="1"/>
  <c r="AX547" i="76" a="1"/>
  <c r="AX547" i="76" s="1"/>
  <c r="AX546" i="76" a="1"/>
  <c r="AX546" i="76" s="1"/>
  <c r="AX545" i="76" a="1"/>
  <c r="AX545" i="76" s="1"/>
  <c r="AX544" i="76" a="1"/>
  <c r="AX544" i="76" s="1"/>
  <c r="AX543" i="76" a="1"/>
  <c r="AX543" i="76" s="1"/>
  <c r="AX542" i="76" a="1"/>
  <c r="AX542" i="76" s="1"/>
  <c r="AX541" i="76" a="1"/>
  <c r="AX541" i="76" s="1"/>
  <c r="AX540" i="76" a="1"/>
  <c r="AX540" i="76" s="1"/>
  <c r="AX539" i="76" a="1"/>
  <c r="AX539" i="76" s="1"/>
  <c r="AX538" i="76" a="1"/>
  <c r="AX538" i="76" s="1"/>
  <c r="AX537" i="76" a="1"/>
  <c r="AX537" i="76" s="1"/>
  <c r="AX536" i="76" a="1"/>
  <c r="AX536" i="76" s="1"/>
  <c r="AX535" i="76" a="1"/>
  <c r="AX535" i="76" s="1"/>
  <c r="AX534" i="76" a="1"/>
  <c r="AX534" i="76" s="1"/>
  <c r="AX533" i="76" a="1"/>
  <c r="AX533" i="76" s="1"/>
  <c r="AX532" i="76" a="1"/>
  <c r="AX532" i="76" s="1"/>
  <c r="AX531" i="76" a="1"/>
  <c r="AX531" i="76" s="1"/>
  <c r="AX530" i="76" a="1"/>
  <c r="AX530" i="76" s="1"/>
  <c r="AX529" i="76" a="1"/>
  <c r="AX529" i="76" s="1"/>
  <c r="AX528" i="76" a="1"/>
  <c r="AX528" i="76" s="1"/>
  <c r="AX527" i="76" a="1"/>
  <c r="AX527" i="76" s="1"/>
  <c r="AX526" i="76" a="1"/>
  <c r="AX526" i="76" s="1"/>
  <c r="AX525" i="76" a="1"/>
  <c r="AX525" i="76" s="1"/>
  <c r="AX524" i="76" a="1"/>
  <c r="AX524" i="76" s="1"/>
  <c r="AX523" i="76" a="1"/>
  <c r="AX523" i="76" s="1"/>
  <c r="AX522" i="76" a="1"/>
  <c r="AX522" i="76" s="1"/>
  <c r="AX521" i="76" a="1"/>
  <c r="AX521" i="76" s="1"/>
  <c r="AX520" i="76" a="1"/>
  <c r="AX520" i="76" s="1"/>
  <c r="AX519" i="76" a="1"/>
  <c r="AX519" i="76" s="1"/>
  <c r="AX518" i="76" a="1"/>
  <c r="AX518" i="76" s="1"/>
  <c r="AX517" i="76" a="1"/>
  <c r="AX517" i="76" s="1"/>
  <c r="AX516" i="76" a="1"/>
  <c r="AX516" i="76" s="1"/>
  <c r="AX515" i="76" a="1"/>
  <c r="AX515" i="76" s="1"/>
  <c r="AX514" i="76" a="1"/>
  <c r="AX514" i="76" s="1"/>
  <c r="AX513" i="76" a="1"/>
  <c r="AX513" i="76" s="1"/>
  <c r="AX512" i="76" a="1"/>
  <c r="AX512" i="76" s="1"/>
  <c r="AX511" i="76" a="1"/>
  <c r="AX511" i="76" s="1"/>
  <c r="AX510" i="76" a="1"/>
  <c r="AX510" i="76" s="1"/>
  <c r="AX509" i="76" a="1"/>
  <c r="AX509" i="76" s="1"/>
  <c r="AX508" i="76" a="1"/>
  <c r="AX508" i="76" s="1"/>
  <c r="AX507" i="76" a="1"/>
  <c r="AX507" i="76" s="1"/>
  <c r="AX506" i="76" a="1"/>
  <c r="AX506" i="76" s="1"/>
  <c r="AX505" i="76" a="1"/>
  <c r="AX505" i="76" s="1"/>
  <c r="AX504" i="76" a="1"/>
  <c r="AX504" i="76" s="1"/>
  <c r="AX503" i="76" a="1"/>
  <c r="AX503" i="76" s="1"/>
  <c r="AX502" i="76" a="1"/>
  <c r="AX502" i="76" s="1"/>
  <c r="AX501" i="76" a="1"/>
  <c r="AX501" i="76" s="1"/>
  <c r="AX500" i="76" a="1"/>
  <c r="AX500" i="76" s="1"/>
  <c r="AX499" i="76" a="1"/>
  <c r="AX499" i="76" s="1"/>
  <c r="AX498" i="76" a="1"/>
  <c r="AX498" i="76" s="1"/>
  <c r="AX497" i="76" a="1"/>
  <c r="AX497" i="76" s="1"/>
  <c r="AX496" i="76" a="1"/>
  <c r="AX496" i="76" s="1"/>
  <c r="AX495" i="76" a="1"/>
  <c r="AX495" i="76" s="1"/>
  <c r="AX494" i="76" a="1"/>
  <c r="AX494" i="76" s="1"/>
  <c r="AX493" i="76" a="1"/>
  <c r="AX493" i="76" s="1"/>
  <c r="AX492" i="76" a="1"/>
  <c r="AX492" i="76" s="1"/>
  <c r="AX491" i="76" a="1"/>
  <c r="AX491" i="76" s="1"/>
  <c r="AX490" i="76" a="1"/>
  <c r="AX490" i="76" s="1"/>
  <c r="AX489" i="76" a="1"/>
  <c r="AX489" i="76" s="1"/>
  <c r="AX488" i="76" a="1"/>
  <c r="AX488" i="76" s="1"/>
  <c r="AX487" i="76" a="1"/>
  <c r="AX487" i="76" s="1"/>
  <c r="AX486" i="76" a="1"/>
  <c r="AX486" i="76" s="1"/>
  <c r="AX485" i="76" a="1"/>
  <c r="AX485" i="76" s="1"/>
  <c r="AX484" i="76" a="1"/>
  <c r="AX484" i="76" s="1"/>
  <c r="AX483" i="76" a="1"/>
  <c r="AX483" i="76" s="1"/>
  <c r="AX482" i="76" a="1"/>
  <c r="AX482" i="76" s="1"/>
  <c r="AX481" i="76" a="1"/>
  <c r="AX481" i="76" s="1"/>
  <c r="AX480" i="76" a="1"/>
  <c r="AX480" i="76" s="1"/>
  <c r="AX479" i="76" a="1"/>
  <c r="AX479" i="76" s="1"/>
  <c r="AX478" i="76" a="1"/>
  <c r="AX478" i="76" s="1"/>
  <c r="AX477" i="76" a="1"/>
  <c r="AX477" i="76" s="1"/>
  <c r="AX476" i="76" a="1"/>
  <c r="AX476" i="76" s="1"/>
  <c r="AX475" i="76" a="1"/>
  <c r="AX475" i="76" s="1"/>
  <c r="AX474" i="76" a="1"/>
  <c r="AX474" i="76" s="1"/>
  <c r="AX473" i="76" a="1"/>
  <c r="AX473" i="76" s="1"/>
  <c r="AX472" i="76" a="1"/>
  <c r="AX472" i="76" s="1"/>
  <c r="AX471" i="76" a="1"/>
  <c r="AX471" i="76" s="1"/>
  <c r="AX470" i="76" a="1"/>
  <c r="AX470" i="76" s="1"/>
  <c r="AX469" i="76" a="1"/>
  <c r="AX469" i="76" s="1"/>
  <c r="AX468" i="76" a="1"/>
  <c r="AX468" i="76" s="1"/>
  <c r="AX467" i="76" a="1"/>
  <c r="AX467" i="76" s="1"/>
  <c r="AX466" i="76" a="1"/>
  <c r="AX466" i="76" s="1"/>
  <c r="AX465" i="76" a="1"/>
  <c r="AX465" i="76" s="1"/>
  <c r="AX464" i="76" a="1"/>
  <c r="AX464" i="76" s="1"/>
  <c r="AX463" i="76" a="1"/>
  <c r="AX463" i="76" s="1"/>
  <c r="AX462" i="76" a="1"/>
  <c r="AX462" i="76" s="1"/>
  <c r="AX461" i="76" a="1"/>
  <c r="AX461" i="76" s="1"/>
  <c r="AX460" i="76" a="1"/>
  <c r="AX460" i="76" s="1"/>
  <c r="AX459" i="76" a="1"/>
  <c r="AX459" i="76" s="1"/>
  <c r="AX458" i="76" a="1"/>
  <c r="AX458" i="76" s="1"/>
  <c r="AX457" i="76" a="1"/>
  <c r="AX457" i="76" s="1"/>
  <c r="AX456" i="76" a="1"/>
  <c r="AX456" i="76" s="1"/>
  <c r="AX455" i="76" a="1"/>
  <c r="AX455" i="76" s="1"/>
  <c r="AX454" i="76" a="1"/>
  <c r="AX454" i="76" s="1"/>
  <c r="AX453" i="76" a="1"/>
  <c r="AX453" i="76" s="1"/>
  <c r="AX452" i="76" a="1"/>
  <c r="AX452" i="76" s="1"/>
  <c r="AX451" i="76" a="1"/>
  <c r="AX451" i="76" s="1"/>
  <c r="AX450" i="76" a="1"/>
  <c r="AX450" i="76" s="1"/>
  <c r="AX449" i="76" a="1"/>
  <c r="AX449" i="76" s="1"/>
  <c r="AX448" i="76" a="1"/>
  <c r="AX448" i="76" s="1"/>
  <c r="AX447" i="76" a="1"/>
  <c r="AX447" i="76" s="1"/>
  <c r="AX446" i="76" a="1"/>
  <c r="AX446" i="76" s="1"/>
  <c r="AX445" i="76" a="1"/>
  <c r="AX445" i="76" s="1"/>
  <c r="AX444" i="76" a="1"/>
  <c r="AX444" i="76" s="1"/>
  <c r="AX443" i="76" a="1"/>
  <c r="AX443" i="76" s="1"/>
  <c r="AX442" i="76" a="1"/>
  <c r="AX442" i="76" s="1"/>
  <c r="AX441" i="76" a="1"/>
  <c r="AX441" i="76" s="1"/>
  <c r="AX440" i="76" a="1"/>
  <c r="AX440" i="76" s="1"/>
  <c r="AX439" i="76" a="1"/>
  <c r="AX439" i="76" s="1"/>
  <c r="AX438" i="76" a="1"/>
  <c r="AX438" i="76" s="1"/>
  <c r="AX437" i="76" a="1"/>
  <c r="AX437" i="76" s="1"/>
  <c r="AX436" i="76" a="1"/>
  <c r="AX436" i="76" s="1"/>
  <c r="AX435" i="76" a="1"/>
  <c r="AX435" i="76" s="1"/>
  <c r="AX434" i="76" a="1"/>
  <c r="AX434" i="76" s="1"/>
  <c r="AX433" i="76" a="1"/>
  <c r="AX433" i="76" s="1"/>
  <c r="AX432" i="76" a="1"/>
  <c r="AX432" i="76" s="1"/>
  <c r="AX431" i="76" a="1"/>
  <c r="AX431" i="76" s="1"/>
  <c r="AX430" i="76" a="1"/>
  <c r="AX430" i="76" s="1"/>
  <c r="AX429" i="76" a="1"/>
  <c r="AX429" i="76" s="1"/>
  <c r="AX428" i="76" a="1"/>
  <c r="AX428" i="76" s="1"/>
  <c r="AX427" i="76" a="1"/>
  <c r="AX427" i="76" s="1"/>
  <c r="AX426" i="76" a="1"/>
  <c r="AX426" i="76" s="1"/>
  <c r="AX425" i="76" a="1"/>
  <c r="AX425" i="76" s="1"/>
  <c r="AX424" i="76" a="1"/>
  <c r="AX424" i="76" s="1"/>
  <c r="AX423" i="76" a="1"/>
  <c r="AX423" i="76" s="1"/>
  <c r="AX422" i="76" a="1"/>
  <c r="AX422" i="76" s="1"/>
  <c r="AX421" i="76" a="1"/>
  <c r="AX421" i="76" s="1"/>
  <c r="AX420" i="76" a="1"/>
  <c r="AX420" i="76" s="1"/>
  <c r="AX419" i="76" a="1"/>
  <c r="AX419" i="76" s="1"/>
  <c r="AX418" i="76" a="1"/>
  <c r="AX418" i="76" s="1"/>
  <c r="AX417" i="76" a="1"/>
  <c r="AX417" i="76" s="1"/>
  <c r="AX416" i="76" a="1"/>
  <c r="AX416" i="76" s="1"/>
  <c r="AX415" i="76" a="1"/>
  <c r="AX415" i="76" s="1"/>
  <c r="AX414" i="76" a="1"/>
  <c r="AX414" i="76" s="1"/>
  <c r="AX413" i="76" a="1"/>
  <c r="AX413" i="76" s="1"/>
  <c r="AX412" i="76" a="1"/>
  <c r="AX412" i="76" s="1"/>
  <c r="AX411" i="76" a="1"/>
  <c r="AX411" i="76" s="1"/>
  <c r="AX410" i="76" a="1"/>
  <c r="AX410" i="76" s="1"/>
  <c r="AX409" i="76" a="1"/>
  <c r="AX409" i="76" s="1"/>
  <c r="AX408" i="76" a="1"/>
  <c r="AX408" i="76" s="1"/>
  <c r="AX407" i="76" a="1"/>
  <c r="AX407" i="76" s="1"/>
  <c r="AX406" i="76" a="1"/>
  <c r="AX406" i="76" s="1"/>
  <c r="AX405" i="76" a="1"/>
  <c r="AX405" i="76" s="1"/>
  <c r="AX404" i="76" a="1"/>
  <c r="AX404" i="76" s="1"/>
  <c r="AX403" i="76" a="1"/>
  <c r="AX403" i="76" s="1"/>
  <c r="AX402" i="76" a="1"/>
  <c r="AX402" i="76" s="1"/>
  <c r="AX401" i="76" a="1"/>
  <c r="AX401" i="76" s="1"/>
  <c r="AX400" i="76" a="1"/>
  <c r="AX400" i="76" s="1"/>
  <c r="AX399" i="76" a="1"/>
  <c r="AX399" i="76" s="1"/>
  <c r="AX398" i="76" a="1"/>
  <c r="AX398" i="76" s="1"/>
  <c r="AX397" i="76" a="1"/>
  <c r="AX397" i="76" s="1"/>
  <c r="AX396" i="76" a="1"/>
  <c r="AX396" i="76" s="1"/>
  <c r="AX395" i="76" a="1"/>
  <c r="AX395" i="76" s="1"/>
  <c r="AX394" i="76" a="1"/>
  <c r="AX394" i="76" s="1"/>
  <c r="AX393" i="76" a="1"/>
  <c r="AX393" i="76" s="1"/>
  <c r="AX392" i="76" a="1"/>
  <c r="AX392" i="76" s="1"/>
  <c r="AX391" i="76" a="1"/>
  <c r="AX391" i="76" s="1"/>
  <c r="AX390" i="76" a="1"/>
  <c r="AX390" i="76" s="1"/>
  <c r="AX389" i="76" a="1"/>
  <c r="AX389" i="76" s="1"/>
  <c r="AX388" i="76" a="1"/>
  <c r="AX388" i="76" s="1"/>
  <c r="AX387" i="76" a="1"/>
  <c r="AX387" i="76" s="1"/>
  <c r="AX386" i="76" a="1"/>
  <c r="AX386" i="76" s="1"/>
  <c r="AX385" i="76" a="1"/>
  <c r="AX385" i="76" s="1"/>
  <c r="AX384" i="76" a="1"/>
  <c r="AX384" i="76" s="1"/>
  <c r="AX383" i="76" a="1"/>
  <c r="AX383" i="76" s="1"/>
  <c r="AX382" i="76" a="1"/>
  <c r="AX382" i="76" s="1"/>
  <c r="AX381" i="76" a="1"/>
  <c r="AX381" i="76" s="1"/>
  <c r="AX380" i="76" a="1"/>
  <c r="AX380" i="76" s="1"/>
  <c r="AX379" i="76" a="1"/>
  <c r="AX379" i="76" s="1"/>
  <c r="AX378" i="76" a="1"/>
  <c r="AX378" i="76" s="1"/>
  <c r="AX377" i="76" a="1"/>
  <c r="AX377" i="76" s="1"/>
  <c r="AX376" i="76" a="1"/>
  <c r="AX376" i="76" s="1"/>
  <c r="AX375" i="76" a="1"/>
  <c r="AX375" i="76" s="1"/>
  <c r="AX374" i="76" a="1"/>
  <c r="AX374" i="76" s="1"/>
  <c r="AX373" i="76" a="1"/>
  <c r="AX373" i="76" s="1"/>
  <c r="AX372" i="76" a="1"/>
  <c r="AX372" i="76" s="1"/>
  <c r="AX371" i="76" a="1"/>
  <c r="AX371" i="76" s="1"/>
  <c r="AX370" i="76" a="1"/>
  <c r="AX370" i="76" s="1"/>
  <c r="AX369" i="76" a="1"/>
  <c r="AX369" i="76" s="1"/>
  <c r="AX368" i="76" a="1"/>
  <c r="AX368" i="76" s="1"/>
  <c r="AX367" i="76" a="1"/>
  <c r="AX367" i="76" s="1"/>
  <c r="AX366" i="76" a="1"/>
  <c r="AX366" i="76" s="1"/>
  <c r="AX365" i="76" a="1"/>
  <c r="AX365" i="76" s="1"/>
  <c r="AX364" i="76" a="1"/>
  <c r="AX364" i="76" s="1"/>
  <c r="AX363" i="76" a="1"/>
  <c r="AX363" i="76" s="1"/>
  <c r="AX362" i="76" a="1"/>
  <c r="AX362" i="76" s="1"/>
  <c r="AX361" i="76" a="1"/>
  <c r="AX361" i="76" s="1"/>
  <c r="AX360" i="76" a="1"/>
  <c r="AX360" i="76" s="1"/>
  <c r="AX359" i="76" a="1"/>
  <c r="AX359" i="76" s="1"/>
  <c r="AX358" i="76" a="1"/>
  <c r="AX358" i="76" s="1"/>
  <c r="AX357" i="76" a="1"/>
  <c r="AX357" i="76" s="1"/>
  <c r="AX356" i="76" a="1"/>
  <c r="AX356" i="76" s="1"/>
  <c r="AX355" i="76" a="1"/>
  <c r="AX355" i="76" s="1"/>
  <c r="AX354" i="76" a="1"/>
  <c r="AX354" i="76" s="1"/>
  <c r="AX353" i="76" a="1"/>
  <c r="AX353" i="76" s="1"/>
  <c r="AX352" i="76" a="1"/>
  <c r="AX352" i="76" s="1"/>
  <c r="AX351" i="76" a="1"/>
  <c r="AX351" i="76" s="1"/>
  <c r="AX350" i="76" a="1"/>
  <c r="AX350" i="76" s="1"/>
  <c r="AX349" i="76" a="1"/>
  <c r="AX349" i="76" s="1"/>
  <c r="AX348" i="76" a="1"/>
  <c r="AX348" i="76" s="1"/>
  <c r="AX347" i="76" a="1"/>
  <c r="AX347" i="76" s="1"/>
  <c r="AX346" i="76" a="1"/>
  <c r="AX346" i="76" s="1"/>
  <c r="AX345" i="76" a="1"/>
  <c r="AX345" i="76" s="1"/>
  <c r="AX344" i="76" a="1"/>
  <c r="AX344" i="76" s="1"/>
  <c r="AX343" i="76" a="1"/>
  <c r="AX343" i="76" s="1"/>
  <c r="AX342" i="76" a="1"/>
  <c r="AX342" i="76" s="1"/>
  <c r="AX341" i="76" a="1"/>
  <c r="AX341" i="76" s="1"/>
  <c r="AX340" i="76" a="1"/>
  <c r="AX340" i="76" s="1"/>
  <c r="AX339" i="76" a="1"/>
  <c r="AX339" i="76" s="1"/>
  <c r="AX338" i="76" a="1"/>
  <c r="AX338" i="76" s="1"/>
  <c r="AX337" i="76" a="1"/>
  <c r="AX337" i="76" s="1"/>
  <c r="AX336" i="76" a="1"/>
  <c r="AX336" i="76" s="1"/>
  <c r="AX335" i="76" a="1"/>
  <c r="AX335" i="76" s="1"/>
  <c r="AX334" i="76" a="1"/>
  <c r="AX334" i="76" s="1"/>
  <c r="AX333" i="76" a="1"/>
  <c r="AX333" i="76" s="1"/>
  <c r="AX332" i="76" a="1"/>
  <c r="AX332" i="76" s="1"/>
  <c r="AX331" i="76" a="1"/>
  <c r="AX331" i="76" s="1"/>
  <c r="AX330" i="76" a="1"/>
  <c r="AX330" i="76" s="1"/>
  <c r="AX329" i="76" a="1"/>
  <c r="AX329" i="76" s="1"/>
  <c r="AX328" i="76" a="1"/>
  <c r="AX328" i="76" s="1"/>
  <c r="AX327" i="76" a="1"/>
  <c r="AX327" i="76" s="1"/>
  <c r="AX326" i="76" a="1"/>
  <c r="AX326" i="76" s="1"/>
  <c r="AX325" i="76" a="1"/>
  <c r="AX325" i="76" s="1"/>
  <c r="AX324" i="76" a="1"/>
  <c r="AX324" i="76" s="1"/>
  <c r="AX323" i="76" a="1"/>
  <c r="AX323" i="76" s="1"/>
  <c r="AX322" i="76" a="1"/>
  <c r="AX322" i="76" s="1"/>
  <c r="AX321" i="76" a="1"/>
  <c r="AX321" i="76" s="1"/>
  <c r="AX320" i="76" a="1"/>
  <c r="AX320" i="76" s="1"/>
  <c r="AX319" i="76" a="1"/>
  <c r="AX319" i="76" s="1"/>
  <c r="AX318" i="76" a="1"/>
  <c r="AX318" i="76" s="1"/>
  <c r="AX317" i="76" a="1"/>
  <c r="AX317" i="76" s="1"/>
  <c r="AX316" i="76" a="1"/>
  <c r="AX316" i="76" s="1"/>
  <c r="AX315" i="76" a="1"/>
  <c r="AX315" i="76" s="1"/>
  <c r="AX314" i="76" a="1"/>
  <c r="AX314" i="76" s="1"/>
  <c r="AX313" i="76" a="1"/>
  <c r="AX313" i="76" s="1"/>
  <c r="AX312" i="76" a="1"/>
  <c r="AX312" i="76" s="1"/>
  <c r="AX311" i="76" a="1"/>
  <c r="AX311" i="76" s="1"/>
  <c r="AX310" i="76" a="1"/>
  <c r="AX310" i="76" s="1"/>
  <c r="AX309" i="76" a="1"/>
  <c r="AX309" i="76" s="1"/>
  <c r="AX308" i="76" a="1"/>
  <c r="AX308" i="76" s="1"/>
  <c r="AX307" i="76" a="1"/>
  <c r="AX307" i="76" s="1"/>
  <c r="AX306" i="76" a="1"/>
  <c r="AX306" i="76" s="1"/>
  <c r="AX305" i="76" a="1"/>
  <c r="AX305" i="76" s="1"/>
  <c r="AX304" i="76" a="1"/>
  <c r="AX304" i="76" s="1"/>
  <c r="AX303" i="76" a="1"/>
  <c r="AX303" i="76" s="1"/>
  <c r="AX302" i="76" a="1"/>
  <c r="AX302" i="76" s="1"/>
  <c r="AX301" i="76" a="1"/>
  <c r="AX301" i="76" s="1"/>
  <c r="AX300" i="76" a="1"/>
  <c r="AX300" i="76" s="1"/>
  <c r="AX299" i="76" a="1"/>
  <c r="AX299" i="76" s="1"/>
  <c r="AX298" i="76" a="1"/>
  <c r="AX298" i="76" s="1"/>
  <c r="AX297" i="76" a="1"/>
  <c r="AX297" i="76" s="1"/>
  <c r="AX296" i="76" a="1"/>
  <c r="AX296" i="76" s="1"/>
  <c r="AX295" i="76" a="1"/>
  <c r="AX295" i="76" s="1"/>
  <c r="AX294" i="76" a="1"/>
  <c r="AX294" i="76" s="1"/>
  <c r="AX293" i="76" a="1"/>
  <c r="AX293" i="76" s="1"/>
  <c r="AX292" i="76" a="1"/>
  <c r="AX292" i="76" s="1"/>
  <c r="AX291" i="76" a="1"/>
  <c r="AX291" i="76" s="1"/>
  <c r="AX290" i="76" a="1"/>
  <c r="AX290" i="76" s="1"/>
  <c r="AX289" i="76" a="1"/>
  <c r="AX289" i="76" s="1"/>
  <c r="AX288" i="76" a="1"/>
  <c r="AX288" i="76" s="1"/>
  <c r="AX287" i="76" a="1"/>
  <c r="AX287" i="76" s="1"/>
  <c r="AX286" i="76" a="1"/>
  <c r="AX286" i="76" s="1"/>
  <c r="AX285" i="76" a="1"/>
  <c r="AX285" i="76" s="1"/>
  <c r="AX284" i="76" a="1"/>
  <c r="AX284" i="76" s="1"/>
  <c r="AX283" i="76" a="1"/>
  <c r="AX283" i="76" s="1"/>
  <c r="AX282" i="76" a="1"/>
  <c r="AX282" i="76" s="1"/>
  <c r="AX281" i="76" a="1"/>
  <c r="AX281" i="76" s="1"/>
  <c r="AX280" i="76" a="1"/>
  <c r="AX280" i="76" s="1"/>
  <c r="AX279" i="76" a="1"/>
  <c r="AX279" i="76" s="1"/>
  <c r="AX278" i="76" a="1"/>
  <c r="AX278" i="76" s="1"/>
  <c r="AX277" i="76" a="1"/>
  <c r="AX277" i="76" s="1"/>
  <c r="AX276" i="76" a="1"/>
  <c r="AX276" i="76" s="1"/>
  <c r="AX275" i="76" a="1"/>
  <c r="AX275" i="76" s="1"/>
  <c r="AX274" i="76" a="1"/>
  <c r="AX274" i="76" s="1"/>
  <c r="AX273" i="76" a="1"/>
  <c r="AX273" i="76" s="1"/>
  <c r="AX272" i="76" a="1"/>
  <c r="AX272" i="76" s="1"/>
  <c r="AX271" i="76" a="1"/>
  <c r="AX271" i="76" s="1"/>
  <c r="AX270" i="76" a="1"/>
  <c r="AX270" i="76" s="1"/>
  <c r="AX269" i="76" a="1"/>
  <c r="AX269" i="76" s="1"/>
  <c r="AX268" i="76" a="1"/>
  <c r="AX268" i="76" s="1"/>
  <c r="AX267" i="76" a="1"/>
  <c r="AX267" i="76" s="1"/>
  <c r="AX266" i="76" a="1"/>
  <c r="AX266" i="76" s="1"/>
  <c r="AX265" i="76" a="1"/>
  <c r="AX265" i="76" s="1"/>
  <c r="AX264" i="76" a="1"/>
  <c r="AX264" i="76" s="1"/>
  <c r="AX263" i="76" a="1"/>
  <c r="AX263" i="76" s="1"/>
  <c r="AX262" i="76" a="1"/>
  <c r="AX262" i="76" s="1"/>
  <c r="AX261" i="76" a="1"/>
  <c r="AX261" i="76" s="1"/>
  <c r="AX260" i="76" a="1"/>
  <c r="AX260" i="76" s="1"/>
  <c r="AX259" i="76" a="1"/>
  <c r="AX259" i="76" s="1"/>
  <c r="AX258" i="76" a="1"/>
  <c r="AX258" i="76" s="1"/>
  <c r="AX257" i="76" a="1"/>
  <c r="AX257" i="76" s="1"/>
  <c r="AX256" i="76" a="1"/>
  <c r="AX256" i="76" s="1"/>
  <c r="AX255" i="76" a="1"/>
  <c r="AX255" i="76" s="1"/>
  <c r="AX254" i="76" a="1"/>
  <c r="AX254" i="76" s="1"/>
  <c r="AX253" i="76" a="1"/>
  <c r="AX253" i="76" s="1"/>
  <c r="AX252" i="76" a="1"/>
  <c r="AX252" i="76" s="1"/>
  <c r="AX251" i="76" a="1"/>
  <c r="AX251" i="76" s="1"/>
  <c r="AX250" i="76" a="1"/>
  <c r="AX250" i="76" s="1"/>
  <c r="AX249" i="76" a="1"/>
  <c r="AX249" i="76" s="1"/>
  <c r="AX248" i="76" a="1"/>
  <c r="AX248" i="76" s="1"/>
  <c r="AX247" i="76" a="1"/>
  <c r="AX247" i="76" s="1"/>
  <c r="AX246" i="76" a="1"/>
  <c r="AX246" i="76" s="1"/>
  <c r="AX245" i="76" a="1"/>
  <c r="AX245" i="76" s="1"/>
  <c r="AX244" i="76" a="1"/>
  <c r="AX244" i="76" s="1"/>
  <c r="AX243" i="76" a="1"/>
  <c r="AX243" i="76" s="1"/>
  <c r="AX242" i="76" a="1"/>
  <c r="AX242" i="76" s="1"/>
  <c r="AX241" i="76" a="1"/>
  <c r="AX241" i="76" s="1"/>
  <c r="AX240" i="76" a="1"/>
  <c r="AX240" i="76" s="1"/>
  <c r="AX239" i="76" a="1"/>
  <c r="AX239" i="76" s="1"/>
  <c r="AX238" i="76" a="1"/>
  <c r="AX238" i="76" s="1"/>
  <c r="AX237" i="76" a="1"/>
  <c r="AX237" i="76" s="1"/>
  <c r="AX236" i="76" a="1"/>
  <c r="AX236" i="76" s="1"/>
  <c r="AX235" i="76" a="1"/>
  <c r="AX235" i="76" s="1"/>
  <c r="AX234" i="76" a="1"/>
  <c r="AX234" i="76" s="1"/>
  <c r="AX233" i="76" a="1"/>
  <c r="AX233" i="76" s="1"/>
  <c r="AX232" i="76" a="1"/>
  <c r="AX232" i="76" s="1"/>
  <c r="AX231" i="76" a="1"/>
  <c r="AX231" i="76" s="1"/>
  <c r="AX230" i="76" a="1"/>
  <c r="AX230" i="76" s="1"/>
  <c r="AX229" i="76" a="1"/>
  <c r="AX229" i="76" s="1"/>
  <c r="AX228" i="76" a="1"/>
  <c r="AX228" i="76" s="1"/>
  <c r="AX227" i="76" a="1"/>
  <c r="AX227" i="76" s="1"/>
  <c r="AX226" i="76" a="1"/>
  <c r="AX226" i="76" s="1"/>
  <c r="AX225" i="76" a="1"/>
  <c r="AX225" i="76" s="1"/>
  <c r="AX224" i="76" a="1"/>
  <c r="AX224" i="76" s="1"/>
  <c r="AX223" i="76" a="1"/>
  <c r="AX223" i="76" s="1"/>
  <c r="AX222" i="76" a="1"/>
  <c r="AX222" i="76" s="1"/>
  <c r="AX221" i="76" a="1"/>
  <c r="AX221" i="76" s="1"/>
  <c r="AX220" i="76" a="1"/>
  <c r="AX220" i="76" s="1"/>
  <c r="AX219" i="76" a="1"/>
  <c r="AX219" i="76" s="1"/>
  <c r="AX218" i="76" a="1"/>
  <c r="AX218" i="76" s="1"/>
  <c r="AX217" i="76" a="1"/>
  <c r="AX217" i="76" s="1"/>
  <c r="AX216" i="76" a="1"/>
  <c r="AX216" i="76" s="1"/>
  <c r="AX215" i="76" a="1"/>
  <c r="AX215" i="76" s="1"/>
  <c r="AX214" i="76" a="1"/>
  <c r="AX214" i="76" s="1"/>
  <c r="AX213" i="76" a="1"/>
  <c r="AX213" i="76" s="1"/>
  <c r="AX212" i="76" a="1"/>
  <c r="AX212" i="76" s="1"/>
  <c r="AX211" i="76" a="1"/>
  <c r="AX211" i="76" s="1"/>
  <c r="AX210" i="76" a="1"/>
  <c r="AX210" i="76" s="1"/>
  <c r="AX209" i="76" a="1"/>
  <c r="AX209" i="76" s="1"/>
  <c r="AX208" i="76" a="1"/>
  <c r="AX208" i="76" s="1"/>
  <c r="AX207" i="76" a="1"/>
  <c r="AX207" i="76" s="1"/>
  <c r="AX206" i="76" a="1"/>
  <c r="AX206" i="76" s="1"/>
  <c r="AX205" i="76" a="1"/>
  <c r="AX205" i="76" s="1"/>
  <c r="AX204" i="76" a="1"/>
  <c r="AX204" i="76" s="1"/>
  <c r="AX203" i="76" a="1"/>
  <c r="AX203" i="76" s="1"/>
  <c r="AX202" i="76" a="1"/>
  <c r="AX202" i="76" s="1"/>
  <c r="AX201" i="76" a="1"/>
  <c r="AX201" i="76" s="1"/>
  <c r="AX200" i="76" a="1"/>
  <c r="AX200" i="76" s="1"/>
  <c r="AX199" i="76" a="1"/>
  <c r="AX199" i="76" s="1"/>
  <c r="AX198" i="76" a="1"/>
  <c r="AX198" i="76" s="1"/>
  <c r="AX197" i="76" a="1"/>
  <c r="AX197" i="76" s="1"/>
  <c r="AX196" i="76" a="1"/>
  <c r="AX196" i="76" s="1"/>
  <c r="AX195" i="76" a="1"/>
  <c r="AX195" i="76" s="1"/>
  <c r="AX194" i="76" a="1"/>
  <c r="AX194" i="76" s="1"/>
  <c r="AX193" i="76" a="1"/>
  <c r="AX193" i="76" s="1"/>
  <c r="AX192" i="76" a="1"/>
  <c r="AX192" i="76" s="1"/>
  <c r="AX191" i="76" a="1"/>
  <c r="AX191" i="76" s="1"/>
  <c r="AX190" i="76" a="1"/>
  <c r="AX190" i="76" s="1"/>
  <c r="AX189" i="76" a="1"/>
  <c r="AX189" i="76" s="1"/>
  <c r="AX188" i="76" a="1"/>
  <c r="AX188" i="76" s="1"/>
  <c r="AX187" i="76" a="1"/>
  <c r="AX187" i="76" s="1"/>
  <c r="AX186" i="76" a="1"/>
  <c r="AX186" i="76" s="1"/>
  <c r="AX185" i="76" a="1"/>
  <c r="AX185" i="76" s="1"/>
  <c r="AX184" i="76" a="1"/>
  <c r="AX184" i="76" s="1"/>
  <c r="AX183" i="76" a="1"/>
  <c r="AX183" i="76" s="1"/>
  <c r="AX182" i="76" a="1"/>
  <c r="AX182" i="76" s="1"/>
  <c r="AX181" i="76" a="1"/>
  <c r="AX181" i="76" s="1"/>
  <c r="AX180" i="76" a="1"/>
  <c r="AX180" i="76" s="1"/>
  <c r="AX179" i="76" a="1"/>
  <c r="AX179" i="76" s="1"/>
  <c r="AX178" i="76" a="1"/>
  <c r="AX178" i="76" s="1"/>
  <c r="AX177" i="76" a="1"/>
  <c r="AX177" i="76" s="1"/>
  <c r="AX176" i="76" a="1"/>
  <c r="AX176" i="76" s="1"/>
  <c r="AX175" i="76" a="1"/>
  <c r="AX175" i="76" s="1"/>
  <c r="AX174" i="76" a="1"/>
  <c r="AX174" i="76" s="1"/>
  <c r="AX173" i="76" a="1"/>
  <c r="AX173" i="76" s="1"/>
  <c r="AX172" i="76" a="1"/>
  <c r="AX172" i="76" s="1"/>
  <c r="AX171" i="76" a="1"/>
  <c r="AX171" i="76" s="1"/>
  <c r="AX170" i="76" a="1"/>
  <c r="AX170" i="76" s="1"/>
  <c r="AX169" i="76" a="1"/>
  <c r="AX169" i="76" s="1"/>
  <c r="AX168" i="76" a="1"/>
  <c r="AX168" i="76" s="1"/>
  <c r="AX167" i="76" a="1"/>
  <c r="AX167" i="76" s="1"/>
  <c r="AX166" i="76" a="1"/>
  <c r="AX166" i="76" s="1"/>
  <c r="AX165" i="76" a="1"/>
  <c r="AX165" i="76" s="1"/>
  <c r="AX164" i="76" a="1"/>
  <c r="AX164" i="76" s="1"/>
  <c r="AX163" i="76" a="1"/>
  <c r="AX163" i="76" s="1"/>
  <c r="AX162" i="76" a="1"/>
  <c r="AX162" i="76" s="1"/>
  <c r="AX161" i="76" a="1"/>
  <c r="AX161" i="76" s="1"/>
  <c r="AX160" i="76" a="1"/>
  <c r="AX160" i="76" s="1"/>
  <c r="AX159" i="76" a="1"/>
  <c r="AX159" i="76" s="1"/>
  <c r="AX158" i="76" a="1"/>
  <c r="AX158" i="76" s="1"/>
  <c r="AX157" i="76" a="1"/>
  <c r="AX157" i="76" s="1"/>
  <c r="AX156" i="76" a="1"/>
  <c r="AX156" i="76" s="1"/>
  <c r="AX155" i="76" a="1"/>
  <c r="AX155" i="76" s="1"/>
  <c r="AX154" i="76" a="1"/>
  <c r="AX154" i="76" s="1"/>
  <c r="AX153" i="76" a="1"/>
  <c r="AX153" i="76" s="1"/>
  <c r="AX152" i="76" a="1"/>
  <c r="AX152" i="76" s="1"/>
  <c r="AX151" i="76" a="1"/>
  <c r="AX151" i="76" s="1"/>
  <c r="AX150" i="76" a="1"/>
  <c r="AX150" i="76" s="1"/>
  <c r="AX149" i="76" a="1"/>
  <c r="AX149" i="76" s="1"/>
  <c r="AX148" i="76" a="1"/>
  <c r="AX148" i="76" s="1"/>
  <c r="AX147" i="76" a="1"/>
  <c r="AX147" i="76" s="1"/>
  <c r="AX146" i="76" a="1"/>
  <c r="AX146" i="76" s="1"/>
  <c r="AX145" i="76" a="1"/>
  <c r="AX145" i="76" s="1"/>
  <c r="AX144" i="76" a="1"/>
  <c r="AX144" i="76" s="1"/>
  <c r="AX143" i="76" a="1"/>
  <c r="AX143" i="76" s="1"/>
  <c r="AX142" i="76" a="1"/>
  <c r="AX142" i="76" s="1"/>
  <c r="AX141" i="76" a="1"/>
  <c r="AX141" i="76" s="1"/>
  <c r="AX140" i="76" a="1"/>
  <c r="AX140" i="76" s="1"/>
  <c r="AX139" i="76" a="1"/>
  <c r="AX139" i="76" s="1"/>
  <c r="AX138" i="76" a="1"/>
  <c r="AX138" i="76" s="1"/>
  <c r="AX137" i="76" a="1"/>
  <c r="AX137" i="76" s="1"/>
  <c r="AX136" i="76" a="1"/>
  <c r="AX136" i="76" s="1"/>
  <c r="AX135" i="76" a="1"/>
  <c r="AX135" i="76" s="1"/>
  <c r="AX134" i="76" a="1"/>
  <c r="AX134" i="76" s="1"/>
  <c r="AX133" i="76" a="1"/>
  <c r="AX133" i="76" s="1"/>
  <c r="AX132" i="76" a="1"/>
  <c r="AX132" i="76" s="1"/>
  <c r="AX131" i="76" a="1"/>
  <c r="AX131" i="76" s="1"/>
  <c r="AX130" i="76" a="1"/>
  <c r="AX130" i="76" s="1"/>
  <c r="AX129" i="76" a="1"/>
  <c r="AX129" i="76" s="1"/>
  <c r="AX128" i="76" a="1"/>
  <c r="AX128" i="76" s="1"/>
  <c r="AX127" i="76" a="1"/>
  <c r="AX127" i="76" s="1"/>
  <c r="AX126" i="76" a="1"/>
  <c r="AX126" i="76" s="1"/>
  <c r="AX125" i="76" a="1"/>
  <c r="AX125" i="76" s="1"/>
  <c r="AX124" i="76" a="1"/>
  <c r="AX124" i="76" s="1"/>
  <c r="AX123" i="76" a="1"/>
  <c r="AX123" i="76" s="1"/>
  <c r="AX122" i="76" a="1"/>
  <c r="AX122" i="76" s="1"/>
  <c r="AX121" i="76" a="1"/>
  <c r="AX121" i="76" s="1"/>
  <c r="AX120" i="76" a="1"/>
  <c r="AX120" i="76" s="1"/>
  <c r="AX119" i="76" a="1"/>
  <c r="AX119" i="76" s="1"/>
  <c r="AX118" i="76" a="1"/>
  <c r="AX118" i="76" s="1"/>
  <c r="AX117" i="76" a="1"/>
  <c r="AX117" i="76" s="1"/>
  <c r="AX116" i="76" a="1"/>
  <c r="AX116" i="76" s="1"/>
  <c r="AX115" i="76" a="1"/>
  <c r="AX115" i="76" s="1"/>
  <c r="AX114" i="76" a="1"/>
  <c r="AX114" i="76" s="1"/>
  <c r="AX113" i="76" a="1"/>
  <c r="AX113" i="76" s="1"/>
  <c r="AX112" i="76" a="1"/>
  <c r="AX112" i="76" s="1"/>
  <c r="AX111" i="76" a="1"/>
  <c r="AX111" i="76" s="1"/>
  <c r="AX110" i="76" a="1"/>
  <c r="AX110" i="76" s="1"/>
  <c r="AX109" i="76" a="1"/>
  <c r="AX109" i="76" s="1"/>
  <c r="AX108" i="76" a="1"/>
  <c r="AX108" i="76" s="1"/>
  <c r="AX107" i="76" a="1"/>
  <c r="AX107" i="76" s="1"/>
  <c r="AX106" i="76" a="1"/>
  <c r="AX106" i="76" s="1"/>
  <c r="AX105" i="76" a="1"/>
  <c r="AX105" i="76" s="1"/>
  <c r="AX104" i="76" a="1"/>
  <c r="AX104" i="76" s="1"/>
  <c r="AX103" i="76" a="1"/>
  <c r="AX103" i="76" s="1"/>
  <c r="AX102" i="76" a="1"/>
  <c r="AX102" i="76" s="1"/>
  <c r="AX101" i="76" a="1"/>
  <c r="AX101" i="76" s="1"/>
  <c r="AX100" i="76" a="1"/>
  <c r="AX100" i="76" s="1"/>
  <c r="AX99" i="76" a="1"/>
  <c r="AX99" i="76" s="1"/>
  <c r="AX98" i="76" a="1"/>
  <c r="AX98" i="76" s="1"/>
  <c r="AX97" i="76" a="1"/>
  <c r="AX97" i="76" s="1"/>
  <c r="AX96" i="76" a="1"/>
  <c r="AX96" i="76" s="1"/>
  <c r="AX95" i="76" a="1"/>
  <c r="AX95" i="76" s="1"/>
  <c r="AX94" i="76" a="1"/>
  <c r="AX94" i="76" s="1"/>
  <c r="AX93" i="76" a="1"/>
  <c r="AX93" i="76" s="1"/>
  <c r="AX92" i="76" a="1"/>
  <c r="AX92" i="76" s="1"/>
  <c r="AX91" i="76" a="1"/>
  <c r="AX91" i="76" s="1"/>
  <c r="AX90" i="76" a="1"/>
  <c r="AX90" i="76" s="1"/>
  <c r="AX89" i="76" a="1"/>
  <c r="AX89" i="76" s="1"/>
  <c r="AX88" i="76" a="1"/>
  <c r="AX88" i="76" s="1"/>
  <c r="AX87" i="76" a="1"/>
  <c r="AX87" i="76" s="1"/>
  <c r="AX86" i="76" a="1"/>
  <c r="AX86" i="76" s="1"/>
  <c r="AX85" i="76" a="1"/>
  <c r="AX85" i="76" s="1"/>
  <c r="AX84" i="76" a="1"/>
  <c r="AX84" i="76" s="1"/>
  <c r="AX83" i="76" a="1"/>
  <c r="AX83" i="76" s="1"/>
  <c r="AX82" i="76" a="1"/>
  <c r="AX82" i="76" s="1"/>
  <c r="AX81" i="76" a="1"/>
  <c r="AX81" i="76" s="1"/>
  <c r="AX80" i="76" a="1"/>
  <c r="AX80" i="76" s="1"/>
  <c r="AX79" i="76" a="1"/>
  <c r="AX79" i="76" s="1"/>
  <c r="AX78" i="76" a="1"/>
  <c r="AX78" i="76" s="1"/>
  <c r="AX77" i="76" a="1"/>
  <c r="AX77" i="76" s="1"/>
  <c r="AX76" i="76" a="1"/>
  <c r="AX76" i="76" s="1"/>
  <c r="AX75" i="76" a="1"/>
  <c r="AX75" i="76" s="1"/>
  <c r="AX74" i="76" a="1"/>
  <c r="AX74" i="76" s="1"/>
  <c r="AX73" i="76" a="1"/>
  <c r="AX73" i="76" s="1"/>
  <c r="AX72" i="76" a="1"/>
  <c r="AX72" i="76" s="1"/>
  <c r="AX71" i="76" a="1"/>
  <c r="AX71" i="76" s="1"/>
  <c r="AX70" i="76" a="1"/>
  <c r="AX70" i="76" s="1"/>
  <c r="AX69" i="76" a="1"/>
  <c r="AX69" i="76" s="1"/>
  <c r="AX68" i="76" a="1"/>
  <c r="AX68" i="76" s="1"/>
  <c r="AX67" i="76" a="1"/>
  <c r="AX67" i="76" s="1"/>
  <c r="AX66" i="76" a="1"/>
  <c r="AX66" i="76" s="1"/>
  <c r="AX65" i="76" a="1"/>
  <c r="AX65" i="76" s="1"/>
  <c r="AX64" i="76" a="1"/>
  <c r="AX64" i="76" s="1"/>
  <c r="AX63" i="76" a="1"/>
  <c r="AX63" i="76" s="1"/>
  <c r="AX62" i="76" a="1"/>
  <c r="AX62" i="76" s="1"/>
  <c r="AX61" i="76" a="1"/>
  <c r="AX61" i="76" s="1"/>
  <c r="AX60" i="76" a="1"/>
  <c r="AX60" i="76" s="1"/>
  <c r="AX59" i="76" a="1"/>
  <c r="AX59" i="76" s="1"/>
  <c r="AX58" i="76" a="1"/>
  <c r="AX58" i="76" s="1"/>
  <c r="AX57" i="76" a="1"/>
  <c r="AX57" i="76" s="1"/>
  <c r="AX56" i="76" a="1"/>
  <c r="AX56" i="76" s="1"/>
  <c r="AX55" i="76" a="1"/>
  <c r="AX55" i="76" s="1"/>
  <c r="AX54" i="76" a="1"/>
  <c r="AX54" i="76" s="1"/>
  <c r="AX53" i="76" a="1"/>
  <c r="AX53" i="76" s="1"/>
  <c r="AX52" i="76" a="1"/>
  <c r="AX52" i="76" s="1"/>
  <c r="AX51" i="76" a="1"/>
  <c r="AX51" i="76" s="1"/>
  <c r="AX50" i="76" a="1"/>
  <c r="AX50" i="76" s="1"/>
  <c r="AX49" i="76" a="1"/>
  <c r="AX49" i="76" s="1"/>
  <c r="AX48" i="76" a="1"/>
  <c r="AX48" i="76" s="1"/>
  <c r="AX47" i="76" a="1"/>
  <c r="AX47" i="76" s="1"/>
  <c r="AX46" i="76" a="1"/>
  <c r="AX46" i="76" s="1"/>
  <c r="AX45" i="76" a="1"/>
  <c r="AX45" i="76" s="1"/>
  <c r="AX44" i="76" a="1"/>
  <c r="AX44" i="76" s="1"/>
  <c r="AX43" i="76" a="1"/>
  <c r="AX43" i="76" s="1"/>
  <c r="AX42" i="76" a="1"/>
  <c r="AX42" i="76" s="1"/>
  <c r="AX41" i="76" a="1"/>
  <c r="AX41" i="76" s="1"/>
  <c r="AX40" i="76" a="1"/>
  <c r="AX40" i="76" s="1"/>
  <c r="AX39" i="76" a="1"/>
  <c r="AX39" i="76" s="1"/>
  <c r="AX38" i="76" a="1"/>
  <c r="AX38" i="76" s="1"/>
  <c r="AX37" i="76" a="1"/>
  <c r="AX37" i="76" s="1"/>
  <c r="AX36" i="76" a="1"/>
  <c r="AX36" i="76" s="1"/>
  <c r="AX35" i="76" a="1"/>
  <c r="AX35" i="76" s="1"/>
  <c r="AX34" i="76" a="1"/>
  <c r="AX34" i="76" s="1"/>
  <c r="AX33" i="76" a="1"/>
  <c r="AX33" i="76" s="1"/>
  <c r="AX32" i="76" a="1"/>
  <c r="AX32" i="76" s="1"/>
  <c r="AX31" i="76" a="1"/>
  <c r="AX31" i="76" s="1"/>
  <c r="AX30" i="76" a="1"/>
  <c r="AX30" i="76" s="1"/>
  <c r="AX29" i="76" a="1"/>
  <c r="AX29" i="76" s="1"/>
  <c r="AX28" i="76" a="1"/>
  <c r="AX28" i="76" s="1"/>
  <c r="AX27" i="76" a="1"/>
  <c r="AX27" i="76" s="1"/>
  <c r="AX26" i="76" a="1"/>
  <c r="AX26" i="76" s="1"/>
  <c r="AX25" i="76" a="1"/>
  <c r="AX25" i="76" s="1"/>
  <c r="AX24" i="76" a="1"/>
  <c r="AX24" i="76" s="1"/>
  <c r="AX23" i="76" a="1"/>
  <c r="AX23" i="76" s="1"/>
  <c r="AX22" i="76" a="1"/>
  <c r="AX22" i="76" s="1"/>
  <c r="AX21" i="76" a="1"/>
  <c r="AX21" i="76" s="1"/>
  <c r="AX20" i="76" a="1"/>
  <c r="AX20" i="76" s="1"/>
  <c r="AX19" i="76" a="1"/>
  <c r="AX19" i="76" s="1"/>
  <c r="AX18" i="76" a="1"/>
  <c r="AX18" i="76" s="1"/>
  <c r="AX17" i="76" a="1"/>
  <c r="AX17" i="76" s="1"/>
  <c r="AX16" i="76" a="1"/>
  <c r="AX16" i="76" s="1"/>
  <c r="AX15" i="76" a="1"/>
  <c r="AX15" i="76" s="1"/>
  <c r="AX14" i="76" a="1"/>
  <c r="AX14" i="76" s="1"/>
  <c r="AX13" i="76" a="1"/>
  <c r="AX13" i="76" s="1"/>
  <c r="AX12" i="76" a="1"/>
  <c r="AX12" i="76" s="1"/>
  <c r="AX11" i="76" a="1"/>
  <c r="AX11" i="76" s="1"/>
  <c r="AX10" i="76" a="1"/>
  <c r="AX10" i="76" s="1"/>
  <c r="AX9" i="76" a="1"/>
  <c r="AX9" i="76" s="1"/>
  <c r="AX8" i="76" a="1"/>
  <c r="AX8" i="76" s="1"/>
  <c r="AX7" i="76" a="1"/>
  <c r="AX7" i="76" s="1"/>
  <c r="AX6" i="76" a="1"/>
  <c r="AX6" i="76" s="1"/>
  <c r="AX5" i="76" a="1"/>
  <c r="AX5" i="76" s="1"/>
  <c r="AX4" i="76" a="1"/>
  <c r="AX4" i="76" s="1"/>
  <c r="AX3" i="76" a="1"/>
  <c r="AX3" i="76" s="1"/>
  <c r="AX2" i="76" a="1"/>
  <c r="AX2" i="76" s="1"/>
  <c r="CO375" i="28"/>
  <c r="P375" i="28" s="1"/>
  <c r="CO312" i="28"/>
  <c r="P312" i="28" s="1"/>
  <c r="CO311" i="28"/>
  <c r="P311" i="28" s="1"/>
  <c r="CO306" i="28"/>
  <c r="P306" i="28" s="1"/>
  <c r="CO295" i="28"/>
  <c r="P295" i="28" s="1"/>
  <c r="CO294" i="28"/>
  <c r="P294" i="28" s="1"/>
  <c r="CO293" i="28"/>
  <c r="P293" i="28" s="1"/>
  <c r="CO292" i="28"/>
  <c r="P292" i="28" s="1"/>
  <c r="CO291" i="28"/>
  <c r="P291" i="28" s="1"/>
  <c r="CO290" i="28"/>
  <c r="P290" i="28" s="1"/>
  <c r="CO289" i="28"/>
  <c r="P289" i="28" s="1"/>
  <c r="CO234" i="28"/>
  <c r="P234" i="28" s="1"/>
  <c r="CO212" i="28"/>
  <c r="CO211" i="28"/>
  <c r="P211" i="28" s="1"/>
  <c r="AW1040" i="76"/>
  <c r="AV1040" i="76"/>
  <c r="AU1040" i="76"/>
  <c r="CG220" i="28"/>
  <c r="CE212" i="28"/>
  <c r="CE119" i="28"/>
  <c r="CE112" i="28"/>
  <c r="CA86" i="28"/>
  <c r="CC79" i="28"/>
  <c r="BQ66" i="28"/>
  <c r="BG53" i="28"/>
  <c r="S524" i="75" l="1"/>
  <c r="R547" i="75"/>
  <c r="S547" i="75" s="1"/>
  <c r="BR547" i="75"/>
  <c r="R7" i="75"/>
  <c r="S7" i="75" s="1"/>
  <c r="BR7" i="75"/>
  <c r="R542" i="75"/>
  <c r="S542" i="75" s="1"/>
  <c r="R543" i="75"/>
  <c r="S543" i="75" s="1"/>
  <c r="R544" i="75"/>
  <c r="S544" i="75" s="1"/>
  <c r="BR542" i="75"/>
  <c r="BR543" i="75"/>
  <c r="BR544" i="75"/>
  <c r="R150" i="75"/>
  <c r="S150" i="75" s="1"/>
  <c r="R541" i="75"/>
  <c r="S541" i="75" s="1"/>
  <c r="BR150" i="75"/>
  <c r="BR541" i="75"/>
  <c r="R15" i="75"/>
  <c r="S15" i="75" s="1"/>
  <c r="BR15" i="75"/>
  <c r="Z547" i="75" l="1"/>
  <c r="Y547" i="75"/>
  <c r="Z7" i="75"/>
  <c r="Y7" i="75"/>
  <c r="Y541" i="75"/>
  <c r="Z541" i="75"/>
  <c r="Z544" i="75"/>
  <c r="Z542" i="75"/>
  <c r="Y544" i="75"/>
  <c r="Y542" i="75"/>
  <c r="Z543" i="75"/>
  <c r="Y543" i="75"/>
  <c r="Z15" i="75"/>
  <c r="Y150" i="75"/>
  <c r="Z150" i="75"/>
  <c r="Y15" i="75"/>
  <c r="D4" i="57" l="1"/>
  <c r="D5" i="57"/>
  <c r="D6" i="57"/>
  <c r="D7" i="57"/>
  <c r="D8" i="57"/>
  <c r="D9" i="57"/>
  <c r="D10" i="57"/>
  <c r="D11" i="57"/>
  <c r="D12" i="57"/>
  <c r="D13" i="57"/>
  <c r="D14" i="57"/>
  <c r="D15" i="57"/>
  <c r="D16" i="57"/>
  <c r="D17" i="57"/>
  <c r="D18" i="57"/>
  <c r="D19" i="57"/>
  <c r="D20" i="57"/>
  <c r="AH2" i="76"/>
  <c r="AW2" i="76" s="1"/>
  <c r="AR2" i="76"/>
  <c r="AQ2" i="76" s="1"/>
  <c r="AH3" i="76"/>
  <c r="AW3" i="76" s="1"/>
  <c r="AR3" i="76"/>
  <c r="AQ3" i="76" s="1"/>
  <c r="AV3" i="76" l="1"/>
  <c r="AU3" i="76"/>
  <c r="AV2" i="76"/>
  <c r="AU2" i="76"/>
  <c r="AQ1040" i="76"/>
  <c r="AR1040" i="76"/>
  <c r="AQ32" i="76"/>
  <c r="AQ42" i="76"/>
  <c r="AQ435" i="76"/>
  <c r="AQ460" i="76"/>
  <c r="AQ468" i="76"/>
  <c r="AQ483" i="76"/>
  <c r="AQ485" i="76"/>
  <c r="AQ486" i="76"/>
  <c r="AQ613" i="76"/>
  <c r="AQ639" i="76"/>
  <c r="AQ663" i="76"/>
  <c r="AQ665" i="76"/>
  <c r="AQ697" i="76"/>
  <c r="AQ937" i="76"/>
  <c r="AQ938" i="76"/>
  <c r="AQ939" i="76"/>
  <c r="AQ940" i="76"/>
  <c r="AQ941" i="76"/>
  <c r="AQ942" i="76"/>
  <c r="AQ943" i="76"/>
  <c r="AQ944" i="76"/>
  <c r="AQ945" i="76"/>
  <c r="AQ946" i="76"/>
  <c r="AQ949" i="76"/>
  <c r="AQ950" i="76"/>
  <c r="AH996" i="76"/>
  <c r="AW996" i="76" s="1"/>
  <c r="AR996" i="76"/>
  <c r="AQ996" i="76" s="1"/>
  <c r="AH997" i="76"/>
  <c r="AW997" i="76" s="1"/>
  <c r="AH998" i="76"/>
  <c r="AW998" i="76" s="1"/>
  <c r="AH999" i="76"/>
  <c r="AW999" i="76" s="1"/>
  <c r="AH1000" i="76"/>
  <c r="AW1000" i="76" s="1"/>
  <c r="AH1001" i="76"/>
  <c r="AW1001" i="76" s="1"/>
  <c r="AH1002" i="76"/>
  <c r="AW1002" i="76" s="1"/>
  <c r="AH1003" i="76"/>
  <c r="AW1003" i="76" s="1"/>
  <c r="AH1004" i="76"/>
  <c r="AW1004" i="76" s="1"/>
  <c r="AH1005" i="76"/>
  <c r="AW1005" i="76" s="1"/>
  <c r="AH1006" i="76"/>
  <c r="AW1006" i="76" s="1"/>
  <c r="AH1007" i="76"/>
  <c r="AW1007" i="76" s="1"/>
  <c r="AH1008" i="76"/>
  <c r="AW1008" i="76" s="1"/>
  <c r="AH1009" i="76"/>
  <c r="AW1009" i="76" s="1"/>
  <c r="AH1010" i="76"/>
  <c r="AW1010" i="76" s="1"/>
  <c r="AH1011" i="76"/>
  <c r="AW1011" i="76" s="1"/>
  <c r="AH1012" i="76"/>
  <c r="AW1012" i="76" s="1"/>
  <c r="AH1013" i="76"/>
  <c r="AW1013" i="76" s="1"/>
  <c r="AH1014" i="76"/>
  <c r="AW1014" i="76" s="1"/>
  <c r="AH1015" i="76"/>
  <c r="AW1015" i="76" s="1"/>
  <c r="AH1016" i="76"/>
  <c r="AW1016" i="76" s="1"/>
  <c r="AH1017" i="76"/>
  <c r="AW1017" i="76" s="1"/>
  <c r="AH1018" i="76"/>
  <c r="AW1018" i="76" s="1"/>
  <c r="AH1019" i="76"/>
  <c r="AW1019" i="76" s="1"/>
  <c r="AH1020" i="76"/>
  <c r="AW1020" i="76" s="1"/>
  <c r="AH1021" i="76"/>
  <c r="AW1021" i="76" s="1"/>
  <c r="AH1022" i="76"/>
  <c r="AW1022" i="76" s="1"/>
  <c r="AH1023" i="76"/>
  <c r="AW1023" i="76" s="1"/>
  <c r="AH1024" i="76"/>
  <c r="AW1024" i="76" s="1"/>
  <c r="AH1025" i="76"/>
  <c r="AW1025" i="76" s="1"/>
  <c r="AH1026" i="76"/>
  <c r="AW1026" i="76" s="1"/>
  <c r="AH1027" i="76"/>
  <c r="AW1027" i="76" s="1"/>
  <c r="AH1028" i="76"/>
  <c r="AW1028" i="76" s="1"/>
  <c r="AH1029" i="76"/>
  <c r="AW1029" i="76" s="1"/>
  <c r="AH1030" i="76"/>
  <c r="AW1030" i="76" s="1"/>
  <c r="AH1031" i="76"/>
  <c r="AW1031" i="76" s="1"/>
  <c r="AH1032" i="76"/>
  <c r="AW1032" i="76" s="1"/>
  <c r="AH1033" i="76"/>
  <c r="AW1033" i="76" s="1"/>
  <c r="AH1034" i="76"/>
  <c r="AW1034" i="76" s="1"/>
  <c r="AH1035" i="76"/>
  <c r="AW1035" i="76" s="1"/>
  <c r="AH1036" i="76"/>
  <c r="AW1036" i="76" s="1"/>
  <c r="AH1037" i="76"/>
  <c r="AW1037" i="76" s="1"/>
  <c r="AH1038" i="76"/>
  <c r="AW1038" i="76" s="1"/>
  <c r="AH1039" i="76"/>
  <c r="AW1039" i="76" s="1"/>
  <c r="AR1035" i="76"/>
  <c r="AQ1035" i="76" s="1"/>
  <c r="AR1036" i="76"/>
  <c r="AQ1036" i="76" s="1"/>
  <c r="AR1037" i="76"/>
  <c r="AQ1037" i="76" s="1"/>
  <c r="AR1038" i="76"/>
  <c r="AQ1038" i="76" s="1"/>
  <c r="AR1039" i="76"/>
  <c r="AQ1039" i="76" s="1"/>
  <c r="AR1015" i="76"/>
  <c r="AQ1015" i="76" s="1"/>
  <c r="AR1016" i="76"/>
  <c r="AQ1016" i="76" s="1"/>
  <c r="AR1017" i="76"/>
  <c r="AQ1017" i="76" s="1"/>
  <c r="AR1018" i="76"/>
  <c r="AQ1018" i="76" s="1"/>
  <c r="AR1019" i="76"/>
  <c r="AQ1019" i="76" s="1"/>
  <c r="AR1020" i="76"/>
  <c r="AQ1020" i="76" s="1"/>
  <c r="AR1021" i="76"/>
  <c r="AQ1021" i="76" s="1"/>
  <c r="AR1022" i="76"/>
  <c r="AQ1022" i="76" s="1"/>
  <c r="AR1023" i="76"/>
  <c r="AQ1023" i="76" s="1"/>
  <c r="AR1024" i="76"/>
  <c r="AQ1024" i="76" s="1"/>
  <c r="AR1025" i="76"/>
  <c r="AQ1025" i="76" s="1"/>
  <c r="AR1026" i="76"/>
  <c r="AQ1026" i="76" s="1"/>
  <c r="AR1027" i="76"/>
  <c r="AQ1027" i="76" s="1"/>
  <c r="AR1028" i="76"/>
  <c r="AQ1028" i="76" s="1"/>
  <c r="AR1029" i="76"/>
  <c r="AQ1029" i="76" s="1"/>
  <c r="AR1030" i="76"/>
  <c r="AQ1030" i="76" s="1"/>
  <c r="AR1031" i="76"/>
  <c r="AQ1031" i="76" s="1"/>
  <c r="AR1032" i="76"/>
  <c r="AQ1032" i="76" s="1"/>
  <c r="AR1033" i="76"/>
  <c r="AQ1033" i="76" s="1"/>
  <c r="AR1034" i="76"/>
  <c r="AQ1034" i="76" s="1"/>
  <c r="AV1039" i="76" l="1"/>
  <c r="AU1039" i="76"/>
  <c r="AV1038" i="76"/>
  <c r="AU1038" i="76"/>
  <c r="AV1037" i="76"/>
  <c r="AU1037" i="76"/>
  <c r="AV1036" i="76"/>
  <c r="AU1036" i="76"/>
  <c r="AV1035" i="76"/>
  <c r="AU1035" i="76"/>
  <c r="AV1034" i="76"/>
  <c r="AU1034" i="76"/>
  <c r="AV1033" i="76"/>
  <c r="AU1033" i="76"/>
  <c r="AV1032" i="76"/>
  <c r="AU1032" i="76"/>
  <c r="AV1031" i="76"/>
  <c r="AU1031" i="76"/>
  <c r="AV1030" i="76"/>
  <c r="AU1030" i="76"/>
  <c r="AV1029" i="76"/>
  <c r="AU1029" i="76"/>
  <c r="AV1028" i="76"/>
  <c r="AU1028" i="76"/>
  <c r="AV1027" i="76"/>
  <c r="AU1027" i="76"/>
  <c r="AV1026" i="76"/>
  <c r="AU1026" i="76"/>
  <c r="AV1025" i="76"/>
  <c r="AU1025" i="76"/>
  <c r="AV1024" i="76"/>
  <c r="AU1024" i="76"/>
  <c r="AV1023" i="76"/>
  <c r="AU1023" i="76"/>
  <c r="AV1022" i="76"/>
  <c r="AU1022" i="76"/>
  <c r="AV1021" i="76"/>
  <c r="AU1021" i="76"/>
  <c r="AV1020" i="76"/>
  <c r="AU1020" i="76"/>
  <c r="AV1019" i="76"/>
  <c r="AU1019" i="76"/>
  <c r="AV1018" i="76"/>
  <c r="AU1018" i="76"/>
  <c r="AV1017" i="76"/>
  <c r="AU1017" i="76"/>
  <c r="AV1016" i="76"/>
  <c r="AU1016" i="76"/>
  <c r="AV1015" i="76"/>
  <c r="AU1015" i="76"/>
  <c r="AV1014" i="76"/>
  <c r="AU1014" i="76"/>
  <c r="AV1013" i="76"/>
  <c r="AU1013" i="76"/>
  <c r="AV1012" i="76"/>
  <c r="AU1012" i="76"/>
  <c r="AV1011" i="76"/>
  <c r="AU1011" i="76"/>
  <c r="AV1010" i="76"/>
  <c r="AU1010" i="76"/>
  <c r="AV1009" i="76"/>
  <c r="AU1009" i="76"/>
  <c r="AV1008" i="76"/>
  <c r="AU1008" i="76"/>
  <c r="AV1007" i="76"/>
  <c r="AU1007" i="76"/>
  <c r="AV1006" i="76"/>
  <c r="AU1006" i="76"/>
  <c r="AV1005" i="76"/>
  <c r="AU1005" i="76"/>
  <c r="AV1004" i="76"/>
  <c r="AU1004" i="76"/>
  <c r="AV1003" i="76"/>
  <c r="AU1003" i="76"/>
  <c r="AV1002" i="76"/>
  <c r="AU1002" i="76"/>
  <c r="AV1001" i="76"/>
  <c r="AU1001" i="76"/>
  <c r="AV1000" i="76"/>
  <c r="AU1000" i="76"/>
  <c r="AV999" i="76"/>
  <c r="AU999" i="76"/>
  <c r="AV998" i="76"/>
  <c r="AU998" i="76"/>
  <c r="AV997" i="76"/>
  <c r="AU997" i="76"/>
  <c r="AV996" i="76"/>
  <c r="AU996" i="76"/>
  <c r="Q311" i="28"/>
  <c r="Q312" i="28"/>
  <c r="Q289" i="28"/>
  <c r="Q290" i="28"/>
  <c r="Q292" i="28"/>
  <c r="Q293" i="28"/>
  <c r="Q294" i="28"/>
  <c r="Q295" i="28"/>
  <c r="Q291" i="28"/>
  <c r="Q375" i="28"/>
  <c r="Q306" i="28"/>
  <c r="Q211" i="28"/>
  <c r="CP311" i="28"/>
  <c r="CP312" i="28"/>
  <c r="CP289" i="28"/>
  <c r="CP290" i="28"/>
  <c r="CP292" i="28"/>
  <c r="CP293" i="28"/>
  <c r="CP294" i="28"/>
  <c r="CP295" i="28"/>
  <c r="CP291" i="28"/>
  <c r="CP375" i="28"/>
  <c r="CP306" i="28"/>
  <c r="CP211" i="28"/>
  <c r="S311" i="28" l="1"/>
  <c r="S292" i="28"/>
  <c r="S294" i="28"/>
  <c r="S312" i="28"/>
  <c r="S293" i="28"/>
  <c r="S375" i="28"/>
  <c r="S289" i="28"/>
  <c r="S295" i="28"/>
  <c r="T306" i="28"/>
  <c r="S290" i="28"/>
  <c r="T291" i="28"/>
  <c r="S211" i="28"/>
  <c r="T211" i="28"/>
  <c r="S306" i="28"/>
  <c r="T292" i="28"/>
  <c r="T295" i="28"/>
  <c r="T375" i="28"/>
  <c r="S291" i="28"/>
  <c r="T290" i="28"/>
  <c r="T311" i="28"/>
  <c r="T312" i="28"/>
  <c r="T289" i="28"/>
  <c r="T293" i="28"/>
  <c r="T294" i="28"/>
  <c r="R536" i="75"/>
  <c r="S536" i="75" s="1"/>
  <c r="BR536" i="75"/>
  <c r="R191" i="75"/>
  <c r="S191" i="75" s="1"/>
  <c r="BR191" i="75"/>
  <c r="R190" i="75"/>
  <c r="S190" i="75" s="1"/>
  <c r="BR190" i="75"/>
  <c r="CP234" i="28"/>
  <c r="Q234" i="28"/>
  <c r="R241" i="75"/>
  <c r="S241" i="75" s="1"/>
  <c r="BR241" i="75"/>
  <c r="Z190" i="75" l="1"/>
  <c r="Z191" i="75"/>
  <c r="Z536" i="75"/>
  <c r="Y536" i="75"/>
  <c r="Y191" i="75"/>
  <c r="Y190" i="75"/>
  <c r="Y241" i="75"/>
  <c r="Z241" i="75"/>
  <c r="T234" i="28" l="1"/>
  <c r="S234" i="28"/>
  <c r="CO280" i="28" l="1"/>
  <c r="P280" i="28" s="1"/>
  <c r="CO283" i="28"/>
  <c r="P283" i="28" s="1"/>
  <c r="CO285" i="28"/>
  <c r="P285" i="28" s="1"/>
  <c r="CO284" i="28"/>
  <c r="P284" i="28" s="1"/>
  <c r="CO282" i="28"/>
  <c r="P282" i="28" s="1"/>
  <c r="CO287" i="28"/>
  <c r="P287" i="28" s="1"/>
  <c r="CO281" i="28"/>
  <c r="P281" i="28" s="1"/>
  <c r="CO288" i="28"/>
  <c r="P288" i="28" s="1"/>
  <c r="CO286" i="28"/>
  <c r="P286" i="28" s="1"/>
  <c r="CO279" i="28"/>
  <c r="P279" i="28" s="1"/>
  <c r="Q283" i="28"/>
  <c r="Q280" i="28"/>
  <c r="CP283" i="28"/>
  <c r="CP280" i="28"/>
  <c r="T280" i="28" l="1"/>
  <c r="T283" i="28"/>
  <c r="S283" i="28"/>
  <c r="S280" i="28"/>
  <c r="Q279" i="28"/>
  <c r="Q286" i="28"/>
  <c r="Q288" i="28"/>
  <c r="Q281" i="28"/>
  <c r="Q287" i="28"/>
  <c r="Q282" i="28"/>
  <c r="Q284" i="28"/>
  <c r="Q285" i="28"/>
  <c r="CP279" i="28"/>
  <c r="CP286" i="28"/>
  <c r="CP288" i="28"/>
  <c r="CP281" i="28"/>
  <c r="CP287" i="28"/>
  <c r="CP282" i="28"/>
  <c r="CP284" i="28"/>
  <c r="CP285" i="28"/>
  <c r="AH154" i="76"/>
  <c r="AW154" i="76" s="1"/>
  <c r="CO384" i="28"/>
  <c r="P384" i="28" s="1"/>
  <c r="CO385" i="28"/>
  <c r="P385" i="28" s="1"/>
  <c r="CO386" i="28"/>
  <c r="P386" i="28" s="1"/>
  <c r="CO387" i="28"/>
  <c r="P387" i="28" s="1"/>
  <c r="CO242" i="28"/>
  <c r="P242" i="28" s="1"/>
  <c r="CO243" i="28"/>
  <c r="P243" i="28" s="1"/>
  <c r="CO373" i="28"/>
  <c r="P373" i="28" s="1"/>
  <c r="CO374" i="28"/>
  <c r="P374" i="28" s="1"/>
  <c r="CO363" i="28"/>
  <c r="P363" i="28" s="1"/>
  <c r="CO364" i="28"/>
  <c r="P364" i="28" s="1"/>
  <c r="CO244" i="28"/>
  <c r="P244" i="28" s="1"/>
  <c r="CO245" i="28"/>
  <c r="P245" i="28" s="1"/>
  <c r="CO365" i="28"/>
  <c r="P365" i="28" s="1"/>
  <c r="CO366" i="28"/>
  <c r="P366" i="28" s="1"/>
  <c r="CO246" i="28"/>
  <c r="P246" i="28" s="1"/>
  <c r="CO249" i="28"/>
  <c r="P249" i="28" s="1"/>
  <c r="CO247" i="28"/>
  <c r="P247" i="28" s="1"/>
  <c r="CO248" i="28"/>
  <c r="CO250" i="28"/>
  <c r="P250" i="28" s="1"/>
  <c r="CO22" i="28"/>
  <c r="P22" i="28" s="1"/>
  <c r="CO252" i="28"/>
  <c r="P252" i="28" s="1"/>
  <c r="CO253" i="28"/>
  <c r="P253" i="28" s="1"/>
  <c r="CO251" i="28"/>
  <c r="P251" i="28" s="1"/>
  <c r="CO254" i="28"/>
  <c r="P254" i="28" s="1"/>
  <c r="CO255" i="28"/>
  <c r="P255" i="28" s="1"/>
  <c r="CO256" i="28"/>
  <c r="P256" i="28" s="1"/>
  <c r="CO257" i="28"/>
  <c r="P257" i="28" s="1"/>
  <c r="CO258" i="28"/>
  <c r="P258" i="28" s="1"/>
  <c r="CO259" i="28"/>
  <c r="P259" i="28" s="1"/>
  <c r="CO260" i="28"/>
  <c r="P260" i="28" s="1"/>
  <c r="CO261" i="28"/>
  <c r="P261" i="28" s="1"/>
  <c r="CO262" i="28"/>
  <c r="P262" i="28" s="1"/>
  <c r="CO263" i="28"/>
  <c r="P263" i="28" s="1"/>
  <c r="CO264" i="28"/>
  <c r="P264" i="28" s="1"/>
  <c r="CO382" i="28"/>
  <c r="P382" i="28" s="1"/>
  <c r="CO266" i="28"/>
  <c r="P266" i="28" s="1"/>
  <c r="CO268" i="28"/>
  <c r="P268" i="28" s="1"/>
  <c r="CO314" i="28"/>
  <c r="P314" i="28" s="1"/>
  <c r="CO372" i="28"/>
  <c r="P372" i="28" s="1"/>
  <c r="CO269" i="28"/>
  <c r="P269" i="28" s="1"/>
  <c r="CO274" i="28"/>
  <c r="P274" i="28" s="1"/>
  <c r="CO265" i="28"/>
  <c r="P265" i="28" s="1"/>
  <c r="CO267" i="28"/>
  <c r="P267" i="28" s="1"/>
  <c r="CO270" i="28"/>
  <c r="P270" i="28" s="1"/>
  <c r="CO271" i="28"/>
  <c r="P271" i="28" s="1"/>
  <c r="CO272" i="28"/>
  <c r="P272" i="28" s="1"/>
  <c r="CO273" i="28"/>
  <c r="P273" i="28" s="1"/>
  <c r="CO276" i="28"/>
  <c r="P276" i="28" s="1"/>
  <c r="CO277" i="28"/>
  <c r="P277" i="28" s="1"/>
  <c r="CO278" i="28"/>
  <c r="P278" i="28" s="1"/>
  <c r="CO275" i="28"/>
  <c r="P275" i="28" s="1"/>
  <c r="CO303" i="28"/>
  <c r="P303" i="28" s="1"/>
  <c r="CO304" i="28"/>
  <c r="P304" i="28" s="1"/>
  <c r="CO305" i="28"/>
  <c r="P305" i="28" s="1"/>
  <c r="CO307" i="28"/>
  <c r="P307" i="28" s="1"/>
  <c r="CO308" i="28"/>
  <c r="P308" i="28" s="1"/>
  <c r="T308" i="28" s="1"/>
  <c r="CO309" i="28"/>
  <c r="P309" i="28" s="1"/>
  <c r="CO310" i="28"/>
  <c r="P310" i="28" s="1"/>
  <c r="CO313" i="28"/>
  <c r="P313" i="28" s="1"/>
  <c r="CO317" i="28"/>
  <c r="P317" i="28" s="1"/>
  <c r="CO318" i="28"/>
  <c r="P318" i="28" s="1"/>
  <c r="CO319" i="28"/>
  <c r="P319" i="28" s="1"/>
  <c r="CO320" i="28"/>
  <c r="P320" i="28" s="1"/>
  <c r="CO321" i="28"/>
  <c r="P321" i="28" s="1"/>
  <c r="CO322" i="28"/>
  <c r="P322" i="28" s="1"/>
  <c r="CO323" i="28"/>
  <c r="P323" i="28" s="1"/>
  <c r="CO324" i="28"/>
  <c r="P324" i="28" s="1"/>
  <c r="CO325" i="28"/>
  <c r="P325" i="28" s="1"/>
  <c r="CO326" i="28"/>
  <c r="P326" i="28" s="1"/>
  <c r="CO327" i="28"/>
  <c r="P327" i="28" s="1"/>
  <c r="CO328" i="28"/>
  <c r="P328" i="28" s="1"/>
  <c r="CO329" i="28"/>
  <c r="P329" i="28" s="1"/>
  <c r="CO330" i="28"/>
  <c r="P330" i="28" s="1"/>
  <c r="CO331" i="28"/>
  <c r="P331" i="28" s="1"/>
  <c r="CO332" i="28"/>
  <c r="P332" i="28" s="1"/>
  <c r="CO333" i="28"/>
  <c r="P333" i="28" s="1"/>
  <c r="CO334" i="28"/>
  <c r="P334" i="28" s="1"/>
  <c r="CO335" i="28"/>
  <c r="P335" i="28" s="1"/>
  <c r="CO336" i="28"/>
  <c r="P336" i="28" s="1"/>
  <c r="CO337" i="28"/>
  <c r="P337" i="28" s="1"/>
  <c r="CO338" i="28"/>
  <c r="P338" i="28" s="1"/>
  <c r="CO339" i="28"/>
  <c r="P339" i="28" s="1"/>
  <c r="CO340" i="28"/>
  <c r="P340" i="28" s="1"/>
  <c r="CO341" i="28"/>
  <c r="P341" i="28" s="1"/>
  <c r="CO342" i="28"/>
  <c r="P342" i="28" s="1"/>
  <c r="CO343" i="28"/>
  <c r="P343" i="28" s="1"/>
  <c r="CO344" i="28"/>
  <c r="P344" i="28" s="1"/>
  <c r="CO345" i="28"/>
  <c r="P345" i="28" s="1"/>
  <c r="CO346" i="28"/>
  <c r="P346" i="28" s="1"/>
  <c r="CO347" i="28"/>
  <c r="P347" i="28" s="1"/>
  <c r="CO348" i="28"/>
  <c r="P348" i="28" s="1"/>
  <c r="CO349" i="28"/>
  <c r="P349" i="28" s="1"/>
  <c r="CO350" i="28"/>
  <c r="P350" i="28" s="1"/>
  <c r="CO351" i="28"/>
  <c r="P351" i="28" s="1"/>
  <c r="CO352" i="28"/>
  <c r="P352" i="28" s="1"/>
  <c r="CO353" i="28"/>
  <c r="P353" i="28" s="1"/>
  <c r="CO354" i="28"/>
  <c r="P354" i="28" s="1"/>
  <c r="CO355" i="28"/>
  <c r="P355" i="28" s="1"/>
  <c r="CO356" i="28"/>
  <c r="P356" i="28" s="1"/>
  <c r="CO357" i="28"/>
  <c r="P357" i="28" s="1"/>
  <c r="CO358" i="28"/>
  <c r="P358" i="28" s="1"/>
  <c r="CO359" i="28"/>
  <c r="P359" i="28" s="1"/>
  <c r="CO360" i="28"/>
  <c r="P360" i="28" s="1"/>
  <c r="CO361" i="28"/>
  <c r="P361" i="28" s="1"/>
  <c r="CO362" i="28"/>
  <c r="P362" i="28" s="1"/>
  <c r="CO367" i="28"/>
  <c r="P367" i="28" s="1"/>
  <c r="CO368" i="28"/>
  <c r="P368" i="28" s="1"/>
  <c r="CO369" i="28"/>
  <c r="P369" i="28" s="1"/>
  <c r="CO370" i="28"/>
  <c r="P370" i="28" s="1"/>
  <c r="CO371" i="28"/>
  <c r="P371" i="28" s="1"/>
  <c r="CO376" i="28"/>
  <c r="P376" i="28" s="1"/>
  <c r="CO377" i="28"/>
  <c r="P377" i="28" s="1"/>
  <c r="CO378" i="28"/>
  <c r="P378" i="28" s="1"/>
  <c r="CO379" i="28"/>
  <c r="P379" i="28" s="1"/>
  <c r="CO316" i="28"/>
  <c r="P316" i="28" s="1"/>
  <c r="CO380" i="28"/>
  <c r="P380" i="28" s="1"/>
  <c r="CO302" i="28"/>
  <c r="P302" i="28" s="1"/>
  <c r="CO240" i="28"/>
  <c r="P240" i="28" s="1"/>
  <c r="CO241" i="28"/>
  <c r="CO239" i="28"/>
  <c r="P239" i="28" s="1"/>
  <c r="CO6" i="28"/>
  <c r="P6" i="28" s="1"/>
  <c r="CO7" i="28"/>
  <c r="P7" i="28" s="1"/>
  <c r="CO8" i="28"/>
  <c r="P8" i="28" s="1"/>
  <c r="CO9" i="28"/>
  <c r="P9" i="28" s="1"/>
  <c r="CO10" i="28"/>
  <c r="P10" i="28" s="1"/>
  <c r="CO11" i="28"/>
  <c r="P11" i="28" s="1"/>
  <c r="CO12" i="28"/>
  <c r="P12" i="28" s="1"/>
  <c r="CO13" i="28"/>
  <c r="P13" i="28" s="1"/>
  <c r="CO14" i="28"/>
  <c r="P14" i="28" s="1"/>
  <c r="CO15" i="28"/>
  <c r="P15" i="28" s="1"/>
  <c r="CO16" i="28"/>
  <c r="P16" i="28" s="1"/>
  <c r="CO17" i="28"/>
  <c r="P17" i="28" s="1"/>
  <c r="CO18" i="28"/>
  <c r="P18" i="28" s="1"/>
  <c r="CO19" i="28"/>
  <c r="P19" i="28" s="1"/>
  <c r="CO20" i="28"/>
  <c r="P20" i="28" s="1"/>
  <c r="CO23" i="28"/>
  <c r="P23" i="28" s="1"/>
  <c r="CO24" i="28"/>
  <c r="P24" i="28" s="1"/>
  <c r="CO25" i="28"/>
  <c r="P25" i="28" s="1"/>
  <c r="CO26" i="28"/>
  <c r="P26" i="28" s="1"/>
  <c r="CO27" i="28"/>
  <c r="P27" i="28" s="1"/>
  <c r="CO28" i="28"/>
  <c r="P28" i="28" s="1"/>
  <c r="CO29" i="28"/>
  <c r="CO30" i="28"/>
  <c r="P30" i="28" s="1"/>
  <c r="CO31" i="28"/>
  <c r="P31" i="28" s="1"/>
  <c r="CO32" i="28"/>
  <c r="P32" i="28" s="1"/>
  <c r="CO33" i="28"/>
  <c r="P33" i="28" s="1"/>
  <c r="CO34" i="28"/>
  <c r="P34" i="28" s="1"/>
  <c r="CO35" i="28"/>
  <c r="P35" i="28" s="1"/>
  <c r="CO36" i="28"/>
  <c r="P36" i="28" s="1"/>
  <c r="CO37" i="28"/>
  <c r="P37" i="28" s="1"/>
  <c r="CO38" i="28"/>
  <c r="P38" i="28" s="1"/>
  <c r="CO39" i="28"/>
  <c r="P39" i="28" s="1"/>
  <c r="CO40" i="28"/>
  <c r="P40" i="28" s="1"/>
  <c r="CO41" i="28"/>
  <c r="P41" i="28" s="1"/>
  <c r="CO42" i="28"/>
  <c r="P42" i="28" s="1"/>
  <c r="CO43" i="28"/>
  <c r="P43" i="28" s="1"/>
  <c r="CO44" i="28"/>
  <c r="CO45" i="28"/>
  <c r="P45" i="28" s="1"/>
  <c r="CO46" i="28"/>
  <c r="P46" i="28" s="1"/>
  <c r="CO47" i="28"/>
  <c r="P47" i="28" s="1"/>
  <c r="CO48" i="28"/>
  <c r="P48" i="28" s="1"/>
  <c r="CO49" i="28"/>
  <c r="P49" i="28" s="1"/>
  <c r="CO50" i="28"/>
  <c r="P50" i="28" s="1"/>
  <c r="CO51" i="28"/>
  <c r="CO52" i="28"/>
  <c r="P52" i="28" s="1"/>
  <c r="CO53" i="28"/>
  <c r="CO54" i="28"/>
  <c r="CO55" i="28"/>
  <c r="P55" i="28" s="1"/>
  <c r="CO56" i="28"/>
  <c r="P56" i="28" s="1"/>
  <c r="CO57" i="28"/>
  <c r="P57" i="28" s="1"/>
  <c r="CO58" i="28"/>
  <c r="P58" i="28" s="1"/>
  <c r="CO59" i="28"/>
  <c r="P59" i="28" s="1"/>
  <c r="CO60" i="28"/>
  <c r="P60" i="28" s="1"/>
  <c r="CO61" i="28"/>
  <c r="P61" i="28" s="1"/>
  <c r="CO62" i="28"/>
  <c r="P62" i="28" s="1"/>
  <c r="CO63" i="28"/>
  <c r="P63" i="28" s="1"/>
  <c r="CO64" i="28"/>
  <c r="P64" i="28" s="1"/>
  <c r="CO65" i="28"/>
  <c r="CO66" i="28"/>
  <c r="CO67" i="28"/>
  <c r="CO68" i="28"/>
  <c r="P68" i="28" s="1"/>
  <c r="CO69" i="28"/>
  <c r="P69" i="28" s="1"/>
  <c r="CO70" i="28"/>
  <c r="P70" i="28" s="1"/>
  <c r="CO71" i="28"/>
  <c r="P71" i="28" s="1"/>
  <c r="CO72" i="28"/>
  <c r="CO73" i="28"/>
  <c r="CO74" i="28"/>
  <c r="P74" i="28" s="1"/>
  <c r="CO75" i="28"/>
  <c r="P75" i="28" s="1"/>
  <c r="CO76" i="28"/>
  <c r="P76" i="28" s="1"/>
  <c r="CO77" i="28"/>
  <c r="P77" i="28" s="1"/>
  <c r="CO78" i="28"/>
  <c r="CO79" i="28"/>
  <c r="CO80" i="28"/>
  <c r="P80" i="28" s="1"/>
  <c r="CO81" i="28"/>
  <c r="P81" i="28" s="1"/>
  <c r="CO82" i="28"/>
  <c r="P82" i="28" s="1"/>
  <c r="CO83" i="28"/>
  <c r="CO84" i="28"/>
  <c r="CO85" i="28"/>
  <c r="P85" i="28" s="1"/>
  <c r="CO86" i="28"/>
  <c r="CO87" i="28"/>
  <c r="P87" i="28" s="1"/>
  <c r="CO88" i="28"/>
  <c r="P88" i="28" s="1"/>
  <c r="CO89" i="28"/>
  <c r="P89" i="28" s="1"/>
  <c r="CO90" i="28"/>
  <c r="CO91" i="28"/>
  <c r="P91" i="28" s="1"/>
  <c r="CO92" i="28"/>
  <c r="P92" i="28" s="1"/>
  <c r="CO93" i="28"/>
  <c r="P93" i="28" s="1"/>
  <c r="CO94" i="28"/>
  <c r="P94" i="28" s="1"/>
  <c r="CO95" i="28"/>
  <c r="P95" i="28" s="1"/>
  <c r="CO96" i="28"/>
  <c r="P96" i="28" s="1"/>
  <c r="CO97" i="28"/>
  <c r="P97" i="28" s="1"/>
  <c r="CO98" i="28"/>
  <c r="P98" i="28" s="1"/>
  <c r="CO99" i="28"/>
  <c r="P99" i="28" s="1"/>
  <c r="CO100" i="28"/>
  <c r="P100" i="28" s="1"/>
  <c r="CO101" i="28"/>
  <c r="P101" i="28" s="1"/>
  <c r="CO102" i="28"/>
  <c r="P102" i="28" s="1"/>
  <c r="CO103" i="28"/>
  <c r="P103" i="28" s="1"/>
  <c r="CO104" i="28"/>
  <c r="P104" i="28" s="1"/>
  <c r="CO105" i="28"/>
  <c r="P105" i="28" s="1"/>
  <c r="CO106" i="28"/>
  <c r="P106" i="28" s="1"/>
  <c r="CO107" i="28"/>
  <c r="P107" i="28" s="1"/>
  <c r="CO108" i="28"/>
  <c r="P108" i="28" s="1"/>
  <c r="CO109" i="28"/>
  <c r="P109" i="28" s="1"/>
  <c r="CO110" i="28"/>
  <c r="P110" i="28" s="1"/>
  <c r="CO111" i="28"/>
  <c r="P111" i="28" s="1"/>
  <c r="CO112" i="28"/>
  <c r="P112" i="28" s="1"/>
  <c r="CO113" i="28"/>
  <c r="P113" i="28" s="1"/>
  <c r="CO114" i="28"/>
  <c r="P114" i="28" s="1"/>
  <c r="CO115" i="28"/>
  <c r="P115" i="28" s="1"/>
  <c r="CO116" i="28"/>
  <c r="P116" i="28" s="1"/>
  <c r="CO117" i="28"/>
  <c r="P117" i="28" s="1"/>
  <c r="CO118" i="28"/>
  <c r="P118" i="28" s="1"/>
  <c r="CO119" i="28"/>
  <c r="P119" i="28" s="1"/>
  <c r="CO120" i="28"/>
  <c r="P120" i="28" s="1"/>
  <c r="CO121" i="28"/>
  <c r="P121" i="28" s="1"/>
  <c r="CO122" i="28"/>
  <c r="P122" i="28" s="1"/>
  <c r="CO123" i="28"/>
  <c r="P123" i="28" s="1"/>
  <c r="CO124" i="28"/>
  <c r="P124" i="28" s="1"/>
  <c r="CO125" i="28"/>
  <c r="P125" i="28" s="1"/>
  <c r="CO126" i="28"/>
  <c r="P126" i="28" s="1"/>
  <c r="CO127" i="28"/>
  <c r="P127" i="28" s="1"/>
  <c r="CO128" i="28"/>
  <c r="P128" i="28" s="1"/>
  <c r="CO129" i="28"/>
  <c r="P129" i="28" s="1"/>
  <c r="CO130" i="28"/>
  <c r="P130" i="28" s="1"/>
  <c r="CO131" i="28"/>
  <c r="P131" i="28" s="1"/>
  <c r="CO132" i="28"/>
  <c r="P132" i="28" s="1"/>
  <c r="CO133" i="28"/>
  <c r="P133" i="28" s="1"/>
  <c r="CO134" i="28"/>
  <c r="P134" i="28" s="1"/>
  <c r="CO135" i="28"/>
  <c r="P135" i="28" s="1"/>
  <c r="CO136" i="28"/>
  <c r="P136" i="28" s="1"/>
  <c r="CO137" i="28"/>
  <c r="P137" i="28" s="1"/>
  <c r="CO138" i="28"/>
  <c r="CO139" i="28"/>
  <c r="P139" i="28" s="1"/>
  <c r="CO140" i="28"/>
  <c r="P140" i="28" s="1"/>
  <c r="CO141" i="28"/>
  <c r="P141" i="28" s="1"/>
  <c r="CO142" i="28"/>
  <c r="CO143" i="28"/>
  <c r="P143" i="28" s="1"/>
  <c r="CO144" i="28"/>
  <c r="P144" i="28" s="1"/>
  <c r="CO145" i="28"/>
  <c r="P145" i="28" s="1"/>
  <c r="CO146" i="28"/>
  <c r="P146" i="28" s="1"/>
  <c r="CO147" i="28"/>
  <c r="P147" i="28" s="1"/>
  <c r="CO148" i="28"/>
  <c r="P148" i="28" s="1"/>
  <c r="CO149" i="28"/>
  <c r="P149" i="28" s="1"/>
  <c r="CO150" i="28"/>
  <c r="P150" i="28" s="1"/>
  <c r="CO151" i="28"/>
  <c r="P151" i="28" s="1"/>
  <c r="CO152" i="28"/>
  <c r="P152" i="28" s="1"/>
  <c r="CO153" i="28"/>
  <c r="P153" i="28" s="1"/>
  <c r="CO154" i="28"/>
  <c r="P154" i="28" s="1"/>
  <c r="CO155" i="28"/>
  <c r="P155" i="28" s="1"/>
  <c r="CO156" i="28"/>
  <c r="P156" i="28" s="1"/>
  <c r="CO157" i="28"/>
  <c r="P157" i="28" s="1"/>
  <c r="CO158" i="28"/>
  <c r="P158" i="28" s="1"/>
  <c r="CO159" i="28"/>
  <c r="P159" i="28" s="1"/>
  <c r="CO160" i="28"/>
  <c r="P160" i="28" s="1"/>
  <c r="CO161" i="28"/>
  <c r="P161" i="28" s="1"/>
  <c r="CO162" i="28"/>
  <c r="P162" i="28" s="1"/>
  <c r="CO163" i="28"/>
  <c r="P163" i="28" s="1"/>
  <c r="CO164" i="28"/>
  <c r="P164" i="28" s="1"/>
  <c r="CO165" i="28"/>
  <c r="P165" i="28" s="1"/>
  <c r="CO166" i="28"/>
  <c r="P166" i="28" s="1"/>
  <c r="CO167" i="28"/>
  <c r="CO168" i="28"/>
  <c r="P168" i="28" s="1"/>
  <c r="CO169" i="28"/>
  <c r="CO170" i="28"/>
  <c r="P170" i="28" s="1"/>
  <c r="CO171" i="28"/>
  <c r="P171" i="28" s="1"/>
  <c r="CO172" i="28"/>
  <c r="P172" i="28" s="1"/>
  <c r="CO173" i="28"/>
  <c r="CO174" i="28"/>
  <c r="P174" i="28" s="1"/>
  <c r="CO175" i="28"/>
  <c r="P175" i="28" s="1"/>
  <c r="CO176" i="28"/>
  <c r="P176" i="28" s="1"/>
  <c r="CO177" i="28"/>
  <c r="P177" i="28" s="1"/>
  <c r="CO178" i="28"/>
  <c r="P178" i="28" s="1"/>
  <c r="CO179" i="28"/>
  <c r="P179" i="28" s="1"/>
  <c r="CO180" i="28"/>
  <c r="P180" i="28" s="1"/>
  <c r="CO181" i="28"/>
  <c r="P181" i="28" s="1"/>
  <c r="CO182" i="28"/>
  <c r="P182" i="28" s="1"/>
  <c r="CO183" i="28"/>
  <c r="P183" i="28" s="1"/>
  <c r="CO184" i="28"/>
  <c r="P184" i="28" s="1"/>
  <c r="CO185" i="28"/>
  <c r="P185" i="28" s="1"/>
  <c r="CO186" i="28"/>
  <c r="P186" i="28" s="1"/>
  <c r="CO187" i="28"/>
  <c r="P187" i="28" s="1"/>
  <c r="CO188" i="28"/>
  <c r="P188" i="28" s="1"/>
  <c r="CO189" i="28"/>
  <c r="P189" i="28" s="1"/>
  <c r="CO190" i="28"/>
  <c r="P190" i="28" s="1"/>
  <c r="CO191" i="28"/>
  <c r="P191" i="28" s="1"/>
  <c r="CO192" i="28"/>
  <c r="P192" i="28" s="1"/>
  <c r="CO193" i="28"/>
  <c r="P193" i="28" s="1"/>
  <c r="CO194" i="28"/>
  <c r="P194" i="28" s="1"/>
  <c r="CO195" i="28"/>
  <c r="P195" i="28" s="1"/>
  <c r="CO196" i="28"/>
  <c r="P196" i="28" s="1"/>
  <c r="CO197" i="28"/>
  <c r="P197" i="28" s="1"/>
  <c r="CO198" i="28"/>
  <c r="P198" i="28" s="1"/>
  <c r="CO199" i="28"/>
  <c r="P199" i="28" s="1"/>
  <c r="CO200" i="28"/>
  <c r="P200" i="28" s="1"/>
  <c r="CO201" i="28"/>
  <c r="P201" i="28" s="1"/>
  <c r="CO202" i="28"/>
  <c r="CO203" i="28"/>
  <c r="P203" i="28" s="1"/>
  <c r="CO204" i="28"/>
  <c r="P204" i="28" s="1"/>
  <c r="CO205" i="28"/>
  <c r="P205" i="28" s="1"/>
  <c r="CO206" i="28"/>
  <c r="P206" i="28" s="1"/>
  <c r="CO207" i="28"/>
  <c r="P207" i="28" s="1"/>
  <c r="CO208" i="28"/>
  <c r="CO209" i="28"/>
  <c r="P209" i="28" s="1"/>
  <c r="CO210" i="28"/>
  <c r="P210" i="28" s="1"/>
  <c r="CO213" i="28"/>
  <c r="CO214" i="28"/>
  <c r="P214" i="28" s="1"/>
  <c r="CO215" i="28"/>
  <c r="P215" i="28" s="1"/>
  <c r="CO216" i="28"/>
  <c r="P216" i="28" s="1"/>
  <c r="CO217" i="28"/>
  <c r="P217" i="28" s="1"/>
  <c r="CO218" i="28"/>
  <c r="P218" i="28" s="1"/>
  <c r="CO219" i="28"/>
  <c r="P219" i="28" s="1"/>
  <c r="CO220" i="28"/>
  <c r="P220" i="28" s="1"/>
  <c r="CO221" i="28"/>
  <c r="CO222" i="28"/>
  <c r="P222" i="28" s="1"/>
  <c r="CO223" i="28"/>
  <c r="P223" i="28" s="1"/>
  <c r="CO224" i="28"/>
  <c r="P224" i="28" s="1"/>
  <c r="CO225" i="28"/>
  <c r="P225" i="28" s="1"/>
  <c r="CO226" i="28"/>
  <c r="P226" i="28" s="1"/>
  <c r="CO227" i="28"/>
  <c r="P227" i="28" s="1"/>
  <c r="CO228" i="28"/>
  <c r="P228" i="28" s="1"/>
  <c r="CO229" i="28"/>
  <c r="P229" i="28" s="1"/>
  <c r="CO230" i="28"/>
  <c r="P230" i="28" s="1"/>
  <c r="CO231" i="28"/>
  <c r="P231" i="28" s="1"/>
  <c r="CO232" i="28"/>
  <c r="P232" i="28" s="1"/>
  <c r="CO233" i="28"/>
  <c r="P233" i="28" s="1"/>
  <c r="CO235" i="28"/>
  <c r="P235" i="28" s="1"/>
  <c r="CO236" i="28"/>
  <c r="P236" i="28" s="1"/>
  <c r="CO237" i="28"/>
  <c r="P237" i="28" s="1"/>
  <c r="CO238" i="28"/>
  <c r="CP2" i="28"/>
  <c r="CP3" i="28"/>
  <c r="CP315" i="28"/>
  <c r="CP6" i="28"/>
  <c r="CP7" i="28"/>
  <c r="CP8" i="28"/>
  <c r="CP9" i="28"/>
  <c r="CP10" i="28"/>
  <c r="CP11" i="28"/>
  <c r="CP12" i="28"/>
  <c r="CP13" i="28"/>
  <c r="CP14" i="28"/>
  <c r="CP15" i="28"/>
  <c r="CP16" i="28"/>
  <c r="CP17" i="28"/>
  <c r="CP18" i="28"/>
  <c r="CP19" i="28"/>
  <c r="CP20" i="28"/>
  <c r="CP23" i="28"/>
  <c r="CP24" i="28"/>
  <c r="CP25" i="28"/>
  <c r="CP26" i="28"/>
  <c r="CP27" i="28"/>
  <c r="CP28" i="28"/>
  <c r="CP29" i="28"/>
  <c r="CP30" i="28"/>
  <c r="CP31" i="28"/>
  <c r="CP32" i="28"/>
  <c r="CP33" i="28"/>
  <c r="CP34" i="28"/>
  <c r="CP35" i="28"/>
  <c r="CP36" i="28"/>
  <c r="CP37" i="28"/>
  <c r="CP38" i="28"/>
  <c r="CP39" i="28"/>
  <c r="CP40" i="28"/>
  <c r="CP41" i="28"/>
  <c r="CP42" i="28"/>
  <c r="CP43" i="28"/>
  <c r="CP44" i="28"/>
  <c r="CP45" i="28"/>
  <c r="CP46" i="28"/>
  <c r="CP47" i="28"/>
  <c r="CP48" i="28"/>
  <c r="CP49" i="28"/>
  <c r="CP50" i="28"/>
  <c r="CP51" i="28"/>
  <c r="CP52" i="28"/>
  <c r="CP53" i="28"/>
  <c r="CP54" i="28"/>
  <c r="CP55" i="28"/>
  <c r="CP56" i="28"/>
  <c r="CP57" i="28"/>
  <c r="CP58" i="28"/>
  <c r="CP59" i="28"/>
  <c r="CP60" i="28"/>
  <c r="CP61" i="28"/>
  <c r="CP62" i="28"/>
  <c r="CP63" i="28"/>
  <c r="CP64" i="28"/>
  <c r="CP65" i="28"/>
  <c r="CP66" i="28"/>
  <c r="CP67" i="28"/>
  <c r="CP68" i="28"/>
  <c r="CP69" i="28"/>
  <c r="CP70" i="28"/>
  <c r="CP71" i="28"/>
  <c r="CP72" i="28"/>
  <c r="CP73" i="28"/>
  <c r="CP74" i="28"/>
  <c r="CP75" i="28"/>
  <c r="CP76" i="28"/>
  <c r="CP77" i="28"/>
  <c r="CP78" i="28"/>
  <c r="CP79" i="28"/>
  <c r="CP80" i="28"/>
  <c r="CP81" i="28"/>
  <c r="CP82" i="28"/>
  <c r="CP83" i="28"/>
  <c r="CP84" i="28"/>
  <c r="CP85" i="28"/>
  <c r="CP86" i="28"/>
  <c r="CP87" i="28"/>
  <c r="CP88" i="28"/>
  <c r="CP89" i="28"/>
  <c r="CP90" i="28"/>
  <c r="CP91" i="28"/>
  <c r="CP92" i="28"/>
  <c r="CP93" i="28"/>
  <c r="CP94" i="28"/>
  <c r="CP95" i="28"/>
  <c r="CP96" i="28"/>
  <c r="CP97" i="28"/>
  <c r="CP98" i="28"/>
  <c r="CP99" i="28"/>
  <c r="CP100" i="28"/>
  <c r="CP101" i="28"/>
  <c r="CP102" i="28"/>
  <c r="CP103" i="28"/>
  <c r="CP104" i="28"/>
  <c r="CP105" i="28"/>
  <c r="CP106" i="28"/>
  <c r="CP107" i="28"/>
  <c r="CP108" i="28"/>
  <c r="CP109" i="28"/>
  <c r="CP110" i="28"/>
  <c r="CP111" i="28"/>
  <c r="CP112" i="28"/>
  <c r="CP113" i="28"/>
  <c r="CP114" i="28"/>
  <c r="CP115" i="28"/>
  <c r="CP116" i="28"/>
  <c r="CP117" i="28"/>
  <c r="CP118" i="28"/>
  <c r="CP119" i="28"/>
  <c r="CP120" i="28"/>
  <c r="CP121" i="28"/>
  <c r="CP122" i="28"/>
  <c r="CP123" i="28"/>
  <c r="CP124" i="28"/>
  <c r="CP125" i="28"/>
  <c r="CP126" i="28"/>
  <c r="CP127" i="28"/>
  <c r="CP128" i="28"/>
  <c r="CP129" i="28"/>
  <c r="CP130" i="28"/>
  <c r="CP131" i="28"/>
  <c r="CP132" i="28"/>
  <c r="CP133" i="28"/>
  <c r="CP134" i="28"/>
  <c r="CP135" i="28"/>
  <c r="CP136" i="28"/>
  <c r="CP137" i="28"/>
  <c r="CP138" i="28"/>
  <c r="CP139" i="28"/>
  <c r="CP140" i="28"/>
  <c r="CP141" i="28"/>
  <c r="CP142" i="28"/>
  <c r="CP143" i="28"/>
  <c r="CP144" i="28"/>
  <c r="CP145" i="28"/>
  <c r="CP146" i="28"/>
  <c r="CP147" i="28"/>
  <c r="CP148" i="28"/>
  <c r="CP149" i="28"/>
  <c r="CP150" i="28"/>
  <c r="CP151" i="28"/>
  <c r="CP152" i="28"/>
  <c r="CP153" i="28"/>
  <c r="CP154" i="28"/>
  <c r="CP155" i="28"/>
  <c r="CP156" i="28"/>
  <c r="CP157" i="28"/>
  <c r="CP158" i="28"/>
  <c r="CP159" i="28"/>
  <c r="CP160" i="28"/>
  <c r="CP161" i="28"/>
  <c r="CP162" i="28"/>
  <c r="CP163" i="28"/>
  <c r="CP164" i="28"/>
  <c r="CP165" i="28"/>
  <c r="CP166" i="28"/>
  <c r="CP167" i="28"/>
  <c r="CP168" i="28"/>
  <c r="CP169" i="28"/>
  <c r="CP170" i="28"/>
  <c r="CP171" i="28"/>
  <c r="CP172" i="28"/>
  <c r="CP173" i="28"/>
  <c r="CP174" i="28"/>
  <c r="CP175" i="28"/>
  <c r="CP176" i="28"/>
  <c r="CP177" i="28"/>
  <c r="CP178" i="28"/>
  <c r="CP179" i="28"/>
  <c r="CP180" i="28"/>
  <c r="CP181" i="28"/>
  <c r="CP182" i="28"/>
  <c r="CP183" i="28"/>
  <c r="CP184" i="28"/>
  <c r="CP185" i="28"/>
  <c r="CP186" i="28"/>
  <c r="CP187" i="28"/>
  <c r="CP188" i="28"/>
  <c r="CP189" i="28"/>
  <c r="CP190" i="28"/>
  <c r="CP191" i="28"/>
  <c r="CP192" i="28"/>
  <c r="CP193" i="28"/>
  <c r="CP194" i="28"/>
  <c r="CP195" i="28"/>
  <c r="CP196" i="28"/>
  <c r="CP197" i="28"/>
  <c r="CP198" i="28"/>
  <c r="CP199" i="28"/>
  <c r="CP200" i="28"/>
  <c r="CP201" i="28"/>
  <c r="CP202" i="28"/>
  <c r="CP203" i="28"/>
  <c r="CP204" i="28"/>
  <c r="CP205" i="28"/>
  <c r="CP206" i="28"/>
  <c r="CP207" i="28"/>
  <c r="CP208" i="28"/>
  <c r="CP209" i="28"/>
  <c r="CP210" i="28"/>
  <c r="CP212" i="28"/>
  <c r="CP213" i="28"/>
  <c r="CP214" i="28"/>
  <c r="CP215" i="28"/>
  <c r="CP216" i="28"/>
  <c r="CP217" i="28"/>
  <c r="CP218" i="28"/>
  <c r="CP219" i="28"/>
  <c r="CP220" i="28"/>
  <c r="CP221" i="28"/>
  <c r="CP222" i="28"/>
  <c r="CP223" i="28"/>
  <c r="CP224" i="28"/>
  <c r="CP225" i="28"/>
  <c r="CP226" i="28"/>
  <c r="CP227" i="28"/>
  <c r="CP228" i="28"/>
  <c r="CP229" i="28"/>
  <c r="CP230" i="28"/>
  <c r="CP231" i="28"/>
  <c r="CP232" i="28"/>
  <c r="CP233" i="28"/>
  <c r="CP235" i="28"/>
  <c r="CP236" i="28"/>
  <c r="CP237" i="28"/>
  <c r="CP238" i="28"/>
  <c r="CP239" i="28"/>
  <c r="CP240" i="28"/>
  <c r="CP241" i="28"/>
  <c r="CP302" i="28"/>
  <c r="CP303" i="28"/>
  <c r="CP304" i="28"/>
  <c r="CP305" i="28"/>
  <c r="CP307" i="28"/>
  <c r="CP308" i="28"/>
  <c r="CP309" i="28"/>
  <c r="CP310" i="28"/>
  <c r="CP313" i="28"/>
  <c r="CP317" i="28"/>
  <c r="CP318" i="28"/>
  <c r="CP319" i="28"/>
  <c r="CP320" i="28"/>
  <c r="CP321" i="28"/>
  <c r="CP322" i="28"/>
  <c r="CP323" i="28"/>
  <c r="CP324" i="28"/>
  <c r="CP325" i="28"/>
  <c r="CP326" i="28"/>
  <c r="CP327" i="28"/>
  <c r="CP328" i="28"/>
  <c r="CP329" i="28"/>
  <c r="CP330" i="28"/>
  <c r="CP331" i="28"/>
  <c r="CP332" i="28"/>
  <c r="CP333" i="28"/>
  <c r="CP334" i="28"/>
  <c r="CP335" i="28"/>
  <c r="CP336" i="28"/>
  <c r="CP337" i="28"/>
  <c r="CP338" i="28"/>
  <c r="CP339" i="28"/>
  <c r="CP340" i="28"/>
  <c r="CP341" i="28"/>
  <c r="CP342" i="28"/>
  <c r="CP343" i="28"/>
  <c r="CP344" i="28"/>
  <c r="CP345" i="28"/>
  <c r="CP346" i="28"/>
  <c r="CP347" i="28"/>
  <c r="CP348" i="28"/>
  <c r="CP349" i="28"/>
  <c r="CP350" i="28"/>
  <c r="CP351" i="28"/>
  <c r="CP352" i="28"/>
  <c r="CP353" i="28"/>
  <c r="CP354" i="28"/>
  <c r="CP355" i="28"/>
  <c r="CP356" i="28"/>
  <c r="CP357" i="28"/>
  <c r="CP358" i="28"/>
  <c r="CP359" i="28"/>
  <c r="CP360" i="28"/>
  <c r="CP361" i="28"/>
  <c r="CP362" i="28"/>
  <c r="CP367" i="28"/>
  <c r="CP368" i="28"/>
  <c r="CP369" i="28"/>
  <c r="CP370" i="28"/>
  <c r="CP371" i="28"/>
  <c r="CP376" i="28"/>
  <c r="CP377" i="28"/>
  <c r="CP378" i="28"/>
  <c r="CP379" i="28"/>
  <c r="CP316" i="28"/>
  <c r="CP380" i="28"/>
  <c r="CP384" i="28"/>
  <c r="CP385" i="28"/>
  <c r="CP386" i="28"/>
  <c r="CP387" i="28"/>
  <c r="CP242" i="28"/>
  <c r="CP243" i="28"/>
  <c r="CP373" i="28"/>
  <c r="CP374" i="28"/>
  <c r="CP363" i="28"/>
  <c r="CP364" i="28"/>
  <c r="CP244" i="28"/>
  <c r="CP245" i="28"/>
  <c r="CP365" i="28"/>
  <c r="CP366" i="28"/>
  <c r="CP246" i="28"/>
  <c r="CP249" i="28"/>
  <c r="CP247" i="28"/>
  <c r="CP248" i="28"/>
  <c r="CP250" i="28"/>
  <c r="CP21" i="28"/>
  <c r="CP22" i="28"/>
  <c r="CP252" i="28"/>
  <c r="CP253" i="28"/>
  <c r="CP251" i="28"/>
  <c r="CP254" i="28"/>
  <c r="CP255" i="28"/>
  <c r="CP256" i="28"/>
  <c r="CP257" i="28"/>
  <c r="CP258" i="28"/>
  <c r="CP259" i="28"/>
  <c r="CP260" i="28"/>
  <c r="CP261" i="28"/>
  <c r="CP262" i="28"/>
  <c r="CP263" i="28"/>
  <c r="CP264" i="28"/>
  <c r="CP382" i="28"/>
  <c r="CP266" i="28"/>
  <c r="CP268" i="28"/>
  <c r="CP314" i="28"/>
  <c r="CP372" i="28"/>
  <c r="CP269" i="28"/>
  <c r="CP274" i="28"/>
  <c r="CP265" i="28"/>
  <c r="CP267" i="28"/>
  <c r="CP270" i="28"/>
  <c r="CP271" i="28"/>
  <c r="CP272" i="28"/>
  <c r="CP273" i="28"/>
  <c r="CP276" i="28"/>
  <c r="CP277" i="28"/>
  <c r="CP278" i="28"/>
  <c r="CP275" i="28"/>
  <c r="CO2" i="28"/>
  <c r="P2" i="28" s="1"/>
  <c r="P173" i="28" l="1"/>
  <c r="S173" i="28" s="1"/>
  <c r="R382" i="28"/>
  <c r="T285" i="28"/>
  <c r="AV154" i="76"/>
  <c r="AU154" i="76"/>
  <c r="Q275" i="28"/>
  <c r="T288" i="28" l="1"/>
  <c r="S286" i="28"/>
  <c r="T282" i="28"/>
  <c r="T281" i="28"/>
  <c r="S284" i="28"/>
  <c r="T279" i="28"/>
  <c r="S287" i="28"/>
  <c r="S285" i="28"/>
  <c r="S281" i="28"/>
  <c r="S282" i="28"/>
  <c r="T284" i="28"/>
  <c r="T286" i="28"/>
  <c r="S279" i="28"/>
  <c r="S288" i="28"/>
  <c r="T287" i="28"/>
  <c r="S275" i="28" l="1"/>
  <c r="T275" i="28"/>
  <c r="Q314" i="28"/>
  <c r="Q372" i="28"/>
  <c r="Q269" i="28"/>
  <c r="Q274" i="28"/>
  <c r="Q265" i="28"/>
  <c r="Q267" i="28"/>
  <c r="Q270" i="28"/>
  <c r="Q271" i="28"/>
  <c r="Q272" i="28"/>
  <c r="Q273" i="28"/>
  <c r="Q276" i="28"/>
  <c r="Q277" i="28"/>
  <c r="Q278" i="28"/>
  <c r="T278" i="28" l="1"/>
  <c r="S278" i="28"/>
  <c r="S265" i="28"/>
  <c r="T272" i="28"/>
  <c r="T274" i="28"/>
  <c r="S271" i="28"/>
  <c r="S273" i="28"/>
  <c r="S269" i="28"/>
  <c r="S276" i="28"/>
  <c r="S267" i="28"/>
  <c r="S270" i="28"/>
  <c r="S314" i="28"/>
  <c r="S277" i="28"/>
  <c r="T270" i="28"/>
  <c r="T372" i="28"/>
  <c r="T267" i="28"/>
  <c r="S372" i="28"/>
  <c r="T277" i="28"/>
  <c r="T276" i="28"/>
  <c r="S272" i="28"/>
  <c r="T273" i="28"/>
  <c r="T265" i="28"/>
  <c r="T271" i="28"/>
  <c r="T269" i="28"/>
  <c r="S274" i="28"/>
  <c r="T314" i="28"/>
  <c r="Q255" i="28" l="1"/>
  <c r="Q256" i="28"/>
  <c r="Q257" i="28"/>
  <c r="Q258" i="28"/>
  <c r="Q259" i="28"/>
  <c r="Q260" i="28"/>
  <c r="Q261" i="28"/>
  <c r="Q262" i="28"/>
  <c r="Q263" i="28"/>
  <c r="Q264" i="28"/>
  <c r="Q382" i="28"/>
  <c r="Q266" i="28"/>
  <c r="Q268" i="28"/>
  <c r="S382" i="28" l="1"/>
  <c r="T382" i="28"/>
  <c r="S259" i="28" l="1"/>
  <c r="T261" i="28"/>
  <c r="S258" i="28"/>
  <c r="S264" i="28"/>
  <c r="T255" i="28"/>
  <c r="S262" i="28"/>
  <c r="S266" i="28"/>
  <c r="T256" i="28"/>
  <c r="S263" i="28"/>
  <c r="T268" i="28"/>
  <c r="S268" i="28"/>
  <c r="T259" i="28"/>
  <c r="S256" i="28"/>
  <c r="T264" i="28"/>
  <c r="S255" i="28"/>
  <c r="T266" i="28"/>
  <c r="T258" i="28"/>
  <c r="T263" i="28"/>
  <c r="T262" i="28"/>
  <c r="S261" i="28"/>
  <c r="S257" i="28"/>
  <c r="T260" i="28"/>
  <c r="T257" i="28"/>
  <c r="S260" i="28"/>
  <c r="AR997" i="76" l="1"/>
  <c r="AQ997" i="76" s="1"/>
  <c r="AR998" i="76"/>
  <c r="AQ998" i="76" s="1"/>
  <c r="AR999" i="76"/>
  <c r="AQ999" i="76" s="1"/>
  <c r="AR1000" i="76"/>
  <c r="AQ1000" i="76" s="1"/>
  <c r="AR1001" i="76"/>
  <c r="AQ1001" i="76" s="1"/>
  <c r="AR1002" i="76"/>
  <c r="AQ1002" i="76" s="1"/>
  <c r="AR1003" i="76"/>
  <c r="AQ1003" i="76" s="1"/>
  <c r="AR1004" i="76"/>
  <c r="AQ1004" i="76" s="1"/>
  <c r="AR1005" i="76"/>
  <c r="AQ1005" i="76" s="1"/>
  <c r="AR1006" i="76"/>
  <c r="AQ1006" i="76" s="1"/>
  <c r="AR1007" i="76"/>
  <c r="AQ1007" i="76" s="1"/>
  <c r="AR1008" i="76"/>
  <c r="AQ1008" i="76" s="1"/>
  <c r="AR1009" i="76"/>
  <c r="AQ1009" i="76" s="1"/>
  <c r="AR1010" i="76"/>
  <c r="AQ1010" i="76" s="1"/>
  <c r="AR1011" i="76"/>
  <c r="AQ1011" i="76" s="1"/>
  <c r="AR1012" i="76"/>
  <c r="AQ1012" i="76" s="1"/>
  <c r="AR1013" i="76"/>
  <c r="AQ1013" i="76" s="1"/>
  <c r="AR1014" i="76"/>
  <c r="AQ1014" i="76" s="1"/>
  <c r="R545" i="75"/>
  <c r="S545" i="75" s="1"/>
  <c r="R546" i="75"/>
  <c r="S546" i="75" s="1"/>
  <c r="R529" i="75"/>
  <c r="S529" i="75" s="1"/>
  <c r="BR545" i="75"/>
  <c r="BR546" i="75"/>
  <c r="BR529" i="75"/>
  <c r="Q254" i="28"/>
  <c r="CG248" i="28"/>
  <c r="CG241" i="28"/>
  <c r="CG238" i="28"/>
  <c r="CG221" i="28"/>
  <c r="CG213" i="28"/>
  <c r="CG212" i="28"/>
  <c r="CG208" i="28"/>
  <c r="CG202" i="28"/>
  <c r="CG169" i="28"/>
  <c r="CG167" i="28"/>
  <c r="CG142" i="28"/>
  <c r="CG138" i="28"/>
  <c r="CG90" i="28"/>
  <c r="CG86" i="28"/>
  <c r="CG84" i="28"/>
  <c r="CG83" i="28"/>
  <c r="CG79" i="28"/>
  <c r="CG78" i="28"/>
  <c r="CG73" i="28"/>
  <c r="CG72" i="28"/>
  <c r="CG67" i="28"/>
  <c r="CG66" i="28"/>
  <c r="CG65" i="28"/>
  <c r="CG54" i="28"/>
  <c r="CG53" i="28"/>
  <c r="CG51" i="28"/>
  <c r="CG44" i="28"/>
  <c r="CG29" i="28"/>
  <c r="CI248" i="28"/>
  <c r="CI241" i="28"/>
  <c r="CI238" i="28"/>
  <c r="CI221" i="28"/>
  <c r="CI213" i="28"/>
  <c r="CI212" i="28"/>
  <c r="CI208" i="28"/>
  <c r="CI202" i="28"/>
  <c r="CI169" i="28"/>
  <c r="CI167" i="28"/>
  <c r="CI142" i="28"/>
  <c r="CI138" i="28"/>
  <c r="CI90" i="28"/>
  <c r="CI86" i="28"/>
  <c r="CI84" i="28"/>
  <c r="CI83" i="28"/>
  <c r="CI79" i="28"/>
  <c r="CI78" i="28"/>
  <c r="CI73" i="28"/>
  <c r="CI72" i="28"/>
  <c r="CI67" i="28"/>
  <c r="CI66" i="28"/>
  <c r="CI65" i="28"/>
  <c r="CI54" i="28"/>
  <c r="CI53" i="28"/>
  <c r="CI51" i="28"/>
  <c r="CI44" i="28"/>
  <c r="CI29" i="28"/>
  <c r="S253" i="28"/>
  <c r="S251" i="28"/>
  <c r="Q252" i="28"/>
  <c r="Q253" i="28"/>
  <c r="Q251" i="28"/>
  <c r="P65" i="28" l="1"/>
  <c r="P142" i="28"/>
  <c r="P66" i="28"/>
  <c r="P167" i="28"/>
  <c r="P67" i="28"/>
  <c r="P169" i="28"/>
  <c r="P72" i="28"/>
  <c r="P202" i="28"/>
  <c r="P73" i="28"/>
  <c r="P208" i="28"/>
  <c r="P78" i="28"/>
  <c r="P212" i="28"/>
  <c r="P79" i="28"/>
  <c r="P213" i="28"/>
  <c r="P29" i="28"/>
  <c r="P83" i="28"/>
  <c r="P221" i="28"/>
  <c r="P44" i="28"/>
  <c r="P84" i="28"/>
  <c r="P238" i="28"/>
  <c r="P51" i="28"/>
  <c r="P86" i="28"/>
  <c r="P241" i="28"/>
  <c r="P53" i="28"/>
  <c r="P90" i="28"/>
  <c r="P248" i="28"/>
  <c r="P54" i="28"/>
  <c r="P138" i="28"/>
  <c r="S252" i="28"/>
  <c r="T254" i="28"/>
  <c r="Y529" i="75"/>
  <c r="S254" i="28"/>
  <c r="Z545" i="75"/>
  <c r="Y545" i="75"/>
  <c r="Z529" i="75"/>
  <c r="Z546" i="75"/>
  <c r="Y546" i="75"/>
  <c r="T252" i="28"/>
  <c r="T251" i="28"/>
  <c r="T253" i="28"/>
  <c r="T248" i="28" l="1"/>
  <c r="T250" i="28"/>
  <c r="S22" i="28"/>
  <c r="Q248" i="28"/>
  <c r="Q250" i="28"/>
  <c r="Q21" i="28"/>
  <c r="Q22" i="28"/>
  <c r="AH995" i="76"/>
  <c r="AW995" i="76" s="1"/>
  <c r="AH994" i="76"/>
  <c r="AW994" i="76" s="1"/>
  <c r="AH993" i="76"/>
  <c r="AW993" i="76" s="1"/>
  <c r="AH992" i="76"/>
  <c r="AW992" i="76" s="1"/>
  <c r="AH991" i="76"/>
  <c r="AW991" i="76" s="1"/>
  <c r="AH990" i="76"/>
  <c r="AW990" i="76" s="1"/>
  <c r="AH989" i="76"/>
  <c r="AW989" i="76" s="1"/>
  <c r="AH988" i="76"/>
  <c r="AW988" i="76" s="1"/>
  <c r="AH987" i="76"/>
  <c r="AW987" i="76" s="1"/>
  <c r="AH986" i="76"/>
  <c r="AW986" i="76" s="1"/>
  <c r="AH985" i="76"/>
  <c r="AW985" i="76" s="1"/>
  <c r="AH984" i="76"/>
  <c r="AW984" i="76" s="1"/>
  <c r="AH983" i="76"/>
  <c r="AW983" i="76" s="1"/>
  <c r="AH982" i="76"/>
  <c r="AW982" i="76" s="1"/>
  <c r="AH981" i="76"/>
  <c r="AW981" i="76" s="1"/>
  <c r="AH980" i="76"/>
  <c r="AW980" i="76" s="1"/>
  <c r="AH979" i="76"/>
  <c r="AW979" i="76" s="1"/>
  <c r="AH978" i="76"/>
  <c r="AW978" i="76" s="1"/>
  <c r="AH977" i="76"/>
  <c r="AW977" i="76" s="1"/>
  <c r="AH976" i="76"/>
  <c r="AW976" i="76" s="1"/>
  <c r="AH975" i="76"/>
  <c r="AW975" i="76" s="1"/>
  <c r="AH974" i="76"/>
  <c r="AW974" i="76" s="1"/>
  <c r="AH973" i="76"/>
  <c r="AW973" i="76" s="1"/>
  <c r="AH972" i="76"/>
  <c r="AW972" i="76" s="1"/>
  <c r="AH971" i="76"/>
  <c r="AW971" i="76" s="1"/>
  <c r="AH970" i="76"/>
  <c r="AW970" i="76" s="1"/>
  <c r="AH969" i="76"/>
  <c r="AW969" i="76" s="1"/>
  <c r="AH968" i="76"/>
  <c r="AW968" i="76" s="1"/>
  <c r="AH967" i="76"/>
  <c r="AW967" i="76" s="1"/>
  <c r="AH966" i="76"/>
  <c r="AW966" i="76" s="1"/>
  <c r="AH965" i="76"/>
  <c r="AW965" i="76" s="1"/>
  <c r="AH964" i="76"/>
  <c r="AW964" i="76" s="1"/>
  <c r="AH963" i="76"/>
  <c r="AW963" i="76" s="1"/>
  <c r="AR995" i="76"/>
  <c r="AQ995" i="76" s="1"/>
  <c r="AR994" i="76"/>
  <c r="AQ994" i="76" s="1"/>
  <c r="AR993" i="76"/>
  <c r="AQ993" i="76" s="1"/>
  <c r="AR992" i="76"/>
  <c r="AQ992" i="76" s="1"/>
  <c r="AR991" i="76"/>
  <c r="AQ991" i="76" s="1"/>
  <c r="AR990" i="76"/>
  <c r="AQ990" i="76" s="1"/>
  <c r="AR989" i="76"/>
  <c r="AQ989" i="76" s="1"/>
  <c r="AR988" i="76"/>
  <c r="AQ988" i="76" s="1"/>
  <c r="AR987" i="76"/>
  <c r="AQ987" i="76" s="1"/>
  <c r="AR986" i="76"/>
  <c r="AQ986" i="76" s="1"/>
  <c r="AR985" i="76"/>
  <c r="AQ985" i="76" s="1"/>
  <c r="AR984" i="76"/>
  <c r="AQ984" i="76" s="1"/>
  <c r="AR983" i="76"/>
  <c r="AQ983" i="76" s="1"/>
  <c r="AR982" i="76"/>
  <c r="AQ982" i="76" s="1"/>
  <c r="AR981" i="76"/>
  <c r="AQ981" i="76" s="1"/>
  <c r="AR980" i="76"/>
  <c r="AQ980" i="76" s="1"/>
  <c r="AR979" i="76"/>
  <c r="AQ979" i="76" s="1"/>
  <c r="AR978" i="76"/>
  <c r="AQ978" i="76" s="1"/>
  <c r="AR977" i="76"/>
  <c r="AQ977" i="76" s="1"/>
  <c r="AR976" i="76"/>
  <c r="AQ976" i="76" s="1"/>
  <c r="AR975" i="76"/>
  <c r="AQ975" i="76" s="1"/>
  <c r="AR974" i="76"/>
  <c r="AQ974" i="76" s="1"/>
  <c r="AR973" i="76"/>
  <c r="AQ973" i="76" s="1"/>
  <c r="AR972" i="76"/>
  <c r="AQ972" i="76" s="1"/>
  <c r="AR971" i="76"/>
  <c r="AQ971" i="76" s="1"/>
  <c r="AR970" i="76"/>
  <c r="AQ970" i="76" s="1"/>
  <c r="AR969" i="76"/>
  <c r="AQ969" i="76" s="1"/>
  <c r="AR968" i="76"/>
  <c r="AQ968" i="76" s="1"/>
  <c r="AR967" i="76"/>
  <c r="AQ967" i="76" s="1"/>
  <c r="AR966" i="76"/>
  <c r="AQ966" i="76" s="1"/>
  <c r="AR965" i="76"/>
  <c r="AQ965" i="76" s="1"/>
  <c r="AR964" i="76"/>
  <c r="AQ964" i="76" s="1"/>
  <c r="S21" i="28" l="1"/>
  <c r="AV963" i="76"/>
  <c r="AU963" i="76"/>
  <c r="AV964" i="76"/>
  <c r="AU964" i="76"/>
  <c r="AV965" i="76"/>
  <c r="AU965" i="76"/>
  <c r="AV966" i="76"/>
  <c r="AU966" i="76"/>
  <c r="AV967" i="76"/>
  <c r="AU967" i="76"/>
  <c r="AV968" i="76"/>
  <c r="AU968" i="76"/>
  <c r="AV969" i="76"/>
  <c r="AU969" i="76"/>
  <c r="AV970" i="76"/>
  <c r="AU970" i="76"/>
  <c r="AV971" i="76"/>
  <c r="AU971" i="76"/>
  <c r="AV972" i="76"/>
  <c r="AU972" i="76"/>
  <c r="AV973" i="76"/>
  <c r="AU973" i="76"/>
  <c r="AV974" i="76"/>
  <c r="AU974" i="76"/>
  <c r="AV975" i="76"/>
  <c r="AU975" i="76"/>
  <c r="AV976" i="76"/>
  <c r="AU976" i="76"/>
  <c r="AV977" i="76"/>
  <c r="AU977" i="76"/>
  <c r="AV978" i="76"/>
  <c r="AU978" i="76"/>
  <c r="AV979" i="76"/>
  <c r="AU979" i="76"/>
  <c r="AV980" i="76"/>
  <c r="AU980" i="76"/>
  <c r="AV981" i="76"/>
  <c r="AU981" i="76"/>
  <c r="AV982" i="76"/>
  <c r="AU982" i="76"/>
  <c r="AV983" i="76"/>
  <c r="AU983" i="76"/>
  <c r="AV984" i="76"/>
  <c r="AU984" i="76"/>
  <c r="AV985" i="76"/>
  <c r="AU985" i="76"/>
  <c r="AV986" i="76"/>
  <c r="AU986" i="76"/>
  <c r="AV987" i="76"/>
  <c r="AU987" i="76"/>
  <c r="AV988" i="76"/>
  <c r="AU988" i="76"/>
  <c r="AV989" i="76"/>
  <c r="AU989" i="76"/>
  <c r="AV990" i="76"/>
  <c r="AU990" i="76"/>
  <c r="AV991" i="76"/>
  <c r="AU991" i="76"/>
  <c r="AV992" i="76"/>
  <c r="AU992" i="76"/>
  <c r="AV993" i="76"/>
  <c r="AU993" i="76"/>
  <c r="AV994" i="76"/>
  <c r="AU994" i="76"/>
  <c r="AV995" i="76"/>
  <c r="AU995" i="76"/>
  <c r="T21" i="28"/>
  <c r="S248" i="28"/>
  <c r="S250" i="28"/>
  <c r="T22" i="28"/>
  <c r="Q246" i="28"/>
  <c r="Q249" i="28"/>
  <c r="Q247" i="28"/>
  <c r="T246" i="28"/>
  <c r="T249" i="28"/>
  <c r="T247" i="28"/>
  <c r="S247" i="28" l="1"/>
  <c r="S249" i="28"/>
  <c r="S246" i="28"/>
  <c r="Q245" i="28" l="1"/>
  <c r="Q365" i="28"/>
  <c r="Q366" i="28"/>
  <c r="R837" i="76"/>
  <c r="R836" i="76"/>
  <c r="AH837" i="76"/>
  <c r="AW837" i="76" s="1"/>
  <c r="AR837" i="76"/>
  <c r="R835" i="76"/>
  <c r="R834" i="76"/>
  <c r="AH835" i="76"/>
  <c r="AW835" i="76" s="1"/>
  <c r="AR835" i="76"/>
  <c r="R830" i="76"/>
  <c r="R829" i="76"/>
  <c r="AH830" i="76"/>
  <c r="AW830" i="76" s="1"/>
  <c r="AR830" i="76"/>
  <c r="R823" i="76"/>
  <c r="R822" i="76"/>
  <c r="AH823" i="76"/>
  <c r="AW823" i="76" s="1"/>
  <c r="AR823" i="76"/>
  <c r="AH820" i="76"/>
  <c r="AW820" i="76" s="1"/>
  <c r="R820" i="76"/>
  <c r="R819" i="76"/>
  <c r="AR820" i="76"/>
  <c r="AH825" i="76"/>
  <c r="AW825" i="76" s="1"/>
  <c r="R825" i="76"/>
  <c r="R824" i="76"/>
  <c r="AR825" i="76"/>
  <c r="AH828" i="76"/>
  <c r="AW828" i="76" s="1"/>
  <c r="AH827" i="76"/>
  <c r="AW827" i="76" s="1"/>
  <c r="R828" i="76"/>
  <c r="AR828" i="76" s="1"/>
  <c r="AQ828" i="76" s="1"/>
  <c r="R827" i="76"/>
  <c r="R826" i="76"/>
  <c r="AR827" i="76"/>
  <c r="AH829" i="76"/>
  <c r="AW829" i="76" s="1"/>
  <c r="AR829" i="76"/>
  <c r="AH831" i="76"/>
  <c r="AW831" i="76" s="1"/>
  <c r="AR831" i="76"/>
  <c r="AQ831" i="76" s="1"/>
  <c r="Q2" i="28"/>
  <c r="Q3" i="28"/>
  <c r="Q315" i="28"/>
  <c r="Q6" i="28"/>
  <c r="Q10" i="28"/>
  <c r="Q11" i="28"/>
  <c r="Q15" i="28"/>
  <c r="Q16" i="28"/>
  <c r="Q19" i="28"/>
  <c r="Q20" i="28"/>
  <c r="Q23" i="28"/>
  <c r="Q25" i="28"/>
  <c r="Q28" i="28"/>
  <c r="Q30" i="28"/>
  <c r="Q31" i="28"/>
  <c r="Q32" i="28"/>
  <c r="Q34" i="28"/>
  <c r="Q35" i="28"/>
  <c r="Q36" i="28"/>
  <c r="Q37" i="28"/>
  <c r="Q38" i="28"/>
  <c r="Q39" i="28"/>
  <c r="Q42" i="28"/>
  <c r="Q45" i="28"/>
  <c r="Q46" i="28"/>
  <c r="Q49" i="28"/>
  <c r="Q50" i="28"/>
  <c r="Q51" i="28"/>
  <c r="Q52" i="28"/>
  <c r="Q53" i="28"/>
  <c r="Q54" i="28"/>
  <c r="Q55" i="28"/>
  <c r="Q56" i="28"/>
  <c r="Q57" i="28"/>
  <c r="Q58" i="28"/>
  <c r="Q59" i="28"/>
  <c r="Q60" i="28"/>
  <c r="Q61" i="28"/>
  <c r="Q62" i="28"/>
  <c r="Q64" i="28"/>
  <c r="Q66" i="28"/>
  <c r="Q67" i="28"/>
  <c r="Q68" i="28"/>
  <c r="Q69" i="28"/>
  <c r="Q70" i="28"/>
  <c r="Q71" i="28"/>
  <c r="Q72" i="28"/>
  <c r="Q73" i="28"/>
  <c r="Q74" i="28"/>
  <c r="Q75" i="28"/>
  <c r="Q76" i="28"/>
  <c r="Q77" i="28"/>
  <c r="Q79" i="28"/>
  <c r="Q80" i="28"/>
  <c r="Q81" i="28"/>
  <c r="Q82" i="28"/>
  <c r="Q85" i="28"/>
  <c r="Q87" i="28"/>
  <c r="Q88" i="28"/>
  <c r="Q89" i="28"/>
  <c r="Q90" i="28"/>
  <c r="Q91" i="28"/>
  <c r="Q92" i="28"/>
  <c r="Q93" i="28"/>
  <c r="Q94" i="28"/>
  <c r="Q95" i="28"/>
  <c r="Q96" i="28"/>
  <c r="Q97" i="28"/>
  <c r="Q98" i="28"/>
  <c r="Q99" i="28"/>
  <c r="Q100" i="28"/>
  <c r="Q102" i="28"/>
  <c r="Q103" i="28"/>
  <c r="Q104" i="28"/>
  <c r="Q105" i="28"/>
  <c r="Q106" i="28"/>
  <c r="Q107" i="28"/>
  <c r="Q108" i="28"/>
  <c r="Q109" i="28"/>
  <c r="Q110" i="28"/>
  <c r="Q111" i="28"/>
  <c r="Q112" i="28"/>
  <c r="Q113" i="28"/>
  <c r="Q114" i="28"/>
  <c r="Q115" i="28"/>
  <c r="Q116" i="28"/>
  <c r="Q117" i="28"/>
  <c r="Q118" i="28"/>
  <c r="Q119" i="28"/>
  <c r="Q120" i="28"/>
  <c r="Q121" i="28"/>
  <c r="Q122" i="28"/>
  <c r="Q123" i="28"/>
  <c r="Q124" i="28"/>
  <c r="Q125" i="28"/>
  <c r="Q127" i="28"/>
  <c r="Q128" i="28"/>
  <c r="Q129" i="28"/>
  <c r="Q130" i="28"/>
  <c r="Q131" i="28"/>
  <c r="Q132" i="28"/>
  <c r="Q133" i="28"/>
  <c r="Q134" i="28"/>
  <c r="Q135" i="28"/>
  <c r="Q137" i="28"/>
  <c r="Q138" i="28"/>
  <c r="Q139" i="28"/>
  <c r="Q140" i="28"/>
  <c r="Q141" i="28"/>
  <c r="Q142" i="28"/>
  <c r="Q143" i="28"/>
  <c r="Q144" i="28"/>
  <c r="Q145" i="28"/>
  <c r="Q146" i="28"/>
  <c r="Q147" i="28"/>
  <c r="Q148" i="28"/>
  <c r="Q149" i="28"/>
  <c r="Q150" i="28"/>
  <c r="Q151" i="28"/>
  <c r="Q152" i="28"/>
  <c r="Q153" i="28"/>
  <c r="Q154" i="28"/>
  <c r="Q155" i="28"/>
  <c r="Q156" i="28"/>
  <c r="Q157" i="28"/>
  <c r="Q159" i="28"/>
  <c r="Q160" i="28"/>
  <c r="Q162" i="28"/>
  <c r="Q163" i="28"/>
  <c r="Q164" i="28"/>
  <c r="Q165" i="28"/>
  <c r="Q166" i="28"/>
  <c r="Q167" i="28"/>
  <c r="Q168" i="28"/>
  <c r="Q169" i="28"/>
  <c r="Q171" i="28"/>
  <c r="Q172" i="28"/>
  <c r="Q173" i="28"/>
  <c r="Q174" i="28"/>
  <c r="Q176" i="28"/>
  <c r="Q177" i="28"/>
  <c r="Q178" i="28"/>
  <c r="Q179" i="28"/>
  <c r="Q180" i="28"/>
  <c r="Q181" i="28"/>
  <c r="Q182" i="28"/>
  <c r="Q183" i="28"/>
  <c r="Q184" i="28"/>
  <c r="Q185" i="28"/>
  <c r="Q186" i="28"/>
  <c r="Q187" i="28"/>
  <c r="Q188" i="28"/>
  <c r="Q189" i="28"/>
  <c r="Q190" i="28"/>
  <c r="Q191" i="28"/>
  <c r="Q192" i="28"/>
  <c r="Q193" i="28"/>
  <c r="Q194" i="28"/>
  <c r="Q195" i="28"/>
  <c r="Q196" i="28"/>
  <c r="Q197" i="28"/>
  <c r="Q198" i="28"/>
  <c r="Q199" i="28"/>
  <c r="Q200" i="28"/>
  <c r="Q201" i="28"/>
  <c r="Q203" i="28"/>
  <c r="Q204" i="28"/>
  <c r="Q205" i="28"/>
  <c r="Q206" i="28"/>
  <c r="Q207" i="28"/>
  <c r="Q208" i="28"/>
  <c r="Q209" i="28"/>
  <c r="Q210" i="28"/>
  <c r="Q212" i="28"/>
  <c r="Q213" i="28"/>
  <c r="Q214" i="28"/>
  <c r="Q215" i="28"/>
  <c r="Q216" i="28"/>
  <c r="Q217" i="28"/>
  <c r="Q218" i="28"/>
  <c r="Q219" i="28"/>
  <c r="Q220" i="28"/>
  <c r="Q221" i="28"/>
  <c r="Q222" i="28"/>
  <c r="Q223" i="28"/>
  <c r="Q225" i="28"/>
  <c r="Q226" i="28"/>
  <c r="Q227" i="28"/>
  <c r="Q228" i="28"/>
  <c r="Q229" i="28"/>
  <c r="Q230" i="28"/>
  <c r="Q231" i="28"/>
  <c r="Q232" i="28"/>
  <c r="Q233" i="28"/>
  <c r="Q235" i="28"/>
  <c r="Q236" i="28"/>
  <c r="Q237" i="28"/>
  <c r="Q238" i="28"/>
  <c r="Q239" i="28"/>
  <c r="Q240" i="28"/>
  <c r="Q241" i="28"/>
  <c r="Q302" i="28"/>
  <c r="Q303" i="28"/>
  <c r="Q304" i="28"/>
  <c r="Q305" i="28"/>
  <c r="Q309" i="28"/>
  <c r="Q310" i="28"/>
  <c r="Q313" i="28"/>
  <c r="Q321" i="28"/>
  <c r="Q322" i="28"/>
  <c r="Q323" i="28"/>
  <c r="Q324" i="28"/>
  <c r="Q325" i="28"/>
  <c r="Q326" i="28"/>
  <c r="Q327" i="28"/>
  <c r="Q328" i="28"/>
  <c r="Q329" i="28"/>
  <c r="Q330" i="28"/>
  <c r="Q331" i="28"/>
  <c r="Q332" i="28"/>
  <c r="Q333" i="28"/>
  <c r="Q334" i="28"/>
  <c r="Q335" i="28"/>
  <c r="Q336" i="28"/>
  <c r="Q337" i="28"/>
  <c r="Q338" i="28"/>
  <c r="Q339" i="28"/>
  <c r="Q340" i="28"/>
  <c r="Q341" i="28"/>
  <c r="Q342" i="28"/>
  <c r="Q343" i="28"/>
  <c r="Q344" i="28"/>
  <c r="Q345" i="28"/>
  <c r="Q346" i="28"/>
  <c r="Q347" i="28"/>
  <c r="Q348" i="28"/>
  <c r="Q349" i="28"/>
  <c r="Q350" i="28"/>
  <c r="Q351" i="28"/>
  <c r="Q353" i="28"/>
  <c r="Q354" i="28"/>
  <c r="Q355" i="28"/>
  <c r="Q357" i="28"/>
  <c r="Q358" i="28"/>
  <c r="Q359" i="28"/>
  <c r="Q360" i="28"/>
  <c r="Q361" i="28"/>
  <c r="Q362" i="28"/>
  <c r="Q367" i="28"/>
  <c r="Q368" i="28"/>
  <c r="Q369" i="28"/>
  <c r="Q370" i="28"/>
  <c r="Q371" i="28"/>
  <c r="Q376" i="28"/>
  <c r="Q378" i="28"/>
  <c r="Q379" i="28"/>
  <c r="Q380" i="28"/>
  <c r="Q384" i="28"/>
  <c r="Q385" i="28"/>
  <c r="Q386" i="28"/>
  <c r="Q387" i="28"/>
  <c r="Q242" i="28"/>
  <c r="Q243" i="28"/>
  <c r="Q373" i="28"/>
  <c r="Q374" i="28"/>
  <c r="Q363" i="28"/>
  <c r="Q364" i="28"/>
  <c r="Q244" i="28"/>
  <c r="R149" i="75"/>
  <c r="S149" i="75" s="1"/>
  <c r="BR149" i="75"/>
  <c r="AQ823" i="76" l="1"/>
  <c r="AV831" i="76"/>
  <c r="AU831" i="76"/>
  <c r="AV829" i="76"/>
  <c r="AU829" i="76"/>
  <c r="AV827" i="76"/>
  <c r="AU827" i="76"/>
  <c r="AV828" i="76"/>
  <c r="AU828" i="76"/>
  <c r="AV825" i="76"/>
  <c r="AU825" i="76"/>
  <c r="AV820" i="76"/>
  <c r="AU820" i="76"/>
  <c r="AV823" i="76"/>
  <c r="AU823" i="76"/>
  <c r="AV830" i="76"/>
  <c r="AU830" i="76"/>
  <c r="AV835" i="76"/>
  <c r="AU835" i="76"/>
  <c r="AV837" i="76"/>
  <c r="AU837" i="76"/>
  <c r="AQ820" i="76"/>
  <c r="AQ837" i="76"/>
  <c r="AQ825" i="76"/>
  <c r="AQ829" i="76"/>
  <c r="AQ830" i="76"/>
  <c r="AQ835" i="76"/>
  <c r="AQ827" i="76"/>
  <c r="Z149" i="75"/>
  <c r="Y149" i="75"/>
  <c r="T244" i="28" l="1"/>
  <c r="T364" i="28"/>
  <c r="S373" i="28"/>
  <c r="T363" i="28"/>
  <c r="S243" i="28"/>
  <c r="T374" i="28"/>
  <c r="S242" i="28"/>
  <c r="T245" i="28"/>
  <c r="S365" i="28"/>
  <c r="S366" i="28"/>
  <c r="T366" i="28"/>
  <c r="S245" i="28"/>
  <c r="T365" i="28"/>
  <c r="S364" i="28"/>
  <c r="T243" i="28"/>
  <c r="T242" i="28"/>
  <c r="S363" i="28"/>
  <c r="S374" i="28"/>
  <c r="S244" i="28"/>
  <c r="T373" i="28"/>
  <c r="AO317" i="28"/>
  <c r="AQ317" i="28"/>
  <c r="AS317" i="28"/>
  <c r="AU317" i="28"/>
  <c r="AW317" i="28"/>
  <c r="AY317" i="28"/>
  <c r="BA317" i="28"/>
  <c r="BC317" i="28"/>
  <c r="BE317" i="28"/>
  <c r="BG317" i="28"/>
  <c r="BI317" i="28"/>
  <c r="BK317" i="28"/>
  <c r="BM317" i="28"/>
  <c r="BO317" i="28"/>
  <c r="AQ318" i="28"/>
  <c r="AS318" i="28"/>
  <c r="AU318" i="28"/>
  <c r="AW318" i="28"/>
  <c r="AY318" i="28"/>
  <c r="BA318" i="28"/>
  <c r="BC318" i="28"/>
  <c r="BE318" i="28"/>
  <c r="BG318" i="28"/>
  <c r="BI318" i="28"/>
  <c r="BK318" i="28"/>
  <c r="BM318" i="28"/>
  <c r="BO318" i="28"/>
  <c r="AQ319" i="28"/>
  <c r="AU319" i="28"/>
  <c r="AY319" i="28"/>
  <c r="BA319" i="28"/>
  <c r="BC319" i="28"/>
  <c r="BG319" i="28"/>
  <c r="BI319" i="28"/>
  <c r="BK319" i="28"/>
  <c r="AQ320" i="28"/>
  <c r="AS320" i="28"/>
  <c r="AU320" i="28"/>
  <c r="AY320" i="28"/>
  <c r="BA320" i="28"/>
  <c r="BC320" i="28"/>
  <c r="BG320" i="28"/>
  <c r="BI320" i="28"/>
  <c r="BK320" i="28"/>
  <c r="K331" i="28"/>
  <c r="K332" i="28"/>
  <c r="K333" i="28"/>
  <c r="K334" i="28"/>
  <c r="K335" i="28"/>
  <c r="K336" i="28"/>
  <c r="K337" i="28"/>
  <c r="K338" i="28"/>
  <c r="K339" i="28"/>
  <c r="K340" i="28"/>
  <c r="K341" i="28"/>
  <c r="K342" i="28"/>
  <c r="K343" i="28"/>
  <c r="K344" i="28"/>
  <c r="K345" i="28"/>
  <c r="K346" i="28"/>
  <c r="K347" i="28"/>
  <c r="K348" i="28"/>
  <c r="K349" i="28"/>
  <c r="K350" i="28"/>
  <c r="BI352" i="28"/>
  <c r="BK352" i="28"/>
  <c r="BQ352" i="28"/>
  <c r="CA356" i="28"/>
  <c r="T361" i="28"/>
  <c r="S362" i="28"/>
  <c r="AY24" i="28"/>
  <c r="AZ24" i="28"/>
  <c r="AP26" i="28"/>
  <c r="AQ26" i="28"/>
  <c r="BY26" i="28"/>
  <c r="BZ26" i="28"/>
  <c r="AO27" i="28"/>
  <c r="AP27" i="28"/>
  <c r="AR27" i="28"/>
  <c r="BS27" i="28"/>
  <c r="BT27" i="28"/>
  <c r="BA29" i="28"/>
  <c r="BC29" i="28"/>
  <c r="BE29" i="28"/>
  <c r="BC33" i="28"/>
  <c r="BY40" i="28"/>
  <c r="BZ40" i="28"/>
  <c r="BY41" i="28"/>
  <c r="BW43" i="28"/>
  <c r="BA44" i="28"/>
  <c r="BI44" i="28"/>
  <c r="BW47" i="28"/>
  <c r="BX47" i="28"/>
  <c r="BW48" i="28"/>
  <c r="BY48" i="28"/>
  <c r="CA48" i="28"/>
  <c r="BM63" i="28"/>
  <c r="BY65" i="28"/>
  <c r="BC78" i="28"/>
  <c r="BG78" i="28"/>
  <c r="BI78" i="28"/>
  <c r="BQ78" i="28"/>
  <c r="BU78" i="28"/>
  <c r="CC78" i="28"/>
  <c r="BI83" i="28"/>
  <c r="BI84" i="28"/>
  <c r="BO84" i="28"/>
  <c r="BY84" i="28"/>
  <c r="CA101" i="28"/>
  <c r="BQ126" i="28"/>
  <c r="BQ136" i="28"/>
  <c r="BS136" i="28"/>
  <c r="CA158" i="28"/>
  <c r="CC158" i="28"/>
  <c r="CG161" i="28"/>
  <c r="CC170" i="28"/>
  <c r="BW175" i="28"/>
  <c r="S196" i="28"/>
  <c r="CA202" i="28"/>
  <c r="S223" i="28"/>
  <c r="CG224" i="28"/>
  <c r="CH224" i="28"/>
  <c r="T239" i="28"/>
  <c r="U7" i="28"/>
  <c r="W7" i="28"/>
  <c r="Y7" i="28"/>
  <c r="AA7" i="28"/>
  <c r="AC7" i="28"/>
  <c r="W8" i="28"/>
  <c r="AQ8" i="28"/>
  <c r="AS8" i="28"/>
  <c r="AU8" i="28"/>
  <c r="AW8" i="28"/>
  <c r="AY8" i="28"/>
  <c r="BA8" i="28"/>
  <c r="BC8" i="28"/>
  <c r="BG8" i="28"/>
  <c r="BI8" i="28"/>
  <c r="BK8" i="28"/>
  <c r="BM8" i="28"/>
  <c r="BO8" i="28"/>
  <c r="AQ9" i="28"/>
  <c r="AS9" i="28"/>
  <c r="AU9" i="28"/>
  <c r="AW9" i="28"/>
  <c r="AY9" i="28"/>
  <c r="BA9" i="28"/>
  <c r="BC9" i="28"/>
  <c r="BG9" i="28"/>
  <c r="BM9" i="28"/>
  <c r="BO9" i="28"/>
  <c r="AQ12" i="28"/>
  <c r="AS12" i="28"/>
  <c r="AU12" i="28"/>
  <c r="AW12" i="28"/>
  <c r="BA12" i="28"/>
  <c r="BC12" i="28"/>
  <c r="BE12" i="28"/>
  <c r="BG12" i="28"/>
  <c r="BI12" i="28"/>
  <c r="BK12" i="28"/>
  <c r="BM12" i="28"/>
  <c r="BO12" i="28"/>
  <c r="AQ13" i="28"/>
  <c r="AS13" i="28"/>
  <c r="AU13" i="28"/>
  <c r="AW13" i="28"/>
  <c r="AY13" i="28"/>
  <c r="BA13" i="28"/>
  <c r="BC13" i="28"/>
  <c r="BE13" i="28"/>
  <c r="BG13" i="28"/>
  <c r="BI13" i="28"/>
  <c r="BK13" i="28"/>
  <c r="BO13" i="28"/>
  <c r="AQ14" i="28"/>
  <c r="AS14" i="28"/>
  <c r="AU14" i="28"/>
  <c r="AW14" i="28"/>
  <c r="AY14" i="28"/>
  <c r="BA14" i="28"/>
  <c r="BC14" i="28"/>
  <c r="BE14" i="28"/>
  <c r="BG14" i="28"/>
  <c r="BI14" i="28"/>
  <c r="BM14" i="28"/>
  <c r="BO14" i="28"/>
  <c r="AP15" i="28"/>
  <c r="AR15" i="28"/>
  <c r="AQ17" i="28"/>
  <c r="AS17" i="28"/>
  <c r="AU17" i="28"/>
  <c r="AY17" i="28"/>
  <c r="BA17" i="28"/>
  <c r="BC17" i="28"/>
  <c r="BE17" i="28"/>
  <c r="BG17" i="28"/>
  <c r="BI17" i="28"/>
  <c r="BK17" i="28"/>
  <c r="BO17" i="28"/>
  <c r="AU18" i="28"/>
  <c r="AW18" i="28"/>
  <c r="AY18" i="28"/>
  <c r="BA18" i="28"/>
  <c r="BC18" i="28"/>
  <c r="BE18" i="28"/>
  <c r="BG18" i="28"/>
  <c r="BI18" i="28"/>
  <c r="BM18" i="28"/>
  <c r="BO18" i="28"/>
  <c r="T132" i="28" l="1"/>
  <c r="Q175" i="28"/>
  <c r="Q170" i="28"/>
  <c r="Q202" i="28"/>
  <c r="Q86" i="28"/>
  <c r="Q40" i="28"/>
  <c r="AR26" i="28"/>
  <c r="Q101" i="28"/>
  <c r="Q33" i="28"/>
  <c r="Q47" i="28"/>
  <c r="Q18" i="28"/>
  <c r="Q8" i="28"/>
  <c r="Q7" i="28"/>
  <c r="Q158" i="28"/>
  <c r="Q136" i="28"/>
  <c r="Q84" i="28"/>
  <c r="Q65" i="28"/>
  <c r="Q48" i="28"/>
  <c r="Q44" i="28"/>
  <c r="Q27" i="28"/>
  <c r="Q318" i="28"/>
  <c r="Q317" i="28"/>
  <c r="S90" i="28"/>
  <c r="S53" i="28"/>
  <c r="Q356" i="28"/>
  <c r="Q319" i="28"/>
  <c r="Q83" i="28"/>
  <c r="Q9" i="28"/>
  <c r="Q161" i="28"/>
  <c r="Q29" i="28"/>
  <c r="Q26" i="28"/>
  <c r="Q24" i="28"/>
  <c r="Q352" i="28"/>
  <c r="Q14" i="28"/>
  <c r="Q41" i="28"/>
  <c r="Q224" i="28"/>
  <c r="Q78" i="28"/>
  <c r="Q17" i="28"/>
  <c r="Q126" i="28"/>
  <c r="Q63" i="28"/>
  <c r="Q43" i="28"/>
  <c r="Q13" i="28"/>
  <c r="Q12" i="28"/>
  <c r="Q320" i="28"/>
  <c r="S239" i="28"/>
  <c r="T223" i="28"/>
  <c r="T362" i="28"/>
  <c r="T196" i="28"/>
  <c r="S361" i="28"/>
  <c r="S190" i="28" l="1"/>
  <c r="S235" i="28"/>
  <c r="T177" i="28"/>
  <c r="T203" i="28"/>
  <c r="S147" i="28"/>
  <c r="S160" i="28"/>
  <c r="T219" i="28"/>
  <c r="S344" i="28"/>
  <c r="S167" i="28"/>
  <c r="S112" i="28"/>
  <c r="S152" i="28"/>
  <c r="T11" i="28"/>
  <c r="T209" i="28"/>
  <c r="T168" i="28"/>
  <c r="T183" i="28"/>
  <c r="T210" i="28"/>
  <c r="S197" i="28"/>
  <c r="S228" i="28"/>
  <c r="T329" i="28"/>
  <c r="S144" i="28"/>
  <c r="T74" i="28"/>
  <c r="T325" i="28"/>
  <c r="S337" i="28"/>
  <c r="S349" i="28"/>
  <c r="S28" i="28"/>
  <c r="S46" i="28"/>
  <c r="S64" i="28"/>
  <c r="S85" i="28"/>
  <c r="T99" i="28"/>
  <c r="S124" i="28"/>
  <c r="T139" i="28"/>
  <c r="S166" i="28"/>
  <c r="S182" i="28"/>
  <c r="T194" i="28"/>
  <c r="T227" i="28"/>
  <c r="T10" i="28"/>
  <c r="T213" i="28"/>
  <c r="S34" i="28"/>
  <c r="S156" i="28"/>
  <c r="T92" i="28"/>
  <c r="T326" i="28"/>
  <c r="S338" i="28"/>
  <c r="S350" i="28"/>
  <c r="S30" i="28"/>
  <c r="S49" i="28"/>
  <c r="S68" i="28"/>
  <c r="T87" i="28"/>
  <c r="S100" i="28"/>
  <c r="S113" i="28"/>
  <c r="S125" i="28"/>
  <c r="S140" i="28"/>
  <c r="S153" i="28"/>
  <c r="S195" i="28"/>
  <c r="S104" i="28"/>
  <c r="S221" i="28"/>
  <c r="S35" i="28"/>
  <c r="T327" i="28"/>
  <c r="S339" i="28"/>
  <c r="S351" i="28"/>
  <c r="S31" i="28"/>
  <c r="S50" i="28"/>
  <c r="T69" i="28"/>
  <c r="T88" i="28"/>
  <c r="S102" i="28"/>
  <c r="S114" i="28"/>
  <c r="T127" i="28"/>
  <c r="S141" i="28"/>
  <c r="S154" i="28"/>
  <c r="T171" i="28"/>
  <c r="S184" i="28"/>
  <c r="S214" i="28"/>
  <c r="S229" i="28"/>
  <c r="S15" i="28"/>
  <c r="S169" i="28"/>
  <c r="T341" i="28"/>
  <c r="S157" i="28"/>
  <c r="S328" i="28"/>
  <c r="T340" i="28"/>
  <c r="S353" i="28"/>
  <c r="S32" i="28"/>
  <c r="T52" i="28"/>
  <c r="T70" i="28"/>
  <c r="T89" i="28"/>
  <c r="S103" i="28"/>
  <c r="S115" i="28"/>
  <c r="S128" i="28"/>
  <c r="S143" i="28"/>
  <c r="T155" i="28"/>
  <c r="T172" i="28"/>
  <c r="S185" i="28"/>
  <c r="S198" i="28"/>
  <c r="S215" i="28"/>
  <c r="S230" i="28"/>
  <c r="T16" i="28"/>
  <c r="S208" i="28"/>
  <c r="S354" i="28"/>
  <c r="T186" i="28"/>
  <c r="T56" i="28"/>
  <c r="S187" i="28"/>
  <c r="T331" i="28"/>
  <c r="T343" i="28"/>
  <c r="T357" i="28"/>
  <c r="T36" i="28"/>
  <c r="S57" i="28"/>
  <c r="T75" i="28"/>
  <c r="S93" i="28"/>
  <c r="S106" i="28"/>
  <c r="S118" i="28"/>
  <c r="S131" i="28"/>
  <c r="S146" i="28"/>
  <c r="T159" i="28"/>
  <c r="T176" i="28"/>
  <c r="S188" i="28"/>
  <c r="T201" i="28"/>
  <c r="S218" i="28"/>
  <c r="S233" i="28"/>
  <c r="T73" i="28"/>
  <c r="S51" i="28"/>
  <c r="S129" i="28"/>
  <c r="S330" i="28"/>
  <c r="S130" i="28"/>
  <c r="S232" i="28"/>
  <c r="T47" i="28"/>
  <c r="S332" i="28"/>
  <c r="T358" i="28"/>
  <c r="S37" i="28"/>
  <c r="S58" i="28"/>
  <c r="S76" i="28"/>
  <c r="T94" i="28"/>
  <c r="S107" i="28"/>
  <c r="S119" i="28"/>
  <c r="S132" i="28"/>
  <c r="T189" i="28"/>
  <c r="S116" i="28"/>
  <c r="T54" i="28"/>
  <c r="S342" i="28"/>
  <c r="S145" i="28"/>
  <c r="T67" i="28"/>
  <c r="S321" i="28"/>
  <c r="T333" i="28"/>
  <c r="T345" i="28"/>
  <c r="S359" i="28"/>
  <c r="T38" i="28"/>
  <c r="S59" i="28"/>
  <c r="S77" i="28"/>
  <c r="S95" i="28"/>
  <c r="S108" i="28"/>
  <c r="S120" i="28"/>
  <c r="S133" i="28"/>
  <c r="S148" i="28"/>
  <c r="S162" i="28"/>
  <c r="S178" i="28"/>
  <c r="S204" i="28"/>
  <c r="S220" i="28"/>
  <c r="S236" i="28"/>
  <c r="S138" i="28"/>
  <c r="S66" i="28"/>
  <c r="T71" i="28"/>
  <c r="T216" i="28"/>
  <c r="S117" i="28"/>
  <c r="T217" i="28"/>
  <c r="S322" i="28"/>
  <c r="T334" i="28"/>
  <c r="S346" i="28"/>
  <c r="T360" i="28"/>
  <c r="S39" i="28"/>
  <c r="S60" i="28"/>
  <c r="S80" i="28"/>
  <c r="T96" i="28"/>
  <c r="S109" i="28"/>
  <c r="T121" i="28"/>
  <c r="T134" i="28"/>
  <c r="S149" i="28"/>
  <c r="S163" i="28"/>
  <c r="T179" i="28"/>
  <c r="T191" i="28"/>
  <c r="T205" i="28"/>
  <c r="S222" i="28"/>
  <c r="S237" i="28"/>
  <c r="S142" i="28"/>
  <c r="T72" i="28"/>
  <c r="T91" i="28"/>
  <c r="S231" i="28"/>
  <c r="S355" i="28"/>
  <c r="S174" i="28"/>
  <c r="T323" i="28"/>
  <c r="S335" i="28"/>
  <c r="T347" i="28"/>
  <c r="T23" i="28"/>
  <c r="S42" i="28"/>
  <c r="S61" i="28"/>
  <c r="S81" i="28"/>
  <c r="S97" i="28"/>
  <c r="S110" i="28"/>
  <c r="T122" i="28"/>
  <c r="T135" i="28"/>
  <c r="S150" i="28"/>
  <c r="S164" i="28"/>
  <c r="T180" i="28"/>
  <c r="S192" i="28"/>
  <c r="T206" i="28"/>
  <c r="S225" i="28"/>
  <c r="S240" i="28"/>
  <c r="S212" i="28"/>
  <c r="S79" i="28"/>
  <c r="S55" i="28"/>
  <c r="S199" i="28"/>
  <c r="S105" i="28"/>
  <c r="S200" i="28"/>
  <c r="S324" i="28"/>
  <c r="S336" i="28"/>
  <c r="S348" i="28"/>
  <c r="T25" i="28"/>
  <c r="S45" i="28"/>
  <c r="T62" i="28"/>
  <c r="S82" i="28"/>
  <c r="S98" i="28"/>
  <c r="S111" i="28"/>
  <c r="S123" i="28"/>
  <c r="S137" i="28"/>
  <c r="T151" i="28"/>
  <c r="T165" i="28"/>
  <c r="T181" i="28"/>
  <c r="S193" i="28"/>
  <c r="S207" i="28"/>
  <c r="S226" i="28"/>
  <c r="S6" i="28"/>
  <c r="T238" i="28"/>
  <c r="S241" i="28"/>
  <c r="T107" i="28"/>
  <c r="T109" i="28"/>
  <c r="T330" i="28"/>
  <c r="S122" i="28"/>
  <c r="S96" i="28"/>
  <c r="T222" i="28"/>
  <c r="T110" i="28"/>
  <c r="T229" i="28"/>
  <c r="T102" i="28"/>
  <c r="T162" i="28"/>
  <c r="T359" i="28"/>
  <c r="S319" i="28"/>
  <c r="S84" i="28"/>
  <c r="S13" i="28"/>
  <c r="T352" i="28"/>
  <c r="S41" i="28"/>
  <c r="S83" i="28"/>
  <c r="S48" i="28"/>
  <c r="T24" i="28"/>
  <c r="T7" i="28"/>
  <c r="S78" i="28"/>
  <c r="T158" i="28"/>
  <c r="S33" i="28"/>
  <c r="T356" i="28"/>
  <c r="T126" i="28"/>
  <c r="S43" i="28"/>
  <c r="T40" i="28"/>
  <c r="S356" i="28"/>
  <c r="T63" i="28"/>
  <c r="S224" i="28"/>
  <c r="T161" i="28"/>
  <c r="T157" i="28"/>
  <c r="S329" i="28"/>
  <c r="T128" i="28"/>
  <c r="S155" i="28"/>
  <c r="S209" i="28"/>
  <c r="T230" i="28"/>
  <c r="T123" i="28"/>
  <c r="T103" i="28"/>
  <c r="T97" i="28"/>
  <c r="T114" i="28"/>
  <c r="T116" i="28"/>
  <c r="S134" i="28"/>
  <c r="T233" i="28"/>
  <c r="S71" i="28"/>
  <c r="T137" i="28"/>
  <c r="S189" i="28"/>
  <c r="S360" i="28"/>
  <c r="S8" i="28"/>
  <c r="S206" i="28"/>
  <c r="T143" i="28"/>
  <c r="T182" i="28"/>
  <c r="T164" i="28"/>
  <c r="S159" i="28"/>
  <c r="T163" i="28"/>
  <c r="T353" i="28"/>
  <c r="T104" i="28"/>
  <c r="T45" i="28"/>
  <c r="T140" i="28"/>
  <c r="T354" i="28"/>
  <c r="T83" i="28"/>
  <c r="T224" i="28"/>
  <c r="T220" i="28"/>
  <c r="S38" i="28"/>
  <c r="S176" i="28"/>
  <c r="S171" i="28"/>
  <c r="T50" i="28"/>
  <c r="S201" i="28"/>
  <c r="T198" i="28"/>
  <c r="T174" i="28"/>
  <c r="T90" i="28"/>
  <c r="S70" i="28"/>
  <c r="T115" i="28"/>
  <c r="T93" i="28"/>
  <c r="T130" i="28"/>
  <c r="T68" i="28"/>
  <c r="S75" i="28"/>
  <c r="S203" i="28"/>
  <c r="S179" i="28"/>
  <c r="S186" i="28"/>
  <c r="T39" i="28"/>
  <c r="T207" i="28"/>
  <c r="T240" i="28"/>
  <c r="S341" i="28"/>
  <c r="S69" i="28"/>
  <c r="T133" i="28"/>
  <c r="S168" i="28"/>
  <c r="S91" i="28"/>
  <c r="T344" i="28"/>
  <c r="S89" i="28"/>
  <c r="S161" i="28"/>
  <c r="S16" i="28"/>
  <c r="T321" i="28"/>
  <c r="S172" i="28"/>
  <c r="T178" i="28"/>
  <c r="T336" i="28"/>
  <c r="S87" i="28"/>
  <c r="T59" i="28"/>
  <c r="T226" i="28"/>
  <c r="S343" i="28"/>
  <c r="T64" i="28"/>
  <c r="S74" i="28"/>
  <c r="T43" i="28"/>
  <c r="T241" i="28"/>
  <c r="S180" i="28"/>
  <c r="T215" i="28"/>
  <c r="S205" i="28"/>
  <c r="T195" i="28"/>
  <c r="T200" i="28"/>
  <c r="T150" i="28"/>
  <c r="T225" i="28"/>
  <c r="T214" i="28"/>
  <c r="T35" i="28"/>
  <c r="T111" i="28"/>
  <c r="T173" i="28"/>
  <c r="S10" i="28"/>
  <c r="T34" i="28"/>
  <c r="T6" i="28"/>
  <c r="T58" i="28"/>
  <c r="T82" i="28"/>
  <c r="T212" i="28"/>
  <c r="T335" i="28"/>
  <c r="S62" i="28"/>
  <c r="T106" i="28"/>
  <c r="T30" i="28"/>
  <c r="S121" i="28"/>
  <c r="T204" i="28"/>
  <c r="S94" i="28"/>
  <c r="S127" i="28"/>
  <c r="S333" i="28"/>
  <c r="T193" i="28"/>
  <c r="S52" i="28"/>
  <c r="T124" i="28"/>
  <c r="T57" i="28"/>
  <c r="S219" i="28"/>
  <c r="S92" i="28"/>
  <c r="T185" i="28"/>
  <c r="T95" i="28"/>
  <c r="T187" i="28"/>
  <c r="T346" i="28"/>
  <c r="S139" i="28"/>
  <c r="S334" i="28"/>
  <c r="T76" i="28"/>
  <c r="S345" i="28"/>
  <c r="T192" i="28"/>
  <c r="T152" i="28"/>
  <c r="S327" i="28"/>
  <c r="S357" i="28"/>
  <c r="T146" i="28"/>
  <c r="T190" i="28"/>
  <c r="S183" i="28"/>
  <c r="T51" i="28"/>
  <c r="T338" i="28"/>
  <c r="T355" i="28"/>
  <c r="T145" i="28"/>
  <c r="T322" i="28"/>
  <c r="T197" i="28"/>
  <c r="S331" i="28"/>
  <c r="T32" i="28"/>
  <c r="T324" i="28"/>
  <c r="T208" i="28"/>
  <c r="T81" i="28"/>
  <c r="T160" i="28"/>
  <c r="S56" i="28"/>
  <c r="S73" i="28"/>
  <c r="S99" i="28"/>
  <c r="T138" i="28"/>
  <c r="T129" i="28"/>
  <c r="T31" i="28"/>
  <c r="T46" i="28"/>
  <c r="T117" i="28"/>
  <c r="T108" i="28"/>
  <c r="T221" i="28"/>
  <c r="T228" i="28"/>
  <c r="T154" i="28"/>
  <c r="T42" i="28"/>
  <c r="T37" i="28"/>
  <c r="T28" i="28"/>
  <c r="T149" i="28"/>
  <c r="T328" i="28"/>
  <c r="S151" i="28"/>
  <c r="T98" i="28"/>
  <c r="T337" i="28"/>
  <c r="T41" i="28"/>
  <c r="T112" i="28"/>
  <c r="S213" i="28"/>
  <c r="T15" i="28"/>
  <c r="S72" i="28"/>
  <c r="T237" i="28"/>
  <c r="S181" i="28"/>
  <c r="S11" i="28"/>
  <c r="T144" i="28"/>
  <c r="S54" i="28"/>
  <c r="S36" i="28"/>
  <c r="S165" i="28"/>
  <c r="S227" i="28"/>
  <c r="S340" i="28"/>
  <c r="S191" i="28"/>
  <c r="T77" i="28"/>
  <c r="T49" i="28"/>
  <c r="S358" i="28"/>
  <c r="T167" i="28"/>
  <c r="S347" i="28"/>
  <c r="S25" i="28"/>
  <c r="T351" i="28"/>
  <c r="S210" i="28"/>
  <c r="T85" i="28"/>
  <c r="T79" i="28"/>
  <c r="T113" i="28"/>
  <c r="T148" i="28"/>
  <c r="S194" i="28"/>
  <c r="T350" i="28"/>
  <c r="T141" i="28"/>
  <c r="T131" i="28"/>
  <c r="S238" i="28"/>
  <c r="T339" i="28"/>
  <c r="T184" i="28"/>
  <c r="S326" i="28"/>
  <c r="T188" i="28"/>
  <c r="T169" i="28"/>
  <c r="T55" i="28"/>
  <c r="T120" i="28"/>
  <c r="T166" i="28"/>
  <c r="S88" i="28"/>
  <c r="T60" i="28"/>
  <c r="S23" i="28"/>
  <c r="T100" i="28"/>
  <c r="S216" i="28"/>
  <c r="T236" i="28"/>
  <c r="S24" i="28"/>
  <c r="T142" i="28"/>
  <c r="T349" i="28"/>
  <c r="T147" i="28"/>
  <c r="T199" i="28"/>
  <c r="S217" i="28"/>
  <c r="S135" i="28"/>
  <c r="T218" i="28"/>
  <c r="T342" i="28"/>
  <c r="S63" i="28"/>
  <c r="T153" i="28"/>
  <c r="T332" i="28"/>
  <c r="T105" i="28"/>
  <c r="T235" i="28"/>
  <c r="T53" i="28"/>
  <c r="T156" i="28"/>
  <c r="T231" i="28"/>
  <c r="T61" i="28"/>
  <c r="S67" i="28"/>
  <c r="T125" i="28"/>
  <c r="T80" i="28"/>
  <c r="T118" i="28"/>
  <c r="S177" i="28"/>
  <c r="T348" i="28"/>
  <c r="S323" i="28"/>
  <c r="T232" i="28"/>
  <c r="T66" i="28"/>
  <c r="T119" i="28"/>
  <c r="S325" i="28"/>
  <c r="S126" i="28"/>
  <c r="S158" i="28"/>
  <c r="T78" i="28"/>
  <c r="S47" i="28"/>
  <c r="T319" i="28"/>
  <c r="T48" i="28"/>
  <c r="S40" i="28"/>
  <c r="S352" i="28"/>
  <c r="T33" i="28"/>
  <c r="S7" i="28"/>
  <c r="T8" i="28"/>
  <c r="T44" i="28"/>
  <c r="S44" i="28"/>
  <c r="S86" i="28"/>
  <c r="T86" i="28"/>
  <c r="T84" i="28"/>
  <c r="S320" i="28"/>
  <c r="T320" i="28"/>
  <c r="S202" i="28"/>
  <c r="T202" i="28"/>
  <c r="T12" i="28"/>
  <c r="S12" i="28"/>
  <c r="T14" i="28"/>
  <c r="S14" i="28"/>
  <c r="T13" i="28"/>
  <c r="S317" i="28"/>
  <c r="T317" i="28"/>
  <c r="S65" i="28"/>
  <c r="T65" i="28"/>
  <c r="T101" i="28"/>
  <c r="S101" i="28"/>
  <c r="S175" i="28"/>
  <c r="T175" i="28"/>
  <c r="T170" i="28"/>
  <c r="S170" i="28"/>
  <c r="S29" i="28"/>
  <c r="T29" i="28"/>
  <c r="S9" i="28"/>
  <c r="T9" i="28"/>
  <c r="S136" i="28"/>
  <c r="T136" i="28"/>
  <c r="S17" i="28"/>
  <c r="T17" i="28"/>
  <c r="S18" i="28"/>
  <c r="T18" i="28"/>
  <c r="S27" i="28"/>
  <c r="T27" i="28"/>
  <c r="S318" i="28"/>
  <c r="T318" i="28"/>
  <c r="S26" i="28"/>
  <c r="T26" i="28"/>
  <c r="R282" i="75"/>
  <c r="S282" i="75" s="1"/>
  <c r="BR282" i="75"/>
  <c r="R380" i="28" l="1"/>
  <c r="Y282" i="75"/>
  <c r="Z282" i="75"/>
  <c r="BD4" i="75" l="1"/>
  <c r="BR194" i="75" l="1"/>
  <c r="R194" i="75"/>
  <c r="S194" i="75" s="1"/>
  <c r="BR511" i="75"/>
  <c r="BR512" i="75"/>
  <c r="BR243" i="75"/>
  <c r="BR244" i="75"/>
  <c r="BR242" i="75"/>
  <c r="BR25" i="75"/>
  <c r="BR26" i="75"/>
  <c r="BR48" i="75"/>
  <c r="BR290" i="75"/>
  <c r="BR291" i="75"/>
  <c r="BR292" i="75"/>
  <c r="BR293" i="75"/>
  <c r="BR294" i="75"/>
  <c r="BR331" i="75"/>
  <c r="BR332" i="75"/>
  <c r="BR333" i="75"/>
  <c r="BR334" i="75"/>
  <c r="BR335" i="75"/>
  <c r="BR336" i="75"/>
  <c r="BR341" i="75"/>
  <c r="BR295" i="75"/>
  <c r="BR296" i="75"/>
  <c r="BR297" i="75"/>
  <c r="BR298" i="75"/>
  <c r="BR49" i="75"/>
  <c r="BR299" i="75"/>
  <c r="BR50" i="75"/>
  <c r="BR300" i="75"/>
  <c r="BR51" i="75"/>
  <c r="BR301" i="75"/>
  <c r="BR302" i="75"/>
  <c r="BR303" i="75"/>
  <c r="BR304" i="75"/>
  <c r="BR305" i="75"/>
  <c r="BR306" i="75"/>
  <c r="BR307" i="75"/>
  <c r="BR308" i="75"/>
  <c r="BR53" i="75"/>
  <c r="BR309" i="75"/>
  <c r="BR310" i="75"/>
  <c r="BR311" i="75"/>
  <c r="BR312" i="75"/>
  <c r="BR313" i="75"/>
  <c r="BR314" i="75"/>
  <c r="BR315" i="75"/>
  <c r="BR316" i="75"/>
  <c r="BR317" i="75"/>
  <c r="BR318" i="75"/>
  <c r="BR319" i="75"/>
  <c r="BR60" i="75"/>
  <c r="BR320" i="75"/>
  <c r="BR321" i="75"/>
  <c r="BR322" i="75"/>
  <c r="BR323" i="75"/>
  <c r="BR324" i="75"/>
  <c r="BR325" i="75"/>
  <c r="BR326" i="75"/>
  <c r="BR327" i="75"/>
  <c r="BR328" i="75"/>
  <c r="BR67" i="75"/>
  <c r="BR68" i="75"/>
  <c r="BR72" i="75"/>
  <c r="BR329" i="75"/>
  <c r="BR330" i="75"/>
  <c r="BR537" i="75"/>
  <c r="BR192" i="75"/>
  <c r="BR530" i="75"/>
  <c r="BR531" i="75"/>
  <c r="BR249" i="75"/>
  <c r="BR250" i="75"/>
  <c r="BR251" i="75"/>
  <c r="BR252" i="75"/>
  <c r="BR253" i="75"/>
  <c r="BR75" i="75"/>
  <c r="BR76" i="75"/>
  <c r="BR77" i="75"/>
  <c r="BR78" i="75"/>
  <c r="BR524" i="75"/>
  <c r="BR525" i="75"/>
  <c r="BR526" i="75"/>
  <c r="BR527" i="75"/>
  <c r="BR528" i="75"/>
  <c r="BR2" i="75"/>
  <c r="BR3" i="75"/>
  <c r="BR283" i="75"/>
  <c r="BR5" i="75"/>
  <c r="BR6" i="75"/>
  <c r="BR8" i="75"/>
  <c r="BR9" i="75"/>
  <c r="BR10" i="75"/>
  <c r="BR11" i="75"/>
  <c r="BR12" i="75"/>
  <c r="BR13" i="75"/>
  <c r="BR14" i="75"/>
  <c r="BR16" i="75"/>
  <c r="BR17" i="75"/>
  <c r="BR18" i="75"/>
  <c r="BR19" i="75"/>
  <c r="BR20" i="75"/>
  <c r="BR21" i="75"/>
  <c r="BR22" i="75"/>
  <c r="BR23" i="75"/>
  <c r="BR24" i="75"/>
  <c r="BR79" i="75"/>
  <c r="BR80" i="75"/>
  <c r="BR27" i="75"/>
  <c r="BR28" i="75"/>
  <c r="BR29" i="75"/>
  <c r="BR30" i="75"/>
  <c r="BR85" i="75"/>
  <c r="BR91" i="75"/>
  <c r="BR32" i="75"/>
  <c r="BR33" i="75"/>
  <c r="BR93" i="75"/>
  <c r="BR94" i="75"/>
  <c r="BR35" i="75"/>
  <c r="BR36" i="75"/>
  <c r="BR37" i="75"/>
  <c r="BR38" i="75"/>
  <c r="BR39" i="75"/>
  <c r="BR40" i="75"/>
  <c r="BR41" i="75"/>
  <c r="BR42" i="75"/>
  <c r="BR95" i="75"/>
  <c r="BR44" i="75"/>
  <c r="BR45" i="75"/>
  <c r="BR46" i="75"/>
  <c r="BR47" i="75"/>
  <c r="BR101" i="75"/>
  <c r="BR102" i="75"/>
  <c r="BR198" i="75"/>
  <c r="BR208" i="75"/>
  <c r="BR52" i="75"/>
  <c r="BR209" i="75"/>
  <c r="BR54" i="75"/>
  <c r="BR55" i="75"/>
  <c r="BR56" i="75"/>
  <c r="BR285" i="75"/>
  <c r="BR155" i="75"/>
  <c r="BR57" i="75"/>
  <c r="BR58" i="75"/>
  <c r="BR59" i="75"/>
  <c r="BR106" i="75"/>
  <c r="BR61" i="75"/>
  <c r="BR62" i="75"/>
  <c r="BR63" i="75"/>
  <c r="BR64" i="75"/>
  <c r="BR65" i="75"/>
  <c r="BR66" i="75"/>
  <c r="BR108" i="75"/>
  <c r="BR110" i="75"/>
  <c r="BR69" i="75"/>
  <c r="BR70" i="75"/>
  <c r="BR71" i="75"/>
  <c r="BR105" i="75"/>
  <c r="BR73" i="75"/>
  <c r="BR74" i="75"/>
  <c r="BR111" i="75"/>
  <c r="BR113" i="75"/>
  <c r="BR116" i="75"/>
  <c r="BR114" i="75"/>
  <c r="BR139" i="75"/>
  <c r="BR81" i="75"/>
  <c r="BR82" i="75"/>
  <c r="BR83" i="75"/>
  <c r="BR84" i="75"/>
  <c r="BR138" i="75"/>
  <c r="BR86" i="75"/>
  <c r="BR87" i="75"/>
  <c r="BR88" i="75"/>
  <c r="BR89" i="75"/>
  <c r="BR90" i="75"/>
  <c r="BR140" i="75"/>
  <c r="BR92" i="75"/>
  <c r="BR96" i="75"/>
  <c r="BR97" i="75"/>
  <c r="BR98" i="75"/>
  <c r="BR99" i="75"/>
  <c r="BR100" i="75"/>
  <c r="BR148" i="75"/>
  <c r="BR193" i="75"/>
  <c r="BR103" i="75"/>
  <c r="BR199" i="75"/>
  <c r="BR284" i="75"/>
  <c r="BR287" i="75"/>
  <c r="BR200" i="75"/>
  <c r="BR202" i="75"/>
  <c r="BR203" i="75"/>
  <c r="BR288" i="75"/>
  <c r="BR289" i="75"/>
  <c r="BR337" i="75"/>
  <c r="BR338" i="75"/>
  <c r="BR339" i="75"/>
  <c r="BR340" i="75"/>
  <c r="BR286" i="75"/>
  <c r="BR204" i="75"/>
  <c r="BR205" i="75"/>
  <c r="BR206" i="75"/>
  <c r="BR207" i="75"/>
  <c r="BR210" i="75"/>
  <c r="BR342" i="75"/>
  <c r="BR211" i="75"/>
  <c r="BR212" i="75"/>
  <c r="BR213" i="75"/>
  <c r="BR214" i="75"/>
  <c r="BR215" i="75"/>
  <c r="BR216" i="75"/>
  <c r="BR217" i="75"/>
  <c r="BR218" i="75"/>
  <c r="BR219" i="75"/>
  <c r="BR220" i="75"/>
  <c r="BR343" i="75"/>
  <c r="BR221" i="75"/>
  <c r="BR222" i="75"/>
  <c r="BR223" i="75"/>
  <c r="BR224" i="75"/>
  <c r="BR225" i="75"/>
  <c r="BR226" i="75"/>
  <c r="BR227" i="75"/>
  <c r="BR228" i="75"/>
  <c r="BR229" i="75"/>
  <c r="BR230" i="75"/>
  <c r="BR231" i="75"/>
  <c r="BR232" i="75"/>
  <c r="BR233" i="75"/>
  <c r="BR234" i="75"/>
  <c r="BR235" i="75"/>
  <c r="BR236" i="75"/>
  <c r="BR237" i="75"/>
  <c r="BR238" i="75"/>
  <c r="BR151" i="75"/>
  <c r="BR153" i="75"/>
  <c r="BR344" i="75"/>
  <c r="BR345" i="75"/>
  <c r="BR157" i="75"/>
  <c r="BR158" i="75"/>
  <c r="BR160" i="75"/>
  <c r="BR161" i="75"/>
  <c r="BR162" i="75"/>
  <c r="BR163" i="75"/>
  <c r="BR164" i="75"/>
  <c r="BR165" i="75"/>
  <c r="BR166" i="75"/>
  <c r="BR167" i="75"/>
  <c r="BR168" i="75"/>
  <c r="BR169" i="75"/>
  <c r="BR170" i="75"/>
  <c r="BR171" i="75"/>
  <c r="BR172" i="75"/>
  <c r="BR173" i="75"/>
  <c r="BR174" i="75"/>
  <c r="BR175" i="75"/>
  <c r="BR176" i="75"/>
  <c r="BR177" i="75"/>
  <c r="BR178" i="75"/>
  <c r="BR179" i="75"/>
  <c r="BR180" i="75"/>
  <c r="BR181" i="75"/>
  <c r="BR182" i="75"/>
  <c r="BR183" i="75"/>
  <c r="BR184" i="75"/>
  <c r="BR185" i="75"/>
  <c r="BR186" i="75"/>
  <c r="BR187" i="75"/>
  <c r="BR346" i="75"/>
  <c r="BR196" i="75"/>
  <c r="BR245" i="75"/>
  <c r="BR538" i="75"/>
  <c r="BR539" i="75"/>
  <c r="BR540" i="75"/>
  <c r="BR188" i="75"/>
  <c r="BR189" i="75"/>
  <c r="BR354" i="75"/>
  <c r="BR355" i="75"/>
  <c r="BR356" i="75"/>
  <c r="BR357" i="75"/>
  <c r="BR358" i="75"/>
  <c r="BR359" i="75"/>
  <c r="BR360" i="75"/>
  <c r="BR361" i="75"/>
  <c r="BR362" i="75"/>
  <c r="BR363" i="75"/>
  <c r="BR31" i="75"/>
  <c r="BR364" i="75"/>
  <c r="BR34" i="75"/>
  <c r="BR43" i="75"/>
  <c r="BR365" i="75"/>
  <c r="BR366" i="75"/>
  <c r="BR201" i="75"/>
  <c r="BR367" i="75"/>
  <c r="BR368" i="75"/>
  <c r="BR369" i="75"/>
  <c r="BR370" i="75"/>
  <c r="BR371" i="75"/>
  <c r="BR372" i="75"/>
  <c r="BR373" i="75"/>
  <c r="BR374" i="75"/>
  <c r="BR375" i="75"/>
  <c r="BR376" i="75"/>
  <c r="BR377" i="75"/>
  <c r="BR378" i="75"/>
  <c r="BR379" i="75"/>
  <c r="BR380" i="75"/>
  <c r="BR381" i="75"/>
  <c r="BR382" i="75"/>
  <c r="BR383" i="75"/>
  <c r="BR384" i="75"/>
  <c r="BR385" i="75"/>
  <c r="BR386" i="75"/>
  <c r="BR387" i="75"/>
  <c r="BR154" i="75"/>
  <c r="BR388" i="75"/>
  <c r="BR389" i="75"/>
  <c r="BR390" i="75"/>
  <c r="BR391" i="75"/>
  <c r="BR392" i="75"/>
  <c r="BR514" i="75"/>
  <c r="BR393" i="75"/>
  <c r="BR394" i="75"/>
  <c r="BR395" i="75"/>
  <c r="BR396" i="75"/>
  <c r="BR397" i="75"/>
  <c r="BR398" i="75"/>
  <c r="BR399" i="75"/>
  <c r="BR400" i="75"/>
  <c r="BR401" i="75"/>
  <c r="BR402" i="75"/>
  <c r="BR403" i="75"/>
  <c r="BR404" i="75"/>
  <c r="BR405" i="75"/>
  <c r="BR406" i="75"/>
  <c r="BR407" i="75"/>
  <c r="BR408" i="75"/>
  <c r="BR409" i="75"/>
  <c r="BR410" i="75"/>
  <c r="BR411" i="75"/>
  <c r="BR412" i="75"/>
  <c r="BR413" i="75"/>
  <c r="BR414" i="75"/>
  <c r="BR415" i="75"/>
  <c r="BR416" i="75"/>
  <c r="BR417" i="75"/>
  <c r="BR418" i="75"/>
  <c r="BR419" i="75"/>
  <c r="BR420" i="75"/>
  <c r="BR421" i="75"/>
  <c r="BR422" i="75"/>
  <c r="BR423" i="75"/>
  <c r="BR424" i="75"/>
  <c r="BR425" i="75"/>
  <c r="BR426" i="75"/>
  <c r="BR427" i="75"/>
  <c r="BR428" i="75"/>
  <c r="BR429" i="75"/>
  <c r="BR430" i="75"/>
  <c r="BR431" i="75"/>
  <c r="BR432" i="75"/>
  <c r="BR433" i="75"/>
  <c r="BR434" i="75"/>
  <c r="BR435" i="75"/>
  <c r="BR436" i="75"/>
  <c r="BR437" i="75"/>
  <c r="BR438" i="75"/>
  <c r="BR439" i="75"/>
  <c r="BR440" i="75"/>
  <c r="BR441" i="75"/>
  <c r="BR442" i="75"/>
  <c r="BR443" i="75"/>
  <c r="BR444" i="75"/>
  <c r="BR445" i="75"/>
  <c r="BR446" i="75"/>
  <c r="BR447" i="75"/>
  <c r="BR448" i="75"/>
  <c r="BR449" i="75"/>
  <c r="BR450" i="75"/>
  <c r="BR451" i="75"/>
  <c r="BR452" i="75"/>
  <c r="BR453" i="75"/>
  <c r="BR454" i="75"/>
  <c r="BR455" i="75"/>
  <c r="BR456" i="75"/>
  <c r="BR457" i="75"/>
  <c r="BR458" i="75"/>
  <c r="BR459" i="75"/>
  <c r="BR460" i="75"/>
  <c r="BR461" i="75"/>
  <c r="BR462" i="75"/>
  <c r="BR463" i="75"/>
  <c r="BR464" i="75"/>
  <c r="BR465" i="75"/>
  <c r="BR466" i="75"/>
  <c r="BR467" i="75"/>
  <c r="BR468" i="75"/>
  <c r="BR469" i="75"/>
  <c r="BR470" i="75"/>
  <c r="BR471" i="75"/>
  <c r="BR472" i="75"/>
  <c r="BR473" i="75"/>
  <c r="BR474" i="75"/>
  <c r="BR475" i="75"/>
  <c r="BR476" i="75"/>
  <c r="BR477" i="75"/>
  <c r="BR478" i="75"/>
  <c r="BR479" i="75"/>
  <c r="BR480" i="75"/>
  <c r="BR481" i="75"/>
  <c r="BR482" i="75"/>
  <c r="BR483" i="75"/>
  <c r="BR484" i="75"/>
  <c r="BR485" i="75"/>
  <c r="BR486" i="75"/>
  <c r="BR487" i="75"/>
  <c r="BR488" i="75"/>
  <c r="BR489" i="75"/>
  <c r="BR490" i="75"/>
  <c r="BR491" i="75"/>
  <c r="BR492" i="75"/>
  <c r="BR493" i="75"/>
  <c r="BR494" i="75"/>
  <c r="BR515" i="75"/>
  <c r="BR516" i="75"/>
  <c r="BR517" i="75"/>
  <c r="BR518" i="75"/>
  <c r="BR519" i="75"/>
  <c r="BR520" i="75"/>
  <c r="BR521" i="75"/>
  <c r="BR522" i="75"/>
  <c r="BR495" i="75"/>
  <c r="BR496" i="75"/>
  <c r="BR533" i="75"/>
  <c r="BR534" i="75"/>
  <c r="BR535" i="75"/>
  <c r="BR197" i="75"/>
  <c r="BR239" i="75"/>
  <c r="BR240" i="75"/>
  <c r="BR246" i="75"/>
  <c r="BR195" i="75"/>
  <c r="BR107" i="75"/>
  <c r="BR104" i="75"/>
  <c r="BR109" i="75"/>
  <c r="BR497" i="75"/>
  <c r="BR498" i="75"/>
  <c r="BR499" i="75"/>
  <c r="BR500" i="75"/>
  <c r="BR501" i="75"/>
  <c r="BR112" i="75"/>
  <c r="BR121" i="75"/>
  <c r="BR122" i="75"/>
  <c r="BR119" i="75"/>
  <c r="BR117" i="75"/>
  <c r="BR118" i="75"/>
  <c r="BR502" i="75"/>
  <c r="BR131" i="75"/>
  <c r="BR129" i="75"/>
  <c r="BR126" i="75"/>
  <c r="BR125" i="75"/>
  <c r="BR124" i="75"/>
  <c r="BR123" i="75"/>
  <c r="BR503" i="75"/>
  <c r="BR120" i="75"/>
  <c r="BR504" i="75"/>
  <c r="BR115" i="75"/>
  <c r="BR132" i="75"/>
  <c r="BR127" i="75"/>
  <c r="BR128" i="75"/>
  <c r="BR130" i="75"/>
  <c r="BR134" i="75"/>
  <c r="BR133" i="75"/>
  <c r="BR135" i="75"/>
  <c r="BR513" i="75"/>
  <c r="BR505" i="75"/>
  <c r="BR506" i="75"/>
  <c r="BR507" i="75"/>
  <c r="BR508" i="75"/>
  <c r="BR137" i="75"/>
  <c r="BR136" i="75"/>
  <c r="BR144" i="75"/>
  <c r="BR142" i="75"/>
  <c r="BR143" i="75"/>
  <c r="BR141" i="75"/>
  <c r="BR509" i="75"/>
  <c r="BR510" i="75"/>
  <c r="BR523" i="75"/>
  <c r="BR532" i="75"/>
  <c r="BR145" i="75"/>
  <c r="BR146" i="75"/>
  <c r="BR147" i="75"/>
  <c r="Z194" i="75" l="1"/>
  <c r="Y194" i="75"/>
  <c r="AR963" i="76"/>
  <c r="AQ963" i="76" s="1"/>
  <c r="AR962" i="76"/>
  <c r="AQ962" i="76" s="1"/>
  <c r="AH962" i="76"/>
  <c r="AW962" i="76" s="1"/>
  <c r="AR961" i="76"/>
  <c r="AQ961" i="76" s="1"/>
  <c r="AH961" i="76"/>
  <c r="AW961" i="76" s="1"/>
  <c r="AR960" i="76"/>
  <c r="AQ960" i="76" s="1"/>
  <c r="AH960" i="76"/>
  <c r="AW960" i="76" s="1"/>
  <c r="AR959" i="76"/>
  <c r="AQ959" i="76" s="1"/>
  <c r="AH959" i="76"/>
  <c r="AW959" i="76" s="1"/>
  <c r="AR958" i="76"/>
  <c r="AQ958" i="76" s="1"/>
  <c r="AH958" i="76"/>
  <c r="AW958" i="76" s="1"/>
  <c r="AR957" i="76"/>
  <c r="AQ957" i="76" s="1"/>
  <c r="AH957" i="76"/>
  <c r="AW957" i="76" s="1"/>
  <c r="AR956" i="76"/>
  <c r="AQ956" i="76" s="1"/>
  <c r="AH956" i="76"/>
  <c r="AW956" i="76" s="1"/>
  <c r="AR955" i="76"/>
  <c r="AQ955" i="76" s="1"/>
  <c r="AH955" i="76"/>
  <c r="AW955" i="76" s="1"/>
  <c r="AR954" i="76"/>
  <c r="AQ954" i="76" s="1"/>
  <c r="AH954" i="76"/>
  <c r="AW954" i="76" s="1"/>
  <c r="AR953" i="76"/>
  <c r="AQ953" i="76" s="1"/>
  <c r="AH953" i="76"/>
  <c r="AW953" i="76" s="1"/>
  <c r="AR952" i="76"/>
  <c r="AQ952" i="76" s="1"/>
  <c r="AH952" i="76"/>
  <c r="AW952" i="76" s="1"/>
  <c r="AR951" i="76"/>
  <c r="AQ951" i="76" s="1"/>
  <c r="AH951" i="76"/>
  <c r="AW951" i="76" s="1"/>
  <c r="AH950" i="76"/>
  <c r="AW950" i="76" s="1"/>
  <c r="AH949" i="76"/>
  <c r="AW949" i="76" s="1"/>
  <c r="AR948" i="76"/>
  <c r="AQ948" i="76" s="1"/>
  <c r="AH948" i="76"/>
  <c r="AW948" i="76" s="1"/>
  <c r="AR947" i="76"/>
  <c r="AQ947" i="76" s="1"/>
  <c r="AH947" i="76"/>
  <c r="AW947" i="76" s="1"/>
  <c r="AH946" i="76"/>
  <c r="AW946" i="76" s="1"/>
  <c r="AH945" i="76"/>
  <c r="AW945" i="76" s="1"/>
  <c r="AH944" i="76"/>
  <c r="AW944" i="76" s="1"/>
  <c r="AH943" i="76"/>
  <c r="AW943" i="76" s="1"/>
  <c r="AH942" i="76"/>
  <c r="AW942" i="76" s="1"/>
  <c r="AH941" i="76"/>
  <c r="AW941" i="76" s="1"/>
  <c r="AH940" i="76"/>
  <c r="AW940" i="76" s="1"/>
  <c r="AH939" i="76"/>
  <c r="AW939" i="76" s="1"/>
  <c r="AH938" i="76"/>
  <c r="AW938" i="76" s="1"/>
  <c r="AH937" i="76"/>
  <c r="AW937" i="76" s="1"/>
  <c r="AR936" i="76"/>
  <c r="AQ936" i="76" s="1"/>
  <c r="AH936" i="76"/>
  <c r="AW936" i="76" s="1"/>
  <c r="AR935" i="76"/>
  <c r="AQ935" i="76" s="1"/>
  <c r="AH935" i="76"/>
  <c r="AW935" i="76" s="1"/>
  <c r="AR934" i="76"/>
  <c r="AQ934" i="76" s="1"/>
  <c r="AH934" i="76"/>
  <c r="AW934" i="76" s="1"/>
  <c r="AR933" i="76"/>
  <c r="AQ933" i="76" s="1"/>
  <c r="AH933" i="76"/>
  <c r="AW933" i="76" s="1"/>
  <c r="AR932" i="76"/>
  <c r="AQ932" i="76" s="1"/>
  <c r="AH932" i="76"/>
  <c r="AW932" i="76" s="1"/>
  <c r="AR931" i="76"/>
  <c r="AQ931" i="76" s="1"/>
  <c r="AH931" i="76"/>
  <c r="AW931" i="76" s="1"/>
  <c r="AR930" i="76"/>
  <c r="AQ930" i="76" s="1"/>
  <c r="AH930" i="76"/>
  <c r="AW930" i="76" s="1"/>
  <c r="AR929" i="76"/>
  <c r="AQ929" i="76" s="1"/>
  <c r="AH929" i="76"/>
  <c r="AW929" i="76" s="1"/>
  <c r="AR928" i="76"/>
  <c r="AQ928" i="76" s="1"/>
  <c r="AH928" i="76"/>
  <c r="AW928" i="76" s="1"/>
  <c r="AR927" i="76"/>
  <c r="AQ927" i="76" s="1"/>
  <c r="AH927" i="76"/>
  <c r="AW927" i="76" s="1"/>
  <c r="AR926" i="76"/>
  <c r="AQ926" i="76" s="1"/>
  <c r="AH926" i="76"/>
  <c r="AW926" i="76" s="1"/>
  <c r="AR925" i="76"/>
  <c r="AQ925" i="76" s="1"/>
  <c r="AH925" i="76"/>
  <c r="AW925" i="76" s="1"/>
  <c r="AR924" i="76"/>
  <c r="AQ924" i="76" s="1"/>
  <c r="AH924" i="76"/>
  <c r="AW924" i="76" s="1"/>
  <c r="AR923" i="76"/>
  <c r="AQ923" i="76" s="1"/>
  <c r="AH923" i="76"/>
  <c r="AW923" i="76" s="1"/>
  <c r="AR922" i="76"/>
  <c r="AQ922" i="76" s="1"/>
  <c r="AH922" i="76"/>
  <c r="AW922" i="76" s="1"/>
  <c r="AR921" i="76"/>
  <c r="AQ921" i="76" s="1"/>
  <c r="AH921" i="76"/>
  <c r="AW921" i="76" s="1"/>
  <c r="AR920" i="76"/>
  <c r="AQ920" i="76" s="1"/>
  <c r="AH920" i="76"/>
  <c r="AW920" i="76" s="1"/>
  <c r="AR919" i="76"/>
  <c r="AQ919" i="76" s="1"/>
  <c r="AH919" i="76"/>
  <c r="AW919" i="76" s="1"/>
  <c r="AR918" i="76"/>
  <c r="AQ918" i="76" s="1"/>
  <c r="AH918" i="76"/>
  <c r="AW918" i="76" s="1"/>
  <c r="AR917" i="76"/>
  <c r="AQ917" i="76" s="1"/>
  <c r="AH917" i="76"/>
  <c r="AW917" i="76" s="1"/>
  <c r="AR916" i="76"/>
  <c r="AQ916" i="76" s="1"/>
  <c r="AH916" i="76"/>
  <c r="AW916" i="76" s="1"/>
  <c r="AR915" i="76"/>
  <c r="AQ915" i="76" s="1"/>
  <c r="AH915" i="76"/>
  <c r="AW915" i="76" s="1"/>
  <c r="AR914" i="76"/>
  <c r="AQ914" i="76" s="1"/>
  <c r="AH914" i="76"/>
  <c r="AW914" i="76" s="1"/>
  <c r="AR913" i="76"/>
  <c r="AQ913" i="76" s="1"/>
  <c r="AH913" i="76"/>
  <c r="AW913" i="76" s="1"/>
  <c r="AR912" i="76"/>
  <c r="AQ912" i="76" s="1"/>
  <c r="AH912" i="76"/>
  <c r="AW912" i="76" s="1"/>
  <c r="AR911" i="76"/>
  <c r="AQ911" i="76" s="1"/>
  <c r="AH911" i="76"/>
  <c r="AW911" i="76" s="1"/>
  <c r="AR910" i="76"/>
  <c r="AQ910" i="76" s="1"/>
  <c r="AH910" i="76"/>
  <c r="AW910" i="76" s="1"/>
  <c r="AR909" i="76"/>
  <c r="AQ909" i="76" s="1"/>
  <c r="AH909" i="76"/>
  <c r="AW909" i="76" s="1"/>
  <c r="AR908" i="76"/>
  <c r="AQ908" i="76" s="1"/>
  <c r="AH908" i="76"/>
  <c r="AW908" i="76" s="1"/>
  <c r="AR907" i="76"/>
  <c r="AQ907" i="76" s="1"/>
  <c r="AH907" i="76"/>
  <c r="AW907" i="76" s="1"/>
  <c r="AR906" i="76"/>
  <c r="AQ906" i="76" s="1"/>
  <c r="AH906" i="76"/>
  <c r="AW906" i="76" s="1"/>
  <c r="AR905" i="76"/>
  <c r="AQ905" i="76" s="1"/>
  <c r="AH905" i="76"/>
  <c r="AW905" i="76" s="1"/>
  <c r="AR904" i="76"/>
  <c r="AQ904" i="76" s="1"/>
  <c r="AH904" i="76"/>
  <c r="AW904" i="76" s="1"/>
  <c r="AR903" i="76"/>
  <c r="AQ903" i="76" s="1"/>
  <c r="AH903" i="76"/>
  <c r="AW903" i="76" s="1"/>
  <c r="AR902" i="76"/>
  <c r="AQ902" i="76" s="1"/>
  <c r="AH902" i="76"/>
  <c r="AW902" i="76" s="1"/>
  <c r="AR901" i="76"/>
  <c r="AQ901" i="76" s="1"/>
  <c r="AH901" i="76"/>
  <c r="AW901" i="76" s="1"/>
  <c r="AR900" i="76"/>
  <c r="AQ900" i="76" s="1"/>
  <c r="AH900" i="76"/>
  <c r="AW900" i="76" s="1"/>
  <c r="AR899" i="76"/>
  <c r="AQ899" i="76" s="1"/>
  <c r="AH899" i="76"/>
  <c r="AW899" i="76" s="1"/>
  <c r="AR898" i="76"/>
  <c r="AQ898" i="76" s="1"/>
  <c r="AH898" i="76"/>
  <c r="AW898" i="76" s="1"/>
  <c r="AR897" i="76"/>
  <c r="AQ897" i="76" s="1"/>
  <c r="AH897" i="76"/>
  <c r="AW897" i="76" s="1"/>
  <c r="AR896" i="76"/>
  <c r="AQ896" i="76" s="1"/>
  <c r="AH896" i="76"/>
  <c r="AW896" i="76" s="1"/>
  <c r="AR895" i="76"/>
  <c r="AQ895" i="76" s="1"/>
  <c r="AH895" i="76"/>
  <c r="AW895" i="76" s="1"/>
  <c r="AR894" i="76"/>
  <c r="AQ894" i="76" s="1"/>
  <c r="AH894" i="76"/>
  <c r="AW894" i="76" s="1"/>
  <c r="AR893" i="76"/>
  <c r="AQ893" i="76" s="1"/>
  <c r="AH893" i="76"/>
  <c r="AW893" i="76" s="1"/>
  <c r="AR892" i="76"/>
  <c r="AQ892" i="76" s="1"/>
  <c r="AH892" i="76"/>
  <c r="AW892" i="76" s="1"/>
  <c r="AR891" i="76"/>
  <c r="AQ891" i="76" s="1"/>
  <c r="AH891" i="76"/>
  <c r="AW891" i="76" s="1"/>
  <c r="AR890" i="76"/>
  <c r="AQ890" i="76" s="1"/>
  <c r="AH890" i="76"/>
  <c r="AW890" i="76" s="1"/>
  <c r="AR889" i="76"/>
  <c r="AQ889" i="76" s="1"/>
  <c r="AH889" i="76"/>
  <c r="AW889" i="76" s="1"/>
  <c r="AR888" i="76"/>
  <c r="AQ888" i="76" s="1"/>
  <c r="AH888" i="76"/>
  <c r="AW888" i="76" s="1"/>
  <c r="AR887" i="76"/>
  <c r="AQ887" i="76" s="1"/>
  <c r="AH887" i="76"/>
  <c r="AW887" i="76" s="1"/>
  <c r="AR886" i="76"/>
  <c r="AQ886" i="76" s="1"/>
  <c r="AH886" i="76"/>
  <c r="AW886" i="76" s="1"/>
  <c r="AR885" i="76"/>
  <c r="AQ885" i="76" s="1"/>
  <c r="AH885" i="76"/>
  <c r="AW885" i="76" s="1"/>
  <c r="AH884" i="76"/>
  <c r="AW884" i="76" s="1"/>
  <c r="AR883" i="76"/>
  <c r="AQ883" i="76" s="1"/>
  <c r="AH883" i="76"/>
  <c r="AW883" i="76" s="1"/>
  <c r="AR882" i="76"/>
  <c r="AQ882" i="76" s="1"/>
  <c r="AH882" i="76"/>
  <c r="AW882" i="76" s="1"/>
  <c r="AH881" i="76"/>
  <c r="AW881" i="76" s="1"/>
  <c r="AR880" i="76"/>
  <c r="AQ880" i="76" s="1"/>
  <c r="AH880" i="76"/>
  <c r="AW880" i="76" s="1"/>
  <c r="AR879" i="76"/>
  <c r="AQ879" i="76" s="1"/>
  <c r="AH879" i="76"/>
  <c r="AW879" i="76" s="1"/>
  <c r="AR878" i="76"/>
  <c r="AQ878" i="76" s="1"/>
  <c r="AH878" i="76"/>
  <c r="AW878" i="76" s="1"/>
  <c r="AR877" i="76"/>
  <c r="AQ877" i="76" s="1"/>
  <c r="AH877" i="76"/>
  <c r="AW877" i="76" s="1"/>
  <c r="AR876" i="76"/>
  <c r="AQ876" i="76" s="1"/>
  <c r="AH876" i="76"/>
  <c r="AW876" i="76" s="1"/>
  <c r="AR875" i="76"/>
  <c r="AQ875" i="76" s="1"/>
  <c r="AH875" i="76"/>
  <c r="AW875" i="76" s="1"/>
  <c r="AR874" i="76"/>
  <c r="AQ874" i="76" s="1"/>
  <c r="AH874" i="76"/>
  <c r="AW874" i="76" s="1"/>
  <c r="AR873" i="76"/>
  <c r="AQ873" i="76" s="1"/>
  <c r="AH873" i="76"/>
  <c r="AW873" i="76" s="1"/>
  <c r="AR872" i="76"/>
  <c r="AQ872" i="76" s="1"/>
  <c r="AH872" i="76"/>
  <c r="AW872" i="76" s="1"/>
  <c r="AR871" i="76"/>
  <c r="AQ871" i="76" s="1"/>
  <c r="AH871" i="76"/>
  <c r="AW871" i="76" s="1"/>
  <c r="AR870" i="76"/>
  <c r="AQ870" i="76" s="1"/>
  <c r="AH870" i="76"/>
  <c r="AW870" i="76" s="1"/>
  <c r="AR869" i="76"/>
  <c r="AQ869" i="76" s="1"/>
  <c r="AH869" i="76"/>
  <c r="AW869" i="76" s="1"/>
  <c r="AR868" i="76"/>
  <c r="AQ868" i="76" s="1"/>
  <c r="AH868" i="76"/>
  <c r="AW868" i="76" s="1"/>
  <c r="AR867" i="76"/>
  <c r="AQ867" i="76" s="1"/>
  <c r="AH867" i="76"/>
  <c r="AW867" i="76" s="1"/>
  <c r="AR866" i="76"/>
  <c r="AQ866" i="76" s="1"/>
  <c r="AH866" i="76"/>
  <c r="AW866" i="76" s="1"/>
  <c r="AR865" i="76"/>
  <c r="AQ865" i="76" s="1"/>
  <c r="AH865" i="76"/>
  <c r="AW865" i="76" s="1"/>
  <c r="AR864" i="76"/>
  <c r="AQ864" i="76" s="1"/>
  <c r="AH864" i="76"/>
  <c r="AW864" i="76" s="1"/>
  <c r="AR863" i="76"/>
  <c r="AQ863" i="76" s="1"/>
  <c r="AH863" i="76"/>
  <c r="AW863" i="76" s="1"/>
  <c r="AR862" i="76"/>
  <c r="AQ862" i="76" s="1"/>
  <c r="AH862" i="76"/>
  <c r="AW862" i="76" s="1"/>
  <c r="AR861" i="76"/>
  <c r="AQ861" i="76" s="1"/>
  <c r="AH861" i="76"/>
  <c r="AW861" i="76" s="1"/>
  <c r="AR860" i="76"/>
  <c r="AQ860" i="76" s="1"/>
  <c r="AH860" i="76"/>
  <c r="AW860" i="76" s="1"/>
  <c r="AR859" i="76"/>
  <c r="AQ859" i="76" s="1"/>
  <c r="AH859" i="76"/>
  <c r="AW859" i="76" s="1"/>
  <c r="AR858" i="76"/>
  <c r="AQ858" i="76" s="1"/>
  <c r="AH858" i="76"/>
  <c r="AW858" i="76" s="1"/>
  <c r="AR857" i="76"/>
  <c r="AQ857" i="76" s="1"/>
  <c r="AH857" i="76"/>
  <c r="AW857" i="76" s="1"/>
  <c r="AR856" i="76"/>
  <c r="AQ856" i="76" s="1"/>
  <c r="AH856" i="76"/>
  <c r="AW856" i="76" s="1"/>
  <c r="AR855" i="76"/>
  <c r="AQ855" i="76" s="1"/>
  <c r="AH855" i="76"/>
  <c r="AW855" i="76" s="1"/>
  <c r="AR854" i="76"/>
  <c r="AQ854" i="76" s="1"/>
  <c r="AH854" i="76"/>
  <c r="AW854" i="76" s="1"/>
  <c r="AR853" i="76"/>
  <c r="AQ853" i="76" s="1"/>
  <c r="AH853" i="76"/>
  <c r="AW853" i="76" s="1"/>
  <c r="AR852" i="76"/>
  <c r="AQ852" i="76" s="1"/>
  <c r="AH852" i="76"/>
  <c r="AW852" i="76" s="1"/>
  <c r="AR851" i="76"/>
  <c r="AQ851" i="76" s="1"/>
  <c r="AH851" i="76"/>
  <c r="AW851" i="76" s="1"/>
  <c r="AR850" i="76"/>
  <c r="AQ850" i="76" s="1"/>
  <c r="AH850" i="76"/>
  <c r="AW850" i="76" s="1"/>
  <c r="AR849" i="76"/>
  <c r="AQ849" i="76" s="1"/>
  <c r="AH849" i="76"/>
  <c r="AW849" i="76" s="1"/>
  <c r="AR848" i="76"/>
  <c r="AQ848" i="76" s="1"/>
  <c r="AH848" i="76"/>
  <c r="AW848" i="76" s="1"/>
  <c r="AR847" i="76"/>
  <c r="AQ847" i="76" s="1"/>
  <c r="AH847" i="76"/>
  <c r="AW847" i="76" s="1"/>
  <c r="AR846" i="76"/>
  <c r="AQ846" i="76" s="1"/>
  <c r="AH846" i="76"/>
  <c r="AW846" i="76" s="1"/>
  <c r="AR845" i="76"/>
  <c r="AQ845" i="76" s="1"/>
  <c r="AH845" i="76"/>
  <c r="AW845" i="76" s="1"/>
  <c r="AR844" i="76"/>
  <c r="AQ844" i="76" s="1"/>
  <c r="AH844" i="76"/>
  <c r="AW844" i="76" s="1"/>
  <c r="AR843" i="76"/>
  <c r="AQ843" i="76" s="1"/>
  <c r="AH843" i="76"/>
  <c r="AW843" i="76" s="1"/>
  <c r="AR842" i="76"/>
  <c r="AQ842" i="76" s="1"/>
  <c r="AH842" i="76"/>
  <c r="AW842" i="76" s="1"/>
  <c r="AR841" i="76"/>
  <c r="AQ841" i="76" s="1"/>
  <c r="AH841" i="76"/>
  <c r="AW841" i="76" s="1"/>
  <c r="AR840" i="76"/>
  <c r="AQ840" i="76" s="1"/>
  <c r="AH840" i="76"/>
  <c r="AW840" i="76" s="1"/>
  <c r="AR839" i="76"/>
  <c r="AQ839" i="76" s="1"/>
  <c r="AH839" i="76"/>
  <c r="AW839" i="76" s="1"/>
  <c r="AR838" i="76"/>
  <c r="AQ838" i="76" s="1"/>
  <c r="AH838" i="76"/>
  <c r="AW838" i="76" s="1"/>
  <c r="AR836" i="76"/>
  <c r="AQ836" i="76" s="1"/>
  <c r="AH836" i="76"/>
  <c r="AW836" i="76" s="1"/>
  <c r="AR834" i="76"/>
  <c r="AQ834" i="76" s="1"/>
  <c r="AH834" i="76"/>
  <c r="AW834" i="76" s="1"/>
  <c r="AR833" i="76"/>
  <c r="AQ833" i="76" s="1"/>
  <c r="AH833" i="76"/>
  <c r="AW833" i="76" s="1"/>
  <c r="AR832" i="76"/>
  <c r="AQ832" i="76" s="1"/>
  <c r="AH832" i="76"/>
  <c r="AW832" i="76" s="1"/>
  <c r="AR826" i="76"/>
  <c r="AQ826" i="76" s="1"/>
  <c r="AH826" i="76"/>
  <c r="AW826" i="76" s="1"/>
  <c r="AR824" i="76"/>
  <c r="AQ824" i="76" s="1"/>
  <c r="AH824" i="76"/>
  <c r="AW824" i="76" s="1"/>
  <c r="AR822" i="76"/>
  <c r="AQ822" i="76" s="1"/>
  <c r="AH822" i="76"/>
  <c r="AW822" i="76" s="1"/>
  <c r="AR821" i="76"/>
  <c r="AQ821" i="76" s="1"/>
  <c r="AH821" i="76"/>
  <c r="AW821" i="76" s="1"/>
  <c r="AH819" i="76"/>
  <c r="AW819" i="76" s="1"/>
  <c r="AH818" i="76"/>
  <c r="AW818" i="76" s="1"/>
  <c r="AR817" i="76"/>
  <c r="AQ817" i="76" s="1"/>
  <c r="AH817" i="76"/>
  <c r="AW817" i="76" s="1"/>
  <c r="AR816" i="76"/>
  <c r="AQ816" i="76" s="1"/>
  <c r="AH816" i="76"/>
  <c r="AW816" i="76" s="1"/>
  <c r="AR815" i="76"/>
  <c r="AQ815" i="76" s="1"/>
  <c r="AH815" i="76"/>
  <c r="AW815" i="76" s="1"/>
  <c r="AR814" i="76"/>
  <c r="AQ814" i="76" s="1"/>
  <c r="AH814" i="76"/>
  <c r="AW814" i="76" s="1"/>
  <c r="AR813" i="76"/>
  <c r="AQ813" i="76" s="1"/>
  <c r="AH813" i="76"/>
  <c r="AW813" i="76" s="1"/>
  <c r="AR812" i="76"/>
  <c r="AQ812" i="76" s="1"/>
  <c r="AH812" i="76"/>
  <c r="AW812" i="76" s="1"/>
  <c r="AR811" i="76"/>
  <c r="AQ811" i="76" s="1"/>
  <c r="AH811" i="76"/>
  <c r="AW811" i="76" s="1"/>
  <c r="AR810" i="76"/>
  <c r="AQ810" i="76" s="1"/>
  <c r="AH810" i="76"/>
  <c r="AW810" i="76" s="1"/>
  <c r="AR809" i="76"/>
  <c r="AQ809" i="76" s="1"/>
  <c r="AH809" i="76"/>
  <c r="AW809" i="76" s="1"/>
  <c r="AR808" i="76"/>
  <c r="AQ808" i="76" s="1"/>
  <c r="AH808" i="76"/>
  <c r="AW808" i="76" s="1"/>
  <c r="AR807" i="76"/>
  <c r="AQ807" i="76" s="1"/>
  <c r="AH807" i="76"/>
  <c r="AW807" i="76" s="1"/>
  <c r="AR806" i="76"/>
  <c r="AQ806" i="76" s="1"/>
  <c r="AH806" i="76"/>
  <c r="AW806" i="76" s="1"/>
  <c r="AR805" i="76"/>
  <c r="AQ805" i="76" s="1"/>
  <c r="AH805" i="76"/>
  <c r="AW805" i="76" s="1"/>
  <c r="AR804" i="76"/>
  <c r="AQ804" i="76" s="1"/>
  <c r="AH804" i="76"/>
  <c r="AW804" i="76" s="1"/>
  <c r="AR803" i="76"/>
  <c r="AQ803" i="76" s="1"/>
  <c r="AH803" i="76"/>
  <c r="AW803" i="76" s="1"/>
  <c r="AR802" i="76"/>
  <c r="AQ802" i="76" s="1"/>
  <c r="AH802" i="76"/>
  <c r="AW802" i="76" s="1"/>
  <c r="AR801" i="76"/>
  <c r="AQ801" i="76" s="1"/>
  <c r="AH801" i="76"/>
  <c r="AW801" i="76" s="1"/>
  <c r="AR800" i="76"/>
  <c r="AQ800" i="76" s="1"/>
  <c r="AH800" i="76"/>
  <c r="AW800" i="76" s="1"/>
  <c r="AR799" i="76"/>
  <c r="AQ799" i="76" s="1"/>
  <c r="AH799" i="76"/>
  <c r="AW799" i="76" s="1"/>
  <c r="AR798" i="76"/>
  <c r="AQ798" i="76" s="1"/>
  <c r="AH798" i="76"/>
  <c r="AW798" i="76" s="1"/>
  <c r="AR797" i="76"/>
  <c r="AQ797" i="76" s="1"/>
  <c r="AH797" i="76"/>
  <c r="AW797" i="76" s="1"/>
  <c r="AR796" i="76"/>
  <c r="AQ796" i="76" s="1"/>
  <c r="AH796" i="76"/>
  <c r="AW796" i="76" s="1"/>
  <c r="AR795" i="76"/>
  <c r="AQ795" i="76" s="1"/>
  <c r="AH795" i="76"/>
  <c r="AW795" i="76" s="1"/>
  <c r="AR794" i="76"/>
  <c r="AQ794" i="76" s="1"/>
  <c r="AH794" i="76"/>
  <c r="AW794" i="76" s="1"/>
  <c r="AR793" i="76"/>
  <c r="AQ793" i="76" s="1"/>
  <c r="AH793" i="76"/>
  <c r="AW793" i="76" s="1"/>
  <c r="AR792" i="76"/>
  <c r="AQ792" i="76" s="1"/>
  <c r="AH792" i="76"/>
  <c r="AW792" i="76" s="1"/>
  <c r="AR791" i="76"/>
  <c r="AQ791" i="76" s="1"/>
  <c r="AH791" i="76"/>
  <c r="AW791" i="76" s="1"/>
  <c r="AR790" i="76"/>
  <c r="AQ790" i="76" s="1"/>
  <c r="AH790" i="76"/>
  <c r="AW790" i="76" s="1"/>
  <c r="AR789" i="76"/>
  <c r="AQ789" i="76" s="1"/>
  <c r="AH789" i="76"/>
  <c r="AW789" i="76" s="1"/>
  <c r="AR788" i="76"/>
  <c r="AQ788" i="76" s="1"/>
  <c r="AH788" i="76"/>
  <c r="AW788" i="76" s="1"/>
  <c r="AR787" i="76"/>
  <c r="AQ787" i="76" s="1"/>
  <c r="AH787" i="76"/>
  <c r="AW787" i="76" s="1"/>
  <c r="AR786" i="76"/>
  <c r="AQ786" i="76" s="1"/>
  <c r="AH786" i="76"/>
  <c r="AW786" i="76" s="1"/>
  <c r="AR785" i="76"/>
  <c r="AQ785" i="76" s="1"/>
  <c r="AH785" i="76"/>
  <c r="AW785" i="76" s="1"/>
  <c r="AR784" i="76"/>
  <c r="AQ784" i="76" s="1"/>
  <c r="AH784" i="76"/>
  <c r="AW784" i="76" s="1"/>
  <c r="AR783" i="76"/>
  <c r="AQ783" i="76" s="1"/>
  <c r="AH783" i="76"/>
  <c r="AW783" i="76" s="1"/>
  <c r="AR782" i="76"/>
  <c r="AQ782" i="76" s="1"/>
  <c r="AH782" i="76"/>
  <c r="AW782" i="76" s="1"/>
  <c r="AR781" i="76"/>
  <c r="AQ781" i="76" s="1"/>
  <c r="AH781" i="76"/>
  <c r="AW781" i="76" s="1"/>
  <c r="AR780" i="76"/>
  <c r="AQ780" i="76" s="1"/>
  <c r="AH780" i="76"/>
  <c r="AW780" i="76" s="1"/>
  <c r="AR779" i="76"/>
  <c r="AQ779" i="76" s="1"/>
  <c r="AH779" i="76"/>
  <c r="AW779" i="76" s="1"/>
  <c r="AR778" i="76"/>
  <c r="AQ778" i="76" s="1"/>
  <c r="AH778" i="76"/>
  <c r="AW778" i="76" s="1"/>
  <c r="AR777" i="76"/>
  <c r="AQ777" i="76" s="1"/>
  <c r="AH777" i="76"/>
  <c r="AW777" i="76" s="1"/>
  <c r="AR776" i="76"/>
  <c r="AQ776" i="76" s="1"/>
  <c r="AH776" i="76"/>
  <c r="AW776" i="76" s="1"/>
  <c r="AR775" i="76"/>
  <c r="AQ775" i="76" s="1"/>
  <c r="AH775" i="76"/>
  <c r="AW775" i="76" s="1"/>
  <c r="AR774" i="76"/>
  <c r="AQ774" i="76" s="1"/>
  <c r="AH774" i="76"/>
  <c r="AW774" i="76" s="1"/>
  <c r="AR773" i="76"/>
  <c r="AQ773" i="76" s="1"/>
  <c r="AH773" i="76"/>
  <c r="AW773" i="76" s="1"/>
  <c r="AR772" i="76"/>
  <c r="AQ772" i="76" s="1"/>
  <c r="AH772" i="76"/>
  <c r="AW772" i="76" s="1"/>
  <c r="AR771" i="76"/>
  <c r="AQ771" i="76" s="1"/>
  <c r="AH771" i="76"/>
  <c r="AW771" i="76" s="1"/>
  <c r="AR770" i="76"/>
  <c r="AQ770" i="76" s="1"/>
  <c r="AH770" i="76"/>
  <c r="AW770" i="76" s="1"/>
  <c r="AR769" i="76"/>
  <c r="AQ769" i="76" s="1"/>
  <c r="AH769" i="76"/>
  <c r="AW769" i="76" s="1"/>
  <c r="AR768" i="76"/>
  <c r="AQ768" i="76" s="1"/>
  <c r="AH768" i="76"/>
  <c r="AW768" i="76" s="1"/>
  <c r="AR767" i="76"/>
  <c r="AQ767" i="76" s="1"/>
  <c r="AH767" i="76"/>
  <c r="AW767" i="76" s="1"/>
  <c r="AR766" i="76"/>
  <c r="AQ766" i="76" s="1"/>
  <c r="AH766" i="76"/>
  <c r="AW766" i="76" s="1"/>
  <c r="AR765" i="76"/>
  <c r="AQ765" i="76" s="1"/>
  <c r="AH765" i="76"/>
  <c r="AW765" i="76" s="1"/>
  <c r="AR764" i="76"/>
  <c r="AQ764" i="76" s="1"/>
  <c r="AH764" i="76"/>
  <c r="AW764" i="76" s="1"/>
  <c r="AR763" i="76"/>
  <c r="AQ763" i="76" s="1"/>
  <c r="AH763" i="76"/>
  <c r="AW763" i="76" s="1"/>
  <c r="AR762" i="76"/>
  <c r="AQ762" i="76" s="1"/>
  <c r="AH762" i="76"/>
  <c r="AW762" i="76" s="1"/>
  <c r="AR761" i="76"/>
  <c r="AQ761" i="76" s="1"/>
  <c r="AH761" i="76"/>
  <c r="AW761" i="76" s="1"/>
  <c r="AR760" i="76"/>
  <c r="AQ760" i="76" s="1"/>
  <c r="AH760" i="76"/>
  <c r="AW760" i="76" s="1"/>
  <c r="AR759" i="76"/>
  <c r="AQ759" i="76" s="1"/>
  <c r="AH759" i="76"/>
  <c r="AW759" i="76" s="1"/>
  <c r="AR758" i="76"/>
  <c r="AQ758" i="76" s="1"/>
  <c r="AH758" i="76"/>
  <c r="AW758" i="76" s="1"/>
  <c r="AR757" i="76"/>
  <c r="AQ757" i="76" s="1"/>
  <c r="AH757" i="76"/>
  <c r="AW757" i="76" s="1"/>
  <c r="AR756" i="76"/>
  <c r="AQ756" i="76" s="1"/>
  <c r="AH756" i="76"/>
  <c r="AW756" i="76" s="1"/>
  <c r="AR755" i="76"/>
  <c r="AQ755" i="76" s="1"/>
  <c r="AH755" i="76"/>
  <c r="AW755" i="76" s="1"/>
  <c r="AR754" i="76"/>
  <c r="AQ754" i="76" s="1"/>
  <c r="AH754" i="76"/>
  <c r="AW754" i="76" s="1"/>
  <c r="AR753" i="76"/>
  <c r="AQ753" i="76" s="1"/>
  <c r="AH753" i="76"/>
  <c r="AW753" i="76" s="1"/>
  <c r="AR752" i="76"/>
  <c r="AQ752" i="76" s="1"/>
  <c r="AH752" i="76"/>
  <c r="AW752" i="76" s="1"/>
  <c r="AR751" i="76"/>
  <c r="AQ751" i="76" s="1"/>
  <c r="AH751" i="76"/>
  <c r="AW751" i="76" s="1"/>
  <c r="AR750" i="76"/>
  <c r="AQ750" i="76" s="1"/>
  <c r="AH750" i="76"/>
  <c r="AW750" i="76" s="1"/>
  <c r="AR749" i="76"/>
  <c r="AQ749" i="76" s="1"/>
  <c r="AH749" i="76"/>
  <c r="AW749" i="76" s="1"/>
  <c r="AR748" i="76"/>
  <c r="AQ748" i="76" s="1"/>
  <c r="AH748" i="76"/>
  <c r="AW748" i="76" s="1"/>
  <c r="AR747" i="76"/>
  <c r="AQ747" i="76" s="1"/>
  <c r="AH747" i="76"/>
  <c r="AW747" i="76" s="1"/>
  <c r="AR746" i="76"/>
  <c r="AQ746" i="76" s="1"/>
  <c r="AH746" i="76"/>
  <c r="AW746" i="76" s="1"/>
  <c r="AR745" i="76"/>
  <c r="AQ745" i="76" s="1"/>
  <c r="AH745" i="76"/>
  <c r="AW745" i="76" s="1"/>
  <c r="AR744" i="76"/>
  <c r="AQ744" i="76" s="1"/>
  <c r="AH744" i="76"/>
  <c r="AW744" i="76" s="1"/>
  <c r="AR743" i="76"/>
  <c r="AQ743" i="76" s="1"/>
  <c r="AH743" i="76"/>
  <c r="AW743" i="76" s="1"/>
  <c r="AR742" i="76"/>
  <c r="AQ742" i="76" s="1"/>
  <c r="AH742" i="76"/>
  <c r="AW742" i="76" s="1"/>
  <c r="AR741" i="76"/>
  <c r="AQ741" i="76" s="1"/>
  <c r="AH741" i="76"/>
  <c r="AW741" i="76" s="1"/>
  <c r="AR740" i="76"/>
  <c r="AQ740" i="76" s="1"/>
  <c r="AH740" i="76"/>
  <c r="AW740" i="76" s="1"/>
  <c r="AR739" i="76"/>
  <c r="AQ739" i="76" s="1"/>
  <c r="AH739" i="76"/>
  <c r="AW739" i="76" s="1"/>
  <c r="AR738" i="76"/>
  <c r="AQ738" i="76" s="1"/>
  <c r="AH738" i="76"/>
  <c r="AW738" i="76" s="1"/>
  <c r="AR737" i="76"/>
  <c r="AQ737" i="76" s="1"/>
  <c r="AH737" i="76"/>
  <c r="AW737" i="76" s="1"/>
  <c r="AR736" i="76"/>
  <c r="AQ736" i="76" s="1"/>
  <c r="AH736" i="76"/>
  <c r="AW736" i="76" s="1"/>
  <c r="AR735" i="76"/>
  <c r="AQ735" i="76" s="1"/>
  <c r="AH735" i="76"/>
  <c r="AW735" i="76" s="1"/>
  <c r="AR734" i="76"/>
  <c r="AQ734" i="76" s="1"/>
  <c r="AH734" i="76"/>
  <c r="AW734" i="76" s="1"/>
  <c r="AR733" i="76"/>
  <c r="AQ733" i="76" s="1"/>
  <c r="AH733" i="76"/>
  <c r="AW733" i="76" s="1"/>
  <c r="AR732" i="76"/>
  <c r="AQ732" i="76" s="1"/>
  <c r="AH732" i="76"/>
  <c r="AW732" i="76" s="1"/>
  <c r="AR731" i="76"/>
  <c r="AQ731" i="76" s="1"/>
  <c r="AH731" i="76"/>
  <c r="AW731" i="76" s="1"/>
  <c r="AR730" i="76"/>
  <c r="AQ730" i="76" s="1"/>
  <c r="AH730" i="76"/>
  <c r="AW730" i="76" s="1"/>
  <c r="AR729" i="76"/>
  <c r="AQ729" i="76" s="1"/>
  <c r="AH729" i="76"/>
  <c r="AW729" i="76" s="1"/>
  <c r="AR728" i="76"/>
  <c r="AQ728" i="76" s="1"/>
  <c r="AH728" i="76"/>
  <c r="AW728" i="76" s="1"/>
  <c r="AR727" i="76"/>
  <c r="AQ727" i="76" s="1"/>
  <c r="AH727" i="76"/>
  <c r="AW727" i="76" s="1"/>
  <c r="AR726" i="76"/>
  <c r="AQ726" i="76" s="1"/>
  <c r="AH726" i="76"/>
  <c r="AW726" i="76" s="1"/>
  <c r="AR725" i="76"/>
  <c r="AQ725" i="76" s="1"/>
  <c r="AH725" i="76"/>
  <c r="AW725" i="76" s="1"/>
  <c r="AR724" i="76"/>
  <c r="AQ724" i="76" s="1"/>
  <c r="AH724" i="76"/>
  <c r="AW724" i="76" s="1"/>
  <c r="AR723" i="76"/>
  <c r="AQ723" i="76" s="1"/>
  <c r="AH723" i="76"/>
  <c r="AW723" i="76" s="1"/>
  <c r="AR722" i="76"/>
  <c r="AQ722" i="76" s="1"/>
  <c r="AH722" i="76"/>
  <c r="AW722" i="76" s="1"/>
  <c r="AR721" i="76"/>
  <c r="AQ721" i="76" s="1"/>
  <c r="AH721" i="76"/>
  <c r="AW721" i="76" s="1"/>
  <c r="AR720" i="76"/>
  <c r="AQ720" i="76" s="1"/>
  <c r="AH720" i="76"/>
  <c r="AW720" i="76" s="1"/>
  <c r="AR719" i="76"/>
  <c r="AQ719" i="76" s="1"/>
  <c r="AH719" i="76"/>
  <c r="AW719" i="76" s="1"/>
  <c r="AR718" i="76"/>
  <c r="AQ718" i="76" s="1"/>
  <c r="AH718" i="76"/>
  <c r="AW718" i="76" s="1"/>
  <c r="AR717" i="76"/>
  <c r="AQ717" i="76" s="1"/>
  <c r="AH717" i="76"/>
  <c r="AW717" i="76" s="1"/>
  <c r="AR716" i="76"/>
  <c r="AQ716" i="76" s="1"/>
  <c r="AH716" i="76"/>
  <c r="AW716" i="76" s="1"/>
  <c r="AR715" i="76"/>
  <c r="AQ715" i="76" s="1"/>
  <c r="AH715" i="76"/>
  <c r="AW715" i="76" s="1"/>
  <c r="AR714" i="76"/>
  <c r="AQ714" i="76" s="1"/>
  <c r="AH714" i="76"/>
  <c r="AW714" i="76" s="1"/>
  <c r="AR713" i="76"/>
  <c r="AQ713" i="76" s="1"/>
  <c r="AH713" i="76"/>
  <c r="AW713" i="76" s="1"/>
  <c r="AR712" i="76"/>
  <c r="AQ712" i="76" s="1"/>
  <c r="AH712" i="76"/>
  <c r="AW712" i="76" s="1"/>
  <c r="AR711" i="76"/>
  <c r="AQ711" i="76" s="1"/>
  <c r="AH711" i="76"/>
  <c r="AW711" i="76" s="1"/>
  <c r="AR710" i="76"/>
  <c r="AQ710" i="76" s="1"/>
  <c r="AH710" i="76"/>
  <c r="AW710" i="76" s="1"/>
  <c r="AR709" i="76"/>
  <c r="AQ709" i="76" s="1"/>
  <c r="AH709" i="76"/>
  <c r="AW709" i="76" s="1"/>
  <c r="AR708" i="76"/>
  <c r="AQ708" i="76" s="1"/>
  <c r="AH708" i="76"/>
  <c r="AW708" i="76" s="1"/>
  <c r="AR707" i="76"/>
  <c r="AQ707" i="76" s="1"/>
  <c r="AH707" i="76"/>
  <c r="AW707" i="76" s="1"/>
  <c r="AR706" i="76"/>
  <c r="AQ706" i="76" s="1"/>
  <c r="AH706" i="76"/>
  <c r="AW706" i="76" s="1"/>
  <c r="AR705" i="76"/>
  <c r="AQ705" i="76" s="1"/>
  <c r="AH705" i="76"/>
  <c r="AW705" i="76" s="1"/>
  <c r="AR704" i="76"/>
  <c r="AQ704" i="76" s="1"/>
  <c r="AH704" i="76"/>
  <c r="AW704" i="76" s="1"/>
  <c r="AR703" i="76"/>
  <c r="AQ703" i="76" s="1"/>
  <c r="AH703" i="76"/>
  <c r="AW703" i="76" s="1"/>
  <c r="AR702" i="76"/>
  <c r="AQ702" i="76" s="1"/>
  <c r="AH702" i="76"/>
  <c r="AW702" i="76" s="1"/>
  <c r="AR701" i="76"/>
  <c r="AQ701" i="76" s="1"/>
  <c r="AH701" i="76"/>
  <c r="AW701" i="76" s="1"/>
  <c r="AR700" i="76"/>
  <c r="AQ700" i="76" s="1"/>
  <c r="AH700" i="76"/>
  <c r="AW700" i="76" s="1"/>
  <c r="AR699" i="76"/>
  <c r="AQ699" i="76" s="1"/>
  <c r="AH699" i="76"/>
  <c r="AW699" i="76" s="1"/>
  <c r="AR698" i="76"/>
  <c r="AQ698" i="76" s="1"/>
  <c r="AH698" i="76"/>
  <c r="AW698" i="76" s="1"/>
  <c r="AH697" i="76"/>
  <c r="AW697" i="76" s="1"/>
  <c r="AR696" i="76"/>
  <c r="AQ696" i="76" s="1"/>
  <c r="AH696" i="76"/>
  <c r="AW696" i="76" s="1"/>
  <c r="AR695" i="76"/>
  <c r="AQ695" i="76" s="1"/>
  <c r="AH695" i="76"/>
  <c r="AW695" i="76" s="1"/>
  <c r="AR694" i="76"/>
  <c r="AQ694" i="76" s="1"/>
  <c r="AH694" i="76"/>
  <c r="AW694" i="76" s="1"/>
  <c r="AR693" i="76"/>
  <c r="AQ693" i="76" s="1"/>
  <c r="AH693" i="76"/>
  <c r="AW693" i="76" s="1"/>
  <c r="AR692" i="76"/>
  <c r="AQ692" i="76" s="1"/>
  <c r="AH692" i="76"/>
  <c r="AW692" i="76" s="1"/>
  <c r="AR691" i="76"/>
  <c r="AQ691" i="76" s="1"/>
  <c r="AH691" i="76"/>
  <c r="AW691" i="76" s="1"/>
  <c r="AR690" i="76"/>
  <c r="AQ690" i="76" s="1"/>
  <c r="AH690" i="76"/>
  <c r="AW690" i="76" s="1"/>
  <c r="AR689" i="76"/>
  <c r="AQ689" i="76" s="1"/>
  <c r="AH689" i="76"/>
  <c r="AW689" i="76" s="1"/>
  <c r="AR688" i="76"/>
  <c r="AQ688" i="76" s="1"/>
  <c r="AH688" i="76"/>
  <c r="AW688" i="76" s="1"/>
  <c r="AR687" i="76"/>
  <c r="AQ687" i="76" s="1"/>
  <c r="AH687" i="76"/>
  <c r="AW687" i="76" s="1"/>
  <c r="AR686" i="76"/>
  <c r="AQ686" i="76" s="1"/>
  <c r="AH686" i="76"/>
  <c r="AW686" i="76" s="1"/>
  <c r="AR685" i="76"/>
  <c r="AQ685" i="76" s="1"/>
  <c r="AH685" i="76"/>
  <c r="AW685" i="76" s="1"/>
  <c r="AR684" i="76"/>
  <c r="AQ684" i="76" s="1"/>
  <c r="AH684" i="76"/>
  <c r="AW684" i="76" s="1"/>
  <c r="AR683" i="76"/>
  <c r="AQ683" i="76" s="1"/>
  <c r="AH683" i="76"/>
  <c r="AW683" i="76" s="1"/>
  <c r="AR682" i="76"/>
  <c r="AQ682" i="76" s="1"/>
  <c r="AH682" i="76"/>
  <c r="AW682" i="76" s="1"/>
  <c r="AR681" i="76"/>
  <c r="AQ681" i="76" s="1"/>
  <c r="AH681" i="76"/>
  <c r="AW681" i="76" s="1"/>
  <c r="AR680" i="76"/>
  <c r="AQ680" i="76" s="1"/>
  <c r="AH680" i="76"/>
  <c r="AW680" i="76" s="1"/>
  <c r="AR679" i="76"/>
  <c r="AQ679" i="76" s="1"/>
  <c r="AH679" i="76"/>
  <c r="AW679" i="76" s="1"/>
  <c r="AR678" i="76"/>
  <c r="AQ678" i="76" s="1"/>
  <c r="AH678" i="76"/>
  <c r="AW678" i="76" s="1"/>
  <c r="AR677" i="76"/>
  <c r="AQ677" i="76" s="1"/>
  <c r="AH677" i="76"/>
  <c r="AW677" i="76" s="1"/>
  <c r="AR676" i="76"/>
  <c r="AQ676" i="76" s="1"/>
  <c r="AH676" i="76"/>
  <c r="AW676" i="76" s="1"/>
  <c r="AR675" i="76"/>
  <c r="AQ675" i="76" s="1"/>
  <c r="AH675" i="76"/>
  <c r="AW675" i="76" s="1"/>
  <c r="AR674" i="76"/>
  <c r="AQ674" i="76" s="1"/>
  <c r="AH674" i="76"/>
  <c r="AW674" i="76" s="1"/>
  <c r="AR673" i="76"/>
  <c r="AQ673" i="76" s="1"/>
  <c r="AH673" i="76"/>
  <c r="AW673" i="76" s="1"/>
  <c r="AR672" i="76"/>
  <c r="AQ672" i="76" s="1"/>
  <c r="AH672" i="76"/>
  <c r="AW672" i="76" s="1"/>
  <c r="AR671" i="76"/>
  <c r="AQ671" i="76" s="1"/>
  <c r="AH671" i="76"/>
  <c r="AW671" i="76" s="1"/>
  <c r="AR670" i="76"/>
  <c r="AQ670" i="76" s="1"/>
  <c r="AH670" i="76"/>
  <c r="AW670" i="76" s="1"/>
  <c r="AR669" i="76"/>
  <c r="AQ669" i="76" s="1"/>
  <c r="AH669" i="76"/>
  <c r="AW669" i="76" s="1"/>
  <c r="AR668" i="76"/>
  <c r="AQ668" i="76" s="1"/>
  <c r="AH668" i="76"/>
  <c r="AW668" i="76" s="1"/>
  <c r="AR667" i="76"/>
  <c r="AQ667" i="76" s="1"/>
  <c r="AH667" i="76"/>
  <c r="AW667" i="76" s="1"/>
  <c r="AR666" i="76"/>
  <c r="AQ666" i="76" s="1"/>
  <c r="AH666" i="76"/>
  <c r="AW666" i="76" s="1"/>
  <c r="AH665" i="76"/>
  <c r="AW665" i="76" s="1"/>
  <c r="AR664" i="76"/>
  <c r="AQ664" i="76" s="1"/>
  <c r="AH664" i="76"/>
  <c r="AW664" i="76" s="1"/>
  <c r="AH663" i="76"/>
  <c r="AW663" i="76" s="1"/>
  <c r="AR662" i="76"/>
  <c r="AQ662" i="76" s="1"/>
  <c r="AH662" i="76"/>
  <c r="AW662" i="76" s="1"/>
  <c r="AR661" i="76"/>
  <c r="AQ661" i="76" s="1"/>
  <c r="AH661" i="76"/>
  <c r="AW661" i="76" s="1"/>
  <c r="AR660" i="76"/>
  <c r="AQ660" i="76" s="1"/>
  <c r="AH660" i="76"/>
  <c r="AW660" i="76" s="1"/>
  <c r="AR659" i="76"/>
  <c r="AQ659" i="76" s="1"/>
  <c r="AH659" i="76"/>
  <c r="AW659" i="76" s="1"/>
  <c r="AR658" i="76"/>
  <c r="AQ658" i="76" s="1"/>
  <c r="AH658" i="76"/>
  <c r="AW658" i="76" s="1"/>
  <c r="AR657" i="76"/>
  <c r="AQ657" i="76" s="1"/>
  <c r="AH657" i="76"/>
  <c r="AW657" i="76" s="1"/>
  <c r="AR656" i="76"/>
  <c r="AQ656" i="76" s="1"/>
  <c r="AH656" i="76"/>
  <c r="AW656" i="76" s="1"/>
  <c r="AR655" i="76"/>
  <c r="AQ655" i="76" s="1"/>
  <c r="AH655" i="76"/>
  <c r="AW655" i="76" s="1"/>
  <c r="AR654" i="76"/>
  <c r="AQ654" i="76" s="1"/>
  <c r="AH654" i="76"/>
  <c r="AW654" i="76" s="1"/>
  <c r="AR653" i="76"/>
  <c r="AQ653" i="76" s="1"/>
  <c r="AH653" i="76"/>
  <c r="AW653" i="76" s="1"/>
  <c r="AR652" i="76"/>
  <c r="AQ652" i="76" s="1"/>
  <c r="AH652" i="76"/>
  <c r="AW652" i="76" s="1"/>
  <c r="AR651" i="76"/>
  <c r="AQ651" i="76" s="1"/>
  <c r="AH651" i="76"/>
  <c r="AW651" i="76" s="1"/>
  <c r="AR650" i="76"/>
  <c r="AQ650" i="76" s="1"/>
  <c r="AH650" i="76"/>
  <c r="AW650" i="76" s="1"/>
  <c r="AR649" i="76"/>
  <c r="AQ649" i="76" s="1"/>
  <c r="AH649" i="76"/>
  <c r="AW649" i="76" s="1"/>
  <c r="AR648" i="76"/>
  <c r="AQ648" i="76" s="1"/>
  <c r="AH648" i="76"/>
  <c r="AW648" i="76" s="1"/>
  <c r="AR647" i="76"/>
  <c r="AQ647" i="76" s="1"/>
  <c r="AH647" i="76"/>
  <c r="AW647" i="76" s="1"/>
  <c r="AR646" i="76"/>
  <c r="AQ646" i="76" s="1"/>
  <c r="AH646" i="76"/>
  <c r="AW646" i="76" s="1"/>
  <c r="AH645" i="76"/>
  <c r="AW645" i="76" s="1"/>
  <c r="AR644" i="76"/>
  <c r="AQ644" i="76" s="1"/>
  <c r="AH644" i="76"/>
  <c r="AW644" i="76" s="1"/>
  <c r="AR643" i="76"/>
  <c r="AQ643" i="76" s="1"/>
  <c r="AH643" i="76"/>
  <c r="AW643" i="76" s="1"/>
  <c r="AR642" i="76"/>
  <c r="AQ642" i="76" s="1"/>
  <c r="AH642" i="76"/>
  <c r="AW642" i="76" s="1"/>
  <c r="AR641" i="76"/>
  <c r="AQ641" i="76" s="1"/>
  <c r="AH641" i="76"/>
  <c r="AW641" i="76" s="1"/>
  <c r="AR640" i="76"/>
  <c r="AQ640" i="76" s="1"/>
  <c r="AH640" i="76"/>
  <c r="AW640" i="76" s="1"/>
  <c r="AH639" i="76"/>
  <c r="AW639" i="76" s="1"/>
  <c r="AR638" i="76"/>
  <c r="AQ638" i="76" s="1"/>
  <c r="AH638" i="76"/>
  <c r="AW638" i="76" s="1"/>
  <c r="AR637" i="76"/>
  <c r="AQ637" i="76" s="1"/>
  <c r="AH637" i="76"/>
  <c r="AW637" i="76" s="1"/>
  <c r="AR636" i="76"/>
  <c r="AQ636" i="76" s="1"/>
  <c r="AH636" i="76"/>
  <c r="AW636" i="76" s="1"/>
  <c r="AR635" i="76"/>
  <c r="AQ635" i="76" s="1"/>
  <c r="AH635" i="76"/>
  <c r="AW635" i="76" s="1"/>
  <c r="AR634" i="76"/>
  <c r="AQ634" i="76" s="1"/>
  <c r="AH634" i="76"/>
  <c r="AW634" i="76" s="1"/>
  <c r="AR633" i="76"/>
  <c r="AQ633" i="76" s="1"/>
  <c r="AH633" i="76"/>
  <c r="AW633" i="76" s="1"/>
  <c r="AR632" i="76"/>
  <c r="AQ632" i="76" s="1"/>
  <c r="AH632" i="76"/>
  <c r="AW632" i="76" s="1"/>
  <c r="AR631" i="76"/>
  <c r="AQ631" i="76" s="1"/>
  <c r="AH631" i="76"/>
  <c r="AW631" i="76" s="1"/>
  <c r="AR630" i="76"/>
  <c r="AQ630" i="76" s="1"/>
  <c r="AH630" i="76"/>
  <c r="AW630" i="76" s="1"/>
  <c r="AR629" i="76"/>
  <c r="AQ629" i="76" s="1"/>
  <c r="AH629" i="76"/>
  <c r="AW629" i="76" s="1"/>
  <c r="AR628" i="76"/>
  <c r="AQ628" i="76" s="1"/>
  <c r="AH628" i="76"/>
  <c r="AW628" i="76" s="1"/>
  <c r="AR627" i="76"/>
  <c r="AQ627" i="76" s="1"/>
  <c r="AH627" i="76"/>
  <c r="AW627" i="76" s="1"/>
  <c r="AR626" i="76"/>
  <c r="AQ626" i="76" s="1"/>
  <c r="AH626" i="76"/>
  <c r="AW626" i="76" s="1"/>
  <c r="AR625" i="76"/>
  <c r="AQ625" i="76" s="1"/>
  <c r="AH625" i="76"/>
  <c r="AW625" i="76" s="1"/>
  <c r="AR624" i="76"/>
  <c r="AQ624" i="76" s="1"/>
  <c r="AH624" i="76"/>
  <c r="AW624" i="76" s="1"/>
  <c r="AR623" i="76"/>
  <c r="AQ623" i="76" s="1"/>
  <c r="AH623" i="76"/>
  <c r="AW623" i="76" s="1"/>
  <c r="AR622" i="76"/>
  <c r="AQ622" i="76" s="1"/>
  <c r="AH622" i="76"/>
  <c r="AW622" i="76" s="1"/>
  <c r="AR621" i="76"/>
  <c r="AQ621" i="76" s="1"/>
  <c r="AH621" i="76"/>
  <c r="AW621" i="76" s="1"/>
  <c r="AR620" i="76"/>
  <c r="AQ620" i="76" s="1"/>
  <c r="AH620" i="76"/>
  <c r="AW620" i="76" s="1"/>
  <c r="AR619" i="76"/>
  <c r="AQ619" i="76" s="1"/>
  <c r="AH619" i="76"/>
  <c r="AW619" i="76" s="1"/>
  <c r="AR618" i="76"/>
  <c r="AQ618" i="76" s="1"/>
  <c r="AH618" i="76"/>
  <c r="AW618" i="76" s="1"/>
  <c r="AR617" i="76"/>
  <c r="AQ617" i="76" s="1"/>
  <c r="AH617" i="76"/>
  <c r="AW617" i="76" s="1"/>
  <c r="AR616" i="76"/>
  <c r="AQ616" i="76" s="1"/>
  <c r="AH616" i="76"/>
  <c r="AW616" i="76" s="1"/>
  <c r="AR615" i="76"/>
  <c r="AQ615" i="76" s="1"/>
  <c r="AH615" i="76"/>
  <c r="AW615" i="76" s="1"/>
  <c r="AR614" i="76"/>
  <c r="AQ614" i="76" s="1"/>
  <c r="AH614" i="76"/>
  <c r="AW614" i="76" s="1"/>
  <c r="AH613" i="76"/>
  <c r="AW613" i="76" s="1"/>
  <c r="AR612" i="76"/>
  <c r="AQ612" i="76" s="1"/>
  <c r="AH612" i="76"/>
  <c r="AW612" i="76" s="1"/>
  <c r="AR611" i="76"/>
  <c r="AQ611" i="76" s="1"/>
  <c r="AH611" i="76"/>
  <c r="AW611" i="76" s="1"/>
  <c r="AR610" i="76"/>
  <c r="AQ610" i="76" s="1"/>
  <c r="AH610" i="76"/>
  <c r="AW610" i="76" s="1"/>
  <c r="AR609" i="76"/>
  <c r="AQ609" i="76" s="1"/>
  <c r="AH609" i="76"/>
  <c r="AW609" i="76" s="1"/>
  <c r="AR608" i="76"/>
  <c r="AQ608" i="76" s="1"/>
  <c r="AH608" i="76"/>
  <c r="AW608" i="76" s="1"/>
  <c r="AR607" i="76"/>
  <c r="AQ607" i="76" s="1"/>
  <c r="AH607" i="76"/>
  <c r="AW607" i="76" s="1"/>
  <c r="AR606" i="76"/>
  <c r="AQ606" i="76" s="1"/>
  <c r="AH606" i="76"/>
  <c r="AW606" i="76" s="1"/>
  <c r="AR605" i="76"/>
  <c r="AQ605" i="76" s="1"/>
  <c r="AH605" i="76"/>
  <c r="AW605" i="76" s="1"/>
  <c r="AR604" i="76"/>
  <c r="AQ604" i="76" s="1"/>
  <c r="AH604" i="76"/>
  <c r="AW604" i="76" s="1"/>
  <c r="AR603" i="76"/>
  <c r="AQ603" i="76" s="1"/>
  <c r="AH603" i="76"/>
  <c r="AW603" i="76" s="1"/>
  <c r="AR602" i="76"/>
  <c r="AQ602" i="76" s="1"/>
  <c r="AH602" i="76"/>
  <c r="AW602" i="76" s="1"/>
  <c r="AR601" i="76"/>
  <c r="AQ601" i="76" s="1"/>
  <c r="AH601" i="76"/>
  <c r="AW601" i="76" s="1"/>
  <c r="AR600" i="76"/>
  <c r="AQ600" i="76" s="1"/>
  <c r="AH600" i="76"/>
  <c r="AW600" i="76" s="1"/>
  <c r="AR599" i="76"/>
  <c r="AQ599" i="76" s="1"/>
  <c r="AH599" i="76"/>
  <c r="AW599" i="76" s="1"/>
  <c r="AR598" i="76"/>
  <c r="AQ598" i="76" s="1"/>
  <c r="AH598" i="76"/>
  <c r="AW598" i="76" s="1"/>
  <c r="AR597" i="76"/>
  <c r="AQ597" i="76" s="1"/>
  <c r="AH597" i="76"/>
  <c r="AW597" i="76" s="1"/>
  <c r="AR596" i="76"/>
  <c r="AQ596" i="76" s="1"/>
  <c r="AH596" i="76"/>
  <c r="AW596" i="76" s="1"/>
  <c r="AR595" i="76"/>
  <c r="AQ595" i="76" s="1"/>
  <c r="AH595" i="76"/>
  <c r="AW595" i="76" s="1"/>
  <c r="AR594" i="76"/>
  <c r="AQ594" i="76" s="1"/>
  <c r="AH594" i="76"/>
  <c r="AW594" i="76" s="1"/>
  <c r="AR593" i="76"/>
  <c r="AQ593" i="76" s="1"/>
  <c r="AH593" i="76"/>
  <c r="AW593" i="76" s="1"/>
  <c r="AR592" i="76"/>
  <c r="AQ592" i="76" s="1"/>
  <c r="AH592" i="76"/>
  <c r="AW592" i="76" s="1"/>
  <c r="AR591" i="76"/>
  <c r="AQ591" i="76" s="1"/>
  <c r="AH591" i="76"/>
  <c r="AW591" i="76" s="1"/>
  <c r="AR590" i="76"/>
  <c r="AQ590" i="76" s="1"/>
  <c r="AH590" i="76"/>
  <c r="AW590" i="76" s="1"/>
  <c r="AR589" i="76"/>
  <c r="AQ589" i="76" s="1"/>
  <c r="AH589" i="76"/>
  <c r="AW589" i="76" s="1"/>
  <c r="AR588" i="76"/>
  <c r="AQ588" i="76" s="1"/>
  <c r="AH588" i="76"/>
  <c r="AW588" i="76" s="1"/>
  <c r="AR587" i="76"/>
  <c r="AQ587" i="76" s="1"/>
  <c r="AH587" i="76"/>
  <c r="AW587" i="76" s="1"/>
  <c r="AR586" i="76"/>
  <c r="AQ586" i="76" s="1"/>
  <c r="AH586" i="76"/>
  <c r="AW586" i="76" s="1"/>
  <c r="AR585" i="76"/>
  <c r="AQ585" i="76" s="1"/>
  <c r="AH585" i="76"/>
  <c r="AW585" i="76" s="1"/>
  <c r="AR584" i="76"/>
  <c r="AQ584" i="76" s="1"/>
  <c r="AH584" i="76"/>
  <c r="AW584" i="76" s="1"/>
  <c r="AR583" i="76"/>
  <c r="AQ583" i="76" s="1"/>
  <c r="AH583" i="76"/>
  <c r="AW583" i="76" s="1"/>
  <c r="AR582" i="76"/>
  <c r="AQ582" i="76" s="1"/>
  <c r="AH582" i="76"/>
  <c r="AW582" i="76" s="1"/>
  <c r="AR581" i="76"/>
  <c r="AQ581" i="76" s="1"/>
  <c r="AH581" i="76"/>
  <c r="AW581" i="76" s="1"/>
  <c r="AR580" i="76"/>
  <c r="AQ580" i="76" s="1"/>
  <c r="AH580" i="76"/>
  <c r="AW580" i="76" s="1"/>
  <c r="AR579" i="76"/>
  <c r="AQ579" i="76" s="1"/>
  <c r="AH579" i="76"/>
  <c r="AW579" i="76" s="1"/>
  <c r="AR578" i="76"/>
  <c r="AQ578" i="76" s="1"/>
  <c r="AH578" i="76"/>
  <c r="AW578" i="76" s="1"/>
  <c r="AR577" i="76"/>
  <c r="AQ577" i="76" s="1"/>
  <c r="AH577" i="76"/>
  <c r="AW577" i="76" s="1"/>
  <c r="AR576" i="76"/>
  <c r="AQ576" i="76" s="1"/>
  <c r="AH576" i="76"/>
  <c r="AW576" i="76" s="1"/>
  <c r="AR575" i="76"/>
  <c r="AQ575" i="76" s="1"/>
  <c r="AH575" i="76"/>
  <c r="AW575" i="76" s="1"/>
  <c r="AR574" i="76"/>
  <c r="AQ574" i="76" s="1"/>
  <c r="AH574" i="76"/>
  <c r="AW574" i="76" s="1"/>
  <c r="AR573" i="76"/>
  <c r="AQ573" i="76" s="1"/>
  <c r="AH573" i="76"/>
  <c r="AW573" i="76" s="1"/>
  <c r="AR572" i="76"/>
  <c r="AQ572" i="76" s="1"/>
  <c r="AH572" i="76"/>
  <c r="AW572" i="76" s="1"/>
  <c r="AR571" i="76"/>
  <c r="AQ571" i="76" s="1"/>
  <c r="AH571" i="76"/>
  <c r="AW571" i="76" s="1"/>
  <c r="AR570" i="76"/>
  <c r="AQ570" i="76" s="1"/>
  <c r="AH570" i="76"/>
  <c r="AW570" i="76" s="1"/>
  <c r="AR569" i="76"/>
  <c r="AQ569" i="76" s="1"/>
  <c r="AH569" i="76"/>
  <c r="AW569" i="76" s="1"/>
  <c r="AR568" i="76"/>
  <c r="AQ568" i="76" s="1"/>
  <c r="AH568" i="76"/>
  <c r="AW568" i="76" s="1"/>
  <c r="AR567" i="76"/>
  <c r="AQ567" i="76" s="1"/>
  <c r="AH567" i="76"/>
  <c r="AW567" i="76" s="1"/>
  <c r="AR566" i="76"/>
  <c r="AQ566" i="76" s="1"/>
  <c r="AH566" i="76"/>
  <c r="AW566" i="76" s="1"/>
  <c r="AR565" i="76"/>
  <c r="AQ565" i="76" s="1"/>
  <c r="AH565" i="76"/>
  <c r="AW565" i="76" s="1"/>
  <c r="AR564" i="76"/>
  <c r="AQ564" i="76" s="1"/>
  <c r="AH564" i="76"/>
  <c r="AW564" i="76" s="1"/>
  <c r="AR563" i="76"/>
  <c r="AQ563" i="76" s="1"/>
  <c r="AH563" i="76"/>
  <c r="AW563" i="76" s="1"/>
  <c r="AR562" i="76"/>
  <c r="AQ562" i="76" s="1"/>
  <c r="AH562" i="76"/>
  <c r="AW562" i="76" s="1"/>
  <c r="AR561" i="76"/>
  <c r="AQ561" i="76" s="1"/>
  <c r="AH561" i="76"/>
  <c r="AW561" i="76" s="1"/>
  <c r="AR560" i="76"/>
  <c r="AQ560" i="76" s="1"/>
  <c r="AH560" i="76"/>
  <c r="AW560" i="76" s="1"/>
  <c r="AR559" i="76"/>
  <c r="AQ559" i="76" s="1"/>
  <c r="AH559" i="76"/>
  <c r="AW559" i="76" s="1"/>
  <c r="AR558" i="76"/>
  <c r="AQ558" i="76" s="1"/>
  <c r="AH558" i="76"/>
  <c r="AW558" i="76" s="1"/>
  <c r="AR557" i="76"/>
  <c r="AQ557" i="76" s="1"/>
  <c r="AH557" i="76"/>
  <c r="AW557" i="76" s="1"/>
  <c r="AR556" i="76"/>
  <c r="AQ556" i="76" s="1"/>
  <c r="AH556" i="76"/>
  <c r="AW556" i="76" s="1"/>
  <c r="AR555" i="76"/>
  <c r="AQ555" i="76" s="1"/>
  <c r="AH555" i="76"/>
  <c r="AW555" i="76" s="1"/>
  <c r="AR554" i="76"/>
  <c r="AQ554" i="76" s="1"/>
  <c r="AH554" i="76"/>
  <c r="AW554" i="76" s="1"/>
  <c r="AR553" i="76"/>
  <c r="AQ553" i="76" s="1"/>
  <c r="AH553" i="76"/>
  <c r="AW553" i="76" s="1"/>
  <c r="AR552" i="76"/>
  <c r="AQ552" i="76" s="1"/>
  <c r="AH552" i="76"/>
  <c r="AW552" i="76" s="1"/>
  <c r="AR551" i="76"/>
  <c r="AQ551" i="76" s="1"/>
  <c r="AH551" i="76"/>
  <c r="AW551" i="76" s="1"/>
  <c r="AR550" i="76"/>
  <c r="AQ550" i="76" s="1"/>
  <c r="AH550" i="76"/>
  <c r="AW550" i="76" s="1"/>
  <c r="AR549" i="76"/>
  <c r="AQ549" i="76" s="1"/>
  <c r="AH549" i="76"/>
  <c r="AW549" i="76" s="1"/>
  <c r="AR548" i="76"/>
  <c r="AQ548" i="76" s="1"/>
  <c r="AH548" i="76"/>
  <c r="AW548" i="76" s="1"/>
  <c r="AR547" i="76"/>
  <c r="AQ547" i="76" s="1"/>
  <c r="AH547" i="76"/>
  <c r="AW547" i="76" s="1"/>
  <c r="AR546" i="76"/>
  <c r="AQ546" i="76" s="1"/>
  <c r="AH546" i="76"/>
  <c r="AW546" i="76" s="1"/>
  <c r="AR545" i="76"/>
  <c r="AQ545" i="76" s="1"/>
  <c r="AH545" i="76"/>
  <c r="AW545" i="76" s="1"/>
  <c r="AR544" i="76"/>
  <c r="AQ544" i="76" s="1"/>
  <c r="AH544" i="76"/>
  <c r="AW544" i="76" s="1"/>
  <c r="AR543" i="76"/>
  <c r="AQ543" i="76" s="1"/>
  <c r="AH543" i="76"/>
  <c r="AW543" i="76" s="1"/>
  <c r="AR542" i="76"/>
  <c r="AQ542" i="76" s="1"/>
  <c r="AH542" i="76"/>
  <c r="AW542" i="76" s="1"/>
  <c r="AR541" i="76"/>
  <c r="AQ541" i="76" s="1"/>
  <c r="AH541" i="76"/>
  <c r="AW541" i="76" s="1"/>
  <c r="AR540" i="76"/>
  <c r="AQ540" i="76" s="1"/>
  <c r="AH540" i="76"/>
  <c r="AW540" i="76" s="1"/>
  <c r="AR539" i="76"/>
  <c r="AQ539" i="76" s="1"/>
  <c r="AH539" i="76"/>
  <c r="AW539" i="76" s="1"/>
  <c r="AR538" i="76"/>
  <c r="AQ538" i="76" s="1"/>
  <c r="AH538" i="76"/>
  <c r="AW538" i="76" s="1"/>
  <c r="AR537" i="76"/>
  <c r="AQ537" i="76" s="1"/>
  <c r="AH537" i="76"/>
  <c r="AW537" i="76" s="1"/>
  <c r="AR536" i="76"/>
  <c r="AQ536" i="76" s="1"/>
  <c r="AH536" i="76"/>
  <c r="AW536" i="76" s="1"/>
  <c r="AR535" i="76"/>
  <c r="AQ535" i="76" s="1"/>
  <c r="AH535" i="76"/>
  <c r="AW535" i="76" s="1"/>
  <c r="AR534" i="76"/>
  <c r="AQ534" i="76" s="1"/>
  <c r="AH534" i="76"/>
  <c r="AW534" i="76" s="1"/>
  <c r="AR533" i="76"/>
  <c r="AQ533" i="76" s="1"/>
  <c r="AH533" i="76"/>
  <c r="AW533" i="76" s="1"/>
  <c r="AR532" i="76"/>
  <c r="AQ532" i="76" s="1"/>
  <c r="AH532" i="76"/>
  <c r="AW532" i="76" s="1"/>
  <c r="AR531" i="76"/>
  <c r="AQ531" i="76" s="1"/>
  <c r="AH531" i="76"/>
  <c r="AW531" i="76" s="1"/>
  <c r="AR530" i="76"/>
  <c r="AQ530" i="76" s="1"/>
  <c r="AH530" i="76"/>
  <c r="AW530" i="76" s="1"/>
  <c r="AR529" i="76"/>
  <c r="AQ529" i="76" s="1"/>
  <c r="AH529" i="76"/>
  <c r="AW529" i="76" s="1"/>
  <c r="AR528" i="76"/>
  <c r="AQ528" i="76" s="1"/>
  <c r="AH528" i="76"/>
  <c r="AW528" i="76" s="1"/>
  <c r="AR527" i="76"/>
  <c r="AQ527" i="76" s="1"/>
  <c r="AH527" i="76"/>
  <c r="AW527" i="76" s="1"/>
  <c r="AR526" i="76"/>
  <c r="AQ526" i="76" s="1"/>
  <c r="AH526" i="76"/>
  <c r="AW526" i="76" s="1"/>
  <c r="AR525" i="76"/>
  <c r="AQ525" i="76" s="1"/>
  <c r="AH525" i="76"/>
  <c r="AW525" i="76" s="1"/>
  <c r="AR524" i="76"/>
  <c r="AQ524" i="76" s="1"/>
  <c r="AH524" i="76"/>
  <c r="AW524" i="76" s="1"/>
  <c r="AR523" i="76"/>
  <c r="AQ523" i="76" s="1"/>
  <c r="AH523" i="76"/>
  <c r="AW523" i="76" s="1"/>
  <c r="AR522" i="76"/>
  <c r="AQ522" i="76" s="1"/>
  <c r="AH522" i="76"/>
  <c r="AW522" i="76" s="1"/>
  <c r="AR521" i="76"/>
  <c r="AQ521" i="76" s="1"/>
  <c r="AH521" i="76"/>
  <c r="AW521" i="76" s="1"/>
  <c r="AR520" i="76"/>
  <c r="AQ520" i="76" s="1"/>
  <c r="AH520" i="76"/>
  <c r="AW520" i="76" s="1"/>
  <c r="AR519" i="76"/>
  <c r="AQ519" i="76" s="1"/>
  <c r="AH519" i="76"/>
  <c r="AW519" i="76" s="1"/>
  <c r="AR518" i="76"/>
  <c r="AQ518" i="76" s="1"/>
  <c r="AH518" i="76"/>
  <c r="AW518" i="76" s="1"/>
  <c r="AR517" i="76"/>
  <c r="AQ517" i="76" s="1"/>
  <c r="AH517" i="76"/>
  <c r="AW517" i="76" s="1"/>
  <c r="AR516" i="76"/>
  <c r="AQ516" i="76" s="1"/>
  <c r="AH516" i="76"/>
  <c r="AW516" i="76" s="1"/>
  <c r="AR515" i="76"/>
  <c r="AQ515" i="76" s="1"/>
  <c r="AH515" i="76"/>
  <c r="AW515" i="76" s="1"/>
  <c r="AR514" i="76"/>
  <c r="AQ514" i="76" s="1"/>
  <c r="AH514" i="76"/>
  <c r="AW514" i="76" s="1"/>
  <c r="AR513" i="76"/>
  <c r="AQ513" i="76" s="1"/>
  <c r="AH513" i="76"/>
  <c r="AW513" i="76" s="1"/>
  <c r="AR512" i="76"/>
  <c r="AQ512" i="76" s="1"/>
  <c r="AH512" i="76"/>
  <c r="AW512" i="76" s="1"/>
  <c r="AR511" i="76"/>
  <c r="AQ511" i="76" s="1"/>
  <c r="AH511" i="76"/>
  <c r="AW511" i="76" s="1"/>
  <c r="AR510" i="76"/>
  <c r="AQ510" i="76" s="1"/>
  <c r="AH510" i="76"/>
  <c r="AW510" i="76" s="1"/>
  <c r="AR509" i="76"/>
  <c r="AQ509" i="76" s="1"/>
  <c r="AH509" i="76"/>
  <c r="AW509" i="76" s="1"/>
  <c r="AR508" i="76"/>
  <c r="AQ508" i="76" s="1"/>
  <c r="AH508" i="76"/>
  <c r="AW508" i="76" s="1"/>
  <c r="AR507" i="76"/>
  <c r="AQ507" i="76" s="1"/>
  <c r="AH507" i="76"/>
  <c r="AW507" i="76" s="1"/>
  <c r="AR506" i="76"/>
  <c r="AQ506" i="76" s="1"/>
  <c r="AH506" i="76"/>
  <c r="AW506" i="76" s="1"/>
  <c r="AR505" i="76"/>
  <c r="AQ505" i="76" s="1"/>
  <c r="AH505" i="76"/>
  <c r="AW505" i="76" s="1"/>
  <c r="AR504" i="76"/>
  <c r="AQ504" i="76" s="1"/>
  <c r="AH504" i="76"/>
  <c r="AW504" i="76" s="1"/>
  <c r="AR503" i="76"/>
  <c r="AQ503" i="76" s="1"/>
  <c r="AH503" i="76"/>
  <c r="AW503" i="76" s="1"/>
  <c r="AR502" i="76"/>
  <c r="AQ502" i="76" s="1"/>
  <c r="AH502" i="76"/>
  <c r="AW502" i="76" s="1"/>
  <c r="AR501" i="76"/>
  <c r="AQ501" i="76" s="1"/>
  <c r="AH501" i="76"/>
  <c r="AW501" i="76" s="1"/>
  <c r="AR500" i="76"/>
  <c r="AQ500" i="76" s="1"/>
  <c r="AH500" i="76"/>
  <c r="AW500" i="76" s="1"/>
  <c r="AR499" i="76"/>
  <c r="AQ499" i="76" s="1"/>
  <c r="AH499" i="76"/>
  <c r="AW499" i="76" s="1"/>
  <c r="AR498" i="76"/>
  <c r="AQ498" i="76" s="1"/>
  <c r="AH498" i="76"/>
  <c r="AW498" i="76" s="1"/>
  <c r="AR497" i="76"/>
  <c r="AQ497" i="76" s="1"/>
  <c r="AH497" i="76"/>
  <c r="AW497" i="76" s="1"/>
  <c r="AR496" i="76"/>
  <c r="AQ496" i="76" s="1"/>
  <c r="AH496" i="76"/>
  <c r="AW496" i="76" s="1"/>
  <c r="AR495" i="76"/>
  <c r="AQ495" i="76" s="1"/>
  <c r="AH495" i="76"/>
  <c r="AW495" i="76" s="1"/>
  <c r="AR494" i="76"/>
  <c r="AQ494" i="76" s="1"/>
  <c r="AH494" i="76"/>
  <c r="AW494" i="76" s="1"/>
  <c r="AR493" i="76"/>
  <c r="AQ493" i="76" s="1"/>
  <c r="AH493" i="76"/>
  <c r="AW493" i="76" s="1"/>
  <c r="AR492" i="76"/>
  <c r="AQ492" i="76" s="1"/>
  <c r="AH492" i="76"/>
  <c r="AW492" i="76" s="1"/>
  <c r="AR491" i="76"/>
  <c r="AQ491" i="76" s="1"/>
  <c r="AH491" i="76"/>
  <c r="AW491" i="76" s="1"/>
  <c r="AR490" i="76"/>
  <c r="AQ490" i="76" s="1"/>
  <c r="AH490" i="76"/>
  <c r="AW490" i="76" s="1"/>
  <c r="AR489" i="76"/>
  <c r="AQ489" i="76" s="1"/>
  <c r="AH489" i="76"/>
  <c r="AW489" i="76" s="1"/>
  <c r="AR488" i="76"/>
  <c r="AQ488" i="76" s="1"/>
  <c r="AH488" i="76"/>
  <c r="AW488" i="76" s="1"/>
  <c r="AR487" i="76"/>
  <c r="AQ487" i="76" s="1"/>
  <c r="AH487" i="76"/>
  <c r="AW487" i="76" s="1"/>
  <c r="AH486" i="76"/>
  <c r="AW486" i="76" s="1"/>
  <c r="AH485" i="76"/>
  <c r="AW485" i="76" s="1"/>
  <c r="AR484" i="76"/>
  <c r="AQ484" i="76" s="1"/>
  <c r="AH484" i="76"/>
  <c r="AW484" i="76" s="1"/>
  <c r="AH483" i="76"/>
  <c r="AW483" i="76" s="1"/>
  <c r="AR482" i="76"/>
  <c r="AQ482" i="76" s="1"/>
  <c r="AH482" i="76"/>
  <c r="AW482" i="76" s="1"/>
  <c r="AR481" i="76"/>
  <c r="AQ481" i="76" s="1"/>
  <c r="AH481" i="76"/>
  <c r="AW481" i="76" s="1"/>
  <c r="AR480" i="76"/>
  <c r="AQ480" i="76" s="1"/>
  <c r="AH480" i="76"/>
  <c r="AW480" i="76" s="1"/>
  <c r="AR479" i="76"/>
  <c r="AQ479" i="76" s="1"/>
  <c r="AH479" i="76"/>
  <c r="AW479" i="76" s="1"/>
  <c r="AH478" i="76"/>
  <c r="AW478" i="76" s="1"/>
  <c r="AR477" i="76"/>
  <c r="AQ477" i="76" s="1"/>
  <c r="AH477" i="76"/>
  <c r="AW477" i="76" s="1"/>
  <c r="AR476" i="76"/>
  <c r="AQ476" i="76" s="1"/>
  <c r="AH476" i="76"/>
  <c r="AW476" i="76" s="1"/>
  <c r="AR475" i="76"/>
  <c r="AQ475" i="76" s="1"/>
  <c r="AH475" i="76"/>
  <c r="AW475" i="76" s="1"/>
  <c r="AR474" i="76"/>
  <c r="AQ474" i="76" s="1"/>
  <c r="AH474" i="76"/>
  <c r="AW474" i="76" s="1"/>
  <c r="AR473" i="76"/>
  <c r="AQ473" i="76" s="1"/>
  <c r="AH473" i="76"/>
  <c r="AW473" i="76" s="1"/>
  <c r="AR472" i="76"/>
  <c r="AQ472" i="76" s="1"/>
  <c r="AH472" i="76"/>
  <c r="AW472" i="76" s="1"/>
  <c r="AR471" i="76"/>
  <c r="AQ471" i="76" s="1"/>
  <c r="AH471" i="76"/>
  <c r="AW471" i="76" s="1"/>
  <c r="AR470" i="76"/>
  <c r="AQ470" i="76" s="1"/>
  <c r="AH470" i="76"/>
  <c r="AW470" i="76" s="1"/>
  <c r="AR469" i="76"/>
  <c r="AQ469" i="76" s="1"/>
  <c r="AH469" i="76"/>
  <c r="AW469" i="76" s="1"/>
  <c r="AH468" i="76"/>
  <c r="AW468" i="76" s="1"/>
  <c r="AR467" i="76"/>
  <c r="AQ467" i="76" s="1"/>
  <c r="AH467" i="76"/>
  <c r="AW467" i="76" s="1"/>
  <c r="AR466" i="76"/>
  <c r="AQ466" i="76" s="1"/>
  <c r="AH466" i="76"/>
  <c r="AW466" i="76" s="1"/>
  <c r="AR465" i="76"/>
  <c r="AQ465" i="76" s="1"/>
  <c r="AH465" i="76"/>
  <c r="AW465" i="76" s="1"/>
  <c r="AR464" i="76"/>
  <c r="AQ464" i="76" s="1"/>
  <c r="AH464" i="76"/>
  <c r="AW464" i="76" s="1"/>
  <c r="AR463" i="76"/>
  <c r="AQ463" i="76" s="1"/>
  <c r="AH463" i="76"/>
  <c r="AW463" i="76" s="1"/>
  <c r="AR462" i="76"/>
  <c r="AQ462" i="76" s="1"/>
  <c r="AH462" i="76"/>
  <c r="AW462" i="76" s="1"/>
  <c r="AR461" i="76"/>
  <c r="AQ461" i="76" s="1"/>
  <c r="AH461" i="76"/>
  <c r="AW461" i="76" s="1"/>
  <c r="AH460" i="76"/>
  <c r="AW460" i="76" s="1"/>
  <c r="AR459" i="76"/>
  <c r="AQ459" i="76" s="1"/>
  <c r="AH459" i="76"/>
  <c r="AW459" i="76" s="1"/>
  <c r="AR458" i="76"/>
  <c r="AQ458" i="76" s="1"/>
  <c r="AH458" i="76"/>
  <c r="AW458" i="76" s="1"/>
  <c r="AR457" i="76"/>
  <c r="AQ457" i="76" s="1"/>
  <c r="AH457" i="76"/>
  <c r="AW457" i="76" s="1"/>
  <c r="AR456" i="76"/>
  <c r="AQ456" i="76" s="1"/>
  <c r="AH456" i="76"/>
  <c r="AW456" i="76" s="1"/>
  <c r="AR455" i="76"/>
  <c r="AQ455" i="76" s="1"/>
  <c r="AH455" i="76"/>
  <c r="AW455" i="76" s="1"/>
  <c r="AR454" i="76"/>
  <c r="AQ454" i="76" s="1"/>
  <c r="AH454" i="76"/>
  <c r="AW454" i="76" s="1"/>
  <c r="AR453" i="76"/>
  <c r="AQ453" i="76" s="1"/>
  <c r="AH453" i="76"/>
  <c r="AW453" i="76" s="1"/>
  <c r="AR452" i="76"/>
  <c r="AQ452" i="76" s="1"/>
  <c r="AH452" i="76"/>
  <c r="AW452" i="76" s="1"/>
  <c r="AR451" i="76"/>
  <c r="AQ451" i="76" s="1"/>
  <c r="AH451" i="76"/>
  <c r="AW451" i="76" s="1"/>
  <c r="AR450" i="76"/>
  <c r="AQ450" i="76" s="1"/>
  <c r="AH450" i="76"/>
  <c r="AW450" i="76" s="1"/>
  <c r="AR449" i="76"/>
  <c r="AQ449" i="76" s="1"/>
  <c r="AH449" i="76"/>
  <c r="AW449" i="76" s="1"/>
  <c r="AR448" i="76"/>
  <c r="AQ448" i="76" s="1"/>
  <c r="AH448" i="76"/>
  <c r="AW448" i="76" s="1"/>
  <c r="AR447" i="76"/>
  <c r="AQ447" i="76" s="1"/>
  <c r="AH447" i="76"/>
  <c r="AW447" i="76" s="1"/>
  <c r="AR446" i="76"/>
  <c r="AQ446" i="76" s="1"/>
  <c r="AH446" i="76"/>
  <c r="AW446" i="76" s="1"/>
  <c r="AR445" i="76"/>
  <c r="AQ445" i="76" s="1"/>
  <c r="AH445" i="76"/>
  <c r="AW445" i="76" s="1"/>
  <c r="AR444" i="76"/>
  <c r="AQ444" i="76" s="1"/>
  <c r="AH444" i="76"/>
  <c r="AW444" i="76" s="1"/>
  <c r="AR443" i="76"/>
  <c r="AQ443" i="76" s="1"/>
  <c r="AH443" i="76"/>
  <c r="AW443" i="76" s="1"/>
  <c r="AR442" i="76"/>
  <c r="AQ442" i="76" s="1"/>
  <c r="AH442" i="76"/>
  <c r="AW442" i="76" s="1"/>
  <c r="AR441" i="76"/>
  <c r="AQ441" i="76" s="1"/>
  <c r="AH441" i="76"/>
  <c r="AW441" i="76" s="1"/>
  <c r="AR440" i="76"/>
  <c r="AQ440" i="76" s="1"/>
  <c r="AH440" i="76"/>
  <c r="AW440" i="76" s="1"/>
  <c r="AR439" i="76"/>
  <c r="AQ439" i="76" s="1"/>
  <c r="AH439" i="76"/>
  <c r="AW439" i="76" s="1"/>
  <c r="AR438" i="76"/>
  <c r="AQ438" i="76" s="1"/>
  <c r="AH438" i="76"/>
  <c r="AW438" i="76" s="1"/>
  <c r="AR437" i="76"/>
  <c r="AQ437" i="76" s="1"/>
  <c r="AH437" i="76"/>
  <c r="AW437" i="76" s="1"/>
  <c r="AR436" i="76"/>
  <c r="AQ436" i="76" s="1"/>
  <c r="AH436" i="76"/>
  <c r="AW436" i="76" s="1"/>
  <c r="AH435" i="76"/>
  <c r="AW435" i="76" s="1"/>
  <c r="AR434" i="76"/>
  <c r="AQ434" i="76" s="1"/>
  <c r="AH434" i="76"/>
  <c r="AW434" i="76" s="1"/>
  <c r="AR433" i="76"/>
  <c r="AQ433" i="76" s="1"/>
  <c r="AH433" i="76"/>
  <c r="AW433" i="76" s="1"/>
  <c r="AR432" i="76"/>
  <c r="AQ432" i="76" s="1"/>
  <c r="AH432" i="76"/>
  <c r="AW432" i="76" s="1"/>
  <c r="AR431" i="76"/>
  <c r="AQ431" i="76" s="1"/>
  <c r="AH431" i="76"/>
  <c r="AW431" i="76" s="1"/>
  <c r="AR430" i="76"/>
  <c r="AQ430" i="76" s="1"/>
  <c r="AH430" i="76"/>
  <c r="AW430" i="76" s="1"/>
  <c r="AR429" i="76"/>
  <c r="AQ429" i="76" s="1"/>
  <c r="AH429" i="76"/>
  <c r="AW429" i="76" s="1"/>
  <c r="AR428" i="76"/>
  <c r="AQ428" i="76" s="1"/>
  <c r="AH428" i="76"/>
  <c r="AW428" i="76" s="1"/>
  <c r="AR427" i="76"/>
  <c r="AQ427" i="76" s="1"/>
  <c r="AH427" i="76"/>
  <c r="AW427" i="76" s="1"/>
  <c r="AR426" i="76"/>
  <c r="AQ426" i="76" s="1"/>
  <c r="AH426" i="76"/>
  <c r="AW426" i="76" s="1"/>
  <c r="AR425" i="76"/>
  <c r="AQ425" i="76" s="1"/>
  <c r="AH425" i="76"/>
  <c r="AW425" i="76" s="1"/>
  <c r="AR424" i="76"/>
  <c r="AQ424" i="76" s="1"/>
  <c r="AH424" i="76"/>
  <c r="AW424" i="76" s="1"/>
  <c r="AR423" i="76"/>
  <c r="AQ423" i="76" s="1"/>
  <c r="AH423" i="76"/>
  <c r="AW423" i="76" s="1"/>
  <c r="AR422" i="76"/>
  <c r="AQ422" i="76" s="1"/>
  <c r="AH422" i="76"/>
  <c r="AW422" i="76" s="1"/>
  <c r="AR421" i="76"/>
  <c r="AQ421" i="76" s="1"/>
  <c r="AH421" i="76"/>
  <c r="AW421" i="76" s="1"/>
  <c r="AR420" i="76"/>
  <c r="AQ420" i="76" s="1"/>
  <c r="AH420" i="76"/>
  <c r="AW420" i="76" s="1"/>
  <c r="AR419" i="76"/>
  <c r="AQ419" i="76" s="1"/>
  <c r="AH419" i="76"/>
  <c r="AW419" i="76" s="1"/>
  <c r="AR418" i="76"/>
  <c r="AQ418" i="76" s="1"/>
  <c r="AH418" i="76"/>
  <c r="AW418" i="76" s="1"/>
  <c r="AR417" i="76"/>
  <c r="AQ417" i="76" s="1"/>
  <c r="AH417" i="76"/>
  <c r="AW417" i="76" s="1"/>
  <c r="AR416" i="76"/>
  <c r="AQ416" i="76" s="1"/>
  <c r="AH416" i="76"/>
  <c r="AW416" i="76" s="1"/>
  <c r="AR415" i="76"/>
  <c r="AQ415" i="76" s="1"/>
  <c r="AH415" i="76"/>
  <c r="AW415" i="76" s="1"/>
  <c r="AR414" i="76"/>
  <c r="AQ414" i="76" s="1"/>
  <c r="AH414" i="76"/>
  <c r="AW414" i="76" s="1"/>
  <c r="AR413" i="76"/>
  <c r="AQ413" i="76" s="1"/>
  <c r="AH413" i="76"/>
  <c r="AW413" i="76" s="1"/>
  <c r="AR412" i="76"/>
  <c r="AQ412" i="76" s="1"/>
  <c r="AH412" i="76"/>
  <c r="AW412" i="76" s="1"/>
  <c r="AR411" i="76"/>
  <c r="AQ411" i="76" s="1"/>
  <c r="AH411" i="76"/>
  <c r="AW411" i="76" s="1"/>
  <c r="AR410" i="76"/>
  <c r="AQ410" i="76" s="1"/>
  <c r="AH410" i="76"/>
  <c r="AW410" i="76" s="1"/>
  <c r="AR409" i="76"/>
  <c r="AQ409" i="76" s="1"/>
  <c r="AH409" i="76"/>
  <c r="AW409" i="76" s="1"/>
  <c r="AR408" i="76"/>
  <c r="AQ408" i="76" s="1"/>
  <c r="AH408" i="76"/>
  <c r="AW408" i="76" s="1"/>
  <c r="AR407" i="76"/>
  <c r="AQ407" i="76" s="1"/>
  <c r="AH407" i="76"/>
  <c r="AW407" i="76" s="1"/>
  <c r="AR406" i="76"/>
  <c r="AQ406" i="76" s="1"/>
  <c r="AH406" i="76"/>
  <c r="AW406" i="76" s="1"/>
  <c r="AR405" i="76"/>
  <c r="AQ405" i="76" s="1"/>
  <c r="AH405" i="76"/>
  <c r="AW405" i="76" s="1"/>
  <c r="AR404" i="76"/>
  <c r="AQ404" i="76" s="1"/>
  <c r="AH404" i="76"/>
  <c r="AW404" i="76" s="1"/>
  <c r="AR403" i="76"/>
  <c r="AQ403" i="76" s="1"/>
  <c r="AH403" i="76"/>
  <c r="AW403" i="76" s="1"/>
  <c r="AR402" i="76"/>
  <c r="AQ402" i="76" s="1"/>
  <c r="AH402" i="76"/>
  <c r="AW402" i="76" s="1"/>
  <c r="AR401" i="76"/>
  <c r="AQ401" i="76" s="1"/>
  <c r="AH401" i="76"/>
  <c r="AW401" i="76" s="1"/>
  <c r="AR400" i="76"/>
  <c r="AQ400" i="76" s="1"/>
  <c r="AH400" i="76"/>
  <c r="AW400" i="76" s="1"/>
  <c r="AR399" i="76"/>
  <c r="AQ399" i="76" s="1"/>
  <c r="AH399" i="76"/>
  <c r="AW399" i="76" s="1"/>
  <c r="AR398" i="76"/>
  <c r="AQ398" i="76" s="1"/>
  <c r="AH398" i="76"/>
  <c r="AW398" i="76" s="1"/>
  <c r="AR397" i="76"/>
  <c r="AQ397" i="76" s="1"/>
  <c r="AH397" i="76"/>
  <c r="AW397" i="76" s="1"/>
  <c r="AR396" i="76"/>
  <c r="AQ396" i="76" s="1"/>
  <c r="AH396" i="76"/>
  <c r="AW396" i="76" s="1"/>
  <c r="AR395" i="76"/>
  <c r="AQ395" i="76" s="1"/>
  <c r="AH395" i="76"/>
  <c r="AW395" i="76" s="1"/>
  <c r="AR394" i="76"/>
  <c r="AQ394" i="76" s="1"/>
  <c r="AH394" i="76"/>
  <c r="AW394" i="76" s="1"/>
  <c r="AR393" i="76"/>
  <c r="AQ393" i="76" s="1"/>
  <c r="AH393" i="76"/>
  <c r="AW393" i="76" s="1"/>
  <c r="AR392" i="76"/>
  <c r="AQ392" i="76" s="1"/>
  <c r="AH392" i="76"/>
  <c r="AW392" i="76" s="1"/>
  <c r="AR391" i="76"/>
  <c r="AQ391" i="76" s="1"/>
  <c r="AH391" i="76"/>
  <c r="AW391" i="76" s="1"/>
  <c r="AR390" i="76"/>
  <c r="AQ390" i="76" s="1"/>
  <c r="AH390" i="76"/>
  <c r="AW390" i="76" s="1"/>
  <c r="AR389" i="76"/>
  <c r="AQ389" i="76" s="1"/>
  <c r="AH389" i="76"/>
  <c r="AW389" i="76" s="1"/>
  <c r="AR388" i="76"/>
  <c r="AQ388" i="76" s="1"/>
  <c r="AH388" i="76"/>
  <c r="AW388" i="76" s="1"/>
  <c r="AR387" i="76"/>
  <c r="AQ387" i="76" s="1"/>
  <c r="AH387" i="76"/>
  <c r="AW387" i="76" s="1"/>
  <c r="AR386" i="76"/>
  <c r="AQ386" i="76" s="1"/>
  <c r="AH386" i="76"/>
  <c r="AW386" i="76" s="1"/>
  <c r="AR385" i="76"/>
  <c r="AQ385" i="76" s="1"/>
  <c r="AH385" i="76"/>
  <c r="AW385" i="76" s="1"/>
  <c r="AR384" i="76"/>
  <c r="AQ384" i="76" s="1"/>
  <c r="AH384" i="76"/>
  <c r="AW384" i="76" s="1"/>
  <c r="AR383" i="76"/>
  <c r="AQ383" i="76" s="1"/>
  <c r="AH383" i="76"/>
  <c r="AW383" i="76" s="1"/>
  <c r="AR382" i="76"/>
  <c r="AQ382" i="76" s="1"/>
  <c r="AH382" i="76"/>
  <c r="AW382" i="76" s="1"/>
  <c r="AR381" i="76"/>
  <c r="AQ381" i="76" s="1"/>
  <c r="AH381" i="76"/>
  <c r="AW381" i="76" s="1"/>
  <c r="AR380" i="76"/>
  <c r="AQ380" i="76" s="1"/>
  <c r="AH380" i="76"/>
  <c r="AW380" i="76" s="1"/>
  <c r="AR379" i="76"/>
  <c r="AQ379" i="76" s="1"/>
  <c r="AH379" i="76"/>
  <c r="AW379" i="76" s="1"/>
  <c r="AR378" i="76"/>
  <c r="AQ378" i="76" s="1"/>
  <c r="AH378" i="76"/>
  <c r="AW378" i="76" s="1"/>
  <c r="AR377" i="76"/>
  <c r="AQ377" i="76" s="1"/>
  <c r="AH377" i="76"/>
  <c r="AW377" i="76" s="1"/>
  <c r="AR376" i="76"/>
  <c r="AQ376" i="76" s="1"/>
  <c r="AH376" i="76"/>
  <c r="AW376" i="76" s="1"/>
  <c r="AR375" i="76"/>
  <c r="AQ375" i="76" s="1"/>
  <c r="AH375" i="76"/>
  <c r="AW375" i="76" s="1"/>
  <c r="AR374" i="76"/>
  <c r="AQ374" i="76" s="1"/>
  <c r="AH374" i="76"/>
  <c r="AW374" i="76" s="1"/>
  <c r="AR373" i="76"/>
  <c r="AQ373" i="76" s="1"/>
  <c r="AH373" i="76"/>
  <c r="AW373" i="76" s="1"/>
  <c r="AR372" i="76"/>
  <c r="AQ372" i="76" s="1"/>
  <c r="AH372" i="76"/>
  <c r="AW372" i="76" s="1"/>
  <c r="AR371" i="76"/>
  <c r="AQ371" i="76" s="1"/>
  <c r="AH371" i="76"/>
  <c r="AW371" i="76" s="1"/>
  <c r="AR370" i="76"/>
  <c r="AQ370" i="76" s="1"/>
  <c r="AH370" i="76"/>
  <c r="AW370" i="76" s="1"/>
  <c r="AR369" i="76"/>
  <c r="AQ369" i="76" s="1"/>
  <c r="AH369" i="76"/>
  <c r="AW369" i="76" s="1"/>
  <c r="AR368" i="76"/>
  <c r="AQ368" i="76" s="1"/>
  <c r="AH368" i="76"/>
  <c r="AW368" i="76" s="1"/>
  <c r="AR367" i="76"/>
  <c r="AQ367" i="76" s="1"/>
  <c r="AH367" i="76"/>
  <c r="AW367" i="76" s="1"/>
  <c r="AR366" i="76"/>
  <c r="AQ366" i="76" s="1"/>
  <c r="AH366" i="76"/>
  <c r="AW366" i="76" s="1"/>
  <c r="AR365" i="76"/>
  <c r="AQ365" i="76" s="1"/>
  <c r="AH365" i="76"/>
  <c r="AW365" i="76" s="1"/>
  <c r="AR364" i="76"/>
  <c r="AQ364" i="76" s="1"/>
  <c r="AH364" i="76"/>
  <c r="AW364" i="76" s="1"/>
  <c r="AR363" i="76"/>
  <c r="AQ363" i="76" s="1"/>
  <c r="AH363" i="76"/>
  <c r="AW363" i="76" s="1"/>
  <c r="AR362" i="76"/>
  <c r="AQ362" i="76" s="1"/>
  <c r="AH362" i="76"/>
  <c r="AW362" i="76" s="1"/>
  <c r="AR361" i="76"/>
  <c r="AQ361" i="76" s="1"/>
  <c r="AH361" i="76"/>
  <c r="AW361" i="76" s="1"/>
  <c r="AR360" i="76"/>
  <c r="AQ360" i="76" s="1"/>
  <c r="AH360" i="76"/>
  <c r="AW360" i="76" s="1"/>
  <c r="AR359" i="76"/>
  <c r="AQ359" i="76" s="1"/>
  <c r="AH359" i="76"/>
  <c r="AW359" i="76" s="1"/>
  <c r="AR358" i="76"/>
  <c r="AQ358" i="76" s="1"/>
  <c r="AH358" i="76"/>
  <c r="AW358" i="76" s="1"/>
  <c r="AR357" i="76"/>
  <c r="AQ357" i="76" s="1"/>
  <c r="AH357" i="76"/>
  <c r="AW357" i="76" s="1"/>
  <c r="AR356" i="76"/>
  <c r="AQ356" i="76" s="1"/>
  <c r="AH356" i="76"/>
  <c r="AW356" i="76" s="1"/>
  <c r="AR355" i="76"/>
  <c r="AQ355" i="76" s="1"/>
  <c r="AH355" i="76"/>
  <c r="AW355" i="76" s="1"/>
  <c r="AR354" i="76"/>
  <c r="AQ354" i="76" s="1"/>
  <c r="AH354" i="76"/>
  <c r="AW354" i="76" s="1"/>
  <c r="AR353" i="76"/>
  <c r="AQ353" i="76" s="1"/>
  <c r="AH353" i="76"/>
  <c r="AW353" i="76" s="1"/>
  <c r="AR352" i="76"/>
  <c r="AQ352" i="76" s="1"/>
  <c r="AH352" i="76"/>
  <c r="AW352" i="76" s="1"/>
  <c r="AR351" i="76"/>
  <c r="AQ351" i="76" s="1"/>
  <c r="AH351" i="76"/>
  <c r="AW351" i="76" s="1"/>
  <c r="AR350" i="76"/>
  <c r="AQ350" i="76" s="1"/>
  <c r="AH350" i="76"/>
  <c r="AW350" i="76" s="1"/>
  <c r="AR349" i="76"/>
  <c r="AQ349" i="76" s="1"/>
  <c r="AH349" i="76"/>
  <c r="AW349" i="76" s="1"/>
  <c r="AR348" i="76"/>
  <c r="AQ348" i="76" s="1"/>
  <c r="AH348" i="76"/>
  <c r="AW348" i="76" s="1"/>
  <c r="AR347" i="76"/>
  <c r="AQ347" i="76" s="1"/>
  <c r="AH347" i="76"/>
  <c r="AW347" i="76" s="1"/>
  <c r="AH346" i="76"/>
  <c r="AW346" i="76" s="1"/>
  <c r="AR345" i="76"/>
  <c r="AQ345" i="76" s="1"/>
  <c r="AH345" i="76"/>
  <c r="AW345" i="76" s="1"/>
  <c r="AR344" i="76"/>
  <c r="AQ344" i="76" s="1"/>
  <c r="AH344" i="76"/>
  <c r="AW344" i="76" s="1"/>
  <c r="AR343" i="76"/>
  <c r="AQ343" i="76" s="1"/>
  <c r="AH343" i="76"/>
  <c r="AW343" i="76" s="1"/>
  <c r="AR342" i="76"/>
  <c r="AQ342" i="76" s="1"/>
  <c r="AH342" i="76"/>
  <c r="AW342" i="76" s="1"/>
  <c r="AR341" i="76"/>
  <c r="AQ341" i="76" s="1"/>
  <c r="AH341" i="76"/>
  <c r="AW341" i="76" s="1"/>
  <c r="AR340" i="76"/>
  <c r="AQ340" i="76" s="1"/>
  <c r="AH340" i="76"/>
  <c r="AW340" i="76" s="1"/>
  <c r="AR339" i="76"/>
  <c r="AQ339" i="76" s="1"/>
  <c r="AH339" i="76"/>
  <c r="AW339" i="76" s="1"/>
  <c r="AR338" i="76"/>
  <c r="AQ338" i="76" s="1"/>
  <c r="AH338" i="76"/>
  <c r="AW338" i="76" s="1"/>
  <c r="AR337" i="76"/>
  <c r="AQ337" i="76" s="1"/>
  <c r="AH337" i="76"/>
  <c r="AW337" i="76" s="1"/>
  <c r="AH336" i="76"/>
  <c r="AW336" i="76" s="1"/>
  <c r="AH335" i="76"/>
  <c r="AW335" i="76" s="1"/>
  <c r="AH334" i="76"/>
  <c r="AW334" i="76" s="1"/>
  <c r="AH333" i="76"/>
  <c r="AW333" i="76" s="1"/>
  <c r="AH332" i="76"/>
  <c r="AW332" i="76" s="1"/>
  <c r="AH331" i="76"/>
  <c r="AW331" i="76" s="1"/>
  <c r="AH330" i="76"/>
  <c r="AW330" i="76" s="1"/>
  <c r="AH329" i="76"/>
  <c r="AW329" i="76" s="1"/>
  <c r="AH328" i="76"/>
  <c r="AW328" i="76" s="1"/>
  <c r="AR327" i="76"/>
  <c r="AQ327" i="76" s="1"/>
  <c r="AH327" i="76"/>
  <c r="AW327" i="76" s="1"/>
  <c r="AH326" i="76"/>
  <c r="AW326" i="76" s="1"/>
  <c r="AH325" i="76"/>
  <c r="AW325" i="76" s="1"/>
  <c r="AR324" i="76"/>
  <c r="AQ324" i="76" s="1"/>
  <c r="AH324" i="76"/>
  <c r="AW324" i="76" s="1"/>
  <c r="AR323" i="76"/>
  <c r="AQ323" i="76" s="1"/>
  <c r="AH323" i="76"/>
  <c r="AW323" i="76" s="1"/>
  <c r="AH322" i="76"/>
  <c r="AW322" i="76" s="1"/>
  <c r="AR321" i="76"/>
  <c r="AQ321" i="76" s="1"/>
  <c r="AH321" i="76"/>
  <c r="AW321" i="76" s="1"/>
  <c r="AR320" i="76"/>
  <c r="AQ320" i="76" s="1"/>
  <c r="AH320" i="76"/>
  <c r="AW320" i="76" s="1"/>
  <c r="AH319" i="76"/>
  <c r="AW319" i="76" s="1"/>
  <c r="AR318" i="76"/>
  <c r="AQ318" i="76" s="1"/>
  <c r="AH318" i="76"/>
  <c r="AW318" i="76" s="1"/>
  <c r="AH317" i="76"/>
  <c r="AW317" i="76" s="1"/>
  <c r="AH316" i="76"/>
  <c r="AW316" i="76" s="1"/>
  <c r="AH315" i="76"/>
  <c r="AW315" i="76" s="1"/>
  <c r="AH314" i="76"/>
  <c r="AW314" i="76" s="1"/>
  <c r="AR313" i="76"/>
  <c r="AQ313" i="76" s="1"/>
  <c r="AH313" i="76"/>
  <c r="AW313" i="76" s="1"/>
  <c r="AH312" i="76"/>
  <c r="AW312" i="76" s="1"/>
  <c r="AR311" i="76"/>
  <c r="AQ311" i="76" s="1"/>
  <c r="AH311" i="76"/>
  <c r="AW311" i="76" s="1"/>
  <c r="AR310" i="76"/>
  <c r="AQ310" i="76" s="1"/>
  <c r="AH310" i="76"/>
  <c r="AW310" i="76" s="1"/>
  <c r="AR309" i="76"/>
  <c r="AQ309" i="76" s="1"/>
  <c r="AH309" i="76"/>
  <c r="AW309" i="76" s="1"/>
  <c r="AR308" i="76"/>
  <c r="AQ308" i="76" s="1"/>
  <c r="AH308" i="76"/>
  <c r="AW308" i="76" s="1"/>
  <c r="AR307" i="76"/>
  <c r="AQ307" i="76" s="1"/>
  <c r="AH307" i="76"/>
  <c r="AW307" i="76" s="1"/>
  <c r="AR306" i="76"/>
  <c r="AQ306" i="76" s="1"/>
  <c r="AH306" i="76"/>
  <c r="AW306" i="76" s="1"/>
  <c r="AR305" i="76"/>
  <c r="AQ305" i="76" s="1"/>
  <c r="AH305" i="76"/>
  <c r="AW305" i="76" s="1"/>
  <c r="AR304" i="76"/>
  <c r="AQ304" i="76" s="1"/>
  <c r="AH304" i="76"/>
  <c r="AW304" i="76" s="1"/>
  <c r="AR303" i="76"/>
  <c r="AQ303" i="76" s="1"/>
  <c r="AH303" i="76"/>
  <c r="AW303" i="76" s="1"/>
  <c r="AR302" i="76"/>
  <c r="AQ302" i="76" s="1"/>
  <c r="AH302" i="76"/>
  <c r="AW302" i="76" s="1"/>
  <c r="AH301" i="76"/>
  <c r="AW301" i="76" s="1"/>
  <c r="AR300" i="76"/>
  <c r="AQ300" i="76" s="1"/>
  <c r="AH300" i="76"/>
  <c r="AW300" i="76" s="1"/>
  <c r="AH299" i="76"/>
  <c r="AW299" i="76" s="1"/>
  <c r="AR298" i="76"/>
  <c r="AQ298" i="76" s="1"/>
  <c r="AH298" i="76"/>
  <c r="AW298" i="76" s="1"/>
  <c r="AH297" i="76"/>
  <c r="AW297" i="76" s="1"/>
  <c r="AH296" i="76"/>
  <c r="AW296" i="76" s="1"/>
  <c r="AR295" i="76"/>
  <c r="AQ295" i="76" s="1"/>
  <c r="AH295" i="76"/>
  <c r="AW295" i="76" s="1"/>
  <c r="AR294" i="76"/>
  <c r="AQ294" i="76" s="1"/>
  <c r="AH294" i="76"/>
  <c r="AW294" i="76" s="1"/>
  <c r="AR293" i="76"/>
  <c r="AQ293" i="76" s="1"/>
  <c r="AH293" i="76"/>
  <c r="AW293" i="76" s="1"/>
  <c r="AR292" i="76"/>
  <c r="AQ292" i="76" s="1"/>
  <c r="AH292" i="76"/>
  <c r="AW292" i="76" s="1"/>
  <c r="AR291" i="76"/>
  <c r="AQ291" i="76" s="1"/>
  <c r="AH291" i="76"/>
  <c r="AW291" i="76" s="1"/>
  <c r="AR290" i="76"/>
  <c r="AQ290" i="76" s="1"/>
  <c r="AH290" i="76"/>
  <c r="AW290" i="76" s="1"/>
  <c r="AH289" i="76"/>
  <c r="AW289" i="76" s="1"/>
  <c r="AH288" i="76"/>
  <c r="AW288" i="76" s="1"/>
  <c r="AR287" i="76"/>
  <c r="AQ287" i="76" s="1"/>
  <c r="AH287" i="76"/>
  <c r="AW287" i="76" s="1"/>
  <c r="AH286" i="76"/>
  <c r="AW286" i="76" s="1"/>
  <c r="AR285" i="76"/>
  <c r="AQ285" i="76" s="1"/>
  <c r="AH285" i="76"/>
  <c r="AW285" i="76" s="1"/>
  <c r="AR284" i="76"/>
  <c r="AQ284" i="76" s="1"/>
  <c r="AH284" i="76"/>
  <c r="AW284" i="76" s="1"/>
  <c r="AR283" i="76"/>
  <c r="AQ283" i="76" s="1"/>
  <c r="AH283" i="76"/>
  <c r="AW283" i="76" s="1"/>
  <c r="AR282" i="76"/>
  <c r="AQ282" i="76" s="1"/>
  <c r="AH282" i="76"/>
  <c r="AW282" i="76" s="1"/>
  <c r="AR281" i="76"/>
  <c r="AQ281" i="76" s="1"/>
  <c r="AH281" i="76"/>
  <c r="AW281" i="76" s="1"/>
  <c r="AR280" i="76"/>
  <c r="AQ280" i="76" s="1"/>
  <c r="AH280" i="76"/>
  <c r="AW280" i="76" s="1"/>
  <c r="AR279" i="76"/>
  <c r="AQ279" i="76" s="1"/>
  <c r="AH279" i="76"/>
  <c r="AW279" i="76" s="1"/>
  <c r="AR278" i="76"/>
  <c r="AQ278" i="76" s="1"/>
  <c r="AH278" i="76"/>
  <c r="AW278" i="76" s="1"/>
  <c r="AR277" i="76"/>
  <c r="AQ277" i="76" s="1"/>
  <c r="AH277" i="76"/>
  <c r="AW277" i="76" s="1"/>
  <c r="AR276" i="76"/>
  <c r="AQ276" i="76" s="1"/>
  <c r="AH276" i="76"/>
  <c r="AW276" i="76" s="1"/>
  <c r="AR275" i="76"/>
  <c r="AQ275" i="76" s="1"/>
  <c r="AH275" i="76"/>
  <c r="AW275" i="76" s="1"/>
  <c r="AR274" i="76"/>
  <c r="AQ274" i="76" s="1"/>
  <c r="AH274" i="76"/>
  <c r="AW274" i="76" s="1"/>
  <c r="AR273" i="76"/>
  <c r="AQ273" i="76" s="1"/>
  <c r="AH273" i="76"/>
  <c r="AW273" i="76" s="1"/>
  <c r="AR272" i="76"/>
  <c r="AQ272" i="76" s="1"/>
  <c r="AH272" i="76"/>
  <c r="AW272" i="76" s="1"/>
  <c r="AR271" i="76"/>
  <c r="AQ271" i="76" s="1"/>
  <c r="AH271" i="76"/>
  <c r="AW271" i="76" s="1"/>
  <c r="AR270" i="76"/>
  <c r="AQ270" i="76" s="1"/>
  <c r="AH270" i="76"/>
  <c r="AW270" i="76" s="1"/>
  <c r="AR269" i="76"/>
  <c r="AQ269" i="76" s="1"/>
  <c r="AH269" i="76"/>
  <c r="AW269" i="76" s="1"/>
  <c r="AR268" i="76"/>
  <c r="AQ268" i="76" s="1"/>
  <c r="AH268" i="76"/>
  <c r="AW268" i="76" s="1"/>
  <c r="AR267" i="76"/>
  <c r="AQ267" i="76" s="1"/>
  <c r="AH267" i="76"/>
  <c r="AW267" i="76" s="1"/>
  <c r="AR266" i="76"/>
  <c r="AQ266" i="76" s="1"/>
  <c r="AH266" i="76"/>
  <c r="AW266" i="76" s="1"/>
  <c r="AR265" i="76"/>
  <c r="AQ265" i="76" s="1"/>
  <c r="AH265" i="76"/>
  <c r="AW265" i="76" s="1"/>
  <c r="AR264" i="76"/>
  <c r="AQ264" i="76" s="1"/>
  <c r="AH264" i="76"/>
  <c r="AW264" i="76" s="1"/>
  <c r="AR263" i="76"/>
  <c r="AQ263" i="76" s="1"/>
  <c r="AH263" i="76"/>
  <c r="AW263" i="76" s="1"/>
  <c r="AR262" i="76"/>
  <c r="AQ262" i="76" s="1"/>
  <c r="AH262" i="76"/>
  <c r="AW262" i="76" s="1"/>
  <c r="AR261" i="76"/>
  <c r="AQ261" i="76" s="1"/>
  <c r="AH261" i="76"/>
  <c r="AW261" i="76" s="1"/>
  <c r="AR260" i="76"/>
  <c r="AQ260" i="76" s="1"/>
  <c r="AH260" i="76"/>
  <c r="AW260" i="76" s="1"/>
  <c r="AR259" i="76"/>
  <c r="AQ259" i="76" s="1"/>
  <c r="AH259" i="76"/>
  <c r="AW259" i="76" s="1"/>
  <c r="AR258" i="76"/>
  <c r="AQ258" i="76" s="1"/>
  <c r="AH258" i="76"/>
  <c r="AW258" i="76" s="1"/>
  <c r="AR257" i="76"/>
  <c r="AQ257" i="76" s="1"/>
  <c r="AH257" i="76"/>
  <c r="AW257" i="76" s="1"/>
  <c r="AR256" i="76"/>
  <c r="AQ256" i="76" s="1"/>
  <c r="AH256" i="76"/>
  <c r="AW256" i="76" s="1"/>
  <c r="AR255" i="76"/>
  <c r="AQ255" i="76" s="1"/>
  <c r="AH255" i="76"/>
  <c r="AW255" i="76" s="1"/>
  <c r="AR254" i="76"/>
  <c r="AQ254" i="76" s="1"/>
  <c r="AH254" i="76"/>
  <c r="AW254" i="76" s="1"/>
  <c r="AR253" i="76"/>
  <c r="AQ253" i="76" s="1"/>
  <c r="AH253" i="76"/>
  <c r="AW253" i="76" s="1"/>
  <c r="AR252" i="76"/>
  <c r="AQ252" i="76" s="1"/>
  <c r="AH252" i="76"/>
  <c r="AW252" i="76" s="1"/>
  <c r="AR251" i="76"/>
  <c r="AQ251" i="76" s="1"/>
  <c r="AH251" i="76"/>
  <c r="AW251" i="76" s="1"/>
  <c r="AR250" i="76"/>
  <c r="AQ250" i="76" s="1"/>
  <c r="AH250" i="76"/>
  <c r="AW250" i="76" s="1"/>
  <c r="AR249" i="76"/>
  <c r="AQ249" i="76" s="1"/>
  <c r="AH249" i="76"/>
  <c r="AW249" i="76" s="1"/>
  <c r="AR248" i="76"/>
  <c r="AQ248" i="76" s="1"/>
  <c r="AH248" i="76"/>
  <c r="AW248" i="76" s="1"/>
  <c r="AR247" i="76"/>
  <c r="AQ247" i="76" s="1"/>
  <c r="AH247" i="76"/>
  <c r="AW247" i="76" s="1"/>
  <c r="AR246" i="76"/>
  <c r="AQ246" i="76" s="1"/>
  <c r="AH246" i="76"/>
  <c r="AW246" i="76" s="1"/>
  <c r="AR245" i="76"/>
  <c r="AQ245" i="76" s="1"/>
  <c r="AH245" i="76"/>
  <c r="AW245" i="76" s="1"/>
  <c r="AR244" i="76"/>
  <c r="AQ244" i="76" s="1"/>
  <c r="AH244" i="76"/>
  <c r="AW244" i="76" s="1"/>
  <c r="AR243" i="76"/>
  <c r="AQ243" i="76" s="1"/>
  <c r="AH243" i="76"/>
  <c r="AW243" i="76" s="1"/>
  <c r="AR242" i="76"/>
  <c r="AQ242" i="76" s="1"/>
  <c r="AH242" i="76"/>
  <c r="AW242" i="76" s="1"/>
  <c r="AR241" i="76"/>
  <c r="AQ241" i="76" s="1"/>
  <c r="AH241" i="76"/>
  <c r="AW241" i="76" s="1"/>
  <c r="AR240" i="76"/>
  <c r="AQ240" i="76" s="1"/>
  <c r="AH240" i="76"/>
  <c r="AW240" i="76" s="1"/>
  <c r="AR239" i="76"/>
  <c r="AQ239" i="76" s="1"/>
  <c r="AH239" i="76"/>
  <c r="AW239" i="76" s="1"/>
  <c r="AR238" i="76"/>
  <c r="AQ238" i="76" s="1"/>
  <c r="AH238" i="76"/>
  <c r="AW238" i="76" s="1"/>
  <c r="AR237" i="76"/>
  <c r="AQ237" i="76" s="1"/>
  <c r="AH237" i="76"/>
  <c r="AW237" i="76" s="1"/>
  <c r="AR236" i="76"/>
  <c r="AQ236" i="76" s="1"/>
  <c r="AH236" i="76"/>
  <c r="AW236" i="76" s="1"/>
  <c r="AR235" i="76"/>
  <c r="AQ235" i="76" s="1"/>
  <c r="AH235" i="76"/>
  <c r="AW235" i="76" s="1"/>
  <c r="AR234" i="76"/>
  <c r="AQ234" i="76" s="1"/>
  <c r="AH234" i="76"/>
  <c r="AW234" i="76" s="1"/>
  <c r="AR233" i="76"/>
  <c r="AQ233" i="76" s="1"/>
  <c r="AH233" i="76"/>
  <c r="AW233" i="76" s="1"/>
  <c r="AR232" i="76"/>
  <c r="AQ232" i="76" s="1"/>
  <c r="AH232" i="76"/>
  <c r="AW232" i="76" s="1"/>
  <c r="AR231" i="76"/>
  <c r="AQ231" i="76" s="1"/>
  <c r="AH231" i="76"/>
  <c r="AW231" i="76" s="1"/>
  <c r="AR230" i="76"/>
  <c r="AQ230" i="76" s="1"/>
  <c r="AH230" i="76"/>
  <c r="AW230" i="76" s="1"/>
  <c r="AR229" i="76"/>
  <c r="AQ229" i="76" s="1"/>
  <c r="AH229" i="76"/>
  <c r="AW229" i="76" s="1"/>
  <c r="AR228" i="76"/>
  <c r="AQ228" i="76" s="1"/>
  <c r="AH228" i="76"/>
  <c r="AW228" i="76" s="1"/>
  <c r="AR227" i="76"/>
  <c r="AQ227" i="76" s="1"/>
  <c r="AH227" i="76"/>
  <c r="AW227" i="76" s="1"/>
  <c r="AR226" i="76"/>
  <c r="AQ226" i="76" s="1"/>
  <c r="AH226" i="76"/>
  <c r="AW226" i="76" s="1"/>
  <c r="AR225" i="76"/>
  <c r="AQ225" i="76" s="1"/>
  <c r="AH225" i="76"/>
  <c r="AW225" i="76" s="1"/>
  <c r="AR224" i="76"/>
  <c r="AQ224" i="76" s="1"/>
  <c r="AH224" i="76"/>
  <c r="AW224" i="76" s="1"/>
  <c r="AR223" i="76"/>
  <c r="AQ223" i="76" s="1"/>
  <c r="AH223" i="76"/>
  <c r="AW223" i="76" s="1"/>
  <c r="AR222" i="76"/>
  <c r="AQ222" i="76" s="1"/>
  <c r="AH222" i="76"/>
  <c r="AW222" i="76" s="1"/>
  <c r="AR221" i="76"/>
  <c r="AQ221" i="76" s="1"/>
  <c r="AH221" i="76"/>
  <c r="AW221" i="76" s="1"/>
  <c r="AR220" i="76"/>
  <c r="AQ220" i="76" s="1"/>
  <c r="AH220" i="76"/>
  <c r="AW220" i="76" s="1"/>
  <c r="AR219" i="76"/>
  <c r="AQ219" i="76" s="1"/>
  <c r="AH219" i="76"/>
  <c r="AW219" i="76" s="1"/>
  <c r="AR218" i="76"/>
  <c r="AQ218" i="76" s="1"/>
  <c r="AH218" i="76"/>
  <c r="AW218" i="76" s="1"/>
  <c r="AH217" i="76"/>
  <c r="AW217" i="76" s="1"/>
  <c r="AR216" i="76"/>
  <c r="AQ216" i="76" s="1"/>
  <c r="AH216" i="76"/>
  <c r="AW216" i="76" s="1"/>
  <c r="AH215" i="76"/>
  <c r="AW215" i="76" s="1"/>
  <c r="AR214" i="76"/>
  <c r="AQ214" i="76" s="1"/>
  <c r="AH214" i="76"/>
  <c r="AW214" i="76" s="1"/>
  <c r="AR213" i="76"/>
  <c r="AQ213" i="76" s="1"/>
  <c r="AH213" i="76"/>
  <c r="AW213" i="76" s="1"/>
  <c r="AR212" i="76"/>
  <c r="AQ212" i="76" s="1"/>
  <c r="AH212" i="76"/>
  <c r="AW212" i="76" s="1"/>
  <c r="AR211" i="76"/>
  <c r="AQ211" i="76" s="1"/>
  <c r="AH211" i="76"/>
  <c r="AW211" i="76" s="1"/>
  <c r="AR210" i="76"/>
  <c r="AQ210" i="76" s="1"/>
  <c r="AH210" i="76"/>
  <c r="AW210" i="76" s="1"/>
  <c r="AR209" i="76"/>
  <c r="AQ209" i="76" s="1"/>
  <c r="AH209" i="76"/>
  <c r="AW209" i="76" s="1"/>
  <c r="AR208" i="76"/>
  <c r="AQ208" i="76" s="1"/>
  <c r="AH208" i="76"/>
  <c r="AW208" i="76" s="1"/>
  <c r="AR207" i="76"/>
  <c r="AQ207" i="76" s="1"/>
  <c r="AH207" i="76"/>
  <c r="AW207" i="76" s="1"/>
  <c r="AR206" i="76"/>
  <c r="AQ206" i="76" s="1"/>
  <c r="AH206" i="76"/>
  <c r="AW206" i="76" s="1"/>
  <c r="AR205" i="76"/>
  <c r="AQ205" i="76" s="1"/>
  <c r="AH205" i="76"/>
  <c r="AW205" i="76" s="1"/>
  <c r="AR204" i="76"/>
  <c r="AQ204" i="76" s="1"/>
  <c r="AH204" i="76"/>
  <c r="AW204" i="76" s="1"/>
  <c r="AR203" i="76"/>
  <c r="AQ203" i="76" s="1"/>
  <c r="AH203" i="76"/>
  <c r="AW203" i="76" s="1"/>
  <c r="AR202" i="76"/>
  <c r="AQ202" i="76" s="1"/>
  <c r="AH202" i="76"/>
  <c r="AW202" i="76" s="1"/>
  <c r="AR201" i="76"/>
  <c r="AQ201" i="76" s="1"/>
  <c r="AH201" i="76"/>
  <c r="AW201" i="76" s="1"/>
  <c r="AR200" i="76"/>
  <c r="AQ200" i="76" s="1"/>
  <c r="AH200" i="76"/>
  <c r="AW200" i="76" s="1"/>
  <c r="AR199" i="76"/>
  <c r="AQ199" i="76" s="1"/>
  <c r="AH199" i="76"/>
  <c r="AW199" i="76" s="1"/>
  <c r="AR198" i="76"/>
  <c r="AQ198" i="76" s="1"/>
  <c r="AH198" i="76"/>
  <c r="AW198" i="76" s="1"/>
  <c r="AR197" i="76"/>
  <c r="AQ197" i="76" s="1"/>
  <c r="AH197" i="76"/>
  <c r="AW197" i="76" s="1"/>
  <c r="AH196" i="76"/>
  <c r="AW196" i="76" s="1"/>
  <c r="AR195" i="76"/>
  <c r="AQ195" i="76" s="1"/>
  <c r="AH195" i="76"/>
  <c r="AW195" i="76" s="1"/>
  <c r="AR194" i="76"/>
  <c r="AQ194" i="76" s="1"/>
  <c r="AH194" i="76"/>
  <c r="AW194" i="76" s="1"/>
  <c r="AR193" i="76"/>
  <c r="AQ193" i="76" s="1"/>
  <c r="AH193" i="76"/>
  <c r="AW193" i="76" s="1"/>
  <c r="AR192" i="76"/>
  <c r="AQ192" i="76" s="1"/>
  <c r="AH192" i="76"/>
  <c r="AW192" i="76" s="1"/>
  <c r="AH191" i="76"/>
  <c r="AW191" i="76" s="1"/>
  <c r="AR190" i="76"/>
  <c r="AQ190" i="76" s="1"/>
  <c r="AH190" i="76"/>
  <c r="AW190" i="76" s="1"/>
  <c r="AR189" i="76"/>
  <c r="AQ189" i="76" s="1"/>
  <c r="AH189" i="76"/>
  <c r="AW189" i="76" s="1"/>
  <c r="AR188" i="76"/>
  <c r="AQ188" i="76" s="1"/>
  <c r="AH188" i="76"/>
  <c r="AW188" i="76" s="1"/>
  <c r="AR187" i="76"/>
  <c r="AQ187" i="76" s="1"/>
  <c r="AH187" i="76"/>
  <c r="AW187" i="76" s="1"/>
  <c r="AH186" i="76"/>
  <c r="AW186" i="76" s="1"/>
  <c r="AR185" i="76"/>
  <c r="AQ185" i="76" s="1"/>
  <c r="AH185" i="76"/>
  <c r="AW185" i="76" s="1"/>
  <c r="AR184" i="76"/>
  <c r="AQ184" i="76" s="1"/>
  <c r="AH184" i="76"/>
  <c r="AW184" i="76" s="1"/>
  <c r="AR183" i="76"/>
  <c r="AQ183" i="76" s="1"/>
  <c r="AH183" i="76"/>
  <c r="AW183" i="76" s="1"/>
  <c r="AR182" i="76"/>
  <c r="AQ182" i="76" s="1"/>
  <c r="AH182" i="76"/>
  <c r="AW182" i="76" s="1"/>
  <c r="AR181" i="76"/>
  <c r="AQ181" i="76" s="1"/>
  <c r="AH181" i="76"/>
  <c r="AW181" i="76" s="1"/>
  <c r="AR180" i="76"/>
  <c r="AQ180" i="76" s="1"/>
  <c r="AH180" i="76"/>
  <c r="AW180" i="76" s="1"/>
  <c r="AR179" i="76"/>
  <c r="AQ179" i="76" s="1"/>
  <c r="AH179" i="76"/>
  <c r="AW179" i="76" s="1"/>
  <c r="AR178" i="76"/>
  <c r="AQ178" i="76" s="1"/>
  <c r="AH178" i="76"/>
  <c r="AW178" i="76" s="1"/>
  <c r="AR177" i="76"/>
  <c r="AQ177" i="76" s="1"/>
  <c r="AH177" i="76"/>
  <c r="AW177" i="76" s="1"/>
  <c r="AR176" i="76"/>
  <c r="AQ176" i="76" s="1"/>
  <c r="AH176" i="76"/>
  <c r="AW176" i="76" s="1"/>
  <c r="AR175" i="76"/>
  <c r="AQ175" i="76" s="1"/>
  <c r="AH175" i="76"/>
  <c r="AW175" i="76" s="1"/>
  <c r="AR174" i="76"/>
  <c r="AQ174" i="76" s="1"/>
  <c r="AH174" i="76"/>
  <c r="AW174" i="76" s="1"/>
  <c r="AR173" i="76"/>
  <c r="AQ173" i="76" s="1"/>
  <c r="AH173" i="76"/>
  <c r="AW173" i="76" s="1"/>
  <c r="AH172" i="76"/>
  <c r="AW172" i="76" s="1"/>
  <c r="AH171" i="76"/>
  <c r="AW171" i="76" s="1"/>
  <c r="AR170" i="76"/>
  <c r="AQ170" i="76" s="1"/>
  <c r="AH170" i="76"/>
  <c r="AW170" i="76" s="1"/>
  <c r="AR169" i="76"/>
  <c r="AQ169" i="76" s="1"/>
  <c r="AH169" i="76"/>
  <c r="AW169" i="76" s="1"/>
  <c r="AR168" i="76"/>
  <c r="AQ168" i="76" s="1"/>
  <c r="AH168" i="76"/>
  <c r="AW168" i="76" s="1"/>
  <c r="AR167" i="76"/>
  <c r="AQ167" i="76" s="1"/>
  <c r="AH167" i="76"/>
  <c r="AW167" i="76" s="1"/>
  <c r="AR166" i="76"/>
  <c r="AQ166" i="76" s="1"/>
  <c r="AH166" i="76"/>
  <c r="AW166" i="76" s="1"/>
  <c r="AR165" i="76"/>
  <c r="AQ165" i="76" s="1"/>
  <c r="AH165" i="76"/>
  <c r="AW165" i="76" s="1"/>
  <c r="AH164" i="76"/>
  <c r="AW164" i="76" s="1"/>
  <c r="AR163" i="76"/>
  <c r="AQ163" i="76" s="1"/>
  <c r="AH163" i="76"/>
  <c r="AW163" i="76" s="1"/>
  <c r="AH162" i="76"/>
  <c r="AW162" i="76" s="1"/>
  <c r="AR161" i="76"/>
  <c r="AQ161" i="76" s="1"/>
  <c r="AH161" i="76"/>
  <c r="AW161" i="76" s="1"/>
  <c r="AR160" i="76"/>
  <c r="AQ160" i="76" s="1"/>
  <c r="AH160" i="76"/>
  <c r="AW160" i="76" s="1"/>
  <c r="AR159" i="76"/>
  <c r="AQ159" i="76" s="1"/>
  <c r="AH159" i="76"/>
  <c r="AW159" i="76" s="1"/>
  <c r="AR158" i="76"/>
  <c r="AQ158" i="76" s="1"/>
  <c r="AH158" i="76"/>
  <c r="AW158" i="76" s="1"/>
  <c r="AR157" i="76"/>
  <c r="AQ157" i="76" s="1"/>
  <c r="AH157" i="76"/>
  <c r="AW157" i="76" s="1"/>
  <c r="AR156" i="76"/>
  <c r="AQ156" i="76" s="1"/>
  <c r="AH156" i="76"/>
  <c r="AW156" i="76" s="1"/>
  <c r="AR155" i="76"/>
  <c r="AQ155" i="76" s="1"/>
  <c r="AH155" i="76"/>
  <c r="AW155" i="76" s="1"/>
  <c r="AR154" i="76"/>
  <c r="AQ154" i="76" s="1"/>
  <c r="AR153" i="76"/>
  <c r="AQ153" i="76" s="1"/>
  <c r="AH153" i="76"/>
  <c r="AW153" i="76" s="1"/>
  <c r="AR152" i="76"/>
  <c r="AQ152" i="76" s="1"/>
  <c r="AH152" i="76"/>
  <c r="AW152" i="76" s="1"/>
  <c r="AR151" i="76"/>
  <c r="AQ151" i="76" s="1"/>
  <c r="AH151" i="76"/>
  <c r="AW151" i="76" s="1"/>
  <c r="AR150" i="76"/>
  <c r="AQ150" i="76" s="1"/>
  <c r="AH150" i="76"/>
  <c r="AW150" i="76" s="1"/>
  <c r="AR149" i="76"/>
  <c r="AQ149" i="76" s="1"/>
  <c r="AH149" i="76"/>
  <c r="AW149" i="76" s="1"/>
  <c r="AR148" i="76"/>
  <c r="AQ148" i="76" s="1"/>
  <c r="AH148" i="76"/>
  <c r="AW148" i="76" s="1"/>
  <c r="AR147" i="76"/>
  <c r="AQ147" i="76" s="1"/>
  <c r="AH147" i="76"/>
  <c r="AW147" i="76" s="1"/>
  <c r="AR146" i="76"/>
  <c r="AQ146" i="76" s="1"/>
  <c r="AH146" i="76"/>
  <c r="AW146" i="76" s="1"/>
  <c r="AR145" i="76"/>
  <c r="AQ145" i="76" s="1"/>
  <c r="AH145" i="76"/>
  <c r="AW145" i="76" s="1"/>
  <c r="AR144" i="76"/>
  <c r="AQ144" i="76" s="1"/>
  <c r="AH144" i="76"/>
  <c r="AW144" i="76" s="1"/>
  <c r="AR143" i="76"/>
  <c r="AQ143" i="76" s="1"/>
  <c r="AH143" i="76"/>
  <c r="AW143" i="76" s="1"/>
  <c r="AR142" i="76"/>
  <c r="AQ142" i="76" s="1"/>
  <c r="AH142" i="76"/>
  <c r="AW142" i="76" s="1"/>
  <c r="AH141" i="76"/>
  <c r="AW141" i="76" s="1"/>
  <c r="AR140" i="76"/>
  <c r="AQ140" i="76" s="1"/>
  <c r="AH140" i="76"/>
  <c r="AW140" i="76" s="1"/>
  <c r="AR139" i="76"/>
  <c r="AQ139" i="76" s="1"/>
  <c r="AH139" i="76"/>
  <c r="AW139" i="76" s="1"/>
  <c r="AH138" i="76"/>
  <c r="AW138" i="76" s="1"/>
  <c r="AR137" i="76"/>
  <c r="AQ137" i="76" s="1"/>
  <c r="AH137" i="76"/>
  <c r="AW137" i="76" s="1"/>
  <c r="AR136" i="76"/>
  <c r="AQ136" i="76" s="1"/>
  <c r="AH136" i="76"/>
  <c r="AW136" i="76" s="1"/>
  <c r="AR135" i="76"/>
  <c r="AQ135" i="76" s="1"/>
  <c r="AH135" i="76"/>
  <c r="AW135" i="76" s="1"/>
  <c r="AR134" i="76"/>
  <c r="AQ134" i="76" s="1"/>
  <c r="AH134" i="76"/>
  <c r="AW134" i="76" s="1"/>
  <c r="AR133" i="76"/>
  <c r="AQ133" i="76" s="1"/>
  <c r="AH133" i="76"/>
  <c r="AW133" i="76" s="1"/>
  <c r="AR132" i="76"/>
  <c r="AQ132" i="76" s="1"/>
  <c r="AH132" i="76"/>
  <c r="AW132" i="76" s="1"/>
  <c r="AR131" i="76"/>
  <c r="AQ131" i="76" s="1"/>
  <c r="AH131" i="76"/>
  <c r="AW131" i="76" s="1"/>
  <c r="AR130" i="76"/>
  <c r="AQ130" i="76" s="1"/>
  <c r="AH130" i="76"/>
  <c r="AW130" i="76" s="1"/>
  <c r="AR129" i="76"/>
  <c r="AQ129" i="76" s="1"/>
  <c r="AH129" i="76"/>
  <c r="AW129" i="76" s="1"/>
  <c r="AR128" i="76"/>
  <c r="AQ128" i="76" s="1"/>
  <c r="AH128" i="76"/>
  <c r="AW128" i="76" s="1"/>
  <c r="AR127" i="76"/>
  <c r="AQ127" i="76" s="1"/>
  <c r="AH127" i="76"/>
  <c r="AW127" i="76" s="1"/>
  <c r="AR126" i="76"/>
  <c r="AQ126" i="76" s="1"/>
  <c r="AH126" i="76"/>
  <c r="AW126" i="76" s="1"/>
  <c r="AR125" i="76"/>
  <c r="AQ125" i="76" s="1"/>
  <c r="AH125" i="76"/>
  <c r="AW125" i="76" s="1"/>
  <c r="AR124" i="76"/>
  <c r="AQ124" i="76" s="1"/>
  <c r="AH124" i="76"/>
  <c r="AW124" i="76" s="1"/>
  <c r="AR123" i="76"/>
  <c r="AQ123" i="76" s="1"/>
  <c r="AH123" i="76"/>
  <c r="AW123" i="76" s="1"/>
  <c r="AR122" i="76"/>
  <c r="AQ122" i="76" s="1"/>
  <c r="AH122" i="76"/>
  <c r="AW122" i="76" s="1"/>
  <c r="AR121" i="76"/>
  <c r="AQ121" i="76" s="1"/>
  <c r="AH121" i="76"/>
  <c r="AW121" i="76" s="1"/>
  <c r="AR120" i="76"/>
  <c r="AQ120" i="76" s="1"/>
  <c r="AH120" i="76"/>
  <c r="AW120" i="76" s="1"/>
  <c r="AR119" i="76"/>
  <c r="AQ119" i="76" s="1"/>
  <c r="AH119" i="76"/>
  <c r="AW119" i="76" s="1"/>
  <c r="AR118" i="76"/>
  <c r="AQ118" i="76" s="1"/>
  <c r="AH118" i="76"/>
  <c r="AW118" i="76" s="1"/>
  <c r="AR117" i="76"/>
  <c r="AQ117" i="76" s="1"/>
  <c r="AH117" i="76"/>
  <c r="AW117" i="76" s="1"/>
  <c r="AR116" i="76"/>
  <c r="AQ116" i="76" s="1"/>
  <c r="AH116" i="76"/>
  <c r="AW116" i="76" s="1"/>
  <c r="AR115" i="76"/>
  <c r="AQ115" i="76" s="1"/>
  <c r="AH115" i="76"/>
  <c r="AW115" i="76" s="1"/>
  <c r="AR114" i="76"/>
  <c r="AQ114" i="76" s="1"/>
  <c r="AH114" i="76"/>
  <c r="AW114" i="76" s="1"/>
  <c r="AR113" i="76"/>
  <c r="AQ113" i="76" s="1"/>
  <c r="AH113" i="76"/>
  <c r="AW113" i="76" s="1"/>
  <c r="AR112" i="76"/>
  <c r="AQ112" i="76" s="1"/>
  <c r="AH112" i="76"/>
  <c r="AW112" i="76" s="1"/>
  <c r="AR111" i="76"/>
  <c r="AQ111" i="76" s="1"/>
  <c r="AH111" i="76"/>
  <c r="AW111" i="76" s="1"/>
  <c r="AR110" i="76"/>
  <c r="AQ110" i="76" s="1"/>
  <c r="AH110" i="76"/>
  <c r="AW110" i="76" s="1"/>
  <c r="AR109" i="76"/>
  <c r="AQ109" i="76" s="1"/>
  <c r="AH109" i="76"/>
  <c r="AW109" i="76" s="1"/>
  <c r="AR108" i="76"/>
  <c r="AQ108" i="76" s="1"/>
  <c r="AH108" i="76"/>
  <c r="AW108" i="76" s="1"/>
  <c r="AR107" i="76"/>
  <c r="AQ107" i="76" s="1"/>
  <c r="AH107" i="76"/>
  <c r="AW107" i="76" s="1"/>
  <c r="AR106" i="76"/>
  <c r="AQ106" i="76" s="1"/>
  <c r="AH106" i="76"/>
  <c r="AW106" i="76" s="1"/>
  <c r="AR105" i="76"/>
  <c r="AQ105" i="76" s="1"/>
  <c r="AH105" i="76"/>
  <c r="AW105" i="76" s="1"/>
  <c r="AR104" i="76"/>
  <c r="AQ104" i="76" s="1"/>
  <c r="AH104" i="76"/>
  <c r="AW104" i="76" s="1"/>
  <c r="AH103" i="76"/>
  <c r="AW103" i="76" s="1"/>
  <c r="AR102" i="76"/>
  <c r="AQ102" i="76" s="1"/>
  <c r="AH102" i="76"/>
  <c r="AW102" i="76" s="1"/>
  <c r="AR101" i="76"/>
  <c r="AQ101" i="76" s="1"/>
  <c r="AH101" i="76"/>
  <c r="AW101" i="76" s="1"/>
  <c r="AR100" i="76"/>
  <c r="AQ100" i="76" s="1"/>
  <c r="AH100" i="76"/>
  <c r="AW100" i="76" s="1"/>
  <c r="AR99" i="76"/>
  <c r="AQ99" i="76" s="1"/>
  <c r="AH99" i="76"/>
  <c r="AW99" i="76" s="1"/>
  <c r="AR98" i="76"/>
  <c r="AQ98" i="76" s="1"/>
  <c r="AH98" i="76"/>
  <c r="AW98" i="76" s="1"/>
  <c r="AR97" i="76"/>
  <c r="AQ97" i="76" s="1"/>
  <c r="AH97" i="76"/>
  <c r="AW97" i="76" s="1"/>
  <c r="AR96" i="76"/>
  <c r="AQ96" i="76" s="1"/>
  <c r="AH96" i="76"/>
  <c r="AW96" i="76" s="1"/>
  <c r="AR95" i="76"/>
  <c r="AQ95" i="76" s="1"/>
  <c r="AH95" i="76"/>
  <c r="AW95" i="76" s="1"/>
  <c r="AR94" i="76"/>
  <c r="AQ94" i="76" s="1"/>
  <c r="AH94" i="76"/>
  <c r="AW94" i="76" s="1"/>
  <c r="AR93" i="76"/>
  <c r="AQ93" i="76" s="1"/>
  <c r="AH93" i="76"/>
  <c r="AW93" i="76" s="1"/>
  <c r="AR92" i="76"/>
  <c r="AQ92" i="76" s="1"/>
  <c r="AH92" i="76"/>
  <c r="AW92" i="76" s="1"/>
  <c r="AR91" i="76"/>
  <c r="AQ91" i="76" s="1"/>
  <c r="AH91" i="76"/>
  <c r="AW91" i="76" s="1"/>
  <c r="AR90" i="76"/>
  <c r="AQ90" i="76" s="1"/>
  <c r="AH90" i="76"/>
  <c r="AW90" i="76" s="1"/>
  <c r="AR89" i="76"/>
  <c r="AQ89" i="76" s="1"/>
  <c r="AH89" i="76"/>
  <c r="AW89" i="76" s="1"/>
  <c r="AR88" i="76"/>
  <c r="AQ88" i="76" s="1"/>
  <c r="AH88" i="76"/>
  <c r="AW88" i="76" s="1"/>
  <c r="AR87" i="76"/>
  <c r="AQ87" i="76" s="1"/>
  <c r="AH87" i="76"/>
  <c r="AW87" i="76" s="1"/>
  <c r="AR86" i="76"/>
  <c r="AQ86" i="76" s="1"/>
  <c r="AH86" i="76"/>
  <c r="AW86" i="76" s="1"/>
  <c r="AR85" i="76"/>
  <c r="AQ85" i="76" s="1"/>
  <c r="AH85" i="76"/>
  <c r="AW85" i="76" s="1"/>
  <c r="AR84" i="76"/>
  <c r="AQ84" i="76" s="1"/>
  <c r="AH84" i="76"/>
  <c r="AW84" i="76" s="1"/>
  <c r="AR83" i="76"/>
  <c r="AQ83" i="76" s="1"/>
  <c r="AH83" i="76"/>
  <c r="AW83" i="76" s="1"/>
  <c r="AR82" i="76"/>
  <c r="AQ82" i="76" s="1"/>
  <c r="AH82" i="76"/>
  <c r="AW82" i="76" s="1"/>
  <c r="AR81" i="76"/>
  <c r="AQ81" i="76" s="1"/>
  <c r="AH81" i="76"/>
  <c r="AW81" i="76" s="1"/>
  <c r="AR80" i="76"/>
  <c r="AQ80" i="76" s="1"/>
  <c r="AH80" i="76"/>
  <c r="AW80" i="76" s="1"/>
  <c r="AR79" i="76"/>
  <c r="AQ79" i="76" s="1"/>
  <c r="AH79" i="76"/>
  <c r="AW79" i="76" s="1"/>
  <c r="AR78" i="76"/>
  <c r="AQ78" i="76" s="1"/>
  <c r="AH78" i="76"/>
  <c r="AW78" i="76" s="1"/>
  <c r="AR77" i="76"/>
  <c r="AQ77" i="76" s="1"/>
  <c r="AH77" i="76"/>
  <c r="AW77" i="76" s="1"/>
  <c r="AR76" i="76"/>
  <c r="AQ76" i="76" s="1"/>
  <c r="AH76" i="76"/>
  <c r="AW76" i="76" s="1"/>
  <c r="AR75" i="76"/>
  <c r="AQ75" i="76" s="1"/>
  <c r="AH75" i="76"/>
  <c r="AW75" i="76" s="1"/>
  <c r="AR74" i="76"/>
  <c r="AQ74" i="76" s="1"/>
  <c r="AH74" i="76"/>
  <c r="AW74" i="76" s="1"/>
  <c r="AR73" i="76"/>
  <c r="AQ73" i="76" s="1"/>
  <c r="AH73" i="76"/>
  <c r="AW73" i="76" s="1"/>
  <c r="AR72" i="76"/>
  <c r="AQ72" i="76" s="1"/>
  <c r="AH72" i="76"/>
  <c r="AW72" i="76" s="1"/>
  <c r="AR71" i="76"/>
  <c r="AQ71" i="76" s="1"/>
  <c r="AH71" i="76"/>
  <c r="AW71" i="76" s="1"/>
  <c r="AR70" i="76"/>
  <c r="AQ70" i="76" s="1"/>
  <c r="AH70" i="76"/>
  <c r="AW70" i="76" s="1"/>
  <c r="AR69" i="76"/>
  <c r="AQ69" i="76" s="1"/>
  <c r="AH69" i="76"/>
  <c r="AW69" i="76" s="1"/>
  <c r="AR68" i="76"/>
  <c r="AQ68" i="76" s="1"/>
  <c r="AH68" i="76"/>
  <c r="AW68" i="76" s="1"/>
  <c r="AR67" i="76"/>
  <c r="AQ67" i="76" s="1"/>
  <c r="AH67" i="76"/>
  <c r="AW67" i="76" s="1"/>
  <c r="AR66" i="76"/>
  <c r="AQ66" i="76" s="1"/>
  <c r="AH66" i="76"/>
  <c r="AW66" i="76" s="1"/>
  <c r="AR65" i="76"/>
  <c r="AQ65" i="76" s="1"/>
  <c r="AH65" i="76"/>
  <c r="AW65" i="76" s="1"/>
  <c r="AR64" i="76"/>
  <c r="AQ64" i="76" s="1"/>
  <c r="AH64" i="76"/>
  <c r="AW64" i="76" s="1"/>
  <c r="AR63" i="76"/>
  <c r="AQ63" i="76" s="1"/>
  <c r="AH63" i="76"/>
  <c r="AW63" i="76" s="1"/>
  <c r="AR62" i="76"/>
  <c r="AQ62" i="76" s="1"/>
  <c r="AH62" i="76"/>
  <c r="AW62" i="76" s="1"/>
  <c r="AR61" i="76"/>
  <c r="AQ61" i="76" s="1"/>
  <c r="AH61" i="76"/>
  <c r="AW61" i="76" s="1"/>
  <c r="AR60" i="76"/>
  <c r="AQ60" i="76" s="1"/>
  <c r="AH60" i="76"/>
  <c r="AW60" i="76" s="1"/>
  <c r="AR59" i="76"/>
  <c r="AQ59" i="76" s="1"/>
  <c r="AH59" i="76"/>
  <c r="AW59" i="76" s="1"/>
  <c r="AR58" i="76"/>
  <c r="AQ58" i="76" s="1"/>
  <c r="AH58" i="76"/>
  <c r="AW58" i="76" s="1"/>
  <c r="AR57" i="76"/>
  <c r="AQ57" i="76" s="1"/>
  <c r="AH57" i="76"/>
  <c r="AW57" i="76" s="1"/>
  <c r="AR56" i="76"/>
  <c r="AQ56" i="76" s="1"/>
  <c r="AH56" i="76"/>
  <c r="AW56" i="76" s="1"/>
  <c r="AR55" i="76"/>
  <c r="AQ55" i="76" s="1"/>
  <c r="AH55" i="76"/>
  <c r="AW55" i="76" s="1"/>
  <c r="AR54" i="76"/>
  <c r="AQ54" i="76" s="1"/>
  <c r="AH54" i="76"/>
  <c r="AW54" i="76" s="1"/>
  <c r="AR53" i="76"/>
  <c r="AQ53" i="76" s="1"/>
  <c r="AH53" i="76"/>
  <c r="AW53" i="76" s="1"/>
  <c r="AR52" i="76"/>
  <c r="AQ52" i="76" s="1"/>
  <c r="AH52" i="76"/>
  <c r="AW52" i="76" s="1"/>
  <c r="AR51" i="76"/>
  <c r="AQ51" i="76" s="1"/>
  <c r="AH51" i="76"/>
  <c r="AW51" i="76" s="1"/>
  <c r="AR50" i="76"/>
  <c r="AQ50" i="76" s="1"/>
  <c r="AH50" i="76"/>
  <c r="AW50" i="76" s="1"/>
  <c r="AR49" i="76"/>
  <c r="AQ49" i="76" s="1"/>
  <c r="AH49" i="76"/>
  <c r="AW49" i="76" s="1"/>
  <c r="AR48" i="76"/>
  <c r="AQ48" i="76" s="1"/>
  <c r="AH48" i="76"/>
  <c r="AW48" i="76" s="1"/>
  <c r="AR47" i="76"/>
  <c r="AQ47" i="76" s="1"/>
  <c r="AH47" i="76"/>
  <c r="AW47" i="76" s="1"/>
  <c r="AR46" i="76"/>
  <c r="AQ46" i="76" s="1"/>
  <c r="AH46" i="76"/>
  <c r="AW46" i="76" s="1"/>
  <c r="AR45" i="76"/>
  <c r="AQ45" i="76" s="1"/>
  <c r="AH45" i="76"/>
  <c r="AW45" i="76" s="1"/>
  <c r="AR44" i="76"/>
  <c r="AQ44" i="76" s="1"/>
  <c r="AH44" i="76"/>
  <c r="AW44" i="76" s="1"/>
  <c r="AR43" i="76"/>
  <c r="AQ43" i="76" s="1"/>
  <c r="AH43" i="76"/>
  <c r="AW43" i="76" s="1"/>
  <c r="AH42" i="76"/>
  <c r="AW42" i="76" s="1"/>
  <c r="AR41" i="76"/>
  <c r="AQ41" i="76" s="1"/>
  <c r="AH41" i="76"/>
  <c r="AW41" i="76" s="1"/>
  <c r="AR40" i="76"/>
  <c r="AQ40" i="76" s="1"/>
  <c r="AH40" i="76"/>
  <c r="AW40" i="76" s="1"/>
  <c r="AR39" i="76"/>
  <c r="AQ39" i="76" s="1"/>
  <c r="AH39" i="76"/>
  <c r="AW39" i="76" s="1"/>
  <c r="AR38" i="76"/>
  <c r="AQ38" i="76" s="1"/>
  <c r="AH38" i="76"/>
  <c r="AW38" i="76" s="1"/>
  <c r="AR37" i="76"/>
  <c r="AQ37" i="76" s="1"/>
  <c r="AH37" i="76"/>
  <c r="AW37" i="76" s="1"/>
  <c r="AR36" i="76"/>
  <c r="AQ36" i="76" s="1"/>
  <c r="AH36" i="76"/>
  <c r="AW36" i="76" s="1"/>
  <c r="AR35" i="76"/>
  <c r="AQ35" i="76" s="1"/>
  <c r="AH35" i="76"/>
  <c r="AW35" i="76" s="1"/>
  <c r="AR34" i="76"/>
  <c r="AQ34" i="76" s="1"/>
  <c r="AH34" i="76"/>
  <c r="AW34" i="76" s="1"/>
  <c r="AR33" i="76"/>
  <c r="AQ33" i="76" s="1"/>
  <c r="AH33" i="76"/>
  <c r="AW33" i="76" s="1"/>
  <c r="AH32" i="76"/>
  <c r="AW32" i="76" s="1"/>
  <c r="AR31" i="76"/>
  <c r="AQ31" i="76" s="1"/>
  <c r="AH31" i="76"/>
  <c r="AW31" i="76" s="1"/>
  <c r="AR30" i="76"/>
  <c r="AQ30" i="76" s="1"/>
  <c r="AH30" i="76"/>
  <c r="AW30" i="76" s="1"/>
  <c r="AR29" i="76"/>
  <c r="AQ29" i="76" s="1"/>
  <c r="AH29" i="76"/>
  <c r="AW29" i="76" s="1"/>
  <c r="AR28" i="76"/>
  <c r="AQ28" i="76" s="1"/>
  <c r="AH28" i="76"/>
  <c r="AW28" i="76" s="1"/>
  <c r="AR27" i="76"/>
  <c r="AQ27" i="76" s="1"/>
  <c r="AH27" i="76"/>
  <c r="AW27" i="76" s="1"/>
  <c r="AR26" i="76"/>
  <c r="AQ26" i="76" s="1"/>
  <c r="AH26" i="76"/>
  <c r="AW26" i="76" s="1"/>
  <c r="AR25" i="76"/>
  <c r="AQ25" i="76" s="1"/>
  <c r="AH25" i="76"/>
  <c r="AW25" i="76" s="1"/>
  <c r="AR24" i="76"/>
  <c r="AQ24" i="76" s="1"/>
  <c r="AH24" i="76"/>
  <c r="AW24" i="76" s="1"/>
  <c r="AR23" i="76"/>
  <c r="AQ23" i="76" s="1"/>
  <c r="AH23" i="76"/>
  <c r="AW23" i="76" s="1"/>
  <c r="AR22" i="76"/>
  <c r="AQ22" i="76" s="1"/>
  <c r="AH22" i="76"/>
  <c r="AW22" i="76" s="1"/>
  <c r="AR21" i="76"/>
  <c r="AQ21" i="76" s="1"/>
  <c r="AH21" i="76"/>
  <c r="AW21" i="76" s="1"/>
  <c r="AR20" i="76"/>
  <c r="AQ20" i="76" s="1"/>
  <c r="AH20" i="76"/>
  <c r="AW20" i="76" s="1"/>
  <c r="AR19" i="76"/>
  <c r="AQ19" i="76" s="1"/>
  <c r="AH19" i="76"/>
  <c r="AW19" i="76" s="1"/>
  <c r="AR18" i="76"/>
  <c r="AQ18" i="76" s="1"/>
  <c r="AH18" i="76"/>
  <c r="AW18" i="76" s="1"/>
  <c r="AR17" i="76"/>
  <c r="AQ17" i="76" s="1"/>
  <c r="AH17" i="76"/>
  <c r="AW17" i="76" s="1"/>
  <c r="AR16" i="76"/>
  <c r="AQ16" i="76" s="1"/>
  <c r="AH16" i="76"/>
  <c r="AW16" i="76" s="1"/>
  <c r="AR15" i="76"/>
  <c r="AQ15" i="76" s="1"/>
  <c r="AH15" i="76"/>
  <c r="AW15" i="76" s="1"/>
  <c r="AR14" i="76"/>
  <c r="AQ14" i="76" s="1"/>
  <c r="AH14" i="76"/>
  <c r="AW14" i="76" s="1"/>
  <c r="AR13" i="76"/>
  <c r="AQ13" i="76" s="1"/>
  <c r="AH13" i="76"/>
  <c r="AW13" i="76" s="1"/>
  <c r="AR12" i="76"/>
  <c r="AQ12" i="76" s="1"/>
  <c r="AH12" i="76"/>
  <c r="AW12" i="76" s="1"/>
  <c r="AR11" i="76"/>
  <c r="AQ11" i="76" s="1"/>
  <c r="AH11" i="76"/>
  <c r="AW11" i="76" s="1"/>
  <c r="AR10" i="76"/>
  <c r="AQ10" i="76" s="1"/>
  <c r="AH10" i="76"/>
  <c r="AW10" i="76" s="1"/>
  <c r="AR9" i="76"/>
  <c r="AQ9" i="76" s="1"/>
  <c r="AH9" i="76"/>
  <c r="AW9" i="76" s="1"/>
  <c r="AR8" i="76"/>
  <c r="AQ8" i="76" s="1"/>
  <c r="AH8" i="76"/>
  <c r="AW8" i="76" s="1"/>
  <c r="AR7" i="76"/>
  <c r="AQ7" i="76" s="1"/>
  <c r="AH7" i="76"/>
  <c r="AW7" i="76" s="1"/>
  <c r="AR6" i="76"/>
  <c r="AQ6" i="76" s="1"/>
  <c r="AH6" i="76"/>
  <c r="AW6" i="76" s="1"/>
  <c r="AR5" i="76"/>
  <c r="AQ5" i="76" s="1"/>
  <c r="AH5" i="76"/>
  <c r="AW5" i="76" s="1"/>
  <c r="AR4" i="76"/>
  <c r="AQ4" i="76" s="1"/>
  <c r="AH4" i="76"/>
  <c r="AW4" i="76" s="1"/>
  <c r="R147" i="75"/>
  <c r="S147" i="75" s="1"/>
  <c r="R146" i="75"/>
  <c r="S146" i="75" s="1"/>
  <c r="R145" i="75"/>
  <c r="S145" i="75" s="1"/>
  <c r="AC532" i="75"/>
  <c r="R532" i="75"/>
  <c r="S532" i="75" s="1"/>
  <c r="AC523" i="75"/>
  <c r="R523" i="75"/>
  <c r="S523" i="75" s="1"/>
  <c r="AC510" i="75"/>
  <c r="R510" i="75"/>
  <c r="S510" i="75" s="1"/>
  <c r="AC509" i="75"/>
  <c r="R509" i="75"/>
  <c r="S509" i="75" s="1"/>
  <c r="R141" i="75"/>
  <c r="S141" i="75" s="1"/>
  <c r="R143" i="75"/>
  <c r="S143" i="75" s="1"/>
  <c r="R142" i="75"/>
  <c r="S142" i="75" s="1"/>
  <c r="R144" i="75"/>
  <c r="S144" i="75" s="1"/>
  <c r="R136" i="75"/>
  <c r="S136" i="75" s="1"/>
  <c r="R137" i="75"/>
  <c r="S137" i="75" s="1"/>
  <c r="AC508" i="75"/>
  <c r="R508" i="75"/>
  <c r="S508" i="75" s="1"/>
  <c r="AC507" i="75"/>
  <c r="R507" i="75"/>
  <c r="S507" i="75" s="1"/>
  <c r="AC506" i="75"/>
  <c r="R506" i="75"/>
  <c r="S506" i="75" s="1"/>
  <c r="AC505" i="75"/>
  <c r="R505" i="75"/>
  <c r="S505" i="75" s="1"/>
  <c r="R513" i="75"/>
  <c r="S513" i="75" s="1"/>
  <c r="R135" i="75"/>
  <c r="S135" i="75" s="1"/>
  <c r="R133" i="75"/>
  <c r="S133" i="75" s="1"/>
  <c r="R134" i="75"/>
  <c r="S134" i="75" s="1"/>
  <c r="R130" i="75"/>
  <c r="S130" i="75" s="1"/>
  <c r="R128" i="75"/>
  <c r="S128" i="75" s="1"/>
  <c r="R127" i="75"/>
  <c r="S127" i="75" s="1"/>
  <c r="R132" i="75"/>
  <c r="S132" i="75" s="1"/>
  <c r="R115" i="75"/>
  <c r="S115" i="75" s="1"/>
  <c r="AC504" i="75"/>
  <c r="R504" i="75"/>
  <c r="S504" i="75" s="1"/>
  <c r="R120" i="75"/>
  <c r="S120" i="75" s="1"/>
  <c r="AC503" i="75"/>
  <c r="R503" i="75"/>
  <c r="S503" i="75" s="1"/>
  <c r="R123" i="75"/>
  <c r="S123" i="75" s="1"/>
  <c r="R124" i="75"/>
  <c r="S124" i="75" s="1"/>
  <c r="R125" i="75"/>
  <c r="S125" i="75" s="1"/>
  <c r="R126" i="75"/>
  <c r="S126" i="75" s="1"/>
  <c r="R129" i="75"/>
  <c r="S129" i="75" s="1"/>
  <c r="R131" i="75"/>
  <c r="S131" i="75" s="1"/>
  <c r="AC502" i="75"/>
  <c r="R502" i="75"/>
  <c r="S502" i="75" s="1"/>
  <c r="R118" i="75"/>
  <c r="S118" i="75" s="1"/>
  <c r="R117" i="75"/>
  <c r="S117" i="75" s="1"/>
  <c r="R119" i="75"/>
  <c r="S119" i="75" s="1"/>
  <c r="R122" i="75"/>
  <c r="S122" i="75" s="1"/>
  <c r="R121" i="75"/>
  <c r="S121" i="75" s="1"/>
  <c r="R112" i="75"/>
  <c r="S112" i="75" s="1"/>
  <c r="AC501" i="75"/>
  <c r="R501" i="75"/>
  <c r="S501" i="75" s="1"/>
  <c r="AC500" i="75"/>
  <c r="R500" i="75"/>
  <c r="S500" i="75" s="1"/>
  <c r="AC499" i="75"/>
  <c r="R499" i="75"/>
  <c r="S499" i="75" s="1"/>
  <c r="AC498" i="75"/>
  <c r="R498" i="75"/>
  <c r="S498" i="75" s="1"/>
  <c r="AC497" i="75"/>
  <c r="R497" i="75"/>
  <c r="S497" i="75" s="1"/>
  <c r="R109" i="75"/>
  <c r="S109" i="75" s="1"/>
  <c r="R104" i="75"/>
  <c r="S104" i="75" s="1"/>
  <c r="R107" i="75"/>
  <c r="S107" i="75" s="1"/>
  <c r="AC195" i="75"/>
  <c r="R195" i="75"/>
  <c r="S195" i="75" s="1"/>
  <c r="R246" i="75"/>
  <c r="S246" i="75" s="1"/>
  <c r="AC240" i="75"/>
  <c r="R240" i="75"/>
  <c r="S240" i="75" s="1"/>
  <c r="AC239" i="75"/>
  <c r="R239" i="75"/>
  <c r="S239" i="75" s="1"/>
  <c r="R197" i="75"/>
  <c r="S197" i="75" s="1"/>
  <c r="AC535" i="75"/>
  <c r="R535" i="75"/>
  <c r="S535" i="75" s="1"/>
  <c r="AC534" i="75"/>
  <c r="R534" i="75"/>
  <c r="S534" i="75" s="1"/>
  <c r="AC533" i="75"/>
  <c r="R533" i="75"/>
  <c r="S533" i="75" s="1"/>
  <c r="AC496" i="75"/>
  <c r="R496" i="75"/>
  <c r="S496" i="75" s="1"/>
  <c r="AC495" i="75"/>
  <c r="R495" i="75"/>
  <c r="S495" i="75" s="1"/>
  <c r="AC522" i="75"/>
  <c r="R522" i="75"/>
  <c r="S522" i="75" s="1"/>
  <c r="AC521" i="75"/>
  <c r="R521" i="75"/>
  <c r="S521" i="75" s="1"/>
  <c r="AC520" i="75"/>
  <c r="R520" i="75"/>
  <c r="S520" i="75" s="1"/>
  <c r="AC519" i="75"/>
  <c r="R519" i="75"/>
  <c r="S519" i="75" s="1"/>
  <c r="AC518" i="75"/>
  <c r="R518" i="75"/>
  <c r="S518" i="75" s="1"/>
  <c r="AC517" i="75"/>
  <c r="R517" i="75"/>
  <c r="S517" i="75" s="1"/>
  <c r="AC516" i="75"/>
  <c r="R516" i="75"/>
  <c r="S516" i="75" s="1"/>
  <c r="AC515" i="75"/>
  <c r="R515" i="75"/>
  <c r="S515" i="75" s="1"/>
  <c r="AC494" i="75"/>
  <c r="R494" i="75"/>
  <c r="S494" i="75" s="1"/>
  <c r="AC493" i="75"/>
  <c r="R493" i="75"/>
  <c r="S493" i="75" s="1"/>
  <c r="R492" i="75"/>
  <c r="S492" i="75" s="1"/>
  <c r="AC491" i="75"/>
  <c r="R491" i="75"/>
  <c r="S491" i="75" s="1"/>
  <c r="AC490" i="75"/>
  <c r="R490" i="75"/>
  <c r="S490" i="75" s="1"/>
  <c r="AC489" i="75"/>
  <c r="R489" i="75"/>
  <c r="S489" i="75" s="1"/>
  <c r="AC488" i="75"/>
  <c r="R488" i="75"/>
  <c r="S488" i="75" s="1"/>
  <c r="AC487" i="75"/>
  <c r="R487" i="75"/>
  <c r="S487" i="75" s="1"/>
  <c r="AC486" i="75"/>
  <c r="R486" i="75"/>
  <c r="S486" i="75" s="1"/>
  <c r="AC485" i="75"/>
  <c r="R485" i="75"/>
  <c r="S485" i="75" s="1"/>
  <c r="AC484" i="75"/>
  <c r="R484" i="75"/>
  <c r="S484" i="75" s="1"/>
  <c r="AC483" i="75"/>
  <c r="R483" i="75"/>
  <c r="S483" i="75" s="1"/>
  <c r="AC482" i="75"/>
  <c r="R482" i="75"/>
  <c r="S482" i="75" s="1"/>
  <c r="AC481" i="75"/>
  <c r="R481" i="75"/>
  <c r="S481" i="75" s="1"/>
  <c r="AC480" i="75"/>
  <c r="R480" i="75"/>
  <c r="S480" i="75" s="1"/>
  <c r="AC479" i="75"/>
  <c r="R479" i="75"/>
  <c r="S479" i="75" s="1"/>
  <c r="AC478" i="75"/>
  <c r="R478" i="75"/>
  <c r="S478" i="75" s="1"/>
  <c r="AC477" i="75"/>
  <c r="R477" i="75"/>
  <c r="S477" i="75" s="1"/>
  <c r="AC476" i="75"/>
  <c r="R476" i="75"/>
  <c r="S476" i="75" s="1"/>
  <c r="AC475" i="75"/>
  <c r="R475" i="75"/>
  <c r="S475" i="75" s="1"/>
  <c r="AC474" i="75"/>
  <c r="R474" i="75"/>
  <c r="S474" i="75" s="1"/>
  <c r="AC473" i="75"/>
  <c r="R473" i="75"/>
  <c r="S473" i="75" s="1"/>
  <c r="AC472" i="75"/>
  <c r="R472" i="75"/>
  <c r="S472" i="75" s="1"/>
  <c r="AC471" i="75"/>
  <c r="R471" i="75"/>
  <c r="S471" i="75" s="1"/>
  <c r="AC470" i="75"/>
  <c r="R470" i="75"/>
  <c r="S470" i="75" s="1"/>
  <c r="AC469" i="75"/>
  <c r="R469" i="75"/>
  <c r="S469" i="75" s="1"/>
  <c r="AC468" i="75"/>
  <c r="R468" i="75"/>
  <c r="S468" i="75" s="1"/>
  <c r="AC467" i="75"/>
  <c r="R467" i="75"/>
  <c r="S467" i="75" s="1"/>
  <c r="AC466" i="75"/>
  <c r="R466" i="75"/>
  <c r="S466" i="75" s="1"/>
  <c r="AC465" i="75"/>
  <c r="R465" i="75"/>
  <c r="S465" i="75" s="1"/>
  <c r="AC464" i="75"/>
  <c r="R464" i="75"/>
  <c r="S464" i="75" s="1"/>
  <c r="AC463" i="75"/>
  <c r="R463" i="75"/>
  <c r="S463" i="75" s="1"/>
  <c r="AC462" i="75"/>
  <c r="R462" i="75"/>
  <c r="S462" i="75" s="1"/>
  <c r="AC461" i="75"/>
  <c r="R461" i="75"/>
  <c r="S461" i="75" s="1"/>
  <c r="AC460" i="75"/>
  <c r="R460" i="75"/>
  <c r="S460" i="75" s="1"/>
  <c r="AC459" i="75"/>
  <c r="R459" i="75"/>
  <c r="S459" i="75" s="1"/>
  <c r="AC458" i="75"/>
  <c r="R458" i="75"/>
  <c r="S458" i="75" s="1"/>
  <c r="AC457" i="75"/>
  <c r="R457" i="75"/>
  <c r="S457" i="75" s="1"/>
  <c r="AC456" i="75"/>
  <c r="R456" i="75"/>
  <c r="S456" i="75" s="1"/>
  <c r="AC455" i="75"/>
  <c r="R455" i="75"/>
  <c r="S455" i="75" s="1"/>
  <c r="AC454" i="75"/>
  <c r="R454" i="75"/>
  <c r="S454" i="75" s="1"/>
  <c r="AC453" i="75"/>
  <c r="R453" i="75"/>
  <c r="S453" i="75" s="1"/>
  <c r="AC452" i="75"/>
  <c r="R452" i="75"/>
  <c r="S452" i="75" s="1"/>
  <c r="AC451" i="75"/>
  <c r="R451" i="75"/>
  <c r="S451" i="75" s="1"/>
  <c r="AC450" i="75"/>
  <c r="R450" i="75"/>
  <c r="S450" i="75" s="1"/>
  <c r="AC449" i="75"/>
  <c r="R449" i="75"/>
  <c r="S449" i="75" s="1"/>
  <c r="AC448" i="75"/>
  <c r="R448" i="75"/>
  <c r="S448" i="75" s="1"/>
  <c r="AC447" i="75"/>
  <c r="R447" i="75"/>
  <c r="S447" i="75" s="1"/>
  <c r="AC446" i="75"/>
  <c r="R446" i="75"/>
  <c r="S446" i="75" s="1"/>
  <c r="AC445" i="75"/>
  <c r="R445" i="75"/>
  <c r="S445" i="75" s="1"/>
  <c r="AC444" i="75"/>
  <c r="R444" i="75"/>
  <c r="S444" i="75" s="1"/>
  <c r="AC443" i="75"/>
  <c r="R443" i="75"/>
  <c r="S443" i="75" s="1"/>
  <c r="AC442" i="75"/>
  <c r="R442" i="75"/>
  <c r="S442" i="75" s="1"/>
  <c r="AC441" i="75"/>
  <c r="R441" i="75"/>
  <c r="S441" i="75" s="1"/>
  <c r="AC440" i="75"/>
  <c r="R440" i="75"/>
  <c r="S440" i="75" s="1"/>
  <c r="AC439" i="75"/>
  <c r="R439" i="75"/>
  <c r="S439" i="75" s="1"/>
  <c r="AC438" i="75"/>
  <c r="R438" i="75"/>
  <c r="S438" i="75" s="1"/>
  <c r="AC437" i="75"/>
  <c r="R437" i="75"/>
  <c r="S437" i="75" s="1"/>
  <c r="AC436" i="75"/>
  <c r="R436" i="75"/>
  <c r="S436" i="75" s="1"/>
  <c r="AC435" i="75"/>
  <c r="R435" i="75"/>
  <c r="S435" i="75" s="1"/>
  <c r="AC434" i="75"/>
  <c r="R434" i="75"/>
  <c r="S434" i="75" s="1"/>
  <c r="AC433" i="75"/>
  <c r="R433" i="75"/>
  <c r="S433" i="75" s="1"/>
  <c r="AC432" i="75"/>
  <c r="R432" i="75"/>
  <c r="S432" i="75" s="1"/>
  <c r="AC431" i="75"/>
  <c r="R431" i="75"/>
  <c r="S431" i="75" s="1"/>
  <c r="AC430" i="75"/>
  <c r="R430" i="75"/>
  <c r="S430" i="75" s="1"/>
  <c r="AC429" i="75"/>
  <c r="R429" i="75"/>
  <c r="S429" i="75" s="1"/>
  <c r="AC428" i="75"/>
  <c r="R428" i="75"/>
  <c r="S428" i="75" s="1"/>
  <c r="AC427" i="75"/>
  <c r="R427" i="75"/>
  <c r="S427" i="75" s="1"/>
  <c r="AC426" i="75"/>
  <c r="R426" i="75"/>
  <c r="S426" i="75" s="1"/>
  <c r="AC425" i="75"/>
  <c r="R425" i="75"/>
  <c r="S425" i="75" s="1"/>
  <c r="AC424" i="75"/>
  <c r="R424" i="75"/>
  <c r="S424" i="75" s="1"/>
  <c r="AC423" i="75"/>
  <c r="R423" i="75"/>
  <c r="S423" i="75" s="1"/>
  <c r="AC422" i="75"/>
  <c r="R422" i="75"/>
  <c r="S422" i="75" s="1"/>
  <c r="AC421" i="75"/>
  <c r="R421" i="75"/>
  <c r="S421" i="75" s="1"/>
  <c r="AC420" i="75"/>
  <c r="R420" i="75"/>
  <c r="S420" i="75" s="1"/>
  <c r="AC419" i="75"/>
  <c r="R419" i="75"/>
  <c r="S419" i="75" s="1"/>
  <c r="AC418" i="75"/>
  <c r="R418" i="75"/>
  <c r="S418" i="75" s="1"/>
  <c r="AC417" i="75"/>
  <c r="R417" i="75"/>
  <c r="S417" i="75" s="1"/>
  <c r="AC416" i="75"/>
  <c r="R416" i="75"/>
  <c r="S416" i="75" s="1"/>
  <c r="AC415" i="75"/>
  <c r="R415" i="75"/>
  <c r="S415" i="75" s="1"/>
  <c r="AC414" i="75"/>
  <c r="R414" i="75"/>
  <c r="S414" i="75" s="1"/>
  <c r="AC413" i="75"/>
  <c r="R413" i="75"/>
  <c r="S413" i="75" s="1"/>
  <c r="AC412" i="75"/>
  <c r="R412" i="75"/>
  <c r="S412" i="75" s="1"/>
  <c r="AC411" i="75"/>
  <c r="R411" i="75"/>
  <c r="S411" i="75" s="1"/>
  <c r="AC410" i="75"/>
  <c r="R410" i="75"/>
  <c r="S410" i="75" s="1"/>
  <c r="AC409" i="75"/>
  <c r="R409" i="75"/>
  <c r="S409" i="75" s="1"/>
  <c r="AC408" i="75"/>
  <c r="R408" i="75"/>
  <c r="S408" i="75" s="1"/>
  <c r="AC407" i="75"/>
  <c r="R407" i="75"/>
  <c r="S407" i="75" s="1"/>
  <c r="AC406" i="75"/>
  <c r="R406" i="75"/>
  <c r="S406" i="75" s="1"/>
  <c r="AC405" i="75"/>
  <c r="R405" i="75"/>
  <c r="S405" i="75" s="1"/>
  <c r="AC404" i="75"/>
  <c r="R404" i="75"/>
  <c r="S404" i="75" s="1"/>
  <c r="AC403" i="75"/>
  <c r="R403" i="75"/>
  <c r="S403" i="75" s="1"/>
  <c r="AC402" i="75"/>
  <c r="R402" i="75"/>
  <c r="S402" i="75" s="1"/>
  <c r="AC401" i="75"/>
  <c r="R401" i="75"/>
  <c r="S401" i="75" s="1"/>
  <c r="AC400" i="75"/>
  <c r="R400" i="75"/>
  <c r="S400" i="75" s="1"/>
  <c r="AC399" i="75"/>
  <c r="R399" i="75"/>
  <c r="S399" i="75" s="1"/>
  <c r="R398" i="75"/>
  <c r="S398" i="75" s="1"/>
  <c r="R397" i="75"/>
  <c r="S397" i="75" s="1"/>
  <c r="AC396" i="75"/>
  <c r="R396" i="75"/>
  <c r="S396" i="75" s="1"/>
  <c r="AC395" i="75"/>
  <c r="R395" i="75"/>
  <c r="S395" i="75" s="1"/>
  <c r="AC394" i="75"/>
  <c r="R394" i="75"/>
  <c r="S394" i="75" s="1"/>
  <c r="AC393" i="75"/>
  <c r="R393" i="75"/>
  <c r="S393" i="75" s="1"/>
  <c r="AC514" i="75"/>
  <c r="R514" i="75"/>
  <c r="S514" i="75" s="1"/>
  <c r="AC392" i="75"/>
  <c r="R392" i="75"/>
  <c r="S392" i="75" s="1"/>
  <c r="AC391" i="75"/>
  <c r="R391" i="75"/>
  <c r="S391" i="75" s="1"/>
  <c r="AC390" i="75"/>
  <c r="R390" i="75"/>
  <c r="S390" i="75" s="1"/>
  <c r="AC389" i="75"/>
  <c r="R389" i="75"/>
  <c r="S389" i="75" s="1"/>
  <c r="AC388" i="75"/>
  <c r="R388" i="75"/>
  <c r="S388" i="75" s="1"/>
  <c r="AC154" i="75"/>
  <c r="R154" i="75"/>
  <c r="S154" i="75" s="1"/>
  <c r="AC387" i="75"/>
  <c r="R387" i="75"/>
  <c r="S387" i="75" s="1"/>
  <c r="AC386" i="75"/>
  <c r="R386" i="75"/>
  <c r="S386" i="75" s="1"/>
  <c r="AC385" i="75"/>
  <c r="R385" i="75"/>
  <c r="S385" i="75" s="1"/>
  <c r="AC384" i="75"/>
  <c r="R384" i="75"/>
  <c r="S384" i="75" s="1"/>
  <c r="AC383" i="75"/>
  <c r="R383" i="75"/>
  <c r="S383" i="75" s="1"/>
  <c r="AC382" i="75"/>
  <c r="R382" i="75"/>
  <c r="S382" i="75" s="1"/>
  <c r="AC381" i="75"/>
  <c r="R381" i="75"/>
  <c r="S381" i="75" s="1"/>
  <c r="AC380" i="75"/>
  <c r="R380" i="75"/>
  <c r="S380" i="75" s="1"/>
  <c r="AC379" i="75"/>
  <c r="R379" i="75"/>
  <c r="S379" i="75" s="1"/>
  <c r="AC378" i="75"/>
  <c r="R378" i="75"/>
  <c r="S378" i="75" s="1"/>
  <c r="AC377" i="75"/>
  <c r="R377" i="75"/>
  <c r="S377" i="75" s="1"/>
  <c r="AC376" i="75"/>
  <c r="R376" i="75"/>
  <c r="S376" i="75" s="1"/>
  <c r="AC375" i="75"/>
  <c r="R375" i="75"/>
  <c r="S375" i="75" s="1"/>
  <c r="AC374" i="75"/>
  <c r="R374" i="75"/>
  <c r="S374" i="75" s="1"/>
  <c r="AC373" i="75"/>
  <c r="R373" i="75"/>
  <c r="S373" i="75" s="1"/>
  <c r="AC372" i="75"/>
  <c r="R372" i="75"/>
  <c r="S372" i="75" s="1"/>
  <c r="AC371" i="75"/>
  <c r="R371" i="75"/>
  <c r="S371" i="75" s="1"/>
  <c r="AC370" i="75"/>
  <c r="R370" i="75"/>
  <c r="S370" i="75" s="1"/>
  <c r="AC369" i="75"/>
  <c r="R369" i="75"/>
  <c r="S369" i="75" s="1"/>
  <c r="AC368" i="75"/>
  <c r="R368" i="75"/>
  <c r="S368" i="75" s="1"/>
  <c r="AC367" i="75"/>
  <c r="R367" i="75"/>
  <c r="S367" i="75" s="1"/>
  <c r="BU201" i="75"/>
  <c r="AC201" i="75"/>
  <c r="R201" i="75"/>
  <c r="S201" i="75" s="1"/>
  <c r="AC366" i="75"/>
  <c r="R366" i="75"/>
  <c r="S366" i="75" s="1"/>
  <c r="AC365" i="75"/>
  <c r="R365" i="75"/>
  <c r="S365" i="75" s="1"/>
  <c r="R43" i="75"/>
  <c r="S43" i="75" s="1"/>
  <c r="R34" i="75"/>
  <c r="S34" i="75" s="1"/>
  <c r="AC364" i="75"/>
  <c r="R364" i="75"/>
  <c r="S364" i="75" s="1"/>
  <c r="R31" i="75"/>
  <c r="S31" i="75" s="1"/>
  <c r="AC363" i="75"/>
  <c r="R363" i="75"/>
  <c r="S363" i="75" s="1"/>
  <c r="AC362" i="75"/>
  <c r="R362" i="75"/>
  <c r="S362" i="75" s="1"/>
  <c r="AC361" i="75"/>
  <c r="R361" i="75"/>
  <c r="S361" i="75" s="1"/>
  <c r="AC360" i="75"/>
  <c r="R360" i="75"/>
  <c r="S360" i="75" s="1"/>
  <c r="AC281" i="75"/>
  <c r="R281" i="75"/>
  <c r="AC359" i="75"/>
  <c r="R359" i="75"/>
  <c r="S359" i="75" s="1"/>
  <c r="AC358" i="75"/>
  <c r="R358" i="75"/>
  <c r="S358" i="75" s="1"/>
  <c r="AC357" i="75"/>
  <c r="R357" i="75"/>
  <c r="S357" i="75" s="1"/>
  <c r="AC356" i="75"/>
  <c r="R356" i="75"/>
  <c r="S356" i="75" s="1"/>
  <c r="AC275" i="75"/>
  <c r="R275" i="75"/>
  <c r="AC260" i="75"/>
  <c r="R260" i="75"/>
  <c r="AC355" i="75"/>
  <c r="R355" i="75"/>
  <c r="S355" i="75" s="1"/>
  <c r="AC354" i="75"/>
  <c r="R354" i="75"/>
  <c r="S354" i="75" s="1"/>
  <c r="AC189" i="75"/>
  <c r="R189" i="75"/>
  <c r="S189" i="75" s="1"/>
  <c r="AC188" i="75"/>
  <c r="R188" i="75"/>
  <c r="S188" i="75" s="1"/>
  <c r="AC540" i="75"/>
  <c r="R540" i="75"/>
  <c r="S540" i="75" s="1"/>
  <c r="AC539" i="75"/>
  <c r="R539" i="75"/>
  <c r="S539" i="75" s="1"/>
  <c r="AC538" i="75"/>
  <c r="R538" i="75"/>
  <c r="S538" i="75" s="1"/>
  <c r="R245" i="75"/>
  <c r="S245" i="75" s="1"/>
  <c r="AC196" i="75"/>
  <c r="R196" i="75"/>
  <c r="S196" i="75" s="1"/>
  <c r="AC346" i="75"/>
  <c r="R346" i="75"/>
  <c r="S346" i="75" s="1"/>
  <c r="AC187" i="75"/>
  <c r="R187" i="75"/>
  <c r="S187" i="75" s="1"/>
  <c r="AC186" i="75"/>
  <c r="R186" i="75"/>
  <c r="S186" i="75" s="1"/>
  <c r="AC185" i="75"/>
  <c r="R185" i="75"/>
  <c r="S185" i="75" s="1"/>
  <c r="AC184" i="75"/>
  <c r="R184" i="75"/>
  <c r="S184" i="75" s="1"/>
  <c r="AC183" i="75"/>
  <c r="R183" i="75"/>
  <c r="S183" i="75" s="1"/>
  <c r="AC182" i="75"/>
  <c r="R182" i="75"/>
  <c r="S182" i="75" s="1"/>
  <c r="AC181" i="75"/>
  <c r="R181" i="75"/>
  <c r="S181" i="75" s="1"/>
  <c r="AC180" i="75"/>
  <c r="R180" i="75"/>
  <c r="S180" i="75" s="1"/>
  <c r="AC179" i="75"/>
  <c r="R179" i="75"/>
  <c r="S179" i="75" s="1"/>
  <c r="AC178" i="75"/>
  <c r="R178" i="75"/>
  <c r="S178" i="75" s="1"/>
  <c r="AC177" i="75"/>
  <c r="R177" i="75"/>
  <c r="S177" i="75" s="1"/>
  <c r="AC176" i="75"/>
  <c r="R176" i="75"/>
  <c r="S176" i="75" s="1"/>
  <c r="AC175" i="75"/>
  <c r="R175" i="75"/>
  <c r="S175" i="75" s="1"/>
  <c r="AC174" i="75"/>
  <c r="R174" i="75"/>
  <c r="S174" i="75" s="1"/>
  <c r="AC173" i="75"/>
  <c r="R173" i="75"/>
  <c r="S173" i="75" s="1"/>
  <c r="AC172" i="75"/>
  <c r="R172" i="75"/>
  <c r="S172" i="75" s="1"/>
  <c r="AC171" i="75"/>
  <c r="R171" i="75"/>
  <c r="S171" i="75" s="1"/>
  <c r="AC170" i="75"/>
  <c r="R170" i="75"/>
  <c r="S170" i="75" s="1"/>
  <c r="AC169" i="75"/>
  <c r="R169" i="75"/>
  <c r="S169" i="75" s="1"/>
  <c r="AC168" i="75"/>
  <c r="R168" i="75"/>
  <c r="S168" i="75" s="1"/>
  <c r="AC167" i="75"/>
  <c r="R167" i="75"/>
  <c r="S167" i="75" s="1"/>
  <c r="AC166" i="75"/>
  <c r="R166" i="75"/>
  <c r="S166" i="75" s="1"/>
  <c r="AC165" i="75"/>
  <c r="R165" i="75"/>
  <c r="S165" i="75" s="1"/>
  <c r="AC164" i="75"/>
  <c r="R164" i="75"/>
  <c r="S164" i="75" s="1"/>
  <c r="AC163" i="75"/>
  <c r="R163" i="75"/>
  <c r="S163" i="75" s="1"/>
  <c r="AC162" i="75"/>
  <c r="R162" i="75"/>
  <c r="S162" i="75" s="1"/>
  <c r="AC161" i="75"/>
  <c r="R161" i="75"/>
  <c r="S161" i="75" s="1"/>
  <c r="AC160" i="75"/>
  <c r="R160" i="75"/>
  <c r="S160" i="75" s="1"/>
  <c r="AC159" i="75"/>
  <c r="R159" i="75"/>
  <c r="AC158" i="75"/>
  <c r="R158" i="75"/>
  <c r="S158" i="75" s="1"/>
  <c r="AC157" i="75"/>
  <c r="R157" i="75"/>
  <c r="S157" i="75" s="1"/>
  <c r="AC156" i="75"/>
  <c r="R156" i="75"/>
  <c r="AC345" i="75"/>
  <c r="R345" i="75"/>
  <c r="S345" i="75" s="1"/>
  <c r="AC344" i="75"/>
  <c r="R344" i="75"/>
  <c r="S344" i="75" s="1"/>
  <c r="AC153" i="75"/>
  <c r="R153" i="75"/>
  <c r="S153" i="75" s="1"/>
  <c r="AC152" i="75"/>
  <c r="R152" i="75"/>
  <c r="AC151" i="75"/>
  <c r="R151" i="75"/>
  <c r="S151" i="75" s="1"/>
  <c r="R238" i="75"/>
  <c r="S238" i="75" s="1"/>
  <c r="AC237" i="75"/>
  <c r="R237" i="75"/>
  <c r="S237" i="75" s="1"/>
  <c r="AC236" i="75"/>
  <c r="R236" i="75"/>
  <c r="S236" i="75" s="1"/>
  <c r="AC235" i="75"/>
  <c r="R235" i="75"/>
  <c r="S235" i="75" s="1"/>
  <c r="AC234" i="75"/>
  <c r="R234" i="75"/>
  <c r="S234" i="75" s="1"/>
  <c r="AC233" i="75"/>
  <c r="R233" i="75"/>
  <c r="S233" i="75" s="1"/>
  <c r="AC232" i="75"/>
  <c r="R232" i="75"/>
  <c r="S232" i="75" s="1"/>
  <c r="AC231" i="75"/>
  <c r="R231" i="75"/>
  <c r="S231" i="75" s="1"/>
  <c r="AC230" i="75"/>
  <c r="R230" i="75"/>
  <c r="S230" i="75" s="1"/>
  <c r="BU229" i="75"/>
  <c r="AC229" i="75"/>
  <c r="R229" i="75"/>
  <c r="S229" i="75" s="1"/>
  <c r="BU228" i="75"/>
  <c r="AC228" i="75"/>
  <c r="R228" i="75"/>
  <c r="S228" i="75" s="1"/>
  <c r="BU227" i="75"/>
  <c r="AC227" i="75"/>
  <c r="R227" i="75"/>
  <c r="S227" i="75" s="1"/>
  <c r="BU226" i="75"/>
  <c r="AC226" i="75"/>
  <c r="R226" i="75"/>
  <c r="S226" i="75" s="1"/>
  <c r="BU225" i="75"/>
  <c r="AC225" i="75"/>
  <c r="R225" i="75"/>
  <c r="S225" i="75" s="1"/>
  <c r="BU224" i="75"/>
  <c r="AC224" i="75"/>
  <c r="R224" i="75"/>
  <c r="S224" i="75" s="1"/>
  <c r="BU223" i="75"/>
  <c r="AC223" i="75"/>
  <c r="R223" i="75"/>
  <c r="S223" i="75" s="1"/>
  <c r="BU222" i="75"/>
  <c r="AC222" i="75"/>
  <c r="R222" i="75"/>
  <c r="S222" i="75" s="1"/>
  <c r="BU221" i="75"/>
  <c r="AC221" i="75"/>
  <c r="R221" i="75"/>
  <c r="S221" i="75" s="1"/>
  <c r="AC343" i="75"/>
  <c r="R343" i="75"/>
  <c r="S343" i="75" s="1"/>
  <c r="BU220" i="75"/>
  <c r="AC220" i="75"/>
  <c r="R220" i="75"/>
  <c r="S220" i="75" s="1"/>
  <c r="BU219" i="75"/>
  <c r="AC219" i="75"/>
  <c r="R219" i="75"/>
  <c r="S219" i="75" s="1"/>
  <c r="BU218" i="75"/>
  <c r="AC218" i="75"/>
  <c r="R218" i="75"/>
  <c r="S218" i="75" s="1"/>
  <c r="BU217" i="75"/>
  <c r="AC217" i="75"/>
  <c r="R217" i="75"/>
  <c r="S217" i="75" s="1"/>
  <c r="BU216" i="75"/>
  <c r="AC216" i="75"/>
  <c r="R216" i="75"/>
  <c r="S216" i="75" s="1"/>
  <c r="BU215" i="75"/>
  <c r="AC215" i="75"/>
  <c r="R215" i="75"/>
  <c r="S215" i="75" s="1"/>
  <c r="BU214" i="75"/>
  <c r="AC214" i="75"/>
  <c r="R214" i="75"/>
  <c r="S214" i="75" s="1"/>
  <c r="BU213" i="75"/>
  <c r="AC213" i="75"/>
  <c r="R213" i="75"/>
  <c r="S213" i="75" s="1"/>
  <c r="BU212" i="75"/>
  <c r="AC212" i="75"/>
  <c r="R212" i="75"/>
  <c r="S212" i="75" s="1"/>
  <c r="BU211" i="75"/>
  <c r="AC211" i="75"/>
  <c r="R211" i="75"/>
  <c r="S211" i="75" s="1"/>
  <c r="AC342" i="75"/>
  <c r="R342" i="75"/>
  <c r="S342" i="75" s="1"/>
  <c r="BU210" i="75"/>
  <c r="AC210" i="75"/>
  <c r="R210" i="75"/>
  <c r="S210" i="75" s="1"/>
  <c r="BU207" i="75"/>
  <c r="AC207" i="75"/>
  <c r="R207" i="75"/>
  <c r="S207" i="75" s="1"/>
  <c r="BU206" i="75"/>
  <c r="AC206" i="75"/>
  <c r="R206" i="75"/>
  <c r="S206" i="75" s="1"/>
  <c r="BU205" i="75"/>
  <c r="AC205" i="75"/>
  <c r="R205" i="75"/>
  <c r="S205" i="75" s="1"/>
  <c r="BU204" i="75"/>
  <c r="AC204" i="75"/>
  <c r="R204" i="75"/>
  <c r="S204" i="75" s="1"/>
  <c r="AC286" i="75"/>
  <c r="R286" i="75"/>
  <c r="S286" i="75" s="1"/>
  <c r="AC353" i="75"/>
  <c r="R353" i="75"/>
  <c r="AC352" i="75"/>
  <c r="R352" i="75"/>
  <c r="AC351" i="75"/>
  <c r="R351" i="75"/>
  <c r="S351" i="75" s="1"/>
  <c r="AC340" i="75"/>
  <c r="R340" i="75"/>
  <c r="S340" i="75" s="1"/>
  <c r="AC339" i="75"/>
  <c r="R339" i="75"/>
  <c r="S339" i="75" s="1"/>
  <c r="AC338" i="75"/>
  <c r="R338" i="75"/>
  <c r="S338" i="75" s="1"/>
  <c r="AC337" i="75"/>
  <c r="R337" i="75"/>
  <c r="S337" i="75" s="1"/>
  <c r="AC289" i="75"/>
  <c r="R289" i="75"/>
  <c r="S289" i="75" s="1"/>
  <c r="AC288" i="75"/>
  <c r="R288" i="75"/>
  <c r="S288" i="75" s="1"/>
  <c r="AC350" i="75"/>
  <c r="R350" i="75"/>
  <c r="AC349" i="75"/>
  <c r="R349" i="75"/>
  <c r="S349" i="75" s="1"/>
  <c r="AC348" i="75"/>
  <c r="R348" i="75"/>
  <c r="S348" i="75" s="1"/>
  <c r="AC347" i="75"/>
  <c r="R347" i="75"/>
  <c r="S347" i="75" s="1"/>
  <c r="BU203" i="75"/>
  <c r="AC203" i="75"/>
  <c r="R203" i="75"/>
  <c r="S203" i="75" s="1"/>
  <c r="BU202" i="75"/>
  <c r="AC202" i="75"/>
  <c r="R202" i="75"/>
  <c r="S202" i="75" s="1"/>
  <c r="BU200" i="75"/>
  <c r="AC200" i="75"/>
  <c r="R200" i="75"/>
  <c r="S200" i="75" s="1"/>
  <c r="AC287" i="75"/>
  <c r="R287" i="75"/>
  <c r="S287" i="75" s="1"/>
  <c r="AC284" i="75"/>
  <c r="R284" i="75"/>
  <c r="S284" i="75" s="1"/>
  <c r="BU199" i="75"/>
  <c r="AC199" i="75"/>
  <c r="R199" i="75"/>
  <c r="S199" i="75" s="1"/>
  <c r="R103" i="75"/>
  <c r="S103" i="75" s="1"/>
  <c r="R193" i="75"/>
  <c r="S193" i="75" s="1"/>
  <c r="R148" i="75"/>
  <c r="S148" i="75" s="1"/>
  <c r="R100" i="75"/>
  <c r="S100" i="75" s="1"/>
  <c r="R99" i="75"/>
  <c r="S99" i="75" s="1"/>
  <c r="R98" i="75"/>
  <c r="S98" i="75" s="1"/>
  <c r="R97" i="75"/>
  <c r="S97" i="75" s="1"/>
  <c r="R96" i="75"/>
  <c r="S96" i="75" s="1"/>
  <c r="R92" i="75"/>
  <c r="S92" i="75" s="1"/>
  <c r="R140" i="75"/>
  <c r="S140" i="75" s="1"/>
  <c r="R90" i="75"/>
  <c r="S90" i="75" s="1"/>
  <c r="R89" i="75"/>
  <c r="S89" i="75" s="1"/>
  <c r="R88" i="75"/>
  <c r="S88" i="75" s="1"/>
  <c r="R87" i="75"/>
  <c r="S87" i="75" s="1"/>
  <c r="R86" i="75"/>
  <c r="S86" i="75" s="1"/>
  <c r="R138" i="75"/>
  <c r="S138" i="75" s="1"/>
  <c r="R84" i="75"/>
  <c r="S84" i="75" s="1"/>
  <c r="R83" i="75"/>
  <c r="S83" i="75" s="1"/>
  <c r="R82" i="75"/>
  <c r="S82" i="75" s="1"/>
  <c r="R81" i="75"/>
  <c r="S81" i="75" s="1"/>
  <c r="R139" i="75"/>
  <c r="S139" i="75" s="1"/>
  <c r="R114" i="75"/>
  <c r="S114" i="75" s="1"/>
  <c r="R116" i="75"/>
  <c r="S116" i="75" s="1"/>
  <c r="R113" i="75"/>
  <c r="S113" i="75" s="1"/>
  <c r="R111" i="75"/>
  <c r="S111" i="75" s="1"/>
  <c r="R74" i="75"/>
  <c r="S74" i="75" s="1"/>
  <c r="R73" i="75"/>
  <c r="S73" i="75" s="1"/>
  <c r="R105" i="75"/>
  <c r="S105" i="75" s="1"/>
  <c r="R71" i="75"/>
  <c r="S71" i="75" s="1"/>
  <c r="R70" i="75"/>
  <c r="S70" i="75" s="1"/>
  <c r="R69" i="75"/>
  <c r="S69" i="75" s="1"/>
  <c r="R110" i="75"/>
  <c r="S110" i="75" s="1"/>
  <c r="R108" i="75"/>
  <c r="S108" i="75" s="1"/>
  <c r="R66" i="75"/>
  <c r="S66" i="75" s="1"/>
  <c r="R65" i="75"/>
  <c r="S65" i="75" s="1"/>
  <c r="R64" i="75"/>
  <c r="S64" i="75" s="1"/>
  <c r="R63" i="75"/>
  <c r="S63" i="75" s="1"/>
  <c r="R62" i="75"/>
  <c r="S62" i="75" s="1"/>
  <c r="R61" i="75"/>
  <c r="S61" i="75" s="1"/>
  <c r="R106" i="75"/>
  <c r="S106" i="75" s="1"/>
  <c r="R59" i="75"/>
  <c r="S59" i="75" s="1"/>
  <c r="R58" i="75"/>
  <c r="S58" i="75" s="1"/>
  <c r="R57" i="75"/>
  <c r="S57" i="75" s="1"/>
  <c r="AC155" i="75"/>
  <c r="R155" i="75"/>
  <c r="S155" i="75" s="1"/>
  <c r="AC285" i="75"/>
  <c r="R285" i="75"/>
  <c r="S285" i="75" s="1"/>
  <c r="R56" i="75"/>
  <c r="S56" i="75" s="1"/>
  <c r="R55" i="75"/>
  <c r="S55" i="75" s="1"/>
  <c r="R54" i="75"/>
  <c r="S54" i="75" s="1"/>
  <c r="BU209" i="75"/>
  <c r="AC209" i="75"/>
  <c r="R209" i="75"/>
  <c r="S209" i="75" s="1"/>
  <c r="R52" i="75"/>
  <c r="S52" i="75" s="1"/>
  <c r="BU208" i="75"/>
  <c r="AC208" i="75"/>
  <c r="R208" i="75"/>
  <c r="S208" i="75" s="1"/>
  <c r="BU198" i="75"/>
  <c r="AC198" i="75"/>
  <c r="R198" i="75"/>
  <c r="S198" i="75" s="1"/>
  <c r="R102" i="75"/>
  <c r="S102" i="75" s="1"/>
  <c r="R101" i="75"/>
  <c r="S101" i="75" s="1"/>
  <c r="R47" i="75"/>
  <c r="S47" i="75" s="1"/>
  <c r="R46" i="75"/>
  <c r="S46" i="75" s="1"/>
  <c r="R45" i="75"/>
  <c r="S45" i="75" s="1"/>
  <c r="R44" i="75"/>
  <c r="S44" i="75" s="1"/>
  <c r="R95" i="75"/>
  <c r="S95" i="75" s="1"/>
  <c r="R42" i="75"/>
  <c r="S42" i="75" s="1"/>
  <c r="R41" i="75"/>
  <c r="S41" i="75" s="1"/>
  <c r="R40" i="75"/>
  <c r="S40" i="75" s="1"/>
  <c r="R39" i="75"/>
  <c r="S39" i="75" s="1"/>
  <c r="R38" i="75"/>
  <c r="S38" i="75" s="1"/>
  <c r="R37" i="75"/>
  <c r="S37" i="75" s="1"/>
  <c r="R36" i="75"/>
  <c r="S36" i="75" s="1"/>
  <c r="R35" i="75"/>
  <c r="S35" i="75" s="1"/>
  <c r="R94" i="75"/>
  <c r="S94" i="75" s="1"/>
  <c r="R93" i="75"/>
  <c r="S93" i="75" s="1"/>
  <c r="R33" i="75"/>
  <c r="S33" i="75" s="1"/>
  <c r="R32" i="75"/>
  <c r="S32" i="75" s="1"/>
  <c r="R91" i="75"/>
  <c r="S91" i="75" s="1"/>
  <c r="R85" i="75"/>
  <c r="S85" i="75" s="1"/>
  <c r="R30" i="75"/>
  <c r="S30" i="75" s="1"/>
  <c r="R29" i="75"/>
  <c r="S29" i="75" s="1"/>
  <c r="R28" i="75"/>
  <c r="S28" i="75" s="1"/>
  <c r="R27" i="75"/>
  <c r="S27" i="75" s="1"/>
  <c r="R80" i="75"/>
  <c r="S80" i="75" s="1"/>
  <c r="R79" i="75"/>
  <c r="S79" i="75" s="1"/>
  <c r="R24" i="75"/>
  <c r="S24" i="75" s="1"/>
  <c r="R23" i="75"/>
  <c r="S23" i="75" s="1"/>
  <c r="R22" i="75"/>
  <c r="S22" i="75" s="1"/>
  <c r="R21" i="75"/>
  <c r="S21" i="75" s="1"/>
  <c r="R20" i="75"/>
  <c r="S20" i="75" s="1"/>
  <c r="R19" i="75"/>
  <c r="S19" i="75" s="1"/>
  <c r="R18" i="75"/>
  <c r="S18" i="75" s="1"/>
  <c r="R17" i="75"/>
  <c r="S17" i="75" s="1"/>
  <c r="R16" i="75"/>
  <c r="S16" i="75" s="1"/>
  <c r="R14" i="75"/>
  <c r="S14" i="75" s="1"/>
  <c r="R13" i="75"/>
  <c r="S13" i="75" s="1"/>
  <c r="S12" i="75"/>
  <c r="R11" i="75"/>
  <c r="S11" i="75" s="1"/>
  <c r="R10" i="75"/>
  <c r="S10" i="75" s="1"/>
  <c r="R9" i="75"/>
  <c r="S9" i="75" s="1"/>
  <c r="R8" i="75"/>
  <c r="S8" i="75" s="1"/>
  <c r="R6" i="75"/>
  <c r="S6" i="75" s="1"/>
  <c r="R5" i="75"/>
  <c r="S5" i="75" s="1"/>
  <c r="AC283" i="75"/>
  <c r="R283" i="75"/>
  <c r="S283" i="75" s="1"/>
  <c r="BU3" i="75"/>
  <c r="R3" i="75"/>
  <c r="S3" i="75" s="1"/>
  <c r="BU2" i="75"/>
  <c r="AC2" i="75"/>
  <c r="R2" i="75"/>
  <c r="S2" i="75" s="1"/>
  <c r="R528" i="75"/>
  <c r="S528" i="75" s="1"/>
  <c r="R527" i="75"/>
  <c r="S527" i="75" s="1"/>
  <c r="R526" i="75"/>
  <c r="S526" i="75" s="1"/>
  <c r="R525" i="75"/>
  <c r="S525" i="75" s="1"/>
  <c r="R78" i="75"/>
  <c r="S78" i="75" s="1"/>
  <c r="AC280" i="75"/>
  <c r="R280" i="75"/>
  <c r="AC279" i="75"/>
  <c r="R279" i="75"/>
  <c r="AR279" i="75" s="1"/>
  <c r="X279" i="75" s="1"/>
  <c r="G279" i="75"/>
  <c r="C279" i="75"/>
  <c r="AC278" i="75"/>
  <c r="R278" i="75"/>
  <c r="AR278" i="75" s="1"/>
  <c r="X278" i="75" s="1"/>
  <c r="AC277" i="75"/>
  <c r="R277" i="75"/>
  <c r="G277" i="75"/>
  <c r="D277" i="75"/>
  <c r="C277" i="75"/>
  <c r="B277" i="75"/>
  <c r="AC276" i="75"/>
  <c r="Q276" i="75"/>
  <c r="R276" i="75" s="1"/>
  <c r="AC274" i="75"/>
  <c r="R274" i="75"/>
  <c r="AR274" i="75" s="1"/>
  <c r="X274" i="75" s="1"/>
  <c r="AC273" i="75"/>
  <c r="R273" i="75"/>
  <c r="R77" i="75"/>
  <c r="S77" i="75" s="1"/>
  <c r="AC272" i="75"/>
  <c r="R272" i="75"/>
  <c r="AC271" i="75"/>
  <c r="Q271" i="75"/>
  <c r="R271" i="75" s="1"/>
  <c r="AC270" i="75"/>
  <c r="R270" i="75"/>
  <c r="AC269" i="75"/>
  <c r="R269" i="75"/>
  <c r="AC268" i="75"/>
  <c r="R268" i="75"/>
  <c r="AC267" i="75"/>
  <c r="R267" i="75"/>
  <c r="R76" i="75"/>
  <c r="S76" i="75" s="1"/>
  <c r="AC266" i="75"/>
  <c r="R266" i="75"/>
  <c r="AC264" i="75"/>
  <c r="R264" i="75"/>
  <c r="AC263" i="75"/>
  <c r="R263" i="75"/>
  <c r="AR263" i="75" s="1"/>
  <c r="X263" i="75" s="1"/>
  <c r="AC262" i="75"/>
  <c r="R262" i="75"/>
  <c r="AR262" i="75" s="1"/>
  <c r="X262" i="75" s="1"/>
  <c r="AC261" i="75"/>
  <c r="Q261" i="75"/>
  <c r="R261" i="75" s="1"/>
  <c r="AR261" i="75" s="1"/>
  <c r="X261" i="75" s="1"/>
  <c r="AC259" i="75"/>
  <c r="R259" i="75"/>
  <c r="AC258" i="75"/>
  <c r="R258" i="75"/>
  <c r="AC257" i="75"/>
  <c r="R257" i="75"/>
  <c r="AR257" i="75" s="1"/>
  <c r="X257" i="75" s="1"/>
  <c r="AC256" i="75"/>
  <c r="R256" i="75"/>
  <c r="AR256" i="75" s="1"/>
  <c r="X256" i="75" s="1"/>
  <c r="AC255" i="75"/>
  <c r="R255" i="75"/>
  <c r="AR255" i="75" s="1"/>
  <c r="X255" i="75" s="1"/>
  <c r="AC254" i="75"/>
  <c r="R254" i="75"/>
  <c r="R75" i="75"/>
  <c r="S75" i="75" s="1"/>
  <c r="AC253" i="75"/>
  <c r="R253" i="75"/>
  <c r="S253" i="75" s="1"/>
  <c r="AC252" i="75"/>
  <c r="R252" i="75"/>
  <c r="S252" i="75" s="1"/>
  <c r="AC251" i="75"/>
  <c r="R251" i="75"/>
  <c r="S251" i="75" s="1"/>
  <c r="AC250" i="75"/>
  <c r="R250" i="75"/>
  <c r="S250" i="75" s="1"/>
  <c r="AC249" i="75"/>
  <c r="R249" i="75"/>
  <c r="S249" i="75" s="1"/>
  <c r="AC248" i="75"/>
  <c r="R248" i="75"/>
  <c r="AR248" i="75" s="1"/>
  <c r="X248" i="75" s="1"/>
  <c r="AC247" i="75"/>
  <c r="Q247" i="75"/>
  <c r="R247" i="75" s="1"/>
  <c r="AR247" i="75" s="1"/>
  <c r="X247" i="75" s="1"/>
  <c r="R531" i="75"/>
  <c r="S531" i="75" s="1"/>
  <c r="R530" i="75"/>
  <c r="S530" i="75" s="1"/>
  <c r="S192" i="75"/>
  <c r="R537" i="75"/>
  <c r="S537" i="75" s="1"/>
  <c r="AC330" i="75"/>
  <c r="R330" i="75"/>
  <c r="S330" i="75" s="1"/>
  <c r="AC329" i="75"/>
  <c r="R329" i="75"/>
  <c r="S329" i="75" s="1"/>
  <c r="R72" i="75"/>
  <c r="S72" i="75" s="1"/>
  <c r="R68" i="75"/>
  <c r="S68" i="75" s="1"/>
  <c r="R67" i="75"/>
  <c r="S67" i="75" s="1"/>
  <c r="AC328" i="75"/>
  <c r="R328" i="75"/>
  <c r="S328" i="75" s="1"/>
  <c r="AC327" i="75"/>
  <c r="R327" i="75"/>
  <c r="S327" i="75" s="1"/>
  <c r="AC326" i="75"/>
  <c r="R326" i="75"/>
  <c r="S326" i="75" s="1"/>
  <c r="AC325" i="75"/>
  <c r="R325" i="75"/>
  <c r="S325" i="75" s="1"/>
  <c r="AC324" i="75"/>
  <c r="R324" i="75"/>
  <c r="S324" i="75" s="1"/>
  <c r="AC323" i="75"/>
  <c r="R323" i="75"/>
  <c r="S323" i="75" s="1"/>
  <c r="AC322" i="75"/>
  <c r="R322" i="75"/>
  <c r="S322" i="75" s="1"/>
  <c r="AC321" i="75"/>
  <c r="R321" i="75"/>
  <c r="S321" i="75" s="1"/>
  <c r="AC320" i="75"/>
  <c r="R320" i="75"/>
  <c r="S320" i="75" s="1"/>
  <c r="R60" i="75"/>
  <c r="S60" i="75" s="1"/>
  <c r="AC319" i="75"/>
  <c r="R319" i="75"/>
  <c r="S319" i="75" s="1"/>
  <c r="AC318" i="75"/>
  <c r="R318" i="75"/>
  <c r="S318" i="75" s="1"/>
  <c r="AC317" i="75"/>
  <c r="R317" i="75"/>
  <c r="S317" i="75" s="1"/>
  <c r="AC316" i="75"/>
  <c r="R316" i="75"/>
  <c r="S316" i="75" s="1"/>
  <c r="AC315" i="75"/>
  <c r="R315" i="75"/>
  <c r="S315" i="75" s="1"/>
  <c r="AC314" i="75"/>
  <c r="R314" i="75"/>
  <c r="S314" i="75" s="1"/>
  <c r="AC313" i="75"/>
  <c r="R313" i="75"/>
  <c r="S313" i="75" s="1"/>
  <c r="AC312" i="75"/>
  <c r="R312" i="75"/>
  <c r="S312" i="75" s="1"/>
  <c r="AC311" i="75"/>
  <c r="R311" i="75"/>
  <c r="S311" i="75" s="1"/>
  <c r="BB4" i="75"/>
  <c r="AZ4" i="75"/>
  <c r="AX4" i="75"/>
  <c r="AV4" i="75"/>
  <c r="AP4" i="75"/>
  <c r="R4" i="75"/>
  <c r="AC310" i="75"/>
  <c r="R310" i="75"/>
  <c r="S310" i="75" s="1"/>
  <c r="AC309" i="75"/>
  <c r="R309" i="75"/>
  <c r="S309" i="75" s="1"/>
  <c r="R53" i="75"/>
  <c r="S53" i="75" s="1"/>
  <c r="AC308" i="75"/>
  <c r="R308" i="75"/>
  <c r="S308" i="75" s="1"/>
  <c r="AC307" i="75"/>
  <c r="R307" i="75"/>
  <c r="S307" i="75" s="1"/>
  <c r="AC306" i="75"/>
  <c r="R306" i="75"/>
  <c r="S306" i="75" s="1"/>
  <c r="AC305" i="75"/>
  <c r="R305" i="75"/>
  <c r="S305" i="75" s="1"/>
  <c r="AC304" i="75"/>
  <c r="R304" i="75"/>
  <c r="S304" i="75" s="1"/>
  <c r="AC303" i="75"/>
  <c r="R303" i="75"/>
  <c r="S303" i="75" s="1"/>
  <c r="AC302" i="75"/>
  <c r="R302" i="75"/>
  <c r="S302" i="75" s="1"/>
  <c r="AC301" i="75"/>
  <c r="R301" i="75"/>
  <c r="S301" i="75" s="1"/>
  <c r="R51" i="75"/>
  <c r="S51" i="75" s="1"/>
  <c r="AC300" i="75"/>
  <c r="R300" i="75"/>
  <c r="S300" i="75" s="1"/>
  <c r="R50" i="75"/>
  <c r="S50" i="75" s="1"/>
  <c r="AC299" i="75"/>
  <c r="R299" i="75"/>
  <c r="S299" i="75" s="1"/>
  <c r="R49" i="75"/>
  <c r="S49" i="75" s="1"/>
  <c r="AC298" i="75"/>
  <c r="R298" i="75"/>
  <c r="S298" i="75" s="1"/>
  <c r="AC297" i="75"/>
  <c r="R297" i="75"/>
  <c r="S297" i="75" s="1"/>
  <c r="AC296" i="75"/>
  <c r="R296" i="75"/>
  <c r="S296" i="75" s="1"/>
  <c r="AC295" i="75"/>
  <c r="R295" i="75"/>
  <c r="S295" i="75" s="1"/>
  <c r="AC341" i="75"/>
  <c r="R341" i="75"/>
  <c r="S341" i="75" s="1"/>
  <c r="AC336" i="75"/>
  <c r="R336" i="75"/>
  <c r="S336" i="75" s="1"/>
  <c r="AC335" i="75"/>
  <c r="R335" i="75"/>
  <c r="S335" i="75" s="1"/>
  <c r="AC334" i="75"/>
  <c r="R334" i="75"/>
  <c r="S334" i="75" s="1"/>
  <c r="AC333" i="75"/>
  <c r="R333" i="75"/>
  <c r="S333" i="75" s="1"/>
  <c r="AC332" i="75"/>
  <c r="R332" i="75"/>
  <c r="S332" i="75" s="1"/>
  <c r="AC331" i="75"/>
  <c r="R331" i="75"/>
  <c r="S331" i="75" s="1"/>
  <c r="AC294" i="75"/>
  <c r="R294" i="75"/>
  <c r="S294" i="75" s="1"/>
  <c r="AC293" i="75"/>
  <c r="R293" i="75"/>
  <c r="S293" i="75" s="1"/>
  <c r="AC292" i="75"/>
  <c r="R292" i="75"/>
  <c r="S292" i="75" s="1"/>
  <c r="AC291" i="75"/>
  <c r="R291" i="75"/>
  <c r="S291" i="75" s="1"/>
  <c r="AC290" i="75"/>
  <c r="R290" i="75"/>
  <c r="S290" i="75" s="1"/>
  <c r="R48" i="75"/>
  <c r="S48" i="75" s="1"/>
  <c r="R26" i="75"/>
  <c r="S26" i="75" s="1"/>
  <c r="R25" i="75"/>
  <c r="S25" i="75" s="1"/>
  <c r="AC265" i="75"/>
  <c r="R265" i="75"/>
  <c r="R242" i="75"/>
  <c r="S242" i="75" s="1"/>
  <c r="AC244" i="75"/>
  <c r="R244" i="75"/>
  <c r="S244" i="75" s="1"/>
  <c r="AC243" i="75"/>
  <c r="R243" i="75"/>
  <c r="S243" i="75" s="1"/>
  <c r="R512" i="75"/>
  <c r="S512" i="75" s="1"/>
  <c r="R511" i="75"/>
  <c r="S511" i="75" s="1"/>
  <c r="Z195" i="75" l="1"/>
  <c r="Y195" i="75"/>
  <c r="Z320" i="75"/>
  <c r="Y320" i="75"/>
  <c r="AV4" i="76"/>
  <c r="AU4" i="76"/>
  <c r="AV5" i="76"/>
  <c r="AU5" i="76"/>
  <c r="AV6" i="76"/>
  <c r="AU6" i="76"/>
  <c r="AV7" i="76"/>
  <c r="AU7" i="76"/>
  <c r="AV8" i="76"/>
  <c r="AU8" i="76"/>
  <c r="AV9" i="76"/>
  <c r="AU9" i="76"/>
  <c r="AV10" i="76"/>
  <c r="AU10" i="76"/>
  <c r="AV11" i="76"/>
  <c r="AU11" i="76"/>
  <c r="AV12" i="76"/>
  <c r="AU12" i="76"/>
  <c r="AV13" i="76"/>
  <c r="AU13" i="76"/>
  <c r="AV14" i="76"/>
  <c r="AU14" i="76"/>
  <c r="AV15" i="76"/>
  <c r="AU15" i="76"/>
  <c r="AV16" i="76"/>
  <c r="AU16" i="76"/>
  <c r="AV17" i="76"/>
  <c r="AU17" i="76"/>
  <c r="AV18" i="76"/>
  <c r="AU18" i="76"/>
  <c r="AV19" i="76"/>
  <c r="AU19" i="76"/>
  <c r="AV20" i="76"/>
  <c r="AU20" i="76"/>
  <c r="AV21" i="76"/>
  <c r="AU21" i="76"/>
  <c r="AV22" i="76"/>
  <c r="AU22" i="76"/>
  <c r="AV23" i="76"/>
  <c r="AU23" i="76"/>
  <c r="AV24" i="76"/>
  <c r="AU24" i="76"/>
  <c r="AV25" i="76"/>
  <c r="AU25" i="76"/>
  <c r="AV26" i="76"/>
  <c r="AU26" i="76"/>
  <c r="AV27" i="76"/>
  <c r="AU27" i="76"/>
  <c r="AV28" i="76"/>
  <c r="AU28" i="76"/>
  <c r="AV29" i="76"/>
  <c r="AU29" i="76"/>
  <c r="AV30" i="76"/>
  <c r="AU30" i="76"/>
  <c r="AV31" i="76"/>
  <c r="AU31" i="76"/>
  <c r="AV32" i="76"/>
  <c r="AU32" i="76"/>
  <c r="AV33" i="76"/>
  <c r="AU33" i="76"/>
  <c r="AV34" i="76"/>
  <c r="AU34" i="76"/>
  <c r="AV35" i="76"/>
  <c r="AU35" i="76"/>
  <c r="AV36" i="76"/>
  <c r="AU36" i="76"/>
  <c r="AV37" i="76"/>
  <c r="AU37" i="76"/>
  <c r="AV38" i="76"/>
  <c r="AU38" i="76"/>
  <c r="AV39" i="76"/>
  <c r="AU39" i="76"/>
  <c r="AV40" i="76"/>
  <c r="AU40" i="76"/>
  <c r="AV41" i="76"/>
  <c r="AU41" i="76"/>
  <c r="AV42" i="76"/>
  <c r="AU42" i="76"/>
  <c r="AV43" i="76"/>
  <c r="AU43" i="76"/>
  <c r="AV44" i="76"/>
  <c r="AU44" i="76"/>
  <c r="AV45" i="76"/>
  <c r="AU45" i="76"/>
  <c r="AV46" i="76"/>
  <c r="AU46" i="76"/>
  <c r="AV47" i="76"/>
  <c r="AU47" i="76"/>
  <c r="AV48" i="76"/>
  <c r="AU48" i="76"/>
  <c r="AV49" i="76"/>
  <c r="AU49" i="76"/>
  <c r="AV50" i="76"/>
  <c r="AU50" i="76"/>
  <c r="AV51" i="76"/>
  <c r="AU51" i="76"/>
  <c r="AV52" i="76"/>
  <c r="AU52" i="76"/>
  <c r="AV53" i="76"/>
  <c r="AU53" i="76"/>
  <c r="AV54" i="76"/>
  <c r="AU54" i="76"/>
  <c r="AV55" i="76"/>
  <c r="AU55" i="76"/>
  <c r="AV56" i="76"/>
  <c r="AU56" i="76"/>
  <c r="AV57" i="76"/>
  <c r="AU57" i="76"/>
  <c r="AV58" i="76"/>
  <c r="AU58" i="76"/>
  <c r="AV59" i="76"/>
  <c r="AU59" i="76"/>
  <c r="AV60" i="76"/>
  <c r="AU60" i="76"/>
  <c r="AV61" i="76"/>
  <c r="AU61" i="76"/>
  <c r="AV62" i="76"/>
  <c r="AU62" i="76"/>
  <c r="AV63" i="76"/>
  <c r="AU63" i="76"/>
  <c r="AV64" i="76"/>
  <c r="AU64" i="76"/>
  <c r="AV65" i="76"/>
  <c r="AU65" i="76"/>
  <c r="AV66" i="76"/>
  <c r="AU66" i="76"/>
  <c r="AV67" i="76"/>
  <c r="AU67" i="76"/>
  <c r="AV68" i="76"/>
  <c r="AU68" i="76"/>
  <c r="AV69" i="76"/>
  <c r="AU69" i="76"/>
  <c r="AV70" i="76"/>
  <c r="AU70" i="76"/>
  <c r="AV71" i="76"/>
  <c r="AU71" i="76"/>
  <c r="AV72" i="76"/>
  <c r="AU72" i="76"/>
  <c r="AV73" i="76"/>
  <c r="AU73" i="76"/>
  <c r="AV74" i="76"/>
  <c r="AU74" i="76"/>
  <c r="AV75" i="76"/>
  <c r="AU75" i="76"/>
  <c r="AV76" i="76"/>
  <c r="AU76" i="76"/>
  <c r="AV77" i="76"/>
  <c r="AU77" i="76"/>
  <c r="AV78" i="76"/>
  <c r="AU78" i="76"/>
  <c r="AV79" i="76"/>
  <c r="AU79" i="76"/>
  <c r="AV80" i="76"/>
  <c r="AU80" i="76"/>
  <c r="AV81" i="76"/>
  <c r="AU81" i="76"/>
  <c r="AV82" i="76"/>
  <c r="AU82" i="76"/>
  <c r="AV83" i="76"/>
  <c r="AU83" i="76"/>
  <c r="AV84" i="76"/>
  <c r="AU84" i="76"/>
  <c r="AV85" i="76"/>
  <c r="AU85" i="76"/>
  <c r="AV86" i="76"/>
  <c r="AU86" i="76"/>
  <c r="AV87" i="76"/>
  <c r="AU87" i="76"/>
  <c r="AV88" i="76"/>
  <c r="AU88" i="76"/>
  <c r="AV89" i="76"/>
  <c r="AU89" i="76"/>
  <c r="AV90" i="76"/>
  <c r="AU90" i="76"/>
  <c r="AV91" i="76"/>
  <c r="AU91" i="76"/>
  <c r="AV92" i="76"/>
  <c r="AU92" i="76"/>
  <c r="AV93" i="76"/>
  <c r="AU93" i="76"/>
  <c r="AV94" i="76"/>
  <c r="AU94" i="76"/>
  <c r="AV95" i="76"/>
  <c r="AU95" i="76"/>
  <c r="AV96" i="76"/>
  <c r="AU96" i="76"/>
  <c r="AV97" i="76"/>
  <c r="AU97" i="76"/>
  <c r="AV98" i="76"/>
  <c r="AU98" i="76"/>
  <c r="AV99" i="76"/>
  <c r="AU99" i="76"/>
  <c r="AV100" i="76"/>
  <c r="AU100" i="76"/>
  <c r="AV101" i="76"/>
  <c r="AU101" i="76"/>
  <c r="AV102" i="76"/>
  <c r="AU102" i="76"/>
  <c r="AV103" i="76"/>
  <c r="AU103" i="76"/>
  <c r="AV104" i="76"/>
  <c r="AU104" i="76"/>
  <c r="AV105" i="76"/>
  <c r="AU105" i="76"/>
  <c r="AV106" i="76"/>
  <c r="AU106" i="76"/>
  <c r="AV107" i="76"/>
  <c r="AU107" i="76"/>
  <c r="AV108" i="76"/>
  <c r="AU108" i="76"/>
  <c r="AV109" i="76"/>
  <c r="AU109" i="76"/>
  <c r="AV110" i="76"/>
  <c r="AU110" i="76"/>
  <c r="AV111" i="76"/>
  <c r="AU111" i="76"/>
  <c r="AV112" i="76"/>
  <c r="AU112" i="76"/>
  <c r="AV113" i="76"/>
  <c r="AU113" i="76"/>
  <c r="AV114" i="76"/>
  <c r="AU114" i="76"/>
  <c r="AV115" i="76"/>
  <c r="AU115" i="76"/>
  <c r="AV116" i="76"/>
  <c r="AU116" i="76"/>
  <c r="AV117" i="76"/>
  <c r="AU117" i="76"/>
  <c r="AV118" i="76"/>
  <c r="AU118" i="76"/>
  <c r="AV119" i="76"/>
  <c r="AU119" i="76"/>
  <c r="AV120" i="76"/>
  <c r="AU120" i="76"/>
  <c r="AV121" i="76"/>
  <c r="AU121" i="76"/>
  <c r="AV122" i="76"/>
  <c r="AU122" i="76"/>
  <c r="AV123" i="76"/>
  <c r="AU123" i="76"/>
  <c r="AV124" i="76"/>
  <c r="AU124" i="76"/>
  <c r="AV125" i="76"/>
  <c r="AU125" i="76"/>
  <c r="AV126" i="76"/>
  <c r="AU126" i="76"/>
  <c r="AV127" i="76"/>
  <c r="AU127" i="76"/>
  <c r="AV128" i="76"/>
  <c r="AU128" i="76"/>
  <c r="AV129" i="76"/>
  <c r="AU129" i="76"/>
  <c r="AV130" i="76"/>
  <c r="AU130" i="76"/>
  <c r="AV131" i="76"/>
  <c r="AU131" i="76"/>
  <c r="AV132" i="76"/>
  <c r="AU132" i="76"/>
  <c r="AV133" i="76"/>
  <c r="AU133" i="76"/>
  <c r="AV134" i="76"/>
  <c r="AU134" i="76"/>
  <c r="AV135" i="76"/>
  <c r="AU135" i="76"/>
  <c r="AV136" i="76"/>
  <c r="AU136" i="76"/>
  <c r="AV137" i="76"/>
  <c r="AU137" i="76"/>
  <c r="AV138" i="76"/>
  <c r="AU138" i="76"/>
  <c r="AV139" i="76"/>
  <c r="AU139" i="76"/>
  <c r="AV140" i="76"/>
  <c r="AU140" i="76"/>
  <c r="AV141" i="76"/>
  <c r="AU141" i="76"/>
  <c r="AV142" i="76"/>
  <c r="AU142" i="76"/>
  <c r="AV143" i="76"/>
  <c r="AU143" i="76"/>
  <c r="AV144" i="76"/>
  <c r="AU144" i="76"/>
  <c r="AV145" i="76"/>
  <c r="AU145" i="76"/>
  <c r="AV146" i="76"/>
  <c r="AU146" i="76"/>
  <c r="AV147" i="76"/>
  <c r="AU147" i="76"/>
  <c r="AV148" i="76"/>
  <c r="AU148" i="76"/>
  <c r="AV149" i="76"/>
  <c r="AU149" i="76"/>
  <c r="AV150" i="76"/>
  <c r="AU150" i="76"/>
  <c r="AV151" i="76"/>
  <c r="AU151" i="76"/>
  <c r="AV152" i="76"/>
  <c r="AU152" i="76"/>
  <c r="AV153" i="76"/>
  <c r="AU153" i="76"/>
  <c r="AV155" i="76"/>
  <c r="AU155" i="76"/>
  <c r="AV156" i="76"/>
  <c r="AU156" i="76"/>
  <c r="AV157" i="76"/>
  <c r="AU157" i="76"/>
  <c r="AV158" i="76"/>
  <c r="AU158" i="76"/>
  <c r="AV159" i="76"/>
  <c r="AU159" i="76"/>
  <c r="AV160" i="76"/>
  <c r="AU160" i="76"/>
  <c r="AV161" i="76"/>
  <c r="AU161" i="76"/>
  <c r="AV162" i="76"/>
  <c r="AU162" i="76"/>
  <c r="AV163" i="76"/>
  <c r="AU163" i="76"/>
  <c r="AV164" i="76"/>
  <c r="AU164" i="76"/>
  <c r="AV165" i="76"/>
  <c r="AU165" i="76"/>
  <c r="AV166" i="76"/>
  <c r="AU166" i="76"/>
  <c r="AV167" i="76"/>
  <c r="AU167" i="76"/>
  <c r="AV168" i="76"/>
  <c r="AU168" i="76"/>
  <c r="AV169" i="76"/>
  <c r="AU169" i="76"/>
  <c r="AV170" i="76"/>
  <c r="AU170" i="76"/>
  <c r="AV171" i="76"/>
  <c r="AU171" i="76"/>
  <c r="AV172" i="76"/>
  <c r="AU172" i="76"/>
  <c r="AV173" i="76"/>
  <c r="AU173" i="76"/>
  <c r="AV174" i="76"/>
  <c r="AU174" i="76"/>
  <c r="AV175" i="76"/>
  <c r="AU175" i="76"/>
  <c r="AV176" i="76"/>
  <c r="AU176" i="76"/>
  <c r="AV177" i="76"/>
  <c r="AU177" i="76"/>
  <c r="AV178" i="76"/>
  <c r="AU178" i="76"/>
  <c r="AV179" i="76"/>
  <c r="AU179" i="76"/>
  <c r="AV180" i="76"/>
  <c r="AU180" i="76"/>
  <c r="AV181" i="76"/>
  <c r="AU181" i="76"/>
  <c r="AV182" i="76"/>
  <c r="AU182" i="76"/>
  <c r="AV183" i="76"/>
  <c r="AU183" i="76"/>
  <c r="AV184" i="76"/>
  <c r="AU184" i="76"/>
  <c r="AV185" i="76"/>
  <c r="AU185" i="76"/>
  <c r="AV186" i="76"/>
  <c r="AU186" i="76"/>
  <c r="AV187" i="76"/>
  <c r="AU187" i="76"/>
  <c r="AV188" i="76"/>
  <c r="AU188" i="76"/>
  <c r="AV189" i="76"/>
  <c r="AU189" i="76"/>
  <c r="AV190" i="76"/>
  <c r="AU190" i="76"/>
  <c r="AV191" i="76"/>
  <c r="AU191" i="76"/>
  <c r="AV192" i="76"/>
  <c r="AU192" i="76"/>
  <c r="AV193" i="76"/>
  <c r="AU193" i="76"/>
  <c r="AV194" i="76"/>
  <c r="AU194" i="76"/>
  <c r="AV195" i="76"/>
  <c r="AU195" i="76"/>
  <c r="AV196" i="76"/>
  <c r="AU196" i="76"/>
  <c r="AV197" i="76"/>
  <c r="AU197" i="76"/>
  <c r="AV198" i="76"/>
  <c r="AU198" i="76"/>
  <c r="AV199" i="76"/>
  <c r="AU199" i="76"/>
  <c r="AV200" i="76"/>
  <c r="AU200" i="76"/>
  <c r="AV201" i="76"/>
  <c r="AU201" i="76"/>
  <c r="AV202" i="76"/>
  <c r="AU202" i="76"/>
  <c r="AV203" i="76"/>
  <c r="AU203" i="76"/>
  <c r="AV204" i="76"/>
  <c r="AU204" i="76"/>
  <c r="AV205" i="76"/>
  <c r="AU205" i="76"/>
  <c r="AV206" i="76"/>
  <c r="AU206" i="76"/>
  <c r="AV207" i="76"/>
  <c r="AU207" i="76"/>
  <c r="AV208" i="76"/>
  <c r="AU208" i="76"/>
  <c r="AV209" i="76"/>
  <c r="AU209" i="76"/>
  <c r="AV210" i="76"/>
  <c r="AU210" i="76"/>
  <c r="AV211" i="76"/>
  <c r="AU211" i="76"/>
  <c r="AV212" i="76"/>
  <c r="AU212" i="76"/>
  <c r="AV213" i="76"/>
  <c r="AU213" i="76"/>
  <c r="AV214" i="76"/>
  <c r="AU214" i="76"/>
  <c r="AV215" i="76"/>
  <c r="AU215" i="76"/>
  <c r="AV216" i="76"/>
  <c r="AU216" i="76"/>
  <c r="AV217" i="76"/>
  <c r="AU217" i="76"/>
  <c r="AV218" i="76"/>
  <c r="AU218" i="76"/>
  <c r="AV219" i="76"/>
  <c r="AU219" i="76"/>
  <c r="AV220" i="76"/>
  <c r="AU220" i="76"/>
  <c r="AV221" i="76"/>
  <c r="AU221" i="76"/>
  <c r="AV222" i="76"/>
  <c r="AU222" i="76"/>
  <c r="AV223" i="76"/>
  <c r="AU223" i="76"/>
  <c r="AV224" i="76"/>
  <c r="AU224" i="76"/>
  <c r="AV225" i="76"/>
  <c r="AU225" i="76"/>
  <c r="AV226" i="76"/>
  <c r="AU226" i="76"/>
  <c r="AV227" i="76"/>
  <c r="AU227" i="76"/>
  <c r="AV228" i="76"/>
  <c r="AU228" i="76"/>
  <c r="AV229" i="76"/>
  <c r="AU229" i="76"/>
  <c r="AV230" i="76"/>
  <c r="AU230" i="76"/>
  <c r="AV231" i="76"/>
  <c r="AU231" i="76"/>
  <c r="AV232" i="76"/>
  <c r="AU232" i="76"/>
  <c r="AV233" i="76"/>
  <c r="AU233" i="76"/>
  <c r="AV234" i="76"/>
  <c r="AU234" i="76"/>
  <c r="AV235" i="76"/>
  <c r="AU235" i="76"/>
  <c r="AV236" i="76"/>
  <c r="AU236" i="76"/>
  <c r="AV237" i="76"/>
  <c r="AU237" i="76"/>
  <c r="AV238" i="76"/>
  <c r="AU238" i="76"/>
  <c r="AV239" i="76"/>
  <c r="AU239" i="76"/>
  <c r="AV240" i="76"/>
  <c r="AU240" i="76"/>
  <c r="AV241" i="76"/>
  <c r="AU241" i="76"/>
  <c r="AV242" i="76"/>
  <c r="AU242" i="76"/>
  <c r="AV243" i="76"/>
  <c r="AU243" i="76"/>
  <c r="AV244" i="76"/>
  <c r="AU244" i="76"/>
  <c r="AV245" i="76"/>
  <c r="AU245" i="76"/>
  <c r="AV246" i="76"/>
  <c r="AU246" i="76"/>
  <c r="AV247" i="76"/>
  <c r="AU247" i="76"/>
  <c r="AV248" i="76"/>
  <c r="AU248" i="76"/>
  <c r="AV249" i="76"/>
  <c r="AU249" i="76"/>
  <c r="AV250" i="76"/>
  <c r="AU250" i="76"/>
  <c r="AV251" i="76"/>
  <c r="AU251" i="76"/>
  <c r="AV252" i="76"/>
  <c r="AU252" i="76"/>
  <c r="AV253" i="76"/>
  <c r="AU253" i="76"/>
  <c r="AV254" i="76"/>
  <c r="AU254" i="76"/>
  <c r="AV255" i="76"/>
  <c r="AU255" i="76"/>
  <c r="AV256" i="76"/>
  <c r="AU256" i="76"/>
  <c r="AV257" i="76"/>
  <c r="AU257" i="76"/>
  <c r="AV258" i="76"/>
  <c r="AU258" i="76"/>
  <c r="AV259" i="76"/>
  <c r="AU259" i="76"/>
  <c r="AV260" i="76"/>
  <c r="AU260" i="76"/>
  <c r="AV261" i="76"/>
  <c r="AU261" i="76"/>
  <c r="AV262" i="76"/>
  <c r="AU262" i="76"/>
  <c r="AV263" i="76"/>
  <c r="AU263" i="76"/>
  <c r="AV264" i="76"/>
  <c r="AU264" i="76"/>
  <c r="AV265" i="76"/>
  <c r="AU265" i="76"/>
  <c r="AV266" i="76"/>
  <c r="AU266" i="76"/>
  <c r="AV267" i="76"/>
  <c r="AU267" i="76"/>
  <c r="AV268" i="76"/>
  <c r="AU268" i="76"/>
  <c r="AV269" i="76"/>
  <c r="AU269" i="76"/>
  <c r="AV270" i="76"/>
  <c r="AU270" i="76"/>
  <c r="AV271" i="76"/>
  <c r="AU271" i="76"/>
  <c r="AV272" i="76"/>
  <c r="AU272" i="76"/>
  <c r="AV273" i="76"/>
  <c r="AU273" i="76"/>
  <c r="AV274" i="76"/>
  <c r="AU274" i="76"/>
  <c r="AV275" i="76"/>
  <c r="AU275" i="76"/>
  <c r="AV276" i="76"/>
  <c r="AU276" i="76"/>
  <c r="AV277" i="76"/>
  <c r="AU277" i="76"/>
  <c r="AV278" i="76"/>
  <c r="AU278" i="76"/>
  <c r="AV279" i="76"/>
  <c r="AU279" i="76"/>
  <c r="AV280" i="76"/>
  <c r="AU280" i="76"/>
  <c r="AV281" i="76"/>
  <c r="AU281" i="76"/>
  <c r="AV282" i="76"/>
  <c r="AU282" i="76"/>
  <c r="AV283" i="76"/>
  <c r="AU283" i="76"/>
  <c r="AV284" i="76"/>
  <c r="AU284" i="76"/>
  <c r="AV285" i="76"/>
  <c r="AU285" i="76"/>
  <c r="AV286" i="76"/>
  <c r="AU286" i="76"/>
  <c r="AV287" i="76"/>
  <c r="AU287" i="76"/>
  <c r="AV288" i="76"/>
  <c r="AU288" i="76"/>
  <c r="AV289" i="76"/>
  <c r="AU289" i="76"/>
  <c r="AV290" i="76"/>
  <c r="AU290" i="76"/>
  <c r="AV291" i="76"/>
  <c r="AU291" i="76"/>
  <c r="AV292" i="76"/>
  <c r="AU292" i="76"/>
  <c r="AV293" i="76"/>
  <c r="AU293" i="76"/>
  <c r="AV294" i="76"/>
  <c r="AU294" i="76"/>
  <c r="AV295" i="76"/>
  <c r="AU295" i="76"/>
  <c r="AV296" i="76"/>
  <c r="AU296" i="76"/>
  <c r="AV297" i="76"/>
  <c r="AU297" i="76"/>
  <c r="AV298" i="76"/>
  <c r="AU298" i="76"/>
  <c r="AV299" i="76"/>
  <c r="AU299" i="76"/>
  <c r="AV300" i="76"/>
  <c r="AU300" i="76"/>
  <c r="AV301" i="76"/>
  <c r="AU301" i="76"/>
  <c r="AV302" i="76"/>
  <c r="AU302" i="76"/>
  <c r="AV303" i="76"/>
  <c r="AU303" i="76"/>
  <c r="AV304" i="76"/>
  <c r="AU304" i="76"/>
  <c r="AV305" i="76"/>
  <c r="AU305" i="76"/>
  <c r="AV306" i="76"/>
  <c r="AU306" i="76"/>
  <c r="AV307" i="76"/>
  <c r="AU307" i="76"/>
  <c r="AV308" i="76"/>
  <c r="AU308" i="76"/>
  <c r="AV309" i="76"/>
  <c r="AU309" i="76"/>
  <c r="AV310" i="76"/>
  <c r="AU310" i="76"/>
  <c r="AV311" i="76"/>
  <c r="AU311" i="76"/>
  <c r="AV312" i="76"/>
  <c r="AU312" i="76"/>
  <c r="AV313" i="76"/>
  <c r="AU313" i="76"/>
  <c r="AV314" i="76"/>
  <c r="AU314" i="76"/>
  <c r="AV315" i="76"/>
  <c r="AU315" i="76"/>
  <c r="AV316" i="76"/>
  <c r="AU316" i="76"/>
  <c r="AV317" i="76"/>
  <c r="AU317" i="76"/>
  <c r="AV318" i="76"/>
  <c r="AU318" i="76"/>
  <c r="AV319" i="76"/>
  <c r="AU319" i="76"/>
  <c r="AV320" i="76"/>
  <c r="AU320" i="76"/>
  <c r="AV321" i="76"/>
  <c r="AU321" i="76"/>
  <c r="AV322" i="76"/>
  <c r="AU322" i="76"/>
  <c r="AV323" i="76"/>
  <c r="AU323" i="76"/>
  <c r="AV324" i="76"/>
  <c r="AU324" i="76"/>
  <c r="AV325" i="76"/>
  <c r="AU325" i="76"/>
  <c r="AV326" i="76"/>
  <c r="AU326" i="76"/>
  <c r="AV327" i="76"/>
  <c r="AU327" i="76"/>
  <c r="AV328" i="76"/>
  <c r="AU328" i="76"/>
  <c r="AV329" i="76"/>
  <c r="AU329" i="76"/>
  <c r="AV330" i="76"/>
  <c r="AU330" i="76"/>
  <c r="AV331" i="76"/>
  <c r="AU331" i="76"/>
  <c r="AV332" i="76"/>
  <c r="AU332" i="76"/>
  <c r="AV333" i="76"/>
  <c r="AU333" i="76"/>
  <c r="AV334" i="76"/>
  <c r="AU334" i="76"/>
  <c r="AV335" i="76"/>
  <c r="AU335" i="76"/>
  <c r="AV336" i="76"/>
  <c r="AU336" i="76"/>
  <c r="AV337" i="76"/>
  <c r="AU337" i="76"/>
  <c r="AV338" i="76"/>
  <c r="AU338" i="76"/>
  <c r="AV339" i="76"/>
  <c r="AU339" i="76"/>
  <c r="AV340" i="76"/>
  <c r="AU340" i="76"/>
  <c r="AV341" i="76"/>
  <c r="AU341" i="76"/>
  <c r="AV342" i="76"/>
  <c r="AU342" i="76"/>
  <c r="AV343" i="76"/>
  <c r="AU343" i="76"/>
  <c r="AV344" i="76"/>
  <c r="AU344" i="76"/>
  <c r="AV345" i="76"/>
  <c r="AU345" i="76"/>
  <c r="AV346" i="76"/>
  <c r="AU346" i="76"/>
  <c r="AV347" i="76"/>
  <c r="AU347" i="76"/>
  <c r="AV348" i="76"/>
  <c r="AU348" i="76"/>
  <c r="AV349" i="76"/>
  <c r="AU349" i="76"/>
  <c r="AV350" i="76"/>
  <c r="AU350" i="76"/>
  <c r="AV351" i="76"/>
  <c r="AU351" i="76"/>
  <c r="AV352" i="76"/>
  <c r="AU352" i="76"/>
  <c r="AV353" i="76"/>
  <c r="AU353" i="76"/>
  <c r="AV354" i="76"/>
  <c r="AU354" i="76"/>
  <c r="AV355" i="76"/>
  <c r="AU355" i="76"/>
  <c r="AV356" i="76"/>
  <c r="AU356" i="76"/>
  <c r="AV357" i="76"/>
  <c r="AU357" i="76"/>
  <c r="AV358" i="76"/>
  <c r="AU358" i="76"/>
  <c r="AV359" i="76"/>
  <c r="AU359" i="76"/>
  <c r="AV360" i="76"/>
  <c r="AU360" i="76"/>
  <c r="AV361" i="76"/>
  <c r="AU361" i="76"/>
  <c r="AV362" i="76"/>
  <c r="AU362" i="76"/>
  <c r="AV363" i="76"/>
  <c r="AU363" i="76"/>
  <c r="AV364" i="76"/>
  <c r="AU364" i="76"/>
  <c r="AV365" i="76"/>
  <c r="AU365" i="76"/>
  <c r="AV366" i="76"/>
  <c r="AU366" i="76"/>
  <c r="AV367" i="76"/>
  <c r="AU367" i="76"/>
  <c r="AV368" i="76"/>
  <c r="AU368" i="76"/>
  <c r="AV369" i="76"/>
  <c r="AU369" i="76"/>
  <c r="AV370" i="76"/>
  <c r="AU370" i="76"/>
  <c r="AV371" i="76"/>
  <c r="AU371" i="76"/>
  <c r="AV372" i="76"/>
  <c r="AU372" i="76"/>
  <c r="AV373" i="76"/>
  <c r="AU373" i="76"/>
  <c r="AV374" i="76"/>
  <c r="AU374" i="76"/>
  <c r="AV375" i="76"/>
  <c r="AU375" i="76"/>
  <c r="AV376" i="76"/>
  <c r="AU376" i="76"/>
  <c r="AV377" i="76"/>
  <c r="AU377" i="76"/>
  <c r="AV378" i="76"/>
  <c r="AU378" i="76"/>
  <c r="AV379" i="76"/>
  <c r="AU379" i="76"/>
  <c r="AV380" i="76"/>
  <c r="AU380" i="76"/>
  <c r="AV381" i="76"/>
  <c r="AU381" i="76"/>
  <c r="AV382" i="76"/>
  <c r="AU382" i="76"/>
  <c r="AV383" i="76"/>
  <c r="AU383" i="76"/>
  <c r="AV384" i="76"/>
  <c r="AU384" i="76"/>
  <c r="AV385" i="76"/>
  <c r="AU385" i="76"/>
  <c r="AV386" i="76"/>
  <c r="AU386" i="76"/>
  <c r="AV387" i="76"/>
  <c r="AU387" i="76"/>
  <c r="AV388" i="76"/>
  <c r="AU388" i="76"/>
  <c r="AV389" i="76"/>
  <c r="AU389" i="76"/>
  <c r="AV390" i="76"/>
  <c r="AU390" i="76"/>
  <c r="AV391" i="76"/>
  <c r="AU391" i="76"/>
  <c r="AV392" i="76"/>
  <c r="AU392" i="76"/>
  <c r="AV393" i="76"/>
  <c r="AU393" i="76"/>
  <c r="AV394" i="76"/>
  <c r="AU394" i="76"/>
  <c r="AV395" i="76"/>
  <c r="AU395" i="76"/>
  <c r="AV396" i="76"/>
  <c r="AU396" i="76"/>
  <c r="AV397" i="76"/>
  <c r="AU397" i="76"/>
  <c r="AV398" i="76"/>
  <c r="AU398" i="76"/>
  <c r="AV399" i="76"/>
  <c r="AU399" i="76"/>
  <c r="AV400" i="76"/>
  <c r="AU400" i="76"/>
  <c r="AV401" i="76"/>
  <c r="AU401" i="76"/>
  <c r="AV402" i="76"/>
  <c r="AU402" i="76"/>
  <c r="AV403" i="76"/>
  <c r="AU403" i="76"/>
  <c r="AV404" i="76"/>
  <c r="AU404" i="76"/>
  <c r="AV405" i="76"/>
  <c r="AU405" i="76"/>
  <c r="AV406" i="76"/>
  <c r="AU406" i="76"/>
  <c r="AV407" i="76"/>
  <c r="AU407" i="76"/>
  <c r="AV408" i="76"/>
  <c r="AU408" i="76"/>
  <c r="AV409" i="76"/>
  <c r="AU409" i="76"/>
  <c r="AV410" i="76"/>
  <c r="AU410" i="76"/>
  <c r="AV411" i="76"/>
  <c r="AU411" i="76"/>
  <c r="AV412" i="76"/>
  <c r="AU412" i="76"/>
  <c r="AV413" i="76"/>
  <c r="AU413" i="76"/>
  <c r="AV414" i="76"/>
  <c r="AU414" i="76"/>
  <c r="AV415" i="76"/>
  <c r="AU415" i="76"/>
  <c r="AV416" i="76"/>
  <c r="AU416" i="76"/>
  <c r="AV417" i="76"/>
  <c r="AU417" i="76"/>
  <c r="AV418" i="76"/>
  <c r="AU418" i="76"/>
  <c r="AV419" i="76"/>
  <c r="AU419" i="76"/>
  <c r="AV420" i="76"/>
  <c r="AU420" i="76"/>
  <c r="AV421" i="76"/>
  <c r="AU421" i="76"/>
  <c r="AV422" i="76"/>
  <c r="AU422" i="76"/>
  <c r="AV423" i="76"/>
  <c r="AU423" i="76"/>
  <c r="AV424" i="76"/>
  <c r="AU424" i="76"/>
  <c r="AV425" i="76"/>
  <c r="AU425" i="76"/>
  <c r="AV426" i="76"/>
  <c r="AU426" i="76"/>
  <c r="AV427" i="76"/>
  <c r="AU427" i="76"/>
  <c r="AV428" i="76"/>
  <c r="AU428" i="76"/>
  <c r="AV429" i="76"/>
  <c r="AU429" i="76"/>
  <c r="AV430" i="76"/>
  <c r="AU430" i="76"/>
  <c r="AV431" i="76"/>
  <c r="AU431" i="76"/>
  <c r="AV432" i="76"/>
  <c r="AU432" i="76"/>
  <c r="AV433" i="76"/>
  <c r="AU433" i="76"/>
  <c r="AV434" i="76"/>
  <c r="AU434" i="76"/>
  <c r="AV435" i="76"/>
  <c r="AU435" i="76"/>
  <c r="AV436" i="76"/>
  <c r="AU436" i="76"/>
  <c r="AV437" i="76"/>
  <c r="AU437" i="76"/>
  <c r="AV438" i="76"/>
  <c r="AU438" i="76"/>
  <c r="AV439" i="76"/>
  <c r="AU439" i="76"/>
  <c r="AV440" i="76"/>
  <c r="AU440" i="76"/>
  <c r="AV441" i="76"/>
  <c r="AU441" i="76"/>
  <c r="AV442" i="76"/>
  <c r="AU442" i="76"/>
  <c r="AV443" i="76"/>
  <c r="AU443" i="76"/>
  <c r="AV444" i="76"/>
  <c r="AU444" i="76"/>
  <c r="AV445" i="76"/>
  <c r="AU445" i="76"/>
  <c r="AV446" i="76"/>
  <c r="AU446" i="76"/>
  <c r="AV447" i="76"/>
  <c r="AU447" i="76"/>
  <c r="AV448" i="76"/>
  <c r="AU448" i="76"/>
  <c r="AV449" i="76"/>
  <c r="AU449" i="76"/>
  <c r="AV450" i="76"/>
  <c r="AU450" i="76"/>
  <c r="AV451" i="76"/>
  <c r="AU451" i="76"/>
  <c r="AV452" i="76"/>
  <c r="AU452" i="76"/>
  <c r="AV453" i="76"/>
  <c r="AU453" i="76"/>
  <c r="AV454" i="76"/>
  <c r="AU454" i="76"/>
  <c r="AV455" i="76"/>
  <c r="AU455" i="76"/>
  <c r="AV456" i="76"/>
  <c r="AU456" i="76"/>
  <c r="AV457" i="76"/>
  <c r="AU457" i="76"/>
  <c r="AV458" i="76"/>
  <c r="AU458" i="76"/>
  <c r="AV459" i="76"/>
  <c r="AU459" i="76"/>
  <c r="AV460" i="76"/>
  <c r="AU460" i="76"/>
  <c r="AV461" i="76"/>
  <c r="AU461" i="76"/>
  <c r="AV462" i="76"/>
  <c r="AU462" i="76"/>
  <c r="AV463" i="76"/>
  <c r="AU463" i="76"/>
  <c r="AV464" i="76"/>
  <c r="AU464" i="76"/>
  <c r="AV465" i="76"/>
  <c r="AU465" i="76"/>
  <c r="AV466" i="76"/>
  <c r="AU466" i="76"/>
  <c r="AV467" i="76"/>
  <c r="AU467" i="76"/>
  <c r="AV468" i="76"/>
  <c r="AU468" i="76"/>
  <c r="AV469" i="76"/>
  <c r="AU469" i="76"/>
  <c r="AV470" i="76"/>
  <c r="AU470" i="76"/>
  <c r="AV471" i="76"/>
  <c r="AU471" i="76"/>
  <c r="AV472" i="76"/>
  <c r="AU472" i="76"/>
  <c r="AV473" i="76"/>
  <c r="AU473" i="76"/>
  <c r="AV474" i="76"/>
  <c r="AU474" i="76"/>
  <c r="AV475" i="76"/>
  <c r="AU475" i="76"/>
  <c r="AV476" i="76"/>
  <c r="AU476" i="76"/>
  <c r="AV477" i="76"/>
  <c r="AU477" i="76"/>
  <c r="AV478" i="76"/>
  <c r="AU478" i="76"/>
  <c r="AV479" i="76"/>
  <c r="AU479" i="76"/>
  <c r="AV480" i="76"/>
  <c r="AU480" i="76"/>
  <c r="AV481" i="76"/>
  <c r="AU481" i="76"/>
  <c r="AV482" i="76"/>
  <c r="AU482" i="76"/>
  <c r="AV483" i="76"/>
  <c r="AU483" i="76"/>
  <c r="AV484" i="76"/>
  <c r="AU484" i="76"/>
  <c r="AV485" i="76"/>
  <c r="AU485" i="76"/>
  <c r="AV486" i="76"/>
  <c r="AU486" i="76"/>
  <c r="AV487" i="76"/>
  <c r="AU487" i="76"/>
  <c r="AV488" i="76"/>
  <c r="AU488" i="76"/>
  <c r="AV489" i="76"/>
  <c r="AU489" i="76"/>
  <c r="AV490" i="76"/>
  <c r="AU490" i="76"/>
  <c r="AV491" i="76"/>
  <c r="AU491" i="76"/>
  <c r="AV492" i="76"/>
  <c r="AU492" i="76"/>
  <c r="AV493" i="76"/>
  <c r="AU493" i="76"/>
  <c r="AV494" i="76"/>
  <c r="AU494" i="76"/>
  <c r="AV495" i="76"/>
  <c r="AU495" i="76"/>
  <c r="AV496" i="76"/>
  <c r="AU496" i="76"/>
  <c r="AV497" i="76"/>
  <c r="AU497" i="76"/>
  <c r="AV498" i="76"/>
  <c r="AU498" i="76"/>
  <c r="AV499" i="76"/>
  <c r="AU499" i="76"/>
  <c r="AV500" i="76"/>
  <c r="AU500" i="76"/>
  <c r="AV501" i="76"/>
  <c r="AU501" i="76"/>
  <c r="AV502" i="76"/>
  <c r="AU502" i="76"/>
  <c r="AV503" i="76"/>
  <c r="AU503" i="76"/>
  <c r="AV504" i="76"/>
  <c r="AU504" i="76"/>
  <c r="AV505" i="76"/>
  <c r="AU505" i="76"/>
  <c r="AV506" i="76"/>
  <c r="AU506" i="76"/>
  <c r="AV507" i="76"/>
  <c r="AU507" i="76"/>
  <c r="AV508" i="76"/>
  <c r="AU508" i="76"/>
  <c r="AV509" i="76"/>
  <c r="AU509" i="76"/>
  <c r="AV510" i="76"/>
  <c r="AU510" i="76"/>
  <c r="AV511" i="76"/>
  <c r="AU511" i="76"/>
  <c r="AV512" i="76"/>
  <c r="AU512" i="76"/>
  <c r="AV513" i="76"/>
  <c r="AU513" i="76"/>
  <c r="AV514" i="76"/>
  <c r="AU514" i="76"/>
  <c r="AV515" i="76"/>
  <c r="AU515" i="76"/>
  <c r="AV516" i="76"/>
  <c r="AU516" i="76"/>
  <c r="AV517" i="76"/>
  <c r="AU517" i="76"/>
  <c r="AV518" i="76"/>
  <c r="AU518" i="76"/>
  <c r="AV519" i="76"/>
  <c r="AU519" i="76"/>
  <c r="AV520" i="76"/>
  <c r="AU520" i="76"/>
  <c r="AV521" i="76"/>
  <c r="AU521" i="76"/>
  <c r="AV522" i="76"/>
  <c r="AU522" i="76"/>
  <c r="AV523" i="76"/>
  <c r="AU523" i="76"/>
  <c r="AV524" i="76"/>
  <c r="AU524" i="76"/>
  <c r="AV525" i="76"/>
  <c r="AU525" i="76"/>
  <c r="AV526" i="76"/>
  <c r="AU526" i="76"/>
  <c r="AV527" i="76"/>
  <c r="AU527" i="76"/>
  <c r="AV528" i="76"/>
  <c r="AU528" i="76"/>
  <c r="AV529" i="76"/>
  <c r="AU529" i="76"/>
  <c r="AV530" i="76"/>
  <c r="AU530" i="76"/>
  <c r="AV531" i="76"/>
  <c r="AU531" i="76"/>
  <c r="AV532" i="76"/>
  <c r="AU532" i="76"/>
  <c r="AV533" i="76"/>
  <c r="AU533" i="76"/>
  <c r="AV534" i="76"/>
  <c r="AU534" i="76"/>
  <c r="AV535" i="76"/>
  <c r="AU535" i="76"/>
  <c r="AV536" i="76"/>
  <c r="AU536" i="76"/>
  <c r="AV537" i="76"/>
  <c r="AU537" i="76"/>
  <c r="AV538" i="76"/>
  <c r="AU538" i="76"/>
  <c r="AV539" i="76"/>
  <c r="AU539" i="76"/>
  <c r="AV540" i="76"/>
  <c r="AU540" i="76"/>
  <c r="AV541" i="76"/>
  <c r="AU541" i="76"/>
  <c r="AV542" i="76"/>
  <c r="AU542" i="76"/>
  <c r="AV543" i="76"/>
  <c r="AU543" i="76"/>
  <c r="AV544" i="76"/>
  <c r="AU544" i="76"/>
  <c r="AV545" i="76"/>
  <c r="AU545" i="76"/>
  <c r="AV546" i="76"/>
  <c r="AU546" i="76"/>
  <c r="AV547" i="76"/>
  <c r="AU547" i="76"/>
  <c r="AV548" i="76"/>
  <c r="AU548" i="76"/>
  <c r="AV549" i="76"/>
  <c r="AU549" i="76"/>
  <c r="AV550" i="76"/>
  <c r="AU550" i="76"/>
  <c r="AV551" i="76"/>
  <c r="AU551" i="76"/>
  <c r="AV552" i="76"/>
  <c r="AU552" i="76"/>
  <c r="AV553" i="76"/>
  <c r="AU553" i="76"/>
  <c r="AV554" i="76"/>
  <c r="AU554" i="76"/>
  <c r="AV555" i="76"/>
  <c r="AU555" i="76"/>
  <c r="AV556" i="76"/>
  <c r="AU556" i="76"/>
  <c r="AV557" i="76"/>
  <c r="AU557" i="76"/>
  <c r="AV558" i="76"/>
  <c r="AU558" i="76"/>
  <c r="AV559" i="76"/>
  <c r="AU559" i="76"/>
  <c r="AV560" i="76"/>
  <c r="AU560" i="76"/>
  <c r="AV561" i="76"/>
  <c r="AU561" i="76"/>
  <c r="AV562" i="76"/>
  <c r="AU562" i="76"/>
  <c r="AV563" i="76"/>
  <c r="AU563" i="76"/>
  <c r="AV564" i="76"/>
  <c r="AU564" i="76"/>
  <c r="AV565" i="76"/>
  <c r="AU565" i="76"/>
  <c r="AV566" i="76"/>
  <c r="AU566" i="76"/>
  <c r="AV567" i="76"/>
  <c r="AU567" i="76"/>
  <c r="AV568" i="76"/>
  <c r="AU568" i="76"/>
  <c r="AV569" i="76"/>
  <c r="AU569" i="76"/>
  <c r="AV570" i="76"/>
  <c r="AU570" i="76"/>
  <c r="AV571" i="76"/>
  <c r="AU571" i="76"/>
  <c r="AV572" i="76"/>
  <c r="AU572" i="76"/>
  <c r="AV573" i="76"/>
  <c r="AU573" i="76"/>
  <c r="AV574" i="76"/>
  <c r="AU574" i="76"/>
  <c r="AV575" i="76"/>
  <c r="AU575" i="76"/>
  <c r="AV576" i="76"/>
  <c r="AU576" i="76"/>
  <c r="AV577" i="76"/>
  <c r="AU577" i="76"/>
  <c r="AV578" i="76"/>
  <c r="AU578" i="76"/>
  <c r="AV579" i="76"/>
  <c r="AU579" i="76"/>
  <c r="AV580" i="76"/>
  <c r="AU580" i="76"/>
  <c r="AV581" i="76"/>
  <c r="AU581" i="76"/>
  <c r="AV582" i="76"/>
  <c r="AU582" i="76"/>
  <c r="AV583" i="76"/>
  <c r="AU583" i="76"/>
  <c r="AV584" i="76"/>
  <c r="AU584" i="76"/>
  <c r="AV585" i="76"/>
  <c r="AU585" i="76"/>
  <c r="AV586" i="76"/>
  <c r="AU586" i="76"/>
  <c r="AV587" i="76"/>
  <c r="AU587" i="76"/>
  <c r="AV588" i="76"/>
  <c r="AU588" i="76"/>
  <c r="AV589" i="76"/>
  <c r="AU589" i="76"/>
  <c r="AV590" i="76"/>
  <c r="AU590" i="76"/>
  <c r="AV591" i="76"/>
  <c r="AU591" i="76"/>
  <c r="AV592" i="76"/>
  <c r="AU592" i="76"/>
  <c r="AV593" i="76"/>
  <c r="AU593" i="76"/>
  <c r="AV594" i="76"/>
  <c r="AU594" i="76"/>
  <c r="AV595" i="76"/>
  <c r="AU595" i="76"/>
  <c r="AV596" i="76"/>
  <c r="AU596" i="76"/>
  <c r="AV597" i="76"/>
  <c r="AU597" i="76"/>
  <c r="AV598" i="76"/>
  <c r="AU598" i="76"/>
  <c r="AV599" i="76"/>
  <c r="AU599" i="76"/>
  <c r="AV600" i="76"/>
  <c r="AU600" i="76"/>
  <c r="AV601" i="76"/>
  <c r="AU601" i="76"/>
  <c r="AV602" i="76"/>
  <c r="AU602" i="76"/>
  <c r="AV603" i="76"/>
  <c r="AU603" i="76"/>
  <c r="AV604" i="76"/>
  <c r="AU604" i="76"/>
  <c r="AV605" i="76"/>
  <c r="AU605" i="76"/>
  <c r="AV606" i="76"/>
  <c r="AU606" i="76"/>
  <c r="AV607" i="76"/>
  <c r="AU607" i="76"/>
  <c r="AV608" i="76"/>
  <c r="AU608" i="76"/>
  <c r="AV609" i="76"/>
  <c r="AU609" i="76"/>
  <c r="AV610" i="76"/>
  <c r="AU610" i="76"/>
  <c r="AV611" i="76"/>
  <c r="AU611" i="76"/>
  <c r="AV612" i="76"/>
  <c r="AU612" i="76"/>
  <c r="AV613" i="76"/>
  <c r="AU613" i="76"/>
  <c r="AV614" i="76"/>
  <c r="AU614" i="76"/>
  <c r="AV615" i="76"/>
  <c r="AU615" i="76"/>
  <c r="AV616" i="76"/>
  <c r="AU616" i="76"/>
  <c r="AV617" i="76"/>
  <c r="AU617" i="76"/>
  <c r="AV618" i="76"/>
  <c r="AU618" i="76"/>
  <c r="AV619" i="76"/>
  <c r="AU619" i="76"/>
  <c r="AV620" i="76"/>
  <c r="AU620" i="76"/>
  <c r="AV621" i="76"/>
  <c r="AU621" i="76"/>
  <c r="AV622" i="76"/>
  <c r="AU622" i="76"/>
  <c r="AV623" i="76"/>
  <c r="AU623" i="76"/>
  <c r="AV624" i="76"/>
  <c r="AU624" i="76"/>
  <c r="AV625" i="76"/>
  <c r="AU625" i="76"/>
  <c r="AV626" i="76"/>
  <c r="AU626" i="76"/>
  <c r="AV627" i="76"/>
  <c r="AU627" i="76"/>
  <c r="AV628" i="76"/>
  <c r="AU628" i="76"/>
  <c r="AV629" i="76"/>
  <c r="AU629" i="76"/>
  <c r="AV630" i="76"/>
  <c r="AU630" i="76"/>
  <c r="AV631" i="76"/>
  <c r="AU631" i="76"/>
  <c r="AV632" i="76"/>
  <c r="AU632" i="76"/>
  <c r="AV633" i="76"/>
  <c r="AU633" i="76"/>
  <c r="AV634" i="76"/>
  <c r="AU634" i="76"/>
  <c r="AV635" i="76"/>
  <c r="AU635" i="76"/>
  <c r="AV636" i="76"/>
  <c r="AU636" i="76"/>
  <c r="AV637" i="76"/>
  <c r="AU637" i="76"/>
  <c r="AV638" i="76"/>
  <c r="AU638" i="76"/>
  <c r="AV639" i="76"/>
  <c r="AU639" i="76"/>
  <c r="AV640" i="76"/>
  <c r="AU640" i="76"/>
  <c r="AV641" i="76"/>
  <c r="AU641" i="76"/>
  <c r="AV642" i="76"/>
  <c r="AU642" i="76"/>
  <c r="AV643" i="76"/>
  <c r="AU643" i="76"/>
  <c r="AV644" i="76"/>
  <c r="AU644" i="76"/>
  <c r="AV645" i="76"/>
  <c r="AU645" i="76"/>
  <c r="AV646" i="76"/>
  <c r="AU646" i="76"/>
  <c r="AV647" i="76"/>
  <c r="AU647" i="76"/>
  <c r="AV648" i="76"/>
  <c r="AU648" i="76"/>
  <c r="AV649" i="76"/>
  <c r="AU649" i="76"/>
  <c r="AV650" i="76"/>
  <c r="AU650" i="76"/>
  <c r="AV651" i="76"/>
  <c r="AU651" i="76"/>
  <c r="AV652" i="76"/>
  <c r="AU652" i="76"/>
  <c r="AV653" i="76"/>
  <c r="AU653" i="76"/>
  <c r="AV654" i="76"/>
  <c r="AU654" i="76"/>
  <c r="AV655" i="76"/>
  <c r="AU655" i="76"/>
  <c r="AV656" i="76"/>
  <c r="AU656" i="76"/>
  <c r="AV657" i="76"/>
  <c r="AU657" i="76"/>
  <c r="AV658" i="76"/>
  <c r="AU658" i="76"/>
  <c r="AV659" i="76"/>
  <c r="AU659" i="76"/>
  <c r="AV660" i="76"/>
  <c r="AU660" i="76"/>
  <c r="AV661" i="76"/>
  <c r="AU661" i="76"/>
  <c r="AV662" i="76"/>
  <c r="AU662" i="76"/>
  <c r="AV663" i="76"/>
  <c r="AU663" i="76"/>
  <c r="AV664" i="76"/>
  <c r="AU664" i="76"/>
  <c r="AV665" i="76"/>
  <c r="AU665" i="76"/>
  <c r="AV666" i="76"/>
  <c r="AU666" i="76"/>
  <c r="AV667" i="76"/>
  <c r="AU667" i="76"/>
  <c r="AV668" i="76"/>
  <c r="AU668" i="76"/>
  <c r="AV669" i="76"/>
  <c r="AU669" i="76"/>
  <c r="AV670" i="76"/>
  <c r="AU670" i="76"/>
  <c r="AV671" i="76"/>
  <c r="AU671" i="76"/>
  <c r="AV672" i="76"/>
  <c r="AU672" i="76"/>
  <c r="AV673" i="76"/>
  <c r="AU673" i="76"/>
  <c r="AV674" i="76"/>
  <c r="AU674" i="76"/>
  <c r="AV675" i="76"/>
  <c r="AU675" i="76"/>
  <c r="AV676" i="76"/>
  <c r="AU676" i="76"/>
  <c r="AV677" i="76"/>
  <c r="AU677" i="76"/>
  <c r="AV678" i="76"/>
  <c r="AU678" i="76"/>
  <c r="AV679" i="76"/>
  <c r="AU679" i="76"/>
  <c r="AV680" i="76"/>
  <c r="AU680" i="76"/>
  <c r="AV681" i="76"/>
  <c r="AU681" i="76"/>
  <c r="AV682" i="76"/>
  <c r="AU682" i="76"/>
  <c r="AV683" i="76"/>
  <c r="AU683" i="76"/>
  <c r="AV684" i="76"/>
  <c r="AU684" i="76"/>
  <c r="AV685" i="76"/>
  <c r="AU685" i="76"/>
  <c r="AV686" i="76"/>
  <c r="AU686" i="76"/>
  <c r="AV687" i="76"/>
  <c r="AU687" i="76"/>
  <c r="AV688" i="76"/>
  <c r="AU688" i="76"/>
  <c r="AV689" i="76"/>
  <c r="AU689" i="76"/>
  <c r="AV690" i="76"/>
  <c r="AU690" i="76"/>
  <c r="AV691" i="76"/>
  <c r="AU691" i="76"/>
  <c r="AV692" i="76"/>
  <c r="AU692" i="76"/>
  <c r="AV693" i="76"/>
  <c r="AU693" i="76"/>
  <c r="AV694" i="76"/>
  <c r="AU694" i="76"/>
  <c r="AV695" i="76"/>
  <c r="AU695" i="76"/>
  <c r="AV696" i="76"/>
  <c r="AU696" i="76"/>
  <c r="AV697" i="76"/>
  <c r="AU697" i="76"/>
  <c r="AV698" i="76"/>
  <c r="AU698" i="76"/>
  <c r="AV699" i="76"/>
  <c r="AU699" i="76"/>
  <c r="AV700" i="76"/>
  <c r="AU700" i="76"/>
  <c r="AV701" i="76"/>
  <c r="AU701" i="76"/>
  <c r="AV702" i="76"/>
  <c r="AU702" i="76"/>
  <c r="AV703" i="76"/>
  <c r="AU703" i="76"/>
  <c r="AV704" i="76"/>
  <c r="AU704" i="76"/>
  <c r="AV705" i="76"/>
  <c r="AU705" i="76"/>
  <c r="AV706" i="76"/>
  <c r="AU706" i="76"/>
  <c r="AV707" i="76"/>
  <c r="AU707" i="76"/>
  <c r="AV708" i="76"/>
  <c r="AU708" i="76"/>
  <c r="AV709" i="76"/>
  <c r="AU709" i="76"/>
  <c r="AV710" i="76"/>
  <c r="AU710" i="76"/>
  <c r="AV711" i="76"/>
  <c r="AU711" i="76"/>
  <c r="AV712" i="76"/>
  <c r="AU712" i="76"/>
  <c r="AV713" i="76"/>
  <c r="AU713" i="76"/>
  <c r="AV714" i="76"/>
  <c r="AU714" i="76"/>
  <c r="AV715" i="76"/>
  <c r="AU715" i="76"/>
  <c r="AV716" i="76"/>
  <c r="AU716" i="76"/>
  <c r="AV717" i="76"/>
  <c r="AU717" i="76"/>
  <c r="AV718" i="76"/>
  <c r="AU718" i="76"/>
  <c r="AV719" i="76"/>
  <c r="AU719" i="76"/>
  <c r="AV720" i="76"/>
  <c r="AU720" i="76"/>
  <c r="AV721" i="76"/>
  <c r="AU721" i="76"/>
  <c r="AV722" i="76"/>
  <c r="AU722" i="76"/>
  <c r="AV723" i="76"/>
  <c r="AU723" i="76"/>
  <c r="AV724" i="76"/>
  <c r="AU724" i="76"/>
  <c r="AV725" i="76"/>
  <c r="AU725" i="76"/>
  <c r="AV726" i="76"/>
  <c r="AU726" i="76"/>
  <c r="AV727" i="76"/>
  <c r="AU727" i="76"/>
  <c r="AV728" i="76"/>
  <c r="AU728" i="76"/>
  <c r="AV729" i="76"/>
  <c r="AU729" i="76"/>
  <c r="AV730" i="76"/>
  <c r="AU730" i="76"/>
  <c r="AV731" i="76"/>
  <c r="AU731" i="76"/>
  <c r="AV732" i="76"/>
  <c r="AU732" i="76"/>
  <c r="AV733" i="76"/>
  <c r="AU733" i="76"/>
  <c r="AV734" i="76"/>
  <c r="AU734" i="76"/>
  <c r="AV735" i="76"/>
  <c r="AU735" i="76"/>
  <c r="AV736" i="76"/>
  <c r="AU736" i="76"/>
  <c r="AV737" i="76"/>
  <c r="AU737" i="76"/>
  <c r="AV738" i="76"/>
  <c r="AU738" i="76"/>
  <c r="AV739" i="76"/>
  <c r="AU739" i="76"/>
  <c r="AV740" i="76"/>
  <c r="AU740" i="76"/>
  <c r="AV741" i="76"/>
  <c r="AU741" i="76"/>
  <c r="AV742" i="76"/>
  <c r="AU742" i="76"/>
  <c r="AV743" i="76"/>
  <c r="AU743" i="76"/>
  <c r="AV744" i="76"/>
  <c r="AU744" i="76"/>
  <c r="AV745" i="76"/>
  <c r="AU745" i="76"/>
  <c r="AV746" i="76"/>
  <c r="AU746" i="76"/>
  <c r="AV747" i="76"/>
  <c r="AU747" i="76"/>
  <c r="AV748" i="76"/>
  <c r="AU748" i="76"/>
  <c r="AV749" i="76"/>
  <c r="AU749" i="76"/>
  <c r="AV750" i="76"/>
  <c r="AU750" i="76"/>
  <c r="AV751" i="76"/>
  <c r="AU751" i="76"/>
  <c r="AV752" i="76"/>
  <c r="AU752" i="76"/>
  <c r="AV753" i="76"/>
  <c r="AU753" i="76"/>
  <c r="AV754" i="76"/>
  <c r="AU754" i="76"/>
  <c r="AV755" i="76"/>
  <c r="AU755" i="76"/>
  <c r="AV756" i="76"/>
  <c r="AU756" i="76"/>
  <c r="AV757" i="76"/>
  <c r="AU757" i="76"/>
  <c r="AV758" i="76"/>
  <c r="AU758" i="76"/>
  <c r="AV759" i="76"/>
  <c r="AU759" i="76"/>
  <c r="AV760" i="76"/>
  <c r="AU760" i="76"/>
  <c r="AV761" i="76"/>
  <c r="AU761" i="76"/>
  <c r="AV762" i="76"/>
  <c r="AU762" i="76"/>
  <c r="AV763" i="76"/>
  <c r="AU763" i="76"/>
  <c r="AV764" i="76"/>
  <c r="AU764" i="76"/>
  <c r="AV765" i="76"/>
  <c r="AU765" i="76"/>
  <c r="AV766" i="76"/>
  <c r="AU766" i="76"/>
  <c r="AV767" i="76"/>
  <c r="AU767" i="76"/>
  <c r="AV768" i="76"/>
  <c r="AU768" i="76"/>
  <c r="AV769" i="76"/>
  <c r="AU769" i="76"/>
  <c r="AV770" i="76"/>
  <c r="AU770" i="76"/>
  <c r="AV771" i="76"/>
  <c r="AU771" i="76"/>
  <c r="AV772" i="76"/>
  <c r="AU772" i="76"/>
  <c r="AV773" i="76"/>
  <c r="AU773" i="76"/>
  <c r="AV774" i="76"/>
  <c r="AU774" i="76"/>
  <c r="AV775" i="76"/>
  <c r="AU775" i="76"/>
  <c r="AV776" i="76"/>
  <c r="AU776" i="76"/>
  <c r="AV777" i="76"/>
  <c r="AU777" i="76"/>
  <c r="AV778" i="76"/>
  <c r="AU778" i="76"/>
  <c r="AV779" i="76"/>
  <c r="AU779" i="76"/>
  <c r="AV780" i="76"/>
  <c r="AU780" i="76"/>
  <c r="AV781" i="76"/>
  <c r="AU781" i="76"/>
  <c r="AV782" i="76"/>
  <c r="AU782" i="76"/>
  <c r="AV783" i="76"/>
  <c r="AU783" i="76"/>
  <c r="AV784" i="76"/>
  <c r="AU784" i="76"/>
  <c r="AV785" i="76"/>
  <c r="AU785" i="76"/>
  <c r="AV786" i="76"/>
  <c r="AU786" i="76"/>
  <c r="AV787" i="76"/>
  <c r="AU787" i="76"/>
  <c r="AV788" i="76"/>
  <c r="AU788" i="76"/>
  <c r="AV789" i="76"/>
  <c r="AU789" i="76"/>
  <c r="AV790" i="76"/>
  <c r="AU790" i="76"/>
  <c r="AV791" i="76"/>
  <c r="AU791" i="76"/>
  <c r="AV792" i="76"/>
  <c r="AU792" i="76"/>
  <c r="AV793" i="76"/>
  <c r="AU793" i="76"/>
  <c r="AV794" i="76"/>
  <c r="AU794" i="76"/>
  <c r="AV795" i="76"/>
  <c r="AU795" i="76"/>
  <c r="AV796" i="76"/>
  <c r="AU796" i="76"/>
  <c r="AV797" i="76"/>
  <c r="AU797" i="76"/>
  <c r="AV798" i="76"/>
  <c r="AU798" i="76"/>
  <c r="AV799" i="76"/>
  <c r="AU799" i="76"/>
  <c r="AV800" i="76"/>
  <c r="AU800" i="76"/>
  <c r="AV801" i="76"/>
  <c r="AU801" i="76"/>
  <c r="AV802" i="76"/>
  <c r="AU802" i="76"/>
  <c r="AV803" i="76"/>
  <c r="AU803" i="76"/>
  <c r="AV804" i="76"/>
  <c r="AU804" i="76"/>
  <c r="AV805" i="76"/>
  <c r="AU805" i="76"/>
  <c r="AV806" i="76"/>
  <c r="AU806" i="76"/>
  <c r="AV807" i="76"/>
  <c r="AU807" i="76"/>
  <c r="AV808" i="76"/>
  <c r="AU808" i="76"/>
  <c r="AV809" i="76"/>
  <c r="AU809" i="76"/>
  <c r="AV810" i="76"/>
  <c r="AU810" i="76"/>
  <c r="AV811" i="76"/>
  <c r="AU811" i="76"/>
  <c r="AV812" i="76"/>
  <c r="AU812" i="76"/>
  <c r="AV813" i="76"/>
  <c r="AU813" i="76"/>
  <c r="AV814" i="76"/>
  <c r="AU814" i="76"/>
  <c r="AV815" i="76"/>
  <c r="AU815" i="76"/>
  <c r="AV816" i="76"/>
  <c r="AU816" i="76"/>
  <c r="AV817" i="76"/>
  <c r="AU817" i="76"/>
  <c r="AV818" i="76"/>
  <c r="AU818" i="76"/>
  <c r="AV819" i="76"/>
  <c r="AU819" i="76"/>
  <c r="AV821" i="76"/>
  <c r="AU821" i="76"/>
  <c r="AV822" i="76"/>
  <c r="AU822" i="76"/>
  <c r="AV824" i="76"/>
  <c r="AU824" i="76"/>
  <c r="AV826" i="76"/>
  <c r="AU826" i="76"/>
  <c r="AV832" i="76"/>
  <c r="AU832" i="76"/>
  <c r="AV833" i="76"/>
  <c r="AU833" i="76"/>
  <c r="AV834" i="76"/>
  <c r="AU834" i="76"/>
  <c r="AV836" i="76"/>
  <c r="AU836" i="76"/>
  <c r="AV838" i="76"/>
  <c r="AU838" i="76"/>
  <c r="AV839" i="76"/>
  <c r="AU839" i="76"/>
  <c r="AV840" i="76"/>
  <c r="AU840" i="76"/>
  <c r="AV841" i="76"/>
  <c r="AU841" i="76"/>
  <c r="AV842" i="76"/>
  <c r="AU842" i="76"/>
  <c r="AV843" i="76"/>
  <c r="AU843" i="76"/>
  <c r="AV844" i="76"/>
  <c r="AU844" i="76"/>
  <c r="AV845" i="76"/>
  <c r="AU845" i="76"/>
  <c r="AV846" i="76"/>
  <c r="AU846" i="76"/>
  <c r="AV847" i="76"/>
  <c r="AU847" i="76"/>
  <c r="AV848" i="76"/>
  <c r="AU848" i="76"/>
  <c r="AV849" i="76"/>
  <c r="AU849" i="76"/>
  <c r="AV850" i="76"/>
  <c r="AU850" i="76"/>
  <c r="AV851" i="76"/>
  <c r="AU851" i="76"/>
  <c r="AV852" i="76"/>
  <c r="AU852" i="76"/>
  <c r="AV853" i="76"/>
  <c r="AU853" i="76"/>
  <c r="AV854" i="76"/>
  <c r="AU854" i="76"/>
  <c r="AV855" i="76"/>
  <c r="AU855" i="76"/>
  <c r="AV856" i="76"/>
  <c r="AU856" i="76"/>
  <c r="AV857" i="76"/>
  <c r="AU857" i="76"/>
  <c r="AV858" i="76"/>
  <c r="AU858" i="76"/>
  <c r="AV859" i="76"/>
  <c r="AU859" i="76"/>
  <c r="AV860" i="76"/>
  <c r="AU860" i="76"/>
  <c r="AV861" i="76"/>
  <c r="AU861" i="76"/>
  <c r="AV862" i="76"/>
  <c r="AU862" i="76"/>
  <c r="AV863" i="76"/>
  <c r="AU863" i="76"/>
  <c r="AV864" i="76"/>
  <c r="AU864" i="76"/>
  <c r="AV865" i="76"/>
  <c r="AU865" i="76"/>
  <c r="AV866" i="76"/>
  <c r="AU866" i="76"/>
  <c r="AV867" i="76"/>
  <c r="AU867" i="76"/>
  <c r="AV868" i="76"/>
  <c r="AU868" i="76"/>
  <c r="AV869" i="76"/>
  <c r="AU869" i="76"/>
  <c r="AV870" i="76"/>
  <c r="AU870" i="76"/>
  <c r="AV871" i="76"/>
  <c r="AU871" i="76"/>
  <c r="AV872" i="76"/>
  <c r="AU872" i="76"/>
  <c r="AV873" i="76"/>
  <c r="AU873" i="76"/>
  <c r="AV874" i="76"/>
  <c r="AU874" i="76"/>
  <c r="AV875" i="76"/>
  <c r="AU875" i="76"/>
  <c r="AV876" i="76"/>
  <c r="AU876" i="76"/>
  <c r="AV877" i="76"/>
  <c r="AU877" i="76"/>
  <c r="AV878" i="76"/>
  <c r="AU878" i="76"/>
  <c r="AV879" i="76"/>
  <c r="AU879" i="76"/>
  <c r="AV880" i="76"/>
  <c r="AU880" i="76"/>
  <c r="AV881" i="76"/>
  <c r="AU881" i="76"/>
  <c r="AV882" i="76"/>
  <c r="AU882" i="76"/>
  <c r="AV883" i="76"/>
  <c r="AU883" i="76"/>
  <c r="AV884" i="76"/>
  <c r="AU884" i="76"/>
  <c r="AV885" i="76"/>
  <c r="AU885" i="76"/>
  <c r="AV886" i="76"/>
  <c r="AU886" i="76"/>
  <c r="AV887" i="76"/>
  <c r="AU887" i="76"/>
  <c r="AV888" i="76"/>
  <c r="AU888" i="76"/>
  <c r="AV889" i="76"/>
  <c r="AU889" i="76"/>
  <c r="AV890" i="76"/>
  <c r="AU890" i="76"/>
  <c r="AV891" i="76"/>
  <c r="AU891" i="76"/>
  <c r="AV892" i="76"/>
  <c r="AU892" i="76"/>
  <c r="AV893" i="76"/>
  <c r="AU893" i="76"/>
  <c r="AV894" i="76"/>
  <c r="AU894" i="76"/>
  <c r="AV895" i="76"/>
  <c r="AU895" i="76"/>
  <c r="AV896" i="76"/>
  <c r="AU896" i="76"/>
  <c r="AV897" i="76"/>
  <c r="AU897" i="76"/>
  <c r="AV898" i="76"/>
  <c r="AU898" i="76"/>
  <c r="AV899" i="76"/>
  <c r="AU899" i="76"/>
  <c r="AV900" i="76"/>
  <c r="AU900" i="76"/>
  <c r="AV901" i="76"/>
  <c r="AU901" i="76"/>
  <c r="AV902" i="76"/>
  <c r="AU902" i="76"/>
  <c r="AV903" i="76"/>
  <c r="AU903" i="76"/>
  <c r="AV904" i="76"/>
  <c r="AU904" i="76"/>
  <c r="AV905" i="76"/>
  <c r="AU905" i="76"/>
  <c r="AV906" i="76"/>
  <c r="AU906" i="76"/>
  <c r="AV907" i="76"/>
  <c r="AU907" i="76"/>
  <c r="AV908" i="76"/>
  <c r="AU908" i="76"/>
  <c r="AV909" i="76"/>
  <c r="AU909" i="76"/>
  <c r="AV910" i="76"/>
  <c r="AU910" i="76"/>
  <c r="AV911" i="76"/>
  <c r="AU911" i="76"/>
  <c r="AV912" i="76"/>
  <c r="AU912" i="76"/>
  <c r="AV913" i="76"/>
  <c r="AU913" i="76"/>
  <c r="AV914" i="76"/>
  <c r="AU914" i="76"/>
  <c r="AV915" i="76"/>
  <c r="AU915" i="76"/>
  <c r="AV916" i="76"/>
  <c r="AU916" i="76"/>
  <c r="AV917" i="76"/>
  <c r="AU917" i="76"/>
  <c r="AV918" i="76"/>
  <c r="AU918" i="76"/>
  <c r="AV919" i="76"/>
  <c r="AU919" i="76"/>
  <c r="AV920" i="76"/>
  <c r="AU920" i="76"/>
  <c r="AV921" i="76"/>
  <c r="AU921" i="76"/>
  <c r="AV922" i="76"/>
  <c r="AU922" i="76"/>
  <c r="AV923" i="76"/>
  <c r="AU923" i="76"/>
  <c r="AV924" i="76"/>
  <c r="AU924" i="76"/>
  <c r="AV925" i="76"/>
  <c r="AU925" i="76"/>
  <c r="AV926" i="76"/>
  <c r="AU926" i="76"/>
  <c r="AV927" i="76"/>
  <c r="AU927" i="76"/>
  <c r="AV928" i="76"/>
  <c r="AU928" i="76"/>
  <c r="AV929" i="76"/>
  <c r="AU929" i="76"/>
  <c r="AV930" i="76"/>
  <c r="AU930" i="76"/>
  <c r="AV931" i="76"/>
  <c r="AU931" i="76"/>
  <c r="AV932" i="76"/>
  <c r="AU932" i="76"/>
  <c r="AV933" i="76"/>
  <c r="AU933" i="76"/>
  <c r="AV934" i="76"/>
  <c r="AU934" i="76"/>
  <c r="AV935" i="76"/>
  <c r="AU935" i="76"/>
  <c r="AV936" i="76"/>
  <c r="AU936" i="76"/>
  <c r="AV937" i="76"/>
  <c r="AU937" i="76"/>
  <c r="AV938" i="76"/>
  <c r="AU938" i="76"/>
  <c r="AV939" i="76"/>
  <c r="AU939" i="76"/>
  <c r="AV940" i="76"/>
  <c r="AU940" i="76"/>
  <c r="AV941" i="76"/>
  <c r="AU941" i="76"/>
  <c r="AV942" i="76"/>
  <c r="AU942" i="76"/>
  <c r="AV943" i="76"/>
  <c r="AU943" i="76"/>
  <c r="AV944" i="76"/>
  <c r="AU944" i="76"/>
  <c r="AV945" i="76"/>
  <c r="AU945" i="76"/>
  <c r="AV946" i="76"/>
  <c r="AU946" i="76"/>
  <c r="AV947" i="76"/>
  <c r="AU947" i="76"/>
  <c r="AV948" i="76"/>
  <c r="AU948" i="76"/>
  <c r="AV949" i="76"/>
  <c r="AU949" i="76"/>
  <c r="AV950" i="76"/>
  <c r="AU950" i="76"/>
  <c r="AV951" i="76"/>
  <c r="AU951" i="76"/>
  <c r="AV952" i="76"/>
  <c r="AU952" i="76"/>
  <c r="AV953" i="76"/>
  <c r="AU953" i="76"/>
  <c r="AV954" i="76"/>
  <c r="AU954" i="76"/>
  <c r="AV955" i="76"/>
  <c r="AU955" i="76"/>
  <c r="AV956" i="76"/>
  <c r="AU956" i="76"/>
  <c r="AV957" i="76"/>
  <c r="AU957" i="76"/>
  <c r="AV958" i="76"/>
  <c r="AU958" i="76"/>
  <c r="AV959" i="76"/>
  <c r="AU959" i="76"/>
  <c r="AV960" i="76"/>
  <c r="AU960" i="76"/>
  <c r="AV961" i="76"/>
  <c r="AU961" i="76"/>
  <c r="AV962" i="76"/>
  <c r="AU962" i="76"/>
  <c r="BR248" i="75"/>
  <c r="BR255" i="75"/>
  <c r="BR256" i="75"/>
  <c r="BR257" i="75"/>
  <c r="BR262" i="75"/>
  <c r="BR263" i="75"/>
  <c r="BR274" i="75"/>
  <c r="AR162" i="76"/>
  <c r="AQ162" i="76" s="1"/>
  <c r="AR171" i="76"/>
  <c r="AQ171" i="76" s="1"/>
  <c r="AR172" i="76"/>
  <c r="AQ172" i="76" s="1"/>
  <c r="AR103" i="76"/>
  <c r="AQ103" i="76" s="1"/>
  <c r="AR138" i="76"/>
  <c r="AQ138" i="76" s="1"/>
  <c r="AR141" i="76"/>
  <c r="AQ141" i="76" s="1"/>
  <c r="AR186" i="76"/>
  <c r="AQ186" i="76" s="1"/>
  <c r="AR191" i="76"/>
  <c r="AQ191" i="76" s="1"/>
  <c r="AR196" i="76"/>
  <c r="AQ196" i="76" s="1"/>
  <c r="AR215" i="76"/>
  <c r="AQ215" i="76" s="1"/>
  <c r="AR217" i="76"/>
  <c r="AQ217" i="76" s="1"/>
  <c r="AR286" i="76"/>
  <c r="AQ286" i="76" s="1"/>
  <c r="AR288" i="76"/>
  <c r="AQ288" i="76" s="1"/>
  <c r="AR289" i="76"/>
  <c r="AQ289" i="76" s="1"/>
  <c r="AR296" i="76"/>
  <c r="AQ296" i="76" s="1"/>
  <c r="AR297" i="76"/>
  <c r="AQ297" i="76" s="1"/>
  <c r="AR299" i="76"/>
  <c r="AQ299" i="76" s="1"/>
  <c r="AR301" i="76"/>
  <c r="AQ301" i="76" s="1"/>
  <c r="AR312" i="76"/>
  <c r="AQ312" i="76" s="1"/>
  <c r="AR314" i="76"/>
  <c r="AQ314" i="76" s="1"/>
  <c r="AR315" i="76"/>
  <c r="AQ315" i="76" s="1"/>
  <c r="AR316" i="76"/>
  <c r="AQ316" i="76" s="1"/>
  <c r="AR317" i="76"/>
  <c r="AQ317" i="76" s="1"/>
  <c r="AR319" i="76"/>
  <c r="AQ319" i="76" s="1"/>
  <c r="AR322" i="76"/>
  <c r="AQ322" i="76" s="1"/>
  <c r="AR325" i="76"/>
  <c r="AQ325" i="76" s="1"/>
  <c r="AR326" i="76"/>
  <c r="AQ326" i="76" s="1"/>
  <c r="AR328" i="76"/>
  <c r="AQ328" i="76" s="1"/>
  <c r="AR329" i="76"/>
  <c r="AQ329" i="76" s="1"/>
  <c r="AR330" i="76"/>
  <c r="AQ330" i="76" s="1"/>
  <c r="AR331" i="76"/>
  <c r="AQ331" i="76" s="1"/>
  <c r="AR332" i="76"/>
  <c r="AQ332" i="76" s="1"/>
  <c r="AR333" i="76"/>
  <c r="AQ333" i="76" s="1"/>
  <c r="AR334" i="76"/>
  <c r="AQ334" i="76" s="1"/>
  <c r="AR335" i="76"/>
  <c r="AQ335" i="76" s="1"/>
  <c r="AR336" i="76"/>
  <c r="AQ336" i="76" s="1"/>
  <c r="AR478" i="76"/>
  <c r="AQ478" i="76" s="1"/>
  <c r="AR645" i="76"/>
  <c r="AQ645" i="76" s="1"/>
  <c r="AR818" i="76"/>
  <c r="AQ818" i="76" s="1"/>
  <c r="AR819" i="76"/>
  <c r="AQ819" i="76" s="1"/>
  <c r="BR4" i="75"/>
  <c r="BU4" i="75" s="1"/>
  <c r="Y247" i="75"/>
  <c r="BR247" i="75"/>
  <c r="BR261" i="75"/>
  <c r="BR278" i="75"/>
  <c r="BR279" i="75"/>
  <c r="AR164" i="76"/>
  <c r="AQ164" i="76" s="1"/>
  <c r="Z155" i="75"/>
  <c r="Z512" i="75"/>
  <c r="Z26" i="75"/>
  <c r="Z292" i="75"/>
  <c r="Z331" i="75"/>
  <c r="Z334" i="75"/>
  <c r="Z341" i="75"/>
  <c r="Z297" i="75"/>
  <c r="Z299" i="75"/>
  <c r="Z51" i="75"/>
  <c r="Z301" i="75"/>
  <c r="Z304" i="75"/>
  <c r="Z310" i="75"/>
  <c r="Z311" i="75"/>
  <c r="Z314" i="75"/>
  <c r="Z317" i="75"/>
  <c r="Z60" i="75"/>
  <c r="Z72" i="75"/>
  <c r="Z329" i="75"/>
  <c r="Z251" i="75"/>
  <c r="Z253" i="75"/>
  <c r="Z30" i="75"/>
  <c r="Z37" i="75"/>
  <c r="Z39" i="75"/>
  <c r="Z42" i="75"/>
  <c r="Z45" i="75"/>
  <c r="Z57" i="75"/>
  <c r="Z62" i="75"/>
  <c r="Z65" i="75"/>
  <c r="Z70" i="75"/>
  <c r="Z74" i="75"/>
  <c r="Z82" i="75"/>
  <c r="Z138" i="75"/>
  <c r="Z86" i="75"/>
  <c r="Z89" i="75"/>
  <c r="Z96" i="75"/>
  <c r="Z99" i="75"/>
  <c r="Z199" i="75"/>
  <c r="Z288" i="75"/>
  <c r="Z340" i="75"/>
  <c r="Z205" i="75"/>
  <c r="Z210" i="75"/>
  <c r="Z212" i="75"/>
  <c r="Z223" i="75"/>
  <c r="Z226" i="75"/>
  <c r="Z231" i="75"/>
  <c r="Z234" i="75"/>
  <c r="Z344" i="75"/>
  <c r="Z168" i="75"/>
  <c r="Z171" i="75"/>
  <c r="Z183" i="75"/>
  <c r="Z186" i="75"/>
  <c r="Z362" i="75"/>
  <c r="Z43" i="75"/>
  <c r="Z201" i="75"/>
  <c r="Z372" i="75"/>
  <c r="Z375" i="75"/>
  <c r="Z378" i="75"/>
  <c r="Z381" i="75"/>
  <c r="Z384" i="75"/>
  <c r="Z514" i="75"/>
  <c r="Z395" i="75"/>
  <c r="Z408" i="75"/>
  <c r="Z447" i="75"/>
  <c r="Z453" i="75"/>
  <c r="Z456" i="75"/>
  <c r="Z468" i="75"/>
  <c r="Z505" i="75"/>
  <c r="Z144" i="75"/>
  <c r="Z141" i="75"/>
  <c r="Z523" i="75"/>
  <c r="Z339" i="75"/>
  <c r="Z538" i="75"/>
  <c r="Z354" i="75"/>
  <c r="Z367" i="75"/>
  <c r="Z388" i="75"/>
  <c r="Z396" i="75"/>
  <c r="Z403" i="75"/>
  <c r="Z412" i="75"/>
  <c r="Z415" i="75"/>
  <c r="Z433" i="75"/>
  <c r="Z436" i="75"/>
  <c r="Z448" i="75"/>
  <c r="Z451" i="75"/>
  <c r="Z454" i="75"/>
  <c r="Z466" i="75"/>
  <c r="Z472" i="75"/>
  <c r="Z475" i="75"/>
  <c r="Z487" i="75"/>
  <c r="Z490" i="75"/>
  <c r="Z240" i="75"/>
  <c r="Z532" i="75"/>
  <c r="Z244" i="75"/>
  <c r="Z48" i="75"/>
  <c r="Z293" i="75"/>
  <c r="Y332" i="75"/>
  <c r="Z295" i="75"/>
  <c r="Z298" i="75"/>
  <c r="Z302" i="75"/>
  <c r="Z305" i="75"/>
  <c r="Z252" i="75"/>
  <c r="Z76" i="75"/>
  <c r="Z526" i="75"/>
  <c r="Z527" i="75"/>
  <c r="Y528" i="75"/>
  <c r="Z85" i="75"/>
  <c r="Z91" i="75"/>
  <c r="Z94" i="75"/>
  <c r="Z35" i="75"/>
  <c r="Z40" i="75"/>
  <c r="Z95" i="75"/>
  <c r="Z101" i="75"/>
  <c r="Z198" i="75"/>
  <c r="Z55" i="75"/>
  <c r="Z61" i="75"/>
  <c r="Z64" i="75"/>
  <c r="Z108" i="75"/>
  <c r="Z73" i="75"/>
  <c r="Z139" i="75"/>
  <c r="Z81" i="75"/>
  <c r="Z103" i="75"/>
  <c r="Z287" i="75"/>
  <c r="Z203" i="75"/>
  <c r="Z511" i="75"/>
  <c r="Z25" i="75"/>
  <c r="Z291" i="75"/>
  <c r="Z294" i="75"/>
  <c r="Z333" i="75"/>
  <c r="Z336" i="75"/>
  <c r="Z313" i="75"/>
  <c r="Z316" i="75"/>
  <c r="Z319" i="75"/>
  <c r="Z322" i="75"/>
  <c r="Z325" i="75"/>
  <c r="Z537" i="75"/>
  <c r="Z192" i="75"/>
  <c r="Z531" i="75"/>
  <c r="Z249" i="75"/>
  <c r="Z250" i="75"/>
  <c r="Z5" i="75"/>
  <c r="Z10" i="75"/>
  <c r="Z12" i="75"/>
  <c r="Z14" i="75"/>
  <c r="Z19" i="75"/>
  <c r="Z22" i="75"/>
  <c r="Z79" i="75"/>
  <c r="Z27" i="75"/>
  <c r="Z29" i="75"/>
  <c r="Z36" i="75"/>
  <c r="Z38" i="75"/>
  <c r="Z41" i="75"/>
  <c r="Z44" i="75"/>
  <c r="Z59" i="75"/>
  <c r="Z63" i="75"/>
  <c r="Z66" i="75"/>
  <c r="Z111" i="75"/>
  <c r="Z113" i="75"/>
  <c r="Z116" i="75"/>
  <c r="Z83" i="75"/>
  <c r="Z87" i="75"/>
  <c r="Z90" i="75"/>
  <c r="Z97" i="75"/>
  <c r="Z100" i="75"/>
  <c r="Z284" i="75"/>
  <c r="Z202" i="75"/>
  <c r="Z286" i="75"/>
  <c r="Z153" i="75"/>
  <c r="Z157" i="75"/>
  <c r="Z539" i="75"/>
  <c r="Z189" i="75"/>
  <c r="Z355" i="75"/>
  <c r="Z377" i="75"/>
  <c r="Z380" i="75"/>
  <c r="Z389" i="75"/>
  <c r="Y394" i="75"/>
  <c r="Z397" i="75"/>
  <c r="Z399" i="75"/>
  <c r="Z401" i="75"/>
  <c r="Z404" i="75"/>
  <c r="Z413" i="75"/>
  <c r="Z425" i="75"/>
  <c r="Z428" i="75"/>
  <c r="Z431" i="75"/>
  <c r="Z434" i="75"/>
  <c r="Z440" i="75"/>
  <c r="Z449" i="75"/>
  <c r="Z455" i="75"/>
  <c r="Z458" i="75"/>
  <c r="Z464" i="75"/>
  <c r="Z467" i="75"/>
  <c r="Z470" i="75"/>
  <c r="Z476" i="75"/>
  <c r="Z482" i="75"/>
  <c r="Z485" i="75"/>
  <c r="Z488" i="75"/>
  <c r="Z515" i="75"/>
  <c r="Z246" i="75"/>
  <c r="Z145" i="75"/>
  <c r="Z525" i="75"/>
  <c r="Z9" i="75"/>
  <c r="Z13" i="75"/>
  <c r="Z17" i="75"/>
  <c r="Y20" i="75"/>
  <c r="Z24" i="75"/>
  <c r="Z32" i="75"/>
  <c r="Z93" i="75"/>
  <c r="Z102" i="75"/>
  <c r="Z323" i="75"/>
  <c r="Z326" i="75"/>
  <c r="Z67" i="75"/>
  <c r="Z78" i="75"/>
  <c r="Y80" i="75"/>
  <c r="Z208" i="75"/>
  <c r="Z56" i="75"/>
  <c r="Z71" i="75"/>
  <c r="Z114" i="75"/>
  <c r="Z289" i="75"/>
  <c r="Z369" i="75"/>
  <c r="Z154" i="75"/>
  <c r="Z402" i="75"/>
  <c r="Z411" i="75"/>
  <c r="Z414" i="75"/>
  <c r="Z417" i="75"/>
  <c r="Z419" i="75"/>
  <c r="Z421" i="75"/>
  <c r="Z426" i="75"/>
  <c r="Z429" i="75"/>
  <c r="Z435" i="75"/>
  <c r="Z477" i="75"/>
  <c r="Z480" i="75"/>
  <c r="Z483" i="75"/>
  <c r="Z486" i="75"/>
  <c r="Z489" i="75"/>
  <c r="Z506" i="75"/>
  <c r="Z507" i="75"/>
  <c r="Z136" i="75"/>
  <c r="Z147" i="75"/>
  <c r="Z242" i="75"/>
  <c r="Z303" i="75"/>
  <c r="Z306" i="75"/>
  <c r="Z53" i="75"/>
  <c r="Z312" i="75"/>
  <c r="Z315" i="75"/>
  <c r="Z318" i="75"/>
  <c r="Z330" i="75"/>
  <c r="Z6" i="75"/>
  <c r="Z8" i="75"/>
  <c r="Z11" i="75"/>
  <c r="Z16" i="75"/>
  <c r="Z18" i="75"/>
  <c r="Z21" i="75"/>
  <c r="Z23" i="75"/>
  <c r="Z110" i="75"/>
  <c r="Z88" i="75"/>
  <c r="Z140" i="75"/>
  <c r="Z98" i="75"/>
  <c r="Z148" i="75"/>
  <c r="Z204" i="75"/>
  <c r="Z206" i="75"/>
  <c r="Z342" i="75"/>
  <c r="Z213" i="75"/>
  <c r="Z221" i="75"/>
  <c r="Y229" i="75"/>
  <c r="Z238" i="75"/>
  <c r="Z163" i="75"/>
  <c r="Z166" i="75"/>
  <c r="Z169" i="75"/>
  <c r="Z172" i="75"/>
  <c r="Z178" i="75"/>
  <c r="Z181" i="75"/>
  <c r="Z184" i="75"/>
  <c r="Z360" i="75"/>
  <c r="Z363" i="75"/>
  <c r="Z107" i="75"/>
  <c r="Z500" i="75"/>
  <c r="Z119" i="75"/>
  <c r="Z502" i="75"/>
  <c r="Z126" i="75"/>
  <c r="Z127" i="75"/>
  <c r="Z513" i="75"/>
  <c r="Z438" i="75"/>
  <c r="Z441" i="75"/>
  <c r="Z444" i="75"/>
  <c r="Z459" i="75"/>
  <c r="Z462" i="75"/>
  <c r="Z493" i="75"/>
  <c r="Z519" i="75"/>
  <c r="Z197" i="75"/>
  <c r="Z324" i="75"/>
  <c r="Z77" i="75"/>
  <c r="Z52" i="75"/>
  <c r="Z92" i="75"/>
  <c r="Y193" i="75"/>
  <c r="Z207" i="75"/>
  <c r="Z217" i="75"/>
  <c r="Z220" i="75"/>
  <c r="Z222" i="75"/>
  <c r="Z225" i="75"/>
  <c r="Z228" i="75"/>
  <c r="Z230" i="75"/>
  <c r="Z233" i="75"/>
  <c r="Z236" i="75"/>
  <c r="Z161" i="75"/>
  <c r="Z164" i="75"/>
  <c r="Z179" i="75"/>
  <c r="Z182" i="75"/>
  <c r="Z121" i="75"/>
  <c r="Z131" i="75"/>
  <c r="Z503" i="75"/>
  <c r="Z115" i="75"/>
  <c r="Z133" i="75"/>
  <c r="Z345" i="75"/>
  <c r="Z373" i="75"/>
  <c r="Z376" i="75"/>
  <c r="Z379" i="75"/>
  <c r="Z382" i="75"/>
  <c r="Z392" i="75"/>
  <c r="Z445" i="75"/>
  <c r="Z463" i="75"/>
  <c r="Z520" i="75"/>
  <c r="Z495" i="75"/>
  <c r="Z109" i="75"/>
  <c r="Z122" i="75"/>
  <c r="Z129" i="75"/>
  <c r="Z120" i="75"/>
  <c r="Z130" i="75"/>
  <c r="Z146" i="75"/>
  <c r="Y243" i="75"/>
  <c r="AR265" i="75"/>
  <c r="X265" i="75" s="1"/>
  <c r="S265" i="75"/>
  <c r="Y25" i="75"/>
  <c r="Y290" i="75"/>
  <c r="Z290" i="75"/>
  <c r="Y292" i="75"/>
  <c r="Y331" i="75"/>
  <c r="Y334" i="75"/>
  <c r="Y336" i="75"/>
  <c r="Y341" i="75"/>
  <c r="Y296" i="75"/>
  <c r="Z296" i="75"/>
  <c r="Y297" i="75"/>
  <c r="Y298" i="75"/>
  <c r="Y50" i="75"/>
  <c r="Z50" i="75"/>
  <c r="Y51" i="75"/>
  <c r="Y303" i="75"/>
  <c r="Y304" i="75"/>
  <c r="Y308" i="75"/>
  <c r="Y312" i="75"/>
  <c r="Y315" i="75"/>
  <c r="Y316" i="75"/>
  <c r="Y317" i="75"/>
  <c r="Y318" i="75"/>
  <c r="Y319" i="75"/>
  <c r="Y60" i="75"/>
  <c r="Y321" i="75"/>
  <c r="Y323" i="75"/>
  <c r="Y324" i="75"/>
  <c r="Y325" i="75"/>
  <c r="Y327" i="75"/>
  <c r="Y68" i="75"/>
  <c r="Z68" i="75"/>
  <c r="Y329" i="75"/>
  <c r="Y330" i="75"/>
  <c r="Y530" i="75"/>
  <c r="Z530" i="75"/>
  <c r="Y249" i="75"/>
  <c r="Y252" i="75"/>
  <c r="AR254" i="75"/>
  <c r="X254" i="75" s="1"/>
  <c r="S254" i="75"/>
  <c r="AR258" i="75"/>
  <c r="X258" i="75" s="1"/>
  <c r="S258" i="75"/>
  <c r="AR259" i="75"/>
  <c r="X259" i="75" s="1"/>
  <c r="S259" i="75"/>
  <c r="S266" i="75"/>
  <c r="AR266" i="75"/>
  <c r="X266" i="75" s="1"/>
  <c r="S267" i="75"/>
  <c r="AR267" i="75"/>
  <c r="X267" i="75" s="1"/>
  <c r="AR269" i="75"/>
  <c r="X269" i="75" s="1"/>
  <c r="S269" i="75"/>
  <c r="AR270" i="75"/>
  <c r="X270" i="75" s="1"/>
  <c r="S270" i="75"/>
  <c r="AR271" i="75"/>
  <c r="X271" i="75" s="1"/>
  <c r="S271" i="75"/>
  <c r="AR272" i="75"/>
  <c r="X272" i="75" s="1"/>
  <c r="S272" i="75"/>
  <c r="S273" i="75"/>
  <c r="AR273" i="75"/>
  <c r="X273" i="75" s="1"/>
  <c r="AR277" i="75"/>
  <c r="X277" i="75" s="1"/>
  <c r="S277" i="75"/>
  <c r="Y78" i="75"/>
  <c r="Z524" i="75"/>
  <c r="Y524" i="75"/>
  <c r="Z2" i="75"/>
  <c r="Y5" i="75"/>
  <c r="Y11" i="75"/>
  <c r="Y12" i="75"/>
  <c r="Y14" i="75"/>
  <c r="Y17" i="75"/>
  <c r="Y21" i="75"/>
  <c r="Y23" i="75"/>
  <c r="Y91" i="75"/>
  <c r="Y33" i="75"/>
  <c r="Z33" i="75"/>
  <c r="Y94" i="75"/>
  <c r="Y40" i="75"/>
  <c r="Y198" i="75"/>
  <c r="Y52" i="75"/>
  <c r="Y285" i="75"/>
  <c r="Y155" i="75"/>
  <c r="Y62" i="75"/>
  <c r="Y64" i="75"/>
  <c r="Y110" i="75"/>
  <c r="Y71" i="75"/>
  <c r="Y105" i="75"/>
  <c r="Z105" i="75"/>
  <c r="Y74" i="75"/>
  <c r="Y113" i="75"/>
  <c r="Y114" i="75"/>
  <c r="Y82" i="75"/>
  <c r="Y90" i="75"/>
  <c r="Y140" i="75"/>
  <c r="Y96" i="75"/>
  <c r="Y97" i="75"/>
  <c r="Y99" i="75"/>
  <c r="Y148" i="75"/>
  <c r="Y284" i="75"/>
  <c r="Y200" i="75"/>
  <c r="Y202" i="75"/>
  <c r="AR350" i="75"/>
  <c r="X350" i="75" s="1"/>
  <c r="S350" i="75"/>
  <c r="Y289" i="75"/>
  <c r="Y337" i="75"/>
  <c r="Y338" i="75"/>
  <c r="Y340" i="75"/>
  <c r="S352" i="75"/>
  <c r="AR352" i="75"/>
  <c r="X352" i="75" s="1"/>
  <c r="Y205" i="75"/>
  <c r="Y207" i="75"/>
  <c r="Z216" i="75"/>
  <c r="Y218" i="75"/>
  <c r="Y220" i="75"/>
  <c r="Y343" i="75"/>
  <c r="Y221" i="75"/>
  <c r="Y222" i="75"/>
  <c r="Y223" i="75"/>
  <c r="Y232" i="75"/>
  <c r="Y234" i="75"/>
  <c r="Y235" i="75"/>
  <c r="Y237" i="75"/>
  <c r="Z237" i="75"/>
  <c r="Y238" i="75"/>
  <c r="Y151" i="75"/>
  <c r="AV152" i="75"/>
  <c r="X152" i="75" s="1"/>
  <c r="S152" i="75"/>
  <c r="Y153" i="75"/>
  <c r="Y345" i="75"/>
  <c r="AV156" i="75"/>
  <c r="X156" i="75" s="1"/>
  <c r="S156" i="75"/>
  <c r="Y157" i="75"/>
  <c r="AV159" i="75"/>
  <c r="X159" i="75" s="1"/>
  <c r="S159" i="75"/>
  <c r="Y161" i="75"/>
  <c r="Y163" i="75"/>
  <c r="Y165" i="75"/>
  <c r="Y166" i="75"/>
  <c r="Y167" i="75"/>
  <c r="Y172" i="75"/>
  <c r="Z174" i="75"/>
  <c r="Y178" i="75"/>
  <c r="Y180" i="75"/>
  <c r="Z180" i="75"/>
  <c r="Y181" i="75"/>
  <c r="Y182" i="75"/>
  <c r="Y184" i="75"/>
  <c r="Y185" i="75"/>
  <c r="Y187" i="75"/>
  <c r="Z187" i="75"/>
  <c r="Y196" i="75"/>
  <c r="Y539" i="75"/>
  <c r="Y188" i="75"/>
  <c r="AR275" i="75"/>
  <c r="X275" i="75" s="1"/>
  <c r="S275" i="75"/>
  <c r="Z356" i="75"/>
  <c r="Y356" i="75"/>
  <c r="Y357" i="75"/>
  <c r="Y358" i="75"/>
  <c r="Y359" i="75"/>
  <c r="AR281" i="75"/>
  <c r="X281" i="75" s="1"/>
  <c r="S281" i="75"/>
  <c r="Y362" i="75"/>
  <c r="Y31" i="75"/>
  <c r="Z31" i="75"/>
  <c r="Y364" i="75"/>
  <c r="Y370" i="75"/>
  <c r="Z370" i="75"/>
  <c r="Y371" i="75"/>
  <c r="Y372" i="75"/>
  <c r="Y375" i="75"/>
  <c r="Y378" i="75"/>
  <c r="Y380" i="75"/>
  <c r="Y381" i="75"/>
  <c r="Y382" i="75"/>
  <c r="Y383" i="75"/>
  <c r="Y386" i="75"/>
  <c r="Y387" i="75"/>
  <c r="Y390" i="75"/>
  <c r="Y391" i="75"/>
  <c r="Y392" i="75"/>
  <c r="Y514" i="75"/>
  <c r="Y399" i="75"/>
  <c r="Y402" i="75"/>
  <c r="Y404" i="75"/>
  <c r="Y405" i="75"/>
  <c r="Y406" i="75"/>
  <c r="Y410" i="75"/>
  <c r="Y412" i="75"/>
  <c r="Y415" i="75"/>
  <c r="Y417" i="75"/>
  <c r="Y418" i="75"/>
  <c r="Y420" i="75"/>
  <c r="Y422" i="75"/>
  <c r="Z422" i="75"/>
  <c r="Y423" i="75"/>
  <c r="Z423" i="75"/>
  <c r="Y424" i="75"/>
  <c r="Y425" i="75"/>
  <c r="Y428" i="75"/>
  <c r="Y430" i="75"/>
  <c r="Y436" i="75"/>
  <c r="Y439" i="75"/>
  <c r="Z439" i="75"/>
  <c r="Y441" i="75"/>
  <c r="Y442" i="75"/>
  <c r="Y443" i="75"/>
  <c r="Y444" i="75"/>
  <c r="Y445" i="75"/>
  <c r="Y446" i="75"/>
  <c r="Z446" i="75"/>
  <c r="Y447" i="75"/>
  <c r="Y448" i="75"/>
  <c r="Y451" i="75"/>
  <c r="Y453" i="75"/>
  <c r="Y454" i="75"/>
  <c r="Y456" i="75"/>
  <c r="Y459" i="75"/>
  <c r="Y460" i="75"/>
  <c r="Y462" i="75"/>
  <c r="Y467" i="75"/>
  <c r="Y468" i="75"/>
  <c r="Y469" i="75"/>
  <c r="Y472" i="75"/>
  <c r="Y473" i="75"/>
  <c r="Z474" i="75"/>
  <c r="Y474" i="75"/>
  <c r="Y475" i="75"/>
  <c r="Y476" i="75"/>
  <c r="Y477" i="75"/>
  <c r="Y480" i="75"/>
  <c r="Y481" i="75"/>
  <c r="Z481" i="75"/>
  <c r="Y482" i="75"/>
  <c r="Y485" i="75"/>
  <c r="Y487" i="75"/>
  <c r="Y488" i="75"/>
  <c r="Y489" i="75"/>
  <c r="Y490" i="75"/>
  <c r="Y494" i="75"/>
  <c r="Y520" i="75"/>
  <c r="Z521" i="75"/>
  <c r="Y521" i="75"/>
  <c r="Y522" i="75"/>
  <c r="Y495" i="75"/>
  <c r="Y496" i="75"/>
  <c r="Z496" i="75"/>
  <c r="Y535" i="75"/>
  <c r="Y107" i="75"/>
  <c r="Y104" i="75"/>
  <c r="Y109" i="75"/>
  <c r="Y501" i="75"/>
  <c r="Z501" i="75"/>
  <c r="Y121" i="75"/>
  <c r="Y122" i="75"/>
  <c r="Y117" i="75"/>
  <c r="Z117" i="75"/>
  <c r="Y118" i="75"/>
  <c r="Z118" i="75"/>
  <c r="Y125" i="75"/>
  <c r="Y124" i="75"/>
  <c r="Y123" i="75"/>
  <c r="Y503" i="75"/>
  <c r="Y120" i="75"/>
  <c r="Y115" i="75"/>
  <c r="Y132" i="75"/>
  <c r="Y127" i="75"/>
  <c r="Y128" i="75"/>
  <c r="Z128" i="75"/>
  <c r="Y130" i="75"/>
  <c r="Y134" i="75"/>
  <c r="Y513" i="75"/>
  <c r="Y506" i="75"/>
  <c r="Y507" i="75"/>
  <c r="Y136" i="75"/>
  <c r="Y144" i="75"/>
  <c r="Y510" i="75"/>
  <c r="Y532" i="75"/>
  <c r="Y145" i="75"/>
  <c r="Y147" i="75"/>
  <c r="AR276" i="75"/>
  <c r="X276" i="75" s="1"/>
  <c r="S276" i="75"/>
  <c r="Z54" i="75"/>
  <c r="Y54" i="75"/>
  <c r="Y333" i="75"/>
  <c r="Y294" i="75"/>
  <c r="Y87" i="75"/>
  <c r="S280" i="75"/>
  <c r="AR280" i="75"/>
  <c r="X280" i="75" s="1"/>
  <c r="Y18" i="75"/>
  <c r="Z211" i="75"/>
  <c r="Y211" i="75"/>
  <c r="Z450" i="75"/>
  <c r="Y450" i="75"/>
  <c r="Z461" i="75"/>
  <c r="Y461" i="75"/>
  <c r="Z528" i="75"/>
  <c r="Z200" i="75"/>
  <c r="Y433" i="75"/>
  <c r="Y314" i="75"/>
  <c r="Y322" i="75"/>
  <c r="Z176" i="75"/>
  <c r="Y176" i="75"/>
  <c r="Z58" i="75"/>
  <c r="Y58" i="75"/>
  <c r="Y81" i="75"/>
  <c r="Y291" i="75"/>
  <c r="Z308" i="75"/>
  <c r="Z327" i="75"/>
  <c r="Y103" i="75"/>
  <c r="Y511" i="75"/>
  <c r="Z75" i="75"/>
  <c r="Y75" i="75"/>
  <c r="Z328" i="75"/>
  <c r="Y328" i="75"/>
  <c r="S264" i="75"/>
  <c r="AR264" i="75"/>
  <c r="X264" i="75" s="1"/>
  <c r="Y2" i="75"/>
  <c r="Y101" i="75"/>
  <c r="Y484" i="75"/>
  <c r="Z484" i="75"/>
  <c r="S256" i="75"/>
  <c r="Y61" i="75"/>
  <c r="Z498" i="75"/>
  <c r="Y498" i="75"/>
  <c r="Z307" i="75"/>
  <c r="Y307" i="75"/>
  <c r="Y525" i="75"/>
  <c r="Y10" i="75"/>
  <c r="Y55" i="75"/>
  <c r="Y138" i="75"/>
  <c r="Y92" i="75"/>
  <c r="Z409" i="75"/>
  <c r="Y409" i="75"/>
  <c r="Y537" i="75"/>
  <c r="Y526" i="75"/>
  <c r="Z47" i="75"/>
  <c r="Y47" i="75"/>
  <c r="Y76" i="75"/>
  <c r="Y27" i="75"/>
  <c r="Z46" i="75"/>
  <c r="Y46" i="75"/>
  <c r="Y287" i="75"/>
  <c r="Z283" i="75"/>
  <c r="Y283" i="75"/>
  <c r="Y42" i="75"/>
  <c r="Y299" i="75"/>
  <c r="Y53" i="75"/>
  <c r="Y79" i="75"/>
  <c r="Y28" i="75"/>
  <c r="Z28" i="75"/>
  <c r="Y302" i="75"/>
  <c r="S4" i="75"/>
  <c r="AB4" i="75"/>
  <c r="AC4" i="75" s="1"/>
  <c r="Y512" i="75"/>
  <c r="Z335" i="75"/>
  <c r="Y335" i="75"/>
  <c r="Y72" i="75"/>
  <c r="Y30" i="75"/>
  <c r="Y37" i="75"/>
  <c r="Y102" i="75"/>
  <c r="Y59" i="75"/>
  <c r="Y73" i="75"/>
  <c r="Z309" i="75"/>
  <c r="Y309" i="75"/>
  <c r="S262" i="75"/>
  <c r="Y3" i="75"/>
  <c r="Z3" i="75"/>
  <c r="Y83" i="75"/>
  <c r="Z49" i="75"/>
  <c r="Y49" i="75"/>
  <c r="Y531" i="75"/>
  <c r="Y251" i="75"/>
  <c r="Y35" i="75"/>
  <c r="Y45" i="75"/>
  <c r="Y69" i="75"/>
  <c r="Z69" i="75"/>
  <c r="Y13" i="75"/>
  <c r="Z84" i="75"/>
  <c r="Y84" i="75"/>
  <c r="Y295" i="75"/>
  <c r="Y244" i="75"/>
  <c r="Y48" i="75"/>
  <c r="Z300" i="75"/>
  <c r="Y300" i="75"/>
  <c r="Y306" i="75"/>
  <c r="Y192" i="75"/>
  <c r="Y77" i="75"/>
  <c r="Y527" i="75"/>
  <c r="Y29" i="75"/>
  <c r="Y57" i="75"/>
  <c r="Y89" i="75"/>
  <c r="Y401" i="75"/>
  <c r="Z492" i="75"/>
  <c r="Y492" i="75"/>
  <c r="Z214" i="75"/>
  <c r="Y214" i="75"/>
  <c r="Y67" i="75"/>
  <c r="Y93" i="75"/>
  <c r="Y174" i="75"/>
  <c r="Y377" i="75"/>
  <c r="Z135" i="75"/>
  <c r="Y135" i="75"/>
  <c r="Y199" i="75"/>
  <c r="Y301" i="75"/>
  <c r="Y305" i="75"/>
  <c r="Y36" i="75"/>
  <c r="Y98" i="75"/>
  <c r="Z193" i="75"/>
  <c r="Z332" i="75"/>
  <c r="Y311" i="75"/>
  <c r="Y313" i="75"/>
  <c r="Z321" i="75"/>
  <c r="Y326" i="75"/>
  <c r="Y250" i="75"/>
  <c r="S257" i="75"/>
  <c r="S263" i="75"/>
  <c r="S278" i="75"/>
  <c r="Y6" i="75"/>
  <c r="Y22" i="75"/>
  <c r="Y24" i="75"/>
  <c r="Y32" i="75"/>
  <c r="Y39" i="75"/>
  <c r="Y95" i="75"/>
  <c r="Y44" i="75"/>
  <c r="Y208" i="75"/>
  <c r="Y56" i="75"/>
  <c r="Z337" i="75"/>
  <c r="Y233" i="75"/>
  <c r="Z366" i="75"/>
  <c r="Y366" i="75"/>
  <c r="Y491" i="75"/>
  <c r="Z491" i="75"/>
  <c r="Z104" i="75"/>
  <c r="Y497" i="75"/>
  <c r="Z497" i="75"/>
  <c r="Y504" i="75"/>
  <c r="Z504" i="75"/>
  <c r="Y65" i="75"/>
  <c r="Z245" i="75"/>
  <c r="Y245" i="75"/>
  <c r="Y116" i="75"/>
  <c r="S255" i="75"/>
  <c r="Y100" i="75"/>
  <c r="Z219" i="75"/>
  <c r="Y219" i="75"/>
  <c r="Z170" i="75"/>
  <c r="Y170" i="75"/>
  <c r="Z177" i="75"/>
  <c r="Y177" i="75"/>
  <c r="Y369" i="75"/>
  <c r="Y517" i="75"/>
  <c r="Z517" i="75"/>
  <c r="Z499" i="75"/>
  <c r="Y499" i="75"/>
  <c r="S261" i="75"/>
  <c r="S274" i="75"/>
  <c r="S279" i="75"/>
  <c r="Z20" i="75"/>
  <c r="Z106" i="75"/>
  <c r="Y106" i="75"/>
  <c r="Z173" i="75"/>
  <c r="Y173" i="75"/>
  <c r="Y432" i="75"/>
  <c r="Z432" i="75"/>
  <c r="Z80" i="75"/>
  <c r="Y139" i="75"/>
  <c r="Y88" i="75"/>
  <c r="Y518" i="75"/>
  <c r="Z518" i="75"/>
  <c r="Y26" i="75"/>
  <c r="Y8" i="75"/>
  <c r="Y19" i="75"/>
  <c r="Y63" i="75"/>
  <c r="Y108" i="75"/>
  <c r="Y203" i="75"/>
  <c r="Y288" i="75"/>
  <c r="AR353" i="75"/>
  <c r="X353" i="75" s="1"/>
  <c r="S353" i="75"/>
  <c r="AR268" i="75"/>
  <c r="X268" i="75" s="1"/>
  <c r="S268" i="75"/>
  <c r="Y16" i="75"/>
  <c r="Z209" i="75"/>
  <c r="Y209" i="75"/>
  <c r="Y242" i="75"/>
  <c r="Y293" i="75"/>
  <c r="Y86" i="75"/>
  <c r="Z534" i="75"/>
  <c r="Y534" i="75"/>
  <c r="Z243" i="75"/>
  <c r="Y310" i="75"/>
  <c r="Y253" i="75"/>
  <c r="Y9" i="75"/>
  <c r="Z285" i="75"/>
  <c r="Y66" i="75"/>
  <c r="Y70" i="75"/>
  <c r="Z374" i="75"/>
  <c r="Y374" i="75"/>
  <c r="Z452" i="75"/>
  <c r="Y452" i="75"/>
  <c r="Z465" i="75"/>
  <c r="Y465" i="75"/>
  <c r="Z162" i="75"/>
  <c r="Y162" i="75"/>
  <c r="Z361" i="75"/>
  <c r="Y361" i="75"/>
  <c r="Y416" i="75"/>
  <c r="Z416" i="75"/>
  <c r="Y486" i="75"/>
  <c r="Y239" i="75"/>
  <c r="Z239" i="75"/>
  <c r="Y85" i="75"/>
  <c r="Z196" i="75"/>
  <c r="Y355" i="75"/>
  <c r="Z393" i="75"/>
  <c r="Y393" i="75"/>
  <c r="Y395" i="75"/>
  <c r="Z478" i="75"/>
  <c r="Y478" i="75"/>
  <c r="Z123" i="75"/>
  <c r="Y142" i="75"/>
  <c r="Z142" i="75"/>
  <c r="Y339" i="75"/>
  <c r="Y206" i="75"/>
  <c r="Y41" i="75"/>
  <c r="Y111" i="75"/>
  <c r="Y216" i="75"/>
  <c r="Z383" i="75"/>
  <c r="Z387" i="75"/>
  <c r="Z400" i="75"/>
  <c r="Y400" i="75"/>
  <c r="Z125" i="75"/>
  <c r="Y158" i="75"/>
  <c r="Z158" i="75"/>
  <c r="Y367" i="75"/>
  <c r="Y38" i="75"/>
  <c r="Z338" i="75"/>
  <c r="Y286" i="75"/>
  <c r="Y171" i="75"/>
  <c r="Y538" i="75"/>
  <c r="Z34" i="75"/>
  <c r="Y34" i="75"/>
  <c r="Z368" i="75"/>
  <c r="Y368" i="75"/>
  <c r="Y431" i="75"/>
  <c r="Y227" i="75"/>
  <c r="Z227" i="75"/>
  <c r="Y169" i="75"/>
  <c r="Z357" i="75"/>
  <c r="Y533" i="75"/>
  <c r="Z533" i="75"/>
  <c r="Y505" i="75"/>
  <c r="Z509" i="75"/>
  <c r="Y509" i="75"/>
  <c r="Y458" i="75"/>
  <c r="Y470" i="75"/>
  <c r="Y137" i="75"/>
  <c r="Z137" i="75"/>
  <c r="Y212" i="75"/>
  <c r="Y226" i="75"/>
  <c r="Y179" i="75"/>
  <c r="Z385" i="75"/>
  <c r="Y385" i="75"/>
  <c r="Z443" i="75"/>
  <c r="Y246" i="75"/>
  <c r="Y204" i="75"/>
  <c r="Z343" i="75"/>
  <c r="Z224" i="75"/>
  <c r="Y224" i="75"/>
  <c r="Y175" i="75"/>
  <c r="Z175" i="75"/>
  <c r="Y186" i="75"/>
  <c r="Y540" i="75"/>
  <c r="Z540" i="75"/>
  <c r="Y354" i="75"/>
  <c r="Z364" i="75"/>
  <c r="Z371" i="75"/>
  <c r="Z494" i="75"/>
  <c r="Y516" i="75"/>
  <c r="Z516" i="75"/>
  <c r="Z132" i="75"/>
  <c r="Z134" i="75"/>
  <c r="Z143" i="75"/>
  <c r="Y143" i="75"/>
  <c r="Z215" i="75"/>
  <c r="Y215" i="75"/>
  <c r="Z365" i="75"/>
  <c r="Y365" i="75"/>
  <c r="Z386" i="75"/>
  <c r="Y129" i="75"/>
  <c r="Y210" i="75"/>
  <c r="Y213" i="75"/>
  <c r="Y217" i="75"/>
  <c r="Z418" i="75"/>
  <c r="Z479" i="75"/>
  <c r="Y479" i="75"/>
  <c r="Z522" i="75"/>
  <c r="Z112" i="75"/>
  <c r="Y112" i="75"/>
  <c r="Y502" i="75"/>
  <c r="Z232" i="75"/>
  <c r="Y236" i="75"/>
  <c r="Z160" i="75"/>
  <c r="Y160" i="75"/>
  <c r="Y164" i="75"/>
  <c r="Z358" i="75"/>
  <c r="Z407" i="75"/>
  <c r="Y407" i="75"/>
  <c r="Z437" i="75"/>
  <c r="Y437" i="75"/>
  <c r="Y146" i="75"/>
  <c r="Y225" i="75"/>
  <c r="Y230" i="75"/>
  <c r="Y189" i="75"/>
  <c r="Z405" i="75"/>
  <c r="Z420" i="75"/>
  <c r="Z460" i="75"/>
  <c r="Z535" i="75"/>
  <c r="Z508" i="75"/>
  <c r="Y508" i="75"/>
  <c r="Y141" i="75"/>
  <c r="Y228" i="75"/>
  <c r="Z235" i="75"/>
  <c r="Y379" i="75"/>
  <c r="Y457" i="75"/>
  <c r="Z457" i="75"/>
  <c r="Y342" i="75"/>
  <c r="Z229" i="75"/>
  <c r="Y231" i="75"/>
  <c r="Y389" i="75"/>
  <c r="Y429" i="75"/>
  <c r="Y440" i="75"/>
  <c r="Z218" i="75"/>
  <c r="Z188" i="75"/>
  <c r="Y201" i="75"/>
  <c r="Y384" i="75"/>
  <c r="Y154" i="75"/>
  <c r="Y397" i="75"/>
  <c r="Z410" i="75"/>
  <c r="Y414" i="75"/>
  <c r="Z427" i="75"/>
  <c r="Y427" i="75"/>
  <c r="Y449" i="75"/>
  <c r="Y455" i="75"/>
  <c r="Y463" i="75"/>
  <c r="Y133" i="75"/>
  <c r="Y168" i="75"/>
  <c r="Z346" i="75"/>
  <c r="Y346" i="75"/>
  <c r="Z359" i="75"/>
  <c r="Z391" i="75"/>
  <c r="Z398" i="75"/>
  <c r="Y398" i="75"/>
  <c r="Y464" i="75"/>
  <c r="Y360" i="75"/>
  <c r="Z394" i="75"/>
  <c r="Y396" i="75"/>
  <c r="Z471" i="75"/>
  <c r="Y471" i="75"/>
  <c r="Y515" i="75"/>
  <c r="Y500" i="75"/>
  <c r="Z165" i="75"/>
  <c r="Y183" i="75"/>
  <c r="S260" i="75"/>
  <c r="AR260" i="75"/>
  <c r="X260" i="75" s="1"/>
  <c r="Y376" i="75"/>
  <c r="Y403" i="75"/>
  <c r="Z424" i="75"/>
  <c r="Z430" i="75"/>
  <c r="Z469" i="75"/>
  <c r="Y483" i="75"/>
  <c r="Y119" i="75"/>
  <c r="Y523" i="75"/>
  <c r="Y43" i="75"/>
  <c r="Y408" i="75"/>
  <c r="Y426" i="75"/>
  <c r="Y438" i="75"/>
  <c r="Z442" i="75"/>
  <c r="Z473" i="75"/>
  <c r="Y493" i="75"/>
  <c r="Y344" i="75"/>
  <c r="Y363" i="75"/>
  <c r="Y373" i="75"/>
  <c r="Y388" i="75"/>
  <c r="Y411" i="75"/>
  <c r="Y197" i="75"/>
  <c r="Y240" i="75"/>
  <c r="Y126" i="75"/>
  <c r="Z124" i="75"/>
  <c r="Z151" i="75"/>
  <c r="Z167" i="75"/>
  <c r="Z185" i="75"/>
  <c r="Z390" i="75"/>
  <c r="Z406" i="75"/>
  <c r="Y413" i="75"/>
  <c r="Y434" i="75"/>
  <c r="Y131" i="75"/>
  <c r="Y421" i="75"/>
  <c r="Y466" i="75"/>
  <c r="Y419" i="75"/>
  <c r="Y435" i="75"/>
  <c r="Y519" i="75"/>
  <c r="Z510" i="75"/>
  <c r="BR260" i="75" l="1"/>
  <c r="Y260" i="75"/>
  <c r="BR268" i="75"/>
  <c r="BR353" i="75"/>
  <c r="BU353" i="75" s="1"/>
  <c r="Y353" i="75"/>
  <c r="BR264" i="75"/>
  <c r="Y264" i="75"/>
  <c r="BR280" i="75"/>
  <c r="Y280" i="75"/>
  <c r="BR276" i="75"/>
  <c r="Y276" i="75"/>
  <c r="BR275" i="75"/>
  <c r="BR156" i="75"/>
  <c r="Y156" i="75"/>
  <c r="BR152" i="75"/>
  <c r="BR350" i="75"/>
  <c r="BU350" i="75" s="1"/>
  <c r="BR273" i="75"/>
  <c r="BR271" i="75"/>
  <c r="BR270" i="75"/>
  <c r="Y270" i="75"/>
  <c r="BR269" i="75"/>
  <c r="BR266" i="75"/>
  <c r="Z266" i="75"/>
  <c r="BR259" i="75"/>
  <c r="BR258" i="75"/>
  <c r="BR254" i="75"/>
  <c r="BR265" i="75"/>
  <c r="BR277" i="75"/>
  <c r="Z261" i="75"/>
  <c r="Z278" i="75"/>
  <c r="Z247" i="75"/>
  <c r="Y281" i="75"/>
  <c r="BR281" i="75"/>
  <c r="Z159" i="75"/>
  <c r="BR159" i="75"/>
  <c r="Y352" i="75"/>
  <c r="BR352" i="75"/>
  <c r="BU352" i="75" s="1"/>
  <c r="Z272" i="75"/>
  <c r="BR272" i="75"/>
  <c r="Y267" i="75"/>
  <c r="BR267" i="75"/>
  <c r="Z4" i="75"/>
  <c r="Y277" i="75"/>
  <c r="Z257" i="75"/>
  <c r="Z262" i="75"/>
  <c r="Z279" i="75"/>
  <c r="Y279" i="75"/>
  <c r="Z263" i="75"/>
  <c r="Y263" i="75"/>
  <c r="Y255" i="75"/>
  <c r="Y274" i="75"/>
  <c r="Z256" i="75"/>
  <c r="Z248" i="75"/>
  <c r="Y248" i="75"/>
  <c r="Y278" i="75"/>
  <c r="Z274" i="75"/>
  <c r="Y261" i="75"/>
  <c r="Y257" i="75"/>
  <c r="Z255" i="75"/>
  <c r="Y256" i="75"/>
  <c r="Y4" i="75"/>
  <c r="Y262" i="75"/>
  <c r="Y159" i="75" l="1"/>
  <c r="Y266" i="75"/>
  <c r="Z352" i="75"/>
  <c r="Z281" i="75"/>
  <c r="Z267" i="75"/>
  <c r="Z270" i="75"/>
  <c r="Y272" i="75"/>
  <c r="Z156" i="75"/>
  <c r="Z277" i="75"/>
  <c r="Z280" i="75"/>
  <c r="Z264" i="75"/>
  <c r="Y268" i="75"/>
  <c r="Z268" i="75"/>
  <c r="Y265" i="75"/>
  <c r="Z265" i="75"/>
  <c r="Y254" i="75"/>
  <c r="Z254" i="75"/>
  <c r="Y258" i="75"/>
  <c r="Z258" i="75"/>
  <c r="Y259" i="75"/>
  <c r="Z259" i="75"/>
  <c r="Z269" i="75"/>
  <c r="Y269" i="75"/>
  <c r="Y271" i="75"/>
  <c r="Z271" i="75"/>
  <c r="Y273" i="75"/>
  <c r="Z273" i="75"/>
  <c r="Y350" i="75"/>
  <c r="Z350" i="75"/>
  <c r="Y152" i="75"/>
  <c r="Z152" i="75"/>
  <c r="Y275" i="75"/>
  <c r="Z275" i="75"/>
  <c r="Z260" i="75"/>
  <c r="Z353" i="75"/>
  <c r="Z276" i="75"/>
  <c r="T303" i="28"/>
  <c r="S303" i="28" l="1"/>
  <c r="T380" i="28" l="1"/>
  <c r="CG381" i="28"/>
  <c r="CE381" i="28"/>
  <c r="T302" i="28" l="1"/>
  <c r="S302" i="28"/>
  <c r="S304" i="28" l="1"/>
  <c r="S313" i="28"/>
  <c r="K20" i="57"/>
  <c r="K19" i="57"/>
  <c r="G12" i="57"/>
  <c r="G17" i="57" s="1"/>
  <c r="I17" i="57"/>
  <c r="H17" i="57"/>
  <c r="J5" i="57"/>
  <c r="J6" i="57"/>
  <c r="K6" i="57" s="1"/>
  <c r="J7" i="57"/>
  <c r="K7" i="57" s="1"/>
  <c r="J8" i="57"/>
  <c r="K8" i="57" s="1"/>
  <c r="J9" i="57"/>
  <c r="K9" i="57" s="1"/>
  <c r="J10" i="57"/>
  <c r="K10" i="57" s="1"/>
  <c r="J11" i="57"/>
  <c r="K11" i="57" s="1"/>
  <c r="J12" i="57"/>
  <c r="J13" i="57"/>
  <c r="K13" i="57" s="1"/>
  <c r="J14" i="57"/>
  <c r="K14" i="57" s="1"/>
  <c r="J15" i="57"/>
  <c r="K15" i="57" s="1"/>
  <c r="J16" i="57"/>
  <c r="K16" i="57" s="1"/>
  <c r="J4" i="57"/>
  <c r="K4" i="57" s="1"/>
  <c r="CC381" i="28"/>
  <c r="CA381" i="28"/>
  <c r="CF381" i="28"/>
  <c r="S371" i="28"/>
  <c r="T313" i="28" l="1"/>
  <c r="K12" i="57"/>
  <c r="T304" i="28"/>
  <c r="J17" i="57"/>
  <c r="K5" i="57"/>
  <c r="T371" i="28"/>
  <c r="S379" i="28" l="1"/>
  <c r="S370" i="28" l="1"/>
  <c r="S385" i="28"/>
  <c r="S19" i="28"/>
  <c r="S20" i="28"/>
  <c r="S315" i="28"/>
  <c r="S305" i="28"/>
  <c r="T305" i="28" l="1"/>
  <c r="T20" i="28"/>
  <c r="T3" i="28"/>
  <c r="T385" i="28"/>
  <c r="T19" i="28"/>
  <c r="T315" i="28"/>
  <c r="T370" i="28"/>
  <c r="S387" i="28"/>
  <c r="S310" i="28"/>
  <c r="S386" i="28"/>
  <c r="S384" i="28"/>
  <c r="S380" i="28"/>
  <c r="S378" i="28"/>
  <c r="S376" i="28"/>
  <c r="S369" i="28"/>
  <c r="S368" i="28"/>
  <c r="S367" i="28"/>
  <c r="S309" i="28"/>
  <c r="S2" i="28"/>
  <c r="BC316" i="28" l="1"/>
  <c r="BY381" i="28"/>
  <c r="R381" i="28" l="1"/>
  <c r="Q381" i="28"/>
  <c r="T2" i="28"/>
  <c r="T309" i="28"/>
  <c r="T367" i="28"/>
  <c r="T368" i="28"/>
  <c r="T369" i="28"/>
  <c r="T376" i="28"/>
  <c r="T378" i="28"/>
  <c r="T379" i="28"/>
  <c r="T384" i="28"/>
  <c r="T386" i="28"/>
  <c r="T310" i="28"/>
  <c r="T387" i="28"/>
  <c r="S381" i="28" l="1"/>
  <c r="T381" i="28"/>
  <c r="BQ316" i="28"/>
  <c r="BM316" i="28"/>
  <c r="BK316" i="28"/>
  <c r="BI316" i="28"/>
  <c r="BG316" i="28"/>
  <c r="BE316" i="28"/>
  <c r="BA316" i="28"/>
  <c r="AY316" i="28"/>
  <c r="AW316" i="28"/>
  <c r="AS316" i="28"/>
  <c r="BA307" i="28"/>
  <c r="BC377" i="28"/>
  <c r="BI308" i="28"/>
  <c r="Q377" i="28" l="1"/>
  <c r="Q307" i="28"/>
  <c r="Q316" i="28"/>
  <c r="S377" i="28" l="1"/>
  <c r="S307" i="28"/>
  <c r="T307" i="28"/>
  <c r="T377" i="28"/>
  <c r="S308" i="28"/>
  <c r="T316" i="28"/>
  <c r="S316" i="28"/>
  <c r="AR346" i="76" l="1"/>
  <c r="AQ346" i="76" s="1"/>
  <c r="AR881" i="76"/>
  <c r="AQ881" i="76" s="1"/>
  <c r="AR884" i="76"/>
  <c r="AQ884" i="76" s="1"/>
  <c r="BR348" i="75" l="1"/>
  <c r="Z348" i="75"/>
  <c r="Y348" i="75" l="1"/>
  <c r="BR349" i="75"/>
  <c r="Z349" i="75"/>
  <c r="Y349" i="75" l="1"/>
  <c r="Y351" i="75"/>
  <c r="BR351" i="75"/>
  <c r="Z351" i="75" l="1"/>
  <c r="BR347" i="75"/>
  <c r="Y347" i="75"/>
  <c r="Z347" i="7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tc={6E6B0C2C-D12E-4C11-AC66-08EA0F921268}</author>
    <author>tc={8BC8361A-9FD3-435D-A7BB-51FED9DF2ECC}</author>
    <author>tc={3D88DE5D-970E-435A-AC80-2E8E69C271A1}</author>
    <author>tc={042B7CEF-35F2-4E7F-A9E4-A24AD118F896}</author>
    <author>tc={2F76CE08-6846-4651-8682-8FA497B6C3AC}</author>
    <author>tc={984F8737-7C79-4A6B-98C0-EC4C005C0EE1}</author>
    <author>tc={36408674-301C-45DD-A8CB-1FF678EFC2BD}</author>
    <author>tc={CB2FC08E-8F51-448F-8CE6-768C03943284}</author>
    <author>tc={C6C08882-3460-4404-97C8-D2963F247951}</author>
    <author>tc={39F498B5-5E22-40DA-8A73-29B6842DCBB9}</author>
    <author>tc={FF5A80DE-8A77-4E1F-81CD-3BF73D094B6F}</author>
    <author>tc={D5B3F769-FF4E-4AD8-86AD-EDE7E6F1781F}</author>
    <author>tc={CBC05A2F-186C-415B-AFC7-ED7FAC4520D4}</author>
    <author>tc={008247C6-DC56-4845-BB81-1B0188B6D369}</author>
    <author>tc={5EE7C24A-629A-46A2-ADC7-8AC20AFA6D47}</author>
    <author>tc={5CB01C4B-B7C3-41CD-9085-E99C11B24E64}</author>
    <author>tc={7AD172DF-2437-4E67-8509-6903A999CADB}</author>
    <author>tc={D8AD2A53-2901-4E89-836A-E9C0EA1D9066}</author>
    <author>tc={42ED4C22-A546-4560-9F72-A7764225BE8B}</author>
    <author>tc={FE56A997-5581-4124-83D1-00DE2CD9289E}</author>
    <author>tc={9D8ACC81-5FAE-44D0-8A56-A7F8A0501873}</author>
    <author>tc={EDF3BDD2-EC28-4EEF-A51C-FCC0ACC6751B}</author>
    <author>tc={27D1BB97-50DE-477B-8645-92066C064C82}</author>
    <author>tc={9369B30C-6990-40BE-A744-508C4D5AA3C8}</author>
    <author>tc={6B3A9C92-CAFF-45D1-9817-CC624E97E99A}</author>
    <author>tc={8B330FD2-F513-4BCF-BFBA-445801D140F5}</author>
    <author>tc={C401E729-54E6-4A86-8C31-39729F6D7F4B}</author>
    <author>tc={FA8D29CB-1568-424E-83DB-E68DC0AF7101}</author>
    <author>tc={7D01CFF5-B906-4D59-A7B3-C39ACB676B88}</author>
    <author>tc={ED23F94B-A382-4B26-823D-B54BCC27A6F9}</author>
    <author>tc={00702B15-49D4-440C-907F-1FE5A79521AA}</author>
    <author>tc={553A6C6B-C063-4D3A-95A7-A963BE9649B4}</author>
    <author>tc={B2087308-D06F-4B13-A71F-248A4EC2DF0F}</author>
    <author>tc={5DD27A34-78E0-4460-85C5-694AA770FB4F}</author>
    <author>tc={5C72B0AD-0A99-4280-92E4-83B7E109D6AE}</author>
    <author>tc={B4FF651E-8773-4B5B-AD26-B62B88FD5FAC}</author>
    <author>tc={EEB1779A-8E63-4FE7-BAD4-70E9E3DB761A}</author>
    <author>tc={34E4EEF6-65D4-47C2-B766-5576802569B9}</author>
    <author>tc={78620472-968A-40A2-9C63-88F6E9E52C01}</author>
    <author>tc={4F92DF9A-A475-47D8-BB7B-27CF3E4ADC2E}</author>
    <author>tc={8327856F-0571-4944-A599-DD9B9DE394F5}</author>
    <author>tc={EBA384E0-8A8C-4BC3-82B3-61D4353122AA}</author>
    <author>tc={56AC0421-54C9-4149-9286-22A76FFE11F8}</author>
    <author>tc={CF984069-B3FD-4A0B-89E9-54E61F36FD71}</author>
    <author>tc={5A6519B7-F7ED-4966-8C98-99AEA1026A35}</author>
    <author>tc={2655CBAB-B1CE-4BD0-A2D3-008788693AC8}</author>
    <author>tc={E3FC60F7-5F2B-4510-A939-81F745B51C44}</author>
    <author>tc={9F478422-9D94-4DCB-8D02-6BC2BC368110}</author>
    <author>tc={2AE621DF-53EF-4FA7-8870-1593C5906AC7}</author>
    <author>tc={C67141FD-45C5-4544-9F1D-212FB57590FC}</author>
    <author>tc={CA92D109-40FA-4BA6-BF3B-0F2E54644E9B}</author>
    <author>tc={F90DF754-DBF3-46F6-9174-F9A15412DD33}</author>
    <author>tc={28770E78-636B-4A2C-A793-ACEFFD6614E2}</author>
    <author>tc={6CF913A2-E32A-4CBC-91C0-48F4D8850BDD}</author>
    <author>tc={9DB5E52F-355E-4E38-8E3F-96F3FCF618D3}</author>
    <author>tc={85547CBA-6AF6-4D28-B5AB-A8DB24ACD2FE}</author>
    <author>tc={B535C8C1-E445-4836-A182-DEAB495F982B}</author>
    <author>tc={7DD8E016-5439-4255-BE74-768A7175B243}</author>
    <author>tc={6847B5B3-1CAE-45B5-8F75-F6FAE1E7E2E6}</author>
    <author>tc={59795B62-571C-4BCC-A483-FF1E0E653FCD}</author>
    <author>tc={91AA88B7-F26D-4E10-8365-2DD4B08AE641}</author>
    <author>tc={B7F0860C-31E2-4B50-8C3D-EDAABEDA8754}</author>
    <author>tc={C3E892AE-7B9D-44D3-8701-452D1DDA91E0}</author>
    <author>tc={E4D8D684-E7FF-4B4B-A3F9-0AF5BAD33F24}</author>
    <author>tc={6D906FEA-25CB-4CE6-BD9B-93066E7BFEE2}</author>
    <author>tc={CBF2DFE1-1C58-475B-B6C0-65FFA11671C3}</author>
    <author>tc={6DD7BD8D-71C7-4350-8482-6D1DF0748DC0}</author>
    <author>tc={05E59160-3FD1-4442-A74B-4F83947D7179}</author>
    <author>tc={896F45BB-546B-44F7-A3B3-F7AFE38A16B8}</author>
    <author>tc={0DB55130-FAB0-4C0F-938D-93E8AB5D89B0}</author>
    <author>tc={0577BD7F-09B2-4A96-AEB5-192AC3B8F85B}</author>
    <author>tc={21BB6CAD-81E2-44B6-ACE2-928CF2852153}</author>
    <author>tc={FC500AB3-DDAB-42C7-BC23-84542378B265}</author>
    <author>tc={73E8EFF2-F313-4447-A242-429E67DDF7F0}</author>
    <author>tc={6C71D467-9632-42B8-A2E8-7DEB66EDAD89}</author>
    <author>tc={2BDD8CC8-3B77-43F2-9D4A-E5687685194A}</author>
    <author>tc={8F1DE45B-FCD6-457C-B9A5-B09499210625}</author>
    <author>tc={598928C0-F43A-47F7-B1A4-7A4023595F16}</author>
    <author>tc={9C959415-5E44-440C-90A7-84F3E869EA8F}</author>
    <author>tc={A526D1D7-FF53-486B-9E27-4D356D3E203F}</author>
    <author>tc={901A11B9-A7AB-40CE-9655-91473FE66229}</author>
    <author>tc={8CC92DA6-6A19-4C94-940F-D147C93B9695}</author>
    <author>tc={C977BF36-4349-43CB-BDD9-CE6ED95E52EC}</author>
    <author>tc={5BA50102-32D7-4428-8B26-4B5DD5205228}</author>
    <author>tc={1C685FEA-FC91-4E0A-BAA3-4F5968B03C6B}</author>
    <author>tc={A97564D5-2948-45F6-8308-F8DDFB2B502E}</author>
    <author>tc={A35FBE26-5451-4447-9A90-C88C42DA2AC8}</author>
    <author>tc={8D85EE9A-02F7-4F75-A2FD-C81CEE6F224E}</author>
    <author>tc={619331CA-18AB-45C5-A3AB-63FFAA7FDEF9}</author>
    <author>tc={C542B37A-46A2-4649-BD4C-767885FAB902}</author>
    <author>tc={5C4F9FBB-D503-46EA-A4A7-F98BC5DD25FF}</author>
    <author>tc={23C4103E-6DB0-4DB8-86E8-2852A574562A}</author>
    <author>tc={10171A29-D07D-415A-8E88-464320EF3D7A}</author>
    <author>tc={24AE8E36-0249-4FC7-8EC6-0447361EE8C2}</author>
    <author>tc={3AFFAB95-C4D9-4AFF-8FAA-E6BBA6CB517A}</author>
    <author>tc={E2BC30BE-18A2-4919-915A-55F5D9EC9825}</author>
    <author>tc={B9D91569-DDD8-4990-9015-9B1976355139}</author>
    <author>tc={BB2F171D-E805-4B9A-B214-20DE299FAF33}</author>
    <author>tc={D2494C58-F605-4AFF-9105-F8491BB267FE}</author>
    <author>tc={09D145B2-C1B2-4ED0-B765-F57B2E8DF12E}</author>
    <author>tc={D6DF8F7D-07A0-42EC-9475-99FFB09EF89C}</author>
    <author>tc={756BDB09-F5DF-44CF-B80E-27A41243D4E4}</author>
    <author>tc={F38070AE-7C84-4D77-A34A-365CBF469F1E}</author>
    <author>tc={6BEAEE57-4595-4731-AB13-BD87E02E16F9}</author>
    <author>tc={F21D7EDE-B069-4809-B5D3-605CACC07D10}</author>
    <author>tc={63874160-3199-42A3-9E9A-EFBB62C9AEDC}</author>
    <author>tc={1F663A6A-215E-4023-919B-2AB5F29FC637}</author>
    <author>tc={7105290E-6F1C-44EF-9B1D-BDE5EE3EFAC3}</author>
    <author>tc={D44B3017-798A-4A61-BF1D-C05BE0AA06FC}</author>
    <author>tc={EB11A27D-C8A5-4DE8-BC47-41A187A6D1CA}</author>
    <author>tc={AE860825-C2ED-4775-962D-6135A7189D4D}</author>
    <author>tc={AB343BB7-23A5-46A0-A087-2A71F059D468}</author>
    <author>tc={76B8764A-E538-4176-B0A2-49E98873C34A}</author>
    <author>tc={2569F64D-1DFA-4899-8D83-D7EFCB413D05}</author>
    <author>tc={ECDFF833-5B99-432E-9E78-F52FCD42575F}</author>
    <author>tc={A7F91B2E-9DDE-4122-B167-ACFFCF5A8A3F}</author>
    <author>tc={70F8B930-6627-486C-B525-C0AC08C6594B}</author>
    <author>tc={1BD6C218-13E2-4EE1-A318-F1100F2527EB}</author>
    <author>tc={2F4E19A3-4FB1-4530-A975-70B13B652D8C}</author>
    <author>tc={3A99ED65-A6FD-49BC-985E-E9F6EB5B4792}</author>
    <author>tc={1A9BA19F-5530-4366-A663-D1A91DF1F11C}</author>
    <author>tc={A2959649-9FD1-4172-953D-3D8D47897372}</author>
    <author>tc={42D479DB-4655-4A60-A05D-C0A6B8D97D9A}</author>
    <author>tc={313911DA-50C7-4AB4-8141-57C139EAB0C7}</author>
    <author>tc={DD5E89DB-65C7-449D-B8A2-1653EE70B75A}</author>
    <author>tc={B0500433-77BC-4C75-835B-23A0BEDF2496}</author>
    <author>tc={BAC5BAE2-1938-4294-9A9C-A2D809E40057}</author>
    <author>tc={5C37DE57-C505-433A-9E1C-6201BBAA4C60}</author>
    <author>tc={D7010A55-2792-4558-91D8-3E29C4F94DAE}</author>
    <author>tc={806AE5AA-0174-4FDD-B828-CE5C0EE7833E}</author>
    <author>tc={9F2ADFAC-BDFE-4EC7-AC79-60450D7268EB}</author>
    <author>tc={BE3EFED9-873F-4E39-895A-868DF6A04C6E}</author>
    <author>tc={88E9C837-C434-4E1C-856F-251065EF6883}</author>
    <author>tc={1E6B626D-FFD3-41C1-862D-E9D76913E2B1}</author>
    <author>tc={E91D2FEB-DB17-45AA-AAAE-0977F6997E0C}</author>
    <author>tc={7496CED9-0DF9-4ED2-92BE-2453E2EEBD5F}</author>
    <author>tc={C597EF94-D857-43C7-85DB-5528DFEBC8D6}</author>
    <author>tc={32A412A5-2C60-4755-8C87-5FE4BF9D4CC3}</author>
    <author>tc={4493B3F0-2E36-423B-8729-F0E075D41F98}</author>
    <author>tc={6AD8866C-A45C-445B-A490-C84CDCEA989F}</author>
    <author>tc={57F8AD4F-8B42-4623-90EB-8BC1B2AEA0EB}</author>
    <author>tc={29E35E62-E553-49DE-BCF8-9CE7189055B9}</author>
    <author>tc={992CD43F-F20A-4A99-8FB9-50FC0CC004E7}</author>
    <author>tc={1F84F980-E77D-4B0F-89DA-6BCD32008375}</author>
    <author>tc={8384D660-56B2-446C-AA07-264334FF0D64}</author>
    <author>tc={DAAC950C-686C-4F4A-9B9B-2AA8520ECC0A}</author>
    <author>tc={E4959760-3786-45F6-B5B0-CBCAA875BAA5}</author>
    <author>tc={C5900B3E-1760-49B0-8C98-DA2C4DFA3AA3}</author>
    <author>tc={C832BE11-5682-489D-AFE0-38326B1AA9D0}</author>
    <author>tc={6DD06426-13E1-4D4A-991A-BB10EFCE05DF}</author>
    <author>tc={012F396F-245E-4873-8B0F-BCE772682E35}</author>
    <author>tc={C6D07F1B-D318-4886-BF53-829121A97187}</author>
    <author>tc={2736D73D-5DB9-4991-831B-F0B597930349}</author>
    <author>tc={7BE7942F-E2E5-412A-A976-34A21CFD7665}</author>
    <author>tc={5C3EC701-61C3-479F-9B13-CA31DCD300C9}</author>
    <author>tc={35371115-C9C8-4889-9C27-0E8351FE56A0}</author>
    <author>tc={66C641E3-A83B-45BD-ABD4-D1CD8B4D757D}</author>
    <author>tc={139BF271-D428-4D03-B445-6EE82766094D}</author>
    <author>tc={94F2850F-6FC9-43C8-8EBA-6BA3EF539D6E}</author>
    <author>tc={DAF7A4FA-A3E8-46E5-9712-5FF8FAFD2695}</author>
    <author>tc={6C19ACA5-E535-448B-A75A-1F80D63D70E3}</author>
    <author>tc={5AFAA502-4F82-4DB2-A243-01618B69C3CE}</author>
    <author>tc={C144C74D-7793-426B-A409-54C9C8EB79C4}</author>
    <author>tc={5BBC5150-070E-4FE7-B227-44C89414EF74}</author>
    <author>tc={FA487DCF-601B-474F-91E7-74EE100DA3A5}</author>
    <author>tc={891F9944-2333-416E-AEA7-8BAC46468B40}</author>
    <author>tc={F0B46860-BC9E-41A6-8EC1-9C9F3FE6519E}</author>
    <author>tc={DB8A3299-7E08-455C-B632-BDEBD96175C1}</author>
    <author>tc={C319221F-ED45-4E76-B1BE-CF1A92137D85}</author>
    <author>tc={5FEFF1E5-0B9B-46BA-84F3-23203D70827E}</author>
    <author>tc={71B0EAD9-CEC4-47C7-AD59-19BB0CBA26CC}</author>
    <author>tc={61E146AE-F03D-4589-AE79-C39223AD15FB}</author>
    <author>tc={1C13809D-EF04-4540-9C62-6E3299C40672}</author>
    <author>tc={AF7ABDD9-DEBA-41C1-BE8A-64716276B388}</author>
    <author>tc={62E2E46C-8A56-41A1-BEEA-CD7BCCC2444F}</author>
    <author>tc={E6649B6B-8D1A-4D0D-B89C-949CB143921C}</author>
    <author>tc={FE919AF8-94DC-4377-AE50-5F697726DF47}</author>
    <author>tc={05414334-C2D6-4B3A-BC9B-5D1B0E8F121B}</author>
    <author>tc={E917937C-4ED2-4DF6-AB2D-E25B77677739}</author>
    <author>tc={F5E5D07B-F71B-4051-8DBD-707E79184899}</author>
    <author>tc={49E13828-B48A-4989-A1C2-182FDB8ED98E}</author>
    <author>tc={30E773AC-C29B-4EED-A299-051251F2043A}</author>
    <author>tc={3F550B77-5606-4875-87CC-B620D11636A3}</author>
    <author>tc={E006EB21-C6EB-4EBA-A5CD-AA904F68CAC0}</author>
    <author>tc={F534B1BC-FF43-4393-AD29-7AAA2BD3BB0A}</author>
    <author>tc={A3DD790A-7DAA-46E9-A83A-F7229F579331}</author>
    <author>tc={347839F1-15EA-4573-87DD-6C6BDBAEC946}</author>
    <author>tc={B087A1F6-3BB4-4A40-AB04-4270B2E616D4}</author>
    <author>tc={1D5564B4-27D8-4BE8-B2E0-A777D598CE7E}</author>
    <author>tc={5DCCBEB1-2A3B-4993-9526-7B128C0A39B6}</author>
    <author>tc={2FD684DE-9299-4092-AD2A-066BBFA962F7}</author>
    <author>tc={5127C9F1-1C74-48D1-A076-E7463C086F49}</author>
    <author>tc={0FD08728-0FA9-46B6-BD83-FEF9B7CFD05F}</author>
    <author>tc={B85DFEEB-42BF-4071-BDA3-74CAD63EBA9B}</author>
    <author>tc={77A4852E-E6FB-4E34-85A5-2E572410C39E}</author>
    <author>tc={FC166F18-82EE-4E14-88D3-706F0ECAEEE3}</author>
    <author>tc={3B68B5C8-22D4-4578-ABA3-8EDDDBC10AA3}</author>
    <author>tc={98D13301-3D85-49AB-993E-0BD7FD4996B6}</author>
    <author>tc={233B52D3-C915-4D93-8430-F8EE001CE5BB}</author>
    <author>tc={13C5DC24-1B84-463F-906B-298DDAC09030}</author>
    <author>tc={D2671F34-7BEA-4F10-AA4E-1B6EB246744D}</author>
    <author>tc={C95A1089-765F-4085-96FA-FB72290B5320}</author>
    <author>tc={166EACBA-CDD9-4146-BA7C-4A29F5F8E580}</author>
    <author>tc={F127C04C-F463-4949-95DE-B9BE26E8BDAC}</author>
    <author>tc={5B8F63C9-1EFF-45FE-BF13-389033F3B81E}</author>
    <author>tc={E3891BD8-4E8C-4118-9BA4-DB7E4C1A5081}</author>
    <author>tc={18401110-C395-498B-BC9E-2EB8F4DF3968}</author>
    <author>tc={A2C07A93-849D-4443-8EE6-71B60F243F9E}</author>
    <author>tc={14AF1936-FEDB-40AF-9CF6-CDA2F96466DE}</author>
    <author>tc={194F2D24-D7CC-465B-A7D0-AD30BE7EF5D5}</author>
    <author>tc={91A94C53-92D5-494D-83D2-0662146E075D}</author>
    <author>tc={409DB15E-AE0C-49EC-B427-23AD35254F88}</author>
    <author>tc={F7E20507-5784-4293-817B-57D54530F97D}</author>
    <author>tc={551DCE5F-28B8-4B19-B5B2-9B871E04F894}</author>
    <author>tc={9DB62E54-F35E-4C4E-A807-CFB61FA60ECE}</author>
    <author>tc={AD6987B9-A975-4DC3-8BF8-7F9AE083C63D}</author>
    <author>tc={6A54F9B5-0E0B-4425-ADE4-454FCA7C1740}</author>
    <author>tc={F2C2E61C-6D5F-4D58-B211-DD1C37B25D4B}</author>
    <author>tc={2B5FD0CB-8617-48A5-BC5C-5F238CCDA4B3}</author>
    <author>tc={501A4976-17C0-4BF0-8340-C46A8BCABC76}</author>
    <author>tc={3176DB0C-BEDD-465D-A362-DCF7AFFB99BC}</author>
    <author>tc={FC521C30-4CB3-4463-A36A-B1CE8597ADFE}</author>
    <author>tc={C1117850-5A1B-487A-AB9B-691C98CCEE25}</author>
    <author>tc={1CCFE94E-540E-4C27-AB1B-40272C9170AA}</author>
    <author>tc={B20544BE-8FD3-42BB-AC76-4410B53D659D}</author>
    <author>tc={21A197D6-518D-44BA-BF2C-52D228505482}</author>
    <author>tc={00131853-03A4-4D79-9FEC-BB9CA43CF302}</author>
    <author>tc={FC4DD73E-5165-4BBC-B90B-E7254FC1EBD5}</author>
    <author>tc={946547C3-1FC6-4C08-9D94-CEE5FE32853B}</author>
    <author>tc={EB20273A-3E18-427D-AC53-5636234BABBB}</author>
    <author>tc={96C2FF77-C3D7-41D1-8D9D-8AB0C92F28AA}</author>
    <author>tc={52251FB6-2D23-4358-98A3-B76E5CF8A811}</author>
    <author>tc={D5EB9E46-905E-4F38-B48E-D6FABBEE4CA6}</author>
    <author>tc={04A7B1D4-E249-4B0A-B58D-A09D4F85BEFA}</author>
    <author>tc={4D4D5C92-D115-47D6-BA80-0FB91FCDFAD9}</author>
    <author>tc={EE1107C4-12AC-4AF3-BB65-A96569AA1D2B}</author>
    <author>tc={940EA15C-24BE-4582-957A-A27174026B0C}</author>
    <author>tc={73B8D61F-EA19-4D85-9DF0-011C81CF9770}</author>
    <author>tc={8DC56722-2D30-4697-AC25-DEA828B9B1C9}</author>
    <author>tc={DCDCE645-12D2-4ADE-8EF1-858DA4F49195}</author>
    <author>tc={6125DA01-6AF4-49B1-B118-E662B60552AC}</author>
    <author>tc={12DD7958-4C18-489C-AFD7-F90E49C871FF}</author>
    <author>tc={91E4F963-EB40-4FF8-9EE4-4302639B312F}</author>
    <author>tc={C7289BCD-E4BF-49D3-AF8A-B659D45B6F9F}</author>
    <author>tc={0372C737-97B1-479B-9890-FA52D2334B66}</author>
    <author>tc={7002806B-E640-4084-96CA-4A80048AD734}</author>
    <author>tc={84FA449E-886D-4F13-929C-B18BB4D9D919}</author>
    <author>tc={6578DE0B-5842-48C2-88DF-18FC87013F42}</author>
    <author>tc={B0A73A70-F808-4570-866E-B4CE2C6EC64A}</author>
    <author>tc={08C28C90-D9EE-419D-AB08-93796830011A}</author>
    <author>tc={A474B8ED-08CF-45A1-A9BE-3B8E69FEA4C2}</author>
    <author>tc={3B95DB38-CE0A-4292-B48A-7B12B425CE68}</author>
    <author>tc={CAC08380-5860-4BE3-B879-BF55708BD5FB}</author>
    <author>tc={1F7013C7-4496-4E5C-B7AF-91093E2F1158}</author>
    <author>tc={0F0FDC3A-AD57-43F5-B69D-994432E994A9}</author>
    <author>tc={07E79FC5-CA68-44C4-A031-1AD5C1C8D528}</author>
    <author>tc={59C38242-15C2-474C-8F13-BBDFA28F7459}</author>
    <author>tc={5887FF51-CFE3-476E-ACE9-08E930D29D81}</author>
    <author>tc={E6E5DCC2-BD45-46B8-A01D-3D68020E17C1}</author>
    <author>tc={32C6CD18-3913-4A94-ACE0-3A8946E7060F}</author>
    <author>tc={DC396FB4-901D-4129-8C92-8054080F6271}</author>
    <author>tc={C06ACF6D-B5E9-4C3E-BEDB-72EDDBE87008}</author>
    <author>tc={04AF0443-5DA5-400F-9269-3841FE1C8E22}</author>
    <author>tc={53BB853C-2E77-487F-BCD5-95C0607E2467}</author>
    <author>tc={2670F855-6B1B-4D95-B248-366C1C28363E}</author>
    <author>tc={7448C738-8F38-4A7C-983D-5E853419CD28}</author>
    <author>tc={556BD0D8-1024-47A6-89A6-6BBE309EB623}</author>
    <author>tc={2D88A978-C815-4464-9E80-FB28E91289F5}</author>
    <author>tc={82171E88-0ADB-4036-97FB-3FD2743D2FEA}</author>
    <author>tc={04B2F01E-91D0-43A1-AF4B-A02B342FBAFA}</author>
    <author>tc={8015D216-EC64-46C6-ACF1-7121B8E85B82}</author>
    <author>tc={BCDCAF42-1FF2-4921-A24C-073633DAEE44}</author>
    <author>tc={6D8C92F6-7ADD-4D5D-8C4B-5A713A362FD3}</author>
    <author>tc={A1E4CF09-10AF-4731-B9DC-187DC9FE6479}</author>
    <author>tc={F538D8B3-DA4C-4277-90FF-CEE8394DD4E3}</author>
    <author>tc={16AB67FB-36F0-43A2-8773-9D5AD7E40135}</author>
    <author>tc={0138EE7E-C35F-41C6-B20D-3DE93B3C1007}</author>
    <author>tc={9B5720DE-A984-469F-9489-0FA162432BB4}</author>
    <author>tc={41DE061E-7CF5-4E7E-8D52-3A3E64620DA2}</author>
    <author>tc={92306294-A477-44EB-9B90-2766D790422F}</author>
    <author>tc={0077D668-3C83-4DC0-B39B-2A87B8D0BE09}</author>
    <author>tc={53DDAA70-0B81-425F-B784-0012E429FAE2}</author>
    <author>tc={FAEE22D2-8934-4353-9E12-C9EAB56A1AAD}</author>
    <author>tc={F6DEE04A-6E7A-43DE-8E32-58DC8858D5D1}</author>
    <author>tc={3BAD27F2-8EBB-4754-B476-CE51D3F47048}</author>
    <author>tc={E9CDF414-ABCE-4279-851B-F996662EEB8F}</author>
    <author>tc={3A273A26-B8BD-47AD-B1FB-256911C300F0}</author>
    <author>tc={95CF0196-41CE-437F-B06A-9A0EFF6559E8}</author>
    <author>tc={60B180FF-9ED2-4817-A37B-435A9A61A203}</author>
    <author>tc={6A3AFB8A-E972-4188-B5E2-1CA140B49AA3}</author>
  </authors>
  <commentList>
    <comment ref="BA8" authorId="0" shapeId="0" xr:uid="{6E6B0C2C-D12E-4C11-AC66-08EA0F921268}">
      <text>
        <t>[Threaded comment]
Your version of Excel allows you to read this threaded comment; however, any edits to it will get removed if the file is opened in a newer version of Excel. Learn more: https://go.microsoft.com/fwlink/?linkid=870924
Comment:
    Return for resubmit 12082022</t>
      </text>
    </comment>
    <comment ref="BS8" authorId="1" shapeId="0" xr:uid="{8BC8361A-9FD3-435D-A7BB-51FED9DF2ECC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U8" authorId="2" shapeId="0" xr:uid="{3D88DE5D-970E-435A-AC80-2E8E69C271A1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W8" authorId="3" shapeId="0" xr:uid="{042B7CEF-35F2-4E7F-A9E4-A24AD118F896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Y8" authorId="4" shapeId="0" xr:uid="{2F76CE08-6846-4651-8682-8FA497B6C3AC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A8" authorId="5" shapeId="0" xr:uid="{984F8737-7C79-4A6B-98C0-EC4C005C0EE1}">
      <text>
        <t>[Threaded comment]
Your version of Excel allows you to read this threaded comment; however, any edits to it will get removed if the file is opened in a newer version of Excel. Learn more: https://go.microsoft.com/fwlink/?linkid=870924
Comment:
    Wait for approved</t>
      </text>
    </comment>
    <comment ref="CC8" authorId="6" shapeId="0" xr:uid="{36408674-301C-45DD-A8CB-1FF678EFC2BD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DW JAN 26</t>
      </text>
    </comment>
    <comment ref="CE8" authorId="7" shapeId="0" xr:uid="{CB2FC08E-8F51-448F-8CE6-768C03943284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Invoice
Reply:
    JCAN Amount is $2,158,063 not $2,081,878
Reply:
    Update to $2,158,063</t>
      </text>
    </comment>
    <comment ref="CG8" authorId="8" shapeId="0" xr:uid="{C6C08882-3460-4404-97C8-D2963F247951}">
      <text>
        <t>[Threaded comment]
Your version of Excel allows you to read this threaded comment; however, any edits to it will get removed if the file is opened in a newer version of Excel. Learn more: https://go.microsoft.com/fwlink/?linkid=870924
Comment:
    send to sponsor
Reply:
    Invoice</t>
      </text>
    </comment>
    <comment ref="CI8" authorId="9" shapeId="0" xr:uid="{39F498B5-5E22-40DA-8A73-29B6842DCBB9}">
      <text>
        <t>[Threaded comment]
Your version of Excel allows you to read this threaded comment; however, any edits to it will get removed if the file is opened in a newer version of Excel. Learn more: https://go.microsoft.com/fwlink/?linkid=870924
Comment:
    Send to spnsor</t>
      </text>
    </comment>
    <comment ref="BA9" authorId="10" shapeId="0" xr:uid="{FF5A80DE-8A77-4E1F-81CD-3BF73D094B6F}">
      <text>
        <t>[Threaded comment]
Your version of Excel allows you to read this threaded comment; however, any edits to it will get removed if the file is opened in a newer version of Excel. Learn more: https://go.microsoft.com/fwlink/?linkid=870924
Comment:
    Return for resubmit 12082022</t>
      </text>
    </comment>
    <comment ref="CE9" authorId="11" shapeId="0" xr:uid="{D5B3F769-FF4E-4AD8-86AD-EDE7E6F1781F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Invoice</t>
      </text>
    </comment>
    <comment ref="BS12" authorId="12" shapeId="0" xr:uid="{CBC05A2F-186C-415B-AFC7-ED7FAC4520D4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U12" authorId="13" shapeId="0" xr:uid="{008247C6-DC56-4845-BB81-1B0188B6D369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W12" authorId="14" shapeId="0" xr:uid="{5EE7C24A-629A-46A2-ADC7-8AC20AFA6D47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Y12" authorId="15" shapeId="0" xr:uid="{5CB01C4B-B7C3-41CD-9085-E99C11B24E64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E12" authorId="16" shapeId="0" xr:uid="{7AD172DF-2437-4E67-8509-6903A999CADB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Invoice</t>
      </text>
    </comment>
    <comment ref="J13" authorId="17" shapeId="0" xr:uid="{D8AD2A53-2901-4E89-836A-E9C0EA1D9066}">
      <text>
        <t>[Threaded comment]
Your version of Excel allows you to read this threaded comment; however, any edits to it will get removed if the file is opened in a newer version of Excel. Learn more: https://go.microsoft.com/fwlink/?linkid=870924
Comment:
    Up to 90% in September</t>
      </text>
    </comment>
    <comment ref="BS13" authorId="18" shapeId="0" xr:uid="{42ED4C22-A546-4560-9F72-A7764225BE8B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U13" authorId="19" shapeId="0" xr:uid="{FE56A997-5581-4124-83D1-00DE2CD9289E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W13" authorId="20" shapeId="0" xr:uid="{9D8ACC81-5FAE-44D0-8A56-A7F8A0501873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Y13" authorId="21" shapeId="0" xr:uid="{EDF3BDD2-EC28-4EEF-A51C-FCC0ACC6751B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C13" authorId="22" shapeId="0" xr:uid="{27D1BB97-50DE-477B-8645-92066C064C82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E13" authorId="23" shapeId="0" xr:uid="{9369B30C-6990-40BE-A744-508C4D5AA3C8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Invoice
Reply:
    revise amount. sent to sponsor
Reply:
    Invoice</t>
      </text>
    </comment>
    <comment ref="CG13" authorId="24" shapeId="0" xr:uid="{6B3A9C92-CAFF-45D1-9817-CC624E97E99A}">
      <text>
        <t>[Threaded comment]
Your version of Excel allows you to read this threaded comment; however, any edits to it will get removed if the file is opened in a newer version of Excel. Learn more: https://go.microsoft.com/fwlink/?linkid=870924
Comment:
    Send to sponsor
Reply:
    Invoice</t>
      </text>
    </comment>
    <comment ref="CI13" authorId="25" shapeId="0" xr:uid="{8B330FD2-F513-4BCF-BFBA-445801D140F5}">
      <text>
        <t>[Threaded comment]
Your version of Excel allows you to read this threaded comment; however, any edits to it will get removed if the file is opened in a newer version of Excel. Learn more: https://go.microsoft.com/fwlink/?linkid=870924
Comment:
    send to sponsor
Reply:
    Previous amount difference $495.28</t>
      </text>
    </comment>
    <comment ref="BA14" authorId="26" shapeId="0" xr:uid="{C401E729-54E6-4A86-8C31-39729F6D7F4B}">
      <text>
        <t>[Threaded comment]
Your version of Excel allows you to read this threaded comment; however, any edits to it will get removed if the file is opened in a newer version of Excel. Learn more: https://go.microsoft.com/fwlink/?linkid=870924
Comment:
    Return for resubmit 12082022</t>
      </text>
    </comment>
    <comment ref="BS14" authorId="27" shapeId="0" xr:uid="{FA8D29CB-1568-424E-83DB-E68DC0AF7101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sponsor, updated $</t>
      </text>
    </comment>
    <comment ref="BU14" authorId="28" shapeId="0" xr:uid="{7D01CFF5-B906-4D59-A7B3-C39ACB676B88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W14" authorId="29" shapeId="0" xr:uid="{ED23F94B-A382-4B26-823D-B54BCC27A6F9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Y14" authorId="30" shapeId="0" xr:uid="{00702B15-49D4-440C-907F-1FE5A79521AA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C14" authorId="31" shapeId="0" xr:uid="{553A6C6B-C063-4D3A-95A7-A963BE9649B4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DW JAN26</t>
      </text>
    </comment>
    <comment ref="CE14" authorId="32" shapeId="0" xr:uid="{B2087308-D06F-4B13-A71F-248A4EC2DF0F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re-send to sponsor
Reply:
    Invoice
Reply:
    @Peter Chien 錢嘉宏 revise $ and re-send to sponsor
Reply:
    Invoice</t>
      </text>
    </comment>
    <comment ref="CG14" authorId="33" shapeId="0" xr:uid="{5DD27A34-78E0-4460-85C5-694AA770FB4F}">
      <text>
        <t>[Threaded comment]
Your version of Excel allows you to read this threaded comment; however, any edits to it will get removed if the file is opened in a newer version of Excel. Learn more: https://go.microsoft.com/fwlink/?linkid=870924
Comment:
    Send to sponsor
Reply:
    Invoice</t>
      </text>
    </comment>
    <comment ref="BS15" authorId="34" shapeId="0" xr:uid="{5C72B0AD-0A99-4280-92E4-83B7E109D6AE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U15" authorId="35" shapeId="0" xr:uid="{B4FF651E-8773-4B5B-AD26-B62B88FD5FAC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W15" authorId="36" shapeId="0" xr:uid="{EEB1779A-8E63-4FE7-BAD4-70E9E3DB761A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Y15" authorId="37" shapeId="0" xr:uid="{34E4EEF6-65D4-47C2-B766-5576802569B9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C15" authorId="38" shapeId="0" xr:uid="{78620472-968A-40A2-9C63-88F6E9E52C01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E15" authorId="39" shapeId="0" xr:uid="{4F92DF9A-A475-47D8-BB7B-27CF3E4ADC2E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Invoice
Reply:
    re-send to sponsor
Reply:
    invoice</t>
      </text>
    </comment>
    <comment ref="CE17" authorId="40" shapeId="0" xr:uid="{8327856F-0571-4944-A599-DD9B9DE394F5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invoice
Reply:
    re-send to sponsor
Reply:
    invoice
Reply:
    amount revised and re-send to sponsor</t>
      </text>
    </comment>
    <comment ref="BS18" authorId="41" shapeId="0" xr:uid="{EBA384E0-8A8C-4BC3-82B3-61D4353122AA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U18" authorId="42" shapeId="0" xr:uid="{56AC0421-54C9-4149-9286-22A76FFE11F8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Y18" authorId="43" shapeId="0" xr:uid="{CF984069-B3FD-4A0B-89E9-54E61F36FD71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G18" authorId="44" shapeId="0" xr:uid="{5A6519B7-F7ED-4966-8C98-99AEA1026A35}">
      <text>
        <t>[Threaded comment]
Your version of Excel allows you to read this threaded comment; however, any edits to it will get removed if the file is opened in a newer version of Excel. Learn more: https://go.microsoft.com/fwlink/?linkid=870924
Comment:
    Send to sponsor
Reply:
    Invoice</t>
      </text>
    </comment>
    <comment ref="BC23" authorId="45" shapeId="0" xr:uid="{2655CBAB-B1CE-4BD0-A2D3-008788693AC8}">
      <text>
        <t>[Threaded comment]
Your version of Excel allows you to read this threaded comment; however, any edits to it will get removed if the file is opened in a newer version of Excel. Learn more: https://go.microsoft.com/fwlink/?linkid=870924
Comment:
    submited</t>
      </text>
    </comment>
    <comment ref="K24" authorId="46" shapeId="0" xr:uid="{E3FC60F7-5F2B-4510-A939-81F745B51C44}">
      <text>
        <t>[Threaded comment]
Your version of Excel allows you to read this threaded comment; however, any edits to it will get removed if the file is opened in a newer version of Excel. Learn more: https://go.microsoft.com/fwlink/?linkid=870924
Comment:
    1. Chemical PO amount is incorrect. 
2. UPW Material change. Need CO.
3. Need to add 2nd portion of UPW PO in ERP</t>
      </text>
    </comment>
    <comment ref="BS24" authorId="47" shapeId="0" xr:uid="{9F478422-9D94-4DCB-8D02-6BC2BC368110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Y26" authorId="48" shapeId="0" xr:uid="{2AE621DF-53EF-4FA7-8870-1593C5906AC7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C27" authorId="49" shapeId="0" xr:uid="{C67141FD-45C5-4544-9F1D-212FB57590F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Proforma Invoice</t>
      </text>
    </comment>
    <comment ref="BS27" authorId="50" shapeId="0" xr:uid="{CA92D109-40FA-4BA6-BF3B-0F2E54644E9B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E27" authorId="51" shapeId="0" xr:uid="{F90DF754-DBF3-46F6-9174-F9A15412DD33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Invoice
Reply:
    re-send to sponsor
Reply:
    Invoice</t>
      </text>
    </comment>
    <comment ref="CG27" authorId="52" shapeId="0" xr:uid="{28770E78-636B-4A2C-A793-ACEFFD6614E2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invoice</t>
      </text>
    </comment>
    <comment ref="BC29" authorId="53" shapeId="0" xr:uid="{6CF913A2-E32A-4CBC-91C0-48F4D8850BDD}">
      <text>
        <t>[Threaded comment]
Your version of Excel allows you to read this threaded comment; however, any edits to it will get removed if the file is opened in a newer version of Excel. Learn more: https://go.microsoft.com/fwlink/?linkid=870924
Comment:
    Rejected, more supp docs</t>
      </text>
    </comment>
    <comment ref="BU34" authorId="54" shapeId="0" xr:uid="{9DB5E52F-355E-4E38-8E3F-96F3FCF618D3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W34" authorId="55" shapeId="0" xr:uid="{85547CBA-6AF6-4D28-B5AB-A8DB24ACD2FE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sponsor, might need to revise the total amount because of tax</t>
      </text>
    </comment>
    <comment ref="CC34" authorId="56" shapeId="0" xr:uid="{B535C8C1-E445-4836-A182-DEAB495F982B}">
      <text>
        <t>[Threaded comment]
Your version of Excel allows you to read this threaded comment; however, any edits to it will get removed if the file is opened in a newer version of Excel. Learn more: https://go.microsoft.com/fwlink/?linkid=870924
Comment:
    Peter sent to sponsor</t>
      </text>
    </comment>
    <comment ref="CE34" authorId="57" shapeId="0" xr:uid="{7DD8E016-5439-4255-BE74-768A7175B243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Invoice</t>
      </text>
    </comment>
    <comment ref="BY35" authorId="58" shapeId="0" xr:uid="{6847B5B3-1CAE-45B5-8F75-F6FAE1E7E2E6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E35" authorId="59" shapeId="0" xr:uid="{59795B62-571C-4BCC-A483-FF1E0E653FCD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Invoice</t>
      </text>
    </comment>
    <comment ref="CG35" authorId="60" shapeId="0" xr:uid="{91AA88B7-F26D-4E10-8365-2DD4B08AE641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Invoice</t>
      </text>
    </comment>
    <comment ref="BU36" authorId="61" shapeId="0" xr:uid="{B7F0860C-31E2-4B50-8C3D-EDAABEDA8754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C36" authorId="62" shapeId="0" xr:uid="{C3E892AE-7B9D-44D3-8701-452D1DDA91E0}">
      <text>
        <t>[Threaded comment]
Your version of Excel allows you to read this threaded comment; however, any edits to it will get removed if the file is opened in a newer version of Excel. Learn more: https://go.microsoft.com/fwlink/?linkid=870924
Comment:
    Peter sent to sponsor</t>
      </text>
    </comment>
    <comment ref="BW37" authorId="63" shapeId="0" xr:uid="{E4D8D684-E7FF-4B4B-A3F9-0AF5BAD33F24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W38" authorId="64" shapeId="0" xr:uid="{6D906FEA-25CB-4CE6-BD9B-93066E7BFEE2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Y40" authorId="65" shapeId="0" xr:uid="{CBF2DFE1-1C58-475B-B6C0-65FFA11671C3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Y41" authorId="66" shapeId="0" xr:uid="{6DD7BD8D-71C7-4350-8482-6D1DF0748DC0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K42" authorId="67" shapeId="0" xr:uid="{05E59160-3FD1-4442-A74B-4F83947D7179}">
      <text>
        <t>[Threaded comment]
Your version of Excel allows you to read this threaded comment; however, any edits to it will get removed if the file is opened in a newer version of Excel. Learn more: https://go.microsoft.com/fwlink/?linkid=870924
Comment:
    Labor+</t>
      </text>
    </comment>
    <comment ref="BW42" authorId="68" shapeId="0" xr:uid="{896F45BB-546B-44F7-A3B3-F7AFE38A16B8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W43" authorId="69" shapeId="0" xr:uid="{0DB55130-FAB0-4C0F-938D-93E8AB5D89B0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I43" authorId="70" shapeId="0" xr:uid="{0577BD7F-09B2-4A96-AEB5-192AC3B8F85B}">
      <text>
        <t>[Threaded comment]
Your version of Excel allows you to read this threaded comment; however, any edits to it will get removed if the file is opened in a newer version of Excel. Learn more: https://go.microsoft.com/fwlink/?linkid=870924
Comment:
    Re-submit Oct 2023 jcan as Chihhao request</t>
      </text>
    </comment>
    <comment ref="BC44" authorId="71" shapeId="0" xr:uid="{21BB6CAD-81E2-44B6-ACE2-928CF2852153}">
      <text>
        <t>[Threaded comment]
Your version of Excel allows you to read this threaded comment; however, any edits to it will get removed if the file is opened in a newer version of Excel. Learn more: https://go.microsoft.com/fwlink/?linkid=870924
Comment:
    submited
Reply:
    4/28 received</t>
      </text>
    </comment>
    <comment ref="CG45" authorId="72" shapeId="0" xr:uid="{FC500AB3-DDAB-42C7-BC23-84542378B265}">
      <text>
        <t>[Threaded comment]
Your version of Excel allows you to read this threaded comment; however, any edits to it will get removed if the file is opened in a newer version of Excel. Learn more: https://go.microsoft.com/fwlink/?linkid=870924
Comment:
    send to sponsor
Reply:
    Invoice</t>
      </text>
    </comment>
    <comment ref="BS46" authorId="73" shapeId="0" xr:uid="{73E8EFF2-F313-4447-A242-429E67DDF7F0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U46" authorId="74" shapeId="0" xr:uid="{6C71D467-9632-42B8-A2E8-7DEB66EDAD89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W47" authorId="75" shapeId="0" xr:uid="{2BDD8CC8-3B77-43F2-9D4A-E5687685194A}">
      <text>
        <t>[Threaded comment]
Your version of Excel allows you to read this threaded comment; however, any edits to it will get removed if the file is opened in a newer version of Excel. Learn more: https://go.microsoft.com/fwlink/?linkid=870924
Comment:
    Johnny Still search the sponsor Oct 25 
Reply:
    Respond from sponsor: need a meeting to define what rule we can follow to handle JCAN before we receive the equipment</t>
      </text>
    </comment>
    <comment ref="BY47" authorId="76" shapeId="0" xr:uid="{8F1DE45B-FCD6-457C-B9A5-B09499210625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C47" authorId="77" shapeId="0" xr:uid="{598928C0-F43A-47F7-B1A4-7A4023595F16}">
      <text>
        <t>[Threaded comment]
Your version of Excel allows you to read this threaded comment; however, any edits to it will get removed if the file is opened in a newer version of Excel. Learn more: https://go.microsoft.com/fwlink/?linkid=870924
Comment:
    Peter sent to sponsor</t>
      </text>
    </comment>
    <comment ref="BW48" authorId="78" shapeId="0" xr:uid="{9C959415-5E44-440C-90A7-84F3E869EA8F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Y48" authorId="79" shapeId="0" xr:uid="{A526D1D7-FF53-486B-9E27-4D356D3E203F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C48" authorId="80" shapeId="0" xr:uid="{901A11B9-A7AB-40CE-9655-91473FE66229}">
      <text>
        <t>[Threaded comment]
Your version of Excel allows you to read this threaded comment; however, any edits to it will get removed if the file is opened in a newer version of Excel. Learn more: https://go.microsoft.com/fwlink/?linkid=870924
Comment:
    Dahlia sent to sponsor</t>
      </text>
    </comment>
    <comment ref="CG48" authorId="81" shapeId="0" xr:uid="{8CC92DA6-6A19-4C94-940F-D147C93B9695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Invoice
Reply:
    resubmit April 9</t>
      </text>
    </comment>
    <comment ref="BS49" authorId="82" shapeId="0" xr:uid="{C977BF36-4349-43CB-BDD9-CE6ED95E52EC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C50" authorId="83" shapeId="0" xr:uid="{5BA50102-32D7-4428-8B26-4B5DD5205228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E50" authorId="84" shapeId="0" xr:uid="{1C685FEA-FC91-4E0A-BAA3-4F5968B03C6B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G50" authorId="85" shapeId="0" xr:uid="{A97564D5-2948-45F6-8308-F8DDFB2B502E}">
      <text>
        <t>[Threaded comment]
Your version of Excel allows you to read this threaded comment; however, any edits to it will get removed if the file is opened in a newer version of Excel. Learn more: https://go.microsoft.com/fwlink/?linkid=870924
Comment:
    send to sponsor
Reply:
    Invoice</t>
      </text>
    </comment>
    <comment ref="BU52" authorId="86" shapeId="0" xr:uid="{A35FBE26-5451-4447-9A90-C88C42DA2AC8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E54" authorId="87" shapeId="0" xr:uid="{8D85EE9A-02F7-4F75-A2FD-C81CEE6F224E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Invoice</t>
      </text>
    </comment>
    <comment ref="BY55" authorId="88" shapeId="0" xr:uid="{619331CA-18AB-45C5-A3AB-63FFAA7FDEF9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G59" authorId="89" shapeId="0" xr:uid="{C542B37A-46A2-4649-BD4C-767885FAB902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Invoice</t>
      </text>
    </comment>
    <comment ref="J63" authorId="90" shapeId="0" xr:uid="{5C4F9FBB-D503-46EA-A4A7-F98BC5DD25FF}">
      <text>
        <t>[Threaded comment]
Your version of Excel allows you to read this threaded comment; however, any edits to it will get removed if the file is opened in a newer version of Excel. Learn more: https://go.microsoft.com/fwlink/?linkid=870924
Comment:
    Up to 90% in September</t>
      </text>
    </comment>
    <comment ref="BA63" authorId="91" shapeId="0" xr:uid="{23C4103E-6DB0-4DB8-86E8-2852A574562A}">
      <text>
        <t>[Threaded comment]
Your version of Excel allows you to read this threaded comment; however, any edits to it will get removed if the file is opened in a newer version of Excel. Learn more: https://go.microsoft.com/fwlink/?linkid=870924
Comment:
    Return for resubmit 12082022</t>
      </text>
    </comment>
    <comment ref="BY63" authorId="92" shapeId="0" xr:uid="{10171A29-D07D-415A-8E88-464320EF3D7A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J68" authorId="93" shapeId="0" xr:uid="{24AE8E36-0249-4FC7-8EC6-0447361EE8C2}">
      <text>
        <t>[Threaded comment]
Your version of Excel allows you to read this threaded comment; however, any edits to it will get removed if the file is opened in a newer version of Excel. Learn more: https://go.microsoft.com/fwlink/?linkid=870924
Comment:
    Understanding scope</t>
      </text>
    </comment>
    <comment ref="BU68" authorId="94" shapeId="0" xr:uid="{3AFFAB95-C4D9-4AFF-8FAA-E6BBA6CB517A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W68" authorId="95" shapeId="0" xr:uid="{E2BC30BE-18A2-4919-915A-55F5D9EC9825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G68" authorId="96" shapeId="0" xr:uid="{B9D91569-DDD8-4990-9015-9B1976355139}">
      <text>
        <t>[Threaded comment]
Your version of Excel allows you to read this threaded comment; however, any edits to it will get removed if the file is opened in a newer version of Excel. Learn more: https://go.microsoft.com/fwlink/?linkid=870924
Comment:
    Send to Sponsor
Reply:
    invoice</t>
      </text>
    </comment>
    <comment ref="J69" authorId="97" shapeId="0" xr:uid="{BB2F171D-E805-4B9A-B214-20DE299FAF33}">
      <text>
        <t>[Threaded comment]
Your version of Excel allows you to read this threaded comment; however, any edits to it will get removed if the file is opened in a newer version of Excel. Learn more: https://go.microsoft.com/fwlink/?linkid=870924
Comment:
    No progress for Sep AR</t>
      </text>
    </comment>
    <comment ref="BS69" authorId="98" shapeId="0" xr:uid="{D2494C58-F605-4AFF-9105-F8491BB267FE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Y69" authorId="99" shapeId="0" xr:uid="{09D145B2-C1B2-4ED0-B765-F57B2E8DF12E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C69" authorId="100" shapeId="0" xr:uid="{D6DF8F7D-07A0-42EC-9475-99FFB09EF89C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DW JAN26</t>
      </text>
    </comment>
    <comment ref="CG69" authorId="101" shapeId="0" xr:uid="{756BDB09-F5DF-44CF-B80E-27A41243D4E4}">
      <text>
        <t>[Threaded comment]
Your version of Excel allows you to read this threaded comment; however, any edits to it will get removed if the file is opened in a newer version of Excel. Learn more: https://go.microsoft.com/fwlink/?linkid=870924
Comment:
    send to sponsor
Reply:
    invoice</t>
      </text>
    </comment>
    <comment ref="CI69" authorId="102" shapeId="0" xr:uid="{F38070AE-7C84-4D77-A34A-365CBF469F1E}">
      <text>
        <t>[Threaded comment]
Your version of Excel allows you to read this threaded comment; however, any edits to it will get removed if the file is opened in a newer version of Excel. Learn more: https://go.microsoft.com/fwlink/?linkid=870924
Comment:
    Send to sponsor</t>
      </text>
    </comment>
    <comment ref="J70" authorId="103" shapeId="0" xr:uid="{6BEAEE57-4595-4731-AB13-BD87E02E16F9}">
      <text>
        <t>[Threaded comment]
Your version of Excel allows you to read this threaded comment; however, any edits to it will get removed if the file is opened in a newer version of Excel. Learn more: https://go.microsoft.com/fwlink/?linkid=870924
Comment:
    Apply to 85% in September</t>
      </text>
    </comment>
    <comment ref="G71" authorId="104" shapeId="0" xr:uid="{F21D7EDE-B069-4809-B5D3-605CACC07D10}">
      <text>
        <t>[Threaded comment]
Your version of Excel allows you to read this threaded comment; however, any edits to it will get removed if the file is opened in a newer version of Excel. Learn more: https://go.microsoft.com/fwlink/?linkid=870924
Comment:
    Gary Murphy - C&amp;B, QR Lab</t>
      </text>
    </comment>
    <comment ref="BY72" authorId="105" shapeId="0" xr:uid="{63874160-3199-42A3-9E9A-EFBB62C9AEDC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Y73" authorId="106" shapeId="0" xr:uid="{1F663A6A-215E-4023-919B-2AB5F29FC637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J75" authorId="107" shapeId="0" xr:uid="{7105290E-6F1C-44EF-9B1D-BDE5EE3EFAC3}">
      <text>
        <t>[Threaded comment]
Your version of Excel allows you to read this threaded comment; however, any edits to it will get removed if the file is opened in a newer version of Excel. Learn more: https://go.microsoft.com/fwlink/?linkid=870924
Comment:
    No progress</t>
      </text>
    </comment>
    <comment ref="CC75" authorId="108" shapeId="0" xr:uid="{D44B3017-798A-4A61-BF1D-C05BE0AA06FC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U78" authorId="109" shapeId="0" xr:uid="{EB11A27D-C8A5-4DE8-BC47-41A187A6D1CA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Y78" authorId="110" shapeId="0" xr:uid="{AE860825-C2ED-4775-962D-6135A7189D4D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G80" authorId="111" shapeId="0" xr:uid="{AB343BB7-23A5-46A0-A087-2A71F059D468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Invoice</t>
      </text>
    </comment>
    <comment ref="BA82" authorId="112" shapeId="0" xr:uid="{76B8764A-E538-4176-B0A2-49E98873C34A}">
      <text>
        <t>[Threaded comment]
Your version of Excel allows you to read this threaded comment; however, any edits to it will get removed if the file is opened in a newer version of Excel. Learn more: https://go.microsoft.com/fwlink/?linkid=870924
Comment:
    Return for resubmit 12082022</t>
      </text>
    </comment>
    <comment ref="CE82" authorId="113" shapeId="0" xr:uid="{2569F64D-1DFA-4899-8D83-D7EFCB413D05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Invoice</t>
      </text>
    </comment>
    <comment ref="J85" authorId="114" shapeId="0" xr:uid="{ECDFF833-5B99-432E-9E78-F52FCD42575F}">
      <text>
        <t>[Threaded comment]
Your version of Excel allows you to read this threaded comment; however, any edits to it will get removed if the file is opened in a newer version of Excel. Learn more: https://go.microsoft.com/fwlink/?linkid=870924
Comment:
    Apply to 80% in September</t>
      </text>
    </comment>
    <comment ref="CA85" authorId="115" shapeId="0" xr:uid="{A7F91B2E-9DDE-4122-B167-ACFFCF5A8A3F}">
      <text>
        <t>[Threaded comment]
Your version of Excel allows you to read this threaded comment; however, any edits to it will get removed if the file is opened in a newer version of Excel. Learn more: https://go.microsoft.com/fwlink/?linkid=870924
Comment:
    No document provide</t>
      </text>
    </comment>
    <comment ref="CE85" authorId="116" shapeId="0" xr:uid="{70F8B930-6627-486C-B525-C0AC08C6594B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invoice</t>
      </text>
    </comment>
    <comment ref="CI85" authorId="117" shapeId="0" xr:uid="{1BD6C218-13E2-4EE1-A318-F1100F2527EB}">
      <text>
        <t>[Threaded comment]
Your version of Excel allows you to read this threaded comment; however, any edits to it will get removed if the file is opened in a newer version of Excel. Learn more: https://go.microsoft.com/fwlink/?linkid=870924
Comment:
    Send to Sponsor</t>
      </text>
    </comment>
    <comment ref="CA86" authorId="118" shapeId="0" xr:uid="{2F4E19A3-4FB1-4530-A975-70B13B652D8C}">
      <text>
        <t>[Threaded comment]
Your version of Excel allows you to read this threaded comment; however, any edits to it will get removed if the file is opened in a newer version of Excel. Learn more: https://go.microsoft.com/fwlink/?linkid=870924
Comment:
    Resubmit Apirl 17</t>
      </text>
    </comment>
    <comment ref="BY87" authorId="119" shapeId="0" xr:uid="{3A99ED65-A6FD-49BC-985E-E9F6EB5B4792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Y88" authorId="120" shapeId="0" xr:uid="{1A9BA19F-5530-4366-A663-D1A91DF1F11C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Y91" authorId="121" shapeId="0" xr:uid="{A2959649-9FD1-4172-953D-3D8D47897372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C91" authorId="122" shapeId="0" xr:uid="{42D479DB-4655-4A60-A05D-C0A6B8D97D9A}">
      <text>
        <t>[Threaded comment]
Your version of Excel allows you to read this threaded comment; however, any edits to it will get removed if the file is opened in a newer version of Excel. Learn more: https://go.microsoft.com/fwlink/?linkid=870924
Comment:
    Send to sponsor Jan 26</t>
      </text>
    </comment>
    <comment ref="CE91" authorId="123" shapeId="0" xr:uid="{313911DA-50C7-4AB4-8141-57C139EAB0C7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 2/22
Reply:
    Invoice</t>
      </text>
    </comment>
    <comment ref="BC94" authorId="124" shapeId="0" xr:uid="{DD5E89DB-65C7-449D-B8A2-1653EE70B75A}">
      <text>
        <t>[Threaded comment]
Your version of Excel allows you to read this threaded comment; however, any edits to it will get removed if the file is opened in a newer version of Excel. Learn more: https://go.microsoft.com/fwlink/?linkid=870924
Comment:
    Waiting for formal invoice</t>
      </text>
    </comment>
    <comment ref="BS96" authorId="125" shapeId="0" xr:uid="{B0500433-77BC-4C75-835B-23A0BEDF2496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S98" authorId="126" shapeId="0" xr:uid="{BAC5BAE2-1938-4294-9A9C-A2D809E40057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U98" authorId="127" shapeId="0" xr:uid="{5C37DE57-C505-433A-9E1C-6201BBAA4C60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Y99" authorId="128" shapeId="0" xr:uid="{D7010A55-2792-4558-91D8-3E29C4F94DAE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S101" authorId="129" shapeId="0" xr:uid="{806AE5AA-0174-4FDD-B828-CE5C0EE7833E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and get signature from sponsor</t>
      </text>
    </comment>
    <comment ref="BY101" authorId="130" shapeId="0" xr:uid="{9F2ADFAC-BDFE-4EC7-AC79-60450D7268EB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C101" authorId="131" shapeId="0" xr:uid="{BE3EFED9-873F-4E39-895A-868DF6A04C6E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E101" authorId="132" shapeId="0" xr:uid="{88E9C837-C434-4E1C-856F-251065EF6883}">
      <text>
        <t>[Threaded comment]
Your version of Excel allows you to read this threaded comment; however, any edits to it will get removed if the file is opened in a newer version of Excel. Learn more: https://go.microsoft.com/fwlink/?linkid=870924
Comment:
    Upload to SO360
Reply:
    In TSMC Acceptance</t>
      </text>
    </comment>
    <comment ref="BS104" authorId="133" shapeId="0" xr:uid="{1E6B626D-FFD3-41C1-862D-E9D76913E2B1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U104" authorId="134" shapeId="0" xr:uid="{E91D2FEB-DB17-45AA-AAAE-0977F6997E0C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G104" authorId="135" shapeId="0" xr:uid="{7496CED9-0DF9-4ED2-92BE-2453E2EEBD5F}">
      <text>
        <t>[Threaded comment]
Your version of Excel allows you to read this threaded comment; however, any edits to it will get removed if the file is opened in a newer version of Excel. Learn more: https://go.microsoft.com/fwlink/?linkid=870924
Comment:
    Send to sponsor
Reply:
    invoice</t>
      </text>
    </comment>
    <comment ref="CC106" authorId="136" shapeId="0" xr:uid="{C597EF94-D857-43C7-85DB-5528DFEBC8D6}">
      <text>
        <t>[Threaded comment]
Your version of Excel allows you to read this threaded comment; however, any edits to it will get removed if the file is opened in a newer version of Excel. Learn more: https://go.microsoft.com/fwlink/?linkid=870924
Comment:
    send to Sponsor
Reply:
    Original invoice have been return</t>
      </text>
    </comment>
    <comment ref="CI106" authorId="137" shapeId="0" xr:uid="{32A412A5-2C60-4755-8C87-5FE4BF9D4CC3}">
      <text>
        <t>[Threaded comment]
Your version of Excel allows you to read this threaded comment; however, any edits to it will get removed if the file is opened in a newer version of Excel. Learn more: https://go.microsoft.com/fwlink/?linkid=870924
Comment:
    amount change
Reply:
    Waiting for sponsor return</t>
      </text>
    </comment>
    <comment ref="CE111" authorId="138" shapeId="0" xr:uid="{4493B3F0-2E36-423B-8729-F0E075D41F98}">
      <text>
        <t>[Threaded comment]
Your version of Excel allows you to read this threaded comment; however, any edits to it will get removed if the file is opened in a newer version of Excel. Learn more: https://go.microsoft.com/fwlink/?linkid=870924
Comment:
    Upload to SO360</t>
      </text>
    </comment>
    <comment ref="CE112" authorId="139" shapeId="0" xr:uid="{6AD8866C-A45C-445B-A490-C84CDCEA989F}">
      <text>
        <t>[Threaded comment]
Your version of Excel allows you to read this threaded comment; however, any edits to it will get removed if the file is opened in a newer version of Excel. Learn more: https://go.microsoft.com/fwlink/?linkid=870924
Comment:
    upload to SO360</t>
      </text>
    </comment>
    <comment ref="BS115" authorId="140" shapeId="0" xr:uid="{57F8AD4F-8B42-4623-90EB-8BC1B2AEA0EB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W115" authorId="141" shapeId="0" xr:uid="{29E35E62-E553-49DE-BCF8-9CE7189055B9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Y118" authorId="142" shapeId="0" xr:uid="{992CD43F-F20A-4A99-8FB9-50FC0CC004E7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G120" authorId="143" shapeId="0" xr:uid="{1F84F980-E77D-4B0F-89DA-6BCD32008375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invoice</t>
      </text>
    </comment>
    <comment ref="CG121" authorId="144" shapeId="0" xr:uid="{8384D660-56B2-446C-AA07-264334FF0D64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Invoice</t>
      </text>
    </comment>
    <comment ref="CE125" authorId="145" shapeId="0" xr:uid="{DAAC950C-686C-4F4A-9B9B-2AA8520ECC0A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Upload to SO360
Reply:
    Accepted</t>
      </text>
    </comment>
    <comment ref="BS126" authorId="146" shapeId="0" xr:uid="{E4959760-3786-45F6-B5B0-CBCAA875BAA5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I127" authorId="147" shapeId="0" xr:uid="{C5900B3E-1760-49B0-8C98-DA2C4DFA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previous amount incorrect</t>
      </text>
    </comment>
    <comment ref="BS130" authorId="148" shapeId="0" xr:uid="{C832BE11-5682-489D-AFE0-38326B1AA9D0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and get signature from sponsor</t>
      </text>
    </comment>
    <comment ref="BU130" authorId="149" shapeId="0" xr:uid="{6DD06426-13E1-4D4A-991A-BB10EFCE05DF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 and get approval</t>
      </text>
    </comment>
    <comment ref="CG130" authorId="150" shapeId="0" xr:uid="{012F396F-245E-4873-8B0F-BCE772682E35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Invoice</t>
      </text>
    </comment>
    <comment ref="BY140" authorId="151" shapeId="0" xr:uid="{C6D07F1B-D318-4886-BF53-829121A97187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E143" authorId="152" shapeId="0" xr:uid="{2736D73D-5DB9-4991-831B-F0B597930349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Invoice</t>
      </text>
    </comment>
    <comment ref="BU144" authorId="153" shapeId="0" xr:uid="{7BE7942F-E2E5-412A-A976-34A21CFD7665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S145" authorId="154" shapeId="0" xr:uid="{5C3EC701-61C3-479F-9B13-CA31DCD300C9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W146" authorId="155" shapeId="0" xr:uid="{35371115-C9C8-4889-9C27-0E8351FE56A0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U147" authorId="156" shapeId="0" xr:uid="{66C641E3-A83B-45BD-ABD4-D1CD8B4D757D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Y147" authorId="157" shapeId="0" xr:uid="{139BF271-D428-4D03-B445-6EE82766094D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E156" authorId="158" shapeId="0" xr:uid="{94F2850F-6FC9-43C8-8EBA-6BA3EF539D6E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C&amp;B
Reply:
    Upload to SO360
Reply:
    In TSMC Acceptance</t>
      </text>
    </comment>
    <comment ref="CE157" authorId="159" shapeId="0" xr:uid="{DAF7A4FA-A3E8-46E5-9712-5FF8FAFD2695}">
      <text>
        <t>[Threaded comment]
Your version of Excel allows you to read this threaded comment; however, any edits to it will get removed if the file is opened in a newer version of Excel. Learn more: https://go.microsoft.com/fwlink/?linkid=870924
Comment:
    Upload to SO360</t>
      </text>
    </comment>
    <comment ref="CF157" authorId="160" shapeId="0" xr:uid="{6C19ACA5-E535-448B-A75A-1F80D63D70E3}">
      <text>
        <t>[Threaded comment]
Your version of Excel allows you to read this threaded comment; however, any edits to it will get removed if the file is opened in a newer version of Excel. Learn more: https://go.microsoft.com/fwlink/?linkid=870924
Comment:
    Upload to SO360</t>
      </text>
    </comment>
    <comment ref="CC158" authorId="161" shapeId="0" xr:uid="{5AFAA502-4F82-4DB2-A243-01618B69C3CE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E158" authorId="162" shapeId="0" xr:uid="{C144C74D-7793-426B-A409-54C9C8EB79C4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C&amp;B
Reply:
    Upload to SO360
Reply:
    In TSMC Acceptance</t>
      </text>
    </comment>
    <comment ref="CC159" authorId="163" shapeId="0" xr:uid="{5BBC5150-070E-4FE7-B227-44C89414EF74}">
      <text>
        <t>[Threaded comment]
Your version of Excel allows you to read this threaded comment; however, any edits to it will get removed if the file is opened in a newer version of Excel. Learn more: https://go.microsoft.com/fwlink/?linkid=870924
Comment:
    Send to Sponsor</t>
      </text>
    </comment>
    <comment ref="BW160" authorId="164" shapeId="0" xr:uid="{FA487DCF-601B-474F-91E7-74EE100DA3A5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G161" authorId="165" shapeId="0" xr:uid="{891F9944-2333-416E-AEA7-8BAC46468B40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invoice</t>
      </text>
    </comment>
    <comment ref="CI161" authorId="166" shapeId="0" xr:uid="{F0B46860-BC9E-41A6-8EC1-9C9F3FE6519E}">
      <text>
        <t>[Threaded comment]
Your version of Excel allows you to read this threaded comment; however, any edits to it will get removed if the file is opened in a newer version of Excel. Learn more: https://go.microsoft.com/fwlink/?linkid=870924
Comment:
    Re-submit as Dahila Request April 25</t>
      </text>
    </comment>
    <comment ref="BY165" authorId="167" shapeId="0" xr:uid="{DB8A3299-7E08-455C-B632-BDEBD96175C1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A165" authorId="168" shapeId="0" xr:uid="{C319221F-ED45-4E76-B1BE-CF1A92137D85}">
      <text>
        <t>[Threaded comment]
Your version of Excel allows you to read this threaded comment; however, any edits to it will get removed if the file is opened in a newer version of Excel. Learn more: https://go.microsoft.com/fwlink/?linkid=870924
Comment:
    wait for DW approved</t>
      </text>
    </comment>
    <comment ref="CC166" authorId="169" shapeId="0" xr:uid="{5FEFF1E5-0B9B-46BA-84F3-23203D70827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Angela sent to sponsor
Reply:
    Hold </t>
      </text>
    </comment>
    <comment ref="CC170" authorId="170" shapeId="0" xr:uid="{71B0EAD9-CEC4-47C7-AD59-19BB0CBA26CC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E170" authorId="171" shapeId="0" xr:uid="{61E146AE-F03D-4589-AE79-C39223AD15FB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C&amp;B
Reply:
    Upload to SO360
Reply:
    In TSMC Acceptance</t>
      </text>
    </comment>
    <comment ref="CA171" authorId="172" shapeId="0" xr:uid="{1C13809D-EF04-4540-9C62-6E3299C40672}">
      <text>
        <t>[Threaded comment]
Your version of Excel allows you to read this threaded comment; however, any edits to it will get removed if the file is opened in a newer version of Excel. Learn more: https://go.microsoft.com/fwlink/?linkid=870924
Comment:
    wait for DW approved</t>
      </text>
    </comment>
    <comment ref="CC171" authorId="173" shapeId="0" xr:uid="{AF7ABDD9-DEBA-41C1-BE8A-64716276B388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G171" authorId="174" shapeId="0" xr:uid="{62E2E46C-8A56-41A1-BEEA-CD7BCCC2444F}">
      <text>
        <t>[Threaded comment]
Your version of Excel allows you to read this threaded comment; however, any edits to it will get removed if the file is opened in a newer version of Excel. Learn more: https://go.microsoft.com/fwlink/?linkid=870924
Comment:
    Send to sponsor
Reply:
    invoice</t>
      </text>
    </comment>
    <comment ref="CI171" authorId="175" shapeId="0" xr:uid="{E6649B6B-8D1A-4D0D-B89C-949CB143921C}">
      <text>
        <t>[Threaded comment]
Your version of Excel allows you to read this threaded comment; however, any edits to it will get removed if the file is opened in a newer version of Excel. Learn more: https://go.microsoft.com/fwlink/?linkid=870924
Comment:
    Send to sponsor</t>
      </text>
    </comment>
    <comment ref="BW172" authorId="176" shapeId="0" xr:uid="{FE919AF8-94DC-4377-AE50-5F697726DF47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C172" authorId="177" shapeId="0" xr:uid="{05414334-C2D6-4B3A-BC9B-5D1B0E8F121B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DW JAN26</t>
      </text>
    </comment>
    <comment ref="BW175" authorId="178" shapeId="0" xr:uid="{E917937C-4ED2-4DF6-AB2D-E25B77677739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sponsor. Delivery date: 12/31/2023. Rejected by sponsor</t>
      </text>
    </comment>
    <comment ref="CE175" authorId="179" shapeId="0" xr:uid="{F5E5D07B-F71B-4051-8DBD-707E79184899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Invoice
Reply:
    Accepted</t>
      </text>
    </comment>
    <comment ref="BY176" authorId="180" shapeId="0" xr:uid="{49E13828-B48A-4989-A1C2-182FDB8ED98E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E176" authorId="181" shapeId="0" xr:uid="{30E773AC-C29B-4EED-A299-051251F2043A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 2/22
Reply:
    Invoice</t>
      </text>
    </comment>
    <comment ref="CI176" authorId="182" shapeId="0" xr:uid="{3F550B77-5606-4875-87CC-B620D11636A3}">
      <text>
        <t>[Threaded comment]
Your version of Excel allows you to read this threaded comment; however, any edits to it will get removed if the file is opened in a newer version of Excel. Learn more: https://go.microsoft.com/fwlink/?linkid=870924
Comment:
    Send to Sponsor</t>
      </text>
    </comment>
    <comment ref="BY178" authorId="183" shapeId="0" xr:uid="{E006EB21-C6EB-4EBA-A5CD-AA904F68CAC0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C178" authorId="184" shapeId="0" xr:uid="{F534B1BC-FF43-4393-AD29-7AAA2BD3BB0A}">
      <text>
        <t>[Threaded comment]
Your version of Excel allows you to read this threaded comment; however, any edits to it will get removed if the file is opened in a newer version of Excel. Learn more: https://go.microsoft.com/fwlink/?linkid=870924
Comment:
    Send to sponsor</t>
      </text>
    </comment>
    <comment ref="CA179" authorId="185" shapeId="0" xr:uid="{A3DD790A-7DAA-46E9-A83A-F7229F579331}">
      <text>
        <t>[Threaded comment]
Your version of Excel allows you to read this threaded comment; however, any edits to it will get removed if the file is opened in a newer version of Excel. Learn more: https://go.microsoft.com/fwlink/?linkid=870924
Comment:
    Wait for DW approved</t>
      </text>
    </comment>
    <comment ref="CE179" authorId="186" shapeId="0" xr:uid="{347839F1-15EA-4573-87DD-6C6BDBAEC946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Invoice</t>
      </text>
    </comment>
    <comment ref="CG179" authorId="187" shapeId="0" xr:uid="{B087A1F6-3BB4-4A40-AB04-4270B2E616D4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Y180" authorId="188" shapeId="0" xr:uid="{1D5564B4-27D8-4BE8-B2E0-A777D598CE7E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A180" authorId="189" shapeId="0" xr:uid="{5DCCBEB1-2A3B-4993-9526-7B128C0A39B6}">
      <text>
        <t>[Threaded comment]
Your version of Excel allows you to read this threaded comment; however, any edits to it will get removed if the file is opened in a newer version of Excel. Learn more: https://go.microsoft.com/fwlink/?linkid=870924
Comment:
    Wait for DW approved</t>
      </text>
    </comment>
    <comment ref="CE180" authorId="190" shapeId="0" xr:uid="{2FD684DE-9299-4092-AD2A-066BBFA962F7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Invoice</t>
      </text>
    </comment>
    <comment ref="BY188" authorId="191" shapeId="0" xr:uid="{5127C9F1-1C74-48D1-A076-E7463C086F49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C188" authorId="192" shapeId="0" xr:uid="{0FD08728-0FA9-46B6-BD83-FEF9B7CFD05F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DW JAN26</t>
      </text>
    </comment>
    <comment ref="J196" authorId="193" shapeId="0" xr:uid="{B85DFEEB-42BF-4071-BDA3-74CAD63EBA9B}">
      <text>
        <t>[Threaded comment]
Your version of Excel allows you to read this threaded comment; however, any edits to it will get removed if the file is opened in a newer version of Excel. Learn more: https://go.microsoft.com/fwlink/?linkid=870924
Comment:
    March不能请款因为还未到货</t>
      </text>
    </comment>
    <comment ref="CE196" authorId="194" shapeId="0" xr:uid="{77A4852E-E6FB-4E34-85A5-2E572410C39E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C&amp;B
Reply:
    Acceptance</t>
      </text>
    </comment>
    <comment ref="J197" authorId="195" shapeId="0" xr:uid="{FC166F18-82EE-4E14-88D3-706F0ECAEEE3}">
      <text>
        <t>[Threaded comment]
Your version of Excel allows you to read this threaded comment; however, any edits to it will get removed if the file is opened in a newer version of Excel. Learn more: https://go.microsoft.com/fwlink/?linkid=870924
Comment:
    need to doble check before sending</t>
      </text>
    </comment>
    <comment ref="CC197" authorId="196" shapeId="0" xr:uid="{3B68B5C8-22D4-4578-ABA3-8EDDDBC10AA3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E197" authorId="197" shapeId="0" xr:uid="{98D13301-3D85-49AB-993E-0BD7FD4996B6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Upload to SO360
Reply:
    In TSMC Acceptance</t>
      </text>
    </comment>
    <comment ref="CA200" authorId="198" shapeId="0" xr:uid="{233B52D3-C915-4D93-8430-F8EE001CE5BB}">
      <text>
        <t>[Threaded comment]
Your version of Excel allows you to read this threaded comment; however, any edits to it will get removed if the file is opened in a newer version of Excel. Learn more: https://go.microsoft.com/fwlink/?linkid=870924
Comment:
    wait for DW approved</t>
      </text>
    </comment>
    <comment ref="CC201" authorId="199" shapeId="0" xr:uid="{13C5DC24-1B84-463F-906B-298DDAC09030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DW</t>
      </text>
    </comment>
    <comment ref="CE201" authorId="200" shapeId="0" xr:uid="{D2671F34-7BEA-4F10-AA4E-1B6EB246744D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Invoice</t>
      </text>
    </comment>
    <comment ref="CE202" authorId="201" shapeId="0" xr:uid="{C95A1089-765F-4085-96FA-FB72290B5320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C205" authorId="202" shapeId="0" xr:uid="{166EACBA-CDD9-4146-BA7C-4A29F5F8E580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SENT TO DW JAN26</t>
      </text>
    </comment>
    <comment ref="CE208" authorId="203" shapeId="0" xr:uid="{F127C04C-F463-4949-95DE-B9BE26E8BDAC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E212" authorId="204" shapeId="0" xr:uid="{5B8F63C9-1EFF-45FE-BF13-389033F3B81E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invoice</t>
      </text>
    </comment>
    <comment ref="CE213" authorId="205" shapeId="0" xr:uid="{E3891BD8-4E8C-4118-9BA4-DB7E4C1A5081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Invoice</t>
      </text>
    </comment>
    <comment ref="CC214" authorId="206" shapeId="0" xr:uid="{18401110-C395-498B-BC9E-2EB8F4DF3968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C215" authorId="207" shapeId="0" xr:uid="{A2C07A93-849D-4443-8EE6-71B60F243F9E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E215" authorId="208" shapeId="0" xr:uid="{14AF1936-FEDB-40AF-9CF6-CDA2F96466DE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invoice</t>
      </text>
    </comment>
    <comment ref="CG216" authorId="209" shapeId="0" xr:uid="{194F2D24-D7CC-465B-A7D0-AD30BE7EF5D5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Invoice</t>
      </text>
    </comment>
    <comment ref="J217" authorId="210" shapeId="0" xr:uid="{91A94C53-92D5-494D-83D2-0662146E075D}">
      <text>
        <t>[Threaded comment]
Your version of Excel allows you to read this threaded comment; however, any edits to it will get removed if the file is opened in a newer version of Excel. Learn more: https://go.microsoft.com/fwlink/?linkid=870924
Comment:
    need to double check before sending</t>
      </text>
    </comment>
    <comment ref="CE217" authorId="211" shapeId="0" xr:uid="{409DB15E-AE0C-49EC-B427-23AD35254F88}">
      <text>
        <t>[Threaded comment]
Your version of Excel allows you to read this threaded comment; however, any edits to it will get removed if the file is opened in a newer version of Excel. Learn more: https://go.microsoft.com/fwlink/?linkid=870924
Comment:
    uploaded to SO360
Reply:
    Upload to SO360
Reply:
    In TSMC Acceptance</t>
      </text>
    </comment>
    <comment ref="CE220" authorId="212" shapeId="0" xr:uid="{F7E20507-5784-4293-817B-57D54530F97D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Upload to SO360
Reply:
    In TSMC Acceptance</t>
      </text>
    </comment>
    <comment ref="CG224" authorId="213" shapeId="0" xr:uid="{551DCE5F-28B8-4B19-B5B2-9B871E04F894}">
      <text>
        <t>[Threaded comment]
Your version of Excel allows you to read this threaded comment; however, any edits to it will get removed if the file is opened in a newer version of Excel. Learn more: https://go.microsoft.com/fwlink/?linkid=870924
Comment:
    send to sponsor
Reply:
    invoice</t>
      </text>
    </comment>
    <comment ref="CG228" authorId="214" shapeId="0" xr:uid="{9DB62E54-F35E-4C4E-A807-CFB61FA60ECE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invoice</t>
      </text>
    </comment>
    <comment ref="CG232" authorId="215" shapeId="0" xr:uid="{AD6987B9-A975-4DC3-8BF8-7F9AE083C63D}">
      <text>
        <t>[Threaded comment]
Your version of Excel allows you to read this threaded comment; however, any edits to it will get removed if the file is opened in a newer version of Excel. Learn more: https://go.microsoft.com/fwlink/?linkid=870924
Comment:
    Send to sponsor
Reply:
    Invoice</t>
      </text>
    </comment>
    <comment ref="CI232" authorId="216" shapeId="0" xr:uid="{6A54F9B5-0E0B-4425-ADE4-454FCA7C1740}">
      <text>
        <t>[Threaded comment]
Your version of Excel allows you to read this threaded comment; however, any edits to it will get removed if the file is opened in a newer version of Excel. Learn more: https://go.microsoft.com/fwlink/?linkid=870924
Comment:
    Send to sponsor</t>
      </text>
    </comment>
    <comment ref="J260" authorId="217" shapeId="0" xr:uid="{F2C2E61C-6D5F-4D58-B211-DD1C37B25D4B}">
      <text>
        <t>[Threaded comment]
Your version of Excel allows you to read this threaded comment; however, any edits to it will get removed if the file is opened in a newer version of Excel. Learn more: https://go.microsoft.com/fwlink/?linkid=870924
Comment:
    Appy in October</t>
      </text>
    </comment>
    <comment ref="J262" authorId="218" shapeId="0" xr:uid="{2B5FD0CB-8617-48A5-BC5C-5F238CCDA4B3}">
      <text>
        <t>[Threaded comment]
Your version of Excel allows you to read this threaded comment; however, any edits to it will get removed if the file is opened in a newer version of Excel. Learn more: https://go.microsoft.com/fwlink/?linkid=870924
Comment:
    給翔大的PO開出來後三周後請款</t>
      </text>
    </comment>
    <comment ref="J287" authorId="219" shapeId="0" xr:uid="{501A4976-17C0-4BF0-8340-C46A8BCABC7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 receive material yet</t>
      </text>
    </comment>
    <comment ref="J290" authorId="220" shapeId="0" xr:uid="{3176DB0C-BEDD-465D-A362-DCF7AFFB99BC}">
      <text>
        <t>[Threaded comment]
Your version of Excel allows you to read this threaded comment; however, any edits to it will get removed if the file is opened in a newer version of Excel. Learn more: https://go.microsoft.com/fwlink/?linkid=870924
Comment:
    Apply to 30% in September</t>
      </text>
    </comment>
    <comment ref="J292" authorId="221" shapeId="0" xr:uid="{FC521C30-4CB3-4463-A36A-B1CE8597ADF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Apply to 3.3M. </t>
      </text>
    </comment>
    <comment ref="BC307" authorId="222" shapeId="0" xr:uid="{C1117850-5A1B-487A-AB9B-691C98CCEE25}">
      <text>
        <t>[Threaded comment]
Your version of Excel allows you to read this threaded comment; however, any edits to it will get removed if the file is opened in a newer version of Excel. Learn more: https://go.microsoft.com/fwlink/?linkid=870924
Comment:
    2/25/2023 get pay</t>
      </text>
    </comment>
    <comment ref="BE307" authorId="223" shapeId="0" xr:uid="{1CCFE94E-540E-4C27-AB1B-40272C9170AA}">
      <text>
        <t>[Threaded comment]
Your version of Excel allows you to read this threaded comment; however, any edits to it will get removed if the file is opened in a newer version of Excel. Learn more: https://go.microsoft.com/fwlink/?linkid=870924
Comment:
    2/25/2023 get pay</t>
      </text>
    </comment>
    <comment ref="BI310" authorId="224" shapeId="0" xr:uid="{B20544BE-8FD3-42BB-AC76-4410B53D659D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customer on 3/23</t>
      </text>
    </comment>
    <comment ref="AW316" authorId="225" shapeId="0" xr:uid="{21A197D6-518D-44BA-BF2C-52D228505482}">
      <text>
        <t>[Threaded comment]
Your version of Excel allows you to read this threaded comment; however, any edits to it will get removed if the file is opened in a newer version of Excel. Learn more: https://go.microsoft.com/fwlink/?linkid=870924
Comment:
    Get pay</t>
      </text>
    </comment>
    <comment ref="AY316" authorId="226" shapeId="0" xr:uid="{00131853-03A4-4D79-9FEC-BB9CA43CF302}">
      <text>
        <t>[Threaded comment]
Your version of Excel allows you to read this threaded comment; however, any edits to it will get removed if the file is opened in a newer version of Excel. Learn more: https://go.microsoft.com/fwlink/?linkid=870924
Comment:
    Get pay</t>
      </text>
    </comment>
    <comment ref="BC316" authorId="227" shapeId="0" xr:uid="{FC4DD73E-5165-4BBC-B90B-E7254FC1EBD5}">
      <text>
        <t>[Threaded comment]
Your version of Excel allows you to read this threaded comment; however, any edits to it will get removed if the file is opened in a newer version of Excel. Learn more: https://go.microsoft.com/fwlink/?linkid=870924
Comment:
    $2076264.29 will get on Feb 16</t>
      </text>
    </comment>
    <comment ref="BE316" authorId="228" shapeId="0" xr:uid="{946547C3-1FC6-4C08-9D94-CEE5FE32853B}">
      <text>
        <t>[Threaded comment]
Your version of Excel allows you to read this threaded comment; however, any edits to it will get removed if the file is opened in a newer version of Excel. Learn more: https://go.microsoft.com/fwlink/?linkid=870924
Comment:
    $7258.68 will get on Feb 16; $795378 will get on Feb 24</t>
      </text>
    </comment>
    <comment ref="BG316" authorId="229" shapeId="0" xr:uid="{EB20273A-3E18-427D-AC53-5636234BABBB}">
      <text>
        <t>[Threaded comment]
Your version of Excel allows you to read this threaded comment; however, any edits to it will get removed if the file is opened in a newer version of Excel. Learn more: https://go.microsoft.com/fwlink/?linkid=870924
Comment:
    Will get pay on Mar 27.2023</t>
      </text>
    </comment>
    <comment ref="BI316" authorId="230" shapeId="0" xr:uid="{96C2FF77-C3D7-41D1-8D9D-8AB0C92F28AA}">
      <text>
        <t>[Threaded comment]
Your version of Excel allows you to read this threaded comment; however, any edits to it will get removed if the file is opened in a newer version of Excel. Learn more: https://go.microsoft.com/fwlink/?linkid=870924
Comment:
    Apr. 26&amp;27</t>
      </text>
    </comment>
    <comment ref="BK316" authorId="231" shapeId="0" xr:uid="{52251FB6-2D23-4358-98A3-B76E5CF8A811}">
      <text>
        <t>[Threaded comment]
Your version of Excel allows you to read this threaded comment; however, any edits to it will get removed if the file is opened in a newer version of Excel. Learn more: https://go.microsoft.com/fwlink/?linkid=870924
Comment:
    May 29</t>
      </text>
    </comment>
    <comment ref="BQ316" authorId="232" shapeId="0" xr:uid="{D5EB9E46-905E-4F38-B48E-D6FABBEE4CA6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Aug 31 </t>
      </text>
    </comment>
    <comment ref="BS317" authorId="233" shapeId="0" xr:uid="{04A7B1D4-E249-4B0A-B58D-A09D4F85BEFA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U317" authorId="234" shapeId="0" xr:uid="{4D4D5C92-D115-47D6-BA80-0FB91FCDFAD9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W317" authorId="235" shapeId="0" xr:uid="{EE1107C4-12AC-4AF3-BB65-A96569AA1D2B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Y317" authorId="236" shapeId="0" xr:uid="{940EA15C-24BE-4582-957A-A27174026B0C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C317" authorId="237" shapeId="0" xr:uid="{73B8D61F-EA19-4D85-9DF0-011C81CF9770}">
      <text>
        <t>[Threaded comment]
Your version of Excel allows you to read this threaded comment; however, any edits to it will get removed if the file is opened in a newer version of Excel. Learn more: https://go.microsoft.com/fwlink/?linkid=870924
Comment:
    send to sponsor</t>
      </text>
    </comment>
    <comment ref="CE317" authorId="238" shapeId="0" xr:uid="{8DC56722-2D30-4697-AC25-DEA828B9B1C9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sponsor. Waiting for response.
Reply:
    Invoice</t>
      </text>
    </comment>
    <comment ref="CG317" authorId="239" shapeId="0" xr:uid="{DCDCE645-12D2-4ADE-8EF1-858DA4F49195}">
      <text>
        <t>[Threaded comment]
Your version of Excel allows you to read this threaded comment; however, any edits to it will get removed if the file is opened in a newer version of Excel. Learn more: https://go.microsoft.com/fwlink/?linkid=870924
Comment:
    Send to sponsor
Reply:
    Invoice</t>
      </text>
    </comment>
    <comment ref="BS318" authorId="240" shapeId="0" xr:uid="{6125DA01-6AF4-49B1-B118-E662B60552AC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U318" authorId="241" shapeId="0" xr:uid="{12DD7958-4C18-489C-AFD7-F90E49C871FF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W318" authorId="242" shapeId="0" xr:uid="{91E4F963-EB40-4FF8-9EE4-4302639B312F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Y318" authorId="243" shapeId="0" xr:uid="{C7289BCD-E4BF-49D3-AF8A-B659D45B6F9F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C318" authorId="244" shapeId="0" xr:uid="{0372C737-97B1-479B-9890-FA52D2334B66}">
      <text>
        <t>[Threaded comment]
Your version of Excel allows you to read this threaded comment; however, any edits to it will get removed if the file is opened in a newer version of Excel. Learn more: https://go.microsoft.com/fwlink/?linkid=870924
Comment:
    send to sponsor</t>
      </text>
    </comment>
    <comment ref="CE319" authorId="245" shapeId="0" xr:uid="{7002806B-E640-4084-96CA-4A80048AD734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Invoice</t>
      </text>
    </comment>
    <comment ref="CE320" authorId="246" shapeId="0" xr:uid="{84FA449E-886D-4F13-929C-B18BB4D9D919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Invoice</t>
      </text>
    </comment>
    <comment ref="CI320" authorId="247" shapeId="0" xr:uid="{6578DE0B-5842-48C2-88DF-18FC87013F4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前期金額差0.48
Reply:
    Resubmit </t>
      </text>
    </comment>
    <comment ref="AW321" authorId="248" shapeId="0" xr:uid="{B0A73A70-F808-4570-866E-B4CE2C6EC64A}">
      <text>
        <t>[Threaded comment]
Your version of Excel allows you to read this threaded comment; however, any edits to it will get removed if the file is opened in a newer version of Excel. Learn more: https://go.microsoft.com/fwlink/?linkid=870924
Comment:
    Paid in December 2022</t>
      </text>
    </comment>
    <comment ref="CC321" authorId="249" shapeId="0" xr:uid="{08C28C90-D9EE-419D-AB08-93796830011A}">
      <text>
        <t>[Threaded comment]
Your version of Excel allows you to read this threaded comment; however, any edits to it will get removed if the file is opened in a newer version of Excel. Learn more: https://go.microsoft.com/fwlink/?linkid=870924
Comment:
    Shawn sent to sponsor</t>
      </text>
    </comment>
    <comment ref="CE321" authorId="250" shapeId="0" xr:uid="{A474B8ED-08CF-45A1-A9BE-3B8E69FEA4C2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Invoice
Reply:
    Accepted</t>
      </text>
    </comment>
    <comment ref="CG321" authorId="251" shapeId="0" xr:uid="{3B95DB38-CE0A-4292-B48A-7B12B425CE68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invoice</t>
      </text>
    </comment>
    <comment ref="CI321" authorId="252" shapeId="0" xr:uid="{CAC08380-5860-4BE3-B879-BF55708BD5FB}">
      <text>
        <t>[Threaded comment]
Your version of Excel allows you to read this threaded comment; however, any edits to it will get removed if the file is opened in a newer version of Excel. Learn more: https://go.microsoft.com/fwlink/?linkid=870924
Comment:
    No Excel document</t>
      </text>
    </comment>
    <comment ref="AW322" authorId="253" shapeId="0" xr:uid="{1F7013C7-4496-4E5C-B7AF-91093E2F1158}">
      <text>
        <t>[Threaded comment]
Your version of Excel allows you to read this threaded comment; however, any edits to it will get removed if the file is opened in a newer version of Excel. Learn more: https://go.microsoft.com/fwlink/?linkid=870924
Comment:
    Paid in December 2022</t>
      </text>
    </comment>
    <comment ref="CC322" authorId="254" shapeId="0" xr:uid="{0F0FDC3A-AD57-43F5-B69D-994432E994A9}">
      <text>
        <t>[Threaded comment]
Your version of Excel allows you to read this threaded comment; however, any edits to it will get removed if the file is opened in a newer version of Excel. Learn more: https://go.microsoft.com/fwlink/?linkid=870924
Comment:
    Shawn sent to sponsor</t>
      </text>
    </comment>
    <comment ref="CE322" authorId="255" shapeId="0" xr:uid="{07E79FC5-CA68-44C4-A031-1AD5C1C8D528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previous amount need reivsion
Reply:
    Accepted</t>
      </text>
    </comment>
    <comment ref="CI323" authorId="256" shapeId="0" xr:uid="{59C38242-15C2-474C-8F13-BBDFA28F7459}">
      <text>
        <t>[Threaded comment]
Your version of Excel allows you to read this threaded comment; however, any edits to it will get removed if the file is opened in a newer version of Excel. Learn more: https://go.microsoft.com/fwlink/?linkid=870924
Comment:
    Send to sponsor</t>
      </text>
    </comment>
    <comment ref="J324" authorId="257" shapeId="0" xr:uid="{5887FF51-CFE3-476E-ACE9-08E930D29D81}">
      <text>
        <t>[Threaded comment]
Your version of Excel allows you to read this threaded comment; however, any edits to it will get removed if the file is opened in a newer version of Excel. Learn more: https://go.microsoft.com/fwlink/?linkid=870924
Comment:
    No pogress</t>
      </text>
    </comment>
    <comment ref="BW324" authorId="258" shapeId="0" xr:uid="{E6E5DCC2-BD45-46B8-A01D-3D68020E17C1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S325" authorId="259" shapeId="0" xr:uid="{32C6CD18-3913-4A94-ACE0-3A8946E7060F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Y326" authorId="260" shapeId="0" xr:uid="{DC396FB4-901D-4129-8C92-8054080F6271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C326" authorId="261" shapeId="0" xr:uid="{C06ACF6D-B5E9-4C3E-BEDB-72EDDBE87008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E326" authorId="262" shapeId="0" xr:uid="{04AF0443-5DA5-400F-9269-3841FE1C8E22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
Reply:
    Invoice</t>
      </text>
    </comment>
    <comment ref="CI326" authorId="263" shapeId="0" xr:uid="{53BB853C-2E77-487F-BCD5-95C0607E2467}">
      <text>
        <t>[Threaded comment]
Your version of Excel allows you to read this threaded comment; however, any edits to it will get removed if the file is opened in a newer version of Excel. Learn more: https://go.microsoft.com/fwlink/?linkid=870924
Comment:
    Waiting for rounding issue revise
Reply:
    Need invoice
Reply:
    Send to sponsor
Reply:
    Amount change from $46,871.97 to 43,712.78. Need sponsor return</t>
      </text>
    </comment>
    <comment ref="J328" authorId="264" shapeId="0" xr:uid="{2670F855-6B1B-4D95-B248-366C1C28363E}">
      <text>
        <t>[Threaded comment]
Your version of Excel allows you to read this threaded comment; however, any edits to it will get removed if the file is opened in a newer version of Excel. Learn more: https://go.microsoft.com/fwlink/?linkid=870924
Comment:
    Apply to 50% in September</t>
      </text>
    </comment>
    <comment ref="G329" authorId="265" shapeId="0" xr:uid="{7448C738-8F38-4A7C-983D-5E853419CD28}">
      <text>
        <t>[Threaded comment]
Your version of Excel allows you to read this threaded comment; however, any edits to it will get removed if the file is opened in a newer version of Excel. Learn more: https://go.microsoft.com/fwlink/?linkid=870924
Comment:
    Gary Murphy - C&amp;B, QR Lab</t>
      </text>
    </comment>
    <comment ref="CC343" authorId="266" shapeId="0" xr:uid="{556BD0D8-1024-47A6-89A6-6BBE309EB623}">
      <text>
        <t>[Threaded comment]
Your version of Excel allows you to read this threaded comment; however, any edits to it will get removed if the file is opened in a newer version of Excel. Learn more: https://go.microsoft.com/fwlink/?linkid=870924
Comment:
    Shawn sent to sponsor</t>
      </text>
    </comment>
    <comment ref="CC350" authorId="267" shapeId="0" xr:uid="{2D88A978-C815-4464-9E80-FB28E91289F5}">
      <text>
        <t>[Threaded comment]
Your version of Excel allows you to read this threaded comment; however, any edits to it will get removed if the file is opened in a newer version of Excel. Learn more: https://go.microsoft.com/fwlink/?linkid=870924
Comment:
    Shawn sent to sponsor</t>
      </text>
    </comment>
    <comment ref="BC352" authorId="268" shapeId="0" xr:uid="{82171E88-0ADB-4036-97FB-3FD2743D2FEA}">
      <text>
        <t>[Threaded comment]
Your version of Excel allows you to read this threaded comment; however, any edits to it will get removed if the file is opened in a newer version of Excel. Learn more: https://go.microsoft.com/fwlink/?linkid=870924
Comment:
    Waiting for formal invoice</t>
      </text>
    </comment>
    <comment ref="BE352" authorId="269" shapeId="0" xr:uid="{04B2F01E-91D0-43A1-AF4B-A02B342FBAFA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received</t>
      </text>
    </comment>
    <comment ref="BU352" authorId="270" shapeId="0" xr:uid="{8015D216-EC64-46C6-ACF1-7121B8E85B82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W352" authorId="271" shapeId="0" xr:uid="{BCDCAF42-1FF2-4921-A24C-073633DAEE44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sponsor. Get approval from C&amp;B</t>
      </text>
    </comment>
    <comment ref="BY352" authorId="272" shapeId="0" xr:uid="{6D8C92F6-7ADD-4D5D-8C4B-5A713A362FD3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C&amp;B</t>
      </text>
    </comment>
    <comment ref="BS353" authorId="273" shapeId="0" xr:uid="{A1E4CF09-10AF-4731-B9DC-187DC9FE6479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U353" authorId="274" shapeId="0" xr:uid="{F538D8B3-DA4C-4277-90FF-CEE8394DD4E3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I353" authorId="275" shapeId="0" xr:uid="{16AB67FB-36F0-43A2-8773-9D5AD7E40135}">
      <text>
        <t>[Threaded comment]
Your version of Excel allows you to read this threaded comment; however, any edits to it will get removed if the file is opened in a newer version of Excel. Learn more: https://go.microsoft.com/fwlink/?linkid=870924
Comment:
    need invoice</t>
      </text>
    </comment>
    <comment ref="BS354" authorId="276" shapeId="0" xr:uid="{0138EE7E-C35F-41C6-B20D-3DE93B3C1007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I354" authorId="277" shapeId="0" xr:uid="{9B5720DE-A984-469F-9489-0FA162432BB4}">
      <text>
        <t>[Threaded comment]
Your version of Excel allows you to read this threaded comment; however, any edits to it will get removed if the file is opened in a newer version of Excel. Learn more: https://go.microsoft.com/fwlink/?linkid=870924
Comment:
    Send to Sponsor</t>
      </text>
    </comment>
    <comment ref="BS355" authorId="278" shapeId="0" xr:uid="{41DE061E-7CF5-4E7E-8D52-3A3E64620DA2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and get signature from sponsor</t>
      </text>
    </comment>
    <comment ref="BS356" authorId="279" shapeId="0" xr:uid="{92306294-A477-44EB-9B90-2766D790422F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and get signature from sponsor</t>
      </text>
    </comment>
    <comment ref="BW356" authorId="280" shapeId="0" xr:uid="{0077D668-3C83-4DC0-B39B-2A87B8D0BE09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BY356" authorId="281" shapeId="0" xr:uid="{53DDAA70-0B81-425F-B784-0012E429FAE2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C356" authorId="282" shapeId="0" xr:uid="{FAEE22D2-8934-4353-9E12-C9EAB56A1AAD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 to sponsor</t>
      </text>
    </comment>
    <comment ref="CE356" authorId="283" shapeId="0" xr:uid="{F6DEE04A-6E7A-43DE-8E32-58DC8858D5D1}">
      <text>
        <t>[Threaded comment]
Your version of Excel allows you to read this threaded comment; however, any edits to it will get removed if the file is opened in a newer version of Excel. Learn more: https://go.microsoft.com/fwlink/?linkid=870924
Comment:
    Upload to SO360
Reply:
    In TSMC Acceptance</t>
      </text>
    </comment>
    <comment ref="CC357" authorId="284" shapeId="0" xr:uid="{3BAD27F2-8EBB-4754-B476-CE51D3F47048}">
      <text>
        <t>[Threaded comment]
Your version of Excel allows you to read this threaded comment; however, any edits to it will get removed if the file is opened in a newer version of Excel. Learn more: https://go.microsoft.com/fwlink/?linkid=870924
Comment:
    has sent to sponsor</t>
      </text>
    </comment>
    <comment ref="CE357" authorId="285" shapeId="0" xr:uid="{E9CDF414-ABCE-4279-851B-F996662EEB8F}">
      <text>
        <t>[Threaded comment]
Your version of Excel allows you to read this threaded comment; however, any edits to it will get removed if the file is opened in a newer version of Excel. Learn more: https://go.microsoft.com/fwlink/?linkid=870924
Comment:
    uploaded to SO360
Reply:
    In TSMC Acceptance</t>
      </text>
    </comment>
    <comment ref="BE367" authorId="286" shapeId="0" xr:uid="{3A273A26-B8BD-47AD-B1FB-256911C300F0}">
      <text>
        <t>[Threaded comment]
Your version of Excel allows you to read this threaded comment; however, any edits to it will get removed if the file is opened in a newer version of Excel. Learn more: https://go.microsoft.com/fwlink/?linkid=870924
Comment:
    March 17th</t>
      </text>
    </comment>
    <comment ref="BC377" authorId="287" shapeId="0" xr:uid="{95CF0196-41CE-437F-B06A-9A0EFF6559E8}">
      <text>
        <t>[Threaded comment]
Your version of Excel allows you to read this threaded comment; however, any edits to it will get removed if the file is opened in a newer version of Excel. Learn more: https://go.microsoft.com/fwlink/?linkid=870924
Comment:
    Received $66,733.76 (local deducted $18)</t>
      </text>
    </comment>
    <comment ref="BI381" authorId="288" shapeId="0" xr:uid="{60B180FF-9ED2-4817-A37B-435A9A61A203}">
      <text>
        <t>[Threaded comment]
Your version of Excel allows you to read this threaded comment; however, any edits to it will get removed if the file is opened in a newer version of Excel. Learn more: https://go.microsoft.com/fwlink/?linkid=870924
Comment:
    04/28/2023 pay</t>
      </text>
    </comment>
    <comment ref="J398" authorId="289" shapeId="0" xr:uid="{6A3AFB8A-E972-4188-B5E2-1CA140B49AA3}">
      <text>
        <t>[Threaded comment]
Your version of Excel allows you to read this threaded comment; however, any edits to it will get removed if the file is opened in a newer version of Excel. Learn more: https://go.microsoft.com/fwlink/?linkid=870924
Comment:
    Apply to 100%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Sheng Xu Yan</author>
  </authors>
  <commentList>
    <comment ref="BF260" authorId="0" shapeId="0" xr:uid="{2AF07ED4-16EC-49EE-9959-C051E232A082}">
      <text>
        <r>
          <rPr>
            <sz val="11"/>
            <color theme="1"/>
            <rFont val="Calibri"/>
            <family val="2"/>
            <scheme val="minor"/>
          </rPr>
          <t>Sheng Xu Yan:
we got overpaid</t>
        </r>
      </text>
    </comment>
    <comment ref="BF265" authorId="0" shapeId="0" xr:uid="{F6FF179C-1451-43D8-902E-81A2E6F588EB}">
      <text>
        <r>
          <rPr>
            <sz val="11"/>
            <color theme="1"/>
            <rFont val="Calibri"/>
            <family val="2"/>
            <scheme val="minor"/>
          </rPr>
          <t xml:space="preserve">Sheng Xu Yan:
overpaid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3D26CCA-D6F9-4713-8A67-E36BEF737B65}" keepAlive="1" name="Query - BB &amp; HK &amp; AMHS &amp;Others" description="Connection to the 'BB &amp; HK &amp; AMHS &amp;Others' query in the workbook." type="5" refreshedVersion="8" saveData="1">
    <dbPr connection="Provider=Microsoft.Mashup.OleDb.1;Data Source=$Workbook$;Location=&quot;BB &amp; HK &amp; AMHS &amp;Others&quot;;Extended Properties=&quot;&quot;" command="SELECT * FROM [BB &amp; HK &amp; AMHS &amp;Others]"/>
    <extLst>
      <ext xmlns:x15="http://schemas.microsoft.com/office/spreadsheetml/2010/11/main" uri="{DE250136-89BD-433C-8126-D09CA5730AF9}">
        <x15:connection id="" excludeFromRefreshAll="1"/>
      </ext>
    </extLst>
  </connection>
  <connection id="2" xr16:uid="{A9813453-7FF3-4D21-B764-B67058DA1156}" keepAlive="1" name="Query - MICUINT" description="Connection to the 'MICUINT' query in the workbook." type="5" refreshedVersion="8" saveData="1">
    <dbPr connection="Provider=Microsoft.Mashup.OleDb.1;Data Source=$Workbook$;Location=MICUINT;Extended Properties=&quot;&quot;" command="SELECT * FROM [MICUINT]"/>
    <extLst>
      <ext xmlns:x15="http://schemas.microsoft.com/office/spreadsheetml/2010/11/main" uri="{DE250136-89BD-433C-8126-D09CA5730AF9}">
        <x15:connection id="" excludeFromRefreshAll="1"/>
      </ext>
    </extLst>
  </connection>
  <connection id="3" xr16:uid="{3FD341EA-64BE-48A0-B79D-6C0CCBA59594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230B73B9-4B89-42F7-AB73-7C3288A11905}" name="WorksheetConnection_PC_Overview_100721_Rev2.xlsx!Contract" type="102" refreshedVersion="6" minRefreshableVersion="5">
    <extLst>
      <ext xmlns:x15="http://schemas.microsoft.com/office/spreadsheetml/2010/11/main" uri="{DE250136-89BD-433C-8126-D09CA5730AF9}">
        <x15:connection id="Contract">
          <x15:rangePr sourceName="_xlcn.WorksheetConnection_PC_Overview_100721_Rev2.xlsxContract"/>
        </x15:connection>
      </ext>
    </extLst>
  </connection>
  <connection id="5" xr16:uid="{A8384717-37FF-4B15-B355-4C07011A7B15}" name="WorksheetConnection_PC_Overview_100721_Rev2.xlsx!Project" type="102" refreshedVersion="6" minRefreshableVersion="5">
    <extLst>
      <ext xmlns:x15="http://schemas.microsoft.com/office/spreadsheetml/2010/11/main" uri="{DE250136-89BD-433C-8126-D09CA5730AF9}">
        <x15:connection id="Project">
          <x15:rangePr sourceName="_xlcn.WorksheetConnection_PC_Overview_100721_Rev2.xlsxProject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<sst xmlns="http://schemas.openxmlformats.org/spreadsheetml/2006/main" count="87444" uniqueCount="11464">
  <si>
    <t>Sponsor</t>
  </si>
  <si>
    <t>(All)</t>
  </si>
  <si>
    <t>Row Labels</t>
  </si>
  <si>
    <t>Sum of PO Amount</t>
  </si>
  <si>
    <t>Sum of Total AR (Received)</t>
  </si>
  <si>
    <t>Sum of tsmc PO #</t>
  </si>
  <si>
    <t>Sum of Feb-24 Draft Plan</t>
  </si>
  <si>
    <t>Total AR (To Feb</t>
  </si>
  <si>
    <t>AMHS</t>
  </si>
  <si>
    <t>Base Build</t>
  </si>
  <si>
    <t>EBO</t>
  </si>
  <si>
    <t>FAB Requirement (FAC)</t>
  </si>
  <si>
    <t>Fab Work</t>
  </si>
  <si>
    <t>HK</t>
  </si>
  <si>
    <t>ISEP</t>
  </si>
  <si>
    <t>Logistic</t>
  </si>
  <si>
    <t>Module Interconnection</t>
  </si>
  <si>
    <t>Main Tool Interconnection</t>
  </si>
  <si>
    <t>Others</t>
  </si>
  <si>
    <t>QR</t>
  </si>
  <si>
    <t>Interconnection</t>
  </si>
  <si>
    <t>O&amp;M</t>
  </si>
  <si>
    <t>(blank)</t>
  </si>
  <si>
    <t>Grand Total</t>
  </si>
  <si>
    <t>白色</t>
  </si>
  <si>
    <t>黃色</t>
  </si>
  <si>
    <t>Sum of Total AR (Sent)</t>
  </si>
  <si>
    <t>Accumulated %</t>
  </si>
  <si>
    <t>Open Balance</t>
  </si>
  <si>
    <t>Applied Materials</t>
  </si>
  <si>
    <t>Regular PO</t>
  </si>
  <si>
    <t>Sum of Jul-24 Draft Plan</t>
  </si>
  <si>
    <t>ASM</t>
  </si>
  <si>
    <t>ASML-HMI</t>
  </si>
  <si>
    <t>ATS</t>
  </si>
  <si>
    <t>CT (Clean Tech)</t>
  </si>
  <si>
    <t>Ebara</t>
  </si>
  <si>
    <t>Edwards Vacuum</t>
  </si>
  <si>
    <t>G2 Technology Corp</t>
  </si>
  <si>
    <t>HITACHI</t>
  </si>
  <si>
    <t>Sub Total</t>
  </si>
  <si>
    <t>Holon</t>
  </si>
  <si>
    <t>Settlement</t>
  </si>
  <si>
    <t>HPSP</t>
  </si>
  <si>
    <t>HPSP CO., LTD</t>
  </si>
  <si>
    <t>IPI</t>
  </si>
  <si>
    <t>Kanken</t>
  </si>
  <si>
    <t>KLA</t>
  </si>
  <si>
    <t>Kokusai Semiconductor Equipment Corporation</t>
  </si>
  <si>
    <t>Lam Research Corporation</t>
  </si>
  <si>
    <t>Lasertec</t>
  </si>
  <si>
    <t>Mattson</t>
  </si>
  <si>
    <t>NOVA</t>
  </si>
  <si>
    <t>Shibaura</t>
  </si>
  <si>
    <t>TSMC</t>
  </si>
  <si>
    <t>Shinwa</t>
  </si>
  <si>
    <t>ULVAC</t>
  </si>
  <si>
    <t>Color code from 2023 January AR</t>
  </si>
  <si>
    <t>(no color)</t>
  </si>
  <si>
    <t>not in supply 360</t>
  </si>
  <si>
    <t>upload proforma invoice ($ unconfirmed)</t>
  </si>
  <si>
    <t>upload correct proforma invoice in supply360(TSMC)/in ERP system(non-TSMC)</t>
  </si>
  <si>
    <t>approved by sponsor/manager</t>
  </si>
  <si>
    <t>get paid</t>
  </si>
  <si>
    <t>reject</t>
  </si>
  <si>
    <t>return</t>
  </si>
  <si>
    <t>Color Code for 2022 Nov &amp; Dec AR</t>
  </si>
  <si>
    <t>upload proforma invoice in supply360(TSMC)/in ERP system(non-TSMC)</t>
  </si>
  <si>
    <t>Word in Red</t>
  </si>
  <si>
    <t>Accepted in Supply3660</t>
  </si>
  <si>
    <t>PO No.</t>
  </si>
  <si>
    <t>PO Name</t>
  </si>
  <si>
    <t>AR Amount</t>
  </si>
  <si>
    <t>Tax</t>
  </si>
  <si>
    <t>Invoice No.</t>
  </si>
  <si>
    <t>Invoice Date</t>
  </si>
  <si>
    <t>Sent out Date</t>
  </si>
  <si>
    <t>Year</t>
  </si>
  <si>
    <t>Month</t>
  </si>
  <si>
    <t>YearMonth</t>
  </si>
  <si>
    <t>Status</t>
  </si>
  <si>
    <t>Remark</t>
  </si>
  <si>
    <t>Open Day</t>
  </si>
  <si>
    <t>Type</t>
  </si>
  <si>
    <t>Project Code</t>
  </si>
  <si>
    <t>Type 2</t>
  </si>
  <si>
    <t xml:space="preserve">TSMC </t>
  </si>
  <si>
    <t>AZ temp office CCTV and metal gate</t>
  </si>
  <si>
    <t>2021-08</t>
  </si>
  <si>
    <t>Paid</t>
  </si>
  <si>
    <t>USC21C001</t>
  </si>
  <si>
    <t xml:space="preserve">TSMC, Jonathan Kang </t>
  </si>
  <si>
    <t>F21P1 SP2 Power Design and GEX/PV/CV CAD design forsorter/BWBS/N2/APK/UPK/ASRS</t>
  </si>
  <si>
    <t>MICU202302325</t>
  </si>
  <si>
    <t>2023-02</t>
  </si>
  <si>
    <t>Rejected</t>
  </si>
  <si>
    <t>No service report</t>
  </si>
  <si>
    <t>594</t>
  </si>
  <si>
    <t>USC22C034</t>
  </si>
  <si>
    <t>AZ Temp Office Access Control System/Sp</t>
  </si>
  <si>
    <t>USC21C002</t>
  </si>
  <si>
    <t>2021-09</t>
  </si>
  <si>
    <t xml:space="preserve">TSMC, 得威 </t>
  </si>
  <si>
    <t>F21P1 UPW</t>
  </si>
  <si>
    <t>USC21C003</t>
  </si>
  <si>
    <t xml:space="preserve"> MIC </t>
  </si>
  <si>
    <t>M4SB1912072A</t>
  </si>
  <si>
    <t>Bidding proposal writing</t>
  </si>
  <si>
    <t>USC20C001</t>
  </si>
  <si>
    <t>2021-10</t>
  </si>
  <si>
    <t>F21P1 WWT package (USA EQ - FRP tank)</t>
  </si>
  <si>
    <t>USC21C004</t>
  </si>
  <si>
    <t>Water pipeline installation (size&gt;4")</t>
  </si>
  <si>
    <t>USC21C010</t>
  </si>
  <si>
    <t>Water pipeline installation (size&lt;4")</t>
  </si>
  <si>
    <t>2021-11</t>
  </si>
  <si>
    <t xml:space="preserve">TSMC, 敏宏 </t>
  </si>
  <si>
    <t>F21P1 Slurry package</t>
  </si>
  <si>
    <t>USC21C006</t>
  </si>
  <si>
    <t>F21P1 WWT package (Installation and 2 batch tanks)</t>
  </si>
  <si>
    <t>USC21C009</t>
  </si>
  <si>
    <t>F21P1 TMAH package (USA EQ + Installation)</t>
  </si>
  <si>
    <t>USC21C011</t>
  </si>
  <si>
    <t xml:space="preserve">TSMC, Grant </t>
  </si>
  <si>
    <t>F21P1 VOC package (Installation)</t>
  </si>
  <si>
    <t>USC21C007</t>
  </si>
  <si>
    <t xml:space="preserve">TSMC, Chong-cheng </t>
  </si>
  <si>
    <t>4503446631_100</t>
  </si>
  <si>
    <t>F21P1 Chemical package</t>
  </si>
  <si>
    <t>USC21C005</t>
  </si>
  <si>
    <t>4503446631_200</t>
  </si>
  <si>
    <t>F21P1 WCCS package</t>
  </si>
  <si>
    <t xml:space="preserve">TSMC, 昱安 </t>
  </si>
  <si>
    <t>4503448339_100</t>
  </si>
  <si>
    <t>F21P1 AMC</t>
  </si>
  <si>
    <t>USC21C013</t>
  </si>
  <si>
    <t>4503448339_200</t>
  </si>
  <si>
    <t xml:space="preserve">F21P1 THC </t>
  </si>
  <si>
    <t>2021-12</t>
  </si>
  <si>
    <t xml:space="preserve">TSMC, Vince </t>
  </si>
  <si>
    <t>F21 CCTV &amp; Security</t>
  </si>
  <si>
    <t>USC21C008</t>
  </si>
  <si>
    <t>F21P1 Barcode &amp; RFID for manufacturing</t>
  </si>
  <si>
    <t>USC21C012</t>
  </si>
  <si>
    <t>F21P1 W-H2SO4 package</t>
  </si>
  <si>
    <t>USC21C014</t>
  </si>
  <si>
    <t>大同T-Group</t>
  </si>
  <si>
    <t>USCCT2111001</t>
  </si>
  <si>
    <t>TSMC US Fab Architecture 施工駐地服務</t>
  </si>
  <si>
    <t>USC22L001</t>
  </si>
  <si>
    <t>2022-01</t>
  </si>
  <si>
    <t>2022-02</t>
  </si>
  <si>
    <t>2022-03</t>
  </si>
  <si>
    <t>2022-04</t>
  </si>
  <si>
    <t>2022-05</t>
  </si>
  <si>
    <t>US Fab Warehouse Security &amp; CCTV</t>
  </si>
  <si>
    <t>USC22C001</t>
  </si>
  <si>
    <t>F21P1 Office Security &amp; CCTV Packag</t>
  </si>
  <si>
    <t>2022-06</t>
  </si>
  <si>
    <t>MICU202207101</t>
  </si>
  <si>
    <t>MICU202207104</t>
  </si>
  <si>
    <t xml:space="preserve">Fu energy </t>
  </si>
  <si>
    <t>408&amp;1939&amp;1958&amp;1239&amp;1256&amp;1486&amp;1619&amp;1639&amp;1719&amp;2117</t>
  </si>
  <si>
    <t>TSMC Fab21 Project Phase 1 EDG Package</t>
  </si>
  <si>
    <t>USC22C003</t>
  </si>
  <si>
    <t xml:space="preserve"> UIS </t>
  </si>
  <si>
    <t>US120-Z-0064-A</t>
  </si>
  <si>
    <t>UIS Scaffolding</t>
  </si>
  <si>
    <t>MICU202209125</t>
  </si>
  <si>
    <t>USC22C024</t>
  </si>
  <si>
    <t>2022-07</t>
  </si>
  <si>
    <t>MICU202208111</t>
  </si>
  <si>
    <t>MICU202208116</t>
  </si>
  <si>
    <t>MICU202208122</t>
  </si>
  <si>
    <t>2022-08</t>
  </si>
  <si>
    <t>MICU202209128</t>
  </si>
  <si>
    <t>MICU202209126</t>
  </si>
  <si>
    <t>MICU202209129</t>
  </si>
  <si>
    <t>MICU202209134</t>
  </si>
  <si>
    <t>MICU202209124</t>
  </si>
  <si>
    <t>MICU202208121</t>
  </si>
  <si>
    <t>MICU202209138</t>
  </si>
  <si>
    <t>2022-09</t>
  </si>
  <si>
    <t>MICU202210149</t>
  </si>
  <si>
    <t>MICU202210146</t>
  </si>
  <si>
    <t>MICU202210148</t>
  </si>
  <si>
    <t>MICU202210144</t>
  </si>
  <si>
    <t xml:space="preserve">TSMC, Edward </t>
  </si>
  <si>
    <t>F21P1 LV PDS on site installation</t>
  </si>
  <si>
    <t>MICU202210154</t>
  </si>
  <si>
    <t>USC22C010</t>
  </si>
  <si>
    <t>F21P1 MTR oil &amp; drain pipe work</t>
  </si>
  <si>
    <t>MICU202210151</t>
  </si>
  <si>
    <t>USC22C009</t>
  </si>
  <si>
    <t>US Fab Frontage line hydrants</t>
  </si>
  <si>
    <t>MICU202210155</t>
  </si>
  <si>
    <t>USC22C018</t>
  </si>
  <si>
    <t>F21P1 Penetration Pipe</t>
  </si>
  <si>
    <t>MICU202210147</t>
  </si>
  <si>
    <t>USC22C020</t>
  </si>
  <si>
    <t>MICU202210156</t>
  </si>
  <si>
    <t>4590001181_100</t>
  </si>
  <si>
    <t>F21P1_LSC-CMS 5G System</t>
  </si>
  <si>
    <t>MICU202210159</t>
  </si>
  <si>
    <t>4590001181_200</t>
  </si>
  <si>
    <t>F21P1_DPM 5G System</t>
  </si>
  <si>
    <t>MICU202210145</t>
  </si>
  <si>
    <t xml:space="preserve"> 宸沅國際股份有限公司 </t>
  </si>
  <si>
    <t>Diaphragm Valve</t>
  </si>
  <si>
    <t>2022-10</t>
  </si>
  <si>
    <t>USC22L002</t>
  </si>
  <si>
    <t>MICU202211173</t>
  </si>
  <si>
    <t>MICU202211167</t>
  </si>
  <si>
    <t>MICU202211179</t>
  </si>
  <si>
    <t>MICU202211165</t>
  </si>
  <si>
    <t>MICU202211176</t>
  </si>
  <si>
    <t>MICU202211172</t>
  </si>
  <si>
    <t>MICU202211170</t>
  </si>
  <si>
    <t>MICU202211190</t>
  </si>
  <si>
    <t xml:space="preserve">TSMC, Michael Lin/Lim </t>
  </si>
  <si>
    <t>F21P1-0404_H_UPW_MIC</t>
  </si>
  <si>
    <t>MICU202211189</t>
  </si>
  <si>
    <t>USC22C005</t>
  </si>
  <si>
    <t>F21P1 QR Lab UPW</t>
  </si>
  <si>
    <t>MICU202211184</t>
  </si>
  <si>
    <t>MICU202211181</t>
  </si>
  <si>
    <t>F21P1-0423_H_Unistrut Support Frame_MICU</t>
  </si>
  <si>
    <t>USC22C026</t>
  </si>
  <si>
    <t>MICU202211187</t>
  </si>
  <si>
    <t>MICU202211171</t>
  </si>
  <si>
    <t>MICU202211188</t>
  </si>
  <si>
    <t>4590004026_100</t>
  </si>
  <si>
    <t>F21P1 EBO UPW package</t>
  </si>
  <si>
    <t>MICU202211186</t>
  </si>
  <si>
    <t>4590004027_100</t>
  </si>
  <si>
    <t>F21P1 IMP/CMP組頭間/噴砂間 UPW</t>
  </si>
  <si>
    <t>MICU202211183</t>
  </si>
  <si>
    <t>Lumax</t>
  </si>
  <si>
    <t>1MUQTR2205002</t>
  </si>
  <si>
    <t xml:space="preserve">TSMC F21 FMCS Installation </t>
  </si>
  <si>
    <t>USC22C007</t>
  </si>
  <si>
    <t>2022-11</t>
  </si>
  <si>
    <t>MICU202212219</t>
  </si>
  <si>
    <t>MICU202212208</t>
  </si>
  <si>
    <t>MICU202212220</t>
  </si>
  <si>
    <t>MICU202212210</t>
  </si>
  <si>
    <t>MICU202212217</t>
  </si>
  <si>
    <t>MICU202212215</t>
  </si>
  <si>
    <t>F21P1-0404E2_H_UPW_MIC</t>
  </si>
  <si>
    <t>MICU202212223</t>
  </si>
  <si>
    <t>F21P1_AMHS_Power Panel</t>
  </si>
  <si>
    <t>MICU202210157</t>
  </si>
  <si>
    <t>USC22C014</t>
  </si>
  <si>
    <t>F21P1 Discharge monitoring change</t>
  </si>
  <si>
    <t>MICU202212203</t>
  </si>
  <si>
    <t>CAP_E_F21P1_AMHS Power Design</t>
  </si>
  <si>
    <t>MICU202212224</t>
  </si>
  <si>
    <t>2022-12</t>
  </si>
  <si>
    <t>USC22C017</t>
  </si>
  <si>
    <t>MICU202212206</t>
  </si>
  <si>
    <t>F21P1 Triazole treatment system</t>
  </si>
  <si>
    <t>MICU202212211</t>
  </si>
  <si>
    <t>USC22C022</t>
  </si>
  <si>
    <t xml:space="preserve">TSMC,Fred/Chester </t>
  </si>
  <si>
    <t>F21P1 Tunnel/lorry common support</t>
  </si>
  <si>
    <t xml:space="preserve">TSMC, Josie </t>
  </si>
  <si>
    <t>CAP_E_F12P1 AMHS Power system_Instrustructure and Branch Circuits</t>
  </si>
  <si>
    <t>MICU202212227</t>
  </si>
  <si>
    <t>USC22C025</t>
  </si>
  <si>
    <t xml:space="preserve">TSMC, Joy/得威 </t>
  </si>
  <si>
    <t>F21P1 WRC Exterior Pad (NH3&amp;Diesel tank)</t>
  </si>
  <si>
    <t>MICU202212218</t>
  </si>
  <si>
    <t>USC22C011</t>
  </si>
  <si>
    <t>MICU202212202</t>
  </si>
  <si>
    <t>MICU202212214</t>
  </si>
  <si>
    <t xml:space="preserve">TSMC, Jennifer </t>
  </si>
  <si>
    <t>4590008159_00100</t>
  </si>
  <si>
    <t>F21P1-0420E4_H_Logistic_MIC</t>
  </si>
  <si>
    <t>USC22C008</t>
  </si>
  <si>
    <t xml:space="preserve"> Zinter </t>
  </si>
  <si>
    <t>53584 &amp; 53899</t>
  </si>
  <si>
    <t>TSMC F21P1 EUV Overhead Cranes in Area A of FAB Building</t>
  </si>
  <si>
    <t>USC22C006</t>
  </si>
  <si>
    <t>MICU202212254</t>
  </si>
  <si>
    <t>MICU202210233</t>
  </si>
  <si>
    <t>MICU202212253</t>
  </si>
  <si>
    <t>MICU202212245</t>
  </si>
  <si>
    <t>MICU202210231</t>
  </si>
  <si>
    <t xml:space="preserve">TSMC, KennethToliver </t>
  </si>
  <si>
    <t>F21P1_H_2D/3D drawing</t>
  </si>
  <si>
    <t>MICU202212246</t>
  </si>
  <si>
    <t>USC23C022</t>
  </si>
  <si>
    <t>CAP_E_F21P1 Autoshelf Installation 4 set</t>
  </si>
  <si>
    <t>MICU202212228</t>
  </si>
  <si>
    <t>USC22C027</t>
  </si>
  <si>
    <t>MICU202212241</t>
  </si>
  <si>
    <t>CAP_E_F21P1 AMHS MML seismic foundation design</t>
  </si>
  <si>
    <t>MICU202303362</t>
  </si>
  <si>
    <t>2023-06</t>
  </si>
  <si>
    <t>Aug 30,2024</t>
  </si>
  <si>
    <t>USC22C031</t>
  </si>
  <si>
    <t>MICU202212243</t>
  </si>
  <si>
    <t>F21P1 Piping Material Collaboration</t>
  </si>
  <si>
    <t>USC22C023</t>
  </si>
  <si>
    <t>MICU202210234</t>
  </si>
  <si>
    <t>4590008159_00200</t>
  </si>
  <si>
    <t>F21P1-0420_H_Logistic_MIC</t>
  </si>
  <si>
    <t xml:space="preserve">MIC </t>
  </si>
  <si>
    <t>M52209038A</t>
  </si>
  <si>
    <t>Asahi Valve and Positioner from Harrington</t>
  </si>
  <si>
    <t>USC22C016</t>
  </si>
  <si>
    <t>2023-01</t>
  </si>
  <si>
    <t>TSMC, 得威</t>
  </si>
  <si>
    <t>TSMC, 敏宏</t>
  </si>
  <si>
    <t>TSMC, Vince</t>
  </si>
  <si>
    <t>TSMC, Grant</t>
  </si>
  <si>
    <t>TSMC, Michael Lin/Lim</t>
  </si>
  <si>
    <t>TSMC, Michael Lin/Dennis</t>
  </si>
  <si>
    <t>F21P1-0404_H_Chemical_MIC</t>
  </si>
  <si>
    <t>TSMC, KennethToliver</t>
  </si>
  <si>
    <t>F21P1 Slurry Package support frame</t>
  </si>
  <si>
    <t>TSMC, Joy/得威</t>
  </si>
  <si>
    <t>F21P1 CCB Lorry in drain system</t>
  </si>
  <si>
    <t>F21P1 Formaldehyde treatment system</t>
  </si>
  <si>
    <t>TMAH ACF system expansion</t>
  </si>
  <si>
    <t xml:space="preserve"> Okland </t>
  </si>
  <si>
    <t>NA</t>
  </si>
  <si>
    <t>Okland manpower 6th</t>
  </si>
  <si>
    <t>MICU202307496</t>
  </si>
  <si>
    <t>Sent to Client</t>
  </si>
  <si>
    <t>need to double check</t>
  </si>
  <si>
    <t>471</t>
  </si>
  <si>
    <t>USC23C044</t>
  </si>
  <si>
    <t>TSMC, 崔紘瑞</t>
  </si>
  <si>
    <t>F21P1 Labor incentive program-MICU</t>
  </si>
  <si>
    <t>USC23C014</t>
  </si>
  <si>
    <t>TSMC, Chong-cheng</t>
  </si>
  <si>
    <t>TSMC, 昱安</t>
  </si>
  <si>
    <t>4590004026_200</t>
  </si>
  <si>
    <t>F21P1 EBO WWT package</t>
  </si>
  <si>
    <t>TSMC, Jennifer</t>
  </si>
  <si>
    <t>Zinter</t>
  </si>
  <si>
    <t>MICU202302328</t>
  </si>
  <si>
    <t>MICU202302320</t>
  </si>
  <si>
    <t>MICU202302329</t>
  </si>
  <si>
    <t>MICU202302312</t>
  </si>
  <si>
    <t xml:space="preserve">TSMC, Michael Lin/Dennis </t>
  </si>
  <si>
    <t>MICU202302301</t>
  </si>
  <si>
    <t>MICU202302310</t>
  </si>
  <si>
    <t>F21P1_H_pre-construction_MICU</t>
  </si>
  <si>
    <t>MICU202302326</t>
  </si>
  <si>
    <t>USC23C023</t>
  </si>
  <si>
    <t>F21P1 QR Lab WWT</t>
  </si>
  <si>
    <t>MICU202302308</t>
  </si>
  <si>
    <t>MICU202305420</t>
  </si>
  <si>
    <t>2023-05</t>
  </si>
  <si>
    <t>F21_AZCHAD_Hookup_ temp PVC curtain</t>
  </si>
  <si>
    <t>USC22C030</t>
  </si>
  <si>
    <t>MICU202302314</t>
  </si>
  <si>
    <t>F21P1-0404_H_Hallway plate install_MICU</t>
  </si>
  <si>
    <t>MICU202302315</t>
  </si>
  <si>
    <t>USC23C002</t>
  </si>
  <si>
    <t xml:space="preserve">F21P1 UPW Temporary CP and piping </t>
  </si>
  <si>
    <t>MICU202302322</t>
  </si>
  <si>
    <t>1MUQTR2211013</t>
  </si>
  <si>
    <t>Asahi Valve from Harrington</t>
  </si>
  <si>
    <t>1MUQTR2301003</t>
  </si>
  <si>
    <t>Gasket from Harrington</t>
  </si>
  <si>
    <t>MICU202302300</t>
  </si>
  <si>
    <t>MICU202302323</t>
  </si>
  <si>
    <t>MICU202302319</t>
  </si>
  <si>
    <t>4590004027_200</t>
  </si>
  <si>
    <t>F21P1 IMP/CMP組頭間/噴砂間 WWT</t>
  </si>
  <si>
    <t>MICU202302307</t>
  </si>
  <si>
    <t>M52212042A</t>
  </si>
  <si>
    <t>Asahi Valve and Positioner from Harrington - 3</t>
  </si>
  <si>
    <t>Hookup Management</t>
  </si>
  <si>
    <t>2023-03</t>
  </si>
  <si>
    <t>MICU202303371</t>
  </si>
  <si>
    <t>MICU202303375</t>
  </si>
  <si>
    <t>MICU202303364</t>
  </si>
  <si>
    <t>MICU202303366</t>
  </si>
  <si>
    <t>MICU202303360</t>
  </si>
  <si>
    <t>MICU202303365</t>
  </si>
  <si>
    <t>F21P1-0420E4_H_UPW_MIC</t>
  </si>
  <si>
    <t>MICU202303373</t>
  </si>
  <si>
    <t>MICU202303367</t>
  </si>
  <si>
    <t>MICU202303344</t>
  </si>
  <si>
    <t>MICU202303359</t>
  </si>
  <si>
    <t>MISC_(TAX/U1)_Onsite crating job</t>
  </si>
  <si>
    <t>F21P1-0423_H_UPW_MICU</t>
  </si>
  <si>
    <t>MICU202303376</t>
  </si>
  <si>
    <t>MICU202303354</t>
  </si>
  <si>
    <t>MICU202303356</t>
  </si>
  <si>
    <t xml:space="preserve">TSMC, Samuel </t>
  </si>
  <si>
    <t>4590009384_100</t>
  </si>
  <si>
    <t>F21P1-0404E4_H_foundation install_MICU</t>
  </si>
  <si>
    <t>KTUS 20230321-1</t>
  </si>
  <si>
    <t>Address Mapping</t>
  </si>
  <si>
    <t>MICU202303337</t>
  </si>
  <si>
    <t>USC23C030</t>
  </si>
  <si>
    <t>MICU202307526</t>
  </si>
  <si>
    <t>2023-07</t>
  </si>
  <si>
    <t>Re-submit June 19; Reject comment "Please update the construction start date and completion date on the invoice to the actual construction date</t>
  </si>
  <si>
    <t>441</t>
  </si>
  <si>
    <t xml:space="preserve">Murata(Japan) </t>
  </si>
  <si>
    <t>TV2301206274</t>
  </si>
  <si>
    <t>F21 P1 Electrical Installation</t>
  </si>
  <si>
    <t>USC23C015</t>
  </si>
  <si>
    <t xml:space="preserve"> JeouFwu </t>
  </si>
  <si>
    <t>1MUQTR2301008</t>
  </si>
  <si>
    <t>DIF Foundation Modification</t>
  </si>
  <si>
    <t>USC23C050</t>
  </si>
  <si>
    <t>2023-04</t>
  </si>
  <si>
    <t>MICU202304399</t>
  </si>
  <si>
    <t>MICU202304397</t>
  </si>
  <si>
    <t>MICU202304390</t>
  </si>
  <si>
    <t xml:space="preserve">TSMC, David C.C.Fu 傅至傑 &lt;CCFUC@TSMC.COM&gt;  </t>
  </si>
  <si>
    <t>CAP_E_F21 AMHS L40 Relocation</t>
  </si>
  <si>
    <t>MICU202308561</t>
  </si>
  <si>
    <t>2023-08</t>
  </si>
  <si>
    <t>MICU202304391</t>
  </si>
  <si>
    <t>MICU202304389</t>
  </si>
  <si>
    <t>F21P1 Chemical Lab setup</t>
  </si>
  <si>
    <t>MICU202304407</t>
  </si>
  <si>
    <t>USC22C021</t>
  </si>
  <si>
    <t>MICU202304410</t>
  </si>
  <si>
    <t>MICU202304393</t>
  </si>
  <si>
    <t xml:space="preserve">TSMC, 崔紘瑞 </t>
  </si>
  <si>
    <t>MICU202304415</t>
  </si>
  <si>
    <t>MICU202304388</t>
  </si>
  <si>
    <t>MICU202304411</t>
  </si>
  <si>
    <t xml:space="preserve">TSMC, HH </t>
  </si>
  <si>
    <t>(RM)_F21_EUV_Steel Plates_1 tool set</t>
  </si>
  <si>
    <t>USC23C058</t>
  </si>
  <si>
    <t>MICU202304398</t>
  </si>
  <si>
    <t>4590004557_001</t>
  </si>
  <si>
    <t>F21P1 FAB Lab UPW_Stage2</t>
  </si>
  <si>
    <t>MICU202304406</t>
  </si>
  <si>
    <t>MICU202305440</t>
  </si>
  <si>
    <t>MICU202305453</t>
  </si>
  <si>
    <t>MICU202305442</t>
  </si>
  <si>
    <t>MICU202305444</t>
  </si>
  <si>
    <t>MICU202305457</t>
  </si>
  <si>
    <t>MICU202305429</t>
  </si>
  <si>
    <t>MICU202305428</t>
  </si>
  <si>
    <t xml:space="preserve">TSMC, 威昂 </t>
  </si>
  <si>
    <t>CAP_A_MFG_F21 Transportation_光阻櫃exhasut (labor)</t>
  </si>
  <si>
    <t>USC22C012</t>
  </si>
  <si>
    <t>CAP_A_MFG_freight and labor fee for F21</t>
  </si>
  <si>
    <t>CAP_A_MFG_F21 mask room related stainles</t>
  </si>
  <si>
    <t>CAP_A_MFG_F21 不鏽鋼儲放光罩二門單面氣體排氣櫃 (labor)</t>
  </si>
  <si>
    <t>MICU202305449</t>
  </si>
  <si>
    <t>MICU202305427</t>
  </si>
  <si>
    <t>TSMC , Jonathan Kang</t>
  </si>
  <si>
    <t>F21P1 Partition Opening Panel Tray</t>
  </si>
  <si>
    <t>MICU202311662</t>
  </si>
  <si>
    <t>2023-11</t>
  </si>
  <si>
    <t>3/26/2024 approved</t>
  </si>
  <si>
    <t>MICU202305438</t>
  </si>
  <si>
    <t>MICU202305435</t>
  </si>
  <si>
    <t>MICU202305426</t>
  </si>
  <si>
    <t>MISC_(522/U0)SU3200 foundation</t>
  </si>
  <si>
    <t>MICU202305434</t>
  </si>
  <si>
    <t xml:space="preserve">F21P1 UPW Temporary Resin and piping </t>
  </si>
  <si>
    <t>MICU202305452</t>
  </si>
  <si>
    <t>MICU202305458</t>
  </si>
  <si>
    <t>MICU202306479</t>
  </si>
  <si>
    <t>MICU202306489</t>
  </si>
  <si>
    <t>MICU202306486</t>
  </si>
  <si>
    <t>MICU202306474</t>
  </si>
  <si>
    <t>TSMC , Chin-Yu Wan</t>
  </si>
  <si>
    <t>CAP_E_F21P1A_Grating Floor Opening</t>
  </si>
  <si>
    <t>MICU202311668</t>
  </si>
  <si>
    <t>MICU202306483</t>
  </si>
  <si>
    <t xml:space="preserve">TSMC, 傅至傑 </t>
  </si>
  <si>
    <t>CAP_E_F21P1 Autoshelf Foundation</t>
  </si>
  <si>
    <t>MICU202311670</t>
  </si>
  <si>
    <t>Re-submit May 25, MICU202403999</t>
  </si>
  <si>
    <t>318</t>
  </si>
  <si>
    <t>USC22C028</t>
  </si>
  <si>
    <t>MICU202305450</t>
  </si>
  <si>
    <t>CAP_E_F21P1 AMHS non-MML seismic foundation install</t>
  </si>
  <si>
    <t>MICU202311671</t>
  </si>
  <si>
    <t>Re-submit May 25, MICU2024051149</t>
  </si>
  <si>
    <t>MICU202306482</t>
  </si>
  <si>
    <t>F21P1 CDS package (B.10)</t>
  </si>
  <si>
    <t>MICU202306484</t>
  </si>
  <si>
    <t>EBO21-UPW DP parts</t>
  </si>
  <si>
    <t>EBO21-Single barricade without toe board</t>
  </si>
  <si>
    <t>MICU2024071312</t>
  </si>
  <si>
    <t>2024-07</t>
  </si>
  <si>
    <t>Aug 15,2024 Paid</t>
  </si>
  <si>
    <t>F21 AZQR_Hookup_PVDF material_DP panel</t>
  </si>
  <si>
    <t>MICU202306476</t>
  </si>
  <si>
    <t xml:space="preserve">TSMC, Chi-Wei </t>
  </si>
  <si>
    <t>F21P1 CUP L20 Transformer Pads</t>
  </si>
  <si>
    <t>MICU202306477</t>
  </si>
  <si>
    <t>F21P1 VOC Burner NOx improve-installatio</t>
  </si>
  <si>
    <t>F21P1_H_construction gown suit</t>
  </si>
  <si>
    <t>USC23C040</t>
  </si>
  <si>
    <t>MICU202306471</t>
  </si>
  <si>
    <t>4590009384_200</t>
  </si>
  <si>
    <t>F21P1-0423_H_foundation install_MICU</t>
  </si>
  <si>
    <t>MICU202306466</t>
  </si>
  <si>
    <t>Okland manpower 5th</t>
  </si>
  <si>
    <t>Okland manpower 7th</t>
  </si>
  <si>
    <t>MICU202308536</t>
  </si>
  <si>
    <t>MICU202306459</t>
  </si>
  <si>
    <t>MICU202307531</t>
  </si>
  <si>
    <t>MICU202307516</t>
  </si>
  <si>
    <t>MICU202307535</t>
  </si>
  <si>
    <t>MICU202307532</t>
  </si>
  <si>
    <t>MICU202307521</t>
  </si>
  <si>
    <t>MICU202306461</t>
  </si>
  <si>
    <t>Combine with MICU2024081384</t>
  </si>
  <si>
    <t>CAP_A_MFG_F21 Transportation_光阻櫃exhasut (material)</t>
  </si>
  <si>
    <t>F21P1 Chemical safety cabinet installation</t>
  </si>
  <si>
    <t>MICU202307502</t>
  </si>
  <si>
    <t>USC23C042</t>
  </si>
  <si>
    <t>CAP_E_F21P1 AMHS MML Seismic Foundation Material</t>
  </si>
  <si>
    <t>MICU202312743</t>
  </si>
  <si>
    <t>2023-12</t>
  </si>
  <si>
    <t xml:space="preserve">July 15,2024 </t>
  </si>
  <si>
    <t>CAP_A_MFG_AZP1 F21 Mask room 集塵罩 + Exhau</t>
  </si>
  <si>
    <t>MICU202307514</t>
  </si>
  <si>
    <t>5/15/2024 pay</t>
  </si>
  <si>
    <t>F21 ESP equipment(include labor fee)</t>
  </si>
  <si>
    <t>USC22C033</t>
  </si>
  <si>
    <t>MICU202307522</t>
  </si>
  <si>
    <t>MICU202307509</t>
  </si>
  <si>
    <t>MICU202307524</t>
  </si>
  <si>
    <t>Electric Tiger Team_Fisk Support &amp; Temp Power</t>
  </si>
  <si>
    <t>MICU202307512</t>
  </si>
  <si>
    <t>USC23C043</t>
  </si>
  <si>
    <t>F21P1-0404_H_labor for 50 tools_MICU</t>
  </si>
  <si>
    <t>MICU202307530</t>
  </si>
  <si>
    <t>USC23C055</t>
  </si>
  <si>
    <t xml:space="preserve">TSMC, BC&lt;BCTSOU@TSMC.COM&gt; </t>
  </si>
  <si>
    <t>F21P1-0404_H_labor&amp;mobiliz. for 50 tools</t>
  </si>
  <si>
    <t>MICU202307536</t>
  </si>
  <si>
    <t>MICU202307507</t>
  </si>
  <si>
    <t xml:space="preserve">TSMC, Chris Grider &lt;CGRIDER@TSMC.COM&gt;; SCKUOE@TSMC.COM </t>
  </si>
  <si>
    <t>4590008229_001</t>
  </si>
  <si>
    <t>F21P1 Hot DI Machine Hookup</t>
  </si>
  <si>
    <t>USC23C012</t>
  </si>
  <si>
    <t>MICU202307529</t>
  </si>
  <si>
    <t>Shared toilet service</t>
  </si>
  <si>
    <t>MICU202307517</t>
  </si>
  <si>
    <t>440</t>
  </si>
  <si>
    <t/>
  </si>
  <si>
    <t>MICU202308553</t>
  </si>
  <si>
    <t>MICU202308574</t>
  </si>
  <si>
    <t>MICU202308570</t>
  </si>
  <si>
    <t>MICU202308569</t>
  </si>
  <si>
    <t>MICU202308579</t>
  </si>
  <si>
    <t>MICU202308572</t>
  </si>
  <si>
    <t xml:space="preserve">TSMC, A.C. Lee </t>
  </si>
  <si>
    <t>EBO-21 Tool foundation installation labo</t>
  </si>
  <si>
    <t>MICU202308555</t>
  </si>
  <si>
    <t>MICU202308568</t>
  </si>
  <si>
    <t>F21P1-0423_H_Seismic installation_MICU</t>
  </si>
  <si>
    <t>MICU202308554</t>
  </si>
  <si>
    <t>USC23C047</t>
  </si>
  <si>
    <t>MICU202308557</t>
  </si>
  <si>
    <t>MICU202308567</t>
  </si>
  <si>
    <t>TSMC , 陳嘉宏</t>
  </si>
  <si>
    <t>CAP_E_F21 P1 AMHS Cross Floor Hole Cover</t>
  </si>
  <si>
    <t>MICU202312744</t>
  </si>
  <si>
    <t xml:space="preserve">TSMC, Michael Lin &lt;MLINL@TSMC.COM&gt; </t>
  </si>
  <si>
    <t>F21P1-0404_H_cable tray/AC box install</t>
  </si>
  <si>
    <t>MICU202308565</t>
  </si>
  <si>
    <t>USC23C041</t>
  </si>
  <si>
    <t>MICU202308573</t>
  </si>
  <si>
    <t>MICU202308582</t>
  </si>
  <si>
    <t>MICU202308577</t>
  </si>
  <si>
    <t>4590008229_002</t>
  </si>
  <si>
    <t>F21P1 TGCM Room</t>
  </si>
  <si>
    <t>MICU202308560</t>
  </si>
  <si>
    <t>MICU202308551</t>
  </si>
  <si>
    <t>MICU202308547</t>
  </si>
  <si>
    <t>419</t>
  </si>
  <si>
    <t>2023-09</t>
  </si>
  <si>
    <t>F21P1 QR Lab Security &amp; CCTV</t>
  </si>
  <si>
    <t>USC22C013</t>
  </si>
  <si>
    <t xml:space="preserve">TSMC, 杜之雄 </t>
  </si>
  <si>
    <t>Security&amp;CCTV Package_CCD</t>
  </si>
  <si>
    <t>MICU202309596</t>
  </si>
  <si>
    <t>MICU202309595</t>
  </si>
  <si>
    <t xml:space="preserve">TSMC, K.H. Pan </t>
  </si>
  <si>
    <t>Tiger Team for CUP Cable Tray and Grounding Wiring for Transformers</t>
  </si>
  <si>
    <t>MICU202308566</t>
  </si>
  <si>
    <t>USC23C051</t>
  </si>
  <si>
    <t>F21P1 WWT construction temp power</t>
  </si>
  <si>
    <t>MICU202309616</t>
  </si>
  <si>
    <t>F21P1 UPW temp power and MAU DI solution</t>
  </si>
  <si>
    <t>MICU202309615</t>
  </si>
  <si>
    <t>Okland manpower 8th</t>
  </si>
  <si>
    <t>MICU202309585</t>
  </si>
  <si>
    <t>410</t>
  </si>
  <si>
    <t>2023-10</t>
  </si>
  <si>
    <t>the installation hasn't been completed</t>
  </si>
  <si>
    <t>Okland manpower 9th</t>
  </si>
  <si>
    <t>MICU202309618</t>
  </si>
  <si>
    <t>379</t>
  </si>
  <si>
    <t>CAP_E_F21P1 AMHS EUV Area Scaffolding</t>
  </si>
  <si>
    <t>MICU202312745</t>
  </si>
  <si>
    <t>Re submit March 8 , MICU202402909 , got paid April 1</t>
  </si>
  <si>
    <t>288</t>
  </si>
  <si>
    <t>RM_F21_EUV_Crane Power Cable Reroute</t>
  </si>
  <si>
    <t>MICU202310640</t>
  </si>
  <si>
    <t>F21P1 High-speed rolling door frame</t>
  </si>
  <si>
    <t>F21P1 UPW Design Change (UMEC)</t>
  </si>
  <si>
    <t>USC23C054</t>
  </si>
  <si>
    <t>F21P1 WCCS Extend GC and Labor Incentive</t>
  </si>
  <si>
    <t>F21P1 Slurry Extend GC &amp; Labor Incentive</t>
  </si>
  <si>
    <t>F21P1 VOC Extend GC &amp; Labor Incentive</t>
  </si>
  <si>
    <t>F21P1 CDS Extend GC &amp; Labor Incentive</t>
  </si>
  <si>
    <t>F21P1 UPW Extend GC &amp; Labor Incentive</t>
  </si>
  <si>
    <t>F21P1 WWT Extend GC &amp; Labor Incentive</t>
  </si>
  <si>
    <t>MICU2024051146_x000D_</t>
  </si>
  <si>
    <t>2024-05</t>
  </si>
  <si>
    <t xml:space="preserve"> Ma-Tek </t>
  </si>
  <si>
    <t>UB00_230424001</t>
  </si>
  <si>
    <t>MA-TEK AZ Lab Project</t>
  </si>
  <si>
    <t>Approved</t>
  </si>
  <si>
    <t>received $83,157</t>
  </si>
  <si>
    <t>349</t>
  </si>
  <si>
    <t>USC23C037</t>
  </si>
  <si>
    <t>TSMC, 潘健廷</t>
  </si>
  <si>
    <t>MICU202306485</t>
  </si>
  <si>
    <t>resubmit on 2/19/2024</t>
  </si>
  <si>
    <t>F21P1 IMP/CMP組頭間/噴砂間 Security &amp; CCTV</t>
  </si>
  <si>
    <t>MICU202311664</t>
  </si>
  <si>
    <t xml:space="preserve">TSMC, 蘇明秋 </t>
  </si>
  <si>
    <t>Security &amp; CCTV Package OWMC</t>
  </si>
  <si>
    <t>MICU202401804</t>
  </si>
  <si>
    <t>2024-01</t>
  </si>
  <si>
    <t>Re-submit MICU2024041069, get pay June 14,2024</t>
  </si>
  <si>
    <t>258</t>
  </si>
  <si>
    <t>MICU202401818</t>
  </si>
  <si>
    <t>Re-submit MICU202403995, Get pay 4/30</t>
  </si>
  <si>
    <t>256</t>
  </si>
  <si>
    <t xml:space="preserve">TSMC, Chin-Yu Wan </t>
  </si>
  <si>
    <t>CAP_E_F21 P1 EUV STK CCTV Package_Labor</t>
  </si>
  <si>
    <t>MICU202311672</t>
  </si>
  <si>
    <t>CAP_E_F21 P1 EUV STK CCTV Package 6 sets</t>
  </si>
  <si>
    <t>MICU202311669</t>
  </si>
  <si>
    <t>Okland manpower 10th</t>
  </si>
  <si>
    <t>MICU202311657</t>
  </si>
  <si>
    <t>F21P1 EBO Security &amp; CCTV system</t>
  </si>
  <si>
    <t>MICU202311665</t>
  </si>
  <si>
    <t>F21P1 EBO Security CCTV system_material</t>
  </si>
  <si>
    <t>MICU202311666</t>
  </si>
  <si>
    <t>TSMC,mhlium@tsmc.com</t>
  </si>
  <si>
    <t>F21P1 Chemical Lab Hookup</t>
  </si>
  <si>
    <t xml:space="preserve">TSMC, K.STUNG 董冠昇 &lt;KSTUNG@TSMC.COM&gt; </t>
  </si>
  <si>
    <t>F21P1 CR temp lighting</t>
  </si>
  <si>
    <t>RM_F21_Crane temp, power generator 2 M</t>
  </si>
  <si>
    <t>RM_EUV_temp. power generator 3 M</t>
  </si>
  <si>
    <t>MICU202312710</t>
  </si>
  <si>
    <t>RM_F21_EUV_Crane power panel labor-bay1</t>
  </si>
  <si>
    <t>MICU202312711</t>
  </si>
  <si>
    <t xml:space="preserve">RM_F21_EUV_Crane_PowerPanel_Bay2 </t>
  </si>
  <si>
    <t>F21P1 UPW Tank Swing Gate</t>
  </si>
  <si>
    <t>F21P1 WWT Electrical Testing Support</t>
  </si>
  <si>
    <t>MICU202312716</t>
  </si>
  <si>
    <t>F21P1 UPW &amp; WWT Battery Charge</t>
  </si>
  <si>
    <t xml:space="preserve">TSMC, Chong-Cheng </t>
  </si>
  <si>
    <t>F21P1 Lorry RU Chemical Filtration Impro</t>
  </si>
  <si>
    <t>F21P1 WWT cable tray relo &amp; add support</t>
  </si>
  <si>
    <t>F21P1 WRC L20 RACK Modification</t>
  </si>
  <si>
    <t>TSMC, May</t>
  </si>
  <si>
    <t>Hook UP 3 Month Labor</t>
  </si>
  <si>
    <t>MICU202311663</t>
  </si>
  <si>
    <t>F21P1 0404 H Hardware for 3 Months</t>
  </si>
  <si>
    <t>MICU202312709_1</t>
  </si>
  <si>
    <t>Okland manpower 11th</t>
  </si>
  <si>
    <t>MICU202312715</t>
  </si>
  <si>
    <t>TSMC, Stanley Chen</t>
  </si>
  <si>
    <t>CAP_E_F21P1A AMHS Electrical revise Design for MML</t>
  </si>
  <si>
    <t>MICU202402868</t>
  </si>
  <si>
    <t>2024-02</t>
  </si>
  <si>
    <t>Paid Sep 13,2024</t>
  </si>
  <si>
    <t>KTUS202311_001</t>
  </si>
  <si>
    <t>Kanken Storage for 2023 Nov</t>
  </si>
  <si>
    <t>MICU202311705</t>
  </si>
  <si>
    <t>TSMC, Jonathan Kang</t>
  </si>
  <si>
    <t>CAP_E_F21P1 APKUPK Foundation</t>
  </si>
  <si>
    <t>MICU202402911</t>
  </si>
  <si>
    <t>TSMC , 潘信華</t>
  </si>
  <si>
    <t xml:space="preserve">RM_F21_EUV_Crane power panel material </t>
  </si>
  <si>
    <t>F21P1 Lorry area fall protection tie off</t>
  </si>
  <si>
    <t>F21P1 NFPA Diamond Sign for Chemical Rm</t>
  </si>
  <si>
    <t>F21P1 Lorry Tank Swing Gates for Safety</t>
  </si>
  <si>
    <t>F21P1 230KV MTR NGR stand</t>
  </si>
  <si>
    <t>MICU2024031004</t>
  </si>
  <si>
    <t>2024-03</t>
  </si>
  <si>
    <t>7/30/2024 Paid</t>
  </si>
  <si>
    <t xml:space="preserve">F21P1 WWT Tank Swing Gate </t>
  </si>
  <si>
    <t>F21P1 WWT Mezzanines fireproof coating</t>
  </si>
  <si>
    <t>TSMC F21P1 0423 Chemical</t>
  </si>
  <si>
    <t>F21P1 WWT Per Diem and Acceleration</t>
  </si>
  <si>
    <t>F21P1 WWT AWR Drain to LSR System</t>
  </si>
  <si>
    <t xml:space="preserve">TSMC, Jonathan Kang &lt;HSUANK@TSMC.COM&gt; </t>
  </si>
  <si>
    <t>CAP_E_F21P1 L10 Scaffold for Stocker Ins</t>
  </si>
  <si>
    <t>MICU202403983</t>
  </si>
  <si>
    <t>F21P1 UPW Control Panel Temp Cable</t>
  </si>
  <si>
    <t>F21P1 UPW Damage by Other Trade Repair</t>
  </si>
  <si>
    <t>1MUQOC2401019</t>
  </si>
  <si>
    <t>Kanken Storage for 2023 December</t>
  </si>
  <si>
    <t>MICU202401777</t>
  </si>
  <si>
    <t>1MUQOC2311090</t>
  </si>
  <si>
    <t>Kanken Storage for 2023 Oct</t>
  </si>
  <si>
    <t>MICU202311704</t>
  </si>
  <si>
    <t>EBOAZ ZASC5-1 UPW Hook Up Material</t>
  </si>
  <si>
    <t>MICU202312768</t>
  </si>
  <si>
    <t>MICU202312752</t>
  </si>
  <si>
    <t>MICU202312769</t>
  </si>
  <si>
    <t xml:space="preserve">TSMC,Anson Lin 林國聖 </t>
  </si>
  <si>
    <t>CAP_A_90431 AMC monitor 595T0</t>
  </si>
  <si>
    <t>MICU202401820</t>
  </si>
  <si>
    <t>USC22C019</t>
  </si>
  <si>
    <t>TSMC, Josie</t>
  </si>
  <si>
    <t>MICU202403993</t>
  </si>
  <si>
    <t>Please check tool ID of report, check MICU2024061237</t>
  </si>
  <si>
    <t>194</t>
  </si>
  <si>
    <t>MICU202403995</t>
  </si>
  <si>
    <t>3/29/2024</t>
  </si>
  <si>
    <t>F21P1 SDS installation (B.10)</t>
  </si>
  <si>
    <t>F21P1 WWT Panel Butten Change</t>
  </si>
  <si>
    <t>F21P1 WWT FAB LB2 Trench Cleanning</t>
  </si>
  <si>
    <t>USC23C056</t>
  </si>
  <si>
    <t xml:space="preserve"> F21P1 WWT Per Diem and Acceleration</t>
  </si>
  <si>
    <t>F21P1 WWT Discharge Temp Power/Redesign</t>
  </si>
  <si>
    <t>4590015150_001</t>
  </si>
  <si>
    <t>F21P1-0404_H_Labor 4 months_MICU</t>
  </si>
  <si>
    <t xml:space="preserve">TSMC, 楊子青 </t>
  </si>
  <si>
    <t>4590007694_013</t>
  </si>
  <si>
    <t>CAP_F_ 90762 DPM Connection Project</t>
  </si>
  <si>
    <t>MICU202401803</t>
  </si>
  <si>
    <t>4590007694_020</t>
  </si>
  <si>
    <t>CAP_F_ 90769 DPM Connection Project</t>
  </si>
  <si>
    <t>MICU202401802</t>
  </si>
  <si>
    <t>MICU202401838</t>
  </si>
  <si>
    <t>Okland manpower 12th</t>
  </si>
  <si>
    <t>MICU202401776</t>
  </si>
  <si>
    <t>257</t>
  </si>
  <si>
    <t xml:space="preserve">F21P1-0404_H_UPW DP Panel_MICU </t>
  </si>
  <si>
    <t>MICU202401836</t>
  </si>
  <si>
    <t>MICU202401835</t>
  </si>
  <si>
    <t>MICU202402859</t>
  </si>
  <si>
    <t>MICU202402872</t>
  </si>
  <si>
    <t>MICU202402906</t>
  </si>
  <si>
    <t>MICU202402882</t>
  </si>
  <si>
    <t>MICU202402883</t>
  </si>
  <si>
    <t>TSMC, 傅至傑</t>
  </si>
  <si>
    <t>MICU202403999</t>
  </si>
  <si>
    <t>6/28/2024 Paid</t>
  </si>
  <si>
    <t>TSMC, Kevin Liu</t>
  </si>
  <si>
    <t>F21P1-0420_H_Unistrut Support Frame_MICU</t>
  </si>
  <si>
    <t>MICU202402858</t>
  </si>
  <si>
    <t>MICU202402860</t>
  </si>
  <si>
    <t>Okland manpower 14th</t>
  </si>
  <si>
    <t>MICU202403911</t>
  </si>
  <si>
    <t>249</t>
  </si>
  <si>
    <t>MICU2024041069</t>
  </si>
  <si>
    <t>2024-04</t>
  </si>
  <si>
    <t>2024/6/14 Paid</t>
  </si>
  <si>
    <t>RM_F21_EUV_tap and drill support</t>
  </si>
  <si>
    <t>MICU2024051150</t>
  </si>
  <si>
    <t>MICU202402861</t>
  </si>
  <si>
    <t>Hook UP Time and Material HardWare</t>
  </si>
  <si>
    <t>MICU202402862</t>
  </si>
  <si>
    <t>USC23C063</t>
  </si>
  <si>
    <t>MICU202402873</t>
  </si>
  <si>
    <t>MICU202402889</t>
  </si>
  <si>
    <t>MICU202402904</t>
  </si>
  <si>
    <t>MICU202402891</t>
  </si>
  <si>
    <t>MICU202402907</t>
  </si>
  <si>
    <t>MICU202402892</t>
  </si>
  <si>
    <t>MICU202402884</t>
  </si>
  <si>
    <t>MICU202402890</t>
  </si>
  <si>
    <t>MICU202402896</t>
  </si>
  <si>
    <t>TSMC, Sabrina Cervantes</t>
  </si>
  <si>
    <t>MICU202402871</t>
  </si>
  <si>
    <t>TSMC,FCSHEN@TSMC.COM</t>
  </si>
  <si>
    <t>MISC_(522/U0) ADI-C-01 Shift foundation</t>
  </si>
  <si>
    <t>MICU202402875</t>
  </si>
  <si>
    <t>TSMC, Chong-Cheng Su &lt;CCSUU@TSMC.COM&gt;</t>
  </si>
  <si>
    <t>F21P1 Chemical Solvent day tank add vent</t>
  </si>
  <si>
    <t>MICU202402893</t>
  </si>
  <si>
    <t>MICU202401840_Grating material</t>
  </si>
  <si>
    <t>MICU202401840</t>
  </si>
  <si>
    <t>MICU202402869</t>
  </si>
  <si>
    <t>MICU202402898</t>
  </si>
  <si>
    <t>MICU202402894</t>
  </si>
  <si>
    <t>MICU202402900</t>
  </si>
  <si>
    <t>MICU2024041084</t>
  </si>
  <si>
    <t>TSMC, Luke Pan &lt;JTPAN@TSMC.COM&gt;</t>
  </si>
  <si>
    <t>F21P1-0423_H_3D modeling(MICU)</t>
  </si>
  <si>
    <t>MICU202402877</t>
  </si>
  <si>
    <t>pay 5/30/2024</t>
  </si>
  <si>
    <t>MICU202402888</t>
  </si>
  <si>
    <t>MICU202402885</t>
  </si>
  <si>
    <t>MICU202402902</t>
  </si>
  <si>
    <t>MICU202402876</t>
  </si>
  <si>
    <t>TSMC, 莊鎧瑋</t>
  </si>
  <si>
    <t>F21P1_A_CMS_O3 analyzer adapter</t>
  </si>
  <si>
    <t>MICU202402903</t>
  </si>
  <si>
    <t>TSMC, 林國聖/LITHO</t>
  </si>
  <si>
    <t>MISC_(21417931_tax/T1)Single barricade</t>
  </si>
  <si>
    <t>MICU202402878</t>
  </si>
  <si>
    <t>TSMC, 連凱泓/ME</t>
  </si>
  <si>
    <t>MISC_AZ TPT(Tax/U1) ME Barricade</t>
  </si>
  <si>
    <t>MICU202402879</t>
  </si>
  <si>
    <t>no GR record and receive list</t>
  </si>
  <si>
    <t>228</t>
  </si>
  <si>
    <t>Shared toilet_Aug to Dec</t>
  </si>
  <si>
    <t>MICU202401850</t>
  </si>
  <si>
    <t>242</t>
  </si>
  <si>
    <t>MICU202402901</t>
  </si>
  <si>
    <t>TSMC, Samuel</t>
  </si>
  <si>
    <t>MICU202402886</t>
  </si>
  <si>
    <t>MICU202402905</t>
  </si>
  <si>
    <t>MICU202402897</t>
  </si>
  <si>
    <t>MICU202402895</t>
  </si>
  <si>
    <t>1MUQOC2312011</t>
  </si>
  <si>
    <t>STRAND FIBER SM ARMORED CABLES</t>
  </si>
  <si>
    <t>MICU202402887</t>
  </si>
  <si>
    <t>崇濬</t>
  </si>
  <si>
    <t>TSMC F21 Heating Jacket Installation</t>
  </si>
  <si>
    <t>MICU202402910</t>
  </si>
  <si>
    <t>223</t>
  </si>
  <si>
    <t>USC23C035</t>
  </si>
  <si>
    <t xml:space="preserve">F21P1-0423_H_LSC connectors_MICU </t>
  </si>
  <si>
    <t>MICU202402853</t>
  </si>
  <si>
    <t>Return</t>
  </si>
  <si>
    <t>238</t>
  </si>
  <si>
    <t>USC23C048</t>
  </si>
  <si>
    <t>Okland</t>
  </si>
  <si>
    <t>Okland manpower 13th</t>
  </si>
  <si>
    <t>MICU202401839</t>
  </si>
  <si>
    <t>TSMC, Josie Cheng</t>
  </si>
  <si>
    <t xml:space="preserve"> CAP_E_F21P1 AMHS AC BOX Addition Design</t>
  </si>
  <si>
    <t>MICU202402867</t>
  </si>
  <si>
    <t>AMAT</t>
  </si>
  <si>
    <t>AMAT_4400837508_KIHIT5</t>
  </si>
  <si>
    <t>MICU202401815</t>
  </si>
  <si>
    <t>2/7/2024</t>
  </si>
  <si>
    <t>TV2301206274_4</t>
  </si>
  <si>
    <t>Muratec AMHS Support_Yung Cheng Feng_9 E2 Engineers</t>
  </si>
  <si>
    <t>MICU202401845</t>
  </si>
  <si>
    <t>2/8/2024</t>
  </si>
  <si>
    <t>Propersys Corp</t>
  </si>
  <si>
    <t>MICU202401851</t>
  </si>
  <si>
    <t>TSMC, 趙世安</t>
  </si>
  <si>
    <t>CAP_F_ PVD WAT angle support fee_P1A</t>
  </si>
  <si>
    <t>MICU202402874</t>
  </si>
  <si>
    <t>需補件</t>
  </si>
  <si>
    <t>229</t>
  </si>
  <si>
    <t>AMAT_4400772471_PVD_KSWGA1</t>
  </si>
  <si>
    <t>MICU202401846</t>
  </si>
  <si>
    <t>2/14/2024</t>
  </si>
  <si>
    <t>AMAT_4400772471_CVD_KCBDA4</t>
  </si>
  <si>
    <t>MICU202401847</t>
  </si>
  <si>
    <t>AMAT_4400772471_CVD_KCSMA2</t>
  </si>
  <si>
    <t>MICU202401848</t>
  </si>
  <si>
    <t>AMAT_4400772471_KESDA2</t>
  </si>
  <si>
    <t>MICU202401842</t>
  </si>
  <si>
    <t>AMAT_4400772471_KEMEA3</t>
  </si>
  <si>
    <t>MICU202402854</t>
  </si>
  <si>
    <t>AMAT_4400772471_KMOPA4-C</t>
  </si>
  <si>
    <t>MICU202402855</t>
  </si>
  <si>
    <t>TV2301206274-6</t>
  </si>
  <si>
    <t>Muratec AMHS Support_SINFONIA_E2 Engineers_Invoice</t>
  </si>
  <si>
    <t>MICU202402856</t>
  </si>
  <si>
    <t>TSMC, H.H Pan 潘信華</t>
  </si>
  <si>
    <t>[RM]F21_EUV_Crane_service contract</t>
  </si>
  <si>
    <t>MICU202402912</t>
  </si>
  <si>
    <t>USC24C002</t>
  </si>
  <si>
    <t>TSMC, H.H. Pan 潘信華 &lt;HHPAN@TSMC.COM&gt;</t>
  </si>
  <si>
    <t>(RM)F21_EUV_Crane service labor</t>
  </si>
  <si>
    <t>MICU202402913</t>
  </si>
  <si>
    <t>MICU202402863</t>
  </si>
  <si>
    <t>MICU2024061248</t>
  </si>
  <si>
    <t>2024-06</t>
  </si>
  <si>
    <t>MICU202403915</t>
  </si>
  <si>
    <t>MICU202403913</t>
  </si>
  <si>
    <t>MICU202403916</t>
  </si>
  <si>
    <t>MICU202403914</t>
  </si>
  <si>
    <t>MICU202403918</t>
  </si>
  <si>
    <t>203</t>
  </si>
  <si>
    <t>MICU202403917</t>
  </si>
  <si>
    <t>MICU202403920</t>
  </si>
  <si>
    <t>MICU202403922</t>
  </si>
  <si>
    <t>MICU202403923</t>
  </si>
  <si>
    <t>MICU202403924</t>
  </si>
  <si>
    <t>MICU202403919</t>
  </si>
  <si>
    <t>MICU202403925</t>
  </si>
  <si>
    <t>MICU202403928</t>
  </si>
  <si>
    <t>MICU202403927</t>
  </si>
  <si>
    <t>MICU202403930</t>
  </si>
  <si>
    <t>MICU202403932</t>
  </si>
  <si>
    <t>MICU202403929</t>
  </si>
  <si>
    <t>MICU202403926</t>
  </si>
  <si>
    <t>MICU202403931</t>
  </si>
  <si>
    <t>MICU202403934</t>
  </si>
  <si>
    <t>MICU202403933</t>
  </si>
  <si>
    <t>MICU202403935</t>
  </si>
  <si>
    <t>MICU202403936</t>
  </si>
  <si>
    <t>MICU202403937</t>
  </si>
  <si>
    <t>MICU202403977</t>
  </si>
  <si>
    <t>MICU202403979</t>
  </si>
  <si>
    <t>MICU2024031007</t>
  </si>
  <si>
    <t>might be returned by accounting team because of wrong invoice No.</t>
  </si>
  <si>
    <t>MICU2024031006</t>
  </si>
  <si>
    <t>MICU2024051148</t>
  </si>
  <si>
    <t>7/16/2024 Pay</t>
  </si>
  <si>
    <t>TSMC, 曜安</t>
  </si>
  <si>
    <t>MICU2024031003</t>
  </si>
  <si>
    <t>TSMC, Chin-Yu Wan</t>
  </si>
  <si>
    <t>MICU2024041070</t>
  </si>
  <si>
    <t>MICU2024031008</t>
  </si>
  <si>
    <t>F21P1 FAB Lab Security &amp; CCTV_Stage2</t>
  </si>
  <si>
    <t>MICU2024031001</t>
  </si>
  <si>
    <t>TSMC, 戴宇平&lt;YPTAIA@tsmc.com&gt;</t>
  </si>
  <si>
    <t>CAP_A_90772_簡訊平台</t>
  </si>
  <si>
    <t>USC22C035</t>
  </si>
  <si>
    <t>MICU202403998</t>
  </si>
  <si>
    <t xml:space="preserve">CAP_E_F21P1 AMHS non-MML seismic foundation install </t>
  </si>
  <si>
    <t>MICU2024051149_x000D_</t>
  </si>
  <si>
    <t>Please check Page 13 and provide full detail information, check MICU2024061237</t>
  </si>
  <si>
    <t>137</t>
  </si>
  <si>
    <t>TSMC, Chih Ching Lin</t>
  </si>
  <si>
    <t>F21P1 EBO AMC Monitor system</t>
  </si>
  <si>
    <t>MICU202403994</t>
  </si>
  <si>
    <t>TSMC, Sabrina Cervante</t>
  </si>
  <si>
    <t>F21P1 Gas Chemical Lab Additional Work</t>
  </si>
  <si>
    <t>MICU202403980</t>
  </si>
  <si>
    <t>6/14 Paid</t>
  </si>
  <si>
    <t>MICU202403992</t>
  </si>
  <si>
    <t>TSMC, 王鄧安</t>
  </si>
  <si>
    <t>MICU2024039789</t>
  </si>
  <si>
    <t>F21P1-0404_H_T&amp;M_MICU</t>
  </si>
  <si>
    <t>MICU202403949</t>
  </si>
  <si>
    <t>USC23C059</t>
  </si>
  <si>
    <t>MICU202403948</t>
  </si>
  <si>
    <t>TSMC, Kevin Chou</t>
  </si>
  <si>
    <t>F21P1 AMC package-IMS wipe test</t>
  </si>
  <si>
    <t>MICU202403988</t>
  </si>
  <si>
    <t>6/14/202 Pay</t>
  </si>
  <si>
    <t>MICU202403947</t>
  </si>
  <si>
    <t>MICU202403987</t>
  </si>
  <si>
    <t>MICU202403951</t>
  </si>
  <si>
    <t>MICU202403942</t>
  </si>
  <si>
    <t>MICU202403950</t>
  </si>
  <si>
    <t xml:space="preserve">TSMC, Y.F. Lai 賴易鋒 &lt;YFLAI@TSMC.COM&gt; </t>
  </si>
  <si>
    <t>power drain material</t>
  </si>
  <si>
    <t>MICU202403946</t>
  </si>
  <si>
    <t>MICU2024051165</t>
  </si>
  <si>
    <t>CAP_E_F21 VL14 Scaffold for Rail Adjustm</t>
  </si>
  <si>
    <t>MICU2024041068</t>
  </si>
  <si>
    <t>Aug 15, 2024 Paid</t>
  </si>
  <si>
    <t>MICU202403978</t>
  </si>
  <si>
    <t>MICU202403943</t>
  </si>
  <si>
    <t>this number is way higher</t>
  </si>
  <si>
    <t>4590015150_002</t>
  </si>
  <si>
    <t>F21P1-0404E2_H_Labor 4 months_MICU</t>
  </si>
  <si>
    <t>MICU202403944</t>
  </si>
  <si>
    <t xml:space="preserve">F21P1-0404_H_E2 Incentive </t>
  </si>
  <si>
    <t>MICU202403945</t>
  </si>
  <si>
    <t>MICU2024051174</t>
  </si>
  <si>
    <t>MICU202403939</t>
  </si>
  <si>
    <t>202</t>
  </si>
  <si>
    <t>MICU202403938</t>
  </si>
  <si>
    <t>MICU202403940</t>
  </si>
  <si>
    <t>MICU202403941</t>
  </si>
  <si>
    <t>TSMC, Analicia</t>
  </si>
  <si>
    <t>MISC_(TAX/T0)_(LB1 CCTV QTY6/MIC)</t>
  </si>
  <si>
    <t>MICU202403984</t>
  </si>
  <si>
    <t>sent to sponsor</t>
  </si>
  <si>
    <t>Micron US</t>
  </si>
  <si>
    <t>SOLBLE RN3000 - 250KG DRUM for Boise ID</t>
  </si>
  <si>
    <t>MICU202403955</t>
  </si>
  <si>
    <t>USC24C001</t>
  </si>
  <si>
    <t>SOLBLE RN3000 - 500KG,DRUM for Manassas VA</t>
  </si>
  <si>
    <t>MICU202403956</t>
  </si>
  <si>
    <t>Murata(Japan)</t>
  </si>
  <si>
    <t>TV2301206274-2</t>
  </si>
  <si>
    <t>MICU2024041013</t>
  </si>
  <si>
    <t>MICU202403958</t>
  </si>
  <si>
    <t>MICU202403975</t>
  </si>
  <si>
    <t>MICU202403976</t>
  </si>
  <si>
    <t>MICU202403997</t>
  </si>
  <si>
    <t>TSMC, 劉啟生</t>
  </si>
  <si>
    <t xml:space="preserve">AZ TPT,(565/T0)F21P1_CDC_CCTV(material) </t>
  </si>
  <si>
    <t>MICU202403990</t>
  </si>
  <si>
    <t xml:space="preserve">AZ TPT,(565/T0)F21P1_CDC_CCTV(labor) </t>
  </si>
  <si>
    <t>MICU202403991</t>
  </si>
  <si>
    <t>MICU2024031011</t>
  </si>
  <si>
    <t>MICU2024031005</t>
  </si>
  <si>
    <t>TSMC, 王靖尊</t>
  </si>
  <si>
    <t>4F IT Service Center Speed Gate</t>
  </si>
  <si>
    <t>MICU202403974</t>
  </si>
  <si>
    <t>F21P1 UPW A5 Backup Line Modification</t>
  </si>
  <si>
    <t>MICU2024039785</t>
  </si>
  <si>
    <t>MICU202403952</t>
  </si>
  <si>
    <t>MICU202403953</t>
  </si>
  <si>
    <t>MICU202403954</t>
  </si>
  <si>
    <t>MICU202403933_1</t>
  </si>
  <si>
    <t>TSMC, HHPAN@TSMC.COM</t>
  </si>
  <si>
    <t xml:space="preserve">MISC_[TAX/U1]_F21_EUV_Single barricade_ </t>
  </si>
  <si>
    <t>MICU202403966</t>
  </si>
  <si>
    <t>TSMC, 沈富群/DIF</t>
  </si>
  <si>
    <t>MISC_(TAX/U1)single tile barricade</t>
  </si>
  <si>
    <t>MICU202403962</t>
  </si>
  <si>
    <t>Pay 6/28/2024</t>
  </si>
  <si>
    <t>TSMC, 吳宗諺/PVD</t>
  </si>
  <si>
    <t>PVD2_Barricade for open tile use</t>
  </si>
  <si>
    <t>MICU202403964</t>
  </si>
  <si>
    <t>TSMC, 黃國威/CVD</t>
  </si>
  <si>
    <t>F21CVD1+2 barricade request</t>
  </si>
  <si>
    <t>MICU202403959</t>
  </si>
  <si>
    <t>MICU2024039782</t>
  </si>
  <si>
    <t>MICU202403973</t>
  </si>
  <si>
    <t>combine with other following month base on the phone call</t>
  </si>
  <si>
    <t>F21P1-0404_H_Seismic Install_MICU</t>
  </si>
  <si>
    <t>MICU2024039781</t>
  </si>
  <si>
    <t>MICU2024031010</t>
  </si>
  <si>
    <t>MICU2024031009</t>
  </si>
  <si>
    <t>4/1/2024 approved, 5/15/2024 pay</t>
  </si>
  <si>
    <t>MICU2024041021</t>
  </si>
  <si>
    <t>186</t>
  </si>
  <si>
    <t>MICU2024041022</t>
  </si>
  <si>
    <t>MICU2024041023</t>
  </si>
  <si>
    <t>MICU2024041024</t>
  </si>
  <si>
    <t>MICU2024041026</t>
  </si>
  <si>
    <t>MICU2024041025</t>
  </si>
  <si>
    <t>MICU2024041028</t>
  </si>
  <si>
    <t>MICU2024041027</t>
  </si>
  <si>
    <t>KSHMA1</t>
  </si>
  <si>
    <t>MICU202403967</t>
  </si>
  <si>
    <t>KSSWA1</t>
  </si>
  <si>
    <t>MICU202403968</t>
  </si>
  <si>
    <t>KSSWA2</t>
  </si>
  <si>
    <t>MICU202403969</t>
  </si>
  <si>
    <t>MICU2024041015</t>
  </si>
  <si>
    <t>MICU2024041016</t>
  </si>
  <si>
    <t>MICU2024041017</t>
  </si>
  <si>
    <t>MICU2024041014</t>
  </si>
  <si>
    <t xml:space="preserve">KDRNA1 SCR Cable cat and crimp </t>
  </si>
  <si>
    <t>MICU2024041018</t>
  </si>
  <si>
    <t>KDIGA1 SCR Cable Cut and Crimp</t>
  </si>
  <si>
    <t>MICU2024041019</t>
  </si>
  <si>
    <t>KDIGA4 SCR Cable Cut and Crimp</t>
  </si>
  <si>
    <t>MICU2024041020</t>
  </si>
  <si>
    <t>TV2301206274-5</t>
  </si>
  <si>
    <t>MICU202403957</t>
  </si>
  <si>
    <t>MICU2024041012</t>
  </si>
  <si>
    <t>4/1/2024</t>
  </si>
  <si>
    <t>4/9/2024</t>
  </si>
  <si>
    <t xml:space="preserve">KKDB05 Main Tool, EPDU Box, Termination, LAN Cable, </t>
  </si>
  <si>
    <t>MICU2024041029</t>
  </si>
  <si>
    <t>180</t>
  </si>
  <si>
    <t xml:space="preserve">Exhaust flexible tube 10ea and Clamps 20ea for KKDB04 </t>
  </si>
  <si>
    <t>MICU2024041030</t>
  </si>
  <si>
    <t xml:space="preserve">KPCD16 #2 Change Order EPDU Box &amp; Wire Terminations COR 0069 </t>
  </si>
  <si>
    <t>MICU2024041031</t>
  </si>
  <si>
    <t xml:space="preserve">LEVEL 1 GEN UPGRADES </t>
  </si>
  <si>
    <t>MICU2024041032</t>
  </si>
  <si>
    <t>Generator Upgrade</t>
  </si>
  <si>
    <t>MICU2024041033</t>
  </si>
  <si>
    <t>TSMC Fiber Optic Electrical to CUP</t>
  </si>
  <si>
    <t>MICU2024041034</t>
  </si>
  <si>
    <t>MICU2024041067</t>
  </si>
  <si>
    <t>MICU2024041037</t>
  </si>
  <si>
    <t>MICU2024041036</t>
  </si>
  <si>
    <t>MICU2024041076</t>
  </si>
  <si>
    <t xml:space="preserve">KCUVA3 AC Box Cover </t>
  </si>
  <si>
    <t>MICU2024041038</t>
  </si>
  <si>
    <t>169</t>
  </si>
  <si>
    <t xml:space="preserve">KCENA2 AC Box Cover </t>
  </si>
  <si>
    <t>MICU2024041039</t>
  </si>
  <si>
    <t>KCUVA3 Under RMF AC Junction Box</t>
  </si>
  <si>
    <t>MICU2024041040</t>
  </si>
  <si>
    <t xml:space="preserve">KCEPA2 AC Box Cover </t>
  </si>
  <si>
    <t>MICU2024041041</t>
  </si>
  <si>
    <t>KDRNA1 AC Box Cover</t>
  </si>
  <si>
    <t>MICU2024041042</t>
  </si>
  <si>
    <t xml:space="preserve">KSSBA9 AC Box Cover </t>
  </si>
  <si>
    <t>MICU2024041043</t>
  </si>
  <si>
    <t>KCSMA5 Main Tool, AC Top Plate, Under RMF, Water Manif</t>
  </si>
  <si>
    <t>MICU2024041044</t>
  </si>
  <si>
    <t>KCSMA1 Main Tool, AC Cover Plate, Under RMF, Water Manifolds</t>
  </si>
  <si>
    <t>MICU2024041045</t>
  </si>
  <si>
    <t xml:space="preserve">KCFLA3 Main Tool, AC Cover Plate, Under RMF, Water Manifolds </t>
  </si>
  <si>
    <t>MICU2024041047</t>
  </si>
  <si>
    <t>KCASA2 Main Tool, AC Cover Plate, Under RMF, Water Manifolds</t>
  </si>
  <si>
    <t>MICU2024041048</t>
  </si>
  <si>
    <t>KEEBA2 Main Tool, AC Cover Plate</t>
  </si>
  <si>
    <t>MICU2024041049</t>
  </si>
  <si>
    <t xml:space="preserve">KEPAA2 Main Tool, AC Cover Plate </t>
  </si>
  <si>
    <t>MICU2024041050</t>
  </si>
  <si>
    <t xml:space="preserve">KEMEA1 Main Tool, AC Cover Plate </t>
  </si>
  <si>
    <t>MICU2024041051</t>
  </si>
  <si>
    <t xml:space="preserve">KCWPA2 Main Tool, AC Cover Plate </t>
  </si>
  <si>
    <t>MICU2024041052</t>
  </si>
  <si>
    <t>KDRNA1 Main Tool, AC TOP PLATE, SCR Conduit, Ground Cable, Connect and Torque, Drill Hole in Transformer and 9 lugs</t>
  </si>
  <si>
    <t>MICU2024041053</t>
  </si>
  <si>
    <t>KDIGA1 Main Tool, SCR Conduit, Ground Cable, Connect and Torque, Drill Hole in Transformer.</t>
  </si>
  <si>
    <t>MICU2024041054</t>
  </si>
  <si>
    <t xml:space="preserve">KKSV03 Main Tool, EPDU Box, Terminations, Dry Pump Cables </t>
  </si>
  <si>
    <t>MICU2024041055</t>
  </si>
  <si>
    <t>KEEBA1 CHANGE ORDER KEEBA1 AC Top Plate</t>
  </si>
  <si>
    <t>MICU2024041056</t>
  </si>
  <si>
    <t xml:space="preserve">KMOPA5-C Main Tool, AC Top Plate </t>
  </si>
  <si>
    <t>MICU2024041057</t>
  </si>
  <si>
    <t>KCOLA1 Main Tool, AC Cover Plate, Under RMF, Water Manifolds</t>
  </si>
  <si>
    <t>MICU2024041046</t>
  </si>
  <si>
    <t>MICU2024041072</t>
  </si>
  <si>
    <t>MICU2024041073</t>
  </si>
  <si>
    <t>MICU2024041074</t>
  </si>
  <si>
    <t>MICU2024041075</t>
  </si>
  <si>
    <t>MICU202312774</t>
  </si>
  <si>
    <t>KCHPA1 Main tool, AC Top plate, Under RMF, Water Manifolds.</t>
  </si>
  <si>
    <t>MICU2024041078</t>
  </si>
  <si>
    <t>167</t>
  </si>
  <si>
    <t>KCSMA4 Main Tool, AC Cover Plate, Under RMF, Water Manifolds</t>
  </si>
  <si>
    <t>MICU2024041079</t>
  </si>
  <si>
    <t>KCWPA1 Main Tool, AC Cover Plate</t>
  </si>
  <si>
    <t>MICU2024041080</t>
  </si>
  <si>
    <t xml:space="preserve">KCOXA1 Main Tool, AC Top Plate, Under RMF Junction Box, Water Manifolds </t>
  </si>
  <si>
    <t>MICU2024041081</t>
  </si>
  <si>
    <t xml:space="preserve">KCASA1 Main Tool, AC Top Plate, Under RMF Junction Box, Water Manifolds </t>
  </si>
  <si>
    <t>MICU2024041082</t>
  </si>
  <si>
    <t>MICU2024041108</t>
  </si>
  <si>
    <t>162</t>
  </si>
  <si>
    <t>MICU2024041088</t>
  </si>
  <si>
    <t>MICU2024041112</t>
  </si>
  <si>
    <t>MICU2024041116</t>
  </si>
  <si>
    <t>MICU2024041121</t>
  </si>
  <si>
    <t>MICU2024041109</t>
  </si>
  <si>
    <t>MICU2024041090</t>
  </si>
  <si>
    <t>MICU2024041115</t>
  </si>
  <si>
    <t>MICU2024041092</t>
  </si>
  <si>
    <t>MICU2024041093</t>
  </si>
  <si>
    <t>應為有稅單, 通過後記得要請台積財務讓我們補含稅invoice, pay 5/30/2024</t>
  </si>
  <si>
    <t>MICU2024041110</t>
  </si>
  <si>
    <t>MICU2024041103</t>
  </si>
  <si>
    <t>MICU2024041111</t>
  </si>
  <si>
    <t>6/14/2024 Pay</t>
  </si>
  <si>
    <t>reuturned on 3/15/2024, please provide pictures of material with the date of picture was taken. Re-submit on 4/17</t>
  </si>
  <si>
    <t xml:space="preserve">Murata(US) </t>
  </si>
  <si>
    <t>PO048876</t>
  </si>
  <si>
    <t>F21 P1 Power Design</t>
  </si>
  <si>
    <t>USC23C011</t>
  </si>
  <si>
    <t>MICU2024041095</t>
  </si>
  <si>
    <t>MICU2024041087</t>
  </si>
  <si>
    <t>6/15/2024 Pay</t>
  </si>
  <si>
    <t>MICU2024041106</t>
  </si>
  <si>
    <t>MICU2024041105</t>
  </si>
  <si>
    <t>MICU2024041120</t>
  </si>
  <si>
    <t>TSMC, Scott Smith/F21-ISEP</t>
  </si>
  <si>
    <t>cabinets transport and installation</t>
  </si>
  <si>
    <t>MICU2024041118</t>
  </si>
  <si>
    <t>July 15,2024</t>
  </si>
  <si>
    <t>USC23C049</t>
  </si>
  <si>
    <t>TSMC, 楊子青</t>
  </si>
  <si>
    <t xml:space="preserve">Sandblasting room extended drain line </t>
  </si>
  <si>
    <t>MICU2024041094</t>
  </si>
  <si>
    <t>MICU2024041098</t>
  </si>
  <si>
    <t>MICU2024041117</t>
  </si>
  <si>
    <t>5/15/2024 Pay</t>
  </si>
  <si>
    <t>MICU2024041077</t>
  </si>
  <si>
    <t>F21P1 WWT LB2 Support Modification</t>
  </si>
  <si>
    <t>MICU2024041083</t>
  </si>
  <si>
    <t>MICU2024041091</t>
  </si>
  <si>
    <t>MICU2024041086</t>
  </si>
  <si>
    <t>TSMC, Rogan Wang / Charlie Yeh</t>
  </si>
  <si>
    <t>F21P1 Office Security IT Room CCTV</t>
  </si>
  <si>
    <t>MICU2024041096</t>
  </si>
  <si>
    <t>CAP_SP1_3D繪圖人力</t>
  </si>
  <si>
    <t>Expect to add in USC22C017</t>
  </si>
  <si>
    <t>MICU2024041119</t>
  </si>
  <si>
    <t>MICU2024041113</t>
  </si>
  <si>
    <t>MICU2024041114</t>
  </si>
  <si>
    <t>MICU2024041104</t>
  </si>
  <si>
    <t>MICU2024041085</t>
  </si>
  <si>
    <t>MICU2024041107</t>
  </si>
  <si>
    <t>4590007694_011</t>
  </si>
  <si>
    <t>CAP_F_ 90760 DPM Connection Project</t>
  </si>
  <si>
    <t>MICU2024041097</t>
  </si>
  <si>
    <t>4590007694_015</t>
  </si>
  <si>
    <t>CAP_F_ 90764 DPM Connection Project</t>
  </si>
  <si>
    <t>MICU2024041099</t>
  </si>
  <si>
    <t>4590007694_016</t>
  </si>
  <si>
    <t>CAP_F_ 90765 DPM Connection Project</t>
  </si>
  <si>
    <t>MICU2024041100</t>
  </si>
  <si>
    <t>4590007694_017</t>
  </si>
  <si>
    <t>CAP_F_ 90766 DPM Connection Project</t>
  </si>
  <si>
    <t>MICU2024041101</t>
  </si>
  <si>
    <t>4590007694_018</t>
  </si>
  <si>
    <t>CAP_F_ 90767 DPM Connection Project</t>
  </si>
  <si>
    <t>MICU2024041102</t>
  </si>
  <si>
    <t>TSMC, Chris Grider &lt;CGRIDER@TSMC.COM&gt;; SCKUOE@TSMC.COM</t>
  </si>
  <si>
    <t>MICU2024041071</t>
  </si>
  <si>
    <t>MICU2024041089</t>
  </si>
  <si>
    <t>Paid Sep 13, 2024</t>
  </si>
  <si>
    <t>MICU202405001</t>
  </si>
  <si>
    <t>MICU2024041108_01</t>
  </si>
  <si>
    <t>MICU202405011</t>
  </si>
  <si>
    <t>MICU202405012</t>
  </si>
  <si>
    <t>159</t>
  </si>
  <si>
    <t>MICU2024041122</t>
  </si>
  <si>
    <t>KMWPA2-C Main Tool, AC Top Plate</t>
  </si>
  <si>
    <t>MICU202405010</t>
  </si>
  <si>
    <t>160</t>
  </si>
  <si>
    <t xml:space="preserve"> KCBDA5 Main Tool, AC Top Plate, Under RMF Junction Box, Water  Manifolds </t>
  </si>
  <si>
    <t>MICU202405009</t>
  </si>
  <si>
    <t xml:space="preserve">KSSBA1 AC Cover plate </t>
  </si>
  <si>
    <t>MICU202405008</t>
  </si>
  <si>
    <t>KSANA1 Main Tool, AC Cover Plate</t>
  </si>
  <si>
    <t>MICU202405007</t>
  </si>
  <si>
    <t>KSHMA2 Main Tool, AC Cover Plate</t>
  </si>
  <si>
    <t>MICU202405006</t>
  </si>
  <si>
    <t xml:space="preserve">KSCCA1 Main Tool, AC Cover Plate </t>
  </si>
  <si>
    <t>MICU202405005</t>
  </si>
  <si>
    <t xml:space="preserve">KSSBA5 Main Tool, AC Cover Plate </t>
  </si>
  <si>
    <t>MICU202405004</t>
  </si>
  <si>
    <t>KSMGA1 Main Tool, AC Cover Plate</t>
  </si>
  <si>
    <t>MICU202405003</t>
  </si>
  <si>
    <t xml:space="preserve">KSCPA1 Main Tool, AC Cover Plate </t>
  </si>
  <si>
    <t>MICU202405002</t>
  </si>
  <si>
    <t>MICU202405015</t>
  </si>
  <si>
    <t>4590017712_001</t>
  </si>
  <si>
    <t>F21P1-0423_H_Labor 1 months_MICU</t>
  </si>
  <si>
    <t>MICU202405013</t>
  </si>
  <si>
    <t>4590017712_002</t>
  </si>
  <si>
    <t>F21P1-0423E2_H_Labor 1 months_MICU</t>
  </si>
  <si>
    <t>MICU202405014</t>
  </si>
  <si>
    <t>MICU202405016</t>
  </si>
  <si>
    <t>EUV Maintain</t>
  </si>
  <si>
    <t>MICU202405018</t>
  </si>
  <si>
    <t>151</t>
  </si>
  <si>
    <t>Expect to add in USC24C002</t>
  </si>
  <si>
    <t>MICU202405019</t>
  </si>
  <si>
    <t xml:space="preserve"> MICU2024051135_x000D_</t>
  </si>
  <si>
    <t>MICU2024051133</t>
  </si>
  <si>
    <t>6/28/2024 paid</t>
  </si>
  <si>
    <t>MICU2024051134_x000D_</t>
  </si>
  <si>
    <t>MICU2024051132</t>
  </si>
  <si>
    <t>F21P1 THC</t>
  </si>
  <si>
    <t>MICU2024051131</t>
  </si>
  <si>
    <t>MICU2024051136</t>
  </si>
  <si>
    <t>MICU2024051137</t>
  </si>
  <si>
    <t>MICU2024051138</t>
  </si>
  <si>
    <t>July 15,2024 Pay</t>
  </si>
  <si>
    <t>MICU2024051139</t>
  </si>
  <si>
    <t>MICU2024051140</t>
  </si>
  <si>
    <t>MICU2024051172_x000D_</t>
  </si>
  <si>
    <t>F21P1 UPW package (USA EQ + Installation)</t>
  </si>
  <si>
    <t xml:space="preserve"> MICU2024051142_x000D_</t>
  </si>
  <si>
    <t xml:space="preserve"> F21P1 Slurry Package</t>
  </si>
  <si>
    <t>MICU2024051143</t>
  </si>
  <si>
    <t>MICU2024051144</t>
  </si>
  <si>
    <t>MICU2024051145</t>
  </si>
  <si>
    <t>MICU202306462</t>
  </si>
  <si>
    <t>MICU202310633</t>
  </si>
  <si>
    <t>MICU202312753</t>
  </si>
  <si>
    <t>MICU2024051151_x000D_</t>
  </si>
  <si>
    <t>MICU2024051152</t>
  </si>
  <si>
    <t>7/15/2024 Paid</t>
  </si>
  <si>
    <t>MICU2024051153</t>
  </si>
  <si>
    <t>MICU2024051154_x000D_</t>
  </si>
  <si>
    <t>F21P1 Slurry 2 Additional Set Install</t>
  </si>
  <si>
    <t>MICU2024051155</t>
  </si>
  <si>
    <t>F21P1-0404_H_UPW DP Panel</t>
  </si>
  <si>
    <t>MICU2024051127</t>
  </si>
  <si>
    <t>7/15/2024 Pay</t>
  </si>
  <si>
    <t>MICU2024051173</t>
  </si>
  <si>
    <t>MICU2024061231</t>
  </si>
  <si>
    <t>MICU2024051157_x000D_</t>
  </si>
  <si>
    <t>MICU2024051158</t>
  </si>
  <si>
    <t>MICU2024051159</t>
  </si>
  <si>
    <t>MICU2024051160</t>
  </si>
  <si>
    <t>MICU2024051161_x000D_</t>
  </si>
  <si>
    <t>MICU2024051162_x000D_</t>
  </si>
  <si>
    <t>MICU2024051163</t>
  </si>
  <si>
    <t>MICU2024051164</t>
  </si>
  <si>
    <t>TSMC, Stanley Chen 陳嘉宏 CHENCHZW@TSMC.COM/ David C.C.Fu 傅至傑 CCFUC@TSMC.COM</t>
  </si>
  <si>
    <t>CAP_E_F21P1_AMHS_Power Panel SWB fingers</t>
  </si>
  <si>
    <t>USC23C052</t>
  </si>
  <si>
    <t xml:space="preserve"> Lorry and tunnel common support</t>
  </si>
  <si>
    <t>MICU2024051166</t>
  </si>
  <si>
    <t>MICU2024051167_x000D_</t>
  </si>
  <si>
    <t>MICU2024051168</t>
  </si>
  <si>
    <t>MICU2024051169</t>
  </si>
  <si>
    <t>MICU2024051170</t>
  </si>
  <si>
    <t>6/6/2024</t>
  </si>
  <si>
    <t>MICU2024051171</t>
  </si>
  <si>
    <t>MICU2024051176</t>
  </si>
  <si>
    <t xml:space="preserve">F21P1 TMAH package (USA EQ + Installation) </t>
  </si>
  <si>
    <t>MICU2024051177</t>
  </si>
  <si>
    <t>MICU2024051178_x000D_</t>
  </si>
  <si>
    <t>MICU2024051147</t>
  </si>
  <si>
    <t>7/14/2024 Pay</t>
  </si>
  <si>
    <t>F21P1 0423 Chemical</t>
  </si>
  <si>
    <t>MICU2024051125</t>
  </si>
  <si>
    <t>MICU2024051128</t>
  </si>
  <si>
    <t>MICU2024051129</t>
  </si>
  <si>
    <t>F21P1-0404_H_UPW</t>
  </si>
  <si>
    <t>MICU2024051123</t>
  </si>
  <si>
    <t>Aug 15,2024</t>
  </si>
  <si>
    <t>F21P1-0423_H_UPW</t>
  </si>
  <si>
    <t>MICU2024051126</t>
  </si>
  <si>
    <t>TSMC, Jonathan Kang &lt;HSUANK@TSMC.COM&gt;</t>
  </si>
  <si>
    <t>CAP_E_F21P1 AMHS EUV Area 2 Scaffolding</t>
  </si>
  <si>
    <t>MICU2024061232_x000D_</t>
  </si>
  <si>
    <t>MICU2024051130</t>
  </si>
  <si>
    <t>F21P1-0404_H_T&amp;M</t>
  </si>
  <si>
    <t>MICU2024051141</t>
  </si>
  <si>
    <t>F21P1-0423_H_3D modeling</t>
  </si>
  <si>
    <t>MICU2024051175</t>
  </si>
  <si>
    <t>F21P1-0404E2_H_Seismic Install</t>
  </si>
  <si>
    <t>MICU2024051181</t>
  </si>
  <si>
    <t>MICU2024051180</t>
  </si>
  <si>
    <t>MICU2024051179</t>
  </si>
  <si>
    <t xml:space="preserve">Re-submit  MICU2024071291 </t>
  </si>
  <si>
    <t>4590018396_100</t>
  </si>
  <si>
    <t>F21P1-0404_H_E2 Management</t>
  </si>
  <si>
    <t>MICU2024051183</t>
  </si>
  <si>
    <t>Paid 6/28/2024</t>
  </si>
  <si>
    <t>4590018396_200</t>
  </si>
  <si>
    <t>F21P1-0404E2_H_E2 Management</t>
  </si>
  <si>
    <t>MICU2024051184</t>
  </si>
  <si>
    <t>Paid 6/27/2024</t>
  </si>
  <si>
    <t>MICU2024051185</t>
  </si>
  <si>
    <t>1MUQTS2308055_03</t>
  </si>
  <si>
    <t>TSMC F21P1 FMCS Cycber Security _Onshore</t>
  </si>
  <si>
    <t>MICU2024051186</t>
  </si>
  <si>
    <t>MICU2024061191</t>
  </si>
  <si>
    <t>CAP_A_MFG_F21-TSMC F21P1 A Side Cabinet</t>
  </si>
  <si>
    <t>MICU2024051156</t>
  </si>
  <si>
    <t>Should apply 100% since the contruction was completed</t>
  </si>
  <si>
    <t>MICU2024051182</t>
  </si>
  <si>
    <t>130</t>
  </si>
  <si>
    <t>MICU2024061216</t>
  </si>
  <si>
    <t>MICU2024061209</t>
  </si>
  <si>
    <t>110</t>
  </si>
  <si>
    <t>MICU2024061217</t>
  </si>
  <si>
    <t>MICU2024061215_x000D_</t>
  </si>
  <si>
    <t>MICU2024061210</t>
  </si>
  <si>
    <t>MICU2024061214_x000D_</t>
  </si>
  <si>
    <t>MICU2024061213_x000D_</t>
  </si>
  <si>
    <t>MICU2024061218_x000D_</t>
  </si>
  <si>
    <t>MICU2024061211_x000D_</t>
  </si>
  <si>
    <t>MICU2024061220</t>
  </si>
  <si>
    <t>MICU2024061212</t>
  </si>
  <si>
    <t>MICU2024061219</t>
  </si>
  <si>
    <t>TSMC, WENZHI(WENZHI@TSMC.COM</t>
  </si>
  <si>
    <t>MICU2024061207</t>
  </si>
  <si>
    <t>6/21/2024</t>
  </si>
  <si>
    <t xml:space="preserve">TSMC, Marios Christofides &lt;MCHRISTO@TSMC.COM&gt; </t>
  </si>
  <si>
    <t>F21P1-0404_H_UPW DP Panel_MICU</t>
  </si>
  <si>
    <t>MICU2024061206</t>
  </si>
  <si>
    <t>TSMC,Hookup</t>
  </si>
  <si>
    <t>MICU2024061205</t>
  </si>
  <si>
    <t>MICU2024061208</t>
  </si>
  <si>
    <t>MICU2024061221</t>
  </si>
  <si>
    <t>F21P1 0423_H_T_M_MICU_MISC</t>
  </si>
  <si>
    <t>MICU2024061223</t>
  </si>
  <si>
    <t>MICU2024061225</t>
  </si>
  <si>
    <t>CAP_E_F21P1 MML Anchor Permit Paperwork</t>
  </si>
  <si>
    <t>MICU202402908</t>
  </si>
  <si>
    <t>MICU2024061227</t>
  </si>
  <si>
    <t>MICU2024061226</t>
  </si>
  <si>
    <t>MICU2024061222</t>
  </si>
  <si>
    <t>TSMC, David CCFu</t>
  </si>
  <si>
    <t>F21P1 AMHS Power Projects Combined</t>
  </si>
  <si>
    <t>MICU2024061233</t>
  </si>
  <si>
    <t>July 16, 2024 Pay</t>
  </si>
  <si>
    <t>MICU2024061224</t>
  </si>
  <si>
    <t>109</t>
  </si>
  <si>
    <t>TSMC, 威昂</t>
  </si>
  <si>
    <t>CAP_A_MFG_F21 不鏽鋼儲放光罩二門單面氣體排氣櫃 (material)</t>
  </si>
  <si>
    <t>MICU202310635</t>
  </si>
  <si>
    <t>Aug 15,2024 should be paid but TSMC have a Sales Tax concern (Please move out sales tax from JCAN)</t>
  </si>
  <si>
    <t>MICU2024061228</t>
  </si>
  <si>
    <t>CAP_A_MFG_F21P1 All 零星工程_SecurityCCTV Pa (labor)</t>
  </si>
  <si>
    <t>MICU2024061229</t>
  </si>
  <si>
    <t>6/25/2024</t>
  </si>
  <si>
    <t>Oct 14 Paid</t>
  </si>
  <si>
    <t>MICU2024061236</t>
  </si>
  <si>
    <t>MICU2024061235</t>
  </si>
  <si>
    <t>MICU2024061237</t>
  </si>
  <si>
    <t>Owner reject and comment report need to be correct</t>
  </si>
  <si>
    <t>105</t>
  </si>
  <si>
    <t>CAP_A_MFG_F21P1 All 零星工程_SecurityCCTV Pa (material)</t>
  </si>
  <si>
    <t>MICU2024061230</t>
  </si>
  <si>
    <t>MICU2024061234_x000D_</t>
  </si>
  <si>
    <t>Organo</t>
  </si>
  <si>
    <t>LH0310001</t>
  </si>
  <si>
    <t>TOC Analyzer</t>
  </si>
  <si>
    <t>MICU2024061242</t>
  </si>
  <si>
    <t>USC24C013</t>
  </si>
  <si>
    <t>MICU2024061241</t>
  </si>
  <si>
    <t>MICU2024061243</t>
  </si>
  <si>
    <t>MICU2024061239</t>
  </si>
  <si>
    <t>MICU2024061238</t>
  </si>
  <si>
    <t>MICU2024061240</t>
  </si>
  <si>
    <t>Kanken Storage for 2023 Sep</t>
  </si>
  <si>
    <t>MICU202311703</t>
  </si>
  <si>
    <t>MICU2024061244_x000D_</t>
  </si>
  <si>
    <t xml:space="preserve"> F21P1 CDS &amp; WCCS CO2 Suppression System</t>
  </si>
  <si>
    <t>MICU2024061245</t>
  </si>
  <si>
    <t>USC24C006</t>
  </si>
  <si>
    <t>MICU2024061247</t>
  </si>
  <si>
    <t>102</t>
  </si>
  <si>
    <t>TSMC,Anson Lin 林國聖</t>
  </si>
  <si>
    <t>MICU2024031002</t>
  </si>
  <si>
    <t xml:space="preserve"> F21P1B_H_Labor 4 months_MICU</t>
  </si>
  <si>
    <t xml:space="preserve"> MICU2024071249</t>
  </si>
  <si>
    <t>7/9/2024</t>
  </si>
  <si>
    <t>USC24C015</t>
  </si>
  <si>
    <t>MICU2024071252</t>
  </si>
  <si>
    <t xml:space="preserve"> MICU2024071251</t>
  </si>
  <si>
    <t>MICU2024071250</t>
  </si>
  <si>
    <t>TV2301206274-8</t>
  </si>
  <si>
    <t>Muratec AMHS E2 Support_Yisin and YCF</t>
  </si>
  <si>
    <t>MICU2024071253</t>
  </si>
  <si>
    <t>MICU2024071256</t>
  </si>
  <si>
    <t>TSMC, Chong-Cheng</t>
  </si>
  <si>
    <t>MICU2024071281_x000D_</t>
  </si>
  <si>
    <t>MICU2024071283</t>
  </si>
  <si>
    <t>TSMC, 陳嘉宏/Stanley Chen/052598/F21-AMHS/7713511</t>
  </si>
  <si>
    <t>MICU2024071279</t>
  </si>
  <si>
    <t>MICU2024071280</t>
  </si>
  <si>
    <t xml:space="preserve">Joise ask to revise </t>
  </si>
  <si>
    <t>81</t>
  </si>
  <si>
    <t>MICU2024071282</t>
  </si>
  <si>
    <t>MICU2024071284_x000D_</t>
  </si>
  <si>
    <t>MICU2024071285</t>
  </si>
  <si>
    <t>TSMC, Jonathan Kang/Jonathan Kang/116191/F21-AMHS/7713514</t>
  </si>
  <si>
    <t>MICU2024071286</t>
  </si>
  <si>
    <t>MICU2024071287</t>
  </si>
  <si>
    <t>MICU2024071290</t>
  </si>
  <si>
    <t>MICU2024071291</t>
  </si>
  <si>
    <t>TSMC, Amy</t>
  </si>
  <si>
    <t>F21P1 Seismic Monitor</t>
  </si>
  <si>
    <t>MICU2024071292</t>
  </si>
  <si>
    <t>F21P1 UPW Cable Tray Reroute per Code</t>
  </si>
  <si>
    <t>MICU2024071293</t>
  </si>
  <si>
    <t>TSMC, 陳嘉宏</t>
  </si>
  <si>
    <t>MICU2024071294_x000D_</t>
  </si>
  <si>
    <t>F21P1 UPW Fiber Repull from Damage</t>
  </si>
  <si>
    <t>MICU2024071306</t>
  </si>
  <si>
    <t>F21P1 UPW WRC L20 Trench Modification</t>
  </si>
  <si>
    <t>MICU2024071307</t>
  </si>
  <si>
    <t>F21P1 UPW Temp UPW Supply for ICPMS</t>
  </si>
  <si>
    <t>MICU2024071308</t>
  </si>
  <si>
    <t>F21P1 UPW B Side MAU DI Temp Solution</t>
  </si>
  <si>
    <t>MICU2024071309</t>
  </si>
  <si>
    <t>F21P1 UPW Labor Incentive Nov 2023</t>
  </si>
  <si>
    <t>MICU2024071303</t>
  </si>
  <si>
    <t>USC23C045</t>
  </si>
  <si>
    <t>F21P1 WWT Labor Incentive Nov 2023</t>
  </si>
  <si>
    <t>MICU2024071302</t>
  </si>
  <si>
    <t xml:space="preserve">F21P1 CDS Labor Incentive Nov 2023 </t>
  </si>
  <si>
    <t>MICU2024071304</t>
  </si>
  <si>
    <t>MICU2024071305</t>
  </si>
  <si>
    <t>78</t>
  </si>
  <si>
    <t>MICU2024071311</t>
  </si>
  <si>
    <t>Submitted</t>
  </si>
  <si>
    <t>MICU2024071310</t>
  </si>
  <si>
    <t>MICU2024071300</t>
  </si>
  <si>
    <t>MICU2024071299</t>
  </si>
  <si>
    <t>MICU2024071298</t>
  </si>
  <si>
    <t>TSMC UPW P1B materials_panels</t>
  </si>
  <si>
    <t>MICU2024071297</t>
  </si>
  <si>
    <t>F21P1-0423_H_E2 Management 4 Months</t>
  </si>
  <si>
    <t xml:space="preserve"> MICU2024071296</t>
  </si>
  <si>
    <t>F21P1-0423_H_E2 Labor 4 Months</t>
  </si>
  <si>
    <t>MICU2024071295</t>
  </si>
  <si>
    <t>MICU2024071313</t>
  </si>
  <si>
    <t>MICU2024071314_x000D_</t>
  </si>
  <si>
    <t>MICU2024071315_x000D_</t>
  </si>
  <si>
    <t>MICU2024071316</t>
  </si>
  <si>
    <t>F21_PDPFA lab add two CCTV for OWMC requ</t>
  </si>
  <si>
    <t>MICU2024071317</t>
  </si>
  <si>
    <t>F21P1 Add Card Reader at Material Gate</t>
  </si>
  <si>
    <t>MICU2024071318</t>
  </si>
  <si>
    <t>F21P1 Speed Gate at Tent and CR Entrance</t>
  </si>
  <si>
    <t>MICU2024071319</t>
  </si>
  <si>
    <t>MICU2024071322_x000D_</t>
  </si>
  <si>
    <t>F21P1 UPW WRC NFPA Sign Installation</t>
  </si>
  <si>
    <t>MICU2024071320</t>
  </si>
  <si>
    <t>TSMC, Grant Shih &lt;YUSHIH@TSMC.COM&gt;</t>
  </si>
  <si>
    <t>F21P1 VOC MC Cable</t>
  </si>
  <si>
    <t>MICU2024071321</t>
  </si>
  <si>
    <t>MICU2024071323</t>
  </si>
  <si>
    <t>F21P1 UPW Piping Damaged by Others</t>
  </si>
  <si>
    <t>MICU2024071324_x000D_</t>
  </si>
  <si>
    <t>F21P1 UPW ABG-A Submain Modification</t>
  </si>
  <si>
    <t>MICU2024071325_x000D_</t>
  </si>
  <si>
    <t>MICU2024071326</t>
  </si>
  <si>
    <t>MICU2024071327</t>
  </si>
  <si>
    <t>MICU2024071329</t>
  </si>
  <si>
    <t>Send to sponsor</t>
  </si>
  <si>
    <t>75</t>
  </si>
  <si>
    <t>MICU2024071328</t>
  </si>
  <si>
    <t>MICU2024071331</t>
  </si>
  <si>
    <t>MICU2024071332_x000D_</t>
  </si>
  <si>
    <t>F21P1 CDS Pressure Test Appeal for PFC</t>
  </si>
  <si>
    <t>MICU2024071333</t>
  </si>
  <si>
    <t>USC24C014</t>
  </si>
  <si>
    <t>MICU2024071334</t>
  </si>
  <si>
    <t>Sep 30,2024</t>
  </si>
  <si>
    <t>MICU2024071330</t>
  </si>
  <si>
    <t>F21P1 WWT Doors &amp;Triazole HK Pad Mod</t>
  </si>
  <si>
    <t>MICU2024071335</t>
  </si>
  <si>
    <t>MICU2024071336</t>
  </si>
  <si>
    <t>F21P1 THC Extension for WRC Scrubbers</t>
  </si>
  <si>
    <t>MICU2024071337</t>
  </si>
  <si>
    <t>MICU2024071341</t>
  </si>
  <si>
    <t>TSMC鄧安/施予</t>
  </si>
  <si>
    <t>F21P1 MICU Settlement 1st_VOC</t>
  </si>
  <si>
    <t>MICU2024071338</t>
  </si>
  <si>
    <t>Aug 15 Paid</t>
  </si>
  <si>
    <t>F21P1 MICU Settlement 1st_CDS</t>
  </si>
  <si>
    <t>MICU2024071339</t>
  </si>
  <si>
    <t>F21P1 MICU Settlement 1st_WCCS</t>
  </si>
  <si>
    <t>MICU2024071340</t>
  </si>
  <si>
    <t>F21P1 WWT AWN Enzyme Dosing Improvement</t>
  </si>
  <si>
    <t>MICU2024071342</t>
  </si>
  <si>
    <t>F21P1 MICU Settlement 1st_WWT</t>
  </si>
  <si>
    <t>MICU2024071344</t>
  </si>
  <si>
    <t>F21P1 MICU Settlement 1st_UPW</t>
  </si>
  <si>
    <t>MICU2024071343</t>
  </si>
  <si>
    <t>F21P1 Security &amp; CCTV DCR</t>
  </si>
  <si>
    <t>MICU2024071345</t>
  </si>
  <si>
    <t xml:space="preserve">SOLBLE RN3000 - 250KG DRUM </t>
  </si>
  <si>
    <t>MICU2024071346</t>
  </si>
  <si>
    <t>MICU202307506</t>
  </si>
  <si>
    <t>MICU2024081347</t>
  </si>
  <si>
    <t>2024-08</t>
  </si>
  <si>
    <t>Low Voltage</t>
  </si>
  <si>
    <t>MICU2024071296</t>
  </si>
  <si>
    <t>8/7/2024</t>
  </si>
  <si>
    <t>TSMC Diesel Pump Power Circuit Relocate(Option#2)</t>
  </si>
  <si>
    <t>MICU2024081349</t>
  </si>
  <si>
    <t>Expect to add in USC22C003</t>
  </si>
  <si>
    <t>MICU202402866</t>
  </si>
  <si>
    <t>2/21/2024</t>
  </si>
  <si>
    <t>MICU2024081350</t>
  </si>
  <si>
    <t>華懋Dtech</t>
  </si>
  <si>
    <t>DTC840AZ</t>
  </si>
  <si>
    <t>VOC系統維修工程</t>
  </si>
  <si>
    <t>MICU202305437</t>
  </si>
  <si>
    <t>5/25/2023</t>
  </si>
  <si>
    <t>502</t>
  </si>
  <si>
    <t>華懋DTech</t>
  </si>
  <si>
    <t>DTC845AZ</t>
  </si>
  <si>
    <t>MICU202309583</t>
  </si>
  <si>
    <t>9/05/2023</t>
  </si>
  <si>
    <t>399</t>
  </si>
  <si>
    <t>DTC855AZ</t>
  </si>
  <si>
    <t>MICU202312729</t>
  </si>
  <si>
    <t>12/22/2023</t>
  </si>
  <si>
    <t>291</t>
  </si>
  <si>
    <t>DTC863AZ</t>
  </si>
  <si>
    <t>MICU202402852</t>
  </si>
  <si>
    <t>244</t>
  </si>
  <si>
    <t>DTC878AZ</t>
  </si>
  <si>
    <t>MICU2024071301</t>
  </si>
  <si>
    <t>7/22/2024</t>
  </si>
  <si>
    <t>USC24L001</t>
  </si>
  <si>
    <t>DTC883AZ</t>
  </si>
  <si>
    <t>MICU2024081348</t>
  </si>
  <si>
    <t>62</t>
  </si>
  <si>
    <t>兆聯MU</t>
  </si>
  <si>
    <t>Mega Union 駐地服務  (1-3/2024)</t>
  </si>
  <si>
    <t>MICU2024061203</t>
  </si>
  <si>
    <t>7/16/2024</t>
  </si>
  <si>
    <t xml:space="preserve">Mega Union 駐地服務 </t>
  </si>
  <si>
    <t>USC23L002</t>
  </si>
  <si>
    <t>Mega Union 駐地服務 (2022-2023)</t>
  </si>
  <si>
    <t>MICU2024071255</t>
  </si>
  <si>
    <t>Mega Union 駐地服務 (4-6/2024)</t>
  </si>
  <si>
    <t>MICU2024071337_1</t>
  </si>
  <si>
    <t>7/26/2024</t>
  </si>
  <si>
    <t>Mega Union 駐地服務 (7/2024)</t>
  </si>
  <si>
    <t xml:space="preserve"> MICU2024081368</t>
  </si>
  <si>
    <t>8/22/2024</t>
  </si>
  <si>
    <t>47</t>
  </si>
  <si>
    <t>Architecture Service Fee</t>
  </si>
  <si>
    <t>MICU202211194</t>
  </si>
  <si>
    <t>11/14/2022</t>
  </si>
  <si>
    <t>MICU202301257</t>
  </si>
  <si>
    <t>01/11/2023</t>
  </si>
  <si>
    <t>MICU202302333</t>
  </si>
  <si>
    <t>03/10/2023</t>
  </si>
  <si>
    <t>MICU202305417</t>
  </si>
  <si>
    <t>05/15/2023</t>
  </si>
  <si>
    <t>MICU202311660</t>
  </si>
  <si>
    <t>11/14/2023</t>
  </si>
  <si>
    <t>MICU202312721</t>
  </si>
  <si>
    <t>12/13/2023</t>
  </si>
  <si>
    <t>MICU202403912</t>
  </si>
  <si>
    <t>3/6/2024</t>
  </si>
  <si>
    <t>MICU202403912-1</t>
  </si>
  <si>
    <t>6/19/2024</t>
  </si>
  <si>
    <t>Organo 駐工地服務(2022-2023)</t>
  </si>
  <si>
    <t>3/1/2024</t>
  </si>
  <si>
    <t>221</t>
  </si>
  <si>
    <t>Organo 駐工地服務</t>
  </si>
  <si>
    <t>Organo 駐工地服務(Q1/2024)</t>
  </si>
  <si>
    <t>MICU2024061204</t>
  </si>
  <si>
    <t>6/20/2024</t>
  </si>
  <si>
    <t>Organo 駐工地服務(Q2/2024)</t>
  </si>
  <si>
    <t>MICU2024081352</t>
  </si>
  <si>
    <t>8/13/2024</t>
  </si>
  <si>
    <t>56</t>
  </si>
  <si>
    <t>Organo 駐工地服務(07/2024)</t>
  </si>
  <si>
    <t xml:space="preserve"> MICU2024081367</t>
  </si>
  <si>
    <t>MICU2024081351</t>
  </si>
  <si>
    <t>TV2301206274-9</t>
  </si>
  <si>
    <t>Muratec AMHS E2 Support_Sinfonia</t>
  </si>
  <si>
    <t>MICU2024081353</t>
  </si>
  <si>
    <t>8/15/2024</t>
  </si>
  <si>
    <t>54</t>
  </si>
  <si>
    <t>Expect to add in USC23C015</t>
  </si>
  <si>
    <t>LH0170001</t>
  </si>
  <si>
    <t xml:space="preserve">UPW Panel SCCR Redesign </t>
  </si>
  <si>
    <t>MICU2024081354</t>
  </si>
  <si>
    <t>7/31/2024</t>
  </si>
  <si>
    <t>Expect to add in USC24C013</t>
  </si>
  <si>
    <t>1MUQOC2403077</t>
  </si>
  <si>
    <t>Overtime for Fiber Cable Pulls &amp; Splicers 3 Weeks</t>
  </si>
  <si>
    <t>MICU2024081355</t>
  </si>
  <si>
    <t>8/16/2024</t>
  </si>
  <si>
    <t>MICU2024081356</t>
  </si>
  <si>
    <t>Organo sublease rent July 2022</t>
  </si>
  <si>
    <t>MICU202207110</t>
  </si>
  <si>
    <t>7/29/2022</t>
  </si>
  <si>
    <t>802</t>
  </si>
  <si>
    <t>Organo sublease</t>
  </si>
  <si>
    <t>Organo sublease rent August 2022</t>
  </si>
  <si>
    <t>MICU202209130</t>
  </si>
  <si>
    <t>09/8/2022</t>
  </si>
  <si>
    <t>761</t>
  </si>
  <si>
    <t>Organo sublease rent Sep 2022</t>
  </si>
  <si>
    <t>MICU202209131</t>
  </si>
  <si>
    <t>Organo sublease rent October 2022</t>
  </si>
  <si>
    <t>MICU202210140</t>
  </si>
  <si>
    <t>10/6/2022</t>
  </si>
  <si>
    <t>733</t>
  </si>
  <si>
    <t>Organo sublease rent November 2022</t>
  </si>
  <si>
    <t>MICU202211195</t>
  </si>
  <si>
    <t>694</t>
  </si>
  <si>
    <t>Organo sublease rent December 2022</t>
  </si>
  <si>
    <t>MICU202210238</t>
  </si>
  <si>
    <t>12/22/2022</t>
  </si>
  <si>
    <t>656</t>
  </si>
  <si>
    <t>Organo sublease rent Jan 2023</t>
  </si>
  <si>
    <t>MICU202212256</t>
  </si>
  <si>
    <t>12/29/2022</t>
  </si>
  <si>
    <t>649</t>
  </si>
  <si>
    <t>Organo sublease rent Feb 2023</t>
  </si>
  <si>
    <t>MICU202302296</t>
  </si>
  <si>
    <t>2/15/2023</t>
  </si>
  <si>
    <t>601</t>
  </si>
  <si>
    <t>Organo sublease rent March 2023</t>
  </si>
  <si>
    <t>MICU202303339</t>
  </si>
  <si>
    <t>3/20/2023</t>
  </si>
  <si>
    <t>568</t>
  </si>
  <si>
    <t>Organo sublease rent April 2023</t>
  </si>
  <si>
    <t>MICU202303378</t>
  </si>
  <si>
    <t>03/28/2023</t>
  </si>
  <si>
    <t>560</t>
  </si>
  <si>
    <t>Organo sublease rent May 2023</t>
  </si>
  <si>
    <t>MICU202304381</t>
  </si>
  <si>
    <t>4/14/2023</t>
  </si>
  <si>
    <t>543</t>
  </si>
  <si>
    <t>Organo sublease rent June 2023</t>
  </si>
  <si>
    <t>MICU202306460</t>
  </si>
  <si>
    <t>6/19/2023</t>
  </si>
  <si>
    <t>477</t>
  </si>
  <si>
    <t>Organo sublease rent July 2023</t>
  </si>
  <si>
    <t>MICU202308544</t>
  </si>
  <si>
    <t>8/16/2023</t>
  </si>
  <si>
    <t>Organo sublease rent Aug 2023</t>
  </si>
  <si>
    <t>MICU202308545</t>
  </si>
  <si>
    <t>Organo sublease rent Sep 2023</t>
  </si>
  <si>
    <t>MICU202309586</t>
  </si>
  <si>
    <t>9/6/2023</t>
  </si>
  <si>
    <t>398</t>
  </si>
  <si>
    <t>Organo sublease rent Oct 2023</t>
  </si>
  <si>
    <t>MICU202310620</t>
  </si>
  <si>
    <t>10/18/2023</t>
  </si>
  <si>
    <t>356</t>
  </si>
  <si>
    <t>Organo sublease rent Nov 2023</t>
  </si>
  <si>
    <t>MICU202311661</t>
  </si>
  <si>
    <t>11/15/2023</t>
  </si>
  <si>
    <t>328</t>
  </si>
  <si>
    <t>MICU2024081357</t>
  </si>
  <si>
    <t>Chemical</t>
  </si>
  <si>
    <t>MICU2024081358_x000D_</t>
  </si>
  <si>
    <t>MICU2024081359</t>
  </si>
  <si>
    <t>Oct 15 Paid</t>
  </si>
  <si>
    <t>MICU2024081360_x000D_</t>
  </si>
  <si>
    <t>F21_PDPFA_security facility for security</t>
  </si>
  <si>
    <t>MICU2024081361_x000D_</t>
  </si>
  <si>
    <t>CAP_E_F21 P1B_Seismic_RMF_Hole_Cuts</t>
  </si>
  <si>
    <t>MICU2024081362</t>
  </si>
  <si>
    <t xml:space="preserve">TSMC, David C.C.Fu 傅至傑 &lt;CCFUC@TSMC.COM&gt; </t>
  </si>
  <si>
    <t>CAP_E_F21 P1B_Cross Floor Hole Covering</t>
  </si>
  <si>
    <t>MICU2024081363</t>
  </si>
  <si>
    <t>F21P1 UPW WRC L10 Add Supports</t>
  </si>
  <si>
    <t>MICU2024081364</t>
  </si>
  <si>
    <t>UPW</t>
  </si>
  <si>
    <t>MICU2024081365</t>
  </si>
  <si>
    <t>MICU2024081366</t>
  </si>
  <si>
    <t>MICU2024081374</t>
  </si>
  <si>
    <t>MICU2024081375_x000D_</t>
  </si>
  <si>
    <t>MICU2024081376_x000D_</t>
  </si>
  <si>
    <t>Sponsor has concern of 5% retention</t>
  </si>
  <si>
    <t>TSMC,Stanley Chen</t>
  </si>
  <si>
    <t>CAP_E_F21 AMHS_P1 A&amp;B VT Network Cable Wiring</t>
  </si>
  <si>
    <t>MICU2024081369</t>
  </si>
  <si>
    <t>MICU2024081371</t>
  </si>
  <si>
    <t>MICU2024081370</t>
  </si>
  <si>
    <t>MICU2024081377</t>
  </si>
  <si>
    <t>MICU2024081372_1</t>
  </si>
  <si>
    <t>F21P1B_H_Labor 4 months</t>
  </si>
  <si>
    <t>MICU2024081373_1</t>
  </si>
  <si>
    <t>MICU2024081379</t>
  </si>
  <si>
    <t>MICU2024081380_x000D_</t>
  </si>
  <si>
    <t>MICU2024081381</t>
  </si>
  <si>
    <t>MICU2024081382_x000D_</t>
  </si>
  <si>
    <t>MICU2024081383</t>
  </si>
  <si>
    <t>MICU2024081378</t>
  </si>
  <si>
    <t>MICU2024081384_x000D_</t>
  </si>
  <si>
    <t>Wait the exhaust pipe installation of P1B 34 PR Cabinet</t>
  </si>
  <si>
    <t>MICU2024081385</t>
  </si>
  <si>
    <t>TSMC, 鄧安</t>
  </si>
  <si>
    <t>MICU2024081386</t>
  </si>
  <si>
    <t>F21P1-0423_H_UPW Material_MICU</t>
  </si>
  <si>
    <t>MICU2024081387</t>
  </si>
  <si>
    <t>Expect to add in USC22C005</t>
  </si>
  <si>
    <t>F21P1 UPW Mezzanine Modification</t>
  </si>
  <si>
    <t>MICU2024081390</t>
  </si>
  <si>
    <t>F21P1 MICU Settlement 2nd_UPW</t>
  </si>
  <si>
    <t>MICU2024081393</t>
  </si>
  <si>
    <t>MICU2024081391</t>
  </si>
  <si>
    <t>F21P1 MICU Settlement 2nd_CDS</t>
  </si>
  <si>
    <t>MICU2024081389_x000D_</t>
  </si>
  <si>
    <t>F21P1 MICU Settlement 2nd_WWT</t>
  </si>
  <si>
    <t>MICU2024081392_x000D_</t>
  </si>
  <si>
    <t>WWT</t>
  </si>
  <si>
    <t>MICU2024081396</t>
  </si>
  <si>
    <t>MICU2024081397</t>
  </si>
  <si>
    <t>MICU2024081395</t>
  </si>
  <si>
    <t>F21P1-0404E2_H_Seismic Install_MICU</t>
  </si>
  <si>
    <t>MICU2024081394</t>
  </si>
  <si>
    <t>MICU2024081398_x000D_</t>
  </si>
  <si>
    <t>F21P1 WWT CWR System Improvement</t>
  </si>
  <si>
    <t>MICU2024081399</t>
  </si>
  <si>
    <t>TSMC, 鄭宇倢/Josie Cheng/108938/F21-AMHS/7713512</t>
  </si>
  <si>
    <t>MICU2024081400</t>
  </si>
  <si>
    <t>MICU2024081401</t>
  </si>
  <si>
    <t>43</t>
  </si>
  <si>
    <t>TSMC,warehouse</t>
  </si>
  <si>
    <t>F21P1-0423_H_MIC Warehouse Management</t>
  </si>
  <si>
    <t>MICU2024081402</t>
  </si>
  <si>
    <t>F21P1 WWT Temp Chem. Leak Diverter Tarp</t>
  </si>
  <si>
    <t>MICU2024081403_x000D_</t>
  </si>
  <si>
    <t xml:space="preserve">TSMC, K.S TUNG 董冠昇 &lt;KSTUNG@TSMC.COM&gt; </t>
  </si>
  <si>
    <t>F21P1 Cast Resin PD Sensor Install/Test</t>
  </si>
  <si>
    <t>MICU2024081409</t>
  </si>
  <si>
    <t>MICU2024081404_x000D_</t>
  </si>
  <si>
    <t>MICU2024081405_x000D_</t>
  </si>
  <si>
    <t>MICU2024081406_x000D_</t>
  </si>
  <si>
    <t>F21P1-0423_H_E2 Hardware</t>
  </si>
  <si>
    <t xml:space="preserve"> MICU2024081407_1</t>
  </si>
  <si>
    <t>39</t>
  </si>
  <si>
    <t>F21 MICU TCM Support</t>
  </si>
  <si>
    <t xml:space="preserve"> MICU2024081408</t>
  </si>
  <si>
    <t>CUP Fiber termination, installation and testing report project</t>
  </si>
  <si>
    <t>MICU2024081408-F</t>
  </si>
  <si>
    <t>MICU2024081410</t>
  </si>
  <si>
    <t>MICU2024081411_x000D_</t>
  </si>
  <si>
    <t>MICU2024081412</t>
  </si>
  <si>
    <t>2024-09</t>
  </si>
  <si>
    <t>Foundation</t>
  </si>
  <si>
    <t>MICU2024081415</t>
  </si>
  <si>
    <t>9/3/2024</t>
  </si>
  <si>
    <t>35</t>
  </si>
  <si>
    <t>MICU2024081414</t>
  </si>
  <si>
    <t>MICU2024081388</t>
  </si>
  <si>
    <t>9/4/2024</t>
  </si>
  <si>
    <t>Sundt -- 2117 Retention(5%)</t>
  </si>
  <si>
    <t>MICU2024081418</t>
  </si>
  <si>
    <t>Sundt -- 1239 Retention(5%)</t>
  </si>
  <si>
    <t>MICU2024081417</t>
  </si>
  <si>
    <t>DDE&amp;Sundt -- 1958 Retention(5%)</t>
  </si>
  <si>
    <t>MICU2024081416</t>
  </si>
  <si>
    <t>33</t>
  </si>
  <si>
    <t>1639 &amp; 1486</t>
  </si>
  <si>
    <t>DDE -- 1639 &amp; 1486 Retention(5%)</t>
  </si>
  <si>
    <t>MICU2024081413</t>
  </si>
  <si>
    <t>TV2301206274-7</t>
  </si>
  <si>
    <t>M166&amp;M188 Design</t>
  </si>
  <si>
    <t>MICU2024081420</t>
  </si>
  <si>
    <t>9/5/2024</t>
  </si>
  <si>
    <t>27 STK Design</t>
  </si>
  <si>
    <t>MICU2024081421</t>
  </si>
  <si>
    <t>TSMC F21 AZP1 AMHS Wiring work outline</t>
  </si>
  <si>
    <t>MICU2024081419</t>
  </si>
  <si>
    <t>MICU2024081422</t>
  </si>
  <si>
    <t>27</t>
  </si>
  <si>
    <t>MICU202305455</t>
  </si>
  <si>
    <t>495</t>
  </si>
  <si>
    <t>Organo 駐工地服務(08/2024)</t>
  </si>
  <si>
    <t>MICU2024081423</t>
  </si>
  <si>
    <t>9/17/2024</t>
  </si>
  <si>
    <t>21</t>
  </si>
  <si>
    <t>Organo合約款勞務費用預付款</t>
  </si>
  <si>
    <t>MICU2024081424</t>
  </si>
  <si>
    <t>Mega Union 駐地服務 (8/2024)</t>
  </si>
  <si>
    <t>MICU2024081425</t>
  </si>
  <si>
    <t>95</t>
  </si>
  <si>
    <t>MICU2024091427</t>
  </si>
  <si>
    <t>20</t>
  </si>
  <si>
    <t>DTC885AZ</t>
  </si>
  <si>
    <t>MICU2024091426</t>
  </si>
  <si>
    <t>9/18/2024</t>
  </si>
  <si>
    <t>MICU2024091429</t>
  </si>
  <si>
    <t>19</t>
  </si>
  <si>
    <t>MICU2024091430</t>
  </si>
  <si>
    <t>MICU2024091428</t>
  </si>
  <si>
    <t>MICU2024091431</t>
  </si>
  <si>
    <t>MICU2024091432</t>
  </si>
  <si>
    <t>MICU2024091434</t>
  </si>
  <si>
    <t>MICU2024091433</t>
  </si>
  <si>
    <t>MICU2024091435</t>
  </si>
  <si>
    <t>draft</t>
  </si>
  <si>
    <t>MICU2024091441</t>
  </si>
  <si>
    <t>In TSMC Acceptance</t>
  </si>
  <si>
    <t>15</t>
  </si>
  <si>
    <t>MICU2024091444</t>
  </si>
  <si>
    <t>MICU2024091445</t>
  </si>
  <si>
    <t>MICU2024091447</t>
  </si>
  <si>
    <t>MICU2024091440_x000D_</t>
  </si>
  <si>
    <t>MICU2024091452_x000D_</t>
  </si>
  <si>
    <t>MICU2024091453</t>
  </si>
  <si>
    <t>ASML Guard Rail</t>
  </si>
  <si>
    <t>MICU2024091438</t>
  </si>
  <si>
    <t>18</t>
  </si>
  <si>
    <t>MICU2024091436</t>
  </si>
  <si>
    <t>LH0300001</t>
  </si>
  <si>
    <t>CIP Motor Change</t>
  </si>
  <si>
    <t>MICU2024091439</t>
  </si>
  <si>
    <t>MICU2024091443</t>
  </si>
  <si>
    <t>CAP_E_F21 P1 HPM Panel Hole Filling</t>
  </si>
  <si>
    <t>MICU2024091446_x000D_</t>
  </si>
  <si>
    <t>DS: MMI need to remove material from clean room as TSMC request</t>
  </si>
  <si>
    <t>MICU2024091450_x000D_</t>
  </si>
  <si>
    <t>MICU2024091442</t>
  </si>
  <si>
    <t>F21P1 UPW P1B Submain Expansion</t>
  </si>
  <si>
    <t>MICU2024091451</t>
  </si>
  <si>
    <t>MICU2024091448_x000D_</t>
  </si>
  <si>
    <t>TSMC, Eric LY</t>
  </si>
  <si>
    <t>MICU2024091449</t>
  </si>
  <si>
    <t>MICU2024091454</t>
  </si>
  <si>
    <t>14</t>
  </si>
  <si>
    <t>MICU2024091455_x000D_</t>
  </si>
  <si>
    <t xml:space="preserve">F21P1-0423_A_5G DPM CMS Support </t>
  </si>
  <si>
    <t>MICU2024091456_x000D_</t>
  </si>
  <si>
    <t>TSMC,Samuel</t>
  </si>
  <si>
    <t>MICU2024091457</t>
  </si>
  <si>
    <t>MICU2024091460_x000D_</t>
  </si>
  <si>
    <t>MICU2024091461</t>
  </si>
  <si>
    <t>MICU2024091462</t>
  </si>
  <si>
    <t>MICU2024091463</t>
  </si>
  <si>
    <t>MICU2024091464_x000D_</t>
  </si>
  <si>
    <t xml:space="preserve">F21P1 CDS &amp; WCCS CO2 Suppression System </t>
  </si>
  <si>
    <t>MICU2024091465_x000D_</t>
  </si>
  <si>
    <t>MICU2024091466</t>
  </si>
  <si>
    <t>MICU2024091458</t>
  </si>
  <si>
    <t>F21P1-0423_H_Unit_MIC Foundation</t>
  </si>
  <si>
    <t>MICU2024091459</t>
  </si>
  <si>
    <t>F21P1-0404_H_E2 Incentive</t>
  </si>
  <si>
    <t>MICU2024091468</t>
  </si>
  <si>
    <t>13</t>
  </si>
  <si>
    <t>TSMC, 杜之雄</t>
  </si>
  <si>
    <t>MICU2024091467_x000D_</t>
  </si>
  <si>
    <t>MICU2024091470</t>
  </si>
  <si>
    <t>MICU2024091471</t>
  </si>
  <si>
    <t>4590016162_001</t>
  </si>
  <si>
    <t xml:space="preserve"> F21P1 L30 AMC-B10 Outlet Install (Material) MICU</t>
  </si>
  <si>
    <t>MICU2024091469</t>
  </si>
  <si>
    <t>4590016162_002</t>
  </si>
  <si>
    <t>F21P1 L30 AMC-B12 Tool Install (Material) MICU</t>
  </si>
  <si>
    <t>MICU2024091472</t>
  </si>
  <si>
    <t>F21P1-0423_H_E2_Labor_2024Q4</t>
  </si>
  <si>
    <t>MICU2024091473</t>
  </si>
  <si>
    <t>MICU2024091474_x000D_</t>
  </si>
  <si>
    <t>MICU2024091475</t>
  </si>
  <si>
    <t>MICU2024091478_x000D_</t>
  </si>
  <si>
    <t>MICU2024091476</t>
  </si>
  <si>
    <t>MICU2024091477</t>
  </si>
  <si>
    <t>elec. cable for KXPTR1/2</t>
  </si>
  <si>
    <t>MICU2024091480</t>
  </si>
  <si>
    <t>12</t>
  </si>
  <si>
    <t>MICU2024091482</t>
  </si>
  <si>
    <t>TV2301206274-10</t>
  </si>
  <si>
    <t>Muratec AMHS E2 Support_Sinfonia_2nd batch</t>
  </si>
  <si>
    <t>MICU2024091481</t>
  </si>
  <si>
    <t>MICU2024091483_x000D_</t>
  </si>
  <si>
    <t>MICU2024091484</t>
  </si>
  <si>
    <t>MICU2024091485</t>
  </si>
  <si>
    <t>11</t>
  </si>
  <si>
    <t>DTC886AZ</t>
  </si>
  <si>
    <t>MICU2024091479</t>
  </si>
  <si>
    <t>DTC888AZ</t>
  </si>
  <si>
    <t>MICU2024091488</t>
  </si>
  <si>
    <t>8</t>
  </si>
  <si>
    <t>MICU2024091487</t>
  </si>
  <si>
    <t>MICU2024091486</t>
  </si>
  <si>
    <t>MICU2024091489</t>
  </si>
  <si>
    <t>MICU2024101489</t>
  </si>
  <si>
    <t>10/01/2024</t>
  </si>
  <si>
    <t>7</t>
  </si>
  <si>
    <t>MICU2024101490</t>
  </si>
  <si>
    <t>MICU2024091435_1</t>
  </si>
  <si>
    <t>USC24C017</t>
  </si>
  <si>
    <t>MICU2024101491</t>
  </si>
  <si>
    <t>MICU2024091432_1</t>
  </si>
  <si>
    <t xml:space="preserve"> MICU2024091433_1</t>
  </si>
  <si>
    <t>9/20/2024</t>
  </si>
  <si>
    <t>10/3/2024</t>
  </si>
  <si>
    <t>27 Future Stockers</t>
  </si>
  <si>
    <t>MICU2024101492</t>
  </si>
  <si>
    <t>2024-10</t>
  </si>
  <si>
    <t>4</t>
  </si>
  <si>
    <t>Additional module M166&amp;M188 Installation</t>
  </si>
  <si>
    <t>MICU2024101493</t>
  </si>
  <si>
    <t>TSMC Depart</t>
  </si>
  <si>
    <t>System</t>
  </si>
  <si>
    <t>PM</t>
  </si>
  <si>
    <t>Engineer</t>
  </si>
  <si>
    <t>tsmc PO #</t>
  </si>
  <si>
    <t>Project #</t>
  </si>
  <si>
    <t>Project Name</t>
  </si>
  <si>
    <t>PO Amount</t>
  </si>
  <si>
    <t>PO Date</t>
  </si>
  <si>
    <t>Tax Code</t>
  </si>
  <si>
    <t>Payment Term</t>
  </si>
  <si>
    <t>Total AR (Sent)</t>
  </si>
  <si>
    <t>Total AR (till Mar</t>
  </si>
  <si>
    <t>Total AR (Received)</t>
  </si>
  <si>
    <t>AR %</t>
  </si>
  <si>
    <t>Before Sep Real</t>
  </si>
  <si>
    <t>Before Sep Real Tax</t>
  </si>
  <si>
    <t>21-Sep Real</t>
  </si>
  <si>
    <t>21-Sep Real Tax</t>
  </si>
  <si>
    <t>Oct-21 Real</t>
  </si>
  <si>
    <t>Oct-22 tax</t>
  </si>
  <si>
    <t>Nov-21 Real</t>
  </si>
  <si>
    <t>Nov-21 Tax</t>
  </si>
  <si>
    <t>Dec-21 Real</t>
  </si>
  <si>
    <t>Dec-21 Tax</t>
  </si>
  <si>
    <t>Dec-21 Draft invoice (first time draft invoice-- 12/22/2021 submitted) Jan Formal Invoice</t>
  </si>
  <si>
    <t>Dec-21 Draft invoice Tax</t>
  </si>
  <si>
    <t>Jan-22 Draft invoice Real</t>
  </si>
  <si>
    <t>Jan-22 Real Tax</t>
  </si>
  <si>
    <t>Feb-22 Draft</t>
  </si>
  <si>
    <t>Feb-22 Draft Tax</t>
  </si>
  <si>
    <t>Mar-22 Draft</t>
  </si>
  <si>
    <t>Mar-22 Draft Tax</t>
  </si>
  <si>
    <t>Apr-22 Draft</t>
  </si>
  <si>
    <t>April-22 Draft Tax</t>
  </si>
  <si>
    <t>May-22 Draft Plan</t>
  </si>
  <si>
    <t>May-22 Draft Tax</t>
  </si>
  <si>
    <t>Jun-22 Draft Plan</t>
  </si>
  <si>
    <t>Jun-22 Draft Tax</t>
  </si>
  <si>
    <t>Jul-22 Draft Plan</t>
  </si>
  <si>
    <t>Jul-22 Draft Tax</t>
  </si>
  <si>
    <t>Aug-22 Draft Plan</t>
  </si>
  <si>
    <t>Aug-22 Draft Tax</t>
  </si>
  <si>
    <t>Sep-22 Draft Plan</t>
  </si>
  <si>
    <t>Sep-22 Draft Tax2</t>
  </si>
  <si>
    <t>Oct-22 Draft Plan</t>
  </si>
  <si>
    <t>Oct-22 Draft Tax</t>
  </si>
  <si>
    <t>Nov-22 Draft Plan</t>
  </si>
  <si>
    <t>Nov-22 Draft Tax</t>
  </si>
  <si>
    <t>Dec-22 Draft Plan</t>
  </si>
  <si>
    <t>Dec-22 Draft Tax2</t>
  </si>
  <si>
    <t>Jan-23 Draft Plan</t>
  </si>
  <si>
    <t>Jan-23 Draft Tax</t>
  </si>
  <si>
    <t>Feb-23 Draft Plan</t>
  </si>
  <si>
    <t>Feb-23 Draft Tax</t>
  </si>
  <si>
    <t>Mar-23 Draft Plan</t>
  </si>
  <si>
    <t>Mar-23 Draft Tax</t>
  </si>
  <si>
    <t>Apr-23 Draft Plan</t>
  </si>
  <si>
    <t>Apr-23 Draft Tax</t>
  </si>
  <si>
    <t>May-23 Draft Plan</t>
  </si>
  <si>
    <t>May-23 Draft Tax</t>
  </si>
  <si>
    <t>Jun-23 Draft Plan</t>
  </si>
  <si>
    <t>June-23 Draft Tax</t>
  </si>
  <si>
    <t>July-23 Draft Plan</t>
  </si>
  <si>
    <t>July-23 Draft Tax</t>
  </si>
  <si>
    <t>Aug-23 Draft Plan</t>
  </si>
  <si>
    <t>Aug-23 Draft Tax</t>
  </si>
  <si>
    <t>Sep-23 Draft Plan</t>
  </si>
  <si>
    <t>Sep-23 Draft Tax</t>
  </si>
  <si>
    <t>Oct-23 Draft Plan</t>
  </si>
  <si>
    <t>Oct-23 Draft Tax</t>
  </si>
  <si>
    <t>Nov-23 Draft Plan</t>
  </si>
  <si>
    <t>Nov-23 Draft Tax</t>
  </si>
  <si>
    <t>Dec-23 Draft Plan</t>
  </si>
  <si>
    <t>Dec-23 Draft Tax</t>
  </si>
  <si>
    <t>Jan-24 Draft Plan</t>
  </si>
  <si>
    <t>Jan-24 Draft Tax</t>
  </si>
  <si>
    <t>Feb-24 Draft Plan</t>
  </si>
  <si>
    <t>Feb-24 Draft Tax</t>
  </si>
  <si>
    <t>Mar-24 Draft Plan</t>
  </si>
  <si>
    <t>Mar-24 Draft Tax</t>
  </si>
  <si>
    <t>Apr-24 Draft Plan</t>
  </si>
  <si>
    <t>Apr-24 Draft Tax</t>
  </si>
  <si>
    <t>May-24 Draft Plan</t>
  </si>
  <si>
    <t>May-24 Draft Tax</t>
  </si>
  <si>
    <t>Jun-24 Draft Plan</t>
  </si>
  <si>
    <t>Jun-24 Draft Tax</t>
  </si>
  <si>
    <t>Jul-24 Draft Plan</t>
  </si>
  <si>
    <t>Jul-24 Draft Tax</t>
  </si>
  <si>
    <t>Aug-24 Draft</t>
  </si>
  <si>
    <t>Aug-24 Draft Tax</t>
  </si>
  <si>
    <t>Sep-24 Draft</t>
  </si>
  <si>
    <t>Sep-24 Draft Tax</t>
  </si>
  <si>
    <t>Non-TSMC</t>
  </si>
  <si>
    <t>Cheng-Chi Yeh</t>
  </si>
  <si>
    <t>宸沅國際股份有限公司</t>
  </si>
  <si>
    <t>Elaine Ma</t>
  </si>
  <si>
    <t>Fu Energy</t>
  </si>
  <si>
    <t>1/8/2024</t>
  </si>
  <si>
    <t>100% by progress, T/T 35 days</t>
  </si>
  <si>
    <t>Sam Yan</t>
  </si>
  <si>
    <t>08/07/2024</t>
  </si>
  <si>
    <t xml:space="preserve">100% by progress, T/T 35 days </t>
  </si>
  <si>
    <t>新工</t>
  </si>
  <si>
    <t>Paul Hsu</t>
  </si>
  <si>
    <t>Johnny Yang</t>
  </si>
  <si>
    <t>Excluded</t>
  </si>
  <si>
    <t>T9 $5,760.67</t>
  </si>
  <si>
    <t>APB2:Pay on 28 next month: 90% on prog, 10 acpt</t>
  </si>
  <si>
    <t>Debby</t>
  </si>
  <si>
    <t>Included</t>
  </si>
  <si>
    <t>U9</t>
  </si>
  <si>
    <t>Emon</t>
  </si>
  <si>
    <t>Emon/Chihhao</t>
  </si>
  <si>
    <t>Exempted</t>
  </si>
  <si>
    <t>T0</t>
  </si>
  <si>
    <t>PU53:95% on progress,5% 1 month after acceptance</t>
  </si>
  <si>
    <t>Jim Chiang</t>
  </si>
  <si>
    <t>Thomas</t>
  </si>
  <si>
    <t>Shannon</t>
  </si>
  <si>
    <t xml:space="preserve"> </t>
  </si>
  <si>
    <t>T5 $43,405.12</t>
  </si>
  <si>
    <t>Steven Chiu</t>
  </si>
  <si>
    <t>Herny</t>
  </si>
  <si>
    <t>AP03:Pay in month end - 1 month after acceptance month</t>
  </si>
  <si>
    <t>Thomas/Grant/呂方仁</t>
  </si>
  <si>
    <t>Jim</t>
  </si>
  <si>
    <t>T5 $708,812</t>
  </si>
  <si>
    <t>Dahlia</t>
  </si>
  <si>
    <t>Micron</t>
  </si>
  <si>
    <t>01/08/2024</t>
  </si>
  <si>
    <t>Current Month End +60 days</t>
  </si>
  <si>
    <t>01/05/2024</t>
  </si>
  <si>
    <t>SOLBLE RN3000 - 1000KG,DRUM for Manassas VA</t>
  </si>
  <si>
    <t>06/05/2024</t>
  </si>
  <si>
    <t xml:space="preserve"> Current Month End +60 days </t>
  </si>
  <si>
    <t>SOLBLE RN3000 - 2024 forecast for Manassas VA</t>
  </si>
  <si>
    <t>06/18/2024</t>
  </si>
  <si>
    <t>Shawn</t>
  </si>
  <si>
    <t>TSMC, Edward</t>
  </si>
  <si>
    <t>T2 $10525.495968</t>
  </si>
  <si>
    <t>AZB2:Pay on 28 next month: 90% on prog, 10 acpt</t>
  </si>
  <si>
    <t>Ning</t>
  </si>
  <si>
    <t>U0</t>
  </si>
  <si>
    <t>T5 $106593</t>
  </si>
  <si>
    <t>T5 $408718.66</t>
  </si>
  <si>
    <t>T5 $22807.2</t>
  </si>
  <si>
    <t>Kate</t>
  </si>
  <si>
    <t>Wan-chun</t>
  </si>
  <si>
    <t>UX</t>
  </si>
  <si>
    <t>製造</t>
  </si>
  <si>
    <t>光阻櫃</t>
  </si>
  <si>
    <t>Chihhao</t>
  </si>
  <si>
    <t>T1</t>
  </si>
  <si>
    <t>TSMC, Kenneth Toliver</t>
  </si>
  <si>
    <t>TX</t>
  </si>
  <si>
    <t>AZ03:Pay in month end - 1 month after acceptance month</t>
  </si>
  <si>
    <t>T1 &amp; TX</t>
  </si>
  <si>
    <t>Tony Clark</t>
  </si>
  <si>
    <t>Included (labor exempt and material taxable)</t>
  </si>
  <si>
    <t>T5</t>
  </si>
  <si>
    <t>David Nystrom</t>
  </si>
  <si>
    <t>David Short</t>
  </si>
  <si>
    <t>AZ53:95% on progress,5% 1 month after acceptance</t>
  </si>
  <si>
    <t>TSMC, 蘇明秋/Vince</t>
  </si>
  <si>
    <t>設備</t>
  </si>
  <si>
    <t>Grant</t>
  </si>
  <si>
    <t>Johnny Wan</t>
  </si>
  <si>
    <t>Johnny Wan/Sun Ling</t>
  </si>
  <si>
    <t>TSMC, 吳光鈞</t>
  </si>
  <si>
    <t>F21 Pump storage area CCTV construction</t>
  </si>
  <si>
    <t>TSMC, 張盈淳</t>
  </si>
  <si>
    <t>F21 Pump storage area construction</t>
  </si>
  <si>
    <t>(522/0%) F21 barcode reader 搬運定位</t>
  </si>
  <si>
    <t>光罩讀取機搬運安裝定位_buyer 洪薇甯</t>
  </si>
  <si>
    <t>AP01:Pay in month end - 1 month after delivery month</t>
  </si>
  <si>
    <t>Debby/Shannon</t>
  </si>
  <si>
    <t>TSMC, Chin-Yu Wan/Jeremy Wan/115918/F21-AMHS/7713507</t>
  </si>
  <si>
    <t>Hank Su</t>
  </si>
  <si>
    <t>TSMC, 賴易鋒</t>
  </si>
  <si>
    <t>F21_AZQR_Hookup_FdtnLabor</t>
  </si>
  <si>
    <t>Edwards/Ian/Poh</t>
  </si>
  <si>
    <t>Michelle H</t>
  </si>
  <si>
    <t>TSMC, Chien-Hao Hsu</t>
  </si>
  <si>
    <t>T9</t>
  </si>
  <si>
    <t>Tylor</t>
  </si>
  <si>
    <t>TSMC, Fred/Chester</t>
  </si>
  <si>
    <t>Jaivan</t>
  </si>
  <si>
    <t>CAP_A_MFG_AZP1 F21 Mask room P1A + P1B f</t>
  </si>
  <si>
    <t>CAP_E_F21P1 AMHS non-MML seismic foundation install</t>
    <phoneticPr fontId="4" type="noConversion"/>
  </si>
  <si>
    <t>CAP_E_F21 P1 APK UPK PV CV GEX</t>
  </si>
  <si>
    <t>Paul Verna</t>
  </si>
  <si>
    <t>TSMC, 黃士軒</t>
  </si>
  <si>
    <t>Kuanchun</t>
  </si>
  <si>
    <t>TSMC, A.C. Lee 黎安成 &lt;ACLEE@TSMC.COM&gt;</t>
  </si>
  <si>
    <t>TSMC, Han Deng/NFCD</t>
  </si>
  <si>
    <t>TSMC, 黎安成</t>
  </si>
  <si>
    <t>EBOAZ Foundation Seismic Installation</t>
  </si>
  <si>
    <t>F21_AZQR_Hookup_Seismic installation</t>
  </si>
  <si>
    <t>Henry Yang</t>
  </si>
  <si>
    <t>95% on progress,5% 1 month after acceptance of the date</t>
  </si>
  <si>
    <t>KXME02 foundation &amp; seismic installation</t>
  </si>
  <si>
    <t>TSMC, 鄭宇智/DIF &lt;</t>
  </si>
  <si>
    <t>TSMC, 劉宜鈞/WET</t>
  </si>
  <si>
    <t>MISC_(TAX/T1) WET single barricade</t>
  </si>
  <si>
    <t>TSMC, 林國聖/LITHO &lt;kslinb@tsmc.com&gt;</t>
  </si>
  <si>
    <t>TSMC, 業富文/ETC</t>
  </si>
  <si>
    <t>MISC_(TAX/T1)_MICU Barricade</t>
  </si>
  <si>
    <t>Pay in month end - 1 month after acceptance month of the date</t>
  </si>
  <si>
    <t>TSMC, LWWANG@TSMC.COM</t>
  </si>
  <si>
    <t>MISC_TAX/U1_Barricade</t>
  </si>
  <si>
    <t>CO_r, Settlement</t>
  </si>
  <si>
    <t>Pay on 28 next month: 90% on prog, 10 acpt of the date</t>
  </si>
  <si>
    <t>TSMC, Rosemarie BISQUERA@TSMC.COM</t>
  </si>
  <si>
    <t>Single Tile Barricade</t>
  </si>
  <si>
    <t>IPMD</t>
  </si>
  <si>
    <t>tax exempted</t>
  </si>
  <si>
    <t>TSMC, JJLUA  JJLUA@TSMC.COM</t>
  </si>
  <si>
    <t>PVD1_Barricade for open tile use</t>
  </si>
  <si>
    <t>TSMC, FCSHEN@TSMC.COM</t>
  </si>
  <si>
    <t>TSMC, 黃郁誠/ETC3</t>
  </si>
  <si>
    <t>Single barricade</t>
  </si>
  <si>
    <t>TSMC, Chi-Wei</t>
  </si>
  <si>
    <t>Boris</t>
  </si>
  <si>
    <t>F21P1-0423_H_single barricade_MICU</t>
  </si>
  <si>
    <t>CO_r</t>
  </si>
  <si>
    <t>TSMC, 邱奕豪</t>
  </si>
  <si>
    <t>MISC_(Tax / U1)_RS200_foundation modify</t>
  </si>
  <si>
    <t>TSMC, K.H. Pan</t>
  </si>
  <si>
    <t xml:space="preserve">TSMC, 楊力潤 &lt;LJJONG@TSMC.COM&gt; </t>
  </si>
  <si>
    <t>FAC_(600/T9) FX200 Seismic holes enlarge</t>
  </si>
  <si>
    <t>Pay in month end - 1 month after acceptance month of the date`</t>
  </si>
  <si>
    <t>TSMC, Stanley Chen 陳嘉宏 CHENCHZW@TSMC.COM/ David C.C. Fu 傅至傑 CCFUC@TSMC.COM</t>
  </si>
  <si>
    <t>TSMC, K.S TUNG 董冠昇 &lt;KSTUNG@TSMC.COM&gt;</t>
  </si>
  <si>
    <t>TSMC, BC&lt;BCTSOU@TSMC.COM&gt;</t>
  </si>
  <si>
    <t xml:space="preserve">TSMC, David C.C. Fu 傅至傑 &lt;CCFUC@TSMC.COM&gt; </t>
  </si>
  <si>
    <t>CO, Settlement</t>
  </si>
  <si>
    <t>Andy Chen</t>
  </si>
  <si>
    <t>Edward</t>
  </si>
  <si>
    <t>TSMC, Michael Lin &lt;MLINL@TSMC.COM&gt;</t>
  </si>
  <si>
    <t>TSMC, 潘信華</t>
  </si>
  <si>
    <t>Hank su</t>
  </si>
  <si>
    <t>F21_AZFAD_Hookup_Drilling for Metrios enclosure installation</t>
  </si>
  <si>
    <t>TSMC, 吳宗諺/F21-PVD2</t>
  </si>
  <si>
    <t>ABS-A03 Onsite modification for RMF</t>
  </si>
  <si>
    <t>Sam</t>
  </si>
  <si>
    <t xml:space="preserve">Ning </t>
  </si>
  <si>
    <t>F21P1-0423E3_H_fdn intall(L10 pump)_MICU</t>
  </si>
  <si>
    <t>CO</t>
  </si>
  <si>
    <t>TSMC, 潘信華/H.H. Pan/077373/F21-LIT2/7712514</t>
  </si>
  <si>
    <t>Jack</t>
  </si>
  <si>
    <t xml:space="preserve">Manuel </t>
  </si>
  <si>
    <t>Operation</t>
  </si>
  <si>
    <t>Jeffrey</t>
  </si>
  <si>
    <t>Henry</t>
  </si>
  <si>
    <t>TSMC, Y.F. Lai &lt;yflai@tsmc.com&gt;</t>
  </si>
  <si>
    <t xml:space="preserve">F21_AZFAD_Hookup_seismic for Metrios cab </t>
  </si>
  <si>
    <t>MISC_(TAX/U1)_EUV_Guard Rail</t>
  </si>
  <si>
    <t>John Gauci</t>
  </si>
  <si>
    <t>Fab Cleanroom Expansion Phase 2</t>
  </si>
  <si>
    <t>11/22/2023</t>
  </si>
  <si>
    <t>George Gaspar</t>
  </si>
  <si>
    <t>11/23/2023</t>
  </si>
  <si>
    <t>01/14/2023</t>
  </si>
  <si>
    <t>12/7/2023</t>
  </si>
  <si>
    <t>ZKT6-1 Electrics hookup installation</t>
  </si>
  <si>
    <t>12/14/2023</t>
  </si>
  <si>
    <t>Arunas</t>
  </si>
  <si>
    <t>12/15/2023</t>
  </si>
  <si>
    <t>12/16/2023</t>
  </si>
  <si>
    <t>TSMC, 吳曜安</t>
  </si>
  <si>
    <t>12/21/2023</t>
  </si>
  <si>
    <t>Payment by Progress of the date</t>
  </si>
  <si>
    <t xml:space="preserve">elec. cable for KXPTR1/2 </t>
  </si>
  <si>
    <t>12/28/2023</t>
  </si>
  <si>
    <t xml:space="preserve">FAC_(600/T9) FX200 Seismic holes enlarge </t>
  </si>
  <si>
    <t>1/4/2024</t>
  </si>
  <si>
    <t xml:space="preserve">CAP_F_ 91016 Strength Raised Floor insta </t>
  </si>
  <si>
    <t>1/6/2024</t>
  </si>
  <si>
    <t xml:space="preserve"> Pay on 28 next month: 90% on prog, 10 acpt of the date </t>
  </si>
  <si>
    <t>1/11/2024</t>
  </si>
  <si>
    <t>01/12/2024</t>
  </si>
  <si>
    <t>Thomas/CH</t>
  </si>
  <si>
    <t>01/19/2024</t>
  </si>
  <si>
    <t>01/23/2024</t>
  </si>
  <si>
    <t>11/18/2023</t>
  </si>
  <si>
    <t>TSMC, wchenm@tsmc.com</t>
  </si>
  <si>
    <t>01/30/2024</t>
  </si>
  <si>
    <t>02/01/2024</t>
  </si>
  <si>
    <t>CAP_E_F21P1 L10 Scaffold for Stocker Install</t>
  </si>
  <si>
    <t>02/07/2024</t>
  </si>
  <si>
    <t>EUV_Hard barricade</t>
  </si>
  <si>
    <t>02/14/2024</t>
  </si>
  <si>
    <t>02/22/2024</t>
  </si>
  <si>
    <t>02/23/2024</t>
  </si>
  <si>
    <t>Ning and Victoria</t>
  </si>
  <si>
    <t>F21P1-0404_H_UPW_MICU</t>
  </si>
  <si>
    <t>02/29/2024</t>
  </si>
  <si>
    <t>IT</t>
  </si>
  <si>
    <t>F21P1-0423_H_T&amp;M_MICU_MISC</t>
  </si>
  <si>
    <t>F21P1-0404_H_Foundation Seismic Support</t>
  </si>
  <si>
    <t>03/23/2024</t>
  </si>
  <si>
    <t>LIT2</t>
  </si>
  <si>
    <t>(RM)F21_EUV_Crane generator rent</t>
  </si>
  <si>
    <t>03/27/2024</t>
  </si>
  <si>
    <t xml:space="preserve"> Pay in month end - 1 month after acceptance month of the date </t>
  </si>
  <si>
    <t>04/05/2024</t>
  </si>
  <si>
    <t>`</t>
  </si>
  <si>
    <t>04/11/2024</t>
  </si>
  <si>
    <t>04/16/2024</t>
  </si>
  <si>
    <t>TSMC F21P1 EUV Crane Maintenance</t>
  </si>
  <si>
    <t xml:space="preserve"> Pay in month end - 1 month after acceptance month of the date</t>
  </si>
  <si>
    <t>Shawn Liu</t>
  </si>
  <si>
    <t>TSMC, Jimmy Tang 湯仁義 &lt;jytang@TSMC.COM&gt;</t>
  </si>
  <si>
    <t>CMS System IT Support</t>
  </si>
  <si>
    <t>04/23/2024</t>
  </si>
  <si>
    <t>05/02/2024</t>
  </si>
  <si>
    <t>TSMC, Yeng-Chen Chang 張晏誠 &lt;YCCHANGZC@TSMC.COM&gt;</t>
  </si>
  <si>
    <t>TSMC, Samuel Mokdad &lt;SAMUELM@TSMC.COM&gt;</t>
  </si>
  <si>
    <t>Pay in month end - 2 month after acceptance month of the date</t>
  </si>
  <si>
    <t>TSMC, Vince Tsai &lt;TCTSAIJ@TSMC.COM&gt;</t>
  </si>
  <si>
    <t>Pull 108 cable</t>
  </si>
  <si>
    <t xml:space="preserve">TSMC, Pang Hsun Chu 朱邦巡 &lt;PHCHUF@TSMC.COM&gt; </t>
  </si>
  <si>
    <t>06/07/2024</t>
  </si>
  <si>
    <t xml:space="preserve">EBOAZ-F21P1 Require CCTV&amp;ACS (Labor) </t>
  </si>
  <si>
    <t>CAP_E_F21_Power_Project. MIC Power Project combined A+B side. Includes added 8 DP panels.</t>
  </si>
  <si>
    <t>06/08/2024</t>
  </si>
  <si>
    <t>EBOAZ-F21P1 Require CCTV&amp;ACS (material)</t>
  </si>
  <si>
    <t>CONSTR_(TAX/T5) KDSET1 floor</t>
  </si>
  <si>
    <t>06/14/2024</t>
  </si>
  <si>
    <t xml:space="preserve">Kate </t>
  </si>
  <si>
    <t>Wanchun</t>
  </si>
  <si>
    <t>06/19/2024</t>
  </si>
  <si>
    <t>90% 1 mth aft delivery, 10% 1 mth aft acceptance of the date</t>
  </si>
  <si>
    <t>Victoria Chao</t>
  </si>
  <si>
    <t>06/21/2024</t>
  </si>
  <si>
    <t>F21P1 CDS Labor Incentive Nov 2023</t>
  </si>
  <si>
    <t>NFDD</t>
  </si>
  <si>
    <t>Chao Chia</t>
  </si>
  <si>
    <t>Alex</t>
  </si>
  <si>
    <t>F21P1 Hallway Plate Install</t>
  </si>
  <si>
    <t>TSMC, Kai Kao ckkaoc@tsmc.com</t>
  </si>
  <si>
    <t>(T5) F21_EUV crane encoder cable</t>
  </si>
  <si>
    <t>Pay in month end - 1 month after delivery month of the date</t>
  </si>
  <si>
    <t>Emon Roy</t>
  </si>
  <si>
    <t>MIC Chemical Support Team Jul 5FTE</t>
  </si>
  <si>
    <t>07/24/2024</t>
  </si>
  <si>
    <t>Emon/Wanchun</t>
  </si>
  <si>
    <t>F21P1 UPW Distribution Repair</t>
  </si>
  <si>
    <t>07/23/2024</t>
  </si>
  <si>
    <t>Thomas/Jim/Wanchun</t>
  </si>
  <si>
    <t>Johnny Wan/Wanchun</t>
  </si>
  <si>
    <t>Dahlia/Wanchun</t>
  </si>
  <si>
    <t>07/25/2024</t>
  </si>
  <si>
    <t>07/27/2024</t>
  </si>
  <si>
    <t>Thomas/Jim Chiang</t>
  </si>
  <si>
    <t>F21P1 MICU Settlement 2nd_WCCS</t>
  </si>
  <si>
    <t>F21P1 MICU Settlement 2nd_VOC</t>
  </si>
  <si>
    <t>Expect to add in USC24C007</t>
  </si>
  <si>
    <t>522/T0 5G DPM Additional Construction</t>
  </si>
  <si>
    <t>07/31/2024</t>
  </si>
  <si>
    <t>08/01/2024</t>
  </si>
  <si>
    <t>CAP_E_F21 P1B AMHS Infrastructure 8 additional DP Panel</t>
  </si>
  <si>
    <t>08/06/2024</t>
  </si>
  <si>
    <t>Serena Deng</t>
  </si>
  <si>
    <t>F21P1-0423_H_E2 Hardware_MICU</t>
  </si>
  <si>
    <t>Tzuhao Kuo</t>
  </si>
  <si>
    <t>3/15/2023</t>
  </si>
  <si>
    <t>T/T Net 45 days</t>
  </si>
  <si>
    <t>Organo USA, Inc</t>
  </si>
  <si>
    <t>0000000065</t>
  </si>
  <si>
    <t>HP1037 &amp; HP1137 Add Disconnect</t>
  </si>
  <si>
    <t>100% by invoice, Net 30 Days</t>
  </si>
  <si>
    <t>MIC</t>
  </si>
  <si>
    <t>JeouFwu</t>
  </si>
  <si>
    <t>1MUQTR2310020</t>
  </si>
  <si>
    <t>Gasket from Harrington_1018 request</t>
  </si>
  <si>
    <t>1MUQTR2312012</t>
  </si>
  <si>
    <t>Gasket from Harrington_1207 request</t>
  </si>
  <si>
    <t xml:space="preserve">Lumax, 王錫文(Steven_Wang) &lt;Steven_Wang@elumax.com&gt; </t>
  </si>
  <si>
    <t>1MUQTS2407009</t>
  </si>
  <si>
    <t>LB pull back, conduit and repull &amp; CUP ATS to FMCS</t>
  </si>
  <si>
    <t xml:space="preserve">100% by progress, T/T 30 Days </t>
  </si>
  <si>
    <t>2958</t>
  </si>
  <si>
    <t>1/10/2024</t>
  </si>
  <si>
    <t>Fu energy</t>
  </si>
  <si>
    <t>4590004557_002</t>
  </si>
  <si>
    <t>F21P1 Fab Lab WWT_Stage2</t>
  </si>
  <si>
    <t>4590006236_001</t>
  </si>
  <si>
    <t>USC23C013</t>
  </si>
  <si>
    <t>F21_AZQR_Hookup_Leak Panel</t>
  </si>
  <si>
    <t>4590006236_002</t>
  </si>
  <si>
    <t>EBO21-Leak Panel</t>
  </si>
  <si>
    <t>4590007694_001</t>
  </si>
  <si>
    <t>CAP_F_ 91258 DPM Connection Project</t>
  </si>
  <si>
    <t>4590007694_002</t>
  </si>
  <si>
    <t>CAP_F_ 91259 DPM Connection Project</t>
  </si>
  <si>
    <t>4590007694_003</t>
  </si>
  <si>
    <t>CAP_F_ 91260 DPM Connection Project</t>
  </si>
  <si>
    <t>4590007694_004</t>
  </si>
  <si>
    <t>CAP_F_ 91261 DPM Connection Project</t>
  </si>
  <si>
    <t>4590007694_005</t>
  </si>
  <si>
    <t>CAP_F_ 91262 DPM Connection Project</t>
  </si>
  <si>
    <t>4590007694_006</t>
  </si>
  <si>
    <t>CAP_F_ 91263 DPM Connection Project</t>
  </si>
  <si>
    <t>4590007694_007</t>
  </si>
  <si>
    <t>CAP_F_ 91264 DPM Connection Project</t>
  </si>
  <si>
    <t>4590007694_008</t>
  </si>
  <si>
    <t>CAP_F_ 91265 DPM Connection Project</t>
  </si>
  <si>
    <t>4590007694_009</t>
  </si>
  <si>
    <t>CAP_F_ 91266 DPM Connection Project</t>
  </si>
  <si>
    <t>4590007694_010</t>
  </si>
  <si>
    <t>CAP_F_ 91268 DPM Connection Project</t>
  </si>
  <si>
    <t>4590007694_012</t>
  </si>
  <si>
    <t xml:space="preserve">CAP_F_ 90761 DPM Connection Project </t>
  </si>
  <si>
    <t>4590007694_014</t>
  </si>
  <si>
    <t>CAP_F_ 90763 DPM Connection Project</t>
  </si>
  <si>
    <t>4590007694_019</t>
  </si>
  <si>
    <t>CAP_F_ 90768 DPM Connection Project</t>
  </si>
  <si>
    <t>Warehouse</t>
  </si>
  <si>
    <t>01/20/2024</t>
  </si>
  <si>
    <t>ME</t>
  </si>
  <si>
    <t>KKSV02 AMC-B10 Outlet Install material</t>
  </si>
  <si>
    <t>KKSV04 AMC-B12 Outlet Install material</t>
  </si>
  <si>
    <t>TSMC, B.Y. Chang &lt;BYCHANG@TSMC.COM&gt;</t>
  </si>
  <si>
    <t>05/07/2024</t>
  </si>
  <si>
    <t>4590018007_001</t>
  </si>
  <si>
    <t xml:space="preserve">F21P1-0423E4_H_FDN Seismic Support </t>
  </si>
  <si>
    <t>Pay in month end - 3 month after acceptance month of the date</t>
  </si>
  <si>
    <t>4590018007_002</t>
  </si>
  <si>
    <t xml:space="preserve">F21P1-0423_H_FDN Seismic Support </t>
  </si>
  <si>
    <t>Kun An Liu</t>
  </si>
  <si>
    <t>伊思艾股份有限公司</t>
  </si>
  <si>
    <t>IMUQTS2206001-C</t>
  </si>
  <si>
    <t>TSMC AZ Inlne ICPMS fire system control piping</t>
  </si>
  <si>
    <t>KTUS232311_001</t>
  </si>
  <si>
    <t>2023 November Storage</t>
  </si>
  <si>
    <t>11/28/2023</t>
  </si>
  <si>
    <t>LH0110023</t>
  </si>
  <si>
    <t xml:space="preserve"> Outsource Electrical Work</t>
  </si>
  <si>
    <t>2/13/2024</t>
  </si>
  <si>
    <t>100% BY PROGRESS</t>
  </si>
  <si>
    <t xml:space="preserve">Organo USA, Fukawa, Jumpei (Jack) &lt;Jack.Fukawa@OrganoUSA.com&gt; </t>
  </si>
  <si>
    <t>Panel Materials</t>
  </si>
  <si>
    <t>Net 30 days</t>
  </si>
  <si>
    <t>Emo</t>
  </si>
  <si>
    <t>Organo, Allen Tsai &lt;allen-tsai@organo.com.tw&gt;</t>
  </si>
  <si>
    <t>WRC Pump Changes</t>
  </si>
  <si>
    <t xml:space="preserve">Organo, Fukawa, Jumpei (Jack) &lt;Jack.Fukawa@OrganoUSA.com&gt; </t>
  </si>
  <si>
    <t>Organo USA</t>
  </si>
  <si>
    <t>LH0370001</t>
  </si>
  <si>
    <t>CIP Pump Change Out</t>
  </si>
  <si>
    <t>07/29/2024</t>
  </si>
  <si>
    <t>Murata(US)</t>
  </si>
  <si>
    <t>Muratech-JP, T.Yashiro &lt;toru.yashiro@nan.muratec.co.jp&gt;</t>
  </si>
  <si>
    <t>01/26/2024</t>
  </si>
  <si>
    <t>T/T 30 days after receipt of original invoice</t>
  </si>
  <si>
    <t>Martin</t>
  </si>
  <si>
    <t xml:space="preserve">T/T 30 days after receipt of original invoice </t>
  </si>
  <si>
    <t>08/02/2024</t>
  </si>
  <si>
    <t xml:space="preserve"> T/T 30 days after receipt of original invoice </t>
  </si>
  <si>
    <t>Ma-Tek</t>
  </si>
  <si>
    <t>100% by progress, net 30 days</t>
  </si>
  <si>
    <t xml:space="preserve">Martin </t>
  </si>
  <si>
    <t>UIS</t>
  </si>
  <si>
    <t>US100-O-0065</t>
  </si>
  <si>
    <t>Grating materials for AAS system city inspection</t>
  </si>
  <si>
    <t>1/2/2024</t>
  </si>
  <si>
    <t>Net 30 Days from invoice date</t>
  </si>
  <si>
    <t>大同聯合建築師事務所</t>
  </si>
  <si>
    <t>CAP_E_F21 P1B AMHS HPM cable tray re-work</t>
  </si>
  <si>
    <t>08/15/2024</t>
  </si>
  <si>
    <t>F21P1 SDS Function Change Expansion V1.6</t>
  </si>
  <si>
    <t>08/16/2024</t>
  </si>
  <si>
    <t>TSMC,  Robert Serrano &lt;SERRANOR@TSMC.COM&gt;</t>
  </si>
  <si>
    <t>F21 MICU TCM Support - Aug 2024</t>
  </si>
  <si>
    <t>08/17/2024</t>
  </si>
  <si>
    <t>F21P1-0423_H_23K Tool Design US ManPower</t>
  </si>
  <si>
    <t>08/22/2024</t>
  </si>
  <si>
    <t>F21P1-0423_A_5G DPM CMS Support</t>
  </si>
  <si>
    <t>4514231475</t>
  </si>
  <si>
    <t>HTF RN3000 (20 Kg)</t>
  </si>
  <si>
    <t>08/20/2024</t>
  </si>
  <si>
    <t>F21P1 MIC Chemical Support Team July~Sep 24</t>
  </si>
  <si>
    <t>Emon Roy alread contract out</t>
  </si>
  <si>
    <t>TSMC, David Fugiel &lt;DFUGIELA@TSMC.COM&gt;</t>
  </si>
  <si>
    <t>UPW_MIC_EMERGENCY VALVE REPLACE</t>
  </si>
  <si>
    <t>TSMC, 得威/Joy</t>
  </si>
  <si>
    <t>Emergency work</t>
  </si>
  <si>
    <t>F21P1 CDS/WCCS Expansion V1.6</t>
  </si>
  <si>
    <t>F21P1 VMB &amp; Piping Expansion V1.6</t>
  </si>
  <si>
    <t>CAP_E_F21 P1B L10 Scaffolding for Tunnel</t>
  </si>
  <si>
    <t xml:space="preserve">TSMC, Josie Cheng &lt;YJCHENGM@TSMC.COM&gt; </t>
  </si>
  <si>
    <t>RLD_(522/T0)_F21 ZIP Cable Removal</t>
  </si>
  <si>
    <t xml:space="preserve">TSMC, Chang En Jiang 江長恩 &lt;CEJIANG@TSMC.COM&gt; </t>
  </si>
  <si>
    <t>Labor_IR machine repair</t>
  </si>
  <si>
    <t>4590021973</t>
  </si>
  <si>
    <t xml:space="preserve">F21P1 UPW Submain Expansion V1.6 </t>
  </si>
  <si>
    <t xml:space="preserve">TSMC, Eric Chen 陳亮宇 &lt;LYCHENT@TSMC.COM&gt; </t>
  </si>
  <si>
    <t xml:space="preserve">F21P1-0404_H_MIC Equipment Rental </t>
  </si>
  <si>
    <t>TSMC, &lt;Megan Elmore MELMORE@TSMC.COM</t>
  </si>
  <si>
    <t>USC24C020</t>
  </si>
  <si>
    <t>F21P1-0423_H_CCTV_P1B</t>
  </si>
  <si>
    <t>TSMC,  Joy</t>
  </si>
  <si>
    <t>CAP_F_ Sand blasting drain filter enhanc</t>
  </si>
  <si>
    <t>CCTV and ACS for HPM(A&amp;B) &amp; pump room</t>
  </si>
  <si>
    <t>MISC_F21_P1A_CCTV_Relocation</t>
  </si>
  <si>
    <t>TSMC, Hung-Ruei Tsuei 崔紘瑞 &lt;hrtsuei@tsmc.com&gt;</t>
  </si>
  <si>
    <t xml:space="preserve">F21P1 WWT AWN System 2nd Source Enzyme </t>
  </si>
  <si>
    <t>Ian Wong</t>
  </si>
  <si>
    <t>TSMC, Wei Lin Yang &lt;wlyangf@tsmc.com&gt;</t>
  </si>
  <si>
    <t>F21P1-0423_H_Glendale workshop HVAC</t>
  </si>
  <si>
    <t>CAP_E_F21 P1 Sorter/BWBS AC Box Clash Rework</t>
  </si>
  <si>
    <t>Design</t>
  </si>
  <si>
    <t>Kate Wu</t>
  </si>
  <si>
    <t xml:space="preserve">TSMC, Arthur Chen &lt;JSCHENZE@TSMC.COM&gt; </t>
  </si>
  <si>
    <t xml:space="preserve">F21P1-0423_H_3D/2D Model_Oct.2024 </t>
  </si>
  <si>
    <t>TSMC, 王正富 &lt;cfwangc@tsmc.com&gt;</t>
  </si>
  <si>
    <t>CONSTR_(522/U0)KDSTSH foundation</t>
  </si>
  <si>
    <t>F21P1-0423_H_E2_Management_2024Q4</t>
  </si>
  <si>
    <t>T/T 30</t>
  </si>
  <si>
    <t>TV2301206274-11</t>
  </si>
  <si>
    <t>Muratec AMHS E2 Support_ALPS</t>
  </si>
  <si>
    <t>09/30/2024</t>
  </si>
  <si>
    <t>4590022428_001</t>
  </si>
  <si>
    <t>F21P1 TCO and non-TCO access control</t>
  </si>
  <si>
    <t>09/11/2024</t>
  </si>
  <si>
    <t>4590022428_002</t>
  </si>
  <si>
    <t>F21 P1 Egress motion requirement</t>
  </si>
  <si>
    <t>4590022428_003</t>
  </si>
  <si>
    <t>F21-P1_ Relocation speed gate at west te</t>
  </si>
  <si>
    <t>GC_Consumables_F21P1 GC 6" Rupture Disk</t>
  </si>
  <si>
    <t>Ogano</t>
  </si>
  <si>
    <t>A240010001</t>
  </si>
  <si>
    <t>Furniture for Organo</t>
  </si>
  <si>
    <t>30 Days</t>
  </si>
  <si>
    <t>F21 P1 WH CCTV / ACS System requirement</t>
  </si>
  <si>
    <t>TSMC, Jamie Hsieh &lt;schsiehm@tsmc.com &gt;</t>
  </si>
  <si>
    <t>GC_Consumables_F21P1 GC TS135 Valve</t>
  </si>
  <si>
    <t>10/05/2024</t>
  </si>
  <si>
    <t>Client Name</t>
  </si>
  <si>
    <t>PO#</t>
  </si>
  <si>
    <t>Tool No.</t>
  </si>
  <si>
    <t>Project#</t>
  </si>
  <si>
    <t>Category</t>
  </si>
  <si>
    <t>Tool ID</t>
  </si>
  <si>
    <t>Tool Name</t>
  </si>
  <si>
    <t>Tool ID 
Status</t>
  </si>
  <si>
    <t>Tool QTY</t>
  </si>
  <si>
    <t>Material Unit Price</t>
  </si>
  <si>
    <t>Labor Unit Price</t>
  </si>
  <si>
    <t>Mechannical</t>
  </si>
  <si>
    <t>Electrical</t>
  </si>
  <si>
    <t>GC + Manage+ Insur</t>
  </si>
  <si>
    <t>Total Per Tool</t>
  </si>
  <si>
    <t>Total M%</t>
  </si>
  <si>
    <t>Total L %</t>
  </si>
  <si>
    <t>Other %</t>
  </si>
  <si>
    <t>Feb-23 draft</t>
  </si>
  <si>
    <t>Feb-23 Tax</t>
  </si>
  <si>
    <t>23-Mar draft</t>
  </si>
  <si>
    <t>Mar-23 Tax</t>
  </si>
  <si>
    <t>23-Apr draft</t>
  </si>
  <si>
    <t>Apr-23 Tax</t>
  </si>
  <si>
    <t>23-May draft</t>
  </si>
  <si>
    <t>May-23 Tax</t>
  </si>
  <si>
    <t>23-June draft</t>
  </si>
  <si>
    <t>23-Jun Tax</t>
  </si>
  <si>
    <t>23-July draft</t>
  </si>
  <si>
    <t>23-July Tax</t>
  </si>
  <si>
    <t>23-Aug draft</t>
  </si>
  <si>
    <t>23-Aug Tax</t>
  </si>
  <si>
    <t>23-Sep draft</t>
  </si>
  <si>
    <t>23-Sep Tax</t>
  </si>
  <si>
    <t>23-Oct</t>
  </si>
  <si>
    <t>23-Oct Tax</t>
  </si>
  <si>
    <t>23-Nov</t>
  </si>
  <si>
    <t>23-Nov Tax</t>
  </si>
  <si>
    <t>23-Dec</t>
  </si>
  <si>
    <t>23-Dec Tax</t>
  </si>
  <si>
    <t>24-Jan</t>
  </si>
  <si>
    <t>24-Jan Tax</t>
  </si>
  <si>
    <t>24-Feb</t>
  </si>
  <si>
    <t>24-Feb Tax</t>
  </si>
  <si>
    <t>24-Mar</t>
  </si>
  <si>
    <t>24-Mar Tax</t>
  </si>
  <si>
    <t>24-Apr</t>
  </si>
  <si>
    <t>24-Apr tax</t>
  </si>
  <si>
    <t>24-May</t>
  </si>
  <si>
    <t>24-May tax</t>
  </si>
  <si>
    <t>24-Jun</t>
  </si>
  <si>
    <t>24-Jun tax</t>
  </si>
  <si>
    <t>24-Jul</t>
  </si>
  <si>
    <t>24-July tax</t>
  </si>
  <si>
    <t>24-Aug</t>
  </si>
  <si>
    <t>24-Aug tax</t>
  </si>
  <si>
    <t>24-Sep</t>
  </si>
  <si>
    <t>24-Sep tax</t>
  </si>
  <si>
    <t>Total</t>
  </si>
  <si>
    <t>invoice number</t>
  </si>
  <si>
    <t>approved payment</t>
  </si>
  <si>
    <t>USC23C036</t>
  </si>
  <si>
    <t>AMAT Engineering Pricing</t>
  </si>
  <si>
    <t>Within 30 days Due net</t>
  </si>
  <si>
    <t>TSMC AZ Cable Componen</t>
  </si>
  <si>
    <t>ZCENT-1</t>
  </si>
  <si>
    <t>AMAT Tool Interconnect for TSMC Fab21 (labor)</t>
  </si>
  <si>
    <t>KSSBA3</t>
  </si>
  <si>
    <t>Modifications of Cover Plates - B03210</t>
  </si>
  <si>
    <t>KCBDA1</t>
  </si>
  <si>
    <t>KCBDA1 AC Box Cover Modification</t>
  </si>
  <si>
    <t>KCBDA10</t>
  </si>
  <si>
    <t>KCBDA1 Under RMF Chamber Enclosure</t>
  </si>
  <si>
    <t>KESDA10</t>
  </si>
  <si>
    <t>KESDA1 SIGNAL CABLE REWORK</t>
  </si>
  <si>
    <t xml:space="preserve">CHANGE ORDER KSSBA3 Wire Demo and Repull </t>
  </si>
  <si>
    <t>KSSBA30</t>
  </si>
  <si>
    <t>KSSBA3 Wire Demo and Repull</t>
  </si>
  <si>
    <t>KCBDA1 Wire Demo and Repull</t>
  </si>
  <si>
    <t>F21P1 AMAT Interconnection</t>
  </si>
  <si>
    <t>KECOA1</t>
  </si>
  <si>
    <t>KECOA1 AC Box Cover Modification</t>
  </si>
  <si>
    <t>10/06/2023</t>
  </si>
  <si>
    <t>KESDA1</t>
  </si>
  <si>
    <t>KESDA1 AC Box Cover Modification</t>
  </si>
  <si>
    <t>KKSV02</t>
  </si>
  <si>
    <t>Exhaust flexible tube 10ea and Clamps 20</t>
  </si>
  <si>
    <t>10/24/2023</t>
  </si>
  <si>
    <t>KESDA2</t>
  </si>
  <si>
    <t>KESDA2 AC Top Plate Mod</t>
  </si>
  <si>
    <t>KEMEA3</t>
  </si>
  <si>
    <t>KEMEA3 AC Top Plate Mod</t>
  </si>
  <si>
    <t>KEPOA2</t>
  </si>
  <si>
    <t>KEPOA2 AC Top Plate Mod</t>
  </si>
  <si>
    <t>11/03/2023</t>
  </si>
  <si>
    <t>KEMEA5</t>
  </si>
  <si>
    <t xml:space="preserve">KEMEA5 AC Top Plate Mod </t>
  </si>
  <si>
    <t>KDIGA3</t>
  </si>
  <si>
    <t>KDIGA3 AC Top Plate Modification</t>
  </si>
  <si>
    <t>KCEPA1</t>
  </si>
  <si>
    <t>KCEPA1 AC Top Plate Modification</t>
  </si>
  <si>
    <t>KCENA1</t>
  </si>
  <si>
    <t xml:space="preserve">KCENA1 AC Top Plate Mod </t>
  </si>
  <si>
    <t>KCBDA4</t>
  </si>
  <si>
    <t xml:space="preserve"> KCBDA4 RMF AC Junction Box install</t>
  </si>
  <si>
    <t>KCBDA4 AC Top Plate Mod</t>
  </si>
  <si>
    <t>KCENA2</t>
  </si>
  <si>
    <t>KCENA2 AC Top Plate Mod</t>
  </si>
  <si>
    <t>KESDA3</t>
  </si>
  <si>
    <t>KESDA3 AC Top Plate Mod</t>
  </si>
  <si>
    <t>KEPOA1</t>
  </si>
  <si>
    <t>KEPOA1 AC Top Plate Mod</t>
  </si>
  <si>
    <t>KEMEA4</t>
  </si>
  <si>
    <t>KEMEA4 AC Top Plate Mod</t>
  </si>
  <si>
    <t>KDPNA1</t>
  </si>
  <si>
    <t>KDPNA1 AC Top Plate Mod</t>
  </si>
  <si>
    <t>KCSMA2</t>
  </si>
  <si>
    <t>KCSMA2 AC Top Plate Mod</t>
  </si>
  <si>
    <t>KCUVA3</t>
  </si>
  <si>
    <t>KCUVA3 RMF AC Junction Box Installation</t>
  </si>
  <si>
    <t>11/06/2023</t>
  </si>
  <si>
    <t>KCSMA2 RMF AC Junction Box Installation</t>
  </si>
  <si>
    <t>KPCD16</t>
  </si>
  <si>
    <t>KPCD16 Additional Power Cable</t>
  </si>
  <si>
    <t>11/07/2023</t>
  </si>
  <si>
    <t>KCUVA3 AC Top Plate Mod</t>
  </si>
  <si>
    <t>11/09/2023</t>
  </si>
  <si>
    <t>KCUVA1</t>
  </si>
  <si>
    <t>KCUVA1 AC Top Plate Mod</t>
  </si>
  <si>
    <t>KCASA4</t>
  </si>
  <si>
    <t>KCASA4 RMF AC Box Installation</t>
  </si>
  <si>
    <t xml:space="preserve">KCASA4 AC Top Plate Mod </t>
  </si>
  <si>
    <t>KCENA1 Installation of Power Cables</t>
  </si>
  <si>
    <t>KCSMA6</t>
  </si>
  <si>
    <t>KCSMA6 AC Top Plate Mod</t>
  </si>
  <si>
    <t xml:space="preserve"> KCSMA6 RMF AC BOX Installation</t>
  </si>
  <si>
    <t>KCFLA1</t>
  </si>
  <si>
    <t>KCFLA1 AC Top Plate Mod Quote</t>
  </si>
  <si>
    <t xml:space="preserve">KCFLA1 RMF AC Box Installation </t>
  </si>
  <si>
    <t>KCEPA2</t>
  </si>
  <si>
    <t>KCEPA2 AC Top Plate Mod</t>
  </si>
  <si>
    <t>11/20/2023</t>
  </si>
  <si>
    <t>KKDB04</t>
  </si>
  <si>
    <t>KKDB04 EPDU Box_Signal Cables</t>
  </si>
  <si>
    <t>KDCBA1</t>
  </si>
  <si>
    <t>KDCBA1 AC Top Plate Mod</t>
  </si>
  <si>
    <t>KDIGA2</t>
  </si>
  <si>
    <t>KDIGA2 AC Top Plate Mod</t>
  </si>
  <si>
    <t>KCEPA1 AC Rack Mod &amp; Clamps</t>
  </si>
  <si>
    <t>KDRNA1</t>
  </si>
  <si>
    <t xml:space="preserve"> KDRNA1 AC Top Plate Mod</t>
  </si>
  <si>
    <t>KSSWA1 AC Top Plate Mod</t>
  </si>
  <si>
    <t>KSSWA2 AC Top Plate Mod</t>
  </si>
  <si>
    <t>KSSBA9</t>
  </si>
  <si>
    <t>KSSBA9 AC Top Plate Mod</t>
  </si>
  <si>
    <t>KSSBA2</t>
  </si>
  <si>
    <t>KSSBA2 AC Top Plate Mod</t>
  </si>
  <si>
    <t>KSWGA1</t>
  </si>
  <si>
    <t>KSWGA1 AC Top Plate Mod</t>
  </si>
  <si>
    <t xml:space="preserve"> PDC tool T92060 KKBD04 Power cable termi</t>
  </si>
  <si>
    <t>12/9/2023</t>
  </si>
  <si>
    <t>KMPOA2-C</t>
  </si>
  <si>
    <t>KMPOA2_C_Power Cabel Demo ) Rerouting.</t>
  </si>
  <si>
    <t>KKCVO2 Terminate 3 power cable</t>
  </si>
  <si>
    <t>KEPOA2 Under RMF Junction Box</t>
  </si>
  <si>
    <t xml:space="preserve"> KEMEA5 AC RAck CB Change</t>
  </si>
  <si>
    <t>KKSV01</t>
  </si>
  <si>
    <t xml:space="preserve"> KKSV01 EPDU Box Installation &amp; WIre Term</t>
  </si>
  <si>
    <t>12/27/2023</t>
  </si>
  <si>
    <t xml:space="preserve"> KDIGA3 Install Unistrut</t>
  </si>
  <si>
    <t>1/5/2024</t>
  </si>
  <si>
    <t>Javier Arroyo</t>
  </si>
  <si>
    <t xml:space="preserve"> KDIGA3 Install NEC Required Ground WIre</t>
  </si>
  <si>
    <t>KDPNA1 Interconnect Quote</t>
  </si>
  <si>
    <t>01/18/2024</t>
  </si>
  <si>
    <t>KDCBA1 Interconnect</t>
  </si>
  <si>
    <t>KIHIT5</t>
  </si>
  <si>
    <t>KIHIT5 Interconnect Work Quote</t>
  </si>
  <si>
    <t>KCSMA6 Interconnect work quote</t>
  </si>
  <si>
    <t>KCHPA1</t>
  </si>
  <si>
    <t>KCHPA1 Interconnect work quote</t>
  </si>
  <si>
    <t>KCSMA5</t>
  </si>
  <si>
    <t>KCSMA5 Interconnect work quote</t>
  </si>
  <si>
    <t>KCFLA1 Interconnect work quote</t>
  </si>
  <si>
    <t xml:space="preserve">KCASA4 Tool Interconnection </t>
  </si>
  <si>
    <t>KCFLA2</t>
  </si>
  <si>
    <t xml:space="preserve">KCFLA2 Tool Interconnection </t>
  </si>
  <si>
    <t>KDIGA3 Install 6 SCR Flex Conduit</t>
  </si>
  <si>
    <t>01/17/2024</t>
  </si>
  <si>
    <t>KSSBA1</t>
  </si>
  <si>
    <t>KSSBA1 AC Top Plate Mod</t>
  </si>
  <si>
    <t>02/06/2024</t>
  </si>
  <si>
    <t>KMOPA3-C</t>
  </si>
  <si>
    <t>KMOPA3-C Interconnect Work</t>
  </si>
  <si>
    <t>02/05/2024</t>
  </si>
  <si>
    <t>KCSMA4</t>
  </si>
  <si>
    <t>KCSMA4 Main Tool Interconnect</t>
  </si>
  <si>
    <t>KCSMA1</t>
  </si>
  <si>
    <t>KCSMA1 Main Tool Interconnect</t>
  </si>
  <si>
    <t>KCASA3</t>
  </si>
  <si>
    <t xml:space="preserve">KCASA3 Main Interconnet Work </t>
  </si>
  <si>
    <t>KCASA2</t>
  </si>
  <si>
    <t>KCASA2 Main Tool Interconnect</t>
  </si>
  <si>
    <t>KCOLA1</t>
  </si>
  <si>
    <t>KCOLA1 Main Tool INterconnec</t>
  </si>
  <si>
    <t>KCFLA3</t>
  </si>
  <si>
    <t>KCFLA3 Main Tool Interconnect</t>
  </si>
  <si>
    <t>KDIGA3 COnnect SCR cable and Cut Excess</t>
  </si>
  <si>
    <t>KCBDA3</t>
  </si>
  <si>
    <t xml:space="preserve">KCBDA3 Main Tool Interconnect </t>
  </si>
  <si>
    <t>KSMGA1</t>
  </si>
  <si>
    <t>KSMGA1 Main Tool Interconnect</t>
  </si>
  <si>
    <t>KSCPA1</t>
  </si>
  <si>
    <t xml:space="preserve">KSCPA1 Main Tool Interconnect </t>
  </si>
  <si>
    <t>KCWPA1</t>
  </si>
  <si>
    <t>KCWPA1 Main Tool Interconnect</t>
  </si>
  <si>
    <t>KSSBA4</t>
  </si>
  <si>
    <t xml:space="preserve">KSSBA4 Main Tool Interconnect </t>
  </si>
  <si>
    <t>KSSBA5</t>
  </si>
  <si>
    <t>KSSBA5 Main Tool Interconnect</t>
  </si>
  <si>
    <t>KSCCA1</t>
  </si>
  <si>
    <t>KSCCA1 Main Tool Interconnect</t>
  </si>
  <si>
    <t>KSCCA3</t>
  </si>
  <si>
    <t>KSCCA3 Main Tool Interconnect</t>
  </si>
  <si>
    <t>KSHMA2</t>
  </si>
  <si>
    <t>KSHAM2 Main Tool Interconnect</t>
  </si>
  <si>
    <t>KCWPA2</t>
  </si>
  <si>
    <t>KCWPA2 Main Tool Interconnect</t>
  </si>
  <si>
    <t>02/08/2024</t>
  </si>
  <si>
    <t>KEPAA1</t>
  </si>
  <si>
    <t>KEPAA1 Main Tool Interconnect</t>
  </si>
  <si>
    <t>KEEBA2</t>
  </si>
  <si>
    <t>KEEBA2 Main Tool Interconnect</t>
  </si>
  <si>
    <t>KEPAA2</t>
  </si>
  <si>
    <t>KEPAA2 Main Tool Interconnect</t>
  </si>
  <si>
    <t>KEMEA1</t>
  </si>
  <si>
    <t xml:space="preserve">KEMEA1 Main Tool Interconnect </t>
  </si>
  <si>
    <t>KSTSA1</t>
  </si>
  <si>
    <t>KSTSA1 Main Tool Interconnect</t>
  </si>
  <si>
    <t>KSANA1</t>
  </si>
  <si>
    <t xml:space="preserve"> KSANA1 Main Tool Interconnect</t>
  </si>
  <si>
    <t>KDDAA1</t>
  </si>
  <si>
    <t>KDDAA1 Main Tool Interconnect</t>
  </si>
  <si>
    <t>02/12/2024</t>
  </si>
  <si>
    <t>KDIGA3 Drill Holes in transformer</t>
  </si>
  <si>
    <t>02/13/2024</t>
  </si>
  <si>
    <t>KSTSA1 AC Top Plate Mod</t>
  </si>
  <si>
    <t>02/15/2024</t>
  </si>
  <si>
    <t>KDRNA1 Main Tool Interconnect</t>
  </si>
  <si>
    <t>KDIGA1</t>
  </si>
  <si>
    <t>KDIGA1 Main Tool Interconnect</t>
  </si>
  <si>
    <t>KCBDA5</t>
  </si>
  <si>
    <t>KCBDA5 Main Tool Interconnect</t>
  </si>
  <si>
    <t xml:space="preserve">KDIGA2 Main Tool Interconnect </t>
  </si>
  <si>
    <t>02/26/2024</t>
  </si>
  <si>
    <t>KCASA1 Main Interconnect</t>
  </si>
  <si>
    <t>KCOXA1 Main Tool Interconnect</t>
  </si>
  <si>
    <t>KDIGA4 Transformer and Change replacment</t>
  </si>
  <si>
    <t>03/06/2024</t>
  </si>
  <si>
    <t xml:space="preserve">KDIGA2 Transformer Replacment </t>
  </si>
  <si>
    <t>KMWPA1 Interconnect Work</t>
  </si>
  <si>
    <t>03/08/2024</t>
  </si>
  <si>
    <t>KMOPA1 Mina Tool Interconnect</t>
  </si>
  <si>
    <t>KPCD16 EPDU Install and Termination</t>
  </si>
  <si>
    <t>03/15/2024</t>
  </si>
  <si>
    <t>KCEPA3 Main Tool Interconnect</t>
  </si>
  <si>
    <t>KSHMA1 AC Top Plate Mod</t>
  </si>
  <si>
    <t>KKSV03 Main tool interconnect</t>
  </si>
  <si>
    <t>03/18/2024</t>
  </si>
  <si>
    <t>KKDD03 Main tool interconnect</t>
  </si>
  <si>
    <t>KKDB05 Main Tool Interconnection</t>
  </si>
  <si>
    <t>KSSBA6 Main Tool Interconnetion</t>
  </si>
  <si>
    <t xml:space="preserve">KSSBA7 Main Tool Interconnection </t>
  </si>
  <si>
    <t>KSSBA8 Main Tool Interconnection</t>
  </si>
  <si>
    <t>KCENA3 Main Tool Interconnect</t>
  </si>
  <si>
    <t>KDIGA4</t>
  </si>
  <si>
    <t>KDIGA4 Main Tool Interconnect</t>
  </si>
  <si>
    <t>KCBDA6 Main Tool Interconnection</t>
  </si>
  <si>
    <t>KSANA2 Main Tool Interconnection</t>
  </si>
  <si>
    <t>03/19/2024</t>
  </si>
  <si>
    <t>KSAPA1 Main Tool Interconnection</t>
  </si>
  <si>
    <t xml:space="preserve">KCSSA2 Main Tool Interconnection </t>
  </si>
  <si>
    <t>KSHRA1 Main Tool Interconnection</t>
  </si>
  <si>
    <t>KCSMA3 Main Tool Interconnection</t>
  </si>
  <si>
    <t>KCUVA2 Main Tool Interconnection</t>
  </si>
  <si>
    <t xml:space="preserve">KCUVA7 Main Tool Interconnection </t>
  </si>
  <si>
    <t>KCOLA3 Main Tool Interconnection</t>
  </si>
  <si>
    <t>KCENA6 Main Tool Interconnect</t>
  </si>
  <si>
    <t>KECENA4 Main Tool Interconnect</t>
  </si>
  <si>
    <t xml:space="preserve">KEMEA2 Main Tool Interconnect </t>
  </si>
  <si>
    <t>03/20/2024</t>
  </si>
  <si>
    <t xml:space="preserve">KELIA1 Main Tool Interconnect </t>
  </si>
  <si>
    <t>KEARA1 Main Tool Interconnect</t>
  </si>
  <si>
    <t>KMOPA9-C Main tool Interconnect</t>
  </si>
  <si>
    <t>03/21/2024</t>
  </si>
  <si>
    <t>KMWPA2-C Main Tool Interconnect</t>
  </si>
  <si>
    <t>KMOPA5-C Main Tool Interconnect</t>
  </si>
  <si>
    <t>KMOPA8-C Main Tool Interconnect</t>
  </si>
  <si>
    <t>KCBDA2 Interconnect work quote</t>
  </si>
  <si>
    <t>03/22/2024</t>
  </si>
  <si>
    <t xml:space="preserve">KKDD04 Main Tool Interconnect </t>
  </si>
  <si>
    <t>KKSV05 Main Tool Interconnect</t>
  </si>
  <si>
    <t>KPCD21 Main Tool Interconnect</t>
  </si>
  <si>
    <t>KPCD22 Main Tool Interconnect</t>
  </si>
  <si>
    <t>KDRNA1 SCR Cable cat and crimp</t>
  </si>
  <si>
    <t>04/03/2024</t>
  </si>
  <si>
    <t xml:space="preserve"> Within 30 days Due net </t>
  </si>
  <si>
    <t>04/04/2024</t>
  </si>
  <si>
    <t>KEEBA1 AC Top Plate Mod</t>
  </si>
  <si>
    <t>04/12/2024</t>
  </si>
  <si>
    <t>Janson Van Shaar</t>
  </si>
  <si>
    <t xml:space="preserve"> john_j_smith@amat.com </t>
  </si>
  <si>
    <t>KDIGA2 ChC Power Supply Reconnect Work</t>
  </si>
  <si>
    <t>AMAT-TSMC F21P1B FIRST 18 TOOLS</t>
  </si>
  <si>
    <t>05/21/2024</t>
  </si>
  <si>
    <t xml:space="preserve">Stephen Abate &lt;Stephen.Abate@asm.com&gt; </t>
  </si>
  <si>
    <t>USC23C028</t>
  </si>
  <si>
    <t>F21P1 ASM Interconnection</t>
  </si>
  <si>
    <t>KDALS2</t>
  </si>
  <si>
    <t>Synergis MX Interconnect_10FE.2635.03.01</t>
  </si>
  <si>
    <t>KCEPS1</t>
  </si>
  <si>
    <t>Intrepid XP Pre-Clean Interconnect_10FE.2631.03.01</t>
  </si>
  <si>
    <t>Finished</t>
    <phoneticPr fontId="16" type="noConversion"/>
  </si>
  <si>
    <t>KCSOA2</t>
  </si>
  <si>
    <t>XP8 DCM Interconnect_30FE.3979.03.01</t>
  </si>
  <si>
    <t>KCSOA4</t>
  </si>
  <si>
    <t>XP* DCM Interconnect_30FE.3980.03.01</t>
  </si>
  <si>
    <t>KCSNA1</t>
  </si>
  <si>
    <t>XP8 QCM Interconnect_30FE.3925.03.01</t>
  </si>
  <si>
    <t>KDALS1</t>
  </si>
  <si>
    <t>Synergis MX Interconnect_10FE.2668.03.01</t>
  </si>
  <si>
    <t>finished</t>
    <phoneticPr fontId="16" type="noConversion"/>
  </si>
  <si>
    <t>KDHKS3</t>
  </si>
  <si>
    <t>Pulsar XP4 Interconnect_10FE.2754.03.01</t>
  </si>
  <si>
    <t>KCEPS2</t>
  </si>
  <si>
    <t>Intrepid XP Pre-Clean Interconnect_10FE.2659.03.01</t>
  </si>
  <si>
    <t>KSMGS1</t>
  </si>
  <si>
    <t>Synergis NT Interconnect_10FE.2657.03.01</t>
  </si>
  <si>
    <t xml:space="preserve">KCEPS3 </t>
  </si>
  <si>
    <t>Intrepid MX Interconnect_10FE.2632.03.01</t>
  </si>
  <si>
    <t>KCEPS3</t>
  </si>
  <si>
    <t>Intrepid MX Interconnect_10FE.2686.03.01</t>
  </si>
  <si>
    <t>KCTOA1</t>
  </si>
  <si>
    <t>XP8 DCM Interconnect_30FE.3974.03.01</t>
  </si>
  <si>
    <t>KSMGS2</t>
  </si>
  <si>
    <t>Synergis NT Interconnect_10FE.2765.03.01</t>
  </si>
  <si>
    <t>KDALS3</t>
  </si>
  <si>
    <t>Synergis MX Interconnect_10FE.2714.03.01</t>
  </si>
  <si>
    <t>KDALS4</t>
  </si>
  <si>
    <t>Synergis MX Interconnect_10FE.2768.03.01</t>
  </si>
  <si>
    <t>KCSOA6</t>
  </si>
  <si>
    <t>XP8 DCM Install Interconnect_30FE.3893.03.01</t>
  </si>
  <si>
    <t>KCEPS4</t>
  </si>
  <si>
    <t>Intrepid XP Pre-Clean Interconnect_10FE.2687.03.01</t>
  </si>
  <si>
    <t>KCSOA1</t>
  </si>
  <si>
    <t>XP8 DCM Interconnect_30FE.3894.03.01</t>
  </si>
  <si>
    <t>KCSOA5</t>
  </si>
  <si>
    <t>XP8 DCM Interconnect_30FE.3926.03.01</t>
  </si>
  <si>
    <t>KCSOA3</t>
  </si>
  <si>
    <t>XP8 DCM Interconnect_30FE.3992.03.01</t>
  </si>
  <si>
    <t>KCTOA2</t>
  </si>
  <si>
    <t>XP8 DCM Interconnect_30FE.3993.03.01</t>
  </si>
  <si>
    <t>KCSOA7</t>
  </si>
  <si>
    <t>XP8 DCM Interconnect_30FE.4001.03.01</t>
  </si>
  <si>
    <t>KCSOA9</t>
  </si>
  <si>
    <t>XP8 DCM Interconnect_30FE.4015.03.01</t>
  </si>
  <si>
    <t>KCSOAA</t>
  </si>
  <si>
    <t>XP8 DCM Interconnect_30FE.4039.03.01</t>
  </si>
  <si>
    <t>KCSOA8</t>
  </si>
  <si>
    <t>XP8 DCM Interconnect_30FE.4052.03.01</t>
  </si>
  <si>
    <t>KCTOA3</t>
  </si>
  <si>
    <t>XP8 DCM Interconnect_30FE.4055.03.01</t>
  </si>
  <si>
    <t>KCTOA4</t>
  </si>
  <si>
    <t>XP8 DCM Interconnect_30FE.4056.03.01</t>
  </si>
  <si>
    <t>KCSNA2</t>
  </si>
  <si>
    <t>XP8 QCM Interconnect_30FE.3947.03.01</t>
  </si>
  <si>
    <t>KSMGS3</t>
  </si>
  <si>
    <t>Synergis NT Interconnect_10FE.2776.03.01</t>
  </si>
  <si>
    <t>KCSNA4</t>
  </si>
  <si>
    <t>XP8 QCM Interconnect_30FE.4016.03.01</t>
  </si>
  <si>
    <t>KCSNA3</t>
  </si>
  <si>
    <t>XP8 QCM Interconnect_30FE.4038.03.01</t>
  </si>
  <si>
    <t>KDHKS2</t>
  </si>
  <si>
    <t>Eagle XP4 (Pulsar 3000_AXIS*4)_10FE.2694.03.01</t>
  </si>
  <si>
    <t>KDHKS1</t>
  </si>
  <si>
    <t>Eagle XP4 (Pulsar 3000_AXIS*4)_10FE.2695.03.01</t>
  </si>
  <si>
    <t>KDHKS4</t>
  </si>
  <si>
    <t>Eagle XP4 (Pulsar 3000_AXIS*4)_10FE.2696.03.01</t>
  </si>
  <si>
    <t>KDHKS6</t>
  </si>
  <si>
    <t>Eagle XP4 (Pulsar 3000_AXIS*4)_10FE.2782.03.01</t>
  </si>
  <si>
    <t>KDHKS5</t>
  </si>
  <si>
    <t>Eagle XP4 (Pulsar 3000_AXIS*4)_10FE.2783.03.01</t>
  </si>
  <si>
    <t>KDHKS7</t>
  </si>
  <si>
    <t>Eagle XP4 (Pulsar 3000_AXIS*4)_10FE.2859.03.01</t>
  </si>
  <si>
    <t>Travis</t>
  </si>
  <si>
    <t>USC23C017</t>
  </si>
  <si>
    <t>F21P1 ASML Interconnection</t>
  </si>
  <si>
    <t>KKSS01</t>
  </si>
  <si>
    <t xml:space="preserve">ASML-HMI Tool Interconnection </t>
  </si>
  <si>
    <t>KKSS02</t>
  </si>
  <si>
    <t>Travis Hand</t>
  </si>
  <si>
    <t>Johnson Tseng &lt;johnson.tseng@asml.com&gt;</t>
  </si>
  <si>
    <t>2310468048_001</t>
  </si>
  <si>
    <t>2/1/2023</t>
  </si>
  <si>
    <t>Payment due in 30 days</t>
  </si>
  <si>
    <t>2310468048_002</t>
  </si>
  <si>
    <t>USC23C046</t>
  </si>
  <si>
    <t>CHILLER HOSE PIPING</t>
  </si>
  <si>
    <t>Net 45</t>
  </si>
  <si>
    <t>Alex Yu</t>
  </si>
  <si>
    <t>tony.oh@clean.co.jp</t>
  </si>
  <si>
    <t>USC23C060</t>
  </si>
  <si>
    <t>CT Local Scrubber Interconnection</t>
  </si>
  <si>
    <t>Materials: 40% by PO issued to subcontractor, 60% upon confirmed delivery to MICU Warehouse</t>
  </si>
  <si>
    <t>1MUQOC2404040_01</t>
  </si>
  <si>
    <t>CT Local Scrubber Interconnection for 15 cables</t>
  </si>
  <si>
    <t>4/25/2024</t>
  </si>
  <si>
    <t xml:space="preserve"> Materials: 40% by PO issued to subcontractor, 60% upon confirmed delivery to MICU Warehouse
Labor: 40% by PO issued to subcontractor, 60% by completion of each tool. </t>
  </si>
  <si>
    <t>S1056770</t>
  </si>
  <si>
    <t>USC23C033</t>
  </si>
  <si>
    <t>TOOL INTERCONNECTION AND TOOL HOOKUP CM PROJECT</t>
  </si>
  <si>
    <t>Cables- Power and Signal</t>
  </si>
  <si>
    <t>GPO/M00001/08/23</t>
  </si>
  <si>
    <t>G2 Technology Corp Interconnection</t>
  </si>
  <si>
    <t>40% by PO issued to subcontractor, 60% by completion of each tool. Net 30 days</t>
  </si>
  <si>
    <t>USC23C019</t>
  </si>
  <si>
    <t>F21P1 Hitach Interconnection</t>
  </si>
  <si>
    <t>KEPCH2</t>
  </si>
  <si>
    <t>J-9012NX#2</t>
  </si>
  <si>
    <t>KEPCH1</t>
  </si>
  <si>
    <t>J-9012NX#1</t>
  </si>
  <si>
    <t>KEMGH2</t>
  </si>
  <si>
    <t>J-9011NX#2</t>
  </si>
  <si>
    <t>KEMGH1</t>
  </si>
  <si>
    <t>J-9011NX#1</t>
  </si>
  <si>
    <t>KPCD26</t>
  </si>
  <si>
    <t>TSMC CG-4100 F21-P0124</t>
  </si>
  <si>
    <t>KPCD04</t>
  </si>
  <si>
    <t>TSMC CG-5000 F21-P0092</t>
  </si>
  <si>
    <t>KPCD05</t>
  </si>
  <si>
    <t>TSMC CG-5000 F21-P0093</t>
  </si>
  <si>
    <t>KPCD02</t>
  </si>
  <si>
    <t>TSMC CG-5000 F21-P0100</t>
  </si>
  <si>
    <t>KPCD03</t>
  </si>
  <si>
    <t>TSMC CG-5000 F21-P0101</t>
  </si>
  <si>
    <t>KPCD24</t>
  </si>
  <si>
    <t>TSMC CG-5000 F21-P0102</t>
  </si>
  <si>
    <t>KPCD01</t>
  </si>
  <si>
    <t>TSMC CG-7300 F21-P0118</t>
  </si>
  <si>
    <t>KPCD06</t>
  </si>
  <si>
    <t>TSMC CG-6300 F21-P0106</t>
  </si>
  <si>
    <t>KPCD07</t>
  </si>
  <si>
    <t>TSMC CG-6300 F21-P0096</t>
  </si>
  <si>
    <t>KPCD08</t>
  </si>
  <si>
    <t>TSMC CG-6300 F21-P0095</t>
  </si>
  <si>
    <t>KPCD09</t>
  </si>
  <si>
    <t>TSMC CG-7300 F21-P0120</t>
  </si>
  <si>
    <t>KPCD10</t>
  </si>
  <si>
    <t>TSMC CG-6300 F21-P0104</t>
  </si>
  <si>
    <t>KPCD11</t>
  </si>
  <si>
    <t>TSMC CG-6300 F21-P0097</t>
  </si>
  <si>
    <t>KPCD12</t>
  </si>
  <si>
    <t>TSMC CG-6300 F21-P0103</t>
  </si>
  <si>
    <t>KPCD13</t>
  </si>
  <si>
    <t>TSMC CG-6300 F21-P0105</t>
  </si>
  <si>
    <t>KPCD14</t>
  </si>
  <si>
    <t>TSMC CG-7300 F21-P0122</t>
  </si>
  <si>
    <t>KPCD15</t>
  </si>
  <si>
    <t>TSMC CG-7300 F21-P0119</t>
  </si>
  <si>
    <t>KPCD17</t>
  </si>
  <si>
    <t>TSMC CG-6300 F21-P0107</t>
  </si>
  <si>
    <t>KPCD18</t>
  </si>
  <si>
    <t>TSMC CG-6300 F21-P0108</t>
  </si>
  <si>
    <t>KPCD19</t>
  </si>
  <si>
    <t>TSMC CG-7300 F21-P0121</t>
  </si>
  <si>
    <t>KPCD20</t>
  </si>
  <si>
    <t>TSMC CG-7300 F21-P0117</t>
  </si>
  <si>
    <t>KPCD25</t>
  </si>
  <si>
    <t>TSMC CG-7300 F21-P0098</t>
  </si>
  <si>
    <t>KPCD27</t>
  </si>
  <si>
    <t>TSMC CG-6300 F21-P0112</t>
  </si>
  <si>
    <t>KPCD28</t>
  </si>
  <si>
    <t>TSMC CG-7300 F21-P0123</t>
  </si>
  <si>
    <t>KPCD29</t>
  </si>
  <si>
    <t>TSMC CG-6300 F21-P0109</t>
  </si>
  <si>
    <t>KPCD30</t>
  </si>
  <si>
    <t>TSMC CG-6300 F21-P0110</t>
  </si>
  <si>
    <t>KPCD31</t>
  </si>
  <si>
    <t>TSMC CG-7300 F21-P0099</t>
  </si>
  <si>
    <t>KPCD32</t>
  </si>
  <si>
    <t>TSMC CG-6300</t>
  </si>
  <si>
    <t>KPCD33</t>
  </si>
  <si>
    <t xml:space="preserve">TSMC CG-7300 </t>
  </si>
  <si>
    <t>KEPCH3</t>
  </si>
  <si>
    <t>J-9012NX#3</t>
  </si>
  <si>
    <t>KEPCH4</t>
  </si>
  <si>
    <t>J-9012NX#4</t>
  </si>
  <si>
    <t>KEPCH5</t>
  </si>
  <si>
    <t>J-9012NX#5</t>
  </si>
  <si>
    <t>KEMGH3</t>
  </si>
  <si>
    <t>J-9011NX#3</t>
  </si>
  <si>
    <t>KEMGH4</t>
  </si>
  <si>
    <t>J-9011NX#4</t>
  </si>
  <si>
    <t>KEMGH5</t>
  </si>
  <si>
    <t>J-9011NX#5</t>
  </si>
  <si>
    <t>KEMGH6</t>
  </si>
  <si>
    <t>J-9011NX#6</t>
  </si>
  <si>
    <t>Hitachi</t>
  </si>
  <si>
    <t>KPSP11</t>
  </si>
  <si>
    <t>LS9600 Blower Connection</t>
  </si>
  <si>
    <t>Net 30</t>
  </si>
  <si>
    <t>Tony L/ Kurt/ Justin/ Kevin</t>
  </si>
  <si>
    <t>H-342356</t>
  </si>
  <si>
    <t>USC23C027</t>
  </si>
  <si>
    <t>Holon ZX Tool Interconnection</t>
  </si>
  <si>
    <t>H-342357</t>
  </si>
  <si>
    <t>Holon LEXa-20 Tool Interconnection</t>
  </si>
  <si>
    <t xml:space="preserve">USC23C010 </t>
  </si>
  <si>
    <t>Mitsubishi Breaker</t>
  </si>
  <si>
    <t>12/2/2022</t>
  </si>
  <si>
    <t xml:space="preserve"> 100% by shipment, T/T 30 days. </t>
  </si>
  <si>
    <t>USC23C018</t>
  </si>
  <si>
    <t xml:space="preserve">Furnace cable connection #3 &amp; #4 </t>
  </si>
  <si>
    <t>Jessica Kuo, Ryan Reyes &lt;jessica.kuo@scientech.com.tw&gt;, &lt;rreyes@thehpsp.com&gt;</t>
  </si>
  <si>
    <t>F21P1 HPSP Interconnection</t>
  </si>
  <si>
    <t>KDIPP1</t>
  </si>
  <si>
    <t>Furnace cable connection</t>
  </si>
  <si>
    <t>KDIPP2</t>
  </si>
  <si>
    <t>IPI Tool Interconnection-Bilingual Project Manager</t>
  </si>
  <si>
    <t>100% invoice monthly. Net 30 days</t>
  </si>
  <si>
    <t>Joel Chen</t>
  </si>
  <si>
    <t>KTUS202307_001</t>
  </si>
  <si>
    <t>USC23C061</t>
  </si>
  <si>
    <t>Kanken Tool Interconnection (labor)</t>
  </si>
  <si>
    <t>Chen, Frady (Wen-Ching) &lt;Wen.Ching.Chen@kla.com&gt;</t>
  </si>
  <si>
    <t>USC23C021</t>
  </si>
  <si>
    <t>F21P1 KLA Interconnection</t>
  </si>
  <si>
    <t>KKSV04</t>
  </si>
  <si>
    <t>7380(Ebean)</t>
  </si>
  <si>
    <t>KKSV06</t>
  </si>
  <si>
    <t>640(Rapid)</t>
  </si>
  <si>
    <t>670E(Rapid)</t>
  </si>
  <si>
    <t>KPMI02</t>
  </si>
  <si>
    <t>ZKTFS-1</t>
  </si>
  <si>
    <t>Flashscan(Rapid)</t>
  </si>
  <si>
    <t>IPRO7(Rapid)</t>
  </si>
  <si>
    <t>KPOV15</t>
  </si>
  <si>
    <t>ALT100(OMD)</t>
  </si>
  <si>
    <t>KPOV16</t>
  </si>
  <si>
    <t>KPOV21</t>
  </si>
  <si>
    <t>KPOV22</t>
  </si>
  <si>
    <t>KPOV23</t>
  </si>
  <si>
    <t>KPOV33</t>
  </si>
  <si>
    <t>KPOV14</t>
  </si>
  <si>
    <t>KKDB02</t>
  </si>
  <si>
    <t>2965(BBP)</t>
  </si>
  <si>
    <t>KKDB06</t>
  </si>
  <si>
    <t>KKDB01</t>
  </si>
  <si>
    <t>3935(BBP)</t>
  </si>
  <si>
    <t>KKDB03</t>
  </si>
  <si>
    <t>KPSP07</t>
  </si>
  <si>
    <t>SP7XP Lite(SFS)</t>
  </si>
  <si>
    <t>KPSP01</t>
  </si>
  <si>
    <t>SP5XP EH(SFS)</t>
  </si>
  <si>
    <t>Billed</t>
  </si>
  <si>
    <t>KPSP05</t>
  </si>
  <si>
    <t>SP5XP VH(SFS)</t>
  </si>
  <si>
    <t>KPSP02</t>
  </si>
  <si>
    <t>KPSP10</t>
  </si>
  <si>
    <t>KPSP08</t>
  </si>
  <si>
    <t>KPSP06</t>
  </si>
  <si>
    <t>SP7(SFS)</t>
  </si>
  <si>
    <t>KPSP03</t>
  </si>
  <si>
    <t>KPSP12</t>
  </si>
  <si>
    <t>SP7XP(SFS)</t>
  </si>
  <si>
    <t>KPSP13</t>
  </si>
  <si>
    <t>KPSP04</t>
  </si>
  <si>
    <t>In Progress</t>
  </si>
  <si>
    <t>KPIN01</t>
  </si>
  <si>
    <t>Voya 1015 lite(LS)</t>
  </si>
  <si>
    <t>KPIN02</t>
  </si>
  <si>
    <t>KKDD02</t>
  </si>
  <si>
    <t>Voya 1015(LS)</t>
  </si>
  <si>
    <t>KKDD03</t>
  </si>
  <si>
    <t>KPSP09</t>
  </si>
  <si>
    <t>SP3</t>
  </si>
  <si>
    <t>KPOV13</t>
  </si>
  <si>
    <t>ATL</t>
  </si>
  <si>
    <t>KPMI01/KPMI02/ZLMS-1/ZKT6-1/ZKT6-2</t>
  </si>
  <si>
    <t xml:space="preserve"> F21 Rapid interconnection</t>
  </si>
  <si>
    <t>Huang HuangChun / 黃煌竣 &lt;jerry.huang@kokusai-electric.com&gt;</t>
  </si>
  <si>
    <t>USC23C020</t>
  </si>
  <si>
    <t>F21P1 Kokusai Interconnection</t>
  </si>
  <si>
    <t>KDSAK1</t>
  </si>
  <si>
    <t>AP (QHT2-ILD) INTERCONNECTS</t>
  </si>
  <si>
    <t>30 days net</t>
  </si>
  <si>
    <t>KDSAK2</t>
  </si>
  <si>
    <t>KDAPK1</t>
  </si>
  <si>
    <t>KDAPK2</t>
  </si>
  <si>
    <t>KDAPK5</t>
  </si>
  <si>
    <t>KDAPK3</t>
  </si>
  <si>
    <t>KDAPK4</t>
  </si>
  <si>
    <t>KDAPK7</t>
  </si>
  <si>
    <t>KDAPK6</t>
  </si>
  <si>
    <t>KDSAK3</t>
  </si>
  <si>
    <t>KDSAK6</t>
  </si>
  <si>
    <t>KDSAK5</t>
  </si>
  <si>
    <t>KDCUK1</t>
  </si>
  <si>
    <t>CUK-PIQ (QL) INTERCONNECTS</t>
  </si>
  <si>
    <t>KDCUK2</t>
  </si>
  <si>
    <t>KDCUK3</t>
  </si>
  <si>
    <t>KDCUK4</t>
  </si>
  <si>
    <t>KDSRK2</t>
  </si>
  <si>
    <t>SRK-SiOC(Q2L) INTERCONNECT</t>
  </si>
  <si>
    <t>KDSRK4</t>
  </si>
  <si>
    <t>KDSRK6</t>
  </si>
  <si>
    <t>KDTNK3</t>
  </si>
  <si>
    <t>TNK-PE-SiN, MT-TiN(Q2L) INTERCONNECTS</t>
  </si>
  <si>
    <t>KDTNK2</t>
  </si>
  <si>
    <t>KDLNK2</t>
  </si>
  <si>
    <t>LNK-PLASMA(Q2L) INTERCONNECTS</t>
  </si>
  <si>
    <t>KDLNK3</t>
  </si>
  <si>
    <t>KDLNK4</t>
  </si>
  <si>
    <t>KDLNK5</t>
  </si>
  <si>
    <t>KSCBHD</t>
  </si>
  <si>
    <t>DG4150 W/LAMP (TNDM) INTERCONNECTS</t>
  </si>
  <si>
    <t>KSCBHE</t>
  </si>
  <si>
    <t>KSCBHF</t>
  </si>
  <si>
    <t>KSCBHK</t>
  </si>
  <si>
    <t>KSCBHJ</t>
  </si>
  <si>
    <t>KSCBH5</t>
  </si>
  <si>
    <t>KSCBH6</t>
  </si>
  <si>
    <t>KSCBH7</t>
  </si>
  <si>
    <t>KSCBH8</t>
  </si>
  <si>
    <t>KSCBHA</t>
  </si>
  <si>
    <t>KSCBHC</t>
  </si>
  <si>
    <t>KSCBHG</t>
  </si>
  <si>
    <t>DG4150 (TNDM) INTERCONNECTS</t>
  </si>
  <si>
    <t>KSCBHH</t>
  </si>
  <si>
    <t>KSCBH9</t>
  </si>
  <si>
    <t>KSCBHB</t>
  </si>
  <si>
    <t>KDSAK4</t>
  </si>
  <si>
    <t>KDAPK9</t>
  </si>
  <si>
    <t>KDAPKB</t>
  </si>
  <si>
    <t>KDAPK8</t>
  </si>
  <si>
    <t>KDAPKA</t>
  </si>
  <si>
    <t>KDSAK7</t>
  </si>
  <si>
    <t>KDSRK1</t>
  </si>
  <si>
    <t>KDSRK3</t>
  </si>
  <si>
    <t>KDSRK5</t>
  </si>
  <si>
    <t>KDTNK1</t>
  </si>
  <si>
    <t>KDAPKC</t>
  </si>
  <si>
    <t>KDLNK1</t>
  </si>
  <si>
    <t>KSCBH4</t>
  </si>
  <si>
    <t>KSCBH2</t>
  </si>
  <si>
    <t>KSCBH1</t>
  </si>
  <si>
    <t>KSCBH3</t>
  </si>
  <si>
    <t xml:space="preserve">Wu, Alex &lt;Alex.Wu@lamresearch.com&gt; </t>
  </si>
  <si>
    <t>4800104873_025</t>
  </si>
  <si>
    <t>USC23C025</t>
  </si>
  <si>
    <t>MICU Lam Interconnection</t>
  </si>
  <si>
    <t>KESTL1</t>
  </si>
  <si>
    <t>Etch 2300E4 platform_Kiyo*3PM</t>
  </si>
  <si>
    <t>4800104873_055</t>
  </si>
  <si>
    <t>KEMGL1</t>
  </si>
  <si>
    <t>Etch 2300E6 platform_Metal-M*4PM</t>
  </si>
  <si>
    <t>4800104873_065</t>
  </si>
  <si>
    <t>KECOL4</t>
  </si>
  <si>
    <t>Etch 2300 platform_Flex FL*5PM</t>
  </si>
  <si>
    <t>4800104873_074</t>
  </si>
  <si>
    <t>KEPRL6</t>
  </si>
  <si>
    <t>Etch_Gamma</t>
  </si>
  <si>
    <t>4800104873_085</t>
  </si>
  <si>
    <t>KEPRL7</t>
  </si>
  <si>
    <t>Etch_Argos *3PM</t>
  </si>
  <si>
    <t>4800104873_088</t>
  </si>
  <si>
    <t>KCANN1</t>
  </si>
  <si>
    <t>CVD_EMMA</t>
  </si>
  <si>
    <t>4800104873_092</t>
  </si>
  <si>
    <t>KCANN2</t>
  </si>
  <si>
    <t>CVD_Mithril</t>
  </si>
  <si>
    <t>4800104873_001</t>
  </si>
  <si>
    <t>KEMEL1</t>
  </si>
  <si>
    <t>Etch 2300E6 platform_Metal-NXP*6PM</t>
  </si>
  <si>
    <t>4800104873_002</t>
  </si>
  <si>
    <t>KEMEL8</t>
  </si>
  <si>
    <t>4800104873_005</t>
  </si>
  <si>
    <t>KEMEL9</t>
  </si>
  <si>
    <t>4800104873_006</t>
  </si>
  <si>
    <t>KEMELE</t>
  </si>
  <si>
    <t>4800104873_007</t>
  </si>
  <si>
    <t>KEMELC</t>
  </si>
  <si>
    <t>Etch 2300E6 platform_Metal-NXP*2PM</t>
  </si>
  <si>
    <t>4800104873_008</t>
  </si>
  <si>
    <t>KEBEL1</t>
  </si>
  <si>
    <t>Etch 2300E4 platform_Coronus/HP*2PM</t>
  </si>
  <si>
    <t>4800104873_010</t>
  </si>
  <si>
    <t>KEBEL4</t>
  </si>
  <si>
    <t>Etch 2300E4 platform_Coronus*2PM</t>
  </si>
  <si>
    <t>4800104873_011</t>
  </si>
  <si>
    <t>KEBEL5</t>
  </si>
  <si>
    <t>4800104873_012</t>
  </si>
  <si>
    <t>KEBEL3</t>
  </si>
  <si>
    <t>Etch 2300E4 platform_Coronus HP*1PM</t>
  </si>
  <si>
    <t>4800104873_013</t>
  </si>
  <si>
    <t>KESTL4</t>
  </si>
  <si>
    <t>4800104873_016</t>
  </si>
  <si>
    <t>KESTL7</t>
  </si>
  <si>
    <t>4800104873_019</t>
  </si>
  <si>
    <t>KEPOL4</t>
  </si>
  <si>
    <t>4800104873_020</t>
  </si>
  <si>
    <t>KEPOLB</t>
  </si>
  <si>
    <t>4800104873_134</t>
  </si>
  <si>
    <t>KCWCN1</t>
  </si>
  <si>
    <t>CVD_WDC</t>
  </si>
  <si>
    <t>4800104873_026</t>
  </si>
  <si>
    <t>KESTL2</t>
  </si>
  <si>
    <t>4800104873_029</t>
  </si>
  <si>
    <t>KESDL1</t>
  </si>
  <si>
    <t>4800104873_031</t>
  </si>
  <si>
    <t>KESTL8</t>
  </si>
  <si>
    <t>4800104873_032</t>
  </si>
  <si>
    <t>KEPOLC</t>
  </si>
  <si>
    <t>4800104873_033</t>
  </si>
  <si>
    <t>KEPOLA</t>
  </si>
  <si>
    <t>4800104873_034</t>
  </si>
  <si>
    <t>KESTLA</t>
  </si>
  <si>
    <t>4800104873_035</t>
  </si>
  <si>
    <t>KEPOLD</t>
  </si>
  <si>
    <t>4800104873_036</t>
  </si>
  <si>
    <t>KESDL3</t>
  </si>
  <si>
    <t>4800104873_037</t>
  </si>
  <si>
    <t>KESDL4</t>
  </si>
  <si>
    <t>4800104873_038</t>
  </si>
  <si>
    <t>KESDL5</t>
  </si>
  <si>
    <t>4800104873_039</t>
  </si>
  <si>
    <t>KEPOLF</t>
  </si>
  <si>
    <t>4800104873_040</t>
  </si>
  <si>
    <t>KEPOLE</t>
  </si>
  <si>
    <t>4800104873_041</t>
  </si>
  <si>
    <t>KESDL6</t>
  </si>
  <si>
    <t>4800104873_042</t>
  </si>
  <si>
    <t>KESTLD</t>
  </si>
  <si>
    <t>4800104873_043</t>
  </si>
  <si>
    <t>KESTLB</t>
  </si>
  <si>
    <t>Etch 2300E4 platform_Kiyo*2PM</t>
  </si>
  <si>
    <t>4800104873_044</t>
  </si>
  <si>
    <t>KEPOL9</t>
  </si>
  <si>
    <t>4800104873_045</t>
  </si>
  <si>
    <t>KESTL9</t>
  </si>
  <si>
    <t>4800104873_046</t>
  </si>
  <si>
    <t>KESTLC</t>
  </si>
  <si>
    <t>Etch 2300E4 platform_Kiyo*1PM</t>
  </si>
  <si>
    <t>4800104873_047</t>
  </si>
  <si>
    <t>KEMEL3</t>
  </si>
  <si>
    <t>4800104873_048</t>
  </si>
  <si>
    <t>KEMEL4</t>
  </si>
  <si>
    <t>4800104873_050</t>
  </si>
  <si>
    <t>KEMEL6</t>
  </si>
  <si>
    <t>4800104873_051</t>
  </si>
  <si>
    <t>KEMELB</t>
  </si>
  <si>
    <t>4800104873_052</t>
  </si>
  <si>
    <t>KEMELD</t>
  </si>
  <si>
    <t>4800104873_053</t>
  </si>
  <si>
    <t>KEMELF</t>
  </si>
  <si>
    <t>4800104873_054</t>
  </si>
  <si>
    <t>KEMELG</t>
  </si>
  <si>
    <t>4800104873_003</t>
  </si>
  <si>
    <t>KEMEL7</t>
  </si>
  <si>
    <t>4800104873_058</t>
  </si>
  <si>
    <t>KEMGL7</t>
  </si>
  <si>
    <t>4800104873_059</t>
  </si>
  <si>
    <t>KEMGL4</t>
  </si>
  <si>
    <t>4800104873_060</t>
  </si>
  <si>
    <t>KEMGL5</t>
  </si>
  <si>
    <t>4800104873_061</t>
  </si>
  <si>
    <t>KEMGL6</t>
  </si>
  <si>
    <t>4800104873_062</t>
  </si>
  <si>
    <t>KEMGL8</t>
  </si>
  <si>
    <t>4800104873_063</t>
  </si>
  <si>
    <t>KEVIL1</t>
  </si>
  <si>
    <t>Etch 2300 platform_Flex45*4PM</t>
  </si>
  <si>
    <t>4800104873_064</t>
  </si>
  <si>
    <t>KEVIL2</t>
  </si>
  <si>
    <t>4800104873_004</t>
  </si>
  <si>
    <t>KECOL3</t>
  </si>
  <si>
    <t>4800104873_009</t>
  </si>
  <si>
    <t>KEBEL2</t>
  </si>
  <si>
    <t>4800104873_068</t>
  </si>
  <si>
    <t>KECOL5</t>
  </si>
  <si>
    <t>4800104873_069</t>
  </si>
  <si>
    <t>KECOL6</t>
  </si>
  <si>
    <t>4800104873_070</t>
  </si>
  <si>
    <t>KECOL9</t>
  </si>
  <si>
    <t>4800104873_071</t>
  </si>
  <si>
    <t>KECOL8</t>
  </si>
  <si>
    <t>Etch 2300 platform_Flex FL*2PM</t>
  </si>
  <si>
    <t>4800104873_072</t>
  </si>
  <si>
    <t>KEMEL2</t>
  </si>
  <si>
    <t>Etch 2300 platform_Versys metal+Strip *5PM</t>
  </si>
  <si>
    <t>4800104873_073</t>
  </si>
  <si>
    <t>KEMELA</t>
  </si>
  <si>
    <t>4800104873_014</t>
  </si>
  <si>
    <t>KESTL5</t>
  </si>
  <si>
    <t>4800104873_015</t>
  </si>
  <si>
    <t>KESTL3</t>
  </si>
  <si>
    <t>4800104873_017</t>
  </si>
  <si>
    <t>KEPOL6</t>
  </si>
  <si>
    <t>4800104873_018</t>
  </si>
  <si>
    <t>KEPOL7</t>
  </si>
  <si>
    <t>4800104873_079</t>
  </si>
  <si>
    <t>KEPRL8</t>
  </si>
  <si>
    <t>4800104873_080</t>
  </si>
  <si>
    <t>KEPRL9</t>
  </si>
  <si>
    <t>4800104873_081</t>
  </si>
  <si>
    <t>KEPRLD</t>
  </si>
  <si>
    <t>4800104873_082</t>
  </si>
  <si>
    <t>KEPRLE</t>
  </si>
  <si>
    <t>4800104873_021</t>
  </si>
  <si>
    <t>KEPOL1</t>
  </si>
  <si>
    <t>4800104873_084</t>
  </si>
  <si>
    <t>KEPRLA</t>
  </si>
  <si>
    <t>4800104873_086</t>
  </si>
  <si>
    <t>KEPRLC</t>
  </si>
  <si>
    <t>4800104873_087</t>
  </si>
  <si>
    <t>KEPRLB</t>
  </si>
  <si>
    <t>Etch_Argos *1PM</t>
  </si>
  <si>
    <t>4800104873_022</t>
  </si>
  <si>
    <t>KEPOL5</t>
  </si>
  <si>
    <t>4800104873_090</t>
  </si>
  <si>
    <t>KCANN4</t>
  </si>
  <si>
    <t>4800104873_091</t>
  </si>
  <si>
    <t>KCANN7</t>
  </si>
  <si>
    <t>4800104873_093</t>
  </si>
  <si>
    <t>KCANN5</t>
  </si>
  <si>
    <t>4800104873_094</t>
  </si>
  <si>
    <t>KCANN6</t>
  </si>
  <si>
    <t>4800104873_023</t>
  </si>
  <si>
    <t>KEPOL2</t>
  </si>
  <si>
    <t>4800104873_096</t>
  </si>
  <si>
    <t>KCSCN3</t>
  </si>
  <si>
    <t>CVD_Vector Excel_VXL</t>
  </si>
  <si>
    <t>4800104873_097</t>
  </si>
  <si>
    <t>KCSCN4</t>
  </si>
  <si>
    <t>4800104873_098</t>
  </si>
  <si>
    <t>KCSCN6</t>
  </si>
  <si>
    <t>4800104873_099</t>
  </si>
  <si>
    <t>KCSCNB</t>
  </si>
  <si>
    <t>4800104873_100</t>
  </si>
  <si>
    <t>KCSCN7</t>
  </si>
  <si>
    <t>4800104873_101</t>
  </si>
  <si>
    <t>KCSCNA</t>
  </si>
  <si>
    <t>4800104873_102</t>
  </si>
  <si>
    <t>KCOXN7</t>
  </si>
  <si>
    <t>CVD_Vector Extreme_VXT-Core</t>
  </si>
  <si>
    <t>4800104873_103</t>
  </si>
  <si>
    <t>KCOXND</t>
  </si>
  <si>
    <t>4800104873_104</t>
  </si>
  <si>
    <t>KCOCN1</t>
  </si>
  <si>
    <t>4800104873_105</t>
  </si>
  <si>
    <t>KCOXN8</t>
  </si>
  <si>
    <t>4800104873_106</t>
  </si>
  <si>
    <t>KCOCN2</t>
  </si>
  <si>
    <t>4800104873_107</t>
  </si>
  <si>
    <t>KCOXNH</t>
  </si>
  <si>
    <t>4800104873_108</t>
  </si>
  <si>
    <t>KCOCN3</t>
  </si>
  <si>
    <t>4800104873_109</t>
  </si>
  <si>
    <t>KCTEN1</t>
  </si>
  <si>
    <t>CVD_Vector Extreme_VXT-TEOS</t>
  </si>
  <si>
    <t>4800104873_110</t>
  </si>
  <si>
    <t>KCTEN2</t>
  </si>
  <si>
    <t>4800104873_111</t>
  </si>
  <si>
    <t>KCTEN3</t>
  </si>
  <si>
    <t>4800104873_024</t>
  </si>
  <si>
    <t>KESTL6</t>
  </si>
  <si>
    <t>4800104873_027</t>
  </si>
  <si>
    <t>KEPOL3</t>
  </si>
  <si>
    <t>4800104873_114</t>
  </si>
  <si>
    <t>KCOXN2</t>
  </si>
  <si>
    <t>CVD_VXP</t>
  </si>
  <si>
    <t>4800104873_115</t>
  </si>
  <si>
    <t>KCOXN1</t>
  </si>
  <si>
    <t>4800104873_116</t>
  </si>
  <si>
    <t>KCOXN6</t>
  </si>
  <si>
    <t>4800104873_117</t>
  </si>
  <si>
    <t>KCOXN5</t>
  </si>
  <si>
    <t>4800104873_118</t>
  </si>
  <si>
    <t>KCOXNF</t>
  </si>
  <si>
    <t>4800104873_119</t>
  </si>
  <si>
    <t>KCOXNA</t>
  </si>
  <si>
    <t>4800104873_120</t>
  </si>
  <si>
    <t>KCOXNB</t>
  </si>
  <si>
    <t>4800104873_121</t>
  </si>
  <si>
    <t>KCOXN9</t>
  </si>
  <si>
    <t>4800104873_122</t>
  </si>
  <si>
    <t>KCOXNG</t>
  </si>
  <si>
    <t>4800104873_123</t>
  </si>
  <si>
    <t>KCOXNC</t>
  </si>
  <si>
    <t>4800104873_124</t>
  </si>
  <si>
    <t>KCOXNE</t>
  </si>
  <si>
    <t>4800104873_125</t>
  </si>
  <si>
    <t>KCOXNL</t>
  </si>
  <si>
    <t>4800104873_126</t>
  </si>
  <si>
    <t>KCOXNK</t>
  </si>
  <si>
    <t>4800104873_127</t>
  </si>
  <si>
    <t>KCOXNJ</t>
  </si>
  <si>
    <t>4800104873_128</t>
  </si>
  <si>
    <t>KCSCN1</t>
  </si>
  <si>
    <t>CVD_VXP_(SiC)</t>
  </si>
  <si>
    <t>4800104873_129</t>
  </si>
  <si>
    <t>KCSCN2</t>
  </si>
  <si>
    <t>4800104873_130</t>
  </si>
  <si>
    <t>KCSCN8</t>
  </si>
  <si>
    <t>4800104873_131</t>
  </si>
  <si>
    <t>KCSCN9</t>
  </si>
  <si>
    <t>4800104873_028</t>
  </si>
  <si>
    <t>KESDL2</t>
  </si>
  <si>
    <t>4800104873_133</t>
  </si>
  <si>
    <t>KCAPN2</t>
  </si>
  <si>
    <t>CVD_VXP_(AHM)</t>
  </si>
  <si>
    <t>4800104873_135</t>
  </si>
  <si>
    <t>KUECNB</t>
  </si>
  <si>
    <t>SABRE_Next/Max</t>
  </si>
  <si>
    <t>4800104873_136</t>
  </si>
  <si>
    <t>KUECN1</t>
  </si>
  <si>
    <t>4800104873_137</t>
  </si>
  <si>
    <t>KUECN2</t>
  </si>
  <si>
    <t>4800104873_138</t>
  </si>
  <si>
    <t>KUECN3</t>
  </si>
  <si>
    <t>4800104873_139</t>
  </si>
  <si>
    <t>KUECN4</t>
  </si>
  <si>
    <t>4800104873_140</t>
  </si>
  <si>
    <t>KUECN6</t>
  </si>
  <si>
    <t>4800104873_141</t>
  </si>
  <si>
    <t>KUECN7</t>
  </si>
  <si>
    <t>4800104873_142</t>
  </si>
  <si>
    <t>KUECN5</t>
  </si>
  <si>
    <t>4800104873_143</t>
  </si>
  <si>
    <t>KUECN8</t>
  </si>
  <si>
    <t>4800104873_144</t>
  </si>
  <si>
    <t>KUECNA</t>
  </si>
  <si>
    <t>4800104873_145</t>
  </si>
  <si>
    <t>KUECN9</t>
  </si>
  <si>
    <t>4800104873_146</t>
  </si>
  <si>
    <t>KSECN1</t>
  </si>
  <si>
    <t>SABRE_FC</t>
  </si>
  <si>
    <t>4800104873_147</t>
  </si>
  <si>
    <t>KSECN2</t>
  </si>
  <si>
    <t>4800104873_148</t>
  </si>
  <si>
    <t>KSECN3</t>
  </si>
  <si>
    <t>4800104873_030</t>
  </si>
  <si>
    <t>KEPOL8</t>
  </si>
  <si>
    <t>4800104873_150</t>
  </si>
  <si>
    <t>KEBCL2</t>
  </si>
  <si>
    <t>DV-34</t>
  </si>
  <si>
    <t>4800104873_049</t>
  </si>
  <si>
    <t>KEMEL5</t>
  </si>
  <si>
    <t>4800104873_152</t>
  </si>
  <si>
    <t>KEPSL9</t>
  </si>
  <si>
    <t>DV-38</t>
  </si>
  <si>
    <t>4800104873_153</t>
  </si>
  <si>
    <t>KEPSL5</t>
  </si>
  <si>
    <t>EOS</t>
  </si>
  <si>
    <t>4800104873_154</t>
  </si>
  <si>
    <t>KEPSL8</t>
  </si>
  <si>
    <t>4800104873_155</t>
  </si>
  <si>
    <t>KEPSL3</t>
  </si>
  <si>
    <t>4800104873_156</t>
  </si>
  <si>
    <t>KEPSL2</t>
  </si>
  <si>
    <t>4800104873_157</t>
  </si>
  <si>
    <t>KEPSL6</t>
  </si>
  <si>
    <t>4800104873_158</t>
  </si>
  <si>
    <t>KEPSL7</t>
  </si>
  <si>
    <t>4800104873_159</t>
  </si>
  <si>
    <t>KEPSL4</t>
  </si>
  <si>
    <t>4800104873_160</t>
  </si>
  <si>
    <t>KEPSLB</t>
  </si>
  <si>
    <t>4800104873_161</t>
  </si>
  <si>
    <t>KEPSLA</t>
  </si>
  <si>
    <t>4800104873_162</t>
  </si>
  <si>
    <t>KEPSLC</t>
  </si>
  <si>
    <t>4800104873_056</t>
  </si>
  <si>
    <t>KEMGL2</t>
  </si>
  <si>
    <t>4800104873_164</t>
  </si>
  <si>
    <t>KDSTL2</t>
  </si>
  <si>
    <t>MRC</t>
  </si>
  <si>
    <t>4800104873_057</t>
  </si>
  <si>
    <t>KEMGL3</t>
  </si>
  <si>
    <t>4800104873_066</t>
  </si>
  <si>
    <t>KECOL1</t>
  </si>
  <si>
    <t>4800104873_067</t>
  </si>
  <si>
    <t>KECOL2</t>
  </si>
  <si>
    <t>4800104873_075</t>
  </si>
  <si>
    <t>KEPRL4</t>
  </si>
  <si>
    <t>4800104873_076</t>
  </si>
  <si>
    <t>KEPRL3</t>
  </si>
  <si>
    <t>4800104873_077</t>
  </si>
  <si>
    <t>KEPRL2</t>
  </si>
  <si>
    <t>4800104873_078</t>
  </si>
  <si>
    <t>KEPRL5</t>
  </si>
  <si>
    <t>4800104873_083</t>
  </si>
  <si>
    <t>KEPRL1</t>
  </si>
  <si>
    <t>4800104873_089</t>
  </si>
  <si>
    <t>KCANN3</t>
  </si>
  <si>
    <t>4800104873_095</t>
  </si>
  <si>
    <t>KCSCN5</t>
  </si>
  <si>
    <t>4800104873_112</t>
  </si>
  <si>
    <t>KCOXN4</t>
  </si>
  <si>
    <t>4800104873_113</t>
  </si>
  <si>
    <t>KCOXN3</t>
  </si>
  <si>
    <t>4800104873_132</t>
  </si>
  <si>
    <t>KCAPN1</t>
  </si>
  <si>
    <t>4800104873_149</t>
  </si>
  <si>
    <t>KEBCL1</t>
  </si>
  <si>
    <t>4800104873_151</t>
  </si>
  <si>
    <t>KEPSL1</t>
  </si>
  <si>
    <t>4800104873_163</t>
  </si>
  <si>
    <t>KDSTL1</t>
  </si>
  <si>
    <t>USC24C003</t>
  </si>
  <si>
    <t>MtM Server Interconnection-KPMI03</t>
  </si>
  <si>
    <t>40% by PO issued to subcontractor, 60% upon completion of each tool.  Net 30 Days</t>
  </si>
  <si>
    <t xml:space="preserve">Lasertec Interconnection-KPMI04 </t>
  </si>
  <si>
    <t>Lasertec Interconnection-KPMI03 (additional cable)</t>
  </si>
  <si>
    <t>03/01/2024</t>
  </si>
  <si>
    <t>USC23C016</t>
  </si>
  <si>
    <t>F21P1 Mattson Interconnection</t>
  </si>
  <si>
    <t>KDRIM2</t>
  </si>
  <si>
    <t>MATTSON CABLE INTERCONNECTION</t>
  </si>
  <si>
    <t>6600012790_001</t>
  </si>
  <si>
    <t>KEPRM6</t>
  </si>
  <si>
    <t>6600012790_002</t>
  </si>
  <si>
    <t>KEPRM7</t>
  </si>
  <si>
    <t>6600012790_003</t>
  </si>
  <si>
    <t>KEPRM8</t>
  </si>
  <si>
    <t>6600012790_004</t>
  </si>
  <si>
    <t>KEPRM9</t>
  </si>
  <si>
    <t>6600012790_005</t>
  </si>
  <si>
    <t>KEPRMA</t>
  </si>
  <si>
    <t>6600012790_006</t>
  </si>
  <si>
    <t>KEPRMC</t>
  </si>
  <si>
    <t>6600012790_007</t>
  </si>
  <si>
    <t>KEPRME</t>
  </si>
  <si>
    <t>6600012912_001</t>
  </si>
  <si>
    <t>6600012912_002</t>
  </si>
  <si>
    <t>KDRIM1</t>
  </si>
  <si>
    <t>USC24C009</t>
  </si>
  <si>
    <t>NOVA Interconnection Tool (XPS)</t>
  </si>
  <si>
    <t>NOVA Interconnection Tool (Double) KUECN4</t>
  </si>
  <si>
    <t>01/29/2024</t>
  </si>
  <si>
    <t xml:space="preserve">NOVA Tool Interconnection (Double) KUECN7 </t>
  </si>
  <si>
    <t>NOVA Tool Interconnection (Double) KUECN5</t>
  </si>
  <si>
    <t>NOVA Tool Interconnection (Double) KUECN6</t>
  </si>
  <si>
    <t>Tim Ku</t>
  </si>
  <si>
    <t>NOVA Double tool Pressure Test and additional PFA &amp; PVC lines</t>
  </si>
  <si>
    <t>40% Vorkasse, 60% Netto 30 Tage</t>
  </si>
  <si>
    <t>Kurt/ Joe</t>
  </si>
  <si>
    <t>USC23C026</t>
  </si>
  <si>
    <t>Shibaura Tool Interconnection_CO</t>
  </si>
  <si>
    <t>Tony Lee</t>
  </si>
  <si>
    <t>Change order for KDSNB1 KFP1 cable pull</t>
  </si>
  <si>
    <t>7102056_001</t>
  </si>
  <si>
    <t>KDSNB2</t>
  </si>
  <si>
    <t>Shibaura Tool Interconnection(GX3)</t>
  </si>
  <si>
    <t>7102056_002</t>
  </si>
  <si>
    <t>KDSNB4</t>
  </si>
  <si>
    <t>7102056_003</t>
  </si>
  <si>
    <t>KDSNB1</t>
  </si>
  <si>
    <t>Shibaura Tool Interconnection(hti8)</t>
  </si>
  <si>
    <t>7102056_004</t>
  </si>
  <si>
    <t>KDSNB3</t>
  </si>
  <si>
    <t>Justin Steneck</t>
  </si>
  <si>
    <t>F21P1 Shibatec Interconnection</t>
  </si>
  <si>
    <t>Change order for KDSNB2</t>
  </si>
  <si>
    <t>9/20/2023</t>
  </si>
  <si>
    <t xml:space="preserve"> Net 30 days </t>
  </si>
  <si>
    <t>預計新建立專案</t>
  </si>
  <si>
    <t>Chiller move-in and hose routing</t>
  </si>
  <si>
    <t>2023-0228-01</t>
  </si>
  <si>
    <t>USC23C038</t>
  </si>
  <si>
    <t>KSHMU1</t>
  </si>
  <si>
    <t xml:space="preserve">ULVAC ENTRON-EX W300 #1 Interconnection in tsmc Fab21 </t>
  </si>
  <si>
    <t>2023-0228-02</t>
  </si>
  <si>
    <t>KSHMU2</t>
  </si>
  <si>
    <t xml:space="preserve">ULVAC ENTRON-EX W300 #2 Interconnection in tsmc Fab21 </t>
  </si>
  <si>
    <t>2023-0228-03</t>
  </si>
  <si>
    <t>KSHMU3</t>
  </si>
  <si>
    <t xml:space="preserve">ULVAC ENTRON-EX W300 #3 Interconnection in tsmc Fab21 </t>
  </si>
  <si>
    <t>AMAT-TSMC F21P1B September 2024 Tools</t>
  </si>
  <si>
    <t>05/22/2024</t>
  </si>
  <si>
    <t>AMAT TSMC F21P1B November 2024 Tools</t>
  </si>
  <si>
    <t>AMAT TSMC F21P1B October 2024 Tools</t>
  </si>
  <si>
    <t>AMAT TSMC F21P1B December 2024 Tools</t>
  </si>
  <si>
    <t>brian_halverson@amat.com</t>
  </si>
  <si>
    <t>AMAT TSMC F21P1B January Tools</t>
  </si>
  <si>
    <t>06/11/2024</t>
  </si>
  <si>
    <t>AMAT TSMC F21P1B February Tools</t>
  </si>
  <si>
    <t>KKDB02 2965 change exhaust pipe</t>
  </si>
  <si>
    <t>5/29/2024</t>
  </si>
  <si>
    <t>NET 0</t>
  </si>
  <si>
    <t>Expect to add in USC23C046</t>
  </si>
  <si>
    <t>ADDITIONAL WORK HOURS AT TSMC FOR ATS AZ</t>
  </si>
  <si>
    <t>KCEPA2 Additional Cables and Labvor</t>
  </si>
  <si>
    <t>07/30/2024</t>
  </si>
  <si>
    <t>Ted.Caramberis@lamresearch.com</t>
  </si>
  <si>
    <t>HCD Drains CO</t>
  </si>
  <si>
    <t>08/21/2024</t>
  </si>
  <si>
    <t>NET 30 DAYS</t>
  </si>
  <si>
    <t>Nylia Manley&lt;nmanley@lasertecUS.com&gt;</t>
  </si>
  <si>
    <t>KPMI08</t>
  </si>
  <si>
    <t>Lasertec Interconnection-KPMI08</t>
  </si>
  <si>
    <t>09/16/2024</t>
  </si>
  <si>
    <t>NET30</t>
  </si>
  <si>
    <t>KPMI09</t>
  </si>
  <si>
    <t>Lasertec Interconnection-KPMI09</t>
  </si>
  <si>
    <r>
      <rPr>
        <sz val="12"/>
        <color theme="0"/>
        <rFont val="新細明體"/>
        <family val="2"/>
      </rPr>
      <t>項次</t>
    </r>
  </si>
  <si>
    <t>Phase</t>
  </si>
  <si>
    <t>Client</t>
  </si>
  <si>
    <t>General Category</t>
  </si>
  <si>
    <t>MICU  Sub-category</t>
  </si>
  <si>
    <t>PM Cost</t>
  </si>
  <si>
    <t>PM Cost Remark</t>
  </si>
  <si>
    <t>MICU  Sub-category2</t>
  </si>
  <si>
    <t>TSMC Category</t>
  </si>
  <si>
    <t>System PM</t>
  </si>
  <si>
    <t>Sub Candidate</t>
  </si>
  <si>
    <t>PO Number</t>
  </si>
  <si>
    <t xml:space="preserve">PO Date </t>
  </si>
  <si>
    <t>Item</t>
  </si>
  <si>
    <t>PO$</t>
  </si>
  <si>
    <t>MICU Contract No.</t>
  </si>
  <si>
    <t>MICU Project No.</t>
  </si>
  <si>
    <t>MICU Project Name</t>
  </si>
  <si>
    <t>Canceld PO Amount</t>
  </si>
  <si>
    <t>PO Confirmed?</t>
  </si>
  <si>
    <t>PC Overview?</t>
  </si>
  <si>
    <t>Quotation Number</t>
  </si>
  <si>
    <t>Lance Basebuild PO</t>
  </si>
  <si>
    <t>Lance HK</t>
  </si>
  <si>
    <t>TI tool ID booking#</t>
  </si>
  <si>
    <t>TI tool ID2</t>
  </si>
  <si>
    <t>function 
area</t>
  </si>
  <si>
    <t>TI Vendor</t>
  </si>
  <si>
    <t>PO+ITEM</t>
  </si>
  <si>
    <t>invoice
date</t>
  </si>
  <si>
    <t>invoice amount</t>
  </si>
  <si>
    <t>revevied
 date</t>
  </si>
  <si>
    <t>invoice number2</t>
  </si>
  <si>
    <t>invoice
date2</t>
  </si>
  <si>
    <t>invoice amount2</t>
  </si>
  <si>
    <t>revevied
 date2</t>
  </si>
  <si>
    <t>%</t>
  </si>
  <si>
    <t>total amount</t>
  </si>
  <si>
    <r>
      <rPr>
        <sz val="11"/>
        <color theme="0"/>
        <rFont val="新細明體"/>
        <family val="2"/>
      </rPr>
      <t>收款狀況</t>
    </r>
  </si>
  <si>
    <r>
      <rPr>
        <sz val="11"/>
        <color theme="0"/>
        <rFont val="新細明體"/>
        <family val="2"/>
      </rPr>
      <t>請款</t>
    </r>
  </si>
  <si>
    <t>2024/9/27</t>
  </si>
  <si>
    <t>日期</t>
    <phoneticPr fontId="14" type="noConversion"/>
  </si>
  <si>
    <t>金額</t>
    <phoneticPr fontId="14" type="noConversion"/>
  </si>
  <si>
    <r>
      <rPr>
        <b/>
        <sz val="11"/>
        <color rgb="FFFFFFFF"/>
        <rFont val="Calibri"/>
        <family val="2"/>
      </rPr>
      <t>9/30</t>
    </r>
    <r>
      <rPr>
        <sz val="11"/>
        <color rgb="FFFFFFFF"/>
        <rFont val="新細明體"/>
      </rPr>
      <t>收款更新</t>
    </r>
  </si>
  <si>
    <r>
      <rPr>
        <sz val="11"/>
        <color theme="0"/>
        <rFont val="新細明體"/>
        <family val="2"/>
      </rPr>
      <t>欄</t>
    </r>
    <r>
      <rPr>
        <sz val="11"/>
        <color theme="0"/>
        <rFont val="Calibri"/>
        <family val="2"/>
      </rPr>
      <t>6</t>
    </r>
  </si>
  <si>
    <t>T</t>
  </si>
  <si>
    <t>EBO21- Tool interconnection</t>
  </si>
  <si>
    <t>USCCT2304009</t>
  </si>
  <si>
    <t>USC23C029</t>
  </si>
  <si>
    <t>Y</t>
  </si>
  <si>
    <t>Module Interconnection sample to EBO_MICU_combined 0930 Price Negotiation</t>
  </si>
  <si>
    <t>EBO</t>
    <phoneticPr fontId="14" type="noConversion"/>
  </si>
  <si>
    <t>Chiller</t>
  </si>
  <si>
    <t>MICUINT202407010</t>
  </si>
  <si>
    <t>V</t>
    <phoneticPr fontId="14" type="noConversion"/>
  </si>
  <si>
    <r>
      <rPr>
        <sz val="11"/>
        <color rgb="FF000000"/>
        <rFont val="Calibri"/>
        <family val="2"/>
      </rPr>
      <t>BRUKER--FP 3$9630.01</t>
    </r>
    <r>
      <rPr>
        <sz val="11"/>
        <color rgb="FF000000"/>
        <rFont val="Microsoft JhengHei"/>
        <family val="2"/>
      </rPr>
      <t>刪掉開新的</t>
    </r>
    <r>
      <rPr>
        <sz val="11"/>
        <color rgb="FF000000"/>
        <rFont val="Calibri"/>
        <family val="2"/>
      </rPr>
      <t>PO_4590010563+4590015106</t>
    </r>
  </si>
  <si>
    <t>P1B</t>
  </si>
  <si>
    <t>CAP_F_ 91426 1401HF_LAM_EXP-1_Interconnec</t>
  </si>
  <si>
    <t>USCCT2301014</t>
  </si>
  <si>
    <t>USC23C009</t>
  </si>
  <si>
    <t>F21P1 Module Tool Interconnection ETC1-3</t>
  </si>
  <si>
    <t>Module Interconnection with wisdom code version 0830 Quotation Final V5_1 Highlight Format Price Negotiation (WHOLE VERSION)</t>
  </si>
  <si>
    <t>ETC1</t>
  </si>
  <si>
    <t>LAM</t>
  </si>
  <si>
    <t>F21_AZQR_Hookup_Interconnection</t>
  </si>
  <si>
    <t>Austin Baker</t>
  </si>
  <si>
    <t>USCCT2304008</t>
  </si>
  <si>
    <t>USC23C032</t>
  </si>
  <si>
    <t>顏易鋒</t>
  </si>
  <si>
    <t>1MUQTH2208007_01</t>
  </si>
  <si>
    <t>V</t>
    <phoneticPr fontId="30" type="noConversion"/>
  </si>
  <si>
    <t>P1A</t>
  </si>
  <si>
    <t>CAP_A_ 90767 interconnection Project</t>
  </si>
  <si>
    <t>USCCT2301008</t>
  </si>
  <si>
    <t>USC23C024</t>
  </si>
  <si>
    <t>F21P1 AIBT&amp;SMIT Project Interconnection</t>
  </si>
  <si>
    <t>AIBT&amp;SMIT Tool Interconnection Quotation 0928.xlsx</t>
  </si>
  <si>
    <t>KIMIS2</t>
  </si>
  <si>
    <t>DIF2</t>
  </si>
  <si>
    <t>SMIT</t>
  </si>
  <si>
    <t>MICUINT202402031</t>
  </si>
  <si>
    <t>CAP_A_ 90768 interconnection Project</t>
  </si>
  <si>
    <t>KIMIS3</t>
  </si>
  <si>
    <t>CAP_A_ 90769 interconnection Project</t>
  </si>
  <si>
    <t>KIMIS1</t>
  </si>
  <si>
    <t>MICUINT202402030</t>
  </si>
  <si>
    <t>CAP_F_ 91258 Interconnection Project</t>
  </si>
  <si>
    <t>KIMIS5</t>
  </si>
  <si>
    <t>CAP_F_ 91260 Interconnection Project</t>
  </si>
  <si>
    <t>KIMIS6</t>
  </si>
  <si>
    <t>CAP_F_ 91261 Interconnection Project</t>
  </si>
  <si>
    <t>KIMIS4</t>
  </si>
  <si>
    <t>CAP_F_ 91265 Interconnection Project</t>
  </si>
  <si>
    <t>KIMIS7</t>
  </si>
  <si>
    <t>CAP_A_ 90461 interconnection Project</t>
  </si>
  <si>
    <t>KIHIB2</t>
  </si>
  <si>
    <t>AIBT</t>
  </si>
  <si>
    <t>MICUINT202409029</t>
  </si>
  <si>
    <t>X</t>
    <phoneticPr fontId="14" type="noConversion"/>
  </si>
  <si>
    <t xml:space="preserve">CAP_A_ 90462 interconnection Project </t>
  </si>
  <si>
    <t>KIHIB1</t>
  </si>
  <si>
    <t>MICUINT202402034</t>
  </si>
  <si>
    <t>CAP_F_ 91267 Interconnection Project</t>
  </si>
  <si>
    <t>KIHIB3</t>
  </si>
  <si>
    <t>ETC 3 Chiller e-Sensor cabling(隔離線)</t>
  </si>
  <si>
    <t>Kurt / Joe</t>
  </si>
  <si>
    <t>USCCT2307020</t>
  </si>
  <si>
    <t>ETC 1~3 Chiller e-Sensor cabling_報價 0715_V2</t>
  </si>
  <si>
    <t>ETC3</t>
  </si>
  <si>
    <t>CAP_F_90889_ProZ 12H 2000_Main_tool_inte</t>
  </si>
  <si>
    <t>USCCT2301005</t>
  </si>
  <si>
    <t>USC23C001</t>
  </si>
  <si>
    <t>TEL Main Tool Interconnection</t>
  </si>
  <si>
    <t>Tel scope &amp; quote 11012022</t>
  </si>
  <si>
    <t>KPAP03-T</t>
  </si>
  <si>
    <t>LIT3</t>
  </si>
  <si>
    <t>TEL</t>
  </si>
  <si>
    <t>CAP_F_90431_ProZ 12H 2000_Main_tool_inte</t>
  </si>
  <si>
    <t>KPAP01-T</t>
  </si>
  <si>
    <t>CAP_F_90430_ProZ 12H 2000_Main_tool_inte</t>
  </si>
  <si>
    <t>KPAP02-T</t>
  </si>
  <si>
    <t>MICUINT202405051</t>
  </si>
  <si>
    <t>V</t>
  </si>
  <si>
    <t>CAP_F_91357_ProZ 12H 2000_Main_tool_inte</t>
  </si>
  <si>
    <t>林國聖/F21-LIT3/Ext.7712312</t>
  </si>
  <si>
    <t>KPAP04-T</t>
  </si>
  <si>
    <t>CAP_F_90420_ProZ 12H EUV_Main_tool_inter</t>
  </si>
  <si>
    <t>KPE601-T</t>
  </si>
  <si>
    <t>MICUINT202312006</t>
  </si>
  <si>
    <t>CAP_F_90419_ProZ 12H EUV_Main_tool_inter</t>
  </si>
  <si>
    <t>KPE602-T</t>
  </si>
  <si>
    <t>MICUINT202405052</t>
  </si>
  <si>
    <t>CAP_F_90886_ProZ 12H EUV_Main_tool_inter</t>
  </si>
  <si>
    <t>KPE603-T</t>
  </si>
  <si>
    <t>MICUINT202404060</t>
  </si>
  <si>
    <t>CAP_F_90887_ProZ 12H EUV_Main_tool_inter</t>
  </si>
  <si>
    <t>KPE605-T</t>
  </si>
  <si>
    <t>MICUINT202407024</t>
  </si>
  <si>
    <t>CAP_F_90888_ProZ 12H EUV_Main_tool_inter</t>
  </si>
  <si>
    <t>KPE606-T</t>
  </si>
  <si>
    <t>MICUINT202407023</t>
  </si>
  <si>
    <t>CAP_F_91342_ProZ 12H EUV_Main_tool_inter</t>
  </si>
  <si>
    <t>KPE607-T</t>
  </si>
  <si>
    <t>CAP_F_91356_ProZ 12H EUV_Main_tool_inter</t>
  </si>
  <si>
    <t>KPE604-T</t>
  </si>
  <si>
    <t>MICUINT202408060</t>
  </si>
  <si>
    <t>CAP_F_90893_ProZ ARF_Main_tool_interconn</t>
  </si>
  <si>
    <t>KPAE02-T</t>
  </si>
  <si>
    <t>MICUINT202409056</t>
  </si>
  <si>
    <t>X</t>
  </si>
  <si>
    <t>CAP_F_90427_ProZ ARF_Main_tool_interconn</t>
  </si>
  <si>
    <t>KPAE01-T</t>
  </si>
  <si>
    <t>CAP_F_90426_ProV I-Line_Main_tool_interc</t>
  </si>
  <si>
    <t>KPI401-T</t>
  </si>
  <si>
    <t>CAP_F_91288_ProV I-Line_Main_tool_interc</t>
  </si>
  <si>
    <t>KPI402-T</t>
  </si>
  <si>
    <t>CAP_F_90894_ProZ KRF_Main_tool_interconn</t>
  </si>
  <si>
    <t>KPD803-T</t>
  </si>
  <si>
    <t>CAP_F_91287_ProZ KRF_Main_tool_interconn (cancelled)</t>
  </si>
  <si>
    <t>Tony L</t>
  </si>
  <si>
    <t>PO is cancelled by TSMC</t>
  </si>
  <si>
    <t>KPD804-T</t>
  </si>
  <si>
    <t>closed</t>
  </si>
  <si>
    <t>CAP_F_90817_TELINDY B_Main tool intercon</t>
  </si>
  <si>
    <t>Yu-Jhih Cheng 鄭宇智YJCHENGE@TSMC.COM</t>
  </si>
  <si>
    <t>TFF AZ cable list 08 05 2022</t>
  </si>
  <si>
    <t>KDANT9</t>
  </si>
  <si>
    <t>DIF1</t>
  </si>
  <si>
    <t>TELINDY</t>
  </si>
  <si>
    <t>MICUINT202402012</t>
  </si>
  <si>
    <t>lack information</t>
  </si>
  <si>
    <t>CAP_F_90815_TELINDY A_Main tool intercon</t>
  </si>
  <si>
    <t>KDPOT5</t>
  </si>
  <si>
    <t>MICUINT202402008</t>
  </si>
  <si>
    <t>CAP_F_90816_TELINDY A_Main tool intercon</t>
  </si>
  <si>
    <t>KDPOT8</t>
  </si>
  <si>
    <t>MICUINT202405032</t>
  </si>
  <si>
    <t>CAP_F_91137_TELINDY A_Main tool intercon</t>
  </si>
  <si>
    <t>KDPOTG</t>
  </si>
  <si>
    <t>CAP_F_90566_TELINDY A_Main tool intercon</t>
  </si>
  <si>
    <t>KDPOT1</t>
  </si>
  <si>
    <t>MICUINT202402009</t>
  </si>
  <si>
    <t>CAP_F_91142_TELINDY A_Main tool intercon</t>
  </si>
  <si>
    <t>KDPOTA</t>
  </si>
  <si>
    <t>MICUINT202404074</t>
  </si>
  <si>
    <t>Draft</t>
  </si>
  <si>
    <t>R</t>
  </si>
  <si>
    <t>P1B tool and unfinished_Data Error</t>
  </si>
  <si>
    <t>CAP_F_90567_TELINDY A_Main tool intercon</t>
  </si>
  <si>
    <t>KDPOT2</t>
  </si>
  <si>
    <t>MICUINT202402010</t>
  </si>
  <si>
    <t>CAP_F_90568_TELINDY A_Main tool intercon</t>
  </si>
  <si>
    <t>KDPOT3</t>
  </si>
  <si>
    <t>MICUINT202403012</t>
  </si>
  <si>
    <t>CAP_F_90570_TELINDY A_Main tool intercon</t>
  </si>
  <si>
    <t>KDPOT4</t>
  </si>
  <si>
    <t>MICUINT202402007</t>
  </si>
  <si>
    <t>CAP_F_91138_TELINDY A_Main tool intercon (canceled)</t>
  </si>
  <si>
    <t>KDPOTL</t>
  </si>
  <si>
    <t>CAP_F_91010_TELINDY A_Main tool intercon</t>
  </si>
  <si>
    <t>KDPOTJ</t>
  </si>
  <si>
    <t>MICUINT202404070</t>
  </si>
  <si>
    <t>Submited</t>
    <phoneticPr fontId="16" type="noConversion"/>
  </si>
  <si>
    <t>X</t>
    <phoneticPr fontId="30" type="noConversion"/>
  </si>
  <si>
    <t>CAP_F_90802_TELINDY IRad_Main tool inter</t>
  </si>
  <si>
    <t>KDANT2</t>
  </si>
  <si>
    <t>MICUINT202402011</t>
  </si>
  <si>
    <t>CAP_F_90803_TELINDY IRad_Main tool inter</t>
  </si>
  <si>
    <t>KDANT3</t>
  </si>
  <si>
    <t>MICUINT202404072</t>
  </si>
  <si>
    <t>CAP_F_91345_TELINDY IRad_Main tool inter</t>
  </si>
  <si>
    <t>KDANTB</t>
  </si>
  <si>
    <t>CAP_F_91346_TELINDY IRad_Main tool inter</t>
  </si>
  <si>
    <t>KDANTC</t>
  </si>
  <si>
    <t>CAP_F_91347_TELINDY IRad_Main tool inter</t>
  </si>
  <si>
    <t>KDANTJ</t>
  </si>
  <si>
    <t>CAP_F_90555_TELINDY IRad_Main tool inter</t>
  </si>
  <si>
    <t>KDANT1</t>
  </si>
  <si>
    <t>MICUINT202403008</t>
  </si>
  <si>
    <t>CAP_F_90556_TELINDY IRad_Main tool inter</t>
  </si>
  <si>
    <t>KDANT8</t>
  </si>
  <si>
    <t>MICUINT202404071</t>
  </si>
  <si>
    <t>CAP_F_90132_Vigus V1*4_Main_tool_interco</t>
  </si>
  <si>
    <t>Tool inter-connection Form -ES Tactras  TSP _20220728 Rev1</t>
  </si>
  <si>
    <t>KECOT3</t>
  </si>
  <si>
    <t>ETC2</t>
  </si>
  <si>
    <t>MICUINT202404058</t>
  </si>
  <si>
    <t>CAP_F_90421_SOG_Main_tool_interconnectio</t>
  </si>
  <si>
    <t>Tool inter-connection POC Form - ACT12 (2C) SOG 20220721_v1</t>
  </si>
  <si>
    <t>KPSOT1</t>
  </si>
  <si>
    <t>MICUINT202404064</t>
  </si>
  <si>
    <t>CAP_F_91283_Pro 6R_Main_tool_interconnec</t>
  </si>
  <si>
    <t>Tool inter-connection POC Form - Pro (6R) 20220722_v1</t>
  </si>
  <si>
    <t>KPOCTG</t>
  </si>
  <si>
    <t>CAP_F_90425_Pro 6RBST_Main_tool_intercon</t>
  </si>
  <si>
    <t>Tool inter-connection POC Form - Pro (6RBST) 20220722_v1</t>
  </si>
  <si>
    <t>KPOCT1</t>
  </si>
  <si>
    <t>MICUINT202404062</t>
  </si>
  <si>
    <t>CAP_F_90418_ProZ 18C CW_Main_tool_interc</t>
  </si>
  <si>
    <t>Tool inter-connection POC Form - ProZ 18C - CW 20220722_v1</t>
  </si>
  <si>
    <t>KPOCT5</t>
  </si>
  <si>
    <t>CAP_F_90422_ProZ 18C_Main_tool_interconn</t>
  </si>
  <si>
    <t>KPOCT7</t>
  </si>
  <si>
    <t>MICUINT202405053</t>
  </si>
  <si>
    <t>CAP_F_90417_ProZ 18C_Main_tool_interconn</t>
  </si>
  <si>
    <t>KPOCT6</t>
  </si>
  <si>
    <t>MICUINT202404065</t>
  </si>
  <si>
    <t>CAP_F_91276_ProZ 18C_Main_tool_interconn</t>
  </si>
  <si>
    <t>KPOCTD</t>
  </si>
  <si>
    <t>CAP_F_91277_ProZ 18C_Main_tool_interconn</t>
  </si>
  <si>
    <t>KPOCTB</t>
  </si>
  <si>
    <t>CAP_F_91278_ProZ 18C_Main_tool_interconn</t>
  </si>
  <si>
    <t>KPOCTA</t>
  </si>
  <si>
    <t>CAP_F_91281_ProZ 18C_Main_tool_interconn</t>
  </si>
  <si>
    <t>KPOCTJ</t>
  </si>
  <si>
    <t>CAP_F_91282_ProZ 18C_Main_tool_interconn</t>
  </si>
  <si>
    <t>KPOCTF</t>
  </si>
  <si>
    <t>CAP_F_91284_ProZ 18C_Main_tool_interconn</t>
  </si>
  <si>
    <t>林國聖/F21-LIT3/Ext.771231</t>
  </si>
  <si>
    <t>KPOCTE</t>
  </si>
  <si>
    <t>CAP_F_ 91369 15056B_TEL_PE SIN_ intercon</t>
  </si>
  <si>
    <t>USCCT2301010</t>
  </si>
  <si>
    <t>USC23C005</t>
  </si>
  <si>
    <t>F21P1 Module Tool Interconnection DIF1-2</t>
  </si>
  <si>
    <t>KDANTG</t>
  </si>
  <si>
    <t>CAP_A_90875_NXE3600_Main_tool_interconne</t>
  </si>
  <si>
    <t>USCCT2212007</t>
  </si>
  <si>
    <t>USC22C036</t>
  </si>
  <si>
    <t>F21P1 ASML NXE3600/Yieldstar/NXT/XT Main tool interconnection</t>
  </si>
  <si>
    <t xml:space="preserve">Arthur Chen 陳濟宣jschenze@tsmc.com  </t>
  </si>
  <si>
    <t>ASML Quotation_Breakdown &amp; scope</t>
  </si>
  <si>
    <t>KPE603-S</t>
  </si>
  <si>
    <t>ASML</t>
  </si>
  <si>
    <t xml:space="preserve">原先請款KPE601-S </t>
    <phoneticPr fontId="16" type="noConversion"/>
  </si>
  <si>
    <t>CAP_A_90876_NXE3600_Main_tool_interconne</t>
  </si>
  <si>
    <t>KPE605-S</t>
  </si>
  <si>
    <t>MICUINT202404146</t>
  </si>
  <si>
    <t>CAP_A_90877_NXE3600_Main_tool_interconne</t>
  </si>
  <si>
    <t>KPE606-S</t>
  </si>
  <si>
    <t>MICUINT202408058</t>
  </si>
  <si>
    <t>CAP_A_91016_NXE3600_Main_tool_interconne</t>
  </si>
  <si>
    <r>
      <t xml:space="preserve">Arthur Chen </t>
    </r>
    <r>
      <rPr>
        <sz val="11"/>
        <color rgb="FF000000"/>
        <rFont val="新細明體"/>
        <family val="2"/>
      </rPr>
      <t>陳濟宣</t>
    </r>
    <r>
      <rPr>
        <sz val="11"/>
        <color rgb="FF000000"/>
        <rFont val="Calibri"/>
        <family val="2"/>
      </rPr>
      <t xml:space="preserve">jschenze@tsmc.com  </t>
    </r>
  </si>
  <si>
    <t>KPE604-S</t>
  </si>
  <si>
    <t>MICUINT202409057</t>
  </si>
  <si>
    <t>CAP_A_73845_NXE3600_Main_tool_interconne</t>
  </si>
  <si>
    <t>KPE601-S</t>
  </si>
  <si>
    <t>MICUINT202404059</t>
  </si>
  <si>
    <t>若KPE603-S完成時使用這個PO</t>
    <phoneticPr fontId="16" type="noConversion"/>
  </si>
  <si>
    <t>CAP_A_73848_NXE3600_Main_tool_interconne</t>
  </si>
  <si>
    <t>KPE602-S</t>
  </si>
  <si>
    <t>MICUINT202404050</t>
  </si>
  <si>
    <t>CAP_A_91017_NXE3600_Main_tool_interconne</t>
  </si>
  <si>
    <t>KPE607-S</t>
  </si>
  <si>
    <t>CAP_F_90880_NXT_Main_tool_interconnectio</t>
  </si>
  <si>
    <t>George Lin 林子平 TPLINB@TSMC.COM</t>
  </si>
  <si>
    <t>DUV (NXT1980Di/NXT2000i)</t>
  </si>
  <si>
    <t>KPAP03-S</t>
  </si>
  <si>
    <t>LIT1</t>
  </si>
  <si>
    <t>CAP_F_90314_XT_Main_tool_interconnection</t>
  </si>
  <si>
    <t>XT400L/XT1460K/XT860M</t>
  </si>
  <si>
    <t>KPD802-S</t>
  </si>
  <si>
    <t>MICUINT202310819</t>
  </si>
  <si>
    <t>原先請款KPAE01-S</t>
    <phoneticPr fontId="16" type="noConversion"/>
  </si>
  <si>
    <r>
      <t>CAP_A_90572_</t>
    </r>
    <r>
      <rPr>
        <sz val="11"/>
        <color rgb="FF000000"/>
        <rFont val="新細明體"/>
        <family val="2"/>
      </rPr>
      <t>真空球閥</t>
    </r>
    <r>
      <rPr>
        <sz val="11"/>
        <color rgb="FF000000"/>
        <rFont val="Calibri"/>
        <family val="2"/>
      </rPr>
      <t>Interconnection (Vacuum Ball Valve)</t>
    </r>
  </si>
  <si>
    <t>001</t>
  </si>
  <si>
    <t>USCCT2303007</t>
  </si>
  <si>
    <t>CAP_A_90572_真空球閥Interconnection</t>
  </si>
  <si>
    <t xml:space="preserve">Interconnection excel </t>
  </si>
  <si>
    <t>PVD1</t>
  </si>
  <si>
    <t>CAP_F_90714_FC3100 SiN OD EQP inter con</t>
  </si>
  <si>
    <t>USCCT2212013</t>
  </si>
  <si>
    <t>USC22C037</t>
  </si>
  <si>
    <t>F21P1 Screen Main tool interconnection</t>
  </si>
  <si>
    <t>FC_3100 SiN Stripping (OD, Bench) - N5~N28 配管</t>
  </si>
  <si>
    <t>KDSNS1</t>
  </si>
  <si>
    <t>WET</t>
  </si>
  <si>
    <t>SCREEN</t>
  </si>
  <si>
    <t>CAP_F_90727_FC3100 Std_Clean HTHC EQP in</t>
  </si>
  <si>
    <t>黃韋翔/F21-WET2/Ext.7712717</t>
  </si>
  <si>
    <t>FC_3100 Std. Clean (A , HTHC, Bench) - N5~N10/N28~013 配管</t>
  </si>
  <si>
    <t>KDSTS7</t>
  </si>
  <si>
    <t>MICUINT202312007</t>
  </si>
  <si>
    <t>F21CVD1 tool interconnection</t>
  </si>
  <si>
    <t>USCCT2301007</t>
  </si>
  <si>
    <t>USC23C003</t>
  </si>
  <si>
    <t>F21P1 Module Tool Interconnection CVD</t>
  </si>
  <si>
    <t>黃國威</t>
  </si>
  <si>
    <t>F21 CVD1 tool interconnection control table (NON-BOM item) Quotation 1006 Final</t>
  </si>
  <si>
    <t>KCBDA1.KCBDA2.KCBDA3.KCBDA4.KCBDA5.KCBDA6.KCBDA7.KCBDA8.KCBDA9.KCBDAA.KCBDAB.KCFLA1.KCFLA2.KCFLA3.KCFLA4.KCFLA5.KCUVA1.KCUVA2.KCUVA3.KCUVA4.KCUVA5.KCUVA6</t>
    <phoneticPr fontId="30" type="noConversion"/>
  </si>
  <si>
    <t>CVD1</t>
  </si>
  <si>
    <t>CAP_F_90984_NXT_Main_tool_interconnectio</t>
  </si>
  <si>
    <t>ASML Quotation 09212022</t>
  </si>
  <si>
    <t>KPAP04-S</t>
  </si>
  <si>
    <t>CAP_F_90307_NXT_Main_tool_interconnectio</t>
  </si>
  <si>
    <t>KPAP01-S</t>
  </si>
  <si>
    <t>MICUINT202405033</t>
  </si>
  <si>
    <r>
      <rPr>
        <sz val="11"/>
        <color rgb="FF000000"/>
        <rFont val="Microsoft JhengHei"/>
        <family val="2"/>
        <charset val="136"/>
      </rPr>
      <t>若</t>
    </r>
    <r>
      <rPr>
        <sz val="11"/>
        <color rgb="FF000000"/>
        <rFont val="Calibri"/>
        <family val="2"/>
      </rPr>
      <t>KPAN03-S</t>
    </r>
    <r>
      <rPr>
        <sz val="11"/>
        <color rgb="FF000000"/>
        <rFont val="Microsoft JhengHei"/>
        <family val="2"/>
        <charset val="136"/>
      </rPr>
      <t>完成使用這個</t>
    </r>
    <r>
      <rPr>
        <sz val="11"/>
        <color rgb="FF000000"/>
        <rFont val="Calibri"/>
        <family val="2"/>
      </rPr>
      <t>PO</t>
    </r>
    <r>
      <rPr>
        <sz val="11"/>
        <color rgb="FF000000"/>
        <rFont val="Microsoft JhengHei"/>
        <family val="2"/>
        <charset val="136"/>
      </rPr>
      <t>請款</t>
    </r>
  </si>
  <si>
    <t>CAP_F_90309_NXT_Main_tool_interconnectio</t>
  </si>
  <si>
    <t>Justin/ Richard Wang</t>
  </si>
  <si>
    <t>MICUINT202401002</t>
  </si>
  <si>
    <t>KPAN01-S</t>
  </si>
  <si>
    <t>CAP_F_90882_NXT_Main_tool_interconnectio</t>
  </si>
  <si>
    <t>KPAN05-S</t>
  </si>
  <si>
    <t>CAP_F_90308_NXT_Main_tool_interconnectio</t>
  </si>
  <si>
    <t>KPAP02-S</t>
  </si>
  <si>
    <t>MICUINT202404052</t>
  </si>
  <si>
    <t>CAP_F_90881_NXT_Main_tool_interconnectio</t>
  </si>
  <si>
    <t>KPAN03-S</t>
  </si>
  <si>
    <t>MICUINT202310820</t>
  </si>
  <si>
    <t>原先請款KPAP01-S</t>
    <phoneticPr fontId="16" type="noConversion"/>
  </si>
  <si>
    <t>CAP_F_90883_NXT_Main_tool_interconnectio</t>
  </si>
  <si>
    <t>KPAN04-S</t>
  </si>
  <si>
    <t>CAP_F_90315_XT_Main_tool_interconnection</t>
  </si>
  <si>
    <t>KPI401-S</t>
  </si>
  <si>
    <t>MICUINT202401004</t>
  </si>
  <si>
    <t>CAP_F_90985_XT_Main_tool_interconnection</t>
  </si>
  <si>
    <t>KPAE03-S</t>
  </si>
  <si>
    <t>CAP_F_90986_XT_Main_tool_interconnection</t>
  </si>
  <si>
    <t>KPD804-S</t>
  </si>
  <si>
    <t>CAP_F_90987_XT_Main_tool_interconnection</t>
  </si>
  <si>
    <t>KPI402-S</t>
  </si>
  <si>
    <t>CAP_F_90310_NXT_Main_tool_interconnectio</t>
  </si>
  <si>
    <t>KPAN02-S</t>
  </si>
  <si>
    <t>MICUINT202404053</t>
  </si>
  <si>
    <t>CAP_F_91390_NXT_Main_tool_interconnectio</t>
  </si>
  <si>
    <t>KPAN06-S</t>
  </si>
  <si>
    <t>CAP_F_90312_XT_Main_tool_interconnection</t>
  </si>
  <si>
    <t>KPAE01-S</t>
  </si>
  <si>
    <t>MICUINT202409042</t>
  </si>
  <si>
    <r>
      <rPr>
        <sz val="11"/>
        <color rgb="FF000000"/>
        <rFont val="新細明體"/>
      </rPr>
      <t>若</t>
    </r>
    <r>
      <rPr>
        <sz val="11"/>
        <color rgb="FF000000"/>
        <rFont val="Calibri"/>
        <family val="2"/>
      </rPr>
      <t>KPD802-S</t>
    </r>
    <r>
      <rPr>
        <sz val="11"/>
        <color rgb="FF000000"/>
        <rFont val="新細明體"/>
      </rPr>
      <t>完成時使用這個</t>
    </r>
    <r>
      <rPr>
        <sz val="11"/>
        <color rgb="FF000000"/>
        <rFont val="Calibri"/>
        <family val="2"/>
      </rPr>
      <t>PO</t>
    </r>
  </si>
  <si>
    <t>CAP_F_90884_XT_Main_tool_interconnection</t>
  </si>
  <si>
    <t>林子平/George Lin/F21-LIT1/Ext.7713435</t>
  </si>
  <si>
    <t>KPAE02-S</t>
  </si>
  <si>
    <t>CAP_F_90313_XT_Main_tool_interconnection</t>
  </si>
  <si>
    <t>KPD801-S</t>
  </si>
  <si>
    <t>MICUINT202401003</t>
  </si>
  <si>
    <t>CAP_F_90885_XT_Main_tool_interconnection</t>
  </si>
  <si>
    <t>KPD803-S</t>
  </si>
  <si>
    <t>MISC_(21417931_522/T0)VEX duct adaptor</t>
  </si>
  <si>
    <t>USCCT2212014</t>
  </si>
  <si>
    <t>USC22C038</t>
  </si>
  <si>
    <t>IMUQTS2211003</t>
  </si>
  <si>
    <t>RM_F21_EUV_Exhaust Special connector</t>
  </si>
  <si>
    <t>USCCT2301003</t>
  </si>
  <si>
    <t>1MUQTS2211007</t>
  </si>
  <si>
    <t>F21 CVD1 tool interconnection control table (23K) Quotation1220 to MICU</t>
  </si>
  <si>
    <t>MISC_(21417931_tax/T1)Panel cut hole</t>
  </si>
  <si>
    <t xml:space="preserve">Tony L </t>
  </si>
  <si>
    <t>USCCT2307015</t>
  </si>
  <si>
    <t>USC23C008</t>
  </si>
  <si>
    <t>F21P1 Module Tool Interconnection LIT2-3</t>
  </si>
  <si>
    <t>1MUQTS2303003</t>
  </si>
  <si>
    <t>EBOAZ-PW filter frame installation</t>
  </si>
  <si>
    <t>USCCT2404042</t>
  </si>
  <si>
    <t>1MUQTS2304004</t>
  </si>
  <si>
    <t>MICUINT202405050</t>
  </si>
  <si>
    <t>F21 LIT1 NXT 3F drain pipe welding</t>
  </si>
  <si>
    <t>USCCT2307016</t>
  </si>
  <si>
    <t>1MUQTS2212002_01</t>
  </si>
  <si>
    <t>(TAX/T1) MISC_Single barricade</t>
  </si>
  <si>
    <t>Justin</t>
  </si>
  <si>
    <t>USCCT2301009</t>
  </si>
  <si>
    <t>USC23C004</t>
  </si>
  <si>
    <t>F21P1 Module Tool Interconnection CMP1</t>
  </si>
  <si>
    <t>梁立杭/CMP</t>
  </si>
  <si>
    <t>1MUQTS2303020</t>
  </si>
  <si>
    <t>MICUINT202402002</t>
  </si>
  <si>
    <t>please resend for TSMC internal GR program</t>
  </si>
  <si>
    <t>F21CVD2 LAM tool interconnection</t>
  </si>
  <si>
    <t>Kurt / Steve Ferns</t>
  </si>
  <si>
    <t>F21 Lam non-BOM Interconnection control table v3 20220811 Quotation with discount 1011 for send</t>
  </si>
  <si>
    <t>CVD</t>
  </si>
  <si>
    <t>EBO21-FP3 Exhaust interconnection</t>
  </si>
  <si>
    <t>USCCT2404041</t>
  </si>
  <si>
    <t>1MUQTS2304003</t>
  </si>
  <si>
    <t>FP3</t>
    <phoneticPr fontId="14" type="noConversion"/>
  </si>
  <si>
    <t>MICUINT202406028</t>
  </si>
  <si>
    <t>TiCl4 gasline cut-off labor</t>
  </si>
  <si>
    <t>USCCT2301012</t>
  </si>
  <si>
    <t>USC23C007</t>
  </si>
  <si>
    <t>F21P1 Module Tool Interconnection PVD1-2</t>
  </si>
  <si>
    <t>1MUQTS2304015</t>
  </si>
  <si>
    <t>MISC_(21417931_tax/T1)RMF Plate</t>
  </si>
  <si>
    <t>Joseph Turley</t>
  </si>
  <si>
    <t>USCCT2301013</t>
  </si>
  <si>
    <t>1MUQTS2305006</t>
  </si>
  <si>
    <t>CVD1 Insulated Cable Clamps</t>
  </si>
  <si>
    <t>USCCT2307012,USCCT2307011</t>
  </si>
  <si>
    <t>USC23C053</t>
  </si>
  <si>
    <t>AMAT Interconnection (TSMC)</t>
  </si>
  <si>
    <t>Alan Kwok SKWOK@TSMC.COM</t>
  </si>
  <si>
    <t>1MUQTS2307003</t>
  </si>
  <si>
    <t>MICUINT202402016</t>
  </si>
  <si>
    <t>please provide receving document with TSMC signature</t>
  </si>
  <si>
    <t>CVD1 cable tray divider request</t>
  </si>
  <si>
    <t xml:space="preserve">AMAT Interconnection (TSMC) </t>
  </si>
  <si>
    <t>1MUQTS2307007_01</t>
  </si>
  <si>
    <t>MICUINT202402015</t>
  </si>
  <si>
    <t>1.please provide receving document with TSMC signature.2.finail inspection was wrong,this document doesn’t belong to CVD1 tool</t>
  </si>
  <si>
    <t>CAP_F_91287_ProZ KRF 8+2_Main_tool_inter</t>
  </si>
  <si>
    <t>EBO ZCOAT Cable Tray</t>
  </si>
  <si>
    <t>1MUQTS2307006</t>
  </si>
  <si>
    <t>AZ TPT_CONSTR&amp;MAT’L_ME_KPSP06Unistrut</t>
  </si>
  <si>
    <t>Sean Cahanding</t>
  </si>
  <si>
    <t>USCCT2404040</t>
  </si>
  <si>
    <t>wchenm@tsmc.com</t>
  </si>
  <si>
    <t>1MUQTS2306025</t>
  </si>
  <si>
    <t>AZQR LAN cable tray installation</t>
  </si>
  <si>
    <t>J.J. Peng 彭建智 jjpengc@tsmc.com/Chase</t>
  </si>
  <si>
    <t>1MUQTS2307027_01</t>
  </si>
  <si>
    <t>MICUINT202311823</t>
  </si>
  <si>
    <t>EBO ZASC5-1 Cable tray</t>
  </si>
  <si>
    <t>USCCT2402113</t>
  </si>
  <si>
    <t>蘇科銓/EBO-AZ/Ext.7713576</t>
  </si>
  <si>
    <t>1MUQTS2308025</t>
  </si>
  <si>
    <t>ZASC5-1</t>
  </si>
  <si>
    <t>F21_AZQR_Hookup_QRLab Special Adapters</t>
  </si>
  <si>
    <t>USCCT2309005</t>
  </si>
  <si>
    <t>1MUQTS2308007</t>
  </si>
  <si>
    <t>EBOAZ CDA Cabinet Power/Gas installation</t>
  </si>
  <si>
    <t>USCCT2402112</t>
  </si>
  <si>
    <t>1MUQTS2308076</t>
  </si>
  <si>
    <t>MICUINT202402003</t>
  </si>
  <si>
    <t>RM_F21_EUV_material rigging open PO</t>
  </si>
  <si>
    <t>USCCT2404038</t>
  </si>
  <si>
    <t>Expect to add in USC22C036</t>
  </si>
  <si>
    <t>1MUQTS2305048</t>
  </si>
  <si>
    <t>LIT</t>
  </si>
  <si>
    <t>CONSTR_Power Cable Crimp fee</t>
  </si>
  <si>
    <t>Tyler Smith</t>
  </si>
  <si>
    <t>1MUQTS2309014_02</t>
  </si>
  <si>
    <t>DIF</t>
  </si>
  <si>
    <t>MICUINT202407021</t>
  </si>
  <si>
    <t>F21_AZFAD_Hookup_CO_Electrical_KXAT01_02</t>
  </si>
  <si>
    <t>1MUQTS2308012</t>
  </si>
  <si>
    <t>KXAT01.KXAT02</t>
  </si>
  <si>
    <t>MICUINT202409043</t>
  </si>
  <si>
    <t>CAP_F_90393 Interconnection extra cable</t>
  </si>
  <si>
    <t>Julius Simmons/F21-ETC4/Ext.7713732</t>
  </si>
  <si>
    <t>1MUQTS2309001_02</t>
  </si>
  <si>
    <t xml:space="preserve">#N/A </t>
  </si>
  <si>
    <t>MICUINT202402019</t>
  </si>
  <si>
    <t>V-closed</t>
  </si>
  <si>
    <r>
      <t>BORIS</t>
    </r>
    <r>
      <rPr>
        <sz val="11"/>
        <color theme="1"/>
        <rFont val="新細明體"/>
        <family val="2"/>
      </rPr>
      <t>協定金額最後金額</t>
    </r>
    <r>
      <rPr>
        <sz val="11"/>
        <color theme="1"/>
        <rFont val="Calibri"/>
        <family val="2"/>
      </rPr>
      <t>21470.42</t>
    </r>
  </si>
  <si>
    <t>CAP_F_90130 Interconnection extra cable</t>
  </si>
  <si>
    <t xml:space="preserve">Joe </t>
  </si>
  <si>
    <t>葉富文/F21-ETC2/Ext.7712421</t>
  </si>
  <si>
    <t>1MUQTS2308045_02</t>
  </si>
  <si>
    <t>KECOT2</t>
  </si>
  <si>
    <t>MICUINT202402026</t>
  </si>
  <si>
    <t>工程sign off 簽收單需要補簽台積工號還有年月日</t>
  </si>
  <si>
    <t>CAP_F_90144 Interconnection extra cable</t>
  </si>
  <si>
    <t>1MUQTS2308035</t>
  </si>
  <si>
    <t>MICUINT202402017</t>
  </si>
  <si>
    <t>non-AZ TPT, CONSTR_Power Cable Crimp fee</t>
  </si>
  <si>
    <t>USCCT2404039</t>
  </si>
  <si>
    <t>MICUINT202407022</t>
  </si>
  <si>
    <t>CAP_F_90059 Interconnection extra cable</t>
  </si>
  <si>
    <t>1MUQTS2308014_03</t>
  </si>
  <si>
    <t>EPI</t>
  </si>
  <si>
    <t>MICUINT202402020</t>
  </si>
  <si>
    <t>CAP_F_90505 Interconnection extra cable</t>
  </si>
  <si>
    <t>Steve Ferns</t>
  </si>
  <si>
    <t>USCCT2404020</t>
  </si>
  <si>
    <t>吳信亨/F21-CVD2/Ext.7713926</t>
  </si>
  <si>
    <t>1MUQTS2307033_01</t>
  </si>
  <si>
    <t>CVD2</t>
  </si>
  <si>
    <t>MICUINT202401007</t>
  </si>
  <si>
    <t>CAP_F_90514 Interconnection extra cable</t>
  </si>
  <si>
    <t>USCCT2404021</t>
  </si>
  <si>
    <t>1MUQTS2308015_01</t>
  </si>
  <si>
    <t>MICUINT202401008</t>
  </si>
  <si>
    <t>MISC_(21417931_000/Tax)KPD801-T re-route</t>
  </si>
  <si>
    <t>USCCT2403007</t>
  </si>
  <si>
    <t>1MUQTS2309033/4689135</t>
  </si>
  <si>
    <t>KPD801-T</t>
  </si>
  <si>
    <t>MICUINT202401005</t>
  </si>
  <si>
    <t>MISC_(21417931_000/Tax)KPOCS1 re-route</t>
  </si>
  <si>
    <t>USCCT2403008</t>
  </si>
  <si>
    <t>1MUQTS2309034_01</t>
  </si>
  <si>
    <t>KPOCS1</t>
  </si>
  <si>
    <t>MICUINT202401006</t>
  </si>
  <si>
    <t>Gas LHookup KXPTR1/2</t>
  </si>
  <si>
    <t>1MUQTS2311067_02</t>
  </si>
  <si>
    <t>KXPTRL1</t>
  </si>
  <si>
    <t>ETC2 Cable Wrap</t>
  </si>
  <si>
    <t>Jonathan Brown</t>
  </si>
  <si>
    <t>USCCT2404035</t>
  </si>
  <si>
    <t>CHANGE ORDER WRAPS FOR TEL TOOLS</t>
  </si>
  <si>
    <t>1MUQTS2311078_01</t>
  </si>
  <si>
    <t>FOR ETC1 FW Yeh</t>
  </si>
  <si>
    <t>Wraps for TEL Signal Cable</t>
  </si>
  <si>
    <t>USCCT2404037</t>
  </si>
  <si>
    <t>Singal Wrap</t>
  </si>
  <si>
    <t xml:space="preserve">Y </t>
  </si>
  <si>
    <t>1MUQTS2311085</t>
  </si>
  <si>
    <t>18 Wraps</t>
  </si>
  <si>
    <t>USCCT2404036</t>
  </si>
  <si>
    <t>TEL Signal Wrap</t>
  </si>
  <si>
    <t>9 Wraps</t>
  </si>
  <si>
    <t>CAP_F_90155 Interconnection Extra Cable</t>
  </si>
  <si>
    <t>USCCT2404023</t>
  </si>
  <si>
    <t xml:space="preserve"> Y </t>
  </si>
  <si>
    <t>1MUQTS2309013_01</t>
  </si>
  <si>
    <t>CAP_F_90084 Interconnection Extra Cable</t>
  </si>
  <si>
    <r>
      <rPr>
        <sz val="11"/>
        <color rgb="FF000000"/>
        <rFont val="新細明體"/>
        <family val="2"/>
      </rPr>
      <t>李建村</t>
    </r>
    <r>
      <rPr>
        <sz val="11"/>
        <color rgb="FF000000"/>
        <rFont val="Calibri"/>
        <family val="2"/>
      </rPr>
      <t>/F21-ETC1/Ext.7712924</t>
    </r>
  </si>
  <si>
    <t>1MUQTS2308044_02</t>
  </si>
  <si>
    <t>KESRT4</t>
  </si>
  <si>
    <t>MICUINT202402027</t>
  </si>
  <si>
    <t>MICUINT202405095</t>
  </si>
  <si>
    <t>發票附件提送為MICUINT202405095但SO360外發票寫MICUINT202402027  resubmit-1 conduit+ 2 dividers inatalled_業主協定金額2492</t>
  </si>
  <si>
    <t xml:space="preserve">CAP_F_90637 Interconnection extra cable </t>
  </si>
  <si>
    <t>USCCT2404024</t>
  </si>
  <si>
    <t>1MUQTS2311015_02</t>
  </si>
  <si>
    <t>MICUINT202408125</t>
  </si>
  <si>
    <t>CAP_F_90631 Interconnection extra cable</t>
  </si>
  <si>
    <t>Joe</t>
  </si>
  <si>
    <t>USCCT2404025</t>
  </si>
  <si>
    <r>
      <rPr>
        <sz val="11"/>
        <color rgb="FF000000"/>
        <rFont val="新細明體"/>
        <family val="2"/>
      </rPr>
      <t>陳鈺庭</t>
    </r>
    <r>
      <rPr>
        <sz val="11"/>
        <color rgb="FF000000"/>
        <rFont val="Calibri"/>
        <family val="2"/>
      </rPr>
      <t>/F21-ETC2/Ext.7712412</t>
    </r>
  </si>
  <si>
    <t>1MUQTS2311016_02</t>
  </si>
  <si>
    <t>MICUINT202402025</t>
  </si>
  <si>
    <t>this PO was 4" conduit installation and issue date was 2023/12/2,not tools interconnection,please provide correct service report and related document.</t>
  </si>
  <si>
    <t>CAP_F_90052 Interconnection extra cable</t>
  </si>
  <si>
    <t xml:space="preserve">Tyler Smith </t>
  </si>
  <si>
    <t>USCCT2404026</t>
  </si>
  <si>
    <t>沈富群/F21-DIF2/Ext.7713823</t>
  </si>
  <si>
    <t>1MUQTS2308022_01</t>
  </si>
  <si>
    <t>MICUINT202402024</t>
  </si>
  <si>
    <t>CAP_F_90572 Interconnection extra cable</t>
  </si>
  <si>
    <t>邱奕豪/F21-PVD1/Ext.7712217</t>
  </si>
  <si>
    <t>1MUQTS2308071_02</t>
  </si>
  <si>
    <t>MICUINT202402018</t>
  </si>
  <si>
    <t>522/T0 F21CVD2 KCANN1 2" conduit</t>
  </si>
  <si>
    <t>USCCT2404028</t>
  </si>
  <si>
    <t>莊宜橙/F21-CVD2/Ext.7713925</t>
  </si>
  <si>
    <t>1MUQTS2311059_02</t>
  </si>
  <si>
    <t>MICUINT202402021</t>
  </si>
  <si>
    <t xml:space="preserve">EBOAZ-FP3 Exhaust interconnection Labeli </t>
  </si>
  <si>
    <t>1MUQTS2311087_02</t>
  </si>
  <si>
    <t>FP3</t>
  </si>
  <si>
    <t>MICUINT202406029</t>
  </si>
  <si>
    <t xml:space="preserve">CAP_F_90730 Interconnection extra cable </t>
  </si>
  <si>
    <t>涂尚宇/F21-WET1/Ext.7712788</t>
  </si>
  <si>
    <t>1MUQTS2310016_01</t>
  </si>
  <si>
    <t>KCSCS5</t>
  </si>
  <si>
    <t>MICUINT202402022</t>
  </si>
  <si>
    <t>CAP_F_90729 Interconnection extra cable</t>
  </si>
  <si>
    <t>1MUQTS2310017_01</t>
  </si>
  <si>
    <t>KCSCS8</t>
  </si>
  <si>
    <t>MICUINT202402023</t>
  </si>
  <si>
    <t>interconnection tray request for ZCENT-1</t>
    <phoneticPr fontId="14" type="noConversion"/>
  </si>
  <si>
    <t>1MUQTS2311064_01</t>
  </si>
  <si>
    <t>MICUINT202406030</t>
  </si>
  <si>
    <t>CAP_F_73845 Interconnection extra cable</t>
  </si>
  <si>
    <t>USCCT2404029</t>
  </si>
  <si>
    <t>H.H. Pan 潘信華 &lt;HHPAN@TSMC.COM&gt;</t>
  </si>
  <si>
    <t>1MUQTS2311073</t>
  </si>
  <si>
    <t>MICUINT202402033</t>
  </si>
  <si>
    <t>CAP_F_73848 Interconnection extra cable</t>
  </si>
  <si>
    <t>USCCT2404030</t>
  </si>
  <si>
    <t>1MUQTS2311074</t>
  </si>
  <si>
    <t>MICUINT202408127</t>
  </si>
  <si>
    <t>CAP_F_90875 Interconnection extra cable</t>
  </si>
  <si>
    <t>USCCT2404018</t>
  </si>
  <si>
    <t>1MUQTS2311075</t>
  </si>
  <si>
    <t>MICUINT202405034</t>
  </si>
  <si>
    <t>Exhaust interconnection Change order</t>
  </si>
  <si>
    <t>USCCT2404008</t>
  </si>
  <si>
    <t>1MUQTS2402053</t>
  </si>
  <si>
    <t>CAP_F_90197_1B00BG-1_AMAT_SiGe_DIO3 Interconnection</t>
  </si>
  <si>
    <r>
      <rPr>
        <sz val="11"/>
        <color rgb="FF000000"/>
        <rFont val="新細明體"/>
        <family val="2"/>
      </rPr>
      <t>梁立杭</t>
    </r>
  </si>
  <si>
    <t>KMOPA2-C</t>
  </si>
  <si>
    <t>CMP</t>
  </si>
  <si>
    <t>MICUlNT202307710</t>
  </si>
  <si>
    <t>CAP_F_90374_1B040E-1_Ebara_Reclaim_DIO3 Interconnection</t>
  </si>
  <si>
    <t>梁立杭</t>
  </si>
  <si>
    <t>KMRPE1</t>
  </si>
  <si>
    <t>MICUINT202307711</t>
  </si>
  <si>
    <t>MICUINT202402032</t>
  </si>
  <si>
    <t>CAP_F_90373_1B040E-1_Ebara_Reclaim_DIO3 Interconnection</t>
  </si>
  <si>
    <t>KMRPE2</t>
  </si>
  <si>
    <t>MICUINT202307712</t>
  </si>
  <si>
    <t>CAP_F_90454_1B040E-1_Ebara_Reclaim_DIO3 Interconnection</t>
  </si>
  <si>
    <t>KMRPE3</t>
  </si>
  <si>
    <t>MICUINT202307713</t>
  </si>
  <si>
    <t>CAP_F_90455_1B040E-1_Ebara_Reclaim_DIO3 Interconnection</t>
  </si>
  <si>
    <t>KMRPE4</t>
  </si>
  <si>
    <t>MICUINT202307714</t>
  </si>
  <si>
    <t>CAP_F_90380_1B00CG_Ebara_300X_Chiller Interconnection</t>
  </si>
  <si>
    <t>KUCPE1-C</t>
  </si>
  <si>
    <t>MICUINT202306540</t>
  </si>
  <si>
    <t>MICUINT202407014</t>
  </si>
  <si>
    <t>Q</t>
  </si>
  <si>
    <t>CAP_F_90379_1B00CG_Ebara_300X_Chiller Interconnection</t>
  </si>
  <si>
    <t>KUCPEB-C</t>
  </si>
  <si>
    <t>MICUINT202306541</t>
  </si>
  <si>
    <t>CAP_F_90199_1B00CG_Ebara_300X_Chiller Interconnection</t>
  </si>
  <si>
    <t>KMWPE1-C</t>
  </si>
  <si>
    <t>MICUINT202306542</t>
  </si>
  <si>
    <t>MICUINT202407013</t>
  </si>
  <si>
    <t>CAP_F_90200_1B00CG_Ebara_300X_Chiller Interconnection</t>
  </si>
  <si>
    <t>KMCPE1-C</t>
  </si>
  <si>
    <t>MICUINT202306543</t>
  </si>
  <si>
    <t>MICUINT202407012</t>
  </si>
  <si>
    <t>CAP_F_90202_1B00CG_Ebara_300X_Chiller Interconnection</t>
  </si>
  <si>
    <t>KMOPE1-C</t>
  </si>
  <si>
    <t>MICUINT202306544</t>
  </si>
  <si>
    <t>CAP_F_90381_1B00CG_Ebara_300X_Chiller Interconnection</t>
  </si>
  <si>
    <t>KUCPE3-C</t>
  </si>
  <si>
    <t>MICUINT202407016</t>
  </si>
  <si>
    <t>CAP_F_90378_1B00CG_Ebara_300X_Chiller Interconnection</t>
  </si>
  <si>
    <t>KUCPE2-C</t>
  </si>
  <si>
    <t>MICUINT202407015</t>
  </si>
  <si>
    <t>CAP_F_90377_1B00CG_Ebara_300X_Chiller Interconnection</t>
  </si>
  <si>
    <t>KUCPE4-C</t>
  </si>
  <si>
    <t>MICUINT202306547</t>
  </si>
  <si>
    <t>MICUINT202407017</t>
  </si>
  <si>
    <t>CAP_F_90376_1B00CG_Ebara_300X_Chiller Interconnection</t>
  </si>
  <si>
    <t>KUCPE6-C</t>
  </si>
  <si>
    <t>MICUINT202306548</t>
  </si>
  <si>
    <t>MICUINT202407019</t>
  </si>
  <si>
    <t>CAP_F_90375_1B00CG_Ebara_300X_Chiller Interconnection</t>
  </si>
  <si>
    <t>KUCPE5-C</t>
  </si>
  <si>
    <t>MICUINT202306549</t>
  </si>
  <si>
    <t>MICUINT202407018</t>
  </si>
  <si>
    <t>CAP_F_90511_1600CR_LAM_Mithril_Interconnection</t>
  </si>
  <si>
    <t>Kurt/ Steve Ferns</t>
  </si>
  <si>
    <t>陳昭宇 JYCHENZU@TSMC.COM</t>
  </si>
  <si>
    <t>業務M_24/10/1訊息通知目前尚未完工無法請款，可請款時會通知</t>
  </si>
  <si>
    <t>CAP_F_90514_1600CR_LAM_Mithril_Interconnection</t>
  </si>
  <si>
    <t>MICUINT202406031</t>
  </si>
  <si>
    <t>CAP_F_90053_1600DA_ASM_AlO_Interconnection</t>
  </si>
  <si>
    <t>CAP_F_90093_1604BL_AMAT_ILD_Interconnection</t>
  </si>
  <si>
    <r>
      <rPr>
        <sz val="11"/>
        <color rgb="FF000000"/>
        <rFont val="新細明體"/>
        <family val="2"/>
      </rPr>
      <t>陳昭宇</t>
    </r>
    <r>
      <rPr>
        <sz val="11"/>
        <color rgb="FF000000"/>
        <rFont val="Calibri"/>
        <family val="2"/>
      </rPr>
      <t xml:space="preserve"> JYCHENZU@TSMC.COM</t>
    </r>
  </si>
  <si>
    <t>MICUINT202306550</t>
  </si>
  <si>
    <t>MICUINT202404134</t>
  </si>
  <si>
    <r>
      <t>the document of attachment and doesn't match the PO item _TONY</t>
    </r>
    <r>
      <rPr>
        <sz val="11"/>
        <color theme="1"/>
        <rFont val="新細明體"/>
        <family val="2"/>
      </rPr>
      <t>需重新簽核</t>
    </r>
  </si>
  <si>
    <t>CAP_F_90926_1604BL_AMAT_ILD_Interconnection</t>
  </si>
  <si>
    <t>KCFLA4</t>
  </si>
  <si>
    <t>MICUINT202306551</t>
  </si>
  <si>
    <t>CAP_F_90094_1600GY_AMAT_STI_Interconnection</t>
  </si>
  <si>
    <t>MICUINT202306552</t>
  </si>
  <si>
    <t>MICUINT202404133</t>
  </si>
  <si>
    <t>CAP_F_90925_1600GY_AMAT_STI_Interconnection</t>
  </si>
  <si>
    <t>KCFLA5</t>
  </si>
  <si>
    <t>MICUINT202306553</t>
  </si>
  <si>
    <t>CAP_F_90092_16046G_AMAT_Corona_Interconnection</t>
  </si>
  <si>
    <t>MICUINT202306554</t>
  </si>
  <si>
    <t>MICUINT202404135</t>
  </si>
  <si>
    <t>CAP_F_90681_1601DL_AMAT_Olympia_Interconnection</t>
  </si>
  <si>
    <t>CAP_F_90682_1601DL_AMAT_Olympia_Interconnection</t>
  </si>
  <si>
    <t>KCOLA2</t>
  </si>
  <si>
    <t>CAP_F_90505_1600DB_LAM_EMMA_Interconnection</t>
  </si>
  <si>
    <t>MICUINT202406032</t>
  </si>
  <si>
    <t>CAP_F_90504_1600DB_LAM_EMMA_Interconnection</t>
  </si>
  <si>
    <t>MICUINT202406033</t>
  </si>
  <si>
    <t>CAP_F_90146_1600EI_AMAT_Apollo_Interconnection</t>
  </si>
  <si>
    <t>MICUINT202306555</t>
  </si>
  <si>
    <t>MICUINT202407002</t>
  </si>
  <si>
    <t>CAP_F_90147_1600EI_AMAT_Apollo_Interconnection</t>
  </si>
  <si>
    <t>KCUVA2</t>
  </si>
  <si>
    <t>MICUINT202306556</t>
  </si>
  <si>
    <t>MICUINT202407003</t>
  </si>
  <si>
    <t>CAP_F_90148_1600EI_AMAT_Apollo_Interconnection</t>
  </si>
  <si>
    <t>MICUINT202306557</t>
  </si>
  <si>
    <t>CAP_F_90463_1500EZ-1_HKE_HT2_H bar Interconnection</t>
  </si>
  <si>
    <t>HKE</t>
  </si>
  <si>
    <t>MICUINT202408071</t>
  </si>
  <si>
    <t>CAP_F_90467_1500EZ-1_HKE_HT2_H bar Interconnection</t>
  </si>
  <si>
    <t>MICUINT202408072</t>
  </si>
  <si>
    <t>CAP_F_90468_15041F-1_HKE_HT2_H bar</t>
  </si>
  <si>
    <t>MICUINT202408073</t>
  </si>
  <si>
    <t xml:space="preserve">CAP_F_90475_25033D-1_HKE_HT2_H bar </t>
  </si>
  <si>
    <r>
      <rPr>
        <sz val="11"/>
        <color rgb="FF000000"/>
        <rFont val="Microsoft JhengHei"/>
        <family val="2"/>
        <charset val="136"/>
      </rPr>
      <t>洪政宏</t>
    </r>
    <r>
      <rPr>
        <sz val="11"/>
        <color rgb="FF000000"/>
        <rFont val="Calibri"/>
        <family val="2"/>
      </rPr>
      <t>/F21-DIF1/Ext.7718115</t>
    </r>
    <phoneticPr fontId="14" type="noConversion"/>
  </si>
  <si>
    <t>MICUINT202405035</t>
  </si>
  <si>
    <t>CAP_F_90476_25033D-1_HKE_HT2_H bar</t>
  </si>
  <si>
    <t>MICUINT202408074</t>
  </si>
  <si>
    <t xml:space="preserve">CAP_F_90477_25033C-1_HKE_HT2_H bar </t>
  </si>
  <si>
    <t>MICUINT202405036</t>
  </si>
  <si>
    <t>CAP_F_90478_25033L-1_HKE_HT2_H bar</t>
  </si>
  <si>
    <t>MICUINT202405037</t>
  </si>
  <si>
    <t xml:space="preserve">CAP_F_90480_15041H-1_HKE_HT2_H bar </t>
  </si>
  <si>
    <t xml:space="preserve">CAP_F_90482_15041I-1_HKE_HT2_H bar </t>
  </si>
  <si>
    <t>CAP_F_90481_15056A-2_HKE_SiCON ALD_Dry p</t>
  </si>
  <si>
    <t>MICUINT202408075</t>
  </si>
  <si>
    <t>CAP_F_90484_15056A-2_HKE_SiCON ALD_Dry p</t>
  </si>
  <si>
    <t>MICUINT202406034</t>
  </si>
  <si>
    <t xml:space="preserve">CAP_F_90483_1501CP-2_HKE_SiCON ALD_Dry p </t>
  </si>
  <si>
    <t>MICUINT202404092</t>
  </si>
  <si>
    <t>CAP_F_90479_1501CP-2_HKE_SiCON ALD_Dry p</t>
  </si>
  <si>
    <t>MICUINT202404094</t>
  </si>
  <si>
    <t>CAP_F_90474_1500CQ-2_HKE_TiN ALD_Dry pum</t>
  </si>
  <si>
    <t>MICUINT202404093</t>
  </si>
  <si>
    <t>CAP_F_90471_15000GD-2_HKE_SiCON ALD_Dry</t>
  </si>
  <si>
    <t>MICUINT202404096</t>
  </si>
  <si>
    <t xml:space="preserve">CAP_F_90470_15000GD-2_HKE_SiCON ALD_Dry </t>
  </si>
  <si>
    <t>MICUINT202406035</t>
  </si>
  <si>
    <t>CAP_F_90481_15056A-1_HKE_SiCON ALD_Refil</t>
  </si>
  <si>
    <t>MICUINT202408076</t>
  </si>
  <si>
    <t xml:space="preserve">CAP_F_90479_1501CP-1_HKE_SiCON ALD_Refil </t>
  </si>
  <si>
    <t>MICUINT202409045</t>
  </si>
  <si>
    <t xml:space="preserve">CAP_F_90474_1500CQ-1_HKE_TiN ALD_Refill </t>
  </si>
  <si>
    <t>MICUINT202409046</t>
  </si>
  <si>
    <t xml:space="preserve">CAP_F_90471_15000GD-1_HKE_SiCON ALD_Refi </t>
  </si>
  <si>
    <t>MICUINT202409047</t>
  </si>
  <si>
    <t xml:space="preserve">CAP_F_90470_15000GD-1_HKE_SiCON ALD_Refi </t>
  </si>
  <si>
    <t>MICUINT202406036</t>
  </si>
  <si>
    <t>CAP_F_90595_1500DZ_HSPS_GENI_LSC cover p</t>
  </si>
  <si>
    <t>HSPS</t>
  </si>
  <si>
    <t>MICUINT202408077</t>
  </si>
  <si>
    <t>CAP_F_90596_1500DZ_HSPS_GENI_LSC cover p</t>
  </si>
  <si>
    <t>MICUINT202408078</t>
  </si>
  <si>
    <t>CAP_F_90475_25033D-2_HKE_HT2_TLC/VMB Int</t>
  </si>
  <si>
    <t>MICUINT202405038</t>
  </si>
  <si>
    <t>CAP_F_90463_1500EZ-2_HKE_HT2_TLC/VMB Int</t>
  </si>
  <si>
    <t>MICUINT202408079</t>
  </si>
  <si>
    <t>CAP_F_90468_15041F-2_HKE_HT2_TLC/VMB Int</t>
  </si>
  <si>
    <t>MICUINT202408080</t>
  </si>
  <si>
    <t>CAP_F_90467_1500EZ-2_HKE_HT2_TLC/VMB Int</t>
  </si>
  <si>
    <t>MICUINT202408081</t>
  </si>
  <si>
    <t>CAP_F_90473_1500DT_HKE_PESIN ALD_Dry pum</t>
  </si>
  <si>
    <t>MICUINT202404095</t>
  </si>
  <si>
    <t>CAP_F_90472_1500DT_HKE_PESIN ALD_Dry pum</t>
  </si>
  <si>
    <t>MICUINT202409012</t>
  </si>
  <si>
    <t>CAP_F_90817_1500BJ_TEL_OD SIN_ Interconn</t>
  </si>
  <si>
    <t>MICUINT202404085</t>
  </si>
  <si>
    <t>CAP_F_90802_1500DF_TEL_PE SIN_ Interconn</t>
  </si>
  <si>
    <t>MICUINT202408082</t>
  </si>
  <si>
    <t>Q</t>
    <phoneticPr fontId="30" type="noConversion"/>
  </si>
  <si>
    <t>CAP_F_90803_1500DF_TEL_PE SIN_ Interconn</t>
  </si>
  <si>
    <t>MICUINT202404099</t>
  </si>
  <si>
    <t>CAP_F_90557_15056B_TEL_PE SIN_ Interconn</t>
  </si>
  <si>
    <t>KDANT5</t>
  </si>
  <si>
    <t>MICUINT202404088</t>
  </si>
  <si>
    <t>CAP_F_90558_15056B_TEL_PE SIN_ Interconn</t>
  </si>
  <si>
    <t>KDANT6</t>
  </si>
  <si>
    <t>MICUINT202404089</t>
  </si>
  <si>
    <t>CAP_F_90559_15056B_TEL_PE SIN_ Interconn</t>
  </si>
  <si>
    <t>KDANT7</t>
  </si>
  <si>
    <t>MICUINT202404100</t>
  </si>
  <si>
    <t>CAP_F_90560_15056B_TEL_PE SIN_ Interconn</t>
  </si>
  <si>
    <t>KDANTA</t>
  </si>
  <si>
    <t>MICUINT202404082</t>
  </si>
  <si>
    <t>CAP_F_90555_15038C_TEL_PE SIN_ Interconn</t>
  </si>
  <si>
    <t>MICUINT202404086</t>
  </si>
  <si>
    <t>CAP_F_90556_15038C_TEL_PE SIN_ Interconn</t>
  </si>
  <si>
    <t>MICUINT202404098</t>
  </si>
  <si>
    <t>CAP_F_90569_1505BE_TEL_PE SIN_ Interconn</t>
  </si>
  <si>
    <t>KDANT4</t>
  </si>
  <si>
    <t>MICUINT202404087</t>
  </si>
  <si>
    <t>CAP_F_90570_1500EC_TEL_Poly_ Interconnec</t>
  </si>
  <si>
    <t>MICUINT202406066</t>
  </si>
  <si>
    <t>CAP_F_90813_1500FN_TEL_PolyCFR_ Intercon</t>
  </si>
  <si>
    <t>KDEPT4</t>
  </si>
  <si>
    <t>MICUINT202404083</t>
  </si>
  <si>
    <t>CAP_F_90814_1500FN_TEL_PolyCFR_ Intercon</t>
  </si>
  <si>
    <t>KDEPT5</t>
  </si>
  <si>
    <t>MICUINT202406067</t>
  </si>
  <si>
    <t>CAP_F_90791_1500FO_TEL_PolyCFR_ Intercon</t>
  </si>
  <si>
    <t>KDEPT2</t>
  </si>
  <si>
    <t>MICUINT202408083</t>
  </si>
  <si>
    <t>CAP_F_90792_1500FO_TEL_PolyCFR_ Intercon</t>
  </si>
  <si>
    <t>KDEPT1</t>
  </si>
  <si>
    <t>MICUINT202404091</t>
  </si>
  <si>
    <t>CAP_F_90793_1500FO_TEL_PolyCFR_ Intercon</t>
  </si>
  <si>
    <t>KDEPT3</t>
  </si>
  <si>
    <t>MICUINT202405078</t>
  </si>
  <si>
    <t>CAP_F_90794_1500FO_TEL_PolyCFR_ Intercon</t>
  </si>
  <si>
    <t>KDEPT6</t>
  </si>
  <si>
    <t>CAP_F_90566_1500FR-1_TEL_PolyNFR_ Interc</t>
  </si>
  <si>
    <t>MICUINT202408084</t>
  </si>
  <si>
    <t>CAP_F_90566_1500FR-2_TEL_PolyNFR_ LDS In</t>
  </si>
  <si>
    <t>MICUINT202408085</t>
  </si>
  <si>
    <t>CAP_F_90807_1501CN-1_TEL_PolyCFR_ Interc</t>
  </si>
  <si>
    <t>KDPOT6</t>
  </si>
  <si>
    <t>MICUINT202408086</t>
  </si>
  <si>
    <t>CAP_F_90808_1501CN-1_TEL_PolyCFR_ Interc</t>
  </si>
  <si>
    <t>KDPOT7</t>
  </si>
  <si>
    <t>MICUINT202405039</t>
  </si>
  <si>
    <t>CAP_F_90809_1501CN-1_TEL_PolyCFR_ Interc</t>
  </si>
  <si>
    <t>KDPOT9</t>
  </si>
  <si>
    <t>MICUINT202408087</t>
  </si>
  <si>
    <t>CAP_F_90807_1501CN-2_TEL_PolyNFR_LDS Int</t>
  </si>
  <si>
    <t>MICUINT202408088</t>
  </si>
  <si>
    <t>CAP_F_90815_1507BA_TEL_PolyNFR_ Intercon</t>
  </si>
  <si>
    <t>MICUINT202404084</t>
  </si>
  <si>
    <t>CAP_F_90816_1507BA_TEL_PolyNFR_ Intercon</t>
  </si>
  <si>
    <t>MICUINT202405040</t>
  </si>
  <si>
    <t>CAP_F_90567_1507BD_TEL_PolyNFR_ Intercon</t>
  </si>
  <si>
    <t>MICUINT202408089</t>
  </si>
  <si>
    <t>CAP_F_90568_1507BD_TEL_PolyNFR_ Intercon</t>
  </si>
  <si>
    <t>MICUINT202404090</t>
  </si>
  <si>
    <t>lack data</t>
    <phoneticPr fontId="30" type="noConversion"/>
  </si>
  <si>
    <t>CAP_A_90833_150106_AMAT_Vulcan Interonne</t>
  </si>
  <si>
    <t>沈富群</t>
  </si>
  <si>
    <t>KDMRA2</t>
  </si>
  <si>
    <t>CAP_A_90048_180013_ASM_Pulsar O3 system</t>
  </si>
  <si>
    <t>Justin/Tyler</t>
  </si>
  <si>
    <t>MICUINT202404136</t>
  </si>
  <si>
    <t>CAP_A_90049_180013_ASM_Pulsar O3 system</t>
  </si>
  <si>
    <t xml:space="preserve">CAP_A_90242_18031I_MATTSON_interconnecti </t>
  </si>
  <si>
    <t>MATTSON</t>
  </si>
  <si>
    <t>MICUINT202408090</t>
  </si>
  <si>
    <t xml:space="preserve">CAP_A_90240_18031I_MATTSON_interconnecti </t>
  </si>
  <si>
    <t>KDRIM3</t>
  </si>
  <si>
    <t>CAP_A_90241_18031I_MATTSON_interconnecti</t>
  </si>
  <si>
    <t>MICUINT202408091</t>
  </si>
  <si>
    <t>CAP_A_90787_150106_AMAT_Vulcan Interonne</t>
  </si>
  <si>
    <t>KDMRA3</t>
  </si>
  <si>
    <t>MICUINT202403014</t>
  </si>
  <si>
    <t xml:space="preserve">CAP_A_90232_1500DX_AMAT_Rad Interonnecti </t>
  </si>
  <si>
    <t>MICUINT202402028</t>
  </si>
  <si>
    <t xml:space="preserve">CAP_A_90233_1500DX_AMAT_Rad Interonnecti </t>
  </si>
  <si>
    <t>KDIGA8</t>
  </si>
  <si>
    <t xml:space="preserve">CAP_A_90234_1500DX_AMAT_Rad Interonnecti </t>
  </si>
  <si>
    <t>MICUINT202403016</t>
  </si>
  <si>
    <t>CAP_A_90235_1500DX_AMAT_Rad Interonnecti</t>
  </si>
  <si>
    <r>
      <rPr>
        <sz val="11"/>
        <color rgb="FF000000"/>
        <rFont val="新細明體"/>
        <family val="2"/>
      </rPr>
      <t>沈富群</t>
    </r>
  </si>
  <si>
    <t>CAP_A_90231_1500DX_AMAT_Rad Interonnecti</t>
  </si>
  <si>
    <t>CAP_A_90497_1500DX_AMAT_Rad Interonnecti</t>
  </si>
  <si>
    <t>CAP_A_90776_1500BN_AMAT_DPX Interonnecti</t>
  </si>
  <si>
    <t>MICUINT202403015</t>
  </si>
  <si>
    <t>CAP_A_90777_1500BN_AMAT_DPX Interonnecti</t>
  </si>
  <si>
    <t>KDPNA2</t>
  </si>
  <si>
    <t>CAP_F_90059_1X0003_AMAT_EPI_Interconnection</t>
  </si>
  <si>
    <t>USCCT2301011</t>
  </si>
  <si>
    <t>USC23C006</t>
  </si>
  <si>
    <t>F21P1 Module Tool Interconnection EPI</t>
  </si>
  <si>
    <t>MICUINT202409058</t>
  </si>
  <si>
    <t>CAP_F_90058_1X0003_AMAT_EPI_Interconnection</t>
  </si>
  <si>
    <t>MICUINT202409059</t>
  </si>
  <si>
    <t>CAP_F_90061_1X0001_AMAT_EPI_Interconnection</t>
  </si>
  <si>
    <t>MICUINT202409060</t>
  </si>
  <si>
    <t>CAP_F_90060_1X0001_AMAT_EPI_Interconnection</t>
  </si>
  <si>
    <t>MICUINT202409061</t>
  </si>
  <si>
    <t>CAP_F_90057_1X0001_AMAT_EPI_Interconnection</t>
  </si>
  <si>
    <t>KCENA3</t>
  </si>
  <si>
    <t>MICUINT202409062</t>
  </si>
  <si>
    <t>CAP_F_90134_1400HK_TEL_F1000_Interconnection</t>
  </si>
  <si>
    <t>王林偉</t>
  </si>
  <si>
    <t>KESTT1</t>
  </si>
  <si>
    <t>MICUINT202408054</t>
  </si>
  <si>
    <t>CAP_F_90135_1400HK_TEL_F1000_Interconnection</t>
  </si>
  <si>
    <r>
      <rPr>
        <sz val="11"/>
        <color rgb="FF000000"/>
        <rFont val="新細明體"/>
        <family val="2"/>
      </rPr>
      <t>王林偉</t>
    </r>
  </si>
  <si>
    <t>KESTT2</t>
  </si>
  <si>
    <t>MICUINT202409030</t>
  </si>
  <si>
    <t>CAP_F_90131_1400GQ_TEL_FrepCC_Interconnection</t>
  </si>
  <si>
    <t>KEPOT1</t>
  </si>
  <si>
    <t>MICUINT202409048</t>
  </si>
  <si>
    <t>CAP_F_90133_1400GQ_TEL_FrepCC_Interconnection</t>
  </si>
  <si>
    <t>KEPOT2</t>
  </si>
  <si>
    <t>MICUINT202409031</t>
  </si>
  <si>
    <t>CAP_F_90489_1400KB_TEL_aCOR_Interconnection</t>
  </si>
  <si>
    <t>KESRT2</t>
  </si>
  <si>
    <t>MICUINT202408043</t>
  </si>
  <si>
    <t>CAP_F_90082_1401CL_TEL_COR_Interconnection</t>
  </si>
  <si>
    <t>KESRT5</t>
  </si>
  <si>
    <t>MICUINT202408121</t>
  </si>
  <si>
    <t>CAP_F_90083_1401CL_TEL_COR_Interconnection</t>
  </si>
  <si>
    <t>KESRT6</t>
  </si>
  <si>
    <t>CAP_F_90084_1401CL_TEL_COR_Interconnection</t>
  </si>
  <si>
    <t>MICUINT202408044</t>
  </si>
  <si>
    <t>CAP_F_90299_1401CL_TEL_COR_Interconnection</t>
  </si>
  <si>
    <t>KESRT1</t>
  </si>
  <si>
    <t>MICUINT202408092</t>
  </si>
  <si>
    <t>CAP_F_90298_1404ED_TEL_COR-2_Interconnection</t>
  </si>
  <si>
    <t>KEMGT1</t>
  </si>
  <si>
    <t>MICUINT202407025</t>
  </si>
  <si>
    <t>CAP_F_90155_1401CD_AMAT_Sym3_Interconnection</t>
  </si>
  <si>
    <t>CAP_F_90394_1400IE_AMAT_Frontier_Interconnection</t>
  </si>
  <si>
    <t>CAP_F_90608_1401CI_AMAT_aEF_Interconnection</t>
  </si>
  <si>
    <t>CAP_F_90607_1401CI_AMAT_aEF_Interconnection</t>
  </si>
  <si>
    <t>KEPOA3</t>
  </si>
  <si>
    <t>CAP_F_90626_1401KP_LAM_CX_Interconnectio</t>
  </si>
  <si>
    <t>Kurt/Steve Ferns</t>
  </si>
  <si>
    <t>蔡丞偉</t>
  </si>
  <si>
    <t>MICUINT202408049</t>
  </si>
  <si>
    <t>CAP_F_90625_1401KP_LAM_CX_Interconnectio</t>
  </si>
  <si>
    <t>MICUINT202408061</t>
  </si>
  <si>
    <t>CAP_F_90643_1401KP_LAM_CX_Interconnectio</t>
  </si>
  <si>
    <t>MICUINT202408035</t>
  </si>
  <si>
    <t>CAP_F_90635_1400MK_LAM_FX_Interconnectio</t>
  </si>
  <si>
    <t>MICUINT202408041</t>
  </si>
  <si>
    <t>CAP_F_90636_1400MK_LAM_FX_Interconnectio</t>
  </si>
  <si>
    <t>邱瀚仁</t>
  </si>
  <si>
    <t>MICUINT202408040</t>
  </si>
  <si>
    <t>CAP_F_90770_13083A_LAM_Coronus_Interconn</t>
  </si>
  <si>
    <t>MICUINT202408006</t>
  </si>
  <si>
    <t>CAP_F_90771_13083A_LAM_Coronus_Interconn</t>
  </si>
  <si>
    <t>CAP_F_90622_1403BW_LAM_EXP-2_Interconnec</t>
  </si>
  <si>
    <t>MICUINT202408033</t>
  </si>
  <si>
    <t>CAP_F_90618_1403BW_LAM_EXP-2_Interconnec</t>
  </si>
  <si>
    <t>MICUINT202408062</t>
  </si>
  <si>
    <t>CAP_F_90617_1403BW_LAM_EXP-2_Interconnec</t>
  </si>
  <si>
    <t>MICUINT202408032</t>
  </si>
  <si>
    <t>CAP_F_90616_1403BW_LAM_EXP-2_Interconnec</t>
  </si>
  <si>
    <t>CAP_F_90624_1401HF_LAM_EXP-1_Interconnec</t>
  </si>
  <si>
    <t>MICUINT202408048</t>
  </si>
  <si>
    <t>CAP_F_90623_1401HF_LAM_EXP-1_Interconnec</t>
  </si>
  <si>
    <t>MICUINT202408053</t>
  </si>
  <si>
    <t>attach material error</t>
  </si>
  <si>
    <t>CAP_F_90615_1401HF_LAM_EXP-1_Interconnec</t>
  </si>
  <si>
    <t>MICUINT202408027</t>
  </si>
  <si>
    <t>CAP_F_90619_1401HF_LAM_EXP-1_Interconnec</t>
  </si>
  <si>
    <t>MICUINT202408063</t>
  </si>
  <si>
    <t>CAP_F_90620_1401HF_LAM_EXP-1_Interconnec</t>
  </si>
  <si>
    <t>MICUINT202408029</t>
  </si>
  <si>
    <t xml:space="preserve">CAP_F_90758_1401HF_LAM_EXP-1_Interconnec </t>
  </si>
  <si>
    <t>MICUINT202408051</t>
  </si>
  <si>
    <t>CAP_F_90621_1401HF_LAM_EXP-1_Interconnec</t>
  </si>
  <si>
    <t>MICUINT202408045</t>
  </si>
  <si>
    <t>CAP_F_90632_1401HF_LAM_EXP-1_Interconnec</t>
  </si>
  <si>
    <t>MICUINT202408046</t>
  </si>
  <si>
    <t>CAP_F_90633_1401HF_LAM_EXP-1_Interconnec</t>
  </si>
  <si>
    <t>MICUINT202408031</t>
  </si>
  <si>
    <t>CAP_F_90573_1400HV_Lam_FLEX-FL_Interconn</t>
  </si>
  <si>
    <t>陳鈺庭/F21-ETC2/Ext.7712412</t>
  </si>
  <si>
    <t>Lam</t>
  </si>
  <si>
    <t>MICUINT202406037</t>
  </si>
  <si>
    <t>CAP_F_90631_1400KE_Lam_FLEX-FL_Interconn</t>
  </si>
  <si>
    <t>陳鈺庭</t>
  </si>
  <si>
    <t>MICUINT202405041</t>
  </si>
  <si>
    <t>CAP_F_90630_1400KD_Lam_FLEX-FL_Interconn</t>
  </si>
  <si>
    <t>MICUINT202406038</t>
  </si>
  <si>
    <t>CAP_F_90637_1400GC_Lam_Metal NXP_Interco</t>
  </si>
  <si>
    <t>MICUINT202406039</t>
  </si>
  <si>
    <t>CAP_F_90574_1400JH_Lam_Kiyo FX_Interconn</t>
  </si>
  <si>
    <t>MICUINT202408122</t>
  </si>
  <si>
    <t>CAP_F_90575_1400JH_Lam_Kiyo FX_Interconn</t>
  </si>
  <si>
    <t>MICUINT202408064</t>
  </si>
  <si>
    <t>CAP_F_90634_1400JF_Lam_Kiyo FX_Interconn</t>
  </si>
  <si>
    <t>MICUINT202408025</t>
  </si>
  <si>
    <t>CAP_F_90627_1401CJ_Lam_Argos_Interconnec</t>
  </si>
  <si>
    <t>MICUINT202408038</t>
  </si>
  <si>
    <t>CAP_F_90629_1401ET_Lam_Argos_Interconnec</t>
  </si>
  <si>
    <t>MICUINT202408065</t>
  </si>
  <si>
    <t>CAP_F_90628_1401ET_Lam_Argos_Interconnec</t>
  </si>
  <si>
    <t>USCCT2404013</t>
  </si>
  <si>
    <t>CAP_F_90638_14101I_Lam_Gamma_Interconnec</t>
  </si>
  <si>
    <t>MICUINT202406040</t>
  </si>
  <si>
    <t>CAP_F_90639_14101L_Lam_Gamma_Interconnec</t>
  </si>
  <si>
    <t>MICUINT202406041</t>
  </si>
  <si>
    <t>CAP_F_90640_14101L_Lam_Gamma_Interconnec</t>
  </si>
  <si>
    <t>CAP_F_90642_14097A_Lam_Gamma_Interconnec</t>
  </si>
  <si>
    <t>MICUINT202406042</t>
  </si>
  <si>
    <t>CAP_F_90644_14101P_Lam_Gamma_Interconnec</t>
  </si>
  <si>
    <t>MICUINT202408037</t>
  </si>
  <si>
    <t>CAP_F_90641_1401GV_Lam_Gamma_Interconnec</t>
  </si>
  <si>
    <t>MICUINT202406043</t>
  </si>
  <si>
    <t>CAP_F_90396_1400IK_AMAT_ProducerGT_Inter</t>
  </si>
  <si>
    <r>
      <rPr>
        <sz val="11"/>
        <color rgb="FF000000"/>
        <rFont val="新細明體"/>
        <family val="2"/>
      </rPr>
      <t>陳鈺庭</t>
    </r>
  </si>
  <si>
    <t>CAP_F_90437_1401FR_AMAT_Producer_Interco</t>
  </si>
  <si>
    <t>KESDA4</t>
  </si>
  <si>
    <t>CAP_F_90395_1405EB_AMAT_Producer_Interco</t>
  </si>
  <si>
    <t>CAP_F_90039_14054P_AMEC_AD-RIE_Interconn</t>
  </si>
  <si>
    <t>KESDM1</t>
  </si>
  <si>
    <t>AMEC</t>
  </si>
  <si>
    <t>MICUINT202407026</t>
  </si>
  <si>
    <t>CAP_F_90040_1401ES_AMEC_AD-RIE_Interconn</t>
  </si>
  <si>
    <t>KESDM3</t>
  </si>
  <si>
    <t>MICUINT202407029</t>
  </si>
  <si>
    <t>CAP_F_90041_1401CK_AMEC_AD-RIE_Interconn</t>
  </si>
  <si>
    <t>KESDM2</t>
  </si>
  <si>
    <t>MICUINT202407028</t>
  </si>
  <si>
    <t>CAP_F_90486_1400BL_Hitachi_9011_Intercon</t>
  </si>
  <si>
    <t>MICUINT202408066</t>
  </si>
  <si>
    <t>CAP_F_90485_1400BL_Hitachi_9011_Intercon</t>
  </si>
  <si>
    <t>MICUINT202405054</t>
  </si>
  <si>
    <t>check list of attachment two file doesnt have TSMC sponsor sign off,please ask TSMC sponsor sign off those document.</t>
  </si>
  <si>
    <t>CAP_F_90778_1400DF_Hitachi_9012_Intercon</t>
  </si>
  <si>
    <t>MICUINT202405042</t>
  </si>
  <si>
    <t>CAP_F_90488_1400DA_Hitachi_9012_Intercon</t>
  </si>
  <si>
    <t>MICUINT202405043</t>
  </si>
  <si>
    <t>CAP_F_90268_1401BH_Mattson_Suprema_Inter</t>
  </si>
  <si>
    <t>MICUINT202406044</t>
  </si>
  <si>
    <t>CAP_F_90269_1401BH_Mattson_Suprema_Inter</t>
  </si>
  <si>
    <t>MICUINT202407027</t>
  </si>
  <si>
    <t>CAP_F_90270_1401BH_Mattson_Suprema_Inter</t>
  </si>
  <si>
    <t>MICUINT202406045</t>
  </si>
  <si>
    <t>CAP_F_90035_1401HG_Mattson_ICP_Interconn</t>
  </si>
  <si>
    <t>KEPRM3</t>
  </si>
  <si>
    <t>MICUINT202406046</t>
  </si>
  <si>
    <t>CAP_F_90034_14102Q_Mattson_ICP_Interconn</t>
  </si>
  <si>
    <t>KEPRM5</t>
  </si>
  <si>
    <t>MICUINT202406047</t>
  </si>
  <si>
    <t>CAP_F_90037_14102S_Mattson_ICP_Interconn</t>
  </si>
  <si>
    <t>KEPRM2</t>
  </si>
  <si>
    <t>MICUINT202406048</t>
  </si>
  <si>
    <t>CAP_F_90036_14102S_Mattson_ICP_Interconn</t>
  </si>
  <si>
    <t>KEPRM4</t>
  </si>
  <si>
    <t>MICUINT202407030</t>
  </si>
  <si>
    <t>CAP_F_90038_14104D_Mattson_Highlands_Int</t>
  </si>
  <si>
    <t>KEPRM1</t>
  </si>
  <si>
    <t>MICUINT202406049</t>
  </si>
  <si>
    <t>CAP_F_90848_1404DG_TEL_Vigus_iX_Intercon</t>
  </si>
  <si>
    <t>KECOT5</t>
  </si>
  <si>
    <t>MICUINT202408123</t>
  </si>
  <si>
    <t>CAP_F_90849_1404DG_TEL_Vigus_iX_Intercon</t>
  </si>
  <si>
    <t>KECOT1</t>
  </si>
  <si>
    <t>MICUINT202408124</t>
  </si>
  <si>
    <t>CAP_F_90132_14055P_TEL_Vigus_V1_Intercon</t>
  </si>
  <si>
    <t>MICUINT202406050</t>
  </si>
  <si>
    <t>CAP_F_90130_1400GM_TEL_Vigus_iX_Intercon</t>
  </si>
  <si>
    <t>MICUINT202408008</t>
  </si>
  <si>
    <t>CAP_F_90677_1400MH_TEL_Vigus D1000_Inter</t>
  </si>
  <si>
    <t>楊博智 &lt;BCYANGB@TSMC.COM&gt;</t>
  </si>
  <si>
    <t>KETRT7</t>
  </si>
  <si>
    <t>MICUINT202405044</t>
  </si>
  <si>
    <t>CAP_F_90678_1400MH_TEL_Vigus D1000_Inter</t>
  </si>
  <si>
    <t>KETRT4</t>
  </si>
  <si>
    <t>MICUINT202406051</t>
  </si>
  <si>
    <t>CAP_F_90679_1400MH_TEL_Vigus D1000_Inter</t>
  </si>
  <si>
    <t>KETRT1</t>
  </si>
  <si>
    <t>MICUINT202406052</t>
  </si>
  <si>
    <t>CAP_F_90680_1400MH_TEL_Vigus D1000_Inter</t>
  </si>
  <si>
    <t>KETRT3</t>
  </si>
  <si>
    <t>CAP_F_90671_1401KN_TEL_Vigus iX_Intercon</t>
  </si>
  <si>
    <t>KETRT8</t>
  </si>
  <si>
    <t>MICUINT202406053</t>
  </si>
  <si>
    <t>CAP_F_90672_1401KN_TEL_Vigus iX_Intercon</t>
  </si>
  <si>
    <t>KETRTB</t>
  </si>
  <si>
    <t>MICUINT202406054</t>
  </si>
  <si>
    <t>CAP_F_90673_1401KN_TEL_Vigus iX_Intercon</t>
  </si>
  <si>
    <t>KETRT9</t>
  </si>
  <si>
    <t>MICUINT202406055</t>
  </si>
  <si>
    <t>CAP_F_90674_1401KN_TEL_Vigus iX_Intercon</t>
  </si>
  <si>
    <t>KETRTA</t>
  </si>
  <si>
    <t>MICUINT202406056</t>
  </si>
  <si>
    <t>CAP_F_90675_1401KN_TEL_Vigus iX_Intercon</t>
  </si>
  <si>
    <t>KETRTD</t>
  </si>
  <si>
    <t>MICUINT202406057</t>
  </si>
  <si>
    <t>CAP_F_90676_1401KN_TEL_Vigus iX_Intercon</t>
  </si>
  <si>
    <t>KETRT2</t>
  </si>
  <si>
    <t>MICUINT202406058</t>
  </si>
  <si>
    <t>CAP_F_90520_1415BH_TEL_Vigus NX_Intercon</t>
  </si>
  <si>
    <t>KETRTC</t>
  </si>
  <si>
    <t>MICUINT202406059</t>
  </si>
  <si>
    <t>CAP_F_90521_1415BH_TEL_Vigus NX_Intercon</t>
  </si>
  <si>
    <t>KETRT5</t>
  </si>
  <si>
    <t>MICUINT202406060</t>
  </si>
  <si>
    <t>CAP_F_90522_1405EE_TEL_Vigus V1_Intercon</t>
  </si>
  <si>
    <t>KETRT6</t>
  </si>
  <si>
    <t>MICUINT202406061</t>
  </si>
  <si>
    <t>CAP_F_90582_1400GG_LAM_NXP_Interconnecti</t>
  </si>
  <si>
    <t>MICUINT202408010</t>
  </si>
  <si>
    <t xml:space="preserve">CAP_F_90583_1400GG_LAM_NXP_Interconnecti </t>
  </si>
  <si>
    <t>MICUINT202408018</t>
  </si>
  <si>
    <t xml:space="preserve">CAP_F_90584_1400GG_LAM_NXP_Interconnecti </t>
  </si>
  <si>
    <t>MICUINT202408022</t>
  </si>
  <si>
    <t>CAP_F_90585_1400GG_LAM_NXP_Interconnecti</t>
  </si>
  <si>
    <t>MICUINT202408020</t>
  </si>
  <si>
    <t>CAP_F_90579_1400DE_LAM_Metal M_Interconn</t>
  </si>
  <si>
    <t>MICUINT202408012</t>
  </si>
  <si>
    <t>CAP_F_90580_1400DE_LAM_Metal M_Interconn</t>
  </si>
  <si>
    <t>MICUINT202408014</t>
  </si>
  <si>
    <t>CAP_F_90581_1400DE_LAM_Metal M_Interconn</t>
  </si>
  <si>
    <t>MICUINT202408017</t>
  </si>
  <si>
    <t>CAP_F_90586_1400DE_LAM_Metal M_Interconn</t>
  </si>
  <si>
    <t>MICUINT202408015</t>
  </si>
  <si>
    <t>CAP_F_90576_1414BL_LAM_FLEX45_Interconne</t>
  </si>
  <si>
    <t>MICUINT202404123</t>
  </si>
  <si>
    <t>CAP_F_90578_14052S_LAM_A2VM3_Interconnec</t>
  </si>
  <si>
    <t>MICUINT202404124</t>
  </si>
  <si>
    <t>CAP_F_90577_13083B_LAM_Coronus HP_Interc</t>
  </si>
  <si>
    <t>MICUINT202408005</t>
  </si>
  <si>
    <t>CAP_F_90393_1400IG_AMAT_SYM3_Interconnec</t>
  </si>
  <si>
    <t>CAP_F_90609_1400IG_AMAT_SYM3_Interconnec</t>
  </si>
  <si>
    <t>CAP_F_90610_1400IG_AMAT_SYM3_Interconnec</t>
  </si>
  <si>
    <t>CAP_F_90389_14059D_AMAT_MESA_Interconnec</t>
  </si>
  <si>
    <t>CAP_F_90388_14059D_AMAT_MESA_Interconnec</t>
  </si>
  <si>
    <t>KEMEA2</t>
  </si>
  <si>
    <t>CAP_F_90438_14059D_AMAT_MESA_Interconnec</t>
  </si>
  <si>
    <t>CAP_F_90392_1408BC_AMAT_PRODUCER GT_Inte</t>
  </si>
  <si>
    <r>
      <rPr>
        <sz val="11"/>
        <color rgb="FF000000"/>
        <rFont val="新細明體"/>
        <family val="2"/>
      </rPr>
      <t>楊博智</t>
    </r>
    <r>
      <rPr>
        <sz val="11"/>
        <color rgb="FF000000"/>
        <rFont val="Calibri"/>
        <family val="2"/>
      </rPr>
      <t xml:space="preserve"> &lt;BCYANGB@TSMC.COM&gt;</t>
    </r>
  </si>
  <si>
    <t>CAP_F_90385_14071F_AMAT_PRODUCER EXT_Int</t>
  </si>
  <si>
    <t>CAP_F_90439_14071F_AMAT_PRODUCER EXT_Int</t>
  </si>
  <si>
    <t>KEEBA1</t>
  </si>
  <si>
    <t>CAP_A_90875_120013_ASML_NXE3600D_GFU_MFM</t>
  </si>
  <si>
    <t>潘信華 hhpan@tsmc.com</t>
  </si>
  <si>
    <t>MICUINT202405045</t>
  </si>
  <si>
    <t>CAP_A_90876_120013_ASML_NXE3600D_GFU_MFM</t>
  </si>
  <si>
    <t>MICUINT202404147</t>
  </si>
  <si>
    <t>CAP_A_90877_120013_ASML_NXE3600D_GFU_MFM</t>
  </si>
  <si>
    <t>MICUINT202408059</t>
  </si>
  <si>
    <t>CAP_A_73845_120013_ASML_NXE3600D_GFU_MFM</t>
  </si>
  <si>
    <t>MICUINT202402004</t>
  </si>
  <si>
    <t>CAP_A_73848_120013_ASML_NXE3600D_GFU_MFM</t>
  </si>
  <si>
    <t>MICUINT202404081</t>
  </si>
  <si>
    <t>CAP_F_90832_1200DQ_DNS_DUO 6C_ Interconn</t>
  </si>
  <si>
    <t>林國聖 KSLINB &lt;KSLINB@TSMC.COM&gt;</t>
  </si>
  <si>
    <t>KPOCS3</t>
  </si>
  <si>
    <t>DNS</t>
  </si>
  <si>
    <t>MICUINT202407004</t>
  </si>
  <si>
    <t>CAP_F_90435_14111D_TEL_LITHIUS Pro6C_Int</t>
  </si>
  <si>
    <t>KPOCT2</t>
  </si>
  <si>
    <t>MICUINT202407005</t>
  </si>
  <si>
    <t>CAP_F_90426_1203BB-T_TEL_LITHIUS ProV_In</t>
  </si>
  <si>
    <t>MICUINT202402014</t>
  </si>
  <si>
    <t>CAP_F_90830_1200DP_DNS_DUO 3CN 18C_ Inte</t>
  </si>
  <si>
    <t>MICUINT202401001</t>
  </si>
  <si>
    <t>CAP_F_90831_1200DP_DNS_DUO 3CN 18C_ Inte</t>
  </si>
  <si>
    <t>KPOCS2</t>
  </si>
  <si>
    <t>MICUINT202404097</t>
  </si>
  <si>
    <t>"CAP_F_90436_1Y011G_TEL_ACT(2C,2D) _Inte</t>
  </si>
  <si>
    <t>KPPTT1</t>
  </si>
  <si>
    <t>MICUINT202405055</t>
  </si>
  <si>
    <t>CAP_F_90207_1800KT_AMAT_BSTM_DI max Inte</t>
  </si>
  <si>
    <r>
      <t xml:space="preserve">J.J. Lu </t>
    </r>
    <r>
      <rPr>
        <sz val="11"/>
        <color rgb="FF000000"/>
        <rFont val="新細明體"/>
        <family val="2"/>
      </rPr>
      <t>盧俊傑</t>
    </r>
    <r>
      <rPr>
        <sz val="11"/>
        <color rgb="FF000000"/>
        <rFont val="Calibri"/>
        <family val="2"/>
      </rPr>
      <t>JJLUA@TSMC.COM</t>
    </r>
  </si>
  <si>
    <t>CAP_F_90238_1800KT_AMAT_BSTM_DI max Inte</t>
  </si>
  <si>
    <t>J.J. Lu 盧俊傑JJLUA@TSMC.COM</t>
  </si>
  <si>
    <t>KSSBAJ</t>
  </si>
  <si>
    <t>CAP_F_90496_18101B_AMAT_ALO_DI max Inter</t>
  </si>
  <si>
    <t>CAP_F_90334_1800EB_AMAT_CoFill_DI max In</t>
  </si>
  <si>
    <t>CAP_F_90495_1807CI_AMAT_CapLT_DI max Int</t>
  </si>
  <si>
    <t>CAP_F_90210_1800FS_AMAT_BSP28_DI max Int</t>
  </si>
  <si>
    <t>CAP_F_90209_1800FS_AMAT_BSP28_DI max Int</t>
  </si>
  <si>
    <t>KSSBA7</t>
  </si>
  <si>
    <t>CAP_F_90208_1800FS_AMAT_BSP28_DI max Int</t>
  </si>
  <si>
    <t>KSSBA8</t>
  </si>
  <si>
    <t>CAP_F_90237_18075I_AMAT_BSP126_DI max In</t>
  </si>
  <si>
    <t>CAP_F_90492_1807BI_AMAT_BSP76_DI max Int</t>
  </si>
  <si>
    <t>CAP_F_90491_1807BI_AMAT_BSP76_DI max Int</t>
  </si>
  <si>
    <t>KSSBA6</t>
  </si>
  <si>
    <t>CAP_F_90572_1800JA_AMAT_Cu flash_DI max</t>
  </si>
  <si>
    <t>CAP_F_90236_1801BP_AMAT_Gauss_DI max Int</t>
  </si>
  <si>
    <t>KSHMA3</t>
  </si>
  <si>
    <t>CAP_F_90112_1800FD_AMAT_HIR_DI max Inter</t>
  </si>
  <si>
    <t>KSHRA1</t>
  </si>
  <si>
    <t>CAP_F_90839_1800KS_AMAT_ALPAD_DI max Int</t>
  </si>
  <si>
    <t>KSAPA1</t>
  </si>
  <si>
    <t>CAP_F_90529_1801BE_AMAT_VERSA_DI max Int</t>
  </si>
  <si>
    <t>CAP_F_90528_1801BE_AMAT_VERSA_DI max Int</t>
  </si>
  <si>
    <t>KSHMA5</t>
  </si>
  <si>
    <t>CAP_F_90494_18075E_AMAT_BSP40_DI max Int</t>
  </si>
  <si>
    <t>CAP_F_90493_18075E_AMAT_BSP40_DI max Int</t>
  </si>
  <si>
    <t>KSSBAH</t>
  </si>
  <si>
    <t>CAP_F_90212_18076F_AMAT_CapHT_DI max Int</t>
  </si>
  <si>
    <t>CAP_F_90211_18076F_AMAT_CapHT_DI max Int</t>
  </si>
  <si>
    <t>KSCCA2</t>
  </si>
  <si>
    <t>CAP_F_90466_15011L_HKE_DG4150_QSV Interc</t>
  </si>
  <si>
    <r>
      <rPr>
        <strike/>
        <sz val="11"/>
        <color rgb="FF000000"/>
        <rFont val="新細明體"/>
        <family val="2"/>
      </rPr>
      <t>葉建輝</t>
    </r>
    <r>
      <rPr>
        <strike/>
        <sz val="11"/>
        <color rgb="FF000000"/>
        <rFont val="Calibri"/>
        <family val="2"/>
      </rPr>
      <t>/F21-PVD2/Ext.7718724</t>
    </r>
  </si>
  <si>
    <t>PVD2</t>
  </si>
  <si>
    <t>MICUINT202403001</t>
  </si>
  <si>
    <t>this machine's QSV valve is not constructed by MIC</t>
  </si>
  <si>
    <t>CAP_F_90465_15012A_HKE_DG4150_QSV Interc</t>
  </si>
  <si>
    <t>MICUINT202403002</t>
  </si>
  <si>
    <t>CAP_F_90464_15012A_HKE_DG4150_QSV Interc</t>
  </si>
  <si>
    <t>MICUINT202403003</t>
  </si>
  <si>
    <t>CAP_F_90645_15013A_HKE_DG4150_QSV Interc</t>
  </si>
  <si>
    <t>MICUINT202403004</t>
  </si>
  <si>
    <t>CAP_F_90646_15013A_HKE_DG4150_QSV Interc</t>
  </si>
  <si>
    <t>MICUINT202408093</t>
  </si>
  <si>
    <t>the installation of QSV valve was completed by our hookup team,not by the contracted MICU.</t>
  </si>
  <si>
    <t>CAP_F_90647_15013A_HKE_DG4150_QSV Interc</t>
  </si>
  <si>
    <t>MICUINT202408094</t>
  </si>
  <si>
    <t>CAP_F_90648_15013A_HKE_DG4150_QSV Interc</t>
  </si>
  <si>
    <t>MICUINT202408095</t>
  </si>
  <si>
    <t>CAP_F_90649_15013A_HKE_DG4150_QSV Interc</t>
  </si>
  <si>
    <t>MICUINT202408096</t>
  </si>
  <si>
    <t>CAP_F_90116_1800JD_AMAT_Tersa_DI max Int</t>
  </si>
  <si>
    <t>CAP_F_90114_1800IG_AMAT_PreW_DI max Inte</t>
  </si>
  <si>
    <t>CAP_F_90115_1800IG_AMAT_PreW_DI max Inte</t>
  </si>
  <si>
    <t>KSSWA3</t>
  </si>
  <si>
    <t>CAP_F_90213_1800MN_AMAT_TiN_DI max Inter</t>
  </si>
  <si>
    <t>CAP_F_90782_1800CI_TEL_Ti/TIN_Interconne</t>
  </si>
  <si>
    <t>KSCTT1</t>
  </si>
  <si>
    <t>CAP_F_90783_1800CI_TEL_Ti/TIN_Interconne</t>
  </si>
  <si>
    <t>KSCTT2</t>
  </si>
  <si>
    <t>CAP_F_90336_1800IN_AMAT_Wfill_DI max Int</t>
  </si>
  <si>
    <t>CAP_F_90335_1800IN_AMAT_Wfill_DI max Int</t>
  </si>
  <si>
    <t>KSSWA4</t>
  </si>
  <si>
    <t xml:space="preserve">CAP_F_90337_1800EO_AMAT_V0 Glue_DI max I </t>
  </si>
  <si>
    <r>
      <rPr>
        <sz val="11"/>
        <color rgb="FF000000"/>
        <rFont val="新細明體"/>
        <family val="2"/>
      </rPr>
      <t>葉建輝</t>
    </r>
    <r>
      <rPr>
        <sz val="11"/>
        <color rgb="FF000000"/>
        <rFont val="Calibri"/>
        <family val="2"/>
      </rPr>
      <t xml:space="preserve"> JHYE &lt;JHYE@TSMC.COM&gt;</t>
    </r>
  </si>
  <si>
    <t xml:space="preserve">CAP_F_90111_1500EY_ASM__Hot N2 Interconn </t>
  </si>
  <si>
    <t>MICUINT202409049</t>
  </si>
  <si>
    <t>CAP_F_90085_1800GP_AMAT_TSP_Hot N2 Inter</t>
  </si>
  <si>
    <t>KSMGA2</t>
  </si>
  <si>
    <t>TPT T0 ETC 1 Chiller e-Sensor cabling</t>
  </si>
  <si>
    <t xml:space="preserve">Kurt </t>
  </si>
  <si>
    <t>USCCT2307021</t>
  </si>
  <si>
    <t>ETC</t>
  </si>
  <si>
    <t>MISC_(522/T0)_Chiller e-Sensor cabling</t>
  </si>
  <si>
    <t>USCCT2307022</t>
  </si>
  <si>
    <t>CAP_F_ 91014 1B040E-1_Ebara_Reclaim_DIO3</t>
  </si>
  <si>
    <t>Edward/Kurt</t>
  </si>
  <si>
    <t>KMRPE5</t>
  </si>
  <si>
    <t xml:space="preserve">CAP_F_ 91036 1B00CG_Ebara_300X_Chiller I </t>
  </si>
  <si>
    <t>KUCPEH-C</t>
  </si>
  <si>
    <t>CAP_F_ 91042 1B00CG_Ebara_300X_Chiller I</t>
  </si>
  <si>
    <t>KUCPEK-C</t>
  </si>
  <si>
    <t>CAP_F_ 91043 1B00CG_Ebara_300X_Chiller I</t>
  </si>
  <si>
    <t>KUCPEE-C</t>
  </si>
  <si>
    <t xml:space="preserve">CAP_F_ 91044 1B00CG_Ebara_300X_Chiller I </t>
  </si>
  <si>
    <t>KUCPED-C</t>
  </si>
  <si>
    <t>CAP_F_ 91045 1B00CG_Ebara_300X_Chiller I</t>
  </si>
  <si>
    <t>KUCPEC-C</t>
  </si>
  <si>
    <t>CAP_F_ 91105 1B00CG_Ebara_300X_Chiller I</t>
  </si>
  <si>
    <t>KMOPE2-C</t>
  </si>
  <si>
    <t>CAP_F_ 91161 1B00BG-1_AMAT_SiGe_DIO3 Int</t>
  </si>
  <si>
    <t>KMOPA5-C</t>
  </si>
  <si>
    <t>CAP_F_ 91172 1B00BG-1_AMAT_SiGe_DIO3 Int</t>
  </si>
  <si>
    <t>KMOPAB-C</t>
  </si>
  <si>
    <t>CAP_F_ 91103 1B00CG_Ebara_300X_Chiller I</t>
  </si>
  <si>
    <t>KMCPE2-C</t>
  </si>
  <si>
    <t>CAP_F_ 91123 1B00CG_Ebara_300X_Chiller I</t>
  </si>
  <si>
    <t>KUCPEA-C</t>
  </si>
  <si>
    <t>CAP_F_ 91124 1B00CG_Ebara_300X_Chiller I</t>
  </si>
  <si>
    <t>KUCPE9-C</t>
  </si>
  <si>
    <t>CAP_F_ 91126 1B00CG_Ebara_300X_Chiller I</t>
  </si>
  <si>
    <t>KUCPE7-C</t>
  </si>
  <si>
    <t xml:space="preserve">CAP_F_ 91127 1B00CG_Ebara_300X_Chiller I </t>
  </si>
  <si>
    <t>KUCPE8-C</t>
  </si>
  <si>
    <t>CAP_F_ 91157 1B00CG_Ebara_300X_Chiller I</t>
  </si>
  <si>
    <t>KUCPEJ-C</t>
  </si>
  <si>
    <t xml:space="preserve">CAP_F_ 91159 1B00CG_Ebara_300X_Chiller I </t>
  </si>
  <si>
    <t>KMWPE2-C</t>
  </si>
  <si>
    <t>MICUINT202407020</t>
  </si>
  <si>
    <t>CAP_F_ 91180 1B00CG_Ebara_300X_Chiller I</t>
  </si>
  <si>
    <t>KUCPEG-C</t>
  </si>
  <si>
    <t>CAP_F_ 91182 1B00CG_Ebara_300X_Chiller I</t>
  </si>
  <si>
    <t>KUCPEF-C</t>
  </si>
  <si>
    <t xml:space="preserve">CAP_F_90305_1600DJ_ASM_QCM_Interconnecti </t>
  </si>
  <si>
    <r>
      <rPr>
        <sz val="11"/>
        <color rgb="FF000000"/>
        <rFont val="新細明體"/>
        <family val="2"/>
      </rPr>
      <t>陳昭宇</t>
    </r>
    <r>
      <rPr>
        <sz val="11"/>
        <color rgb="FF000000"/>
        <rFont val="Calibri"/>
        <family val="2"/>
      </rPr>
      <t>/F21-CVD2/Ext.7713918</t>
    </r>
  </si>
  <si>
    <t>MICUINT202403005</t>
  </si>
  <si>
    <r>
      <rPr>
        <sz val="11"/>
        <color rgb="FF000000"/>
        <rFont val="新細明體"/>
      </rPr>
      <t>業主協定金額修正為</t>
    </r>
    <r>
      <rPr>
        <sz val="11"/>
        <color rgb="FF000000"/>
        <rFont val="Calibri"/>
        <family val="2"/>
      </rPr>
      <t>5605.56</t>
    </r>
  </si>
  <si>
    <t xml:space="preserve">CAP_F_90030_16121F_ASM_TIO_Interconnecti </t>
  </si>
  <si>
    <t>MICUINT202409050</t>
  </si>
  <si>
    <t>attach material preparation status</t>
  </si>
  <si>
    <t xml:space="preserve">CAP_F_90031_16121F_ASM_TIO_Interconnecti </t>
  </si>
  <si>
    <t>MICUINT202408097</t>
  </si>
  <si>
    <t xml:space="preserve">CAP_F_90047_16121I_ASM_MSW_Interconnecti </t>
  </si>
  <si>
    <t>MICUINT202409051</t>
  </si>
  <si>
    <t xml:space="preserve">upload parts received status and PIC </t>
  </si>
  <si>
    <t>CAP_F_90054_1600EP_ASM_MEHT_Interconnect</t>
  </si>
  <si>
    <t>MICUINT202408098</t>
  </si>
  <si>
    <t>confirm SR contain</t>
  </si>
  <si>
    <t>CAP_F_ 91078 15041F-2_HKE_HT2_TLC/VMB In</t>
  </si>
  <si>
    <t>CAP_F_ 91078 15041F-1_HKE_HT2_H bar Inte</t>
  </si>
  <si>
    <t>CAP_F_ 91082 1500EZ-1_HKE_HT2_H bar Inte (canceled)</t>
  </si>
  <si>
    <t>CAP_F_ 91083 1500EZ-1_HKE_HT2_H bar Inte</t>
  </si>
  <si>
    <t>CAP_F_ 91269 15041F-1_HKE_HT2_H bar Inte</t>
  </si>
  <si>
    <t>CAP_F_ 91270 15041F-1_HKE_HT2_H bar Inte</t>
  </si>
  <si>
    <t>CAP_F_ 91271 1500EZ-1_HKE_HT2_H bar Inte</t>
  </si>
  <si>
    <t>CAP_F_ 91272 25033L-1_HKE_HT2_H bar Inte</t>
  </si>
  <si>
    <t>CAP_F_ 91273 25033C-1_HKE_HT2_H bar Inte</t>
  </si>
  <si>
    <t>CAP_F_ 91274 1500EZ-1_HKE_HT2_H bar Inte</t>
  </si>
  <si>
    <t>CAP_F_ 91275 1500EZ-1_HKE_HT2_H bar Inte</t>
  </si>
  <si>
    <t>MICUINT202408099</t>
  </si>
  <si>
    <t>P1B的機台尚未做_tool not move in,pls sign off and upload report again after installation</t>
  </si>
  <si>
    <t>CAP_F_ 91071 1501CP-2_HKE_SiCON ALD_Dry</t>
  </si>
  <si>
    <t>KDSRKB</t>
  </si>
  <si>
    <t>CAP_F_ 91071 1501CP-1_HKE_SiCON ALD_Refi</t>
  </si>
  <si>
    <t>CAP_F_ 91072 1501CP-2_HKE_SiCON ALD_Dry</t>
  </si>
  <si>
    <t>KDSRKA</t>
  </si>
  <si>
    <t>CAP_F_ 91073 1500CQ-1_HKE_TiN ALD_Refill</t>
  </si>
  <si>
    <t>MICUINT202409013</t>
  </si>
  <si>
    <t>CAP_F_ 91073 1500CQ-2_HKE_TiN ALD_Dry pu</t>
  </si>
  <si>
    <t>MICUINT202409014</t>
  </si>
  <si>
    <t>CAP_F_ 91079 1501CP-2_HKE_SiCON ALD_Dry</t>
  </si>
  <si>
    <t>KDSRKD</t>
  </si>
  <si>
    <t>CAP_F_ 91085 1500CQ-2_HKE_TiN ALD_Dry pu</t>
  </si>
  <si>
    <t>CAP_F_ 91136 1500DZ_HSPS_GENI_LSC cover</t>
  </si>
  <si>
    <t>KDIPP3</t>
  </si>
  <si>
    <t>CAP_F_ 91141 1500DZ_HSPS_GENI_LSC cover</t>
  </si>
  <si>
    <t>KDIPP4</t>
  </si>
  <si>
    <t>CAP_F_ 91294 1501CP-2_HKE_SiCON ALD_Dry</t>
  </si>
  <si>
    <t>KDSRK9</t>
  </si>
  <si>
    <t>CAP_F_ 91024 15056A-2_HKE_SiCON ALD_Dry</t>
  </si>
  <si>
    <t>KDSRK8</t>
  </si>
  <si>
    <t>CAP_F_ 91024 15056A-1_HKE_SiCON ALD_Refi</t>
  </si>
  <si>
    <t>CAP_F_ 91025 1500GD-2_HKE_SiCON ALD_Dry</t>
  </si>
  <si>
    <t>KDSRK7</t>
  </si>
  <si>
    <t>CAP_F_ 91030 1500GD-2_HKE_SiCON ALD_Dry</t>
  </si>
  <si>
    <t>KDSRKC</t>
  </si>
  <si>
    <t>CAP_F_ 91074 1500DT_HKE_PESiN ALD_Dry pu</t>
  </si>
  <si>
    <t>CAP_F_ 91075 1500DT_HKE_PESiN ALD_Dry pu</t>
  </si>
  <si>
    <t>CAP_F_ 91084 1500DT_HKE_PESiN ALD_Dry pu (canceled)</t>
  </si>
  <si>
    <t>CAP_F_ 91345 1500DF_TEL_PE SIN_ intercon</t>
  </si>
  <si>
    <t>CAP_F_ 91346 1500DF_TEL_PE SIN_ intercon</t>
  </si>
  <si>
    <t>CAP_F_ 91347 1500DF_TEL_PE SIN_ intercon</t>
  </si>
  <si>
    <t>CAP_F_ 91348 15038C_TEL_PE SIN_ intercon</t>
  </si>
  <si>
    <t>KDANTD</t>
  </si>
  <si>
    <t>CAP_F_ 91349 15038C_TEL_PE SIN_ intercon</t>
  </si>
  <si>
    <t>KDANTE</t>
  </si>
  <si>
    <t xml:space="preserve">CAP_F_ 91360 1500DF_TEL_PE SIN_ intercon </t>
  </si>
  <si>
    <t>KDANTM</t>
  </si>
  <si>
    <t>CAP_F_ 91361 1500DF_TEL_PE SIN_ intercon</t>
  </si>
  <si>
    <t>KDANTP</t>
  </si>
  <si>
    <t>CAP_F_ 91364 15038C_TEL_PE SIN_ intercon (canceled)</t>
  </si>
  <si>
    <t>KDANTS</t>
  </si>
  <si>
    <t>CAP_F_ 91365 1505BE_TEL_PE SIN_ intercon</t>
  </si>
  <si>
    <t>KDANTQ</t>
  </si>
  <si>
    <t xml:space="preserve">CAP_F_ 91368 15056B_TEL_PE SIN_ intercon </t>
  </si>
  <si>
    <t>KDANTF</t>
  </si>
  <si>
    <t>CAP_F_ 91370 15056B_TEL_PE SIN_ intercon</t>
  </si>
  <si>
    <t>KDANTH</t>
  </si>
  <si>
    <t>CAP_F_ 91371 15056B_TEL_PE SIN_ intercon</t>
  </si>
  <si>
    <t>KDANTT</t>
  </si>
  <si>
    <t>CAP_F_ 91372 15056B_TEL_PE SIN_ intercon</t>
  </si>
  <si>
    <t>KDANTL</t>
  </si>
  <si>
    <t>CAP_F_ 91375 15056B_TEL_PE SIN_ intercon</t>
  </si>
  <si>
    <t>KDANTK</t>
  </si>
  <si>
    <t>CAP_F_ 91376 15056B_TEL_PE SIN_ intercon</t>
  </si>
  <si>
    <t>KDANTN</t>
  </si>
  <si>
    <t>CAP_F_ 91377 15056B_TEL_PE SIN_ intercon</t>
  </si>
  <si>
    <t>KDANTU</t>
  </si>
  <si>
    <t>CAP_F_ 91378 15056B_TEL_PE SIN_ intercon</t>
  </si>
  <si>
    <t>KDANTR</t>
  </si>
  <si>
    <t>CAP_F_ 91010 1507BD_TEL_PolyNFR_ interco</t>
  </si>
  <si>
    <t>MICUINT202406062</t>
  </si>
  <si>
    <t>CAP_F_ 91120 1500FO_TEL_PolyCFR_ interco</t>
  </si>
  <si>
    <t>KDEPT7</t>
  </si>
  <si>
    <t>CAP_F_ 91132 1500FO_TEL_PolyCFR_ interco</t>
  </si>
  <si>
    <t>KDEPT8</t>
  </si>
  <si>
    <t>CAP_F_ 91133 1500FO_TEL_PolyCFR_ interco</t>
  </si>
  <si>
    <t>KDEPT9</t>
  </si>
  <si>
    <t>CAP_F_ 91134 1500FN_TEL_PolyCFR_ interco</t>
  </si>
  <si>
    <t>KDEPTA</t>
  </si>
  <si>
    <t>CAP_F_ 91135 1500FN_TEL_PolyCFR_ interco (canceled)</t>
  </si>
  <si>
    <t>KDEPTB</t>
  </si>
  <si>
    <t xml:space="preserve">CAP_F_ 91137 1507BA_TEL_PolyNFR_ interco </t>
  </si>
  <si>
    <t>CAP_F_ 91138 1507BA_TEL_PolyNFR_ interco (canceled)</t>
  </si>
  <si>
    <t>CAP_F_ 91139 1500FO_TEL_PolyCFR_ interco (canceled)</t>
  </si>
  <si>
    <t>KDEPTC</t>
  </si>
  <si>
    <t>CAP_F_ 91140 1500FN_TEL_PolyCFR_ interco</t>
  </si>
  <si>
    <t>KDEPTD</t>
  </si>
  <si>
    <t>CAP_F_ 91142 1500FR-1_TEL_PolyNFR_ inter</t>
  </si>
  <si>
    <t>CAP_F_ 91350 1501CN-1_TEL_PolyCFR_ inter</t>
  </si>
  <si>
    <t>KDPOTB</t>
  </si>
  <si>
    <t>CAP_F_ 91351 1501CN-1_TEL_PolyCFR_ inter</t>
  </si>
  <si>
    <t>KDPOTC</t>
  </si>
  <si>
    <t>CAP_F_ 91352 1501CN-2_TEL_PolyNFR_LDS In</t>
  </si>
  <si>
    <t>KDPOTD</t>
  </si>
  <si>
    <t>incomplete data</t>
  </si>
  <si>
    <t>CAP_F_ 91352 1501CN-1_TEL_PolyCFR_ inter</t>
  </si>
  <si>
    <t>CAP_F_ 91353 1501CN-1_TEL_PolyCFR_ inter</t>
  </si>
  <si>
    <t>KDPOTE</t>
  </si>
  <si>
    <t>CAP_F_ 91354 1501CN-2_TEL_PolyNFR_LDS In</t>
  </si>
  <si>
    <t>KDPOTF</t>
  </si>
  <si>
    <t>CAP_F_ 91354 1501CN-1_TEL_PolyCFR_ inter</t>
  </si>
  <si>
    <t>CAP_F_ 91362 1501CN-1_TEL_PolyCFR_ inter</t>
  </si>
  <si>
    <t>KDPOTH</t>
  </si>
  <si>
    <t>CAP_F_ 91363 1501CN-1_TEL_PolyCFR_ inter</t>
  </si>
  <si>
    <t>KDPOTK</t>
  </si>
  <si>
    <t>CAP_F_ 91353 1501CN-2_TEL_PolyNFR_LDS In</t>
  </si>
  <si>
    <t>CAP_F_ 91197 1500DX_AMAT_Rad Interonnect</t>
  </si>
  <si>
    <t>KDIGA9</t>
  </si>
  <si>
    <t>CAP_F_ 91198 1500DX_AMAT_Rad Interonnect</t>
  </si>
  <si>
    <t>KDIGA7</t>
  </si>
  <si>
    <t>CAP_F_ 91199 1500DX_AMAT_Rad Interonnect</t>
  </si>
  <si>
    <t>KDIGA6</t>
  </si>
  <si>
    <t>CAP_F_ 91337 1500DX_AMAT_Rad Interonnect</t>
  </si>
  <si>
    <t>KDIGA5</t>
  </si>
  <si>
    <t>CAP_F_ 91248 180013_ASM_Pulsar O3 system</t>
  </si>
  <si>
    <t>CAP_F_ 91239 1X0001_AMAT_EPI_Interconnec</t>
  </si>
  <si>
    <t>KCEPA4</t>
  </si>
  <si>
    <t>CAP_F_ 91238 1X0001_AMAT_EPI_Interconnec</t>
  </si>
  <si>
    <t>KCEPA5</t>
  </si>
  <si>
    <t>CAP_F_ 91240 1X0001_AMAT_EPI_Interconnec</t>
  </si>
  <si>
    <t>KCEPA6</t>
  </si>
  <si>
    <t>CAP_F_ 91241 1X0001_AMAT_EPI_Interconnec</t>
  </si>
  <si>
    <t>KCEPA3</t>
  </si>
  <si>
    <t>MICUINT202409063</t>
  </si>
  <si>
    <t>CAP_F_ 91242 1X0001_AMAT_EPI_Interconnec</t>
  </si>
  <si>
    <t>KCENA6</t>
  </si>
  <si>
    <t xml:space="preserve">CAP_F_ 91243 1X0001_AMAT_EPI_Interconnec </t>
  </si>
  <si>
    <t>KCENA5</t>
  </si>
  <si>
    <t>CAP_F_ 91244 1X0001_AMAT_EPI_Interconnec</t>
  </si>
  <si>
    <t>KCENA4</t>
  </si>
  <si>
    <t>CAP_F_ 91416 1400IE_AMAT_Frontier_Interc</t>
  </si>
  <si>
    <t>KEPOA4</t>
  </si>
  <si>
    <t>CAP_F_ 91417 1400GQ_TEL_FrepCC_Interconn</t>
  </si>
  <si>
    <t>KEPOT3</t>
  </si>
  <si>
    <t xml:space="preserve">CAP_F_ 91418 1400HK_TEL_F1000_Interconne </t>
  </si>
  <si>
    <t>KESTT3</t>
  </si>
  <si>
    <t>CAP_F_ 91419 1400HK_TEL_F1000_Interconne</t>
  </si>
  <si>
    <t>KESTT4</t>
  </si>
  <si>
    <t>CAP_F_ 91422 1400GQ_TEL_FrepCC_Interconn</t>
  </si>
  <si>
    <t>KEPOT4</t>
  </si>
  <si>
    <t>CAP_F_ 91429 1401CL_TEL_COR_Interconnect</t>
  </si>
  <si>
    <t>KESRT9</t>
  </si>
  <si>
    <t>CAP_F_ 90949 1403BW_LAM_EXP-2_Interconne</t>
  </si>
  <si>
    <t>CHWEIC &lt;CHWEIC@TSMC.COM&gt;魏君翰/F18A-ETC4/Ext.7139199</t>
  </si>
  <si>
    <t>CAP_F_ 90951 1401HF_LAM_EXP-1_Interconne</t>
  </si>
  <si>
    <t>CAP_F_ 90993 13083A_LAM_Coronus_Intercon</t>
  </si>
  <si>
    <t>CAP_F_ 90997 1401CI_AMAT_aEF_Interconnec</t>
  </si>
  <si>
    <t>KEPOA5</t>
  </si>
  <si>
    <t>CAP_F_ 90998 1401HF_LAM_EXP-1_Interconne</t>
  </si>
  <si>
    <t>CAP_F_ 91233 1401CD_AMAT_Sym3_Interconne</t>
  </si>
  <si>
    <t>CHWEIC &lt;CHWEIC@TSMC.COM&gt;</t>
  </si>
  <si>
    <t>KESDA9</t>
  </si>
  <si>
    <t>CAP_F_ 91234 1401CD_AMAT_Sym3_Interconne</t>
  </si>
  <si>
    <t>KESDA7</t>
  </si>
  <si>
    <t>CAP_F_ 91236 1401CD_AMAT_Sym3_Interconne</t>
  </si>
  <si>
    <t>KESDA6</t>
  </si>
  <si>
    <t>CAP_F_ 91298 1400MK_LAM_FX_Interconnecti</t>
  </si>
  <si>
    <t>CAP_F_ 91302 1401HF_LAM_EXP-1_Interconne</t>
  </si>
  <si>
    <t>CAP_F_ 91306 1401KP_LAM_CX_Interconnecti</t>
  </si>
  <si>
    <t>CAP_F_ 91307 1401HF_LAM_EXP-1_Interconne</t>
  </si>
  <si>
    <t xml:space="preserve">CAP_F_ 91308 1401HF_LAM_EXP-1_Interconne </t>
  </si>
  <si>
    <t>CAP_F_ 91309 1401HF_LAM_EXP-1_Interconne</t>
  </si>
  <si>
    <t>CAP_F_ 91312 1401HF_LAM_EXP-1_Interconne</t>
  </si>
  <si>
    <t xml:space="preserve">CAP_F_ 91320 1400MK_LAM_FX_Interconnecti </t>
  </si>
  <si>
    <t xml:space="preserve">CAP_F_ 91321 1400MK_LAM_FX_Interconnecti </t>
  </si>
  <si>
    <t>CAP_F_ 91333 1401HF_LAM_EXP-1_Interconne</t>
  </si>
  <si>
    <t xml:space="preserve">CAP_F_ 91334 1400MK_LAM_FX_Interconnecti </t>
  </si>
  <si>
    <t>CAP_F_ 91366 1400KB_TEL_aCOR_Interconnec</t>
  </si>
  <si>
    <t>KESRT8</t>
  </si>
  <si>
    <t>CAP_F_ 91367 1401CL_TEL_COR_Interconnect</t>
  </si>
  <si>
    <t>KESRT7</t>
  </si>
  <si>
    <t>CAP_F_ 91396 1401HF_LAM_EXP-1_Interconne</t>
  </si>
  <si>
    <t>CAP_F_ 91412 1404ED_TEL_COR-2_Interconne</t>
  </si>
  <si>
    <t>KEMGT2</t>
  </si>
  <si>
    <t>CAP_F_ 90995 1400DE_LAM_Metal M_Intercon</t>
  </si>
  <si>
    <t>CAP_F_ 90999 1414BL_LAM_FLEX45_Interconn</t>
  </si>
  <si>
    <t>CAP_F_ 91089 1401KN_TEL_Vigus iX_Interco</t>
  </si>
  <si>
    <t>KETRTQ</t>
  </si>
  <si>
    <t>CAP_F_ 91090 1401KN_TEL_Vigus iX_Interco</t>
  </si>
  <si>
    <t>KETRTP</t>
  </si>
  <si>
    <t>CAP_F_ 91091 1405EE_TEL_Vigus V1_Interco</t>
  </si>
  <si>
    <t>KETRTH</t>
  </si>
  <si>
    <t>CAP_F_ 91092 1405EE_TEL_Vigus V1_Interco</t>
  </si>
  <si>
    <t>KETRTG</t>
  </si>
  <si>
    <t>CAP_F_ 91094 1401KN_TEL_Vigus iX_Interco</t>
  </si>
  <si>
    <t>KETRTL</t>
  </si>
  <si>
    <t>CAP_F_ 91095 1401KN_TEL_Vigus iX_Interco</t>
  </si>
  <si>
    <t>KETRTM</t>
  </si>
  <si>
    <t xml:space="preserve">CAP_F_ 91096 1401KN_TEL_Vigus iX_Interco </t>
  </si>
  <si>
    <t>KETRTR</t>
  </si>
  <si>
    <t>CAP_F_ 91097 1400MH_TEL_Vigus 1000_Inter</t>
  </si>
  <si>
    <t>KETRTT</t>
  </si>
  <si>
    <t>CAP_F_ 91098 1415BH_TEL_Vigus NX_Interco</t>
  </si>
  <si>
    <t>KETRTN</t>
  </si>
  <si>
    <t>CAP_F_ 91099 1400MH_TEL_Vigus 1000_Inter</t>
  </si>
  <si>
    <t>KETRTU</t>
  </si>
  <si>
    <t>CAP_F_ 91101 1415BH_TEL_Vigus NX_Interco</t>
  </si>
  <si>
    <t>KETRTF</t>
  </si>
  <si>
    <t>CAP_F_ 91232 14059D_AMAT_MESA_Interconne</t>
  </si>
  <si>
    <t>KEMEA6</t>
  </si>
  <si>
    <t>CAP_F_ 91235 14071F_AMAT_PRODUCER EXT_In</t>
  </si>
  <si>
    <t>KEPAA3</t>
  </si>
  <si>
    <t>CAP_F_ 91310 13083B_LAM_Coronus HP_Inter</t>
  </si>
  <si>
    <t xml:space="preserve">CAP_F_ 91311 14052S_LAM_A2VM3_Interconne </t>
  </si>
  <si>
    <t>CAP_F_ 91314 1400DE_LAM_Metal M_Intercon</t>
  </si>
  <si>
    <t>CAP_F_ 91315 1400DE_LAM_Metal M_Intercon</t>
  </si>
  <si>
    <t>CAP_F_ 91317 1400GG_LAM_NXP_Interconnect</t>
  </si>
  <si>
    <t>CAP_F_ 91319 1400DE_LAM_Metal M_Intercon</t>
  </si>
  <si>
    <t>CAP_F_ 91393 14059D_AMAT_MESA_Interconne</t>
  </si>
  <si>
    <t>KEMEA8</t>
  </si>
  <si>
    <t>CAP_F_ 91415 1400MH_TEL_Vigus 1000_Inter</t>
  </si>
  <si>
    <t>KETRTJ</t>
  </si>
  <si>
    <t>CAP_F_ 91420 1408BC_AMAT_PRODUCER GT_Int</t>
  </si>
  <si>
    <t>KEEBA3</t>
  </si>
  <si>
    <t>CAP_F_ 91421 1400IG_AMAT_SYM3_Interconne</t>
  </si>
  <si>
    <t>KEMEA7</t>
  </si>
  <si>
    <t>CAP_F_ 91424 1400GG_LAM_NXP_Interconnect</t>
  </si>
  <si>
    <t>CAP_F_ 91430 1415BH_TEL_Vigus NX_Interco</t>
  </si>
  <si>
    <t>KETRTS</t>
  </si>
  <si>
    <t>CAP_A_91016_120013_ASML_NXE3600D_GFU_MFM</t>
  </si>
  <si>
    <r>
      <rPr>
        <sz val="11"/>
        <color rgb="FF000000"/>
        <rFont val="新細明體"/>
        <family val="2"/>
      </rPr>
      <t>潘信華</t>
    </r>
    <r>
      <rPr>
        <sz val="11"/>
        <color rgb="FF000000"/>
        <rFont val="Calibri"/>
        <family val="2"/>
      </rPr>
      <t xml:space="preserve"> hhpan@tsmc.com</t>
    </r>
  </si>
  <si>
    <t>MICUINT202409064</t>
  </si>
  <si>
    <t>CAP_A_91017_120013_ASML_NXE3600D_GFU_MFM</t>
  </si>
  <si>
    <t>CAP_F_ 91285 1200DQ_DNS_DUO 6C_ Intercon</t>
  </si>
  <si>
    <t>KPOCS4</t>
  </si>
  <si>
    <t>MICUINT202409065</t>
  </si>
  <si>
    <t>CAP_F_ 91286 14111D_TEL_LITHIUS Pro6C_In</t>
  </si>
  <si>
    <t>KPOCTK</t>
  </si>
  <si>
    <t>CAP_F_ 91288 1203BB-T_TEL_LITHIUS ProV_I</t>
  </si>
  <si>
    <t>"CAP_F_ 91289 1Y011G_TEL_ACT(2C,2D) _Int</t>
  </si>
  <si>
    <t>KPPTT2</t>
  </si>
  <si>
    <t>_Int</t>
  </si>
  <si>
    <t>CAP_F_ 90988 1200DP_DNS_DUO 3CN 18C_ Int</t>
  </si>
  <si>
    <t>KPOCS5</t>
  </si>
  <si>
    <t>DUO</t>
  </si>
  <si>
    <t>"CAP_F_ 91279 1Y011G_TEL_ACT(2C,2D) _Int</t>
  </si>
  <si>
    <t>KPPTT3</t>
  </si>
  <si>
    <t>CAP_F_90611_1800KR_ECP_Thermo Interconne</t>
  </si>
  <si>
    <t>ECP</t>
  </si>
  <si>
    <t>MICUINT202409032</t>
  </si>
  <si>
    <t>CAP_F_ 91224 1807CI_AMAT_CapLT_DI max In</t>
  </si>
  <si>
    <t>KSCCA5</t>
  </si>
  <si>
    <t xml:space="preserve">CAP_F_ 91225 18075I_AMAT_BSP126_DI max I </t>
  </si>
  <si>
    <t>KSSBAL</t>
  </si>
  <si>
    <t>CAP_F_ 91226 1801BP_AMAT_Gauss_DI max In</t>
  </si>
  <si>
    <t>KSHMA4</t>
  </si>
  <si>
    <t>CAP_F_ 91335 1807BI_AMAT_BSP76_DI max In</t>
  </si>
  <si>
    <t>KSSBAG</t>
  </si>
  <si>
    <t>CAP_F_ 91336 1807BI_AMAT_BSP76_DI max In</t>
  </si>
  <si>
    <t>KSSBAN</t>
  </si>
  <si>
    <t>CAP_F_ 91399 1800FS_AMAT_BSP28_DI max In</t>
  </si>
  <si>
    <t>KSSBAB</t>
  </si>
  <si>
    <t>CAP_F_ 91400 1800FS_AMAT_BSP28_DI max In</t>
  </si>
  <si>
    <t>KSSBAC</t>
  </si>
  <si>
    <t>CAP_F_ 91401 1800FS_AMAT_BSP28_DI max In</t>
  </si>
  <si>
    <t>KSSBAD</t>
  </si>
  <si>
    <t>CAP_F_ 91402 1800FS_AMAT_BSP28_DI max In</t>
  </si>
  <si>
    <t>KSSBAE</t>
  </si>
  <si>
    <t>CAP_F_ 91406 1800FS_AMAT_BSP28_DI max In</t>
  </si>
  <si>
    <t>KSSBAF</t>
  </si>
  <si>
    <t>CAP_F_ 91003 1807BI_AMAT_BSP76_DI max In</t>
  </si>
  <si>
    <t>KSSBAP</t>
  </si>
  <si>
    <t>CAP_F_ 91373 1800KS_AMAT_ALPAD_DI max In</t>
  </si>
  <si>
    <t>KSAPA2</t>
  </si>
  <si>
    <t>CAP_F_ 91379 1800KS_AMAT_ALPAD_DI max In</t>
  </si>
  <si>
    <t>KSAPA3</t>
  </si>
  <si>
    <t xml:space="preserve">CAP_F_ 91404 1800EB_AMAT_CoFill_DI max I </t>
  </si>
  <si>
    <t>KSCPA3</t>
  </si>
  <si>
    <t>CAP_F_ 91407 1800FS_AMAT_BSP28_DI max In</t>
  </si>
  <si>
    <t>KSSBAM</t>
  </si>
  <si>
    <t>CAP_F_ 91411 18075E_AMAT_BSP40_DI max In</t>
  </si>
  <si>
    <t>KSSBAK</t>
  </si>
  <si>
    <t>CAP_F_ 90965 1800KR_ECP_MICU Interconnec</t>
  </si>
  <si>
    <t>MICUINT202409033</t>
  </si>
  <si>
    <t>CAP_F_ 91002 1800KR_ECP_MICU Interconnec</t>
  </si>
  <si>
    <t>CAP_F_ 91222 18101B_AMAT_ALO_DI max Inte</t>
  </si>
  <si>
    <t>KSANA2</t>
  </si>
  <si>
    <t>CAP_F_ 91223 18076F_AMAT_CapHT_DI max In</t>
  </si>
  <si>
    <t>KSCCA4</t>
  </si>
  <si>
    <t>CAP_F_ 91389 1801BE_AMAT_VERSA_DI max In</t>
  </si>
  <si>
    <t>KSHMA6</t>
  </si>
  <si>
    <t>CAP_F_ 91394 1801BE_AMAT_VERSA_DI max In</t>
  </si>
  <si>
    <t>KSHMA7</t>
  </si>
  <si>
    <t>CAP_F_ 91403 1800JA_AMAT_Cu flash_DI max</t>
  </si>
  <si>
    <t>KSSBAA</t>
  </si>
  <si>
    <t>CAP_F_90113_18100K_AMAT_Tial_DI max Inte</t>
  </si>
  <si>
    <t>CAP_F_90089_18100K_AMAT_Tial_DI max Inte</t>
  </si>
  <si>
    <t>葉建輝 JHYE &lt;JHYE@TSMC.COM&gt;</t>
  </si>
  <si>
    <t>KSMGA4</t>
  </si>
  <si>
    <t>CAP_F_ 91026 15011L_HKE_DG4150_QSV Inter</t>
  </si>
  <si>
    <t>CAP_F_ 91027 15012A_HKE_DG4150_QSV Inter</t>
  </si>
  <si>
    <t>CAP_F_ 91028 15012A_HKE_DG4150_QSV Inter</t>
  </si>
  <si>
    <t xml:space="preserve">CAP_F_ 91031 15011L_HKE_DG4150_QSV Inter </t>
  </si>
  <si>
    <t>KSCBHL</t>
  </si>
  <si>
    <t>CAP_F_ 91032 15012A_HKE_DG4150_QSV Inter</t>
  </si>
  <si>
    <t>CAP_F_ 91081 15013A_HKE_DG4150_QSV Inter</t>
  </si>
  <si>
    <t xml:space="preserve">CAP_F_ 91086 15013A_HKE_DG4150_QSV Inter </t>
  </si>
  <si>
    <t>CAP_F_ 91087 15013A_HKE_DG4150_QSV Inter</t>
  </si>
  <si>
    <t>CAP_F_ 91088 15013A_HKE_DG4150_QSV Inter</t>
  </si>
  <si>
    <t>CAP_F_ 91150 18100K_AMAT_Tial_DI max Int</t>
  </si>
  <si>
    <t>KSMGA7</t>
  </si>
  <si>
    <t>CAP_F_ 91152 18100K_AMAT_Tial_DI max Int</t>
  </si>
  <si>
    <t>KSMGA5</t>
  </si>
  <si>
    <t>CAP_F_ 91291 15013A_HKE_DG4150_QSV Inter (canceled)</t>
  </si>
  <si>
    <t>CAP_F_ 91292 15013A_HKE_DG4150_QSV Inter</t>
  </si>
  <si>
    <t>CAP_F_ 91293 15013A_HKE_DG4150_QSV Inter</t>
  </si>
  <si>
    <t xml:space="preserve">CAP_F_ 91397 1800EO_AMAT_V0 Glue_DI max </t>
  </si>
  <si>
    <t>KSWGA2</t>
  </si>
  <si>
    <t>CAP_F_ 91398 1800JD_AMAT_Tersa_DI max In</t>
  </si>
  <si>
    <t>KSTSA2</t>
  </si>
  <si>
    <t xml:space="preserve">CAP_F_ 91405 1800EO_AMAT_V0 Glue_DI max </t>
  </si>
  <si>
    <t>KSWGA3</t>
  </si>
  <si>
    <t>CAP_F_ 91413 1800CI_TEL_Ti/TIN_Interconn</t>
  </si>
  <si>
    <t>KSCTT3</t>
  </si>
  <si>
    <t>CAP_F_91022_1500EY_ASM_Hot N2 Interconn</t>
  </si>
  <si>
    <t>CAP_F_91151_1500EY_ASM_Hot N2 Interconn</t>
  </si>
  <si>
    <t>CAP_F_91153_1800GP_AMAT_TSP_Hot N2 Inter</t>
  </si>
  <si>
    <t>KSMGA6</t>
  </si>
  <si>
    <t>CAP_F_91348_TELINDY IRad_Main tool inter</t>
  </si>
  <si>
    <t>CAP_F_91349_TELINDY IRad_Main tool inter</t>
  </si>
  <si>
    <t>CAP_F_90557_TELINDY IRad_Main tool inter</t>
  </si>
  <si>
    <t>MICUINT202403010</t>
  </si>
  <si>
    <t>CAP_F_90558_TELINDY IRad_Main tool inter</t>
  </si>
  <si>
    <t>MICUINT202403011</t>
  </si>
  <si>
    <t>CAP_F_90559_TELINDY IRad_Main tool inter</t>
  </si>
  <si>
    <t>MICUINT202404073</t>
  </si>
  <si>
    <t xml:space="preserve">CAP_F_90560_TELINDY IRad_Main tool inter </t>
  </si>
  <si>
    <t>MICUINT202402005</t>
  </si>
  <si>
    <t>CAP_F_91368_TELINDY IRad_Main tool inter</t>
  </si>
  <si>
    <t>CAP_F_91369_TELINDY IRad_Main tool inter</t>
  </si>
  <si>
    <t>CAP_F_91370_TELINDY IRad_Main tool inter</t>
  </si>
  <si>
    <t>CAP_F_91371_TELINDY IRad_Main tool inter</t>
  </si>
  <si>
    <t>CAP_F_91372_TELINDY IRad_Main tool inter</t>
  </si>
  <si>
    <t>CAP_F_90569_TELINDY IRad_Main tool inter</t>
  </si>
  <si>
    <t>MICUINT202403009</t>
  </si>
  <si>
    <t>CAP_F_91375_TELINDY IRad_Main tool inter</t>
  </si>
  <si>
    <t>CAP_F_91360_TELINDY IRad_Main tool inter</t>
  </si>
  <si>
    <t>CAP_F_91376_TELINDY IRad_Main tool inter</t>
  </si>
  <si>
    <t>CAP_F_91361_TELINDY IRad_Main tool inter</t>
  </si>
  <si>
    <t>CAP_F_91364_TELINDY IRad_Main tool inter (canceled)</t>
  </si>
  <si>
    <t>CAP_F_91377_TELINDY IRad_Main tool inter</t>
  </si>
  <si>
    <t>CAP_F_91378_TELINDY IRad_Main tool inter</t>
  </si>
  <si>
    <t>CAP_F_91365_TELINDY IRad_Main tool inter</t>
  </si>
  <si>
    <t>CAP_F_90807_TELINDY DED_Main tool interc</t>
  </si>
  <si>
    <t>MICUINT202402029</t>
  </si>
  <si>
    <t>CAP_F_90808_TELINDY DED_Main tool interc</t>
  </si>
  <si>
    <t>MICUINT202405046</t>
  </si>
  <si>
    <t>CAP_F_90809_TELINDY DED_Main tool interc</t>
  </si>
  <si>
    <t>MICUINT202406063</t>
  </si>
  <si>
    <t>CAP_F_91350_TELINDY DED_Main tool interc</t>
  </si>
  <si>
    <t>CAP_F_91351_TELINDY DED_Main tool interc</t>
  </si>
  <si>
    <t>CAP_F_91352_TELINDY DED_Main tool interc</t>
  </si>
  <si>
    <t>CAP_F_91353_TELINDY DED_Main tool interc</t>
  </si>
  <si>
    <t>CAP_F_91354_TELINDY DED_Main tool interc</t>
  </si>
  <si>
    <t>CAP_F_91362_TELINDY DED_Main tool interc</t>
  </si>
  <si>
    <t>CAP_F_91363_TELINDY DED_Main tool interc</t>
  </si>
  <si>
    <t>CAP_F_90791_TELINDY COR_Main tool interc</t>
  </si>
  <si>
    <t>MICUINT202402013</t>
  </si>
  <si>
    <t>CAP_F_90792_TELINDY COR_Main tool interc</t>
  </si>
  <si>
    <t>MICUINT202403013</t>
  </si>
  <si>
    <t>CAP_F_90793_TELINDY COR_Main tool interc</t>
  </si>
  <si>
    <t>MICUINT202405079</t>
  </si>
  <si>
    <t>CAP_F_90794_TELINDY COR_Main tool interc</t>
  </si>
  <si>
    <t>CAP_F_91120_TELINDY COR_Main tool interc</t>
  </si>
  <si>
    <t>CAP_F_91132_TELINDY COR_Main tool interc</t>
  </si>
  <si>
    <t xml:space="preserve">CAP_F_91133_TELINDY COR_Main tool interc </t>
  </si>
  <si>
    <t>CAP_F_90813_TELINDY COR_Main tool interc</t>
  </si>
  <si>
    <t>MICUINT202402006</t>
  </si>
  <si>
    <t>CAP_F_90814_TELINDY COR_Main tool interc</t>
  </si>
  <si>
    <t>MICUINT202404069</t>
  </si>
  <si>
    <t>CAP_F_91134_TELINDY COR_Main tool interc</t>
  </si>
  <si>
    <t>CAP_F_91135_TELINDY COR_Main tool interc (canceled)</t>
  </si>
  <si>
    <t>CAP_F_91140_TELINDY COR_Main tool interc</t>
  </si>
  <si>
    <t>CAP_F_91139_TELINDY COR_Main tool interc (canceled)</t>
  </si>
  <si>
    <t>CAP_F_91279_Polymide_Main_tool_interconn</t>
  </si>
  <si>
    <t>Tool inter-connection POC Form - ACT12 (2C,2D) Poly 20220721_v1</t>
  </si>
  <si>
    <t>CAP_F_90436_Polymide_Main_tool_interconn</t>
  </si>
  <si>
    <t>MICUINT202405056</t>
  </si>
  <si>
    <t>CAP_F_91289_Polymide_Main_tool_interconn</t>
  </si>
  <si>
    <t>CAP_F_90435_Pro 6C_Main_tool_interconnec</t>
  </si>
  <si>
    <t>Tool inter-connection POC Form - Pro (6C) Plug 20220722_v1</t>
  </si>
  <si>
    <t>MICUINT202407006</t>
  </si>
  <si>
    <t xml:space="preserve">CAP_F_91286_Pro 6C_Main_tool_interconnec </t>
  </si>
  <si>
    <t>CAP_F_90433_ProZ 6C_Main_tool_interconne</t>
  </si>
  <si>
    <t>Tool inter-connection POC Form - ProZ 6C 20220722_v1</t>
  </si>
  <si>
    <t>KPOCT8</t>
  </si>
  <si>
    <t>CAP_F_90432_ProZ 6C_Main_tool_interconne</t>
  </si>
  <si>
    <t>KPOCTC</t>
  </si>
  <si>
    <t>CAP_F_90434_ProZ 12C_Main_tool_interconn</t>
  </si>
  <si>
    <t>KPOCT9</t>
  </si>
  <si>
    <t>CAP_F_91290_ProZ 12C_Main_tool_interconn</t>
  </si>
  <si>
    <t>KPOCTH</t>
  </si>
  <si>
    <t>CAP_F_90424_ProZ 18C 30 PR_Main_tool_int</t>
  </si>
  <si>
    <t>Tool inter-connection POC Form - ProZ 18C - 30 PR Line 20220722_v1</t>
  </si>
  <si>
    <t>KPOCT3</t>
  </si>
  <si>
    <t>原先請款KPOCT4</t>
    <phoneticPr fontId="16" type="noConversion"/>
  </si>
  <si>
    <t>CAP_F_90423_ProZ 18C 30 PR_Main_tool_int</t>
  </si>
  <si>
    <t>KPOCT4</t>
  </si>
  <si>
    <t>原先請款KPOCT3</t>
    <phoneticPr fontId="16" type="noConversion"/>
  </si>
  <si>
    <t>CAP_F_91019_HMOP combo EQP inter con</t>
  </si>
  <si>
    <t>THCHUA &lt;THCHUA@TSMC.COM&gt;</t>
  </si>
  <si>
    <t>0819 Quotation SPS -- Copy of Tool inter-connection POC Form_tsmc F21_0727_2 (002)</t>
  </si>
  <si>
    <t>KEPST3</t>
  </si>
  <si>
    <t>MICUINT202302365</t>
  </si>
  <si>
    <t>CAP_F_90598_HMOP combo EQP inter con</t>
  </si>
  <si>
    <t>KEPST1</t>
  </si>
  <si>
    <t>MICUINT202302366</t>
  </si>
  <si>
    <t>MICUINT202405080</t>
  </si>
  <si>
    <t>CAP_F_90599_HMOP EQP inter con</t>
  </si>
  <si>
    <t>KEPST2</t>
  </si>
  <si>
    <t>MICUINT202302367</t>
  </si>
  <si>
    <t>MICUINT202405057</t>
  </si>
  <si>
    <t>CAP_F_91005_HMOP EQP inter con</t>
  </si>
  <si>
    <t>KEPST4</t>
  </si>
  <si>
    <t>MICUINT202302368</t>
  </si>
  <si>
    <t>MICUINT202409015</t>
  </si>
  <si>
    <t>CAP_F_90600_PORM EQP inter con</t>
  </si>
  <si>
    <t>林嘉祥</t>
  </si>
  <si>
    <t>KDSET1</t>
  </si>
  <si>
    <t>MICUINT202302392</t>
  </si>
  <si>
    <t>MICUINT202405058</t>
  </si>
  <si>
    <t>CAP_F_90961_PORM EQP inter con</t>
  </si>
  <si>
    <t>KDSET2</t>
  </si>
  <si>
    <t>MICUINT202302393</t>
  </si>
  <si>
    <t>CAP_F_90597_BVBS ILD0 EQP inter con</t>
  </si>
  <si>
    <t>KEBCT2</t>
  </si>
  <si>
    <t>MICUINT202404125</t>
  </si>
  <si>
    <t>CAP_F_90994_BVBS ILD0 EQP inter con</t>
  </si>
  <si>
    <t>KEBCT6</t>
  </si>
  <si>
    <t>CAP_F_90593_BVBS MEOL EQP inter con</t>
  </si>
  <si>
    <t>KEBCT1</t>
  </si>
  <si>
    <t>MICUINT202404141</t>
  </si>
  <si>
    <t>CAP_F_90592_BVBS MEOL EQP inter con</t>
  </si>
  <si>
    <t>KEBCT4</t>
  </si>
  <si>
    <t>CAP_F_90316_BSS 20B EQP inter con</t>
  </si>
  <si>
    <t>KEBCT3</t>
  </si>
  <si>
    <t>MICUINT202302398</t>
  </si>
  <si>
    <t>MICUINT202405081</t>
  </si>
  <si>
    <t>CAP_F_91020_BSS 20B EQP inter con</t>
  </si>
  <si>
    <t>KEBCT5</t>
  </si>
  <si>
    <t>MICUINT202302399</t>
  </si>
  <si>
    <t>CAP_F_90782_TEL_Ti/TIN main_tool_Interco</t>
  </si>
  <si>
    <r>
      <t xml:space="preserve">Yu-Jhih Cheng </t>
    </r>
    <r>
      <rPr>
        <sz val="11"/>
        <color rgb="FF000000"/>
        <rFont val="新細明體"/>
        <family val="2"/>
      </rPr>
      <t>鄭宇智</t>
    </r>
    <r>
      <rPr>
        <sz val="11"/>
        <color rgb="FF000000"/>
        <rFont val="Calibri"/>
        <family val="2"/>
      </rPr>
      <t>YJCHENGE@TSMC.COM</t>
    </r>
  </si>
  <si>
    <t xml:space="preserve">CAP_F_90783_TEL_Ti/TIN main_tool_Interco </t>
  </si>
  <si>
    <t>CAP_F_91413_TEL_Ti/TIN main_tool_Interco</t>
  </si>
  <si>
    <t>CAP_F_90043_1500CR_ASM_FELT_Interconnect</t>
  </si>
  <si>
    <t>MICUINT202403006</t>
  </si>
  <si>
    <r>
      <rPr>
        <sz val="11"/>
        <color rgb="FF000000"/>
        <rFont val="新細明體"/>
      </rPr>
      <t>業主協定金額修正為</t>
    </r>
    <r>
      <rPr>
        <sz val="11"/>
        <color rgb="FF000000"/>
        <rFont val="Calibri"/>
        <family val="2"/>
      </rPr>
      <t>4317</t>
    </r>
  </si>
  <si>
    <t>CAP_F_90044_16121A_ASM_BELT_Interconnect</t>
  </si>
  <si>
    <t>MICUINT202304512</t>
  </si>
  <si>
    <t>MICUINT202409052</t>
  </si>
  <si>
    <t>confirm attachment</t>
  </si>
  <si>
    <t>CAP_F_90045_16121B_ASM_HTOX_Interconnect</t>
  </si>
  <si>
    <t>MICUINT202403007</t>
  </si>
  <si>
    <t>CAP_F_90046_16121H_ASM_IOOX_Interconnect</t>
  </si>
  <si>
    <t>MICUINT202304514</t>
  </si>
  <si>
    <t>CAP_F_91250_1600EP_ASM_MEHT_Interconnect</t>
  </si>
  <si>
    <t>CAP_F_91408_16121B_ASM_HTOX_Interconnect (canceled)</t>
  </si>
  <si>
    <t>issue 4k tool JCAN first</t>
  </si>
  <si>
    <t>CAP_F_91251_16121A_ASM_BELT_Interconnect</t>
  </si>
  <si>
    <t>CAP_F_91410_16121I_ASM_MSW_Interconnecti</t>
  </si>
  <si>
    <t>CAP_F_ 91054 1600EI_AMAT_Apollo_Intercon</t>
  </si>
  <si>
    <t>KCUVA4</t>
  </si>
  <si>
    <t>CAP_F_ 91055 1600EI_AMAT_Apollo_Intercon</t>
  </si>
  <si>
    <t>KCUVA5</t>
  </si>
  <si>
    <t>CAP_F_ 91056 1600EI_AMAT_Apollo_Intercon</t>
  </si>
  <si>
    <t>KCUVA6</t>
  </si>
  <si>
    <t>CAP_F_ 91059 1600GY_AMAT_STI_Interconnec</t>
  </si>
  <si>
    <t>KCFLA6</t>
  </si>
  <si>
    <t>CAP_F_ 91060 1600EI_AMAT_Apollo_Intercon</t>
  </si>
  <si>
    <t>KCUVA7</t>
  </si>
  <si>
    <t xml:space="preserve">CAP_F_91041_1600DJ_ASM_QCM_Interconnecti </t>
  </si>
  <si>
    <t>CAP_F_91051_1600DJ_ASM_QCM_Interconnecti</t>
  </si>
  <si>
    <t xml:space="preserve">CAP_F_91249_16121F_ASM_TIO_Interconnecti </t>
  </si>
  <si>
    <t>CAP_F_91247_1600DA_ASM_ALO_Interconnecti</t>
  </si>
  <si>
    <t>CAP_F_91252_16121F_ASM_TIO_Interconnecti</t>
  </si>
  <si>
    <t>CAP_F_91409_1600DJ_ASM_QCM_Interconnecti</t>
  </si>
  <si>
    <t>CAP_F_91012_1400GM_TEL_Vigus_iX_Intercon</t>
  </si>
  <si>
    <t>KECOT8</t>
  </si>
  <si>
    <t xml:space="preserve">CAP_F_91395_1400GM_TEL_Vigus_iX_Intercon </t>
  </si>
  <si>
    <t>KECOT7</t>
  </si>
  <si>
    <t>CAP_F_90605_ProZ KRF 8+2 _Main_tool_inte</t>
  </si>
  <si>
    <t>Tool inter-connection POC Form - ProZ (12C,12D) KRF 8+2 20220722_v1</t>
  </si>
  <si>
    <t xml:space="preserve">CAP_F_90606_ProZ KRF 8+2 _Main_tool_inte </t>
  </si>
  <si>
    <t>KPD802-T</t>
  </si>
  <si>
    <t>MICUINT202405059</t>
  </si>
  <si>
    <t>可以請款</t>
  </si>
  <si>
    <t>CAP_F_90065_ASML_Yieldstar_tool_intercon</t>
  </si>
  <si>
    <t>S385H</t>
  </si>
  <si>
    <t>KPOV04</t>
  </si>
  <si>
    <t>MICUINT202403017</t>
    <phoneticPr fontId="30" type="noConversion"/>
  </si>
  <si>
    <t>KPOV05若完成時需要這個PO請款</t>
    <phoneticPr fontId="16" type="noConversion"/>
  </si>
  <si>
    <t>CAP_F_90066_ASML_Yieldstar_tool_intercon</t>
  </si>
  <si>
    <t>KPOV05</t>
  </si>
  <si>
    <t>原本請的是KPOV04-後來得到PO跟機台的正確版-但台積已經付這PO</t>
    <phoneticPr fontId="16" type="noConversion"/>
  </si>
  <si>
    <t>CAP_F_90067_ASML_Yieldstar_tool_intercon</t>
  </si>
  <si>
    <t>KPOV06</t>
  </si>
  <si>
    <t>MICUINT202403018</t>
  </si>
  <si>
    <t>CAP_F_90068_ASML_Yieldstar_tool_intercon</t>
  </si>
  <si>
    <t>KPOV07</t>
  </si>
  <si>
    <t>MICUINT202403019</t>
  </si>
  <si>
    <t>CAP_F_90069_ASML_Yieldstar_tool_intercon</t>
  </si>
  <si>
    <t>KPOV08</t>
  </si>
  <si>
    <t>MICUINT202403020</t>
  </si>
  <si>
    <t>CAP_F_90070_ASML_Yieldstar_tool_intercon</t>
  </si>
  <si>
    <t>KPOV09</t>
  </si>
  <si>
    <t>MICUINT202403021</t>
  </si>
  <si>
    <t>CAP_F_90071_ASML_Yieldstar_tool_intercon</t>
  </si>
  <si>
    <t>KPOV10</t>
  </si>
  <si>
    <t>MICUINT202403022</t>
  </si>
  <si>
    <t>CAP_F_90072_ASML_Yieldstar_tool_intercon</t>
  </si>
  <si>
    <t>KPOV11</t>
  </si>
  <si>
    <t xml:space="preserve">	
4590007762_008(MICUINT202403023)</t>
  </si>
  <si>
    <t>CAP_F_90073_ASML_Yieldstar_tool_intercon</t>
  </si>
  <si>
    <t>KPOV12</t>
  </si>
  <si>
    <t>MICUINT202403024</t>
  </si>
  <si>
    <t>CAP_F_90074_ASML_Yieldstar_tool_intercon</t>
  </si>
  <si>
    <t>KPOV27</t>
  </si>
  <si>
    <t>CAP_F_90075_ASML_Yieldstar_tool_intercon</t>
  </si>
  <si>
    <t>KPOV28</t>
  </si>
  <si>
    <t>CAP_F_90975_ASML_Yieldstar_tool_intercon</t>
  </si>
  <si>
    <t>KPOV29</t>
  </si>
  <si>
    <t>CAP_F_90976_ASML_Yieldstar_tool_intercon</t>
  </si>
  <si>
    <t>KPOV30</t>
  </si>
  <si>
    <t>CAP_F_90977_ASML_Yieldstar_tool_intercon</t>
  </si>
  <si>
    <t>KPOV31</t>
  </si>
  <si>
    <t>CAP_F_90978_ASML_Yieldstar_tool_intercon</t>
  </si>
  <si>
    <t>KPOV32</t>
  </si>
  <si>
    <t>CAP_F_90979_ASML_Yieldstar_tool_intercon</t>
  </si>
  <si>
    <t>KPOV17</t>
  </si>
  <si>
    <t>CAP_F_90980_ASML_Yieldstar_tool_intercon</t>
  </si>
  <si>
    <t>KPOV18</t>
  </si>
  <si>
    <t>CAP_F_90981_ASML_Yieldstar_tool_intercon</t>
  </si>
  <si>
    <t>KPOV19</t>
  </si>
  <si>
    <t>CAP_F_90982_ASML_Yieldstar_tool_intercon</t>
  </si>
  <si>
    <t>KPOV20</t>
  </si>
  <si>
    <t>CAP_F_91412_LEAGA 1C1P_Main tool_interco</t>
  </si>
  <si>
    <t xml:space="preserve">CAP_F_91429_LEAGA 1C1P_Main tool_interco </t>
  </si>
  <si>
    <t>CAP_F_91367_LEAGA 2C2P_Main tool_interco</t>
  </si>
  <si>
    <t>CAP_F_90298_LEAGA 2C2P_Main tool_interco</t>
  </si>
  <si>
    <t>MICUINT202409034</t>
  </si>
  <si>
    <t>CAP_F_90084_LEAGA 3C3P_Main tool_interco</t>
  </si>
  <si>
    <t>CAP_F_90082_LEAGA 3C3P_Main tool_interco</t>
  </si>
  <si>
    <t>MICUINT202405047</t>
  </si>
  <si>
    <t>CAP_F_90083_LEAGA 3C3P_Main tool_interco</t>
  </si>
  <si>
    <t>CAP_F_90299_LEAGA 3C3P_Main tool_interco</t>
  </si>
  <si>
    <t>MICUINT202405048</t>
  </si>
  <si>
    <t>CAP_F_91366_LEAGA 5A1P_Main tool_interco</t>
  </si>
  <si>
    <t>CAP_F_90489_LEAGA 5A1P_Main tool_interco</t>
  </si>
  <si>
    <t>MICUINT202404054</t>
  </si>
  <si>
    <t>CAP_F_90131_FerpCC_4CH_Main tool_interco</t>
  </si>
  <si>
    <t>MICUINT202404055</t>
  </si>
  <si>
    <t>CAP_F_90133_FerpCC_4CH_Main tool_interco</t>
  </si>
  <si>
    <t>MICUINT202409035</t>
  </si>
  <si>
    <t>CAP_F_91417_FerpCC_4CH_Main tool_interco</t>
  </si>
  <si>
    <t>CAP_F_91422_FerpCC_4CH_Main tool_interco</t>
  </si>
  <si>
    <t>CAP_F_90134_F1000_4CH_Main tool_intercon</t>
  </si>
  <si>
    <t>MICUINT202404051</t>
  </si>
  <si>
    <t>CAP_F_90135_F1000_4CH_Main tool_intercon</t>
  </si>
  <si>
    <t>MICUINT202409036</t>
  </si>
  <si>
    <t>CAP_F_91418_F1000_4CH_Main tool_intercon</t>
  </si>
  <si>
    <t>CAP_F_91419_F1000_4CH_Main tool_intercon</t>
  </si>
  <si>
    <t>CAP_F_91415_Vigus D1000*4_Main_tool_inte</t>
  </si>
  <si>
    <t>CAP_F_90677_Vigus D1000*6_Main_tool_inte</t>
  </si>
  <si>
    <t>MICUINT202408128</t>
  </si>
  <si>
    <t xml:space="preserve">CAP_F_90678_Vigus D1000*6_Main_tool_inte </t>
  </si>
  <si>
    <t>MICUINT202404080</t>
  </si>
  <si>
    <t>document without signature by TSMC</t>
  </si>
  <si>
    <t>CAP_F_90679_Vigus D1000*6_Main_tool_inte</t>
  </si>
  <si>
    <t>MICUINT202404075</t>
  </si>
  <si>
    <t>CAP_F_90680_Vigus D1000*6_Main_tool_inte</t>
  </si>
  <si>
    <t>CAP_F_91097_Vigus D1000*6_Main_tool_inte</t>
  </si>
  <si>
    <t>CAP_F_91099_Vigus D1000*6_Main_tool_inte</t>
  </si>
  <si>
    <t>CAP_F_90671_Vigus iX*6_Main_tool_interco</t>
  </si>
  <si>
    <t>楊博智/F21-ETC3/Ext.7713726</t>
  </si>
  <si>
    <t>MICUINT202403025</t>
  </si>
  <si>
    <t>CAP_F_90672_Vigus iX*6_Main_tool_interco</t>
  </si>
  <si>
    <t>MICUINT202403026</t>
  </si>
  <si>
    <t>CAP_F_91095_Vigus iX*6_Main_tool_interco</t>
  </si>
  <si>
    <t>CAP_F_90673_Vigus iX*6_Main_tool_interco</t>
  </si>
  <si>
    <t>MICUINT202404076</t>
  </si>
  <si>
    <t>CAP_F_91094_Vigus iX*6_Main_tool_interco</t>
  </si>
  <si>
    <t>CAP_F_90674_Vigus iX*6_Main_tool_interco</t>
  </si>
  <si>
    <t>MICUINT202404068</t>
  </si>
  <si>
    <t>CAP_F_90675_Vigus iX*6_Main_tool_interco</t>
  </si>
  <si>
    <t>MICUINT202404078</t>
  </si>
  <si>
    <t>CAP_F_90676_Vigus iX*6_Main_tool_interco</t>
  </si>
  <si>
    <t>MICUINT202403027</t>
  </si>
  <si>
    <t>CAP_F_91090_Vigus iX*6_Main_tool_interco</t>
  </si>
  <si>
    <t>CAP_F_91089_Vigus iX*6_Main_tool_interco</t>
  </si>
  <si>
    <t>CAP_F_91096_Vigus iX*6_Main_tool_interco</t>
  </si>
  <si>
    <t>CAP_F_90520_Vigus NX*6_Main_tool_interco</t>
  </si>
  <si>
    <t>MICUINT202404057</t>
  </si>
  <si>
    <t>CAP_F_91101_Vigus NX*6_Main_tool_interco</t>
  </si>
  <si>
    <t>CAP_F_90521_Vigus NX*6_Main_tool_interco</t>
  </si>
  <si>
    <t>MICUINT202404079</t>
  </si>
  <si>
    <t xml:space="preserve">CAP_F_91098_Vigus NX*6_Main_tool_interco </t>
  </si>
  <si>
    <t>CAP_F_90522_Vigus V1*6_Main_tool_interco</t>
  </si>
  <si>
    <t>MICUINT202404077</t>
  </si>
  <si>
    <t>CAP_F_91092_Vigus V1*6_Main_tool_interco</t>
  </si>
  <si>
    <t>CAP_F_91091_Vigus V1*6_Main_tool_interco</t>
  </si>
  <si>
    <t>CAP_F_91430_Vigus NX*2_Main_tool_interco</t>
  </si>
  <si>
    <t>CAP_F_90490_SCCM TE+*4_Main_tool_interco</t>
  </si>
  <si>
    <t>KETRTE</t>
  </si>
  <si>
    <t>MICUINT202404056</t>
  </si>
  <si>
    <t>CAP_F_91106_SCCM TE+*4_Main_tool_interco</t>
  </si>
  <si>
    <t>KETRTK</t>
  </si>
  <si>
    <t>CAP_F_90988_DUO 3CN (18C)_Main_tool_inte</t>
  </si>
  <si>
    <t>1MUQTH2208002_03</t>
  </si>
  <si>
    <t>CAP_F_90830_DUO 3CN (18C)_Main_tool_inte</t>
  </si>
  <si>
    <t>CAP_F_90831_DUO 3CN (18C)_Main_tool_inte</t>
  </si>
  <si>
    <t>MICUINT202404061</t>
  </si>
  <si>
    <t>CAP_F_90832_DUO HT (6C)_Main_tool_interc</t>
  </si>
  <si>
    <t>MICUINT202407007</t>
  </si>
  <si>
    <t xml:space="preserve">CAP_F_91285_DUO HT (6C)_Main_tool_interc </t>
  </si>
  <si>
    <t>MICUINT202409066</t>
  </si>
  <si>
    <t>CAP_F_90890_TEL_ProZ12H1980_Main_tool_in</t>
  </si>
  <si>
    <t>KPAN03-T</t>
  </si>
  <si>
    <t>MICUINT202405060</t>
  </si>
  <si>
    <t xml:space="preserve">CAP_F_90429_TEL_ProZ12H1980_Main_tool_in </t>
  </si>
  <si>
    <t>KPAN01-T</t>
  </si>
  <si>
    <t>CAP_F_90428_TEL_ProZ12H1980_Main_tool_in</t>
  </si>
  <si>
    <t>KPAN02-T</t>
  </si>
  <si>
    <t>MICUINT202404063</t>
  </si>
  <si>
    <t>CAP_F_90891_TEL_ProZ12H1980_Main_tool_in</t>
  </si>
  <si>
    <t>KPAN05-T</t>
  </si>
  <si>
    <t>MICUINT202409067</t>
  </si>
  <si>
    <t>CAP_F_90892_TEL_ProZ12H1980_Main_tool_in</t>
  </si>
  <si>
    <t>KPAN04-T</t>
  </si>
  <si>
    <t>CAP_F_91280_TEL_ProZ ARF_Main_tool_inter</t>
  </si>
  <si>
    <t>KPAE03-T</t>
  </si>
  <si>
    <t xml:space="preserve">CAP_F_91358_TEL_ProZ12H1980_Main_tool_in </t>
  </si>
  <si>
    <t>KPAN06-T</t>
  </si>
  <si>
    <t>CAP_F_91188_16064D_LAM_SBL_interconnecti</t>
  </si>
  <si>
    <t>CAP_F_91256_16064D_LAM_SBL_interconnecti</t>
  </si>
  <si>
    <t xml:space="preserve">CAP_F_91387_1601BM_LAM_TEOS_interconnect </t>
  </si>
  <si>
    <t>CAP_F_91183_16046E_LAM_STI_interconnecti</t>
  </si>
  <si>
    <t>CAP_F_91184_16046E_LAM_STI_interconnecti</t>
  </si>
  <si>
    <t>CAP_F_91220_16046E_LAM_STI_interconnecti</t>
  </si>
  <si>
    <t>CAP_F_91110_16051J_LAM_Poly HM_interconn</t>
  </si>
  <si>
    <t>CAP_F_91111_16051J_LAM_Poly HM_interconn</t>
  </si>
  <si>
    <t>CAP_F_91112_16051J_LAM_Poly HM_interconn</t>
  </si>
  <si>
    <t>CAP_F_91113_16051J_LAM_Poly HM_interconn</t>
  </si>
  <si>
    <t>CAP_F_91149_16051J_LAM_Poly HM_interconn</t>
  </si>
  <si>
    <t>CAP_F_91189_16053B_LAM_Pass_interconnect</t>
  </si>
  <si>
    <t>CAP_F_91186_16053F_LAM_SiON_interconnect</t>
  </si>
  <si>
    <t>CAP_F_91355_16053R_LAM_HSUSG_interconnec</t>
  </si>
  <si>
    <t>please attach correct file(part list+picture)</t>
  </si>
  <si>
    <t>CAP_F_91254_16072C_LAM_NFARL_interconnec</t>
  </si>
  <si>
    <t>CAP_F_91257_16072C_LAM_NFARL_interconnec</t>
  </si>
  <si>
    <t xml:space="preserve">CAP_F_91253_16092B_LAM_AHM_Interconnecti </t>
  </si>
  <si>
    <t>CAP_F_91190_1600DB_LAM_EMMA_Interconnect</t>
  </si>
  <si>
    <t xml:space="preserve">CAP_F_91191_16067A_LAM_SBL_Interconnecti </t>
  </si>
  <si>
    <t>CAP_F_91192_16067A_LAM_SBL_Interconnecti</t>
  </si>
  <si>
    <t>CAP_F_91187_1600DB_LAM_EMMA_Interconnect</t>
  </si>
  <si>
    <t xml:space="preserve">CAP_F_91255_16067A_LAM_SBL_Interconnecti </t>
  </si>
  <si>
    <t xml:space="preserve">CAP_F_91185_16067A_LAM_SBL_Interconnecti </t>
  </si>
  <si>
    <t xml:space="preserve">CAP_F_90053_1600DA_ASM_ALO_Interconnecti </t>
  </si>
  <si>
    <t>CAP_F_ 91341 1601DL_AMAT_Olympia_Interco</t>
  </si>
  <si>
    <t>KCOLA3</t>
  </si>
  <si>
    <t>CAP_F_ 91414 1600CR_LAM_Mithril_Intercon</t>
  </si>
  <si>
    <t>F21CVD2 LAM tool interconnection/F21 CVD2 EMMA tool 4K interconnection</t>
  </si>
  <si>
    <t>1-1</t>
    <phoneticPr fontId="14" type="noConversion"/>
  </si>
  <si>
    <t>MICUINT202406064</t>
  </si>
  <si>
    <r>
      <rPr>
        <sz val="11"/>
        <color theme="1"/>
        <rFont val="MingLiU"/>
        <family val="2"/>
        <charset val="136"/>
      </rPr>
      <t>因為當初</t>
    </r>
    <r>
      <rPr>
        <sz val="11"/>
        <color theme="1"/>
        <rFont val="Calibri"/>
        <family val="2"/>
      </rPr>
      <t>PO</t>
    </r>
    <r>
      <rPr>
        <sz val="11"/>
        <color theme="1"/>
        <rFont val="MingLiU"/>
        <family val="2"/>
        <charset val="136"/>
      </rPr>
      <t>沒有</t>
    </r>
    <r>
      <rPr>
        <sz val="11"/>
        <color theme="1"/>
        <rFont val="Microsoft JhengHei"/>
        <family val="2"/>
      </rPr>
      <t>拆開兩台寫，故提送</t>
    </r>
    <r>
      <rPr>
        <sz val="11"/>
        <color theme="1"/>
        <rFont val="Calibri"/>
        <family val="2"/>
      </rPr>
      <t>KCANN1</t>
    </r>
    <r>
      <rPr>
        <sz val="11"/>
        <color theme="1"/>
        <rFont val="Microsoft JhengHei"/>
        <family val="2"/>
      </rPr>
      <t>用了兩台金額，</t>
    </r>
    <r>
      <rPr>
        <sz val="11"/>
        <color theme="1"/>
        <rFont val="Calibri"/>
        <family val="2"/>
      </rPr>
      <t>M</t>
    </r>
    <r>
      <rPr>
        <sz val="11"/>
        <color theme="1"/>
        <rFont val="Microsoft JhengHei"/>
        <family val="2"/>
      </rPr>
      <t>要跟陳昭宇討論</t>
    </r>
    <phoneticPr fontId="14" type="noConversion"/>
  </si>
  <si>
    <t>1-2</t>
    <phoneticPr fontId="14" type="noConversion"/>
  </si>
  <si>
    <r>
      <rPr>
        <sz val="11"/>
        <color theme="1"/>
        <rFont val="新細明體"/>
        <family val="2"/>
      </rPr>
      <t>等</t>
    </r>
    <r>
      <rPr>
        <sz val="11"/>
        <color theme="1"/>
        <rFont val="Calibri"/>
        <family val="2"/>
      </rPr>
      <t>1-1</t>
    </r>
    <r>
      <rPr>
        <sz val="11"/>
        <color theme="1"/>
        <rFont val="新細明體"/>
        <family val="2"/>
      </rPr>
      <t>退單後再送</t>
    </r>
    <phoneticPr fontId="14" type="noConversion"/>
  </si>
  <si>
    <t>F21CVD2 LAM tool interconnection/F21 CVD2 Mithril tool 4K interconnection</t>
  </si>
  <si>
    <t>2-1</t>
    <phoneticPr fontId="14" type="noConversion"/>
  </si>
  <si>
    <t>MICUINT202406065</t>
  </si>
  <si>
    <t>2-2</t>
    <phoneticPr fontId="14" type="noConversion"/>
  </si>
  <si>
    <t>F21CVD2 LAM tool interconnection/F21 CVD2 AHM tool 4K interconnection</t>
  </si>
  <si>
    <t>MICUINT202307788</t>
  </si>
  <si>
    <t>MICUINT202409002</t>
  </si>
  <si>
    <t>F21CVD2 LAM tool interconnection/F21 CVD2 LAM TMSIC tool 4K interconnection</t>
  </si>
  <si>
    <t>4-1</t>
    <phoneticPr fontId="14" type="noConversion"/>
  </si>
  <si>
    <t>莊宜橙/Orange/F21-CVD2/Ext.7713925</t>
  </si>
  <si>
    <t>MICUINT202409003</t>
  </si>
  <si>
    <t>4-2</t>
    <phoneticPr fontId="14" type="noConversion"/>
  </si>
  <si>
    <t>陳昭宇/David Chen/F21-CVD3/Ext.7713918</t>
  </si>
  <si>
    <t>MICUINT202408100</t>
  </si>
  <si>
    <t>F21CVD2 LAM tool interconnection/F21 CVD2 CAPPING tool 4K interconnection</t>
  </si>
  <si>
    <t>5-1</t>
    <phoneticPr fontId="14" type="noConversion"/>
  </si>
  <si>
    <t>MICUINT202405096</t>
  </si>
  <si>
    <t>5-2</t>
    <phoneticPr fontId="14" type="noConversion"/>
  </si>
  <si>
    <t>MICUINT202409004</t>
  </si>
  <si>
    <t>F21CVD2 LAM tool interconnection/F21 CVD2 LAM SBL tool 4K interconnection</t>
  </si>
  <si>
    <t>6-1</t>
    <phoneticPr fontId="14" type="noConversion"/>
  </si>
  <si>
    <t>MICUINT202408101</t>
  </si>
  <si>
    <t>6-2</t>
  </si>
  <si>
    <t>MICUINT202408102</t>
  </si>
  <si>
    <t>6-3</t>
  </si>
  <si>
    <t>MICUINT202405097</t>
  </si>
  <si>
    <t>F21CVD2 LAM tool interconnection/F21 CVD2 LAM HM tool 4K interconnection</t>
  </si>
  <si>
    <t>7-1</t>
    <phoneticPr fontId="14" type="noConversion"/>
  </si>
  <si>
    <t>MICUINT202409005</t>
  </si>
  <si>
    <t>7-2</t>
    <phoneticPr fontId="14" type="noConversion"/>
  </si>
  <si>
    <t>KCOXN5</t>
    <phoneticPr fontId="14" type="noConversion"/>
  </si>
  <si>
    <t>MICUINT202409006</t>
  </si>
  <si>
    <t>F21CVD2 LAM tool interconnection/F21 CVD2 LAM NFRAL tool 4K interconnection</t>
  </si>
  <si>
    <t>MICUINT202307789</t>
  </si>
  <si>
    <t>MICUINT202409007</t>
  </si>
  <si>
    <t>please attach correct file(part list+picture) 尚未取得簽字</t>
  </si>
  <si>
    <t>F21CVD2 LAM tool interconnection/F21 CVD2 LAM PESN tool 4K interconnection</t>
  </si>
  <si>
    <t>MICUINT202409008</t>
  </si>
  <si>
    <t>F21CVD2 LAM tool interconnection/F21 CVD2 LAM SION tool 4K interconnection</t>
  </si>
  <si>
    <t>MICUINT202409009</t>
  </si>
  <si>
    <t>F21CVD2 LAM tool interconnection/F21 CVD2 LAM TEOS tool 4K interconnection</t>
  </si>
  <si>
    <t>11-1</t>
    <phoneticPr fontId="14" type="noConversion"/>
  </si>
  <si>
    <t>MICUINT202408103</t>
  </si>
  <si>
    <t>11-2</t>
    <phoneticPr fontId="14" type="noConversion"/>
  </si>
  <si>
    <t>MICUINT202408104</t>
  </si>
  <si>
    <t>F21CVD2 LAM tool interconnection/F21 CVD2 LAM USG tool 4K interconnection</t>
  </si>
  <si>
    <t>12-1</t>
    <phoneticPr fontId="14" type="noConversion"/>
  </si>
  <si>
    <t>MICUINT202307790</t>
  </si>
  <si>
    <t>MICUINT202409010</t>
  </si>
  <si>
    <t>12-2</t>
    <phoneticPr fontId="14" type="noConversion"/>
  </si>
  <si>
    <t>F21CVD2 LAM tool interconnection/F21 CVD2 LAM HSUSG tool 4K interconnection</t>
  </si>
  <si>
    <t>MICUINT202307791</t>
  </si>
  <si>
    <t>MICUINT202409011</t>
  </si>
  <si>
    <t>F21CVD2 LAM tool interconnection/F21 CVD2 LAM WDC tool 4K interconnection</t>
  </si>
  <si>
    <t>MICUINT202402001</t>
  </si>
  <si>
    <t>this po is for CVD2 gasline retrofit,your attach file is cable routing and ETC dep material, pls confirm.</t>
  </si>
  <si>
    <t>CAP_F_90713_FC3000 ACT EQP inter con</t>
  </si>
  <si>
    <t>FC_3000 Polymer Stripping (ACT)</t>
  </si>
  <si>
    <t>KEPSS1</t>
  </si>
  <si>
    <t>MICUINT202302400</t>
  </si>
  <si>
    <t>MICUINT202405082</t>
  </si>
  <si>
    <t>CAP_F_91195_FC3000 ACT EQP inter con</t>
  </si>
  <si>
    <t>KEPSS2</t>
  </si>
  <si>
    <t>MICUINT202302401</t>
  </si>
  <si>
    <t>CAP_F_90728_FC3100 B Clean EQP inter con</t>
  </si>
  <si>
    <t>Screen DNS and Track 0904</t>
  </si>
  <si>
    <t>KDBCS1</t>
  </si>
  <si>
    <t>MICUINT202302411</t>
  </si>
  <si>
    <t>MICUINT202404122</t>
  </si>
  <si>
    <t>CAP_F_90741_FC3100 M1/SPM/HF EQP inter c</t>
  </si>
  <si>
    <t>KRWRS1</t>
  </si>
  <si>
    <t>MICUINT202407008</t>
  </si>
  <si>
    <t>CAP_F_90740_FC3100 NPE/HF/APM EQP inter</t>
  </si>
  <si>
    <t>KRWRS7</t>
  </si>
  <si>
    <t>MICUINT202302404</t>
  </si>
  <si>
    <t>MICUINT202406002</t>
  </si>
  <si>
    <t>CAP_F_91209_FC3100 NPE/HF/APM EQP inter</t>
  </si>
  <si>
    <t>KRWRSA</t>
  </si>
  <si>
    <t>CAP_F_90735_FC3100 H1/H3/APM EQP inter c</t>
  </si>
  <si>
    <t>KRWRS6</t>
  </si>
  <si>
    <t>MICUINT202302406</t>
  </si>
  <si>
    <t>MICUINT202404129</t>
  </si>
  <si>
    <t>CAP_F_90736_FC3100 M1/H1/H3 EQP inter co</t>
  </si>
  <si>
    <t>KRWRS2</t>
  </si>
  <si>
    <t>MICUINT202404126</t>
  </si>
  <si>
    <t>CAP_F_90737_FC3100 SPM/APM/HPM EQP inter</t>
  </si>
  <si>
    <t>KRWRS4</t>
  </si>
  <si>
    <t>MICUINT202302408</t>
  </si>
  <si>
    <t>MICUINT202404121</t>
  </si>
  <si>
    <t>CAP_F_91211_FC3100 SPM/APM/HPM EQP inter</t>
  </si>
  <si>
    <t>KRWRSB</t>
  </si>
  <si>
    <t>CAP_F_90742_FC3100 M1/HF/APM EQP inter c</t>
  </si>
  <si>
    <t>KRWRS8</t>
  </si>
  <si>
    <t>MICUINT202302410</t>
  </si>
  <si>
    <t>CAP_F_90738_FC3100 BD/APM/HPM EQP inter</t>
  </si>
  <si>
    <t>KRWRS3</t>
  </si>
  <si>
    <t>MICUINT202404127</t>
  </si>
  <si>
    <t>CAP_F_91210_FC3100 BD/APM/HPM EQP inter</t>
  </si>
  <si>
    <t>KRWRSC</t>
  </si>
  <si>
    <t>MICUINT202302412</t>
  </si>
  <si>
    <t>CAP_F_90739_FC3100 M2/APM/HF EQP inter c</t>
  </si>
  <si>
    <t>KRWRS5</t>
  </si>
  <si>
    <t>MICUINT202404130</t>
  </si>
  <si>
    <t>"CAP_F_90743_FC3100 MG, M2/APM/HF EQP in</t>
  </si>
  <si>
    <t>KRWRS9</t>
  </si>
  <si>
    <t>MICUINT202302414</t>
  </si>
  <si>
    <t>CAP_F_90716_SB3000 Backside etch EQP int</t>
  </si>
  <si>
    <t>KDHBS1</t>
  </si>
  <si>
    <t>MICUINT202405083</t>
  </si>
  <si>
    <t>CAP_F_90990_SB3000 Backside etch EQP int</t>
  </si>
  <si>
    <t>KDHBS2</t>
  </si>
  <si>
    <t>CAP_F_90730_SS3200 FEOL CW EQP inter con</t>
  </si>
  <si>
    <t>林嘉祥/F21-WET1/Ext.7712719</t>
  </si>
  <si>
    <t>原先請款KCSCS8</t>
    <phoneticPr fontId="16" type="noConversion"/>
  </si>
  <si>
    <t>CAP_F_90729_SS3200 BEOL CW EQP inter con</t>
  </si>
  <si>
    <t>原先請款KCSCS5</t>
    <phoneticPr fontId="16" type="noConversion"/>
  </si>
  <si>
    <t>CAP_F_90692_SS3200 CX-100 EQP inter con</t>
  </si>
  <si>
    <t>KCSCS6</t>
  </si>
  <si>
    <t>MICUINT202405084</t>
  </si>
  <si>
    <r>
      <rPr>
        <sz val="11"/>
        <color rgb="FF000000"/>
        <rFont val="Calibri"/>
        <family val="2"/>
      </rPr>
      <t>please request QC amount only, due to piping material and pulled by SCREEN_</t>
    </r>
    <r>
      <rPr>
        <sz val="11"/>
        <color rgb="FF000000"/>
        <rFont val="新細明體"/>
      </rPr>
      <t>業務</t>
    </r>
    <r>
      <rPr>
        <sz val="11"/>
        <color rgb="FF000000"/>
        <rFont val="Calibri"/>
        <family val="2"/>
      </rPr>
      <t>M</t>
    </r>
    <r>
      <rPr>
        <sz val="11"/>
        <color rgb="FF000000"/>
        <rFont val="新細明體"/>
      </rPr>
      <t>已告知協定請款</t>
    </r>
    <r>
      <rPr>
        <sz val="11"/>
        <color rgb="FF000000"/>
        <rFont val="Calibri"/>
        <family val="2"/>
      </rPr>
      <t>40%</t>
    </r>
  </si>
  <si>
    <t>CAP_F_90690_SS3200+ P126 P900 EQP inter</t>
    <phoneticPr fontId="30" type="noConversion"/>
  </si>
  <si>
    <t>KCSCSC</t>
  </si>
  <si>
    <t>MICUINT202405061</t>
  </si>
  <si>
    <t>CAP_F_91202_SS3200+ P126 P900 EQP inter</t>
    <phoneticPr fontId="30" type="noConversion"/>
  </si>
  <si>
    <t>KCSCSF</t>
  </si>
  <si>
    <t>CAP_F_90691_SS3200+ P22 P3600 EQP inter</t>
    <phoneticPr fontId="30" type="noConversion"/>
  </si>
  <si>
    <t>KCSCSA</t>
  </si>
  <si>
    <t>MICUINT202405085</t>
  </si>
  <si>
    <t>CAP_F_90687_SS3200+ P28 80 EQP inter con</t>
    <phoneticPr fontId="30" type="noConversion"/>
  </si>
  <si>
    <t>KCSCS7</t>
  </si>
  <si>
    <t>MICUINT202405086</t>
  </si>
  <si>
    <t>CAP_F_90688_SS3200+ P28 80 EQP inter con</t>
    <phoneticPr fontId="30" type="noConversion"/>
  </si>
  <si>
    <t>KCSCSD</t>
  </si>
  <si>
    <t>CAP_F_91204_SS3200+ P28 80 EQP inter con</t>
    <phoneticPr fontId="30" type="noConversion"/>
  </si>
  <si>
    <t>KCSCSL</t>
  </si>
  <si>
    <t>CAP_F_91203_SS3200+ P28 80 EQP inter con</t>
    <phoneticPr fontId="30" type="noConversion"/>
  </si>
  <si>
    <t>KCSCSE</t>
  </si>
  <si>
    <t>CAP_F_90689_SS3200+ P76 EQP inter con</t>
  </si>
  <si>
    <t>KCSCS9</t>
  </si>
  <si>
    <t>MICUINT202405087</t>
  </si>
  <si>
    <t>CAP_F_90954_SS3200+ P76 EQP inter con</t>
  </si>
  <si>
    <t>KCSCSK</t>
  </si>
  <si>
    <t>CAP_F_90683_SS3200+ FEOL EQP inter con</t>
  </si>
  <si>
    <t>KCSCS4</t>
  </si>
  <si>
    <t>MICUINT202404128</t>
  </si>
  <si>
    <t>CAP_F_91206_SS3200+ FEOL EQP inter con</t>
  </si>
  <si>
    <t>KCSCSH</t>
  </si>
  <si>
    <t>CAP_F_90686_SS3200+ Pass EQP inter con</t>
  </si>
  <si>
    <t>KCSCSB</t>
  </si>
  <si>
    <t>MICUINT202405088</t>
  </si>
  <si>
    <t>CAP_F_91205_SS3200+ Pass EQP inter con</t>
  </si>
  <si>
    <t>KCSCSJ</t>
  </si>
  <si>
    <t>CAP_F_90684_SS3200+ BEOL N2 P28 P76 EQP</t>
    <phoneticPr fontId="30" type="noConversion"/>
  </si>
  <si>
    <r>
      <rPr>
        <sz val="11"/>
        <color rgb="FF000000"/>
        <rFont val="新細明體"/>
        <family val="2"/>
      </rPr>
      <t>蔡端豐</t>
    </r>
    <r>
      <rPr>
        <sz val="11"/>
        <color rgb="FF000000"/>
        <rFont val="Calibri"/>
        <family val="2"/>
      </rPr>
      <t>/F12B-WET2/Ext.7139228</t>
    </r>
  </si>
  <si>
    <t>KCSCS3</t>
  </si>
  <si>
    <t>MICUINT202405062</t>
  </si>
  <si>
    <t>CAP_F_90685_SS3200+ BEOL N2 P28 P76 EQP</t>
    <phoneticPr fontId="30" type="noConversion"/>
  </si>
  <si>
    <t>KCSCSG</t>
  </si>
  <si>
    <t>CAP_F_90693_SS3200+ FEOL N2 EQP inter co</t>
  </si>
  <si>
    <t>KCSCS1</t>
  </si>
  <si>
    <t>MICUINT202404140</t>
  </si>
  <si>
    <t>Submited</t>
  </si>
  <si>
    <t>CAP_F_90694_SS3200+ FEOL N2 EQP inter co</t>
  </si>
  <si>
    <t>KCSCS2</t>
  </si>
  <si>
    <t>CAP_F_90734_SU3100 Caros SPM/HF EQP inte</t>
  </si>
  <si>
    <t>陳威呈</t>
  </si>
  <si>
    <t>KDCRS9</t>
  </si>
  <si>
    <t xml:space="preserve">CAP_F_90709_SU3100 Polymer SPM/HF EQP in </t>
  </si>
  <si>
    <t>KDCRS3</t>
  </si>
  <si>
    <t>MICUINT202405049</t>
  </si>
  <si>
    <t>CAP_F_90746_SU3100 Polymer SPM/HF EQP in</t>
  </si>
  <si>
    <t>KDCRSA</t>
  </si>
  <si>
    <t>CAP_F_90811_SU3100 Polymer SPM/HF/IPA EQ</t>
  </si>
  <si>
    <t xml:space="preserve">SU-3100 Polymer/PR Stripping (FEOL, SPM/HF/IPA, Single Wafer) - N3/N5  配管拉線 </t>
  </si>
  <si>
    <t>KDCRS4</t>
  </si>
  <si>
    <t>MICUINT202405063</t>
  </si>
  <si>
    <t>CAP_F_90812_SU3100 Polymer SPM/HF/IPA EQ</t>
  </si>
  <si>
    <t>KDCRS5</t>
  </si>
  <si>
    <t>MICUINT202404131</t>
  </si>
  <si>
    <t xml:space="preserve">CAP_F_90962_SU3100 Polymer SPM/HF/IPA EQ </t>
  </si>
  <si>
    <t>KDCRS6</t>
  </si>
  <si>
    <t>CAP_F_90991_SU3100 Polymer SPM/HF/IPA EQ</t>
  </si>
  <si>
    <t>KDCRS7</t>
  </si>
  <si>
    <t>CAP_F_90708_SU3200 Combo 130087+131017 E</t>
  </si>
  <si>
    <t>KDSTSA</t>
  </si>
  <si>
    <t>MICUINT202404132</t>
  </si>
  <si>
    <t>CAP_F_90724_SU3200 Combo 130087+131017 E</t>
  </si>
  <si>
    <t>KDSTSH</t>
  </si>
  <si>
    <t xml:space="preserve">CAP_F_90745_SU3200 Combo 130261+130266 E </t>
  </si>
  <si>
    <t>KDCRS8</t>
  </si>
  <si>
    <t>CAP_F_90712_SU3200 Combo 130261+130266 E</t>
  </si>
  <si>
    <t>KDCRS1</t>
  </si>
  <si>
    <t>MICUINT202405064</t>
  </si>
  <si>
    <t>CAP_F_90702_SU3200 MR5 EQP inter con</t>
  </si>
  <si>
    <t>KDCCS2</t>
  </si>
  <si>
    <t>MICUINT202405089</t>
  </si>
  <si>
    <t>CAP_F_90703_SU3200 MS9600 EQP inter con</t>
  </si>
  <si>
    <t>KDCCS1</t>
  </si>
  <si>
    <t>MICUINT202405090</t>
  </si>
  <si>
    <t>CAP_F_90704_SU3200 MS9600 EQP inter con</t>
  </si>
  <si>
    <t>KDCCS4</t>
  </si>
  <si>
    <t>CAP_F_90705_SU3200 O3/SC1 EQP inter con</t>
  </si>
  <si>
    <t>KDCCS3</t>
  </si>
  <si>
    <t>MICUINT202404144</t>
  </si>
  <si>
    <t>CAP_F_90706_SU3200 O3/SC1 EQP inter con</t>
  </si>
  <si>
    <t>KDCCS5</t>
  </si>
  <si>
    <t>CAP_F_90701_SU3200 Fin Etch EQP inter co</t>
  </si>
  <si>
    <t xml:space="preserve">SU-3200 Fin Wet Etching - N5配管拉線 </t>
  </si>
  <si>
    <t>KDSTS9</t>
  </si>
  <si>
    <t>MICUINT202405065</t>
  </si>
  <si>
    <t>CAP_F_90744_SU3200 Fin Etch EQP inter co</t>
  </si>
  <si>
    <t>KDSTSD</t>
  </si>
  <si>
    <t>CAP_F_90722_SU3200 DHF/dNH4OH/MR1/MR3 EQ</t>
  </si>
  <si>
    <t xml:space="preserve">SU-3200 Metal Wet Etching (DHF 500:1/dNH4OH/MR1/MR3) - N3/N5 配管拉線 </t>
  </si>
  <si>
    <t>KDMRS2</t>
  </si>
  <si>
    <t>MICUINT202405091</t>
  </si>
  <si>
    <t>CAP_F_90723_SU3200 DHF/dNH4OH/MR1/MR3 EQ</t>
  </si>
  <si>
    <t>KDMRS5</t>
  </si>
  <si>
    <t>CAP_F_90707_SU3200 PR Strip Single wafer</t>
  </si>
  <si>
    <t xml:space="preserve">SU-3200 Polymer/PR Stripping (Single Wafer) - N3~013配管拉線 </t>
  </si>
  <si>
    <t>KDCRS2</t>
  </si>
  <si>
    <t>MICUINT202404139</t>
  </si>
  <si>
    <t xml:space="preserve">CAP_F_91004_SU3200 PR Strip Single wafer </t>
  </si>
  <si>
    <t>KDCRSB</t>
  </si>
  <si>
    <t>CAP_F_90717_SU3200 DHF/MR2/MR3 EQP inter</t>
  </si>
  <si>
    <t>KDMRS1</t>
  </si>
  <si>
    <t>MICUINT202404145</t>
  </si>
  <si>
    <t xml:space="preserve">CAP_F_90718_SU3200 DHF/MR2/MR3 EQP inter </t>
  </si>
  <si>
    <t>KDMRS7</t>
  </si>
  <si>
    <t>CAP_F_90719_SU3200 dNH4OH/MR1/MR2/O3 EQP</t>
  </si>
  <si>
    <t>KDMRS4</t>
  </si>
  <si>
    <t>MICUINT202407009</t>
  </si>
  <si>
    <t>CAP_F_91208_SU3200 dNH4OH/MR1/MR2/O3 EQP</t>
  </si>
  <si>
    <t>KDMRS6</t>
  </si>
  <si>
    <t>CAP_F_90720_SU3200 MR3 EQP inter con</t>
  </si>
  <si>
    <t>KDMRS3</t>
  </si>
  <si>
    <t>MICUINT202405092</t>
  </si>
  <si>
    <t>CAP_F_90721_SU3200 MR3 EQP inter con</t>
  </si>
  <si>
    <t>KDMRS8</t>
  </si>
  <si>
    <t xml:space="preserve">CAP_F_90731_SU3200 Std Cln BEOL CW EQP i </t>
  </si>
  <si>
    <t>KDSTS1</t>
  </si>
  <si>
    <t>MICUINT202405093</t>
  </si>
  <si>
    <t xml:space="preserve">CAP_F_90732_SU3200 Std Cln BEOL CW EQP i </t>
  </si>
  <si>
    <t>KDSTSL</t>
  </si>
  <si>
    <t xml:space="preserve">CAP_F_90725_SU3200 Std Cln FEOL CW EQP i </t>
  </si>
  <si>
    <t>KDSTS2</t>
  </si>
  <si>
    <t>MICUINT202405094</t>
  </si>
  <si>
    <t>CAP_F_90726_SU3200 Std Cln FEOL CW EQP i</t>
  </si>
  <si>
    <t>KDSTS4</t>
  </si>
  <si>
    <t>MICUINT202406025</t>
  </si>
  <si>
    <t xml:space="preserve">CAP_F_90992_SU3200 Std Cln FEOL CW EQP i </t>
  </si>
  <si>
    <t>劉宜鈞/F21-WET1/Ext.7712718</t>
  </si>
  <si>
    <t>KDSTSJ</t>
  </si>
  <si>
    <t>CAP_F_90733_SU3200 Std Cln HK CW EQP int</t>
  </si>
  <si>
    <t>KDSTS6</t>
  </si>
  <si>
    <t>MICUINT202405066</t>
  </si>
  <si>
    <t>CAP_F_90699_SU3200 Std Cln F1 EQP inter</t>
  </si>
  <si>
    <t>KDSTS3</t>
  </si>
  <si>
    <t>MICUINT202404138</t>
  </si>
  <si>
    <t>CAP_F_90700_SU3200 Std Cln F1 EQP inter</t>
  </si>
  <si>
    <t>KDSTSC</t>
  </si>
  <si>
    <t>CAP_F_91374_SU3200 Std Cln F1 EQP inter</t>
  </si>
  <si>
    <t>KDSTSK</t>
  </si>
  <si>
    <t>CAP_F_90695_SU3200 Std Cln Single Wafer</t>
  </si>
  <si>
    <t>KDSTS5</t>
  </si>
  <si>
    <t>MICUINT202404143</t>
  </si>
  <si>
    <t>CAP_F_90696_SU3200 Std Cln Single Wafer</t>
  </si>
  <si>
    <t>KDSTSB</t>
  </si>
  <si>
    <t>CAP_F_91196_SU3200 Std Cln Single Wafer</t>
  </si>
  <si>
    <t>KDSTSE</t>
  </si>
  <si>
    <t>CAP_F_90697_SU3200 Std Cln ADS EQP inter</t>
  </si>
  <si>
    <t xml:space="preserve">SU-3200 Std. Clean (Single Wafer/ADS) - N3~N7配管拉線 </t>
  </si>
  <si>
    <t>KDSTS8</t>
  </si>
  <si>
    <t>MICUINT202404142</t>
  </si>
  <si>
    <t>CAP_F_90698_SU3200 Std Cln ADS EQP inter</t>
  </si>
  <si>
    <t>KDSTSG</t>
  </si>
  <si>
    <t>CAP_F_90955_SU3200 Std Cln ADS EQP inter</t>
  </si>
  <si>
    <t>KDSTSF</t>
  </si>
  <si>
    <t>CAP_F_91100_Vigus V1*2_Main_tool_interco</t>
  </si>
  <si>
    <t>KECOT6</t>
  </si>
  <si>
    <t>"CAP_F_90848_Vigus iX*6, HC CIP_Main_too</t>
  </si>
  <si>
    <t>MICUINT202404066</t>
  </si>
  <si>
    <t>"CAP_F_90130_Vigus iX*6, HC CIP_Main_too</t>
  </si>
  <si>
    <t>MICUINT202312011</t>
  </si>
  <si>
    <t>please send the attachment mech sign off and elec sign off document to me,I need to sign the TSMC ID</t>
  </si>
  <si>
    <t>"CAP_F_90849_Vigus iX*6, HC CIP_Main_too</t>
  </si>
  <si>
    <t>MICUINT202404067</t>
  </si>
  <si>
    <t>"CAP_F_91395_Vigus iX*6, HC CIP_Main_too</t>
  </si>
  <si>
    <t>"CAP_F_91012_Vigus iX*6, HC CIP_Main_too</t>
  </si>
  <si>
    <t>"CAP_F_91093_Vigus iX*4, HC CIP_Main_too</t>
  </si>
  <si>
    <t>KECOT4</t>
  </si>
  <si>
    <t>CAP_F_90759_DNS_USSA_Main tool interconn</t>
  </si>
  <si>
    <t xml:space="preserve"> FCSHEN &lt;FCSHEN@TSMC.COM&gt;</t>
  </si>
  <si>
    <t>Screen(DNS) DIF2 vendor data_wmc</t>
  </si>
  <si>
    <t>KDFAD1</t>
  </si>
  <si>
    <t>MICUINT202403028</t>
  </si>
  <si>
    <t>CAP_F_91295_DNS_USSA_Main tool interconn</t>
  </si>
  <si>
    <t>KDFAD2</t>
  </si>
  <si>
    <t>CAP_F_ 91439 14102S_Mattson_ICP_Intercon</t>
  </si>
  <si>
    <t>KEPRMD</t>
  </si>
  <si>
    <t>CAP_F_ 91440 14102S_Mattson_ICP_Intercon</t>
  </si>
  <si>
    <t>KEPRMB</t>
  </si>
  <si>
    <t>CAP_F_ 91441 14102S_Mattson_ICP_Intercon</t>
  </si>
  <si>
    <t>KEPRMF</t>
  </si>
  <si>
    <t>CAP_F_ 91428 1400KD_Lam_FLEX-FL_Intercon</t>
  </si>
  <si>
    <t>CAP_F_ 91425 1400HV_Lam_FLEX-FL_Intercon</t>
  </si>
  <si>
    <t>CAP_F_ 91427 1400GC_Lam_Metal NXP_Interc</t>
  </si>
  <si>
    <t>KECOL7</t>
  </si>
  <si>
    <t>CAP_F_90393_Parts quality analysis inter</t>
  </si>
  <si>
    <t>USCCT2304003</t>
  </si>
  <si>
    <t>ETC Mars i explorer module quote 1025</t>
  </si>
  <si>
    <t>CAP_F_90490_ESC analyze Platform interco</t>
  </si>
  <si>
    <t>USCCT2304004</t>
  </si>
  <si>
    <t>MICUINT202409068</t>
  </si>
  <si>
    <t>CAP_F_ 90057 Install temperature &amp; humid (canceled)</t>
  </si>
  <si>
    <t>1MUQTS2212004_02</t>
  </si>
  <si>
    <t>CAP_F_ 91244 Install temperature &amp; humid (canceled)</t>
  </si>
  <si>
    <t>CAP_F_ 91243 Install temperature &amp; humid (canceled)</t>
  </si>
  <si>
    <t>CAP_F_ 91242 Install temperature &amp; humid (canceled)</t>
  </si>
  <si>
    <t>CAP_F_ 91241 Install temperature &amp; humid (canceled)</t>
  </si>
  <si>
    <t>CAP_F_ 91239 Install temperature &amp; humid (canceled)</t>
  </si>
  <si>
    <t>CAP_F_ 91238 Install temperature &amp; humid (canceled)</t>
  </si>
  <si>
    <t>CAP_F_ 91240 Install temperature &amp; humid (canceled)</t>
  </si>
  <si>
    <t>CAP_F_ 90061 Install temperature &amp; humid (canceled)</t>
  </si>
  <si>
    <t>CAP_F_ 90060 Install temperature &amp; humid (canceled)</t>
  </si>
  <si>
    <t>CAP_F_ 90328 Rigaku Interconnection Tool</t>
  </si>
  <si>
    <t>賴彥佑</t>
  </si>
  <si>
    <t>1MUQTR2301001_01</t>
  </si>
  <si>
    <t>KEXR01</t>
  </si>
  <si>
    <t>RIGAKU</t>
  </si>
  <si>
    <t>CAP_F_ 91230 Rigaku Interconnection Tool</t>
  </si>
  <si>
    <t>KEXR02</t>
  </si>
  <si>
    <t>CAP_F_ 90059 Install temperature &amp; humid (canceled)</t>
  </si>
  <si>
    <t>CAP_F_ 90058 Install temperature &amp; humid (canceled)</t>
  </si>
  <si>
    <t>CAP_F_ 91238 Install Temperature &amp; Humid</t>
  </si>
  <si>
    <t>USCCT2404014</t>
  </si>
  <si>
    <t>1MUQTS2212004_03</t>
  </si>
  <si>
    <t>CAP_F_ 91239 Install Temperature &amp; Humid</t>
  </si>
  <si>
    <t xml:space="preserve">Y.Y. Lai 賴彥佑 &lt;YYLAIK@TSMC.COM&gt; </t>
  </si>
  <si>
    <t>CAP_F_ 91240 Install Temperature &amp; Humid</t>
  </si>
  <si>
    <t>CAP_F_ 91241 Install Temperature &amp; Humid</t>
  </si>
  <si>
    <r>
      <t xml:space="preserve">Y.Y. Lai </t>
    </r>
    <r>
      <rPr>
        <sz val="11"/>
        <color rgb="FF000000"/>
        <rFont val="新細明體"/>
        <family val="2"/>
      </rPr>
      <t>賴彥佑</t>
    </r>
    <r>
      <rPr>
        <sz val="11"/>
        <color rgb="FF000000"/>
        <rFont val="Calibri"/>
        <family val="2"/>
      </rPr>
      <t xml:space="preserve"> &lt;YYLAIK@TSMC.COM&gt; </t>
    </r>
  </si>
  <si>
    <t>MICUINT202409069</t>
  </si>
  <si>
    <t>CAP_F_ 91242 Install Temperature &amp; Humid</t>
  </si>
  <si>
    <t>CAP_F_ 91243 Install Temperature &amp; Humid</t>
  </si>
  <si>
    <t>CAP_F_ 91244 Install Temperature &amp; Humid</t>
  </si>
  <si>
    <t>CAP_F_ 90057 Install Temperature &amp; Humid</t>
  </si>
  <si>
    <t>MICUINT202409070</t>
  </si>
  <si>
    <t>CAP_F_ 90058 Install Temperature &amp; Humid</t>
  </si>
  <si>
    <t>MICUINT202409071</t>
  </si>
  <si>
    <t>CAP_F_ 90059 Install Temperature &amp; Humid</t>
  </si>
  <si>
    <t>MICUINT202409072</t>
  </si>
  <si>
    <t>CAP_F_ 90060 Install Temperature &amp; Humid</t>
  </si>
  <si>
    <t>MICUINT202409073</t>
  </si>
  <si>
    <t>CAP_F_ 90061 Install Temperature &amp; Humid</t>
  </si>
  <si>
    <t>MICUINT202409074</t>
  </si>
  <si>
    <t> </t>
  </si>
  <si>
    <t>EBO21-PVC Curtain Quote 1MUQTS2208020</t>
  </si>
  <si>
    <t>Kinpo</t>
  </si>
  <si>
    <t>USCCT2210009</t>
  </si>
  <si>
    <t>Currie&amp;Brown</t>
  </si>
  <si>
    <t>1MUQTS2208020</t>
  </si>
  <si>
    <t>MICUINT202312013</t>
  </si>
  <si>
    <t>MICUINT202409028</t>
  </si>
  <si>
    <t>陸續會再請款</t>
  </si>
  <si>
    <t>CAP_F_90328 Interconnection extra cable</t>
  </si>
  <si>
    <t>USCCT2405024</t>
  </si>
  <si>
    <t>孫中伯/C.P. Sun/F21-EPI/Ext.7713125</t>
  </si>
  <si>
    <t>1MUQTS2311077</t>
  </si>
  <si>
    <t>90328</t>
  </si>
  <si>
    <t>MICUINT202408129</t>
  </si>
  <si>
    <t>CAP_F_90151 Interconnection extra cable</t>
  </si>
  <si>
    <t>USCCT2405028</t>
  </si>
  <si>
    <r>
      <t xml:space="preserve">H.H. Pan </t>
    </r>
    <r>
      <rPr>
        <sz val="11"/>
        <color rgb="FF000000"/>
        <rFont val="新細明體"/>
        <family val="2"/>
      </rPr>
      <t>潘信華</t>
    </r>
    <r>
      <rPr>
        <sz val="11"/>
        <color rgb="FF000000"/>
        <rFont val="Calibri"/>
        <family val="2"/>
      </rPr>
      <t xml:space="preserve"> &lt;HHPAN@TSMC.COM&gt;</t>
    </r>
  </si>
  <si>
    <t>1MUQTS2402063_01</t>
  </si>
  <si>
    <t>90151</t>
  </si>
  <si>
    <t>CAP_F_90093 Interconnection extra cable</t>
  </si>
  <si>
    <t>USCCT2405027</t>
  </si>
  <si>
    <t>1MUQTS2402061_01</t>
  </si>
  <si>
    <t>90093</t>
  </si>
  <si>
    <t>CAP_F_90163 Interconnection extra cable</t>
  </si>
  <si>
    <t>USCCT2405026</t>
  </si>
  <si>
    <t>1MUQTS2402060_01</t>
  </si>
  <si>
    <t>90163</t>
  </si>
  <si>
    <t>CAP_F_90148 Interconnection extra cable</t>
  </si>
  <si>
    <t>USCCT2405025</t>
  </si>
  <si>
    <t>1MUQTS2402055_01</t>
  </si>
  <si>
    <t>90148</t>
  </si>
  <si>
    <t>CAP_F_90140 Interconnection extra cable</t>
  </si>
  <si>
    <t>USCCT2405030</t>
  </si>
  <si>
    <t>1MUQTS2403058_01</t>
  </si>
  <si>
    <t>90140</t>
  </si>
  <si>
    <t>CAP_F_90336 Interconnection extra cable</t>
  </si>
  <si>
    <t>USCCT2405033</t>
  </si>
  <si>
    <t>1MUQTS2402058_01</t>
  </si>
  <si>
    <t>90336</t>
  </si>
  <si>
    <t>CAP_F_90337 Interconnection extra cable</t>
  </si>
  <si>
    <t>USCCT2405031</t>
  </si>
  <si>
    <t>1MUQTS2402059_01</t>
  </si>
  <si>
    <t>90337</t>
  </si>
  <si>
    <t>CAP_F_90114 Interconnection extra cable</t>
  </si>
  <si>
    <t>USCCT2405029</t>
  </si>
  <si>
    <t>1MUQTS2403073_01</t>
  </si>
  <si>
    <t>90114</t>
  </si>
  <si>
    <t>CAP_F_90637 Interconnection extra cable</t>
  </si>
  <si>
    <t>USCCT2405032</t>
  </si>
  <si>
    <t>陳鈺庭/Yu-Ting Chen/F21-ETC2/Ext.7712412</t>
  </si>
  <si>
    <t>1MUQTS2403060</t>
  </si>
  <si>
    <t>90637</t>
  </si>
  <si>
    <t>MICUINT202408130</t>
  </si>
  <si>
    <t>CAP_F_90627 Interconnection extra cable</t>
  </si>
  <si>
    <t>USCCT2405052</t>
  </si>
  <si>
    <t>HHPAN</t>
  </si>
  <si>
    <t>1MUQTS2311017_01</t>
  </si>
  <si>
    <t>90627</t>
  </si>
  <si>
    <t>MICUINT202408039</t>
  </si>
  <si>
    <t>CAP_F_90709 Interconnection extra cable</t>
  </si>
  <si>
    <t>USCCT2405050</t>
  </si>
  <si>
    <t>YCLIUZZS(YCLIUZZS@TSMC.COM)</t>
  </si>
  <si>
    <t>1MUQTS2311032</t>
  </si>
  <si>
    <t>90709</t>
  </si>
  <si>
    <t>Screen</t>
  </si>
  <si>
    <t>MICUINT202408131</t>
  </si>
  <si>
    <t>CAP_F_90305 Interconnection extra cable</t>
  </si>
  <si>
    <t>USCCT2405053</t>
  </si>
  <si>
    <t>JYCHENZU(JYCHENZU@TSMC.COM)</t>
  </si>
  <si>
    <t>1MUQTS2402027</t>
  </si>
  <si>
    <t>90305</t>
  </si>
  <si>
    <t>ASM-JP</t>
  </si>
  <si>
    <t>MICUINT202408132</t>
  </si>
  <si>
    <t>CAP_F_90043 Interconnection extra cable</t>
  </si>
  <si>
    <t>USCCT2405051</t>
  </si>
  <si>
    <t>1MUQTS2402028</t>
  </si>
  <si>
    <t>90043</t>
  </si>
  <si>
    <t>MICUINT202408133</t>
  </si>
  <si>
    <t>CAP_F_90517 Interconnection extra cable</t>
  </si>
  <si>
    <t>USCCT2405054</t>
  </si>
  <si>
    <t>1MUQTS2312025</t>
  </si>
  <si>
    <t>90517</t>
  </si>
  <si>
    <t>MICUINT202408134</t>
  </si>
  <si>
    <t>CAP_F_90731 Interconnection extra cable</t>
  </si>
  <si>
    <t>USCCT2405049</t>
  </si>
  <si>
    <t>JSLINP(JSLINP@TSMC.COM)</t>
  </si>
  <si>
    <t>1MUQTS2312021</t>
  </si>
  <si>
    <t>90731</t>
  </si>
  <si>
    <t>MICUINT202408135</t>
  </si>
  <si>
    <t>CAP_F_90725 Interconnection extra cable</t>
  </si>
  <si>
    <t>USCCT2405048</t>
  </si>
  <si>
    <t>1MUQTS2312022</t>
  </si>
  <si>
    <t>90725</t>
  </si>
  <si>
    <t>MICUINT202408136</t>
  </si>
  <si>
    <t>CAP_F_90726 Interconnection extra cable</t>
  </si>
  <si>
    <t>USCCT2405047</t>
  </si>
  <si>
    <t>1MUQTS2312023</t>
  </si>
  <si>
    <t>90726</t>
  </si>
  <si>
    <t>MICUINT202406026</t>
  </si>
  <si>
    <t>CAP_F_90715 Interconnection extra cable</t>
  </si>
  <si>
    <t>USCCT2405046</t>
  </si>
  <si>
    <t>1MUQOC2312020</t>
  </si>
  <si>
    <t>90715</t>
  </si>
  <si>
    <t>SHIBAURA</t>
  </si>
  <si>
    <t>MICUINT202408138</t>
  </si>
  <si>
    <t>CAP_F_90152 Interconnection extra cable</t>
  </si>
  <si>
    <t>USCCT2405045</t>
  </si>
  <si>
    <t>WSCHENGE(WSCHENGE@TSMC.COM)</t>
  </si>
  <si>
    <t>90152</t>
  </si>
  <si>
    <t>CAP_F_90138 Interconnection extra cable</t>
  </si>
  <si>
    <t>USCCT2405044</t>
  </si>
  <si>
    <t>1MUQTS2403047</t>
  </si>
  <si>
    <t>90138</t>
  </si>
  <si>
    <t>CAP_F_90149 Interconnection extra cable</t>
  </si>
  <si>
    <t>USCCT2405043</t>
  </si>
  <si>
    <t>1MUQTS2403057</t>
  </si>
  <si>
    <t>90149</t>
  </si>
  <si>
    <t>CAP_F_90597 Interconnection extra cable</t>
  </si>
  <si>
    <t>USCCT2405040</t>
  </si>
  <si>
    <t>Jerry Lin &lt;JSLINP@TSMC.COM&gt;</t>
  </si>
  <si>
    <t>1MUQTS2401090</t>
  </si>
  <si>
    <t>90597</t>
  </si>
  <si>
    <t>MICUINT202408139</t>
  </si>
  <si>
    <t>CAP_F_90776 Interconnection extra cable</t>
  </si>
  <si>
    <t>Pay in month end - 0 month after acceptance month of the date</t>
  </si>
  <si>
    <t>USCCT2405042</t>
  </si>
  <si>
    <t>WHHUANGGU&lt;WHHUANGGU@TSMC.COM&gt;</t>
  </si>
  <si>
    <t>1MUQTS2402074_01</t>
  </si>
  <si>
    <t>90776</t>
  </si>
  <si>
    <t>CAP_F_90232 Interconnection extra cable</t>
  </si>
  <si>
    <t>USCCT2405041</t>
  </si>
  <si>
    <t>1MUQTS2402081_0</t>
  </si>
  <si>
    <t>90232</t>
  </si>
  <si>
    <t>CAP_F_90438 Interconnection extra cable</t>
  </si>
  <si>
    <t>USCCT2405056</t>
  </si>
  <si>
    <t>WILLIAMB (WILLIAMB@TSMC@COM)</t>
  </si>
  <si>
    <t>1MUQTS2402072</t>
  </si>
  <si>
    <t>90438</t>
  </si>
  <si>
    <t>CAP_F_90213 Interconnection extra cable</t>
  </si>
  <si>
    <t>USCCT2405057</t>
  </si>
  <si>
    <t>TYWUK (TYWUK@TSMC.COM)</t>
  </si>
  <si>
    <t>1MUQTS2402029</t>
  </si>
  <si>
    <t>90213</t>
  </si>
  <si>
    <t>CAP_F_90608 Interconnection extra cable</t>
  </si>
  <si>
    <t>USCCT2405058</t>
  </si>
  <si>
    <t>LWWANG (LWWANG@TSMC.COM)</t>
  </si>
  <si>
    <t>1MUQTS2404009</t>
  </si>
  <si>
    <t>90608</t>
  </si>
  <si>
    <t>CAP_F_96466 Interconnection extra cable</t>
  </si>
  <si>
    <t>USCCT2405062</t>
  </si>
  <si>
    <t>CWLINZY (CWLINZY@TSMC.COM)</t>
  </si>
  <si>
    <t>1MUQTS2402040</t>
  </si>
  <si>
    <t>96466</t>
  </si>
  <si>
    <t>MICUINT202408140</t>
  </si>
  <si>
    <t>CAP_F_90465 Interconnection extra cable</t>
  </si>
  <si>
    <t>USCCT2405060</t>
  </si>
  <si>
    <t>1MUQTS2402041</t>
  </si>
  <si>
    <t>90465</t>
  </si>
  <si>
    <t>MICUINT202408141</t>
  </si>
  <si>
    <t>CAP_F_90677 Interconnection extra cable</t>
  </si>
  <si>
    <t>USCCT2405061</t>
  </si>
  <si>
    <t>1MUQTS2403012</t>
  </si>
  <si>
    <t>90677</t>
  </si>
  <si>
    <t>MICUINT202408142</t>
  </si>
  <si>
    <t>CAP_F_90609 Interconnection extra cable</t>
  </si>
  <si>
    <t>USCCT2405059</t>
  </si>
  <si>
    <t>1MUQTS2311092</t>
  </si>
  <si>
    <t>90609</t>
  </si>
  <si>
    <t>CAP_F_90937 Interconnection extra cable</t>
  </si>
  <si>
    <t>USCCT2406008</t>
  </si>
  <si>
    <t>NEC Compliance</t>
  </si>
  <si>
    <r>
      <rPr>
        <sz val="11"/>
        <color rgb="FF000000"/>
        <rFont val="Calibri"/>
      </rPr>
      <t xml:space="preserve">Pang Hsun Chu </t>
    </r>
    <r>
      <rPr>
        <sz val="11"/>
        <color rgb="FF000000"/>
        <rFont val="新細明體"/>
      </rPr>
      <t>朱邦巡</t>
    </r>
    <r>
      <rPr>
        <sz val="11"/>
        <color rgb="FF000000"/>
        <rFont val="Calibri"/>
      </rPr>
      <t xml:space="preserve"> &lt;PHCHUF@TSMC.COM&gt; 邱奕豪/Shawn Chiu/F21-PVD1/Ext.7712217</t>
    </r>
  </si>
  <si>
    <t>1MUQTS2403005</t>
  </si>
  <si>
    <t>90937</t>
  </si>
  <si>
    <t>CAP_F_90678 Interconnection extra cable</t>
  </si>
  <si>
    <t>USCCT2406009</t>
  </si>
  <si>
    <t xml:space="preserve">Pang Hsun Chu 朱邦巡 &lt;PHCHUF@TSMC.COM&gt; </t>
  </si>
  <si>
    <t xml:space="preserve"> 1MUQTS2403011_05</t>
  </si>
  <si>
    <t>90678</t>
  </si>
  <si>
    <t>MICUINT202408143</t>
  </si>
  <si>
    <t>CAP_F_90849 Interconnection extra cable</t>
  </si>
  <si>
    <t>USCCT2406010</t>
  </si>
  <si>
    <t>1MUQTS2403013</t>
  </si>
  <si>
    <t>90849</t>
  </si>
  <si>
    <t>MICUINT202408007</t>
  </si>
  <si>
    <t>CAP_F_90848 Interconnection extra cable</t>
  </si>
  <si>
    <t>USCCT2406011</t>
  </si>
  <si>
    <t>1MUQTS2403014</t>
  </si>
  <si>
    <t>90848</t>
  </si>
  <si>
    <t>MICUINT202408009</t>
  </si>
  <si>
    <t>CAP_F_90132 Interconnection extra cable</t>
  </si>
  <si>
    <t>USCCT2406012</t>
  </si>
  <si>
    <t>1MUQTS2405008</t>
  </si>
  <si>
    <t>90132</t>
  </si>
  <si>
    <t>MICUINT202408144</t>
  </si>
  <si>
    <t>CAP_F_90826 Interconnection extra cable</t>
  </si>
  <si>
    <t>USCCT2406021</t>
  </si>
  <si>
    <r>
      <t xml:space="preserve">Pang Hsun Chu </t>
    </r>
    <r>
      <rPr>
        <sz val="11"/>
        <color rgb="FF000000"/>
        <rFont val="新細明體"/>
        <family val="2"/>
      </rPr>
      <t>朱邦巡</t>
    </r>
    <r>
      <rPr>
        <sz val="11"/>
        <color rgb="FF000000"/>
        <rFont val="Calibri"/>
        <family val="2"/>
      </rPr>
      <t xml:space="preserve"> &lt;PHCHUF@TSMC.COM&gt; </t>
    </r>
  </si>
  <si>
    <t>1MUQTS2402057_01</t>
  </si>
  <si>
    <t>90826</t>
  </si>
  <si>
    <t>CAP_F_90634 Interconnection extra cable</t>
  </si>
  <si>
    <t>USCCT2406013</t>
  </si>
  <si>
    <t>1MUQTS2405012</t>
  </si>
  <si>
    <t>90634</t>
  </si>
  <si>
    <t>MICUINT202408026</t>
  </si>
  <si>
    <t>CAP_F_90629 Interconnection extra cable</t>
  </si>
  <si>
    <t>USCCT2406014</t>
  </si>
  <si>
    <t>1MUQTS2405007</t>
  </si>
  <si>
    <t>90629</t>
  </si>
  <si>
    <t>MICUINT202408067</t>
  </si>
  <si>
    <t>CAP_F_90778 Interconnection extra cable</t>
  </si>
  <si>
    <t>USCCT2406015</t>
  </si>
  <si>
    <t>1MUQTS2405009</t>
  </si>
  <si>
    <t>90778</t>
  </si>
  <si>
    <t>HITACHI HIGH-TECH</t>
  </si>
  <si>
    <t>MICUINT202408145</t>
  </si>
  <si>
    <t>CAP_F_90574 Interconnection extra cable</t>
  </si>
  <si>
    <t>USCCT2406016</t>
  </si>
  <si>
    <t>1MUQTS2405011</t>
  </si>
  <si>
    <t>90574</t>
  </si>
  <si>
    <t>MICUINT202408024</t>
  </si>
  <si>
    <t>CAP_F_90575 Interconnection extra cable</t>
  </si>
  <si>
    <t>USCCT2406017</t>
  </si>
  <si>
    <t>1MUQTS2405013</t>
  </si>
  <si>
    <t>90575</t>
  </si>
  <si>
    <t>MICUINT202408068</t>
  </si>
  <si>
    <t xml:space="preserve">CAP_F_90486 Interconnection extra cable </t>
  </si>
  <si>
    <t>USCCT2406018</t>
  </si>
  <si>
    <t>1MUQTS2405014</t>
  </si>
  <si>
    <t>90486</t>
  </si>
  <si>
    <t>MICUINT202408069</t>
  </si>
  <si>
    <t>CAP_F_90485 Interconnection extra cable</t>
  </si>
  <si>
    <t>USCCT2406019</t>
  </si>
  <si>
    <t>1MUQTS2405015</t>
  </si>
  <si>
    <t>90485</t>
  </si>
  <si>
    <t>MICUINT202408146</t>
  </si>
  <si>
    <t>CAP_F_90100 Interconnection extra cable</t>
  </si>
  <si>
    <t>USCCT2406022</t>
  </si>
  <si>
    <t>1MUQTS2402023</t>
  </si>
  <si>
    <t>KPMI01</t>
  </si>
  <si>
    <t>90100</t>
  </si>
  <si>
    <t>MICUINT202409053</t>
  </si>
  <si>
    <t>CAP_F_90103 Interconnection extra cable</t>
  </si>
  <si>
    <t>USCCT2406023</t>
  </si>
  <si>
    <t>1MUQTS2402024</t>
  </si>
  <si>
    <t>KPMI03</t>
  </si>
  <si>
    <t>90103</t>
  </si>
  <si>
    <t>MICUINT202409054</t>
  </si>
  <si>
    <t>CAP_F_90488 Interconnection extra cable</t>
  </si>
  <si>
    <t>USCCT2406020</t>
  </si>
  <si>
    <t>1MUQTS2403019</t>
  </si>
  <si>
    <t>90488</t>
  </si>
  <si>
    <t>MICUINT202408147</t>
  </si>
  <si>
    <t>CAP_F_90679 Interconnection extra cable</t>
  </si>
  <si>
    <t>USCCT2406024</t>
  </si>
  <si>
    <t>1MUQTS2403022_01</t>
  </si>
  <si>
    <t>90679</t>
  </si>
  <si>
    <t>MICUINT202408148</t>
  </si>
  <si>
    <t>CAP_F_90522 Interconnection extra cable</t>
  </si>
  <si>
    <t>USCCT2406025</t>
  </si>
  <si>
    <t>1MUQTS2403023_01</t>
  </si>
  <si>
    <t>90522</t>
  </si>
  <si>
    <t>MICUINT202408149</t>
  </si>
  <si>
    <t>KETRTC re pull cable</t>
  </si>
  <si>
    <t>USCCT2407017</t>
  </si>
  <si>
    <t xml:space="preserve">William James Burkhart &lt;WILLIAMB@TSMC.COM&gt; </t>
  </si>
  <si>
    <t>1MUQTS2404013</t>
  </si>
  <si>
    <t>MICUINT202408150</t>
  </si>
  <si>
    <t>CAP_F_90578 Interconnection extra cable</t>
  </si>
  <si>
    <t>USCCT2408004</t>
  </si>
  <si>
    <t>Andy Chu</t>
  </si>
  <si>
    <t>1MUQTS2403031</t>
  </si>
  <si>
    <t>90578</t>
  </si>
  <si>
    <t>MICUINT202408151</t>
  </si>
  <si>
    <t>CAP_F_90586 Interconnection extra cable</t>
  </si>
  <si>
    <t>USCCT2408001</t>
  </si>
  <si>
    <t>1MUQTS2403027</t>
  </si>
  <si>
    <t>90586</t>
  </si>
  <si>
    <t>MICUINT202408016</t>
  </si>
  <si>
    <t>CAP_F_90583 Interconnection extra cable</t>
  </si>
  <si>
    <t>USCCT2408002</t>
  </si>
  <si>
    <t>1MUQTS2403025</t>
  </si>
  <si>
    <t>90583</t>
  </si>
  <si>
    <t>MICUINT202408019</t>
  </si>
  <si>
    <t>CAP_F_90620 Interconnection extra cable</t>
  </si>
  <si>
    <t>USCCT2408003</t>
  </si>
  <si>
    <t>1MUQTS2402013_01</t>
  </si>
  <si>
    <t>90620</t>
  </si>
  <si>
    <t>MICUINT202408030</t>
  </si>
  <si>
    <t>CAP_F_90579 Interconnection extra cable</t>
  </si>
  <si>
    <t>USCCT2408009</t>
  </si>
  <si>
    <t>1MUQTS2403029</t>
  </si>
  <si>
    <t>90579</t>
  </si>
  <si>
    <t>MICUINT202408013</t>
  </si>
  <si>
    <t>CAP_F_90585 Interconnection extra cable</t>
  </si>
  <si>
    <t>USCCT2408008</t>
  </si>
  <si>
    <t>1MUQTS2403026</t>
  </si>
  <si>
    <t>90585</t>
  </si>
  <si>
    <t>MICUINT202408021</t>
  </si>
  <si>
    <t>CAP_F_90584 Interconnection extra cable</t>
  </si>
  <si>
    <t>USCCT2408007</t>
  </si>
  <si>
    <t>1MUQTS2403030</t>
  </si>
  <si>
    <t>90584</t>
  </si>
  <si>
    <t>MICUINT202408023</t>
  </si>
  <si>
    <t>CAP_F_90576 Interconnection extra cable</t>
  </si>
  <si>
    <t>USCCT2408017</t>
  </si>
  <si>
    <t>1MUQTS2403028</t>
  </si>
  <si>
    <t>90576</t>
  </si>
  <si>
    <t>MICUINT202408057</t>
  </si>
  <si>
    <t>CAP_F_90617 Interconnection extra cable</t>
  </si>
  <si>
    <t>USCCT2408016</t>
  </si>
  <si>
    <t>1MUQTS2402014_01</t>
  </si>
  <si>
    <t>90617</t>
  </si>
  <si>
    <t>CAP_F_90622 Interconnection extra cable</t>
  </si>
  <si>
    <t>USCCT2408015</t>
  </si>
  <si>
    <t>1MUQTS2402015_01</t>
  </si>
  <si>
    <t>90622</t>
  </si>
  <si>
    <t>MICUINT202408034</t>
  </si>
  <si>
    <t>CAP_F_90643 Interconnection extra cable</t>
  </si>
  <si>
    <t>USCCT2408014</t>
  </si>
  <si>
    <t>1MUQTS2402016_01</t>
  </si>
  <si>
    <t>90643</t>
  </si>
  <si>
    <t>MICUINT202408036</t>
  </si>
  <si>
    <t>CAP_F_90635 Interconnection extra cable</t>
  </si>
  <si>
    <t>USCCT2408013</t>
  </si>
  <si>
    <t>1MUQTS2402017_01</t>
  </si>
  <si>
    <t>90635</t>
  </si>
  <si>
    <t>MICUINT202408042</t>
  </si>
  <si>
    <t>CAP_F_90632 Interconnection extra cable</t>
  </si>
  <si>
    <t>USCCT2408012</t>
  </si>
  <si>
    <t>1MUQTS2402018_01</t>
  </si>
  <si>
    <t>90632</t>
  </si>
  <si>
    <t>MICUINT202408047</t>
  </si>
  <si>
    <t>CAP_F_90626 Interconnection extra cable</t>
  </si>
  <si>
    <t>USCCT2408011</t>
  </si>
  <si>
    <t>1MUQTS2402019_01</t>
  </si>
  <si>
    <t>90626</t>
  </si>
  <si>
    <t>MICUINT202408050</t>
  </si>
  <si>
    <t>CAP_F_90758 Interconnection extra cable</t>
  </si>
  <si>
    <t>USCCT2408010</t>
  </si>
  <si>
    <t>1MUQTS2402020_01</t>
  </si>
  <si>
    <t>90758</t>
  </si>
  <si>
    <t>MICUINT202408052</t>
  </si>
  <si>
    <t>CAP_F_90508 Interconnection extra cable</t>
  </si>
  <si>
    <t>USCCT2408018</t>
  </si>
  <si>
    <t>1MUQTS2405020_01</t>
  </si>
  <si>
    <t>90508</t>
  </si>
  <si>
    <t>MICUINT202408004</t>
  </si>
  <si>
    <t>CAP_F_90512 Interconnection extra cable</t>
  </si>
  <si>
    <t>USCCT2408019</t>
  </si>
  <si>
    <t>1MUQTS2405021_01</t>
  </si>
  <si>
    <t>90512</t>
  </si>
  <si>
    <t>MICUINT202408001</t>
  </si>
  <si>
    <t>CAP_F_90506 Interconnection extra cable</t>
  </si>
  <si>
    <t>USCCT2408020</t>
  </si>
  <si>
    <t>1MUQTS2405022_01</t>
  </si>
  <si>
    <t>90506</t>
  </si>
  <si>
    <t>MICUINT202408002</t>
  </si>
  <si>
    <t>CAP_F_90510 Interconnection extra cable</t>
  </si>
  <si>
    <t>USCCT2408021</t>
  </si>
  <si>
    <t>1MUQTS2405023_01</t>
  </si>
  <si>
    <t>90510</t>
  </si>
  <si>
    <t>MICUINT202408003</t>
  </si>
  <si>
    <t>CAP_F_90341 Interconnection extra cable</t>
  </si>
  <si>
    <t>USCCT2408022</t>
  </si>
  <si>
    <t>1MUQTS2405024_01</t>
  </si>
  <si>
    <t>90341</t>
  </si>
  <si>
    <t>MICUINT202409055</t>
  </si>
  <si>
    <t>CAP_F_90582 Interconnection extra cable</t>
  </si>
  <si>
    <t>USCCT2408024</t>
  </si>
  <si>
    <t>1MUQTS2403010_01</t>
  </si>
  <si>
    <t>90582</t>
  </si>
  <si>
    <t>MICUINT202408011</t>
  </si>
  <si>
    <t>CAP_F_90671 Interconnection extra cable</t>
  </si>
  <si>
    <t>USCCT2408025</t>
  </si>
  <si>
    <t>1MUQTS2403099_01</t>
  </si>
  <si>
    <t>90671</t>
  </si>
  <si>
    <t>MICUINT202408055</t>
  </si>
  <si>
    <t>CAP_F_90519 Interconnection extra cable</t>
  </si>
  <si>
    <t>USCCT2408023</t>
  </si>
  <si>
    <t>1MUQTS2405025_01</t>
  </si>
  <si>
    <t>MICUINT202408105</t>
  </si>
  <si>
    <r>
      <rPr>
        <sz val="11"/>
        <color theme="1"/>
        <rFont val="新細明體"/>
        <family val="2"/>
      </rPr>
      <t>尚未取得簽字</t>
    </r>
  </si>
  <si>
    <t>CAP_F_90615 Interconnection extra cable</t>
  </si>
  <si>
    <t>USCCT2408026</t>
  </si>
  <si>
    <t>1MUQTS2402012_01</t>
  </si>
  <si>
    <t>MICUINT202408028</t>
  </si>
  <si>
    <t>CAP_F_90672 Interconnection extra cable</t>
  </si>
  <si>
    <t>USCCT2408027</t>
  </si>
  <si>
    <t>1MUQTS2403059_01</t>
  </si>
  <si>
    <t>MICUINT202408056</t>
  </si>
  <si>
    <t>MISC_(TAX/U2)WET connector (canceled)</t>
  </si>
  <si>
    <t>Daniel Marquez</t>
  </si>
  <si>
    <t xml:space="preserve">Pay in month end - 1 month after acceptance month of the date </t>
  </si>
  <si>
    <t>CAP_F_90420 Interconnection extra cable</t>
  </si>
  <si>
    <t>USCCT2408071</t>
  </si>
  <si>
    <t>Pang Hsun Chu 朱邦巡 &lt;PHCHUF@TSMC.COM&gt;</t>
  </si>
  <si>
    <t>1MUQTS2311070</t>
  </si>
  <si>
    <t>MICUINT202408106</t>
  </si>
  <si>
    <t>CAP_F_90419 Interconnection extra cable</t>
  </si>
  <si>
    <t>USCCT2408072</t>
  </si>
  <si>
    <t>1MUQTS2311071</t>
  </si>
  <si>
    <t>MICUINT202408107</t>
  </si>
  <si>
    <t>CAP_F_91537 150106_AMAT_Vulcan Interonne</t>
  </si>
  <si>
    <t>USCCT2408028</t>
  </si>
  <si>
    <t>USC24C016</t>
  </si>
  <si>
    <t>沈宜駒    6028213109    EMAIL:Ycshena@tsmc.com</t>
  </si>
  <si>
    <t>1MUQTS2407021_01</t>
  </si>
  <si>
    <t>91537</t>
  </si>
  <si>
    <t>KDRMA1</t>
  </si>
  <si>
    <t>CAP_F_ 90996 1400JF_Lam_Kiyo FX_Intercon</t>
  </si>
  <si>
    <t>USCCT2408069</t>
  </si>
  <si>
    <t>90996</t>
  </si>
  <si>
    <t>4590006256_001</t>
  </si>
  <si>
    <t>CAP_F_ 91011 1401ES_AMEC_AD-RIE_Intercon</t>
  </si>
  <si>
    <t>002</t>
  </si>
  <si>
    <t>91011</t>
  </si>
  <si>
    <t>KESDM5</t>
  </si>
  <si>
    <t>4590006256_002</t>
  </si>
  <si>
    <t>CAP_F_ 91013 1401GV_Lam_Gamma_Interconne</t>
  </si>
  <si>
    <t>003</t>
  </si>
  <si>
    <t>91013</t>
  </si>
  <si>
    <t>4590006256_003</t>
  </si>
  <si>
    <t>CAP_F_ 91015 14097A_Lam_Gamma_Interconne</t>
  </si>
  <si>
    <t>004</t>
  </si>
  <si>
    <t>91015</t>
  </si>
  <si>
    <t>4590006256_004</t>
  </si>
  <si>
    <t>CAP_F_ 91093 1400GM_TEL_Vigus_iX_Interco</t>
  </si>
  <si>
    <t>005</t>
  </si>
  <si>
    <t>91093</t>
  </si>
  <si>
    <t>4590006256_005</t>
  </si>
  <si>
    <t>CAP_F_ 91100 14055P_TEL_Vigus_V1_Interco</t>
  </si>
  <si>
    <t>006</t>
  </si>
  <si>
    <t>91100</t>
  </si>
  <si>
    <t>4590006256_006</t>
  </si>
  <si>
    <t>CAP_F_ 91299 1401BH_Mattson_Suprema_Inte</t>
  </si>
  <si>
    <t>007</t>
  </si>
  <si>
    <t>91299</t>
  </si>
  <si>
    <t>4590006256_007</t>
  </si>
  <si>
    <t>CAP_F_ 91303 1400KE_Lam_FLEX-FL_Intercon</t>
  </si>
  <si>
    <t>008</t>
  </si>
  <si>
    <t>91303</t>
  </si>
  <si>
    <t>4590006256_008</t>
  </si>
  <si>
    <t>CAP_F_ 91304 1400HV_Lam_FLEX-FL_Intercon</t>
  </si>
  <si>
    <t>009</t>
  </si>
  <si>
    <t>91304</t>
  </si>
  <si>
    <t>4590006256_009</t>
  </si>
  <si>
    <t>CAP_F_ 91305 1401DO_Lam_Argos_Interconne</t>
  </si>
  <si>
    <t>010</t>
  </si>
  <si>
    <t>91305</t>
  </si>
  <si>
    <t>4590006256_010</t>
  </si>
  <si>
    <t>CAP_F_ 91313 1400JH_Lam_Kiyo FX_Intercon</t>
  </si>
  <si>
    <t>011</t>
  </si>
  <si>
    <t>91313</t>
  </si>
  <si>
    <t>4590006256_011</t>
  </si>
  <si>
    <t>CAP_F_ 91316 1400JH_Lam_Kiyo FX_Intercon</t>
  </si>
  <si>
    <t>012</t>
  </si>
  <si>
    <t>91316</t>
  </si>
  <si>
    <t>4590006256_012</t>
  </si>
  <si>
    <t>CAP_F_ 91318 1400JH_Lam_Kiyo FX_Intercon</t>
  </si>
  <si>
    <t>013</t>
  </si>
  <si>
    <t>91318</t>
  </si>
  <si>
    <t>4590006256_013</t>
  </si>
  <si>
    <t>CAP_F_ 91322 1401BH_Mattson_Suprema_Inte</t>
  </si>
  <si>
    <t>014</t>
  </si>
  <si>
    <t>91322</t>
  </si>
  <si>
    <t>4590006256_014</t>
  </si>
  <si>
    <t>CAP_F_ 91323 1401BH_Mattson_Suprema_Inte</t>
  </si>
  <si>
    <t>015</t>
  </si>
  <si>
    <t>91323</t>
  </si>
  <si>
    <t>4590006256_015</t>
  </si>
  <si>
    <t>CAP_F_ 91324 1401BH_Mattson_Suprema_Inte</t>
  </si>
  <si>
    <t>016</t>
  </si>
  <si>
    <t>91324</t>
  </si>
  <si>
    <t>4590006256_016</t>
  </si>
  <si>
    <t>CAP_F_ 91325 14101I_Lam_Gamma_Interconne</t>
  </si>
  <si>
    <t>017</t>
  </si>
  <si>
    <t>91325</t>
  </si>
  <si>
    <t>4590006256_017</t>
  </si>
  <si>
    <t>CAP_F_ 91332 14054P_AMEC_AD-RIE_Intercon</t>
  </si>
  <si>
    <t>018</t>
  </si>
  <si>
    <t>91332</t>
  </si>
  <si>
    <t>KESDM4</t>
  </si>
  <si>
    <t>4590006256_018</t>
  </si>
  <si>
    <t>CAP_F_ 91343 14102S_Mattson_ICP_Intercon</t>
  </si>
  <si>
    <t>019</t>
  </si>
  <si>
    <t>Canceled</t>
  </si>
  <si>
    <t>CAP_F_ 91344 14102S_Mattson_ICP_Intercon</t>
  </si>
  <si>
    <t>020</t>
  </si>
  <si>
    <t>CAP_F_ 91359 14102S_Mattson_ICP_Intercon</t>
  </si>
  <si>
    <t>021</t>
  </si>
  <si>
    <t>CAP_F_ 91381 1400BL_Hitachi_9011_Interco</t>
  </si>
  <si>
    <t>022</t>
  </si>
  <si>
    <t>91381</t>
  </si>
  <si>
    <t>4590006256_022</t>
  </si>
  <si>
    <t>CAP_F_ 91382 1400BL_Hitachi_9011_Interco</t>
  </si>
  <si>
    <t>023</t>
  </si>
  <si>
    <t>91382</t>
  </si>
  <si>
    <t>4590006256_023</t>
  </si>
  <si>
    <t>CAP_F_ 91383 1400BL_Hitachi_9011_Interco</t>
  </si>
  <si>
    <t>024</t>
  </si>
  <si>
    <t>91383</t>
  </si>
  <si>
    <t>4590006256_024</t>
  </si>
  <si>
    <t>CAP_F_ 91384 1400DA_Hitachi_9012_Interco</t>
  </si>
  <si>
    <t>025</t>
  </si>
  <si>
    <t>91384</t>
  </si>
  <si>
    <t>4590006256_025</t>
  </si>
  <si>
    <t>CAP_F_ 91385 1400DF_Hitachi_9012_Interco</t>
  </si>
  <si>
    <t>026</t>
  </si>
  <si>
    <t>91385</t>
  </si>
  <si>
    <t>4590006256_026</t>
  </si>
  <si>
    <t>CAP_F_ 91391 1400BL_Hitachi_9011_Interco</t>
  </si>
  <si>
    <t>027</t>
  </si>
  <si>
    <t>91391</t>
  </si>
  <si>
    <t>4590006256_027</t>
  </si>
  <si>
    <t>CAP_F_ 91392 1400DF_Hitachi_9012_Interco</t>
  </si>
  <si>
    <t>028</t>
  </si>
  <si>
    <t>91392</t>
  </si>
  <si>
    <t>4590006256_028</t>
  </si>
  <si>
    <t>CAP_F_ 91237 1405EB_AMAT_Producer_Interc</t>
  </si>
  <si>
    <t>029</t>
  </si>
  <si>
    <t>91237</t>
  </si>
  <si>
    <t>KESDA8</t>
  </si>
  <si>
    <t>4590006256_029</t>
  </si>
  <si>
    <t>CAP_F_ 91423 1401FR_AMAT_Producer_Interc</t>
  </si>
  <si>
    <t>030</t>
  </si>
  <si>
    <t>91423</t>
  </si>
  <si>
    <t>KESDA5</t>
  </si>
  <si>
    <t>4590006256_030</t>
  </si>
  <si>
    <t>CAP_F_ 91300 1401ET_Lam_Argos_Interconne</t>
  </si>
  <si>
    <t>031</t>
  </si>
  <si>
    <t>91300</t>
  </si>
  <si>
    <t>4590006256_031</t>
  </si>
  <si>
    <t>CAP_F_ 91301 1400JH_Lam_Kiyo FX_Intercon</t>
  </si>
  <si>
    <t>032</t>
  </si>
  <si>
    <t>91301</t>
  </si>
  <si>
    <t>4590006256_032</t>
  </si>
  <si>
    <t>CAP_F_90817 Interconnection extra cable</t>
  </si>
  <si>
    <t>USCCT2409004</t>
  </si>
  <si>
    <t>1MUQTS2403033</t>
  </si>
  <si>
    <t>90817</t>
  </si>
  <si>
    <t>MICUINT202409037</t>
  </si>
  <si>
    <t>CAP_F_90566 Interconnection extra cable</t>
  </si>
  <si>
    <t>USCCT2409007</t>
  </si>
  <si>
    <t>1MUQTS2403035</t>
  </si>
  <si>
    <t>90566</t>
  </si>
  <si>
    <t>MICUINT202409038</t>
  </si>
  <si>
    <t>CAP_F_90791 Interconnection extra cable</t>
  </si>
  <si>
    <t>USCCT2409006</t>
  </si>
  <si>
    <t>1MUQTS2403034</t>
  </si>
  <si>
    <t>90791</t>
  </si>
  <si>
    <t>MICUINT202409039</t>
  </si>
  <si>
    <t>CAP_F_90802 Interconnection extra cable</t>
  </si>
  <si>
    <t>USCCT2409005</t>
  </si>
  <si>
    <t>1MUQTS2403032</t>
  </si>
  <si>
    <t>90802</t>
  </si>
  <si>
    <t>MICUINT202409040</t>
  </si>
  <si>
    <t>CAP_F_ 91457 14059D_AMAT_MESA_Interconne</t>
  </si>
  <si>
    <t>1MUQTS2409004</t>
  </si>
  <si>
    <t>91457</t>
  </si>
  <si>
    <t>KEMEA9</t>
  </si>
  <si>
    <t>ETC4</t>
  </si>
  <si>
    <t>CAP_F_91472_Main tool interconnection</t>
  </si>
  <si>
    <t>USCCT2409033</t>
  </si>
  <si>
    <t>1MUQTS2408026_01</t>
  </si>
  <si>
    <t>91472</t>
  </si>
  <si>
    <t>KDCBT1</t>
  </si>
  <si>
    <t>CAP_F_91523_Main tool interconnection</t>
  </si>
  <si>
    <t>USCCT2409034</t>
  </si>
  <si>
    <t>91523</t>
  </si>
  <si>
    <t>KDCBT2</t>
  </si>
  <si>
    <t>CAP_F_91524_Main tool interconnection</t>
  </si>
  <si>
    <t>USCCT2409035</t>
  </si>
  <si>
    <t>91524</t>
  </si>
  <si>
    <t>KDCBT3</t>
  </si>
  <si>
    <t>CAP_F_91525_Main tool interconnection</t>
  </si>
  <si>
    <t>USCCT2409036</t>
  </si>
  <si>
    <t>91525</t>
  </si>
  <si>
    <t>KDCBT4</t>
  </si>
  <si>
    <t>CAP_F_91472_CIP Interconnection</t>
  </si>
  <si>
    <t>USCCT2409037</t>
  </si>
  <si>
    <t>1MUQTS2408045_01</t>
  </si>
  <si>
    <t>CAP_F_91523_CIP Interconnection</t>
  </si>
  <si>
    <t>USCCT2409038</t>
  </si>
  <si>
    <t>CAP_F_91524_CIP Interconnection</t>
  </si>
  <si>
    <t>USCCT2409039</t>
  </si>
  <si>
    <t>CAP_F_91525_CIP Interconnection</t>
  </si>
  <si>
    <t>USCCT2409040</t>
  </si>
  <si>
    <t>CAP_F_91466_Main tool interconnection</t>
  </si>
  <si>
    <t>USCCT2409041</t>
  </si>
  <si>
    <t>1MUQTS2408049_01</t>
  </si>
  <si>
    <t>91466</t>
  </si>
  <si>
    <t>KDIAK1</t>
  </si>
  <si>
    <t>CAP_F_91488_Main tool interconnection</t>
  </si>
  <si>
    <t>USCCT2409042</t>
  </si>
  <si>
    <t>91488</t>
  </si>
  <si>
    <t>KDIAK2</t>
  </si>
  <si>
    <t>CAP_F_91466_CIP Interconnection</t>
  </si>
  <si>
    <t>USCCT2409043</t>
  </si>
  <si>
    <t>1MUQTS2408050_01</t>
  </si>
  <si>
    <t>CAP_F_91488_CIP Interconnection</t>
  </si>
  <si>
    <t>USCCT2409044</t>
  </si>
  <si>
    <t>CAP_F_91532_Main tool interconnection</t>
  </si>
  <si>
    <t>USCCT2409045</t>
  </si>
  <si>
    <t>1MUQTS2408029_01</t>
  </si>
  <si>
    <t>91532</t>
  </si>
  <si>
    <t>CAP_F_91532_CIP Interconnection</t>
  </si>
  <si>
    <t>USCCT2409046</t>
  </si>
  <si>
    <t>1MUQTS2408039_01</t>
  </si>
  <si>
    <t>CAP_F_91469_Main tool &amp; CIP interconnect</t>
  </si>
  <si>
    <t>USCCT2409047</t>
  </si>
  <si>
    <t>1MUQTS2408068_02</t>
  </si>
  <si>
    <t>91469</t>
  </si>
  <si>
    <t>KDZRT1</t>
  </si>
  <si>
    <t>CAP_F_91527_Main tool &amp; CIP interconnect</t>
  </si>
  <si>
    <t>USCCT2409048</t>
  </si>
  <si>
    <t>91527</t>
  </si>
  <si>
    <t>KDZRT2</t>
  </si>
  <si>
    <t>CAP_F_91528_Main tool &amp; CIP interconnect</t>
  </si>
  <si>
    <t>USCCT2409049</t>
  </si>
  <si>
    <t>91528</t>
  </si>
  <si>
    <t>KDZRT3</t>
  </si>
  <si>
    <t>CAP_F_91462_Main tool &amp; CIP interconnect</t>
  </si>
  <si>
    <t>USCCT2409050</t>
  </si>
  <si>
    <t>91462</t>
  </si>
  <si>
    <t>KDZRT4</t>
  </si>
  <si>
    <t>CAP_F_91467_Main tool &amp; CIP interconnect</t>
  </si>
  <si>
    <t>USCCT2409051</t>
  </si>
  <si>
    <t>91467</t>
  </si>
  <si>
    <t>KDZRT5</t>
  </si>
  <si>
    <t>CAP_F_91468_Main tool &amp; CIP interconnect</t>
  </si>
  <si>
    <t>USCCT2409052</t>
  </si>
  <si>
    <t>91468</t>
  </si>
  <si>
    <t>KDZRT6</t>
  </si>
  <si>
    <t>CAP_F_91529_Main tool &amp; CIP interconnect</t>
  </si>
  <si>
    <t>USCCT2409053</t>
  </si>
  <si>
    <t>91529</t>
  </si>
  <si>
    <t>KDZRT7</t>
  </si>
  <si>
    <t>CAP_F_91526_Main tool &amp; CIP interconnect</t>
  </si>
  <si>
    <t>USCCT2409054</t>
  </si>
  <si>
    <t>91526</t>
  </si>
  <si>
    <t>KDZRT8</t>
  </si>
  <si>
    <t>CAP_F_91530_Main tool &amp; CIP interconnect</t>
  </si>
  <si>
    <t>USCCT2409055</t>
  </si>
  <si>
    <t>91530</t>
  </si>
  <si>
    <t>KDZRT9</t>
  </si>
  <si>
    <t>CAP_F_91531_Main tool &amp; CIP interconnect</t>
  </si>
  <si>
    <t>USCCT2409056</t>
  </si>
  <si>
    <t>91531</t>
  </si>
  <si>
    <t>KDZRTA</t>
  </si>
  <si>
    <t>CAP_F_91533_CIP Interconnection</t>
  </si>
  <si>
    <t>USCCT2409027</t>
  </si>
  <si>
    <t>1MUQTS2408078_01</t>
  </si>
  <si>
    <t>KEPAA4</t>
  </si>
  <si>
    <t>CAP_F_91474_CIP Interconnection</t>
  </si>
  <si>
    <t>USCCT2409015</t>
  </si>
  <si>
    <t>1MUQTS2408076_01</t>
  </si>
  <si>
    <t>KEPAA5</t>
  </si>
  <si>
    <t>CAP_F_91475_CIP Interconnection</t>
  </si>
  <si>
    <t>USCCT2409016</t>
  </si>
  <si>
    <t>1MUQTS2408077_01</t>
  </si>
  <si>
    <t>KEEBA4</t>
  </si>
  <si>
    <t>CAP_F_91540_CIP Interconnection</t>
  </si>
  <si>
    <t>USCCT2409029</t>
  </si>
  <si>
    <t>1MUQTS2408066</t>
  </si>
  <si>
    <t>KSHMA8</t>
  </si>
  <si>
    <t>CAP_F_91480_CIP Interconnection</t>
  </si>
  <si>
    <t>USCCT2409017</t>
  </si>
  <si>
    <t>1MUQTS2408062_01</t>
  </si>
  <si>
    <t>KSAPA4</t>
  </si>
  <si>
    <t>CAP_F_91539_CIP Interconnection</t>
  </si>
  <si>
    <t>USCCT2409028</t>
  </si>
  <si>
    <t>1MUQTS2408065</t>
  </si>
  <si>
    <t>KSHMA9</t>
  </si>
  <si>
    <t>CAP_F_91482_CIP Interconnection</t>
  </si>
  <si>
    <t>USCCT2409019</t>
  </si>
  <si>
    <t>1MUQTS2408064</t>
  </si>
  <si>
    <t>KSSBAR</t>
  </si>
  <si>
    <t>CAP_F_91481_CIP Interconnection</t>
  </si>
  <si>
    <t>USCCT2409018</t>
  </si>
  <si>
    <t>1MUQTS2408063</t>
  </si>
  <si>
    <t>KSSBAQ</t>
  </si>
  <si>
    <t>CAP_F_91470_CIP Interconnection</t>
  </si>
  <si>
    <t>USCCT2409013</t>
  </si>
  <si>
    <t>1MUQTS2408056_01</t>
  </si>
  <si>
    <t>KUCPEN-C</t>
  </si>
  <si>
    <t>CMP2</t>
  </si>
  <si>
    <t>CAP_F_91471_CIP Interconnection</t>
  </si>
  <si>
    <t>USCCT2409014</t>
  </si>
  <si>
    <t>1MUQTS2408057_01</t>
  </si>
  <si>
    <t>KUCPEL-C</t>
  </si>
  <si>
    <t>CAP_F_91485_CIP Interconnection</t>
  </si>
  <si>
    <t>USCCT2409021</t>
  </si>
  <si>
    <t>1MUQTS2408059_01</t>
  </si>
  <si>
    <t>KUCPEM-C</t>
  </si>
  <si>
    <t>CAP_F_91484_CIP Interconnection</t>
  </si>
  <si>
    <t>USCCT2409020</t>
  </si>
  <si>
    <t>1MUQTS2408058_01</t>
  </si>
  <si>
    <t>KUCPEQ-C</t>
  </si>
  <si>
    <t>CAP_F_91486_CIP Interconnection</t>
  </si>
  <si>
    <t>USCCT2409022</t>
  </si>
  <si>
    <t>1MUQTS2408060_01</t>
  </si>
  <si>
    <t>KUCPEP-C</t>
  </si>
  <si>
    <t>CAP_F_91487_CIP Interconnection</t>
  </si>
  <si>
    <t>USCCT2409023</t>
  </si>
  <si>
    <t>1MUQTS2408061_01</t>
  </si>
  <si>
    <t>KUCPER-C</t>
  </si>
  <si>
    <t>CAP_F_91510_CIP Interconnection</t>
  </si>
  <si>
    <t>USCCT2409024</t>
  </si>
  <si>
    <t>1MUQTS2408040_01</t>
  </si>
  <si>
    <t>KEPRMG</t>
  </si>
  <si>
    <t>CAP_F_91456_CIP Interconnection</t>
  </si>
  <si>
    <t>1MUQTS2408074_01</t>
  </si>
  <si>
    <t>KEMELH</t>
  </si>
  <si>
    <t>CAP_F_91496_CIP Interconnection</t>
  </si>
  <si>
    <t>KEMELL</t>
  </si>
  <si>
    <t>CAP_F_91497_CIP Interconnection</t>
  </si>
  <si>
    <t>1MUQTS2408070_01</t>
  </si>
  <si>
    <t>KEMELJ</t>
  </si>
  <si>
    <t>CAP_F_91498_CIP Interconnection</t>
  </si>
  <si>
    <t>1MUQTS2408071_01</t>
  </si>
  <si>
    <t>KEMELK</t>
  </si>
  <si>
    <t>CAP_F_91499_CIP Interconnection</t>
  </si>
  <si>
    <t>1MUQTS2408073_01</t>
  </si>
  <si>
    <t>KEVIL3</t>
  </si>
  <si>
    <t>CAP_F_91502_CIP Interconnection</t>
  </si>
  <si>
    <t>1MUQTS2408072_01</t>
  </si>
  <si>
    <t>KEVIL4</t>
  </si>
  <si>
    <t>KPAN03-S CIP UPW Additional Welding</t>
  </si>
  <si>
    <t>1MUQTS2408015_01</t>
  </si>
  <si>
    <t>CAP_F_91521_Main tool Interconnection</t>
  </si>
  <si>
    <t>1MUQTS2408043_01</t>
  </si>
  <si>
    <t>KETRTW</t>
  </si>
  <si>
    <t>CAP_F_91522_Main tool Interconnection</t>
  </si>
  <si>
    <t>1MUQTS2408044_01</t>
  </si>
  <si>
    <t>KETRTX</t>
  </si>
  <si>
    <t>CAP_F_91519_Main tool Interconnection</t>
  </si>
  <si>
    <t>1MUQTS2408042_01</t>
  </si>
  <si>
    <t>KETRTV</t>
  </si>
  <si>
    <t>CAP_F_91519_CIP Interconnection</t>
  </si>
  <si>
    <t>1MUQTS2408041_01</t>
  </si>
  <si>
    <t xml:space="preserve">KETRTV </t>
  </si>
  <si>
    <t>CAP_F_91520_Main tool Interconnection</t>
  </si>
  <si>
    <t>1MUQTS2408031_01</t>
  </si>
  <si>
    <t>KPOCTL</t>
  </si>
  <si>
    <t xml:space="preserve">CAP_F_91483_Main tool Interconnection </t>
  </si>
  <si>
    <t>1MUQTS2408030_01</t>
  </si>
  <si>
    <t>KPOV34</t>
  </si>
  <si>
    <t xml:space="preserve">CAP_F_90644 Interconnection extra cable </t>
  </si>
  <si>
    <t>USCCT2410022</t>
  </si>
  <si>
    <r>
      <rPr>
        <sz val="11"/>
        <color rgb="FF000000"/>
        <rFont val="Calibri"/>
      </rPr>
      <t xml:space="preserve">Pang Hsun Chu </t>
    </r>
    <r>
      <rPr>
        <sz val="11"/>
        <color rgb="FF000000"/>
        <rFont val="新細明體"/>
      </rPr>
      <t>朱邦巡</t>
    </r>
    <r>
      <rPr>
        <sz val="11"/>
        <color rgb="FF000000"/>
        <rFont val="Calibri"/>
      </rPr>
      <t xml:space="preserve"> &lt;PHCHUF@TSMC.COM&gt; Cho-Chun Chiang/Jonathan Chiang/F21-ETC2/Ext.7712437</t>
    </r>
  </si>
  <si>
    <t>1MUQTS2403018</t>
  </si>
  <si>
    <t>CAP_F_91505_CIP Interconnection</t>
  </si>
  <si>
    <t>USCCT2410016</t>
  </si>
  <si>
    <t>1MUQTS2408083_01</t>
  </si>
  <si>
    <t>KCOXNM</t>
  </si>
  <si>
    <t>CAP_F_91504_CIP Interconnection</t>
  </si>
  <si>
    <t>USCCT2410017</t>
  </si>
  <si>
    <t>1MUQTS2408082_01</t>
  </si>
  <si>
    <t>KCOXNN</t>
  </si>
  <si>
    <t>CAP_F_91506_CIP Interconnection</t>
  </si>
  <si>
    <t>USCCT2410018</t>
  </si>
  <si>
    <t>1MUQTS2408080_01</t>
  </si>
  <si>
    <t>KCSCNC</t>
  </si>
  <si>
    <t>CAP_F_91507_CIP Interconnection</t>
  </si>
  <si>
    <t>USCCT2410019</t>
  </si>
  <si>
    <t>1MUQTS2408081_01</t>
  </si>
  <si>
    <t>KCSCND</t>
  </si>
  <si>
    <t>CAP_F_91503_CIP Interconnection</t>
  </si>
  <si>
    <t>USCCT2410020</t>
  </si>
  <si>
    <t>1MUQTS2408079_01</t>
  </si>
  <si>
    <t>KCTEN4</t>
  </si>
  <si>
    <t>CAP_F_91478_CG 100 Retrofit</t>
  </si>
  <si>
    <t>1MUQTS2408067_01</t>
  </si>
  <si>
    <t>項次</t>
  </si>
  <si>
    <t>TSMC System</t>
  </si>
  <si>
    <t>Tool</t>
  </si>
  <si>
    <t>QTY</t>
  </si>
  <si>
    <t>CM</t>
  </si>
  <si>
    <t>Project No.</t>
  </si>
  <si>
    <t>收款狀況</t>
  </si>
  <si>
    <t>欄1</t>
  </si>
  <si>
    <t>欄2</t>
  </si>
  <si>
    <t>欄3</t>
  </si>
  <si>
    <t>欄4</t>
  </si>
  <si>
    <t>resubmited</t>
  </si>
  <si>
    <t>CAP_A_90572_真空球閥Interconnection (Vacuum Ball Valve)</t>
  </si>
  <si>
    <t>若KPD802-S完成時使用這個PO</t>
  </si>
  <si>
    <t>Edward Atkinson</t>
  </si>
  <si>
    <t>05/29/2023</t>
  </si>
  <si>
    <t>7/13/2023</t>
  </si>
  <si>
    <t>7/20/2023</t>
  </si>
  <si>
    <t>7/21/2023</t>
  </si>
  <si>
    <t>7/25/2023</t>
  </si>
  <si>
    <t>08/10/2023</t>
  </si>
  <si>
    <t>08/24/2023</t>
  </si>
  <si>
    <t>09/06/2023</t>
  </si>
  <si>
    <t>09/19/2023</t>
  </si>
  <si>
    <t>10/04/2023</t>
  </si>
  <si>
    <t>KXAT01</t>
  </si>
  <si>
    <t>11/10/2023</t>
  </si>
  <si>
    <t>11/11/2023</t>
  </si>
  <si>
    <t>Expect to add in USC23C001</t>
  </si>
  <si>
    <t>11/30/2023</t>
  </si>
  <si>
    <t>12/01/2023</t>
  </si>
  <si>
    <t>李建村/F21-ETC1/Ext.7712924</t>
  </si>
  <si>
    <t>we are changed for 1 conduit+8 dividers. We only have 1 conduit+ 2 dividers inatalled by MIC.</t>
  </si>
  <si>
    <t>12/2/2023</t>
  </si>
  <si>
    <t>12/12/2023</t>
  </si>
  <si>
    <t>ZCENT-1</t>
    <phoneticPr fontId="14" type="noConversion"/>
  </si>
  <si>
    <t>02/28/2024</t>
  </si>
  <si>
    <t>03/05/2024</t>
  </si>
  <si>
    <t>please correct the attach file(parts list+pic)</t>
  </si>
  <si>
    <t>returned</t>
  </si>
  <si>
    <t>Those POs were for CVD O3 double casing gas line from L30 to L10, but the attachment was for L20 to L30 O3 double casing gas line.</t>
  </si>
  <si>
    <t>please attach material preparation atutas</t>
  </si>
  <si>
    <t>葉建輝/F21-PVD2/Ext.7718724</t>
  </si>
  <si>
    <t>陳昭宇/F21-CVD2/Ext.7713918</t>
  </si>
  <si>
    <t>業主要求金額修正為5605.56</t>
  </si>
  <si>
    <t>業主要求金額修正為4317</t>
  </si>
  <si>
    <t>MICUINT202403023</t>
  </si>
  <si>
    <t>蔡端豐/F12B-WET2/Ext.7139228</t>
  </si>
  <si>
    <t>JCAN No.JC202303010136/JC202303010137 with duplicate CAP_F_90684_SS3200+BEOL N2 P28~P76 EQP inter co please help check</t>
    <phoneticPr fontId="16" type="noConversion"/>
  </si>
  <si>
    <t>03/16/2025</t>
  </si>
  <si>
    <t>TBD</t>
  </si>
  <si>
    <t>10/4/2022</t>
  </si>
  <si>
    <t>please check amount_協定金額只能請951.46</t>
  </si>
  <si>
    <t>05/01/2024</t>
  </si>
  <si>
    <t>05/04/2024</t>
  </si>
  <si>
    <t>CAP_F_ 90438 Interconnection extra cable</t>
  </si>
  <si>
    <t>Expect to add in USC23C053</t>
  </si>
  <si>
    <t>CAP_F_ 90213 Interconnection extra cable</t>
  </si>
  <si>
    <t>CAP_F_ 90608 Interconnection extra cable</t>
  </si>
  <si>
    <t>CAP_F_ 96466 Interconnection extra cable</t>
  </si>
  <si>
    <t>CAP_F_ 90465 Interconnection extra cable</t>
  </si>
  <si>
    <t>CAP_F_ 90677 Interconnection extra cable</t>
  </si>
  <si>
    <t>CAP_F_ 90609 Interconnection extra cable</t>
  </si>
  <si>
    <t xml:space="preserve">KEPOL4 </t>
  </si>
  <si>
    <t>尚未取得簽字</t>
  </si>
  <si>
    <t>1/19/2023</t>
  </si>
  <si>
    <t>PO No</t>
  </si>
  <si>
    <t>PO No_item</t>
  </si>
  <si>
    <t>4590004413_037</t>
  </si>
  <si>
    <t>001-1</t>
  </si>
  <si>
    <t>4590007772_001-1</t>
  </si>
  <si>
    <t>4590004401_001</t>
  </si>
  <si>
    <t>4590006247_016</t>
  </si>
  <si>
    <t>001-2</t>
  </si>
  <si>
    <t>4590007772_001-2</t>
  </si>
  <si>
    <t>4590004401_002</t>
  </si>
  <si>
    <t>4590006248_001</t>
  </si>
  <si>
    <t>002-1</t>
  </si>
  <si>
    <t>4590007772_002-1</t>
  </si>
  <si>
    <t>4590004401_003</t>
  </si>
  <si>
    <t>002-2</t>
  </si>
  <si>
    <t>4590007772_002-2</t>
  </si>
  <si>
    <t>4590004401_004</t>
  </si>
  <si>
    <t>4590007638_004</t>
  </si>
  <si>
    <t>4590007772_003</t>
  </si>
  <si>
    <t>4590004401_005</t>
  </si>
  <si>
    <t>4590007708_001</t>
  </si>
  <si>
    <t>004-1</t>
  </si>
  <si>
    <t>4590007772_004-1</t>
  </si>
  <si>
    <t>4590006252_004</t>
  </si>
  <si>
    <t>4590007708_003</t>
  </si>
  <si>
    <t>004-2</t>
  </si>
  <si>
    <t>4590007772_004-2</t>
  </si>
  <si>
    <t>4590006258_001</t>
  </si>
  <si>
    <t>4590007923_001</t>
  </si>
  <si>
    <t>005-1</t>
  </si>
  <si>
    <t>4590007772_005-1</t>
  </si>
  <si>
    <t>4590006259_001</t>
  </si>
  <si>
    <t>MICUINT202402027(MICUINT202405095)</t>
  </si>
  <si>
    <t>005-2</t>
  </si>
  <si>
    <t>4590007772_005-2</t>
  </si>
  <si>
    <t>4590007766_002</t>
  </si>
  <si>
    <t>006-1</t>
  </si>
  <si>
    <t>4590007772_006-1</t>
  </si>
  <si>
    <t>4590007767_004</t>
  </si>
  <si>
    <t>006-2</t>
  </si>
  <si>
    <t>4590007772_006-2</t>
  </si>
  <si>
    <t>4590009139_002</t>
  </si>
  <si>
    <t>006-3</t>
  </si>
  <si>
    <t>4590007772_006-3</t>
  </si>
  <si>
    <t>4590016398_004</t>
  </si>
  <si>
    <t>007-1</t>
  </si>
  <si>
    <t>4590007772_007-1</t>
  </si>
  <si>
    <t>4590016398_008</t>
  </si>
  <si>
    <t>007-2</t>
  </si>
  <si>
    <t>4590007772_007-2</t>
  </si>
  <si>
    <t>4590016398_009</t>
  </si>
  <si>
    <t>4590007772_008</t>
  </si>
  <si>
    <t>4590016398_010</t>
  </si>
  <si>
    <t>4590007772_009</t>
  </si>
  <si>
    <t>4590016398_011</t>
  </si>
  <si>
    <t>4590007772_010</t>
  </si>
  <si>
    <t>4590016398_012</t>
  </si>
  <si>
    <t>011-1</t>
  </si>
  <si>
    <t>4590007772_011-1</t>
  </si>
  <si>
    <t>011-2</t>
  </si>
  <si>
    <t>4590007772_011-2</t>
  </si>
  <si>
    <t>012-1</t>
  </si>
  <si>
    <t>4590007772_012-1</t>
  </si>
  <si>
    <t>012-2</t>
  </si>
  <si>
    <t>4590007772_012-2</t>
  </si>
  <si>
    <t>4590007772_013</t>
  </si>
  <si>
    <t>4590007772_014</t>
  </si>
  <si>
    <t>BK</t>
  </si>
  <si>
    <t>Tool_ID</t>
  </si>
  <si>
    <t>EE Area</t>
  </si>
  <si>
    <t>Vendor</t>
  </si>
  <si>
    <t>Floor</t>
  </si>
  <si>
    <t>LOC_ID</t>
  </si>
  <si>
    <t>Tool group</t>
  </si>
  <si>
    <t>Model</t>
  </si>
  <si>
    <t>3F</t>
  </si>
  <si>
    <t>AEU-A-07-S</t>
  </si>
  <si>
    <t>13.5nm EUV (NXE3600) - N3~N7</t>
  </si>
  <si>
    <t>NXE3600D</t>
  </si>
  <si>
    <t>AEU-A-05-S</t>
  </si>
  <si>
    <t>AEU-A-07-T</t>
  </si>
  <si>
    <t>LITHIUS ProZ (12H)</t>
  </si>
  <si>
    <t>AEU-A-05-T</t>
  </si>
  <si>
    <t>APH-C-11-S</t>
  </si>
  <si>
    <t>193nm Immersion Scanner (NXT2000) - N5</t>
  </si>
  <si>
    <t>NXT2000i (EFESE, PSEE)</t>
  </si>
  <si>
    <t>APH-C-12-S</t>
  </si>
  <si>
    <t>APH-C-11-T</t>
  </si>
  <si>
    <t>APH-C-12-T</t>
  </si>
  <si>
    <t>APH-C-07-S</t>
  </si>
  <si>
    <t>193nm Immersion Scanner (NXT1970/NXT1980) - N3~N10/N40</t>
  </si>
  <si>
    <t>NXT1980Di</t>
  </si>
  <si>
    <t>APH-C-08-S</t>
  </si>
  <si>
    <t>APH-C-07-T</t>
  </si>
  <si>
    <t>APH-C-08-T</t>
  </si>
  <si>
    <t>APH-C-09-S</t>
  </si>
  <si>
    <t>193nm Dry Scanner (XT14x0) - N3/N5/N16~N90</t>
  </si>
  <si>
    <t>XT1460K</t>
  </si>
  <si>
    <t>APH-C-09-T</t>
  </si>
  <si>
    <t>LITHIUS ProZ (6C, 12D)</t>
  </si>
  <si>
    <t>APH-C-10-S</t>
  </si>
  <si>
    <t>248nm Scanner (XT860) - N3~N10</t>
  </si>
  <si>
    <t>XT860M</t>
  </si>
  <si>
    <t>APH-C-14-S</t>
  </si>
  <si>
    <t>APH-C-10-T</t>
  </si>
  <si>
    <t>LITHIUS ProZ (12C, 12D, PR+TARC 8+2)</t>
  </si>
  <si>
    <t>APH-C-14-T</t>
  </si>
  <si>
    <t>APH-C-15-S</t>
  </si>
  <si>
    <t>365nm (I Line) Scanner - N3~013</t>
  </si>
  <si>
    <t>XT400L</t>
  </si>
  <si>
    <t>APH-C-15-T</t>
  </si>
  <si>
    <t>LITHIUS ProV (8C, 8D)</t>
  </si>
  <si>
    <t>APH-A-11</t>
  </si>
  <si>
    <t>PR Coating (ArF/Immersion/EUV) - N3~N10</t>
  </si>
  <si>
    <t>LITHIUS ProZ (18C, Full 30 resist lines)</t>
  </si>
  <si>
    <t>APH-A-12</t>
  </si>
  <si>
    <t>APH-A-13</t>
  </si>
  <si>
    <t>LITHIUS ProZ (18C)</t>
  </si>
  <si>
    <t>APH-A-14</t>
  </si>
  <si>
    <t>APH-A-15</t>
  </si>
  <si>
    <t>APH-B-03</t>
  </si>
  <si>
    <t>PR Coating (ArF/Immersion/EUV, DUO) - N3/N5</t>
  </si>
  <si>
    <t>DUO 3CN (18C, w/ NRTL)</t>
  </si>
  <si>
    <t>APH-B-02</t>
  </si>
  <si>
    <t>APH-B-05</t>
  </si>
  <si>
    <t>PR Coating (KrF/ArF/Immersion) - N3/N5</t>
  </si>
  <si>
    <t>LITHIUS ProZ 3CN (6C)</t>
  </si>
  <si>
    <t>APH-E-13</t>
  </si>
  <si>
    <t>APH-B-04</t>
  </si>
  <si>
    <t>PR Coating (KrF) - N3~N10</t>
  </si>
  <si>
    <t>LITHIUS ProZ (12C)</t>
  </si>
  <si>
    <t>APH-B-01</t>
  </si>
  <si>
    <t>PR Coating (HT, SOKUDO) - N5</t>
  </si>
  <si>
    <t>DUO HT (6C, w/ NRTL)</t>
  </si>
  <si>
    <t>APH-C-02</t>
  </si>
  <si>
    <t>PR Coating (Plug) - N3~N90</t>
  </si>
  <si>
    <t>LITHIUS Pro (6C)</t>
  </si>
  <si>
    <t>APH-C-04</t>
  </si>
  <si>
    <t>Polyimide Coating/Developing</t>
  </si>
  <si>
    <t>ACT 12 (2C, 2D)</t>
  </si>
  <si>
    <t>ASM-US</t>
  </si>
  <si>
    <t>AEP-A-06</t>
  </si>
  <si>
    <t>Substrate Si EPI - N5/N7</t>
  </si>
  <si>
    <t>INTREPID XP (EPI*4)</t>
  </si>
  <si>
    <t>AEP-A-04</t>
  </si>
  <si>
    <t>p-FSC EPI Deposition - N5</t>
  </si>
  <si>
    <t>INTREPID XP (EPI*3, Pre-clean*1)</t>
  </si>
  <si>
    <t>AEP-A-05</t>
  </si>
  <si>
    <t>AEP-B-06</t>
  </si>
  <si>
    <t>n-S/D EPI Deposition - N5</t>
  </si>
  <si>
    <t>DUAL CENTURA ACP (RP EPI*4, Selective Pre-Clean*2)</t>
  </si>
  <si>
    <t>AEP-B-05</t>
  </si>
  <si>
    <t>AEP-A-01</t>
  </si>
  <si>
    <t>p-S/D EPI Deposition - N5</t>
  </si>
  <si>
    <t>DUAL CENTURA ACP (RP EPI*4, SiCoNi*2)</t>
  </si>
  <si>
    <t>AEP-A-02</t>
  </si>
  <si>
    <t>AET-F-12</t>
  </si>
  <si>
    <t>S/D Si Recess Dry Etching (Isotropic) - N5</t>
  </si>
  <si>
    <t>PRODUCER GT (Selectra*1, aEF*2)</t>
  </si>
  <si>
    <t>AET-N-14</t>
  </si>
  <si>
    <t>1F</t>
  </si>
  <si>
    <t>ADI-B-08</t>
  </si>
  <si>
    <t>OX Annealing (STI/ILD) - N3/N5</t>
  </si>
  <si>
    <t>QUIXACE-HT2 (6L)</t>
  </si>
  <si>
    <t>ADI-D-04</t>
  </si>
  <si>
    <t>ADI-B-07</t>
  </si>
  <si>
    <t>AP OX Deposition - N3~013</t>
  </si>
  <si>
    <t>ADI-A-14</t>
  </si>
  <si>
    <t>Si EPI Deposition - N5</t>
  </si>
  <si>
    <t>TELINDY PLUS-CFR(5L)</t>
  </si>
  <si>
    <t>ADI-A-15</t>
  </si>
  <si>
    <t>ADI-A-18</t>
  </si>
  <si>
    <t>ADI-F-15</t>
  </si>
  <si>
    <t>ADI-B-11</t>
  </si>
  <si>
    <t>Poly Deposition (Ge) - N5</t>
  </si>
  <si>
    <t>ADI-B-21</t>
  </si>
  <si>
    <t>AET-F-04</t>
  </si>
  <si>
    <t>BARC Dry Etching (LDD, Bi-layer) - N5/N7</t>
  </si>
  <si>
    <t>Primo ES (AD-RIE*3)</t>
  </si>
  <si>
    <t>AET-H-04</t>
  </si>
  <si>
    <t>PR Open Dry Etching (MEOL/MD, Bi-layer) - N5</t>
  </si>
  <si>
    <t>PRODUCER (EXT*3)</t>
  </si>
  <si>
    <t>AET-F-02</t>
  </si>
  <si>
    <t>BARC Dry Etching (MG, TiN PB, AD-RIE) - N5</t>
  </si>
  <si>
    <t>AET-F-03</t>
  </si>
  <si>
    <t>OD Dry Etching (OD1D) - N5</t>
  </si>
  <si>
    <t>AET-A-12</t>
  </si>
  <si>
    <t>Contact Dry Etching (VD) - N5/N7</t>
  </si>
  <si>
    <t>2300E6 (FLEX-FL*5, Non-AMMP)</t>
  </si>
  <si>
    <t>AET-F-05</t>
  </si>
  <si>
    <t>Contact Dry Etching (VG) - N5/N7</t>
  </si>
  <si>
    <t>AET-G-07</t>
  </si>
  <si>
    <t>Contact Dry Etching (MD1) - N5</t>
  </si>
  <si>
    <t>2300E6 (FLEX-FL*5, AMMP)</t>
  </si>
  <si>
    <t>AET-E-07</t>
  </si>
  <si>
    <t>Contact Dry Etching (VDR) - N5</t>
  </si>
  <si>
    <t>Tactras M3 (Vigus iX*6, HC CIP)</t>
  </si>
  <si>
    <t>AET-E-13</t>
  </si>
  <si>
    <t>Contact Dry Etching (SMD, OX, L1) - N5</t>
  </si>
  <si>
    <t>AET-G-05</t>
  </si>
  <si>
    <t>Contact Dry Etching (CR) - N5</t>
  </si>
  <si>
    <t>AET-G-08</t>
  </si>
  <si>
    <t>BARC Dry Etching (MG) - N5/N7</t>
  </si>
  <si>
    <t>J-Lynx (ECR-XT*4)</t>
  </si>
  <si>
    <t>AET-G-02</t>
  </si>
  <si>
    <t>AET-C-11</t>
  </si>
  <si>
    <t>OD Dry Etching (PCH) - N5</t>
  </si>
  <si>
    <t>J-Lynx (J-9012NX*4)</t>
  </si>
  <si>
    <t>AET-F-09</t>
  </si>
  <si>
    <t>Polymer Ashing (MG, 200C, Argos) - N5</t>
  </si>
  <si>
    <t>MACH IV (Argos*3)</t>
  </si>
  <si>
    <t>AET-Q-06</t>
  </si>
  <si>
    <t>AET-H-03</t>
  </si>
  <si>
    <t>Polymer Ashing (FEOL, Argos) - N5</t>
  </si>
  <si>
    <t>AET-F-07</t>
  </si>
  <si>
    <t>S/D Si Recess Dry Etching (NSSD, Centris) - N5</t>
  </si>
  <si>
    <t>CENTRIS (Sym3*4)</t>
  </si>
  <si>
    <t>AET-B-03</t>
  </si>
  <si>
    <t>Contact Dry Etching (CMD) - N5</t>
  </si>
  <si>
    <t>CENTRIS (Sym3*6)</t>
  </si>
  <si>
    <t>AET-F-11</t>
  </si>
  <si>
    <t>Dummy Poly Dry Etching (Ge, Isotropic) - N5</t>
  </si>
  <si>
    <t>PRODUCER GT (Frontier*2, SiCoNi*1)</t>
  </si>
  <si>
    <t>AET-D-06</t>
  </si>
  <si>
    <t>OD Dry Etching (OD0) - N5</t>
  </si>
  <si>
    <t>2300E4 (Kiyo CX*3)</t>
  </si>
  <si>
    <t>AET-D-17</t>
  </si>
  <si>
    <t>Aignment Mark Dry Etching - N5</t>
  </si>
  <si>
    <t>AET-D-08</t>
  </si>
  <si>
    <t>Poly Dry Etching (POEB) - N5</t>
  </si>
  <si>
    <t>2300E4 (Kiyo EX*3, HVBP, Hydra ESC)</t>
  </si>
  <si>
    <t>AET-H-07</t>
  </si>
  <si>
    <t>OD Dry Etching (ODM2) - N5</t>
  </si>
  <si>
    <t>AET-B-04</t>
  </si>
  <si>
    <t>OD/Poly Dry Etching (ODS1/PO1A) - N5</t>
  </si>
  <si>
    <t>AET-H-09</t>
  </si>
  <si>
    <t>AET-D-05</t>
  </si>
  <si>
    <t>OD Dry Etching (ODS2) - N5</t>
  </si>
  <si>
    <t>AET-P-04</t>
  </si>
  <si>
    <t>AET-F-13</t>
  </si>
  <si>
    <t>OD Dry Etching (OD1A/OD1BC) - N5</t>
  </si>
  <si>
    <t>AET-C-04</t>
  </si>
  <si>
    <t>AET-F-15</t>
  </si>
  <si>
    <t>Poly Dry Etching (PO1) - N5</t>
  </si>
  <si>
    <t>AET-A-05</t>
  </si>
  <si>
    <t>OD Dry Etching (CLASH) - N5</t>
  </si>
  <si>
    <t>2300E4 (Kiyo EX*3, HVBP)</t>
  </si>
  <si>
    <t>AET-G-11</t>
  </si>
  <si>
    <t>OD Dry Etching (OD2) - N5</t>
  </si>
  <si>
    <t>AET-G-12</t>
  </si>
  <si>
    <t>OD Dry Etching (OD2, BARC) - N5</t>
  </si>
  <si>
    <t>AET-G-10</t>
  </si>
  <si>
    <t>Poly Dry Etching (PO2, Ge) - N5</t>
  </si>
  <si>
    <t>AET-C-14</t>
  </si>
  <si>
    <t>SiN Dry Etching (CMG) - N5</t>
  </si>
  <si>
    <t>2300E4 (Kiyo FX*4, HVBP, Hydra ESC)</t>
  </si>
  <si>
    <t>AET-C-13</t>
  </si>
  <si>
    <t>Metal Dry Etching (CMG, ME) - N5</t>
  </si>
  <si>
    <t>2300E4 (Kiyo FX*4, Aria, HVBP, Hydra ESC, MSTGi)</t>
  </si>
  <si>
    <t>AET-C-15</t>
  </si>
  <si>
    <t>AET-H-06</t>
  </si>
  <si>
    <t>OD Dry Etching (OD4, Ge) - N5</t>
  </si>
  <si>
    <t>2300E4 (Kiyo FX*3, Aria, Corvus-TX, HVBP, Hydra ESC)</t>
  </si>
  <si>
    <t>AET-G-13</t>
  </si>
  <si>
    <t>S/D Si Recess Dry Etching (PSSD, Ge) - N5</t>
  </si>
  <si>
    <t>AET-G-09</t>
  </si>
  <si>
    <t>Poly Dry Etching (PO3, Ge) - N5</t>
  </si>
  <si>
    <t>Tactras M3 (FrepCC*4)</t>
  </si>
  <si>
    <t>AET-A-09</t>
  </si>
  <si>
    <t>AET-G-06</t>
  </si>
  <si>
    <t>OD Dry Etching (OD3B, Ge) - N5</t>
  </si>
  <si>
    <t>AET-G-15</t>
  </si>
  <si>
    <t>OD Dry Etching (OD3A, Ge) - N5</t>
  </si>
  <si>
    <t>Tactras M3 (Vigus F1000*4)</t>
  </si>
  <si>
    <t>AET-D-11</t>
  </si>
  <si>
    <t>AET-D-07</t>
  </si>
  <si>
    <t>Wafer Edge Dry Etching - N5~N20</t>
  </si>
  <si>
    <t>2300E4 (Coronus*2)</t>
  </si>
  <si>
    <t>AET-J-14</t>
  </si>
  <si>
    <t>AET-D-12</t>
  </si>
  <si>
    <t>Polymer Ashing (M0, Mattson) - N3/N5</t>
  </si>
  <si>
    <t>Suprema (Suprema XP*2)</t>
  </si>
  <si>
    <t>AET-A-07</t>
  </si>
  <si>
    <t>AET-A-16</t>
  </si>
  <si>
    <t>AET-F-14</t>
  </si>
  <si>
    <t>PR Open Dry Etching (Tri-layer) - N5/N10</t>
  </si>
  <si>
    <t>PRODUCER Etch GT (EXT*3)</t>
  </si>
  <si>
    <t>AET-F-06</t>
  </si>
  <si>
    <t>Fin Recess Dry Etching - N5/N7</t>
  </si>
  <si>
    <t>Certas LEAGA (PHT*1, aCOR*5)</t>
  </si>
  <si>
    <t>AET-B-13</t>
  </si>
  <si>
    <t>OX Dry Etching (IO RM) - N5</t>
  </si>
  <si>
    <t>Certas LEAGA (COR*3, PHT*3)</t>
  </si>
  <si>
    <t>AET-J-06</t>
  </si>
  <si>
    <t>AET-E-09</t>
  </si>
  <si>
    <t>OX Dry Etching (OD1E) - N5</t>
  </si>
  <si>
    <t>AET-G-03</t>
  </si>
  <si>
    <t>Metal Dry Etching (CMG) [N5PP]</t>
  </si>
  <si>
    <t>Certas LEAGA (COR*2, PHT*2)</t>
  </si>
  <si>
    <t>AET-F-08</t>
  </si>
  <si>
    <t>OX Dry Etching (STI EB) - N5</t>
  </si>
  <si>
    <t>AET-A-11</t>
  </si>
  <si>
    <t>Contact Dry Etching (SMD, WDC) - N5</t>
  </si>
  <si>
    <t>2300E6 (Metal NXP*6)</t>
  </si>
  <si>
    <t>AET-A-04</t>
  </si>
  <si>
    <t>PR Dry Etching (IO, Descum) - N3/N5</t>
  </si>
  <si>
    <t>AET-E-16</t>
  </si>
  <si>
    <t>Polymer/PR Ashing (FEOL, 200C) - N3~013</t>
  </si>
  <si>
    <t>Gamma GXT</t>
  </si>
  <si>
    <t>AET-E-14</t>
  </si>
  <si>
    <t>Polymer/PR Ashing (FEOL, Descum, 200C) - N3~N10</t>
  </si>
  <si>
    <t>AET-Q-02</t>
  </si>
  <si>
    <t>AET-E-15</t>
  </si>
  <si>
    <t>Polymer/PR Ashing (OD1, O2, 200C) - N5</t>
  </si>
  <si>
    <t>AET-E-17</t>
  </si>
  <si>
    <t>Polymer/PR Ashing (FEOL, H2/N2, Gamma) - N5/N7</t>
  </si>
  <si>
    <t>AET-A-17</t>
  </si>
  <si>
    <t>Trench Dry Etching (SCCM TE+) - P126</t>
  </si>
  <si>
    <t>TELIUS SP (SCCM TE+*4)</t>
  </si>
  <si>
    <t>AET-D-16</t>
  </si>
  <si>
    <t>Liner Dry Etching - N5</t>
  </si>
  <si>
    <t>Tactras M3 (Vigus iX*6, w/ NRTL)</t>
  </si>
  <si>
    <t>AET-B-10</t>
  </si>
  <si>
    <t>Liner Dry Etching (Via/Trench) - P40/P42</t>
  </si>
  <si>
    <t>AET-B-08</t>
  </si>
  <si>
    <t>Via/Trench Dry Etching - P76/P80</t>
  </si>
  <si>
    <t>AET-B-09</t>
  </si>
  <si>
    <t>Via/Trench Dry Etching - P76</t>
  </si>
  <si>
    <t>AET-B-12</t>
  </si>
  <si>
    <t>Via/Trench Dry Etching - P40/P42</t>
  </si>
  <si>
    <t>AET-E-08</t>
  </si>
  <si>
    <t>MHM Dry Etching (CA) - P40</t>
  </si>
  <si>
    <t>AET-D-14</t>
  </si>
  <si>
    <t>Via/Trench Dry Etching (Vigus V1) - P76/P80</t>
  </si>
  <si>
    <t>Tactras M3 (Vigus V1*6)</t>
  </si>
  <si>
    <t>AET-D-15</t>
  </si>
  <si>
    <t>Via/Trench Dry Etching (Vigus MG CIP) - P28/P34/P35</t>
  </si>
  <si>
    <t>Tactras M3 (Vigus D1000*6, w/ NRTL)</t>
  </si>
  <si>
    <t>AET-E-02</t>
  </si>
  <si>
    <t>Liner Dry Etching (Via/Trench) - P28/P34/P35</t>
  </si>
  <si>
    <t>AET-G-04</t>
  </si>
  <si>
    <t>Via/Trench/Liner Dry Etching (Vigus MG CIP) - P28/P34/P35/P42</t>
  </si>
  <si>
    <t>AET-L-06</t>
  </si>
  <si>
    <t>AET-A-02</t>
  </si>
  <si>
    <t>Via Dry Etching - P126</t>
  </si>
  <si>
    <t>2300E4 (FLEX45*4)</t>
  </si>
  <si>
    <t>AET-F-16</t>
  </si>
  <si>
    <t>Wafer Edge Dry Etching (BEOL) - P40/P42</t>
  </si>
  <si>
    <t>2300E4 (Coronus HP*2)</t>
  </si>
  <si>
    <t>AET-A-03</t>
  </si>
  <si>
    <t>PR Etch Back (BEOL) - P126~P900</t>
  </si>
  <si>
    <t>KELIA1</t>
  </si>
  <si>
    <t>AET-C-05</t>
  </si>
  <si>
    <t>Passivation Dry Etching (Pass.2, eMAX)</t>
  </si>
  <si>
    <t>CENTURA AP (eMAX*3)</t>
  </si>
  <si>
    <t>KEARA1</t>
  </si>
  <si>
    <t>AET-A-08</t>
  </si>
  <si>
    <t>Ar Treatment (Pass.2)</t>
  </si>
  <si>
    <t>AET-C-09</t>
  </si>
  <si>
    <t>AlCu Pad Dry Etching</t>
  </si>
  <si>
    <t>2300E5 (Ash*2, Versys Metal*3)</t>
  </si>
  <si>
    <t>AET-B-07</t>
  </si>
  <si>
    <t>MHM Dry Etching (Mesa) - P76/P80</t>
  </si>
  <si>
    <t>CENTRIS (MESA*6)</t>
  </si>
  <si>
    <t>AET-B-06</t>
  </si>
  <si>
    <t>AET-C-08</t>
  </si>
  <si>
    <t>MHM Dry Etching (Hi-R) - P28/P34/P35</t>
  </si>
  <si>
    <t>2300E4 (Versys Metal M*4)</t>
  </si>
  <si>
    <t>AET-C-07</t>
  </si>
  <si>
    <t>MHM Dry Etching (LA) - P42</t>
  </si>
  <si>
    <t>AET-C-10</t>
  </si>
  <si>
    <t>MHM Dry Etching (LB) - P42</t>
  </si>
  <si>
    <t>AET-E-11</t>
  </si>
  <si>
    <t>MHM Dry Etching (LA, EUV) - P28/P34/P35</t>
  </si>
  <si>
    <t>AET-C-12</t>
  </si>
  <si>
    <t>MHM Dry Etching (LB, EUV) - P28/P32/P34</t>
  </si>
  <si>
    <t>AET-E-10</t>
  </si>
  <si>
    <t>AET-A-10</t>
  </si>
  <si>
    <t>MHM Dry Etching (LB, EUV) - P28</t>
  </si>
  <si>
    <t>AET-B-14</t>
  </si>
  <si>
    <t>MHM Dry Etching (TiO) - P28/P34/P35</t>
  </si>
  <si>
    <t>AET-B-02</t>
  </si>
  <si>
    <t>MHM Dry Etching (TiO) - P34</t>
  </si>
  <si>
    <t>AET-C-06</t>
  </si>
  <si>
    <t>Spacer Dry Etching - N3/N5/N10</t>
  </si>
  <si>
    <t>AET-H-05</t>
  </si>
  <si>
    <t>Passivation Dry Etching (Pass.1)</t>
  </si>
  <si>
    <t>AET-F-10</t>
  </si>
  <si>
    <t>ABB-A-01</t>
  </si>
  <si>
    <t>Polymer/PR Ashing (BEOL, 250C)</t>
  </si>
  <si>
    <t>Aspen III (ICP*2)</t>
  </si>
  <si>
    <t>ABB-A-15</t>
  </si>
  <si>
    <t>ABB-A-14</t>
  </si>
  <si>
    <t>Polymer/PR Ashing - N3/N5</t>
  </si>
  <si>
    <t>ABB-A-16</t>
  </si>
  <si>
    <t>Polymer/PR Ashing (BEOL, 100C)</t>
  </si>
  <si>
    <t>AET-B-11</t>
  </si>
  <si>
    <t>Trench Dry Etching - P252~P3600</t>
  </si>
  <si>
    <t>Tactras M3 (Vigus NX*6)</t>
  </si>
  <si>
    <t>AET-E-12</t>
  </si>
  <si>
    <t>Via Dry Etching - P126/P252~P3600</t>
  </si>
  <si>
    <t>ADI-B-14</t>
  </si>
  <si>
    <t>SiCON Deposition (Seal/OSW) - N3~N7</t>
  </si>
  <si>
    <t>ALDINNA (4L)</t>
  </si>
  <si>
    <t>ADI-B-17</t>
  </si>
  <si>
    <t>ADI-A-12</t>
  </si>
  <si>
    <t>SiOCN Deposition (Seal/OSW, LK) - N5</t>
  </si>
  <si>
    <t>ADI-D-08</t>
  </si>
  <si>
    <t>TiN Deposition (CMG) - N5</t>
  </si>
  <si>
    <t>ADI-A-10</t>
  </si>
  <si>
    <t>SiN Deposition (ALD, 500C/550C, Aldinna) - N3/N5</t>
  </si>
  <si>
    <t>ADI-A-11</t>
  </si>
  <si>
    <t>ATF-B-13</t>
  </si>
  <si>
    <t>SiN Deposition (POHM) - N5</t>
  </si>
  <si>
    <t>PRODUCER SE (PE SILANE*3)</t>
  </si>
  <si>
    <t>ADI-B-15</t>
  </si>
  <si>
    <t>SiCON Deposition (ILD0) - N5</t>
  </si>
  <si>
    <t>ADI-D-07</t>
  </si>
  <si>
    <t>ADI-A-02</t>
  </si>
  <si>
    <t>SiN Deposition (NSALD, 550C, Indy+) - N3/N5</t>
  </si>
  <si>
    <t>TELINDY PLUS IRad (4L)</t>
  </si>
  <si>
    <t>ADI-A-03</t>
  </si>
  <si>
    <t>ADI-A-01</t>
  </si>
  <si>
    <t>SiN Deposition (DSW, Thermal ALD) - N3~N7</t>
  </si>
  <si>
    <t>ADI-A-09</t>
  </si>
  <si>
    <t>ADI-A-06</t>
  </si>
  <si>
    <t>SiN Deposition (PEALD, 500C, Indy+) - N5/N7</t>
  </si>
  <si>
    <t>ADI-A-07</t>
  </si>
  <si>
    <t>ADI-A-08</t>
  </si>
  <si>
    <t>ADI-B-10</t>
  </si>
  <si>
    <t>ABS-C-03</t>
  </si>
  <si>
    <t>Passivation Alloying (HP)</t>
  </si>
  <si>
    <t>GENI-SYS</t>
  </si>
  <si>
    <t>ABS-C-04</t>
  </si>
  <si>
    <t>ABB-A-11</t>
  </si>
  <si>
    <t>Polyimide Curing (2-steps)</t>
  </si>
  <si>
    <t>QUIXACE-L (5L)</t>
  </si>
  <si>
    <t>ADI-B-20</t>
  </si>
  <si>
    <t>Poly Deposition - N5~N10</t>
  </si>
  <si>
    <t>TELINDY PLUS (5L, Advance)</t>
  </si>
  <si>
    <t>ADI-D-06</t>
  </si>
  <si>
    <t>ADI-D-11</t>
  </si>
  <si>
    <t>Poly Deposition (H2, Bottom) [N5P] - N5</t>
  </si>
  <si>
    <t>ADI-D-10</t>
  </si>
  <si>
    <t>ADI-D-05</t>
  </si>
  <si>
    <t>ABB-B-07</t>
  </si>
  <si>
    <t>Polymer Stripping (BEOL, TRC/S5) - N5</t>
  </si>
  <si>
    <t>EOS (16C)</t>
  </si>
  <si>
    <t>ABB-C-09</t>
  </si>
  <si>
    <t>ABB-A-07</t>
  </si>
  <si>
    <t>Polymer Stripping (BEOL, TRC 5:1) - P32/P34/P42</t>
  </si>
  <si>
    <t>ABB-A-04</t>
  </si>
  <si>
    <t>ABB-B-02</t>
  </si>
  <si>
    <t>Polymer Stripping (BEOL, B3) - P80</t>
  </si>
  <si>
    <t>ABB-C-10</t>
  </si>
  <si>
    <t>(Combo 130050 + 130095) Polymer Stripping</t>
  </si>
  <si>
    <t>AIB-B-07</t>
  </si>
  <si>
    <t>Std. Clean (MRC, Single Wafer) - N3/N5</t>
  </si>
  <si>
    <t>EOS ES (8C)</t>
  </si>
  <si>
    <t>AIB-F-04</t>
  </si>
  <si>
    <t>ATF-C-05</t>
  </si>
  <si>
    <t>Scrub Clean (FEOL)</t>
  </si>
  <si>
    <t>SS-3200+ (BS Brush/SS*4, BV Brush/SS*4, w/ NRTL)</t>
  </si>
  <si>
    <t>ATF-C-07</t>
  </si>
  <si>
    <t>Scrub Clean (BEOL, N2) - P28/P34/P40~P64/P76</t>
  </si>
  <si>
    <t>SS-3200+ (BSRF/N2 assist/SS*8, w/ NRTL)</t>
  </si>
  <si>
    <t>ATF-I-05</t>
  </si>
  <si>
    <t>ATF-D-15</t>
  </si>
  <si>
    <t>Scrub Clean (Pass.)</t>
  </si>
  <si>
    <t>SS-3200+_FDI (BS Brush/SS*4, BV Brush/SS*4, w/ NRTL)</t>
  </si>
  <si>
    <t>ATF-B-01</t>
  </si>
  <si>
    <t>Scrub Clean - P28/P32/P34/P40~P64/P76/P80</t>
  </si>
  <si>
    <t>ATF-F-09</t>
  </si>
  <si>
    <t>ATF-D-14</t>
  </si>
  <si>
    <t>Scrub Clean - P76</t>
  </si>
  <si>
    <t>ATF-A-03</t>
  </si>
  <si>
    <t>Scrub Clean - P126~P900</t>
  </si>
  <si>
    <t>ATF-D-17</t>
  </si>
  <si>
    <t>Scrub Clean - P22~P64/P76~P3600</t>
  </si>
  <si>
    <t>ATF-C-17</t>
  </si>
  <si>
    <t>Scrub Clean (BEOL, CX-100)</t>
  </si>
  <si>
    <t>SS-3200 (4T, 4B, w/ NRTL)</t>
  </si>
  <si>
    <t>ATF-B-11</t>
  </si>
  <si>
    <t>Scrub Clean (FEOL, N2) - N3~N7</t>
  </si>
  <si>
    <t>ATF-H-04</t>
  </si>
  <si>
    <t>AIB-B-11</t>
  </si>
  <si>
    <t>Std. Clean (Single Wafer) - N3~N65</t>
  </si>
  <si>
    <t>SU-3200 (12C, w/ NRTL)</t>
  </si>
  <si>
    <t>AIB-E-08</t>
  </si>
  <si>
    <t>AIB-B-15</t>
  </si>
  <si>
    <t>Std. Clean (Single Wafer/ADS) - N3~N7</t>
  </si>
  <si>
    <t>AIB-F-12</t>
  </si>
  <si>
    <t>AIB-C-07</t>
  </si>
  <si>
    <t>Std. Clean (F1) - N3~N16</t>
  </si>
  <si>
    <t>AIB-F-08</t>
  </si>
  <si>
    <t>AIB-B-18</t>
  </si>
  <si>
    <t>Fin Wet Etching - N5</t>
  </si>
  <si>
    <t>AIB-B-06</t>
  </si>
  <si>
    <t>Contact Clean (MR5) - N5~N10</t>
  </si>
  <si>
    <t>AIB-A-07</t>
  </si>
  <si>
    <t>Contact Clean (MS9600) - N5/N7</t>
  </si>
  <si>
    <t>AIB-D-03</t>
  </si>
  <si>
    <t>AIB-B-16</t>
  </si>
  <si>
    <t>Contact Clean (O3/SC1) - N3/N5</t>
  </si>
  <si>
    <t>AIB-F-14</t>
  </si>
  <si>
    <t>AIB-C-06</t>
  </si>
  <si>
    <t>Dummy Poly Wet Etching (Poly RM, TEL) - N3/N5</t>
  </si>
  <si>
    <t>CELLESTA-i (solvent/HF/NH4OH/FDIW*20, w/ NRTL)</t>
  </si>
  <si>
    <t>ABB-B-09</t>
  </si>
  <si>
    <t>Polymer Stripping (BEOL, HM Open) - P40/P42</t>
  </si>
  <si>
    <t>CELLESTA-i (20C, w/ NRTL)</t>
  </si>
  <si>
    <t>ABB-A-09</t>
  </si>
  <si>
    <t>(Combo 130162+130161) Polymer Stripping</t>
  </si>
  <si>
    <t>AIB-C-03</t>
  </si>
  <si>
    <t>Backside/Bevel Clean (BS) - N3~N7</t>
  </si>
  <si>
    <t>CELLESTA-i (10T, 10B, w/ NRTL)</t>
  </si>
  <si>
    <t>AIB-E-09</t>
  </si>
  <si>
    <t>AIB-B-05</t>
  </si>
  <si>
    <t>CELLESTA-i (20B, w/ NRTL)</t>
  </si>
  <si>
    <t>AIB-B-10</t>
  </si>
  <si>
    <t>Backside/Bevel Clean (ILD0) - N3~N10</t>
  </si>
  <si>
    <t>AIB-A-02</t>
  </si>
  <si>
    <t>Polymer/PR Stripping (Single Wafer) - N3~013</t>
  </si>
  <si>
    <t>AIB-C-01</t>
  </si>
  <si>
    <t>(Combo 130087+131017) Std. Clean/Polymer/PR Stripping</t>
  </si>
  <si>
    <t>AIB-A-03</t>
  </si>
  <si>
    <t>Polymer/PR Stripping (FEOL, SPM/HF, Single Wafer) - N3~N7</t>
  </si>
  <si>
    <t>SU-3100 (12C, w/ NRTL)</t>
  </si>
  <si>
    <t>AIB-A-04</t>
  </si>
  <si>
    <t>Polymer/PR Stripping (FEOL, SPM/HF/IPA, Single Wafer) - N3/N5</t>
  </si>
  <si>
    <t>SU-3100 (HF/HT-SPM/SC1/IPA*12, w/ NRTL)</t>
  </si>
  <si>
    <t>AIB-A-05</t>
  </si>
  <si>
    <t>AIB-A-01</t>
  </si>
  <si>
    <t>(Combo 130261+130266) Polymer Stripping</t>
  </si>
  <si>
    <t>ABB-A-06</t>
  </si>
  <si>
    <t>Polymer Stripping (ACT)</t>
  </si>
  <si>
    <t>FC-3000 (4C, w/ NRTL)</t>
  </si>
  <si>
    <t>AIB-B-08</t>
  </si>
  <si>
    <t>SiN Stripping (OD, Bench) - N5~N28</t>
  </si>
  <si>
    <t>FC-3100 (6C, w/ NRTL)</t>
  </si>
  <si>
    <t>ABB-A-05</t>
  </si>
  <si>
    <t>Backside/Bevel Clean (Pass.) - N7~013</t>
  </si>
  <si>
    <t>DV-34 (4C)</t>
  </si>
  <si>
    <t>ABB-A-08</t>
  </si>
  <si>
    <t>Polymer Stripping (BEOL, DHF 1200:1) - P180~P900/P3600</t>
  </si>
  <si>
    <t>DV-38 (8C)</t>
  </si>
  <si>
    <t>ABB-C-08</t>
  </si>
  <si>
    <t>AIB-B-01</t>
  </si>
  <si>
    <t>SiN Stripping (w/ Si dope, Shibaura) - N5~N10</t>
  </si>
  <si>
    <t>SC300GXIII (w/ NRTL)</t>
  </si>
  <si>
    <t>AIB-A-06</t>
  </si>
  <si>
    <t>SiN Stripping (w/ Si dope, HIPA) - N3/N5</t>
  </si>
  <si>
    <t>SC300-HTI8 (8C, w/ NRTL)</t>
  </si>
  <si>
    <t>ADI-B-22</t>
  </si>
  <si>
    <t>Implant Annealing (ms, u-SSA) - N3~N20</t>
  </si>
  <si>
    <t>LA-3000U (w/ NRTL)</t>
  </si>
  <si>
    <t>ADI-C-06</t>
  </si>
  <si>
    <t>Implant Annealing (DSA) - N5/N7</t>
  </si>
  <si>
    <t>VANTAGE (ASTRA*2)</t>
  </si>
  <si>
    <t>AIM-A-09</t>
  </si>
  <si>
    <t>High Current Implant (MEOL) - N3~N10</t>
  </si>
  <si>
    <t>IPULSAR+</t>
  </si>
  <si>
    <t>AIM-B-03</t>
  </si>
  <si>
    <t>ADI-B-02</t>
  </si>
  <si>
    <t>CA3 Annealing - N3/N5</t>
  </si>
  <si>
    <t>CENTURA ACP (RADIANCE PLUS*3)</t>
  </si>
  <si>
    <t>ADI-H-04</t>
  </si>
  <si>
    <t>ADI-D-03</t>
  </si>
  <si>
    <t>Post Wet Etch Annealing (Ge, RTN/RTH) - N3</t>
  </si>
  <si>
    <t>CENTURA ACP (RADIANCE*3)</t>
  </si>
  <si>
    <t>ADI-B-03</t>
  </si>
  <si>
    <t>Post SiGe Treatment (OD) - N5</t>
  </si>
  <si>
    <t>ADI-B-01</t>
  </si>
  <si>
    <t>Si Annealing (Gate) - N3/N5</t>
  </si>
  <si>
    <t>KDLML1</t>
  </si>
  <si>
    <t>TUI</t>
  </si>
  <si>
    <t>ATF-E-02</t>
  </si>
  <si>
    <t>Laser Marking</t>
  </si>
  <si>
    <t>SigmaClean (Genmark)</t>
  </si>
  <si>
    <t>KIHIT3</t>
  </si>
  <si>
    <t>AIM-A-06</t>
  </si>
  <si>
    <t>High Current Implant (HT) - N3~N7</t>
  </si>
  <si>
    <t>VIISTA Trident XP (Thermion)</t>
  </si>
  <si>
    <t>AIM-A-08</t>
  </si>
  <si>
    <t>High Current Implant (MEOL, Ge, RT) - N3/N5</t>
  </si>
  <si>
    <t>VIISTA Trident XP</t>
  </si>
  <si>
    <t>KIHITA</t>
  </si>
  <si>
    <t>AIM-B-09</t>
  </si>
  <si>
    <t>KIHIT4</t>
  </si>
  <si>
    <t>AIM-A-07</t>
  </si>
  <si>
    <t>High Current Implant (Dimer, LT) - N3~N7</t>
  </si>
  <si>
    <t>VIISTA Trident XP (CRION)</t>
  </si>
  <si>
    <t>KIHIT2</t>
  </si>
  <si>
    <t>AIM-A-05</t>
  </si>
  <si>
    <t>High Current Implant (C) - N3~N7/N16~N90</t>
  </si>
  <si>
    <t>KIHIT1</t>
  </si>
  <si>
    <t>AIM-A-02</t>
  </si>
  <si>
    <t>High Current Implant - N3~013</t>
  </si>
  <si>
    <t>KIHIT9</t>
  </si>
  <si>
    <t>AIM-B-10</t>
  </si>
  <si>
    <t>AIM-A-04</t>
  </si>
  <si>
    <t>Medium Current Implant - N3~013</t>
  </si>
  <si>
    <t>MC3-II/GP (w/ NRTL)</t>
  </si>
  <si>
    <t>AIM-B-11</t>
  </si>
  <si>
    <t>AIM-A-03</t>
  </si>
  <si>
    <t>Medium Current Implant (DNW) - N7</t>
  </si>
  <si>
    <t>ADI-C-02</t>
  </si>
  <si>
    <t>Implant Annealing (STI, RTA, HT, Mattson) - N3~N7</t>
  </si>
  <si>
    <t>Helios XP (2C)</t>
  </si>
  <si>
    <t>ADI-E-22</t>
  </si>
  <si>
    <t>ADI-D-02</t>
  </si>
  <si>
    <t>OX Annealing (Gate) - N5~N10/N16</t>
  </si>
  <si>
    <t>ADI-C-04</t>
  </si>
  <si>
    <t>(Combo 150106+180312) Implant Annealing (Zero+ms, Mozart) - N5</t>
  </si>
  <si>
    <t>VANTAGE (VULCAN*2)</t>
  </si>
  <si>
    <t>ADI-C-03</t>
  </si>
  <si>
    <t>Implant Annealing (ms, Mozart) - N3/N5/N16~N28</t>
  </si>
  <si>
    <t>ADI-C-01</t>
  </si>
  <si>
    <t>Post IO Treatment - N3~N7</t>
  </si>
  <si>
    <t>CENTURA ACP (DPX*3)</t>
  </si>
  <si>
    <t>ADI-F-16</t>
  </si>
  <si>
    <t>ATF-C-16</t>
  </si>
  <si>
    <t>CESL OX Deposition - N3~N40</t>
  </si>
  <si>
    <t>PRODUCER GT+ (PE SILANE*3)</t>
  </si>
  <si>
    <t>ATF-D-12</t>
  </si>
  <si>
    <t>CESL SiN Deposition (MEOL1) - N3~N7</t>
  </si>
  <si>
    <t>ATF-D-10</t>
  </si>
  <si>
    <t>CESL SiN Deposition (Zero) - N3~N10/N20</t>
  </si>
  <si>
    <t>ATF-D-11</t>
  </si>
  <si>
    <t>SiN Deposition (CMG, HM) - N3/N5</t>
  </si>
  <si>
    <t>KCSMA3</t>
  </si>
  <si>
    <t>ATF-E-12</t>
  </si>
  <si>
    <t>KCASA1</t>
  </si>
  <si>
    <t>ATF-B-09</t>
  </si>
  <si>
    <t>a-Si Deposition (Cut MD) - N3~N7</t>
  </si>
  <si>
    <t>PRODUCER GT (PE SILANE*3)</t>
  </si>
  <si>
    <t>KCOXA1</t>
  </si>
  <si>
    <t>ATF-E-09</t>
  </si>
  <si>
    <t>ESL Deposition (SiN, w/ FSG ) - P126/P252~P3600</t>
  </si>
  <si>
    <t>ATF-A-09</t>
  </si>
  <si>
    <t>a-Si Deposition (Mandrel) - N5/N7</t>
  </si>
  <si>
    <t>KCASA5</t>
  </si>
  <si>
    <t>ATF-F-04</t>
  </si>
  <si>
    <t>ATF-B-10</t>
  </si>
  <si>
    <t>a-Si Deposition (Dummy Poly) - N3~N7</t>
  </si>
  <si>
    <t>ATF-C-10</t>
  </si>
  <si>
    <t>a-Si Deposition (Dummy Poly, 300C) - N5</t>
  </si>
  <si>
    <t>ATF-B-03</t>
  </si>
  <si>
    <t>CMG/SNR SiN Deposition (450C) - N5</t>
  </si>
  <si>
    <t>Olympia (New Olympia*2)</t>
  </si>
  <si>
    <t>ATF-B-12</t>
  </si>
  <si>
    <t>Gap-Fill Deposition (STI, Flowable (E2)) [N5P] - N5</t>
  </si>
  <si>
    <t>PRODUCER GT (Corona*1, Trinity FCVD*2)</t>
  </si>
  <si>
    <t>ATF-F-05</t>
  </si>
  <si>
    <t>ATF-C-06</t>
  </si>
  <si>
    <t>Gap-Fill Deposition (ILD, Flowable (E1), LT) - N3~N10</t>
  </si>
  <si>
    <t>PRODUCER GT (Bento*2, Trinity FCVD*3)</t>
  </si>
  <si>
    <t>ATF-C-02</t>
  </si>
  <si>
    <t>Gap-Fill Curing (ILD) - N3~N10</t>
  </si>
  <si>
    <t>PRODUCER GT (Corona*3)</t>
  </si>
  <si>
    <t>ATF-B-07</t>
  </si>
  <si>
    <t>SiN-Refill Deposition (CMG) - N3/N5</t>
  </si>
  <si>
    <t>XP8 QCM (QCM SiN*4)</t>
  </si>
  <si>
    <t>ATF-B-14</t>
  </si>
  <si>
    <t>Spacer Deposition (BEOL, TiO) - N3~N10</t>
  </si>
  <si>
    <t>Eagle XP8 (DCM TiO*4)</t>
  </si>
  <si>
    <t>ATF-E-23</t>
  </si>
  <si>
    <t>ATF-C-08</t>
  </si>
  <si>
    <t>OX Deposition (FEOL, ALD, LT) - N3/N5</t>
  </si>
  <si>
    <t>Eagle XP8 (DCM HT-SiO*4)</t>
  </si>
  <si>
    <t>ATF-C-09</t>
  </si>
  <si>
    <t>OX Deposition (BEOL (VOH), ALD, LT) - P40</t>
  </si>
  <si>
    <t>ATF-B-04</t>
  </si>
  <si>
    <t>OX Deposition (PEALD) - N3/N5/N10~N20</t>
  </si>
  <si>
    <t>ATF-B-15</t>
  </si>
  <si>
    <t>OX Deposition (IO, ALD) - N5/N7</t>
  </si>
  <si>
    <t>ATF-E-19</t>
  </si>
  <si>
    <t>OX Deposition (MSW, ALD) - N7/N10</t>
  </si>
  <si>
    <t>ATF-E-07</t>
  </si>
  <si>
    <t>HM Deposition (OD/Poly) - N3~N28</t>
  </si>
  <si>
    <t>Vector Express</t>
  </si>
  <si>
    <t>ATF-E-05</t>
  </si>
  <si>
    <t>ATF-E-04</t>
  </si>
  <si>
    <t>APF Deposition (OD/Poly, Vector) - N3~N10/N16/N28</t>
  </si>
  <si>
    <t>Vector AHM XT</t>
  </si>
  <si>
    <t>ATF-C-14</t>
  </si>
  <si>
    <t>ELK Deposition (LK8) - P40/P42</t>
  </si>
  <si>
    <t>PRODUCER SE (CVD LOW K*3)</t>
  </si>
  <si>
    <t>ATF-C-13</t>
  </si>
  <si>
    <t>ELK Deposition (LK9) - P76</t>
  </si>
  <si>
    <t>KCBDA6</t>
  </si>
  <si>
    <t>ATF-A-08</t>
  </si>
  <si>
    <t>KCBDA2</t>
  </si>
  <si>
    <t>ATF-C-04</t>
  </si>
  <si>
    <t>ELK Deposition (LK6) - P80~P252</t>
  </si>
  <si>
    <t>ATF-B-16</t>
  </si>
  <si>
    <t>ELK Deposition (LKA) - P28/P34/P35</t>
  </si>
  <si>
    <t>ATF-A-10</t>
  </si>
  <si>
    <t>ATF-E-21</t>
  </si>
  <si>
    <t>ELK Curing (LKA/LK8/LK9/LK6) - P28/P32/P34/P42/P76/P126/P720</t>
  </si>
  <si>
    <t>PRODUCER GT (Apollo*3)</t>
  </si>
  <si>
    <t>ATF-E-22</t>
  </si>
  <si>
    <t>ATF-A-07</t>
  </si>
  <si>
    <t>ATF-D-06</t>
  </si>
  <si>
    <t>USG Deposition (Pass.2, HDP)</t>
  </si>
  <si>
    <t>CENTURA ACP (ULTIMA HDP CVD*3)</t>
  </si>
  <si>
    <t>KCHPA2</t>
  </si>
  <si>
    <t>ATF-G-05</t>
  </si>
  <si>
    <t>ATF-D-05</t>
  </si>
  <si>
    <t>USG Deposition - P126~P252/P720/P800/P2700/P3600</t>
  </si>
  <si>
    <t>MACH IV (Vector Extreme Core PECVD Module*2)</t>
  </si>
  <si>
    <t>ATF-J-04</t>
  </si>
  <si>
    <t>ATF-D-04</t>
  </si>
  <si>
    <t>NFARL Deposition (SiOC) - P40/P76</t>
  </si>
  <si>
    <t>ATF-D-03</t>
  </si>
  <si>
    <t>USG Deposition (High Stress) - P126~P3600</t>
  </si>
  <si>
    <t>ATF-E-06</t>
  </si>
  <si>
    <t>Capping OX Deposition (STI) - N3~N10</t>
  </si>
  <si>
    <t>ATF-E-03</t>
  </si>
  <si>
    <t>ATF-E-08</t>
  </si>
  <si>
    <t>SiON Deposition - P126/P252~P3600</t>
  </si>
  <si>
    <t>ATF-C-03</t>
  </si>
  <si>
    <t>ESL Deposition (SiC) - P126/P252~P720/P900</t>
  </si>
  <si>
    <t>ATF-C-18</t>
  </si>
  <si>
    <t>ATF-C-11</t>
  </si>
  <si>
    <t>SiN Deposition (Pass.)</t>
  </si>
  <si>
    <t>ATF-D-09</t>
  </si>
  <si>
    <t>AESL Deposition (AlN/ODC) - P40/P42</t>
  </si>
  <si>
    <t>MACH 1+ (QSM DB*1, QSM MD*2, SSM VD*1, VERSA G*1)</t>
  </si>
  <si>
    <t>ATF-A-05</t>
  </si>
  <si>
    <t>ATF-E-11</t>
  </si>
  <si>
    <t>ESL Deposition (SiC) - P64/P76~P90</t>
  </si>
  <si>
    <t>MACH 1 (QSM DB*1, SSM CLEAR*1, SSM Lumier*1)</t>
  </si>
  <si>
    <t>ATF-E-10</t>
  </si>
  <si>
    <t>ATF-A-06</t>
  </si>
  <si>
    <t>ATF-C-15</t>
  </si>
  <si>
    <t>WDC Deposition (MD) - N3/N5</t>
  </si>
  <si>
    <t>MACH IV (WDC*2)</t>
  </si>
  <si>
    <t>ATF-D-02</t>
  </si>
  <si>
    <t>TEOS OX Deposition (RFTC) - P22/P26/P42/P76/P126</t>
  </si>
  <si>
    <t>MACH IV (Vector Extreme TEOS XT module*2)</t>
  </si>
  <si>
    <t>ATF-D-13</t>
  </si>
  <si>
    <t>ABS-A-07</t>
  </si>
  <si>
    <t>AlO Deposition - P40/P42</t>
  </si>
  <si>
    <t>ENDURA II (Impulse PVD AlO*3)</t>
  </si>
  <si>
    <t>ABS-C-01</t>
  </si>
  <si>
    <t>Ti/TiN Deposition - N5/N7</t>
  </si>
  <si>
    <t>Trias e+ (COR*1, LOGIC Ti*2, PHTR*1)</t>
  </si>
  <si>
    <t>ABS-D-14</t>
  </si>
  <si>
    <t>ADI-B-05</t>
  </si>
  <si>
    <t>HK Deposition (CA3) - N3/N5</t>
  </si>
  <si>
    <t>Eagle XP4 (Pulsar 3000_AXIS*4)</t>
  </si>
  <si>
    <t>ADI-I-19</t>
  </si>
  <si>
    <t>ADI-B-04</t>
  </si>
  <si>
    <t>HK Deposition - N3~N10</t>
  </si>
  <si>
    <t>ADI-F-24</t>
  </si>
  <si>
    <t>ATF-B-08</t>
  </si>
  <si>
    <t>HK Deposition (CA1) - N3/N5</t>
  </si>
  <si>
    <t>XP8 QCM (Synergis MX*4)</t>
  </si>
  <si>
    <t>ATF-B-06</t>
  </si>
  <si>
    <t>AlO Deposition (ML, SMPG) - N3/N5</t>
  </si>
  <si>
    <t>ATF-F-11</t>
  </si>
  <si>
    <t>ABS-C-06</t>
  </si>
  <si>
    <t>TiN Deposition (MG, Synergis NT) - N5</t>
  </si>
  <si>
    <t>XP8 QCM (Synergis NT*4)</t>
  </si>
  <si>
    <t>ABS-B-13</t>
  </si>
  <si>
    <t>TaN Deposition (Hi-R) - P76/P80</t>
  </si>
  <si>
    <t>ENDURA II (ENC II TaN*2)</t>
  </si>
  <si>
    <t>ABS-A-05</t>
  </si>
  <si>
    <t>TiAl Deposition (MG) - N5/N7</t>
  </si>
  <si>
    <t>ENDURA II (Trillium ALD TiAlC*3, Trillium ALD TiN*2)</t>
  </si>
  <si>
    <t>ABS-A-01</t>
  </si>
  <si>
    <t>Pre-W Treatment (V0) - N3</t>
  </si>
  <si>
    <t>ENDURA II (DMD*4, VOL W(H2)*3, VOL W(O2)*2)</t>
  </si>
  <si>
    <t>ABS-D-01</t>
  </si>
  <si>
    <t>ABS-A-06</t>
  </si>
  <si>
    <t>Glue Layer Deposition (V0) - N3/N5</t>
  </si>
  <si>
    <t>ENDURA II (AVENIR Ti*2, PCXT*2, TxZ TiN*3)</t>
  </si>
  <si>
    <t>ABS-B-10</t>
  </si>
  <si>
    <t>AlCu Pad Deposition - P3600</t>
  </si>
  <si>
    <t>ENDURA II (Hot Al*3, PCXT*2, PVD TaN*2)</t>
  </si>
  <si>
    <t>ABS-C-02</t>
  </si>
  <si>
    <t>Pre-Ti/TN Treatment - N5/N7</t>
  </si>
  <si>
    <t>ENDURA II (Collins*4, Degas*2)</t>
  </si>
  <si>
    <t>ABS-C-05</t>
  </si>
  <si>
    <t>TSP Deposition (HK Capping) - N5</t>
  </si>
  <si>
    <t>CENTURA ACP (Trillium ALD TiN*4)</t>
  </si>
  <si>
    <t>ATF-E-18</t>
  </si>
  <si>
    <t>W-Fill Deposition (MG, DD) - N3~N7</t>
  </si>
  <si>
    <t>CENTURA ACP (iSprint W SALD*4)</t>
  </si>
  <si>
    <t>ATF-B-05</t>
  </si>
  <si>
    <t>W-Fill Deposition (V0) - N3~N7</t>
  </si>
  <si>
    <t>KCWPA3</t>
  </si>
  <si>
    <t>ATF-F-12</t>
  </si>
  <si>
    <t>ABS-A-03</t>
  </si>
  <si>
    <t>W-Fill Deposition (V0, Selective W/S1) - N5/N7</t>
  </si>
  <si>
    <t>ENDURA II (DMD*4, VOL ALDCVD iW1*3, VOL W*2)</t>
  </si>
  <si>
    <t>ABS-D-11</t>
  </si>
  <si>
    <t>ABS-A-11</t>
  </si>
  <si>
    <t>Co Capping Deposition (HT) - P26/P30/P35~P64/P76</t>
  </si>
  <si>
    <t>Pegasus (VOL Co*7)</t>
  </si>
  <si>
    <t>ABS-B-07</t>
  </si>
  <si>
    <t>ABS-B-06</t>
  </si>
  <si>
    <t>Co Capping Deposition (LT) - P76/P80</t>
  </si>
  <si>
    <t>Pegasus (VOL Co*5)</t>
  </si>
  <si>
    <t>ABS-A-02</t>
  </si>
  <si>
    <t>Barrier/Cu Seed Deposition - P28/P32/P34</t>
  </si>
  <si>
    <t>E3 (ACE3 CU*3, ALD TaN*2, ENC3 TaN*1, M APC*1, VOL Co*2)</t>
  </si>
  <si>
    <t>ABS-B-08</t>
  </si>
  <si>
    <t>ABS-B-09</t>
  </si>
  <si>
    <t>ABS-B-05</t>
  </si>
  <si>
    <t>Cu Seed Deposition - P22~P35</t>
  </si>
  <si>
    <t>ENDURA II (APC*2, RFXT Cu*3)</t>
  </si>
  <si>
    <t>ABS-A-08</t>
  </si>
  <si>
    <t>Barrier/Cu Seed Deposition - P126/P720/P900</t>
  </si>
  <si>
    <t>ENDURA II (ENC II RF Cu*2, ENC II TaN*2, RPC*2)</t>
  </si>
  <si>
    <t>ABS-H-15</t>
  </si>
  <si>
    <t>ABS-B-14</t>
  </si>
  <si>
    <t>Barrier/Cu Seed Deposition - P40</t>
  </si>
  <si>
    <t>Pegasus (ACE+ Cu*2, ALD TaN*2, ENC II TaN*1, M APC*2, VOL Co*2)</t>
  </si>
  <si>
    <t>ABS-H-04</t>
  </si>
  <si>
    <t>ABS-B-04</t>
  </si>
  <si>
    <t>Barrier/Cu Seed Deposition (PVD TaN) - P126</t>
  </si>
  <si>
    <t>ENDURA II (APC*2, ENC II RFX Cu*2, ENC II TaN*2)</t>
  </si>
  <si>
    <t>ABS-B-03</t>
  </si>
  <si>
    <t>Barrier/Cu Seed Deposition - P76~P126</t>
  </si>
  <si>
    <t>ENDURA II (APC*2, ENC II RFXT Cu*2, ENC II TaN*2)</t>
  </si>
  <si>
    <t>ABS-B-02</t>
  </si>
  <si>
    <t>ABS-A-12</t>
  </si>
  <si>
    <t>Post Wet Etch Baking (Single Wafer) - P126/P252/P900/P2700</t>
  </si>
  <si>
    <t>DG4150 (2C)</t>
  </si>
  <si>
    <t>ABS-A-15</t>
  </si>
  <si>
    <t>Post Wet Etch Baking (Single Wafer w/ Lamp) - P28~P64/P80/P90</t>
  </si>
  <si>
    <t>DG4150 (2C, Lamp)</t>
  </si>
  <si>
    <t>ABS-C-07</t>
  </si>
  <si>
    <t>ABS-C-08</t>
  </si>
  <si>
    <t>ABS-C-09</t>
  </si>
  <si>
    <t>ABS-C-10</t>
  </si>
  <si>
    <t>ABS-A-13</t>
  </si>
  <si>
    <t>MHM Baking (Alloy, Single Wafer) - P76~P90</t>
  </si>
  <si>
    <t>ABS-A-14</t>
  </si>
  <si>
    <t>ABS-A-04</t>
  </si>
  <si>
    <t>Co-Fill Deposition (MD) - N5</t>
  </si>
  <si>
    <t>Pegasus (Cirrus Co*2, Hydra ALD TiN*2, VOL Co*3, mini-MCxT*2)</t>
  </si>
  <si>
    <t>ABS-B-11</t>
  </si>
  <si>
    <t>MHM TiN Deposition - P76~P90</t>
  </si>
  <si>
    <t>ENDURA II (VERSA TTN*3)</t>
  </si>
  <si>
    <t>ABS-E-06</t>
  </si>
  <si>
    <t>ABS-A-10</t>
  </si>
  <si>
    <t>MHM TiN Deposition - P26/P28/P32/P34/P42</t>
  </si>
  <si>
    <t>ENTRON-EX W300 (TiN*3, W/ NRTL)</t>
  </si>
  <si>
    <t>ABS-B-12</t>
  </si>
  <si>
    <t>MHM TiN Deposition - P40/P42</t>
  </si>
  <si>
    <t>ENDURA II (Cirrus HTX TiN*4)</t>
  </si>
  <si>
    <t>AEC-A-01</t>
  </si>
  <si>
    <t>Co Plating - N5</t>
  </si>
  <si>
    <t>Sabre FC (Cell*3, PEM*3, VPM*1)</t>
  </si>
  <si>
    <t>AEC-A-06</t>
  </si>
  <si>
    <t>Cu Plating - P90/P180/P360/P720/P900</t>
  </si>
  <si>
    <t>Sabre Next (Anneal*5, Cell*3, PEM*3)</t>
  </si>
  <si>
    <t>AEC-A-04</t>
  </si>
  <si>
    <t>Cu Plating - P28/P34/P40/P76</t>
  </si>
  <si>
    <t>Sabre Max (Anneal*6, Cell*3, PEM*3)</t>
  </si>
  <si>
    <t>AEC-A-07</t>
  </si>
  <si>
    <t>AEC-A-05</t>
  </si>
  <si>
    <t>Cu Plating (HALL) - P64/P80/P126</t>
  </si>
  <si>
    <t>ACM-A-09-C</t>
  </si>
  <si>
    <t>Si CMP (Poly) - N5</t>
  </si>
  <si>
    <t>REFLEXION LK PRIME</t>
  </si>
  <si>
    <t>KMOPA3-M</t>
  </si>
  <si>
    <t>ACM-A-09-M</t>
  </si>
  <si>
    <t>i550s</t>
  </si>
  <si>
    <t>KMWPA1-C</t>
  </si>
  <si>
    <t>ACM-A-06-C</t>
  </si>
  <si>
    <t>RPG MG - W CMP [N5P] - N5</t>
  </si>
  <si>
    <t>KMWPA1-M</t>
  </si>
  <si>
    <t>ACM-A-06-M</t>
  </si>
  <si>
    <t>KMOPA1-C</t>
  </si>
  <si>
    <t>ACM-A-05-C</t>
  </si>
  <si>
    <t>SiN CMP (CMG, SiN Refill) - N5</t>
  </si>
  <si>
    <t>KMOPA1-M</t>
  </si>
  <si>
    <t>ACM-A-05-M</t>
  </si>
  <si>
    <t>KMOPA4-C</t>
  </si>
  <si>
    <t>ACM-A-12-C</t>
  </si>
  <si>
    <t>ILD0 OX CMP (2-in-1, AMAT) [N5P] - N5</t>
  </si>
  <si>
    <t>KMOPA4-M</t>
  </si>
  <si>
    <t>ACM-A-12-M</t>
  </si>
  <si>
    <t>ACM-A-07-C</t>
  </si>
  <si>
    <t>SiGe CMP - N5</t>
  </si>
  <si>
    <t>KMOPA2-M</t>
  </si>
  <si>
    <t>ACM-A-07-M</t>
  </si>
  <si>
    <t>EBARA</t>
  </si>
  <si>
    <t>ACM-B-03-C</t>
  </si>
  <si>
    <t>W CMP (V0) - N5/N7</t>
  </si>
  <si>
    <t>F-REX300X (GX Head)</t>
  </si>
  <si>
    <t>KMWPE1-M</t>
  </si>
  <si>
    <t>ACM-B-03-M</t>
  </si>
  <si>
    <t>ACU-A-07-C</t>
  </si>
  <si>
    <t>Co CMP (MD) - N5/N7</t>
  </si>
  <si>
    <t>KMCPE1-M</t>
  </si>
  <si>
    <t>ACU-A-07-M</t>
  </si>
  <si>
    <t>ACM-B-04-C</t>
  </si>
  <si>
    <t>OX CMP (STI) - N5</t>
  </si>
  <si>
    <t>KMOPE1-M</t>
  </si>
  <si>
    <t>ACM-B-04-M</t>
  </si>
  <si>
    <t>ACU-A-04-C</t>
  </si>
  <si>
    <t>Cu CMP (BEOL, Ebara) - N5</t>
  </si>
  <si>
    <t>KUCPE3-M</t>
  </si>
  <si>
    <t>ACU-A-04-M</t>
  </si>
  <si>
    <t>i500+</t>
  </si>
  <si>
    <t>ACU-A-06-C</t>
  </si>
  <si>
    <t>Cu CMP - M0</t>
  </si>
  <si>
    <t>ACU-C-07-C</t>
  </si>
  <si>
    <t>Cu CMP (TX9) - P28/P32/P34/P40/P42</t>
  </si>
  <si>
    <t>KUCPE1-M</t>
  </si>
  <si>
    <t>ACU-A-06-M</t>
  </si>
  <si>
    <t>KUCPEB-M</t>
  </si>
  <si>
    <t>ACU-C-07-M</t>
  </si>
  <si>
    <t>ACU-A-05-C</t>
  </si>
  <si>
    <t>Particle Buffing - N5~N10</t>
  </si>
  <si>
    <t>KUCPE2-M</t>
  </si>
  <si>
    <t>ACU-A-05-M</t>
  </si>
  <si>
    <t>ACU-A-03-C</t>
  </si>
  <si>
    <t>Cu CMP - P80/P126</t>
  </si>
  <si>
    <t>F-REX300X (GIII Head)</t>
  </si>
  <si>
    <t>ACU-A-02-C</t>
  </si>
  <si>
    <t>KUCPE4-M</t>
  </si>
  <si>
    <t>ACU-A-03-M</t>
  </si>
  <si>
    <t>KUCPE6-M</t>
  </si>
  <si>
    <t>ACU-A-02-M</t>
  </si>
  <si>
    <t>ACU-A-01-C (Day1) --&gt; ACU-C-10-C (Future)</t>
  </si>
  <si>
    <t>Cu CMP (F1) - P180/P360/P720/P900</t>
  </si>
  <si>
    <t>KUCPE5-M</t>
  </si>
  <si>
    <t>ACU-A-01-M (Day1) --&gt; ACU-C-10\-M (Future)</t>
  </si>
  <si>
    <t>AIB-B-21</t>
  </si>
  <si>
    <t>Backside SiN Removal (CMG) - N3/N5</t>
  </si>
  <si>
    <t>SB-3000 (6C, w/ NRTL)</t>
  </si>
  <si>
    <t>KILAU1</t>
  </si>
  <si>
    <t>ULTRATECH</t>
  </si>
  <si>
    <t>ADI-D-01</t>
  </si>
  <si>
    <t>Laser Annealing (S/D, ms) - N5</t>
  </si>
  <si>
    <t>LSA101</t>
  </si>
  <si>
    <t>KILAU2</t>
  </si>
  <si>
    <t>ADI-E-01</t>
  </si>
  <si>
    <t>AIB-C-08</t>
  </si>
  <si>
    <t>Pre-Metal Sputter Wet Etching (DHF 500:1/MR2/MR3) - N3/N5</t>
  </si>
  <si>
    <t>AIB-G-01</t>
  </si>
  <si>
    <t>AIB-B-19</t>
  </si>
  <si>
    <t>Pre-Metal Sputter Wet Etching (dNH4OH/MR1/MR2/O3) - N3/N5</t>
  </si>
  <si>
    <t>AIB-C-04</t>
  </si>
  <si>
    <t>Pre-Metal Sputter Wet Etching (MR3) - N5</t>
  </si>
  <si>
    <t>AIB-G-07</t>
  </si>
  <si>
    <t>AIB-C-05</t>
  </si>
  <si>
    <t>Metal Wet Etching (DHF 500:1/dNH4OH/MR1/MR3) - N3/N5</t>
  </si>
  <si>
    <t>AIB-F-07</t>
  </si>
  <si>
    <t>ATF-E-13</t>
  </si>
  <si>
    <t>Co Annealing - N5</t>
  </si>
  <si>
    <t>PRODUCER GT (Gershwin anneal*3)</t>
  </si>
  <si>
    <t>ATF-D-18</t>
  </si>
  <si>
    <t>AESL Deposition (Mithril, ESL2) - P28/P32/P34/P40/P42</t>
  </si>
  <si>
    <t>MACH 1 (QSM MDG*2, VERSA G*1)</t>
  </si>
  <si>
    <t>ATF-G-17</t>
  </si>
  <si>
    <t>APH-C-03</t>
  </si>
  <si>
    <t>PR Stripping (RWK)</t>
  </si>
  <si>
    <t>LITHIUS Pro (6R, with BST)</t>
  </si>
  <si>
    <t>AET-D-04</t>
  </si>
  <si>
    <t>Contact Dry Etching (MEOL, RWK)</t>
  </si>
  <si>
    <t>Tactras M2 (Vigus V1*4)</t>
  </si>
  <si>
    <t>AET-B-05</t>
  </si>
  <si>
    <t>Via/Trench/MHM Dry Etching (BEOL, Bottom, RWK)</t>
  </si>
  <si>
    <t>AET-A-06</t>
  </si>
  <si>
    <t>Via/Trench/MHM Dry Etching (BEOL, Tri-layer, Producer, RWK)</t>
  </si>
  <si>
    <t>AET-H-08</t>
  </si>
  <si>
    <t>OD/Poly Dry Etching (FEOL, RWK)</t>
  </si>
  <si>
    <t>AIB-F-18</t>
  </si>
  <si>
    <t>ABB-B-08</t>
  </si>
  <si>
    <t>ATF-E-20</t>
  </si>
  <si>
    <t>OX Deposition (MEOL, ALD) - N5</t>
  </si>
  <si>
    <t>ADI-B-06</t>
  </si>
  <si>
    <t>HK Deposition (ES4) - N3/N5</t>
  </si>
  <si>
    <t>ADI-I-22</t>
  </si>
  <si>
    <t>ATF-E-17</t>
  </si>
  <si>
    <t>TiSix Annealing - N5/N7</t>
  </si>
  <si>
    <t>CENTURA ACP (RADIANCE*3, CGA)</t>
  </si>
  <si>
    <t>ADI-A-04</t>
  </si>
  <si>
    <t>Poly Deposition (Ge, CW)</t>
  </si>
  <si>
    <t>ADI-B-09</t>
  </si>
  <si>
    <t>AP OX Deposition (FEOL, CW)</t>
  </si>
  <si>
    <t>ADI-B-16</t>
  </si>
  <si>
    <t>AWR-A-04</t>
  </si>
  <si>
    <t>Std. Clean (FEOL, CW)</t>
  </si>
  <si>
    <t>AIB-B-09</t>
  </si>
  <si>
    <t>AIB-B-13</t>
  </si>
  <si>
    <t>Std. Clean (A , HTHC, Bench) - N5~N10/N28~013</t>
  </si>
  <si>
    <t>AWR-A-02</t>
  </si>
  <si>
    <t>B Clean (Bench) - N5~N10/N28~013</t>
  </si>
  <si>
    <t>ADI-A-16</t>
  </si>
  <si>
    <t>Poly Deposition (Si, CW) - N5~N10</t>
  </si>
  <si>
    <t>ADI-A-17</t>
  </si>
  <si>
    <t>ADI-B-12</t>
  </si>
  <si>
    <t>AP OX Deposition (MEOL, CW)</t>
  </si>
  <si>
    <t>ADI-B-13</t>
  </si>
  <si>
    <t>AP OX Deposition (BEOL, CW)</t>
  </si>
  <si>
    <t>ADI-I-25</t>
  </si>
  <si>
    <t>AP OX Deposition (HK, CW)</t>
  </si>
  <si>
    <t>ADI-I-24</t>
  </si>
  <si>
    <t>AP OX Deposition (MG, CW)</t>
  </si>
  <si>
    <t>AET-G-14</t>
  </si>
  <si>
    <t>SiC Ashing (BEOL, CW) - P42</t>
  </si>
  <si>
    <t>Aspen III (Highlands*2)</t>
  </si>
  <si>
    <t>ATF-D-07</t>
  </si>
  <si>
    <t>Scrub Clean (BEOL, CW)</t>
  </si>
  <si>
    <t>ATF-C-12</t>
  </si>
  <si>
    <t>Scrub Clean (FEOL, CW)</t>
  </si>
  <si>
    <t>AWR-A-06</t>
  </si>
  <si>
    <t>Std. Clean (BEOL, CW)</t>
  </si>
  <si>
    <t>AFB-A-01</t>
  </si>
  <si>
    <t>AIB-B-12</t>
  </si>
  <si>
    <t>Std. Clean (HK, CW)</t>
  </si>
  <si>
    <t>ADI-A-05</t>
  </si>
  <si>
    <t>SiN Deposition (ALD, CW) - N5~N10</t>
  </si>
  <si>
    <t>AET-D-10</t>
  </si>
  <si>
    <t>Polymer/PR Ashing (FEOL, w/o CF4, 200C, CW)</t>
  </si>
  <si>
    <t>ADI-B-19</t>
  </si>
  <si>
    <t>Poly Deposition (620C, CW)</t>
  </si>
  <si>
    <t>ADI-A-13</t>
  </si>
  <si>
    <t>SiN Deposition (CVD, CW)</t>
  </si>
  <si>
    <t>TELINDY PLUS (5L)</t>
  </si>
  <si>
    <t>ABS-B-01</t>
  </si>
  <si>
    <t>TiN Deposition</t>
  </si>
  <si>
    <t>ENDURA II (VERSA TTN*2, VERSA XT Co*2)</t>
  </si>
  <si>
    <t>AIB-D-02</t>
  </si>
  <si>
    <t>Caro's / Polymer Strip (SPM/HF)</t>
  </si>
  <si>
    <t>ACM-B-07</t>
  </si>
  <si>
    <t>Wafer Reclaim (CW)</t>
  </si>
  <si>
    <t>F-REX300X</t>
  </si>
  <si>
    <t>ACM-B-06</t>
  </si>
  <si>
    <t>ACM-B-05</t>
  </si>
  <si>
    <t>ACU-D-04</t>
  </si>
  <si>
    <t>APH-C-05</t>
  </si>
  <si>
    <t>SOG Coating (MG) - N20</t>
  </si>
  <si>
    <t>ACT 12 (2C)</t>
  </si>
  <si>
    <t>ADI-B-18</t>
  </si>
  <si>
    <t>ATF-B-02</t>
  </si>
  <si>
    <t>ABS-D-07</t>
  </si>
  <si>
    <t>AET-D-01</t>
  </si>
  <si>
    <t>Defect Inspection (Bright Field, BBP 190nm) - N3~N7</t>
  </si>
  <si>
    <t>ATF-E-14</t>
  </si>
  <si>
    <t>ABB-A-17</t>
  </si>
  <si>
    <t>Defect Inspection (BBP 260nm, Bright Field) - N3/N5</t>
  </si>
  <si>
    <t>AET-A-13</t>
  </si>
  <si>
    <t>ATF-A-04</t>
  </si>
  <si>
    <t>Defect Inspection (LSW 266nm, Bright Field) - N3/N5</t>
  </si>
  <si>
    <t>UVision Enlight2 PRO</t>
  </si>
  <si>
    <t>KKDB05</t>
  </si>
  <si>
    <t>AET-B-01</t>
  </si>
  <si>
    <t>ATF-E-15</t>
  </si>
  <si>
    <t>Defect Inspection (LSW 266nm, Dark Field) - N3/N5</t>
  </si>
  <si>
    <t>Voya 1015</t>
  </si>
  <si>
    <t>KKDD01</t>
  </si>
  <si>
    <t>AIB-E-05</t>
  </si>
  <si>
    <t>ABS-C-11</t>
  </si>
  <si>
    <t>Defect Inspection (LSW 266nm, Dark Field) - N3~N10</t>
  </si>
  <si>
    <t>UVision Enlight2 PRO (XL)</t>
  </si>
  <si>
    <t>KKDD04</t>
  </si>
  <si>
    <t>ABS-C-12</t>
  </si>
  <si>
    <t>AIB-B-02</t>
  </si>
  <si>
    <t>Defect Inspection (eBeam) - N3~N12</t>
  </si>
  <si>
    <t>eScan600</t>
  </si>
  <si>
    <t>KKSS03</t>
  </si>
  <si>
    <t>AIB-B-17</t>
  </si>
  <si>
    <t>PRIMEVision3</t>
  </si>
  <si>
    <t>AET-G-01</t>
  </si>
  <si>
    <t>eP5</t>
  </si>
  <si>
    <t>KKSS04</t>
  </si>
  <si>
    <t>AET-A-15</t>
  </si>
  <si>
    <t>PROVision 3e Plus</t>
  </si>
  <si>
    <t>KKSS05</t>
  </si>
  <si>
    <t>AIB-F-13</t>
  </si>
  <si>
    <t>PROVision 3e Plus (Lite)</t>
  </si>
  <si>
    <t>ABS-A-16</t>
  </si>
  <si>
    <t>Defect Inspection (CMP, AXI)</t>
  </si>
  <si>
    <t>Voya 1015 (Lite)</t>
  </si>
  <si>
    <t>KKSV05</t>
  </si>
  <si>
    <t>AET-D-03</t>
  </si>
  <si>
    <t>Defect Review (SEM) - N3~N20</t>
  </si>
  <si>
    <t>SEMVision G10</t>
  </si>
  <si>
    <t>AMC-B-09</t>
  </si>
  <si>
    <t>KKSV03</t>
  </si>
  <si>
    <t>AMC-B-11</t>
  </si>
  <si>
    <t>AMC-B-12</t>
  </si>
  <si>
    <t>eDR7380</t>
  </si>
  <si>
    <t>ABS-F-01</t>
  </si>
  <si>
    <t>AMC-B-10</t>
  </si>
  <si>
    <t>SEMVision G10e</t>
  </si>
  <si>
    <t>KKSV07</t>
  </si>
  <si>
    <t>ATF-I-12</t>
  </si>
  <si>
    <t>LASERTEC</t>
  </si>
  <si>
    <t>APH-D-07</t>
  </si>
  <si>
    <t>Mask Inspection (Pix50) - N3~N10</t>
  </si>
  <si>
    <t>MATRICS X812EXHiT</t>
  </si>
  <si>
    <t>AEU-A-06</t>
  </si>
  <si>
    <t>X8-Ultra(combo)</t>
  </si>
  <si>
    <t>KPMI04</t>
  </si>
  <si>
    <t>AEU-A-11</t>
  </si>
  <si>
    <t>APH-H-19</t>
  </si>
  <si>
    <t>KPMI07</t>
  </si>
  <si>
    <t>APH-H-18</t>
  </si>
  <si>
    <t>SL670e</t>
  </si>
  <si>
    <t>APH-C-06</t>
  </si>
  <si>
    <t>KPOV03</t>
  </si>
  <si>
    <t>APH-A-08</t>
  </si>
  <si>
    <t>Overlay Measurement (IBO) - N3~N28</t>
  </si>
  <si>
    <t>Archer HTI</t>
  </si>
  <si>
    <t>KPOV01</t>
  </si>
  <si>
    <t>APH-A-10</t>
  </si>
  <si>
    <t>Overlay Measurement (DBO) - N3~N10</t>
  </si>
  <si>
    <t>Archer 500</t>
  </si>
  <si>
    <t>APH-D-04</t>
  </si>
  <si>
    <t>APH-D-03</t>
  </si>
  <si>
    <t>APH-D-18</t>
  </si>
  <si>
    <t>APH-D-17</t>
  </si>
  <si>
    <t>APH-A-07</t>
  </si>
  <si>
    <t>Overlay Measurement (IMM, DBO) - N3~N10</t>
  </si>
  <si>
    <t>APH-A-06</t>
  </si>
  <si>
    <t>APH-A-05</t>
  </si>
  <si>
    <t>APH-A-04</t>
  </si>
  <si>
    <t>APH-A-03</t>
  </si>
  <si>
    <t>APH-A-02</t>
  </si>
  <si>
    <t>APH-A-01</t>
  </si>
  <si>
    <t>APH-D-06</t>
  </si>
  <si>
    <t>APH-D-05</t>
  </si>
  <si>
    <t>APH-J-04</t>
  </si>
  <si>
    <t>APH-E-03</t>
  </si>
  <si>
    <t>KPMU01</t>
  </si>
  <si>
    <t>HOLON</t>
  </si>
  <si>
    <t>APH-D-02</t>
  </si>
  <si>
    <t>EUV mask fall-on defect element analysis</t>
  </si>
  <si>
    <t>LEXa-20 (w/ NRTL)</t>
  </si>
  <si>
    <t>APH-B-06</t>
  </si>
  <si>
    <t>CD SEM Measurement (PHO, RES 1.45nm) - N5~N28</t>
  </si>
  <si>
    <t>CG-5000</t>
  </si>
  <si>
    <t>APH-B-08</t>
  </si>
  <si>
    <t>APH-B-10</t>
  </si>
  <si>
    <t>CD SEM Measurement (PHO, RES 1.4nm) - N3~N10/N40</t>
  </si>
  <si>
    <t>CG-6300</t>
  </si>
  <si>
    <t>APH-B-11</t>
  </si>
  <si>
    <t>AET-F-01</t>
  </si>
  <si>
    <t>APH-C-01</t>
  </si>
  <si>
    <t>CG-7300</t>
  </si>
  <si>
    <t>AEU-A-02</t>
  </si>
  <si>
    <t>APH-B-09</t>
  </si>
  <si>
    <t>CD SEM Measurement (ETC, RES 1.45nm) - N5~N28</t>
  </si>
  <si>
    <t>APH-B-07</t>
  </si>
  <si>
    <t>APH-F-08</t>
  </si>
  <si>
    <t>AEU-A-04</t>
  </si>
  <si>
    <t>CD SEM Measurement (ETC, RES 1.4nm) - N3~N10/N40</t>
  </si>
  <si>
    <t>AEU-A-09</t>
  </si>
  <si>
    <t>AET-G-17</t>
  </si>
  <si>
    <t>AET-E-06</t>
  </si>
  <si>
    <t>AET-C-02</t>
  </si>
  <si>
    <t>AET-C-16</t>
  </si>
  <si>
    <t>APH-F-11</t>
  </si>
  <si>
    <t>APH-F-12</t>
  </si>
  <si>
    <t>APH-G-02</t>
  </si>
  <si>
    <t>APH-F-14</t>
  </si>
  <si>
    <t>AET-E-04</t>
  </si>
  <si>
    <t>ATF-A-01</t>
  </si>
  <si>
    <t>ATF-A-02</t>
  </si>
  <si>
    <t>APH-I-08</t>
  </si>
  <si>
    <t>AET-E-05</t>
  </si>
  <si>
    <t>CD SEM Measurement (ETC, RES 1.8nm) - N12~N28</t>
  </si>
  <si>
    <t>CG-4100</t>
  </si>
  <si>
    <t>ATF-E-16</t>
  </si>
  <si>
    <t>CD SEM Measurement (Tilt Function, ETC, RES 1.4nm) - N3/N5</t>
  </si>
  <si>
    <t>VeritySEM6i</t>
  </si>
  <si>
    <t>KPCD21</t>
  </si>
  <si>
    <t>AET-H-02</t>
  </si>
  <si>
    <t>KPCD22</t>
  </si>
  <si>
    <t>AET-H-01</t>
  </si>
  <si>
    <t>VeritySEM6i+</t>
  </si>
  <si>
    <t>KPCD23</t>
  </si>
  <si>
    <t>AIB-E-06</t>
  </si>
  <si>
    <t>KEPM02</t>
  </si>
  <si>
    <t>ATF-B-17</t>
  </si>
  <si>
    <t>OCD Measurement (LDLS 10KW) - N5~N20</t>
  </si>
  <si>
    <t>SpectraShape 10K</t>
  </si>
  <si>
    <t>KEPM05</t>
  </si>
  <si>
    <t>ATF-D-08</t>
  </si>
  <si>
    <t>KEPM07</t>
  </si>
  <si>
    <t>AET-D-02</t>
  </si>
  <si>
    <t>KEPM11</t>
  </si>
  <si>
    <t>AIB-B-04</t>
  </si>
  <si>
    <t>KEPM15</t>
  </si>
  <si>
    <t>AET-A-14</t>
  </si>
  <si>
    <t>KEPM06</t>
  </si>
  <si>
    <t>ATF-D-01</t>
  </si>
  <si>
    <t>OCD Measurement (LDLS 11K) - N3~N10</t>
  </si>
  <si>
    <t>SpectraShape 11K (Lite, ML)</t>
  </si>
  <si>
    <t>KEPM13</t>
  </si>
  <si>
    <t>AET-C-01</t>
  </si>
  <si>
    <t>KEPM10</t>
  </si>
  <si>
    <t>NANOMETRICS</t>
  </si>
  <si>
    <t>AMC-B-03</t>
  </si>
  <si>
    <t>OCD Measurement (MM) - N5~N20</t>
  </si>
  <si>
    <t>Atlas II+</t>
  </si>
  <si>
    <t>KEPM12</t>
  </si>
  <si>
    <t>AMC-A-02</t>
  </si>
  <si>
    <t>KEPM09</t>
  </si>
  <si>
    <t>ONTO INNOVATION</t>
  </si>
  <si>
    <t>ABB-B-04</t>
  </si>
  <si>
    <t>OCD Measurement (MM)</t>
  </si>
  <si>
    <t>Atlas III (Lite)</t>
  </si>
  <si>
    <t>KEPM18</t>
  </si>
  <si>
    <t>ACU-D-06</t>
  </si>
  <si>
    <t>KEPM14</t>
  </si>
  <si>
    <t>AET-A-01</t>
  </si>
  <si>
    <t>OCD Measurement (SR) - N3~N20</t>
  </si>
  <si>
    <t>T600</t>
  </si>
  <si>
    <t>KEPM16</t>
  </si>
  <si>
    <t>ABS-G-03</t>
  </si>
  <si>
    <t>AMC-A-07</t>
  </si>
  <si>
    <t>Surface Scan</t>
  </si>
  <si>
    <t>Surfscan SP3 (Poly mask, VH)</t>
  </si>
  <si>
    <t>AWR-A-05</t>
  </si>
  <si>
    <t>Surfscan SP5XP (VH)</t>
  </si>
  <si>
    <t>AET-E-01</t>
  </si>
  <si>
    <t>AMC-A-06</t>
  </si>
  <si>
    <t>AMC-A-08</t>
  </si>
  <si>
    <t>APH-D-14</t>
  </si>
  <si>
    <t>Surfscan SP5XP (EH)</t>
  </si>
  <si>
    <t>ATF-B-18</t>
  </si>
  <si>
    <t>ABB-A-10</t>
  </si>
  <si>
    <t>Surfscan SP7 (VH)</t>
  </si>
  <si>
    <t>AWR-A-03</t>
  </si>
  <si>
    <t>Surfscan SP7 (Lite, VH)</t>
  </si>
  <si>
    <t>AET-D-18</t>
  </si>
  <si>
    <t>AMC-B-13</t>
  </si>
  <si>
    <t>LS9600+</t>
  </si>
  <si>
    <t>KDTM01</t>
  </si>
  <si>
    <t>ADI-C-08</t>
  </si>
  <si>
    <t>Thickness Measurement (Ellipsometer LDLS, FEOL) - N3~N10</t>
  </si>
  <si>
    <t>F1 (3LP, Lite)</t>
  </si>
  <si>
    <t>KDTM05</t>
  </si>
  <si>
    <t>ATF-D-19</t>
  </si>
  <si>
    <t>KDTM07</t>
  </si>
  <si>
    <t>AIB-B-14</t>
  </si>
  <si>
    <t>KDTM04</t>
  </si>
  <si>
    <t>AIB-C-02</t>
  </si>
  <si>
    <t>Thickness Measurement (Ellipsometer LDLS, BEOL) - N3~N10</t>
  </si>
  <si>
    <t>KDTM06</t>
  </si>
  <si>
    <t>ABB-B-06</t>
  </si>
  <si>
    <t>KDTM02</t>
  </si>
  <si>
    <t>ADI-C-10</t>
  </si>
  <si>
    <t>Thickness Measurement (Ellipsometer LDLS, HK) - N3~N10</t>
  </si>
  <si>
    <t>KDTM03</t>
  </si>
  <si>
    <t>ABB-B-03</t>
  </si>
  <si>
    <t>KDTM09</t>
  </si>
  <si>
    <t>ABS-G-08</t>
  </si>
  <si>
    <t>KSSG01</t>
  </si>
  <si>
    <t>ADI-C-09</t>
  </si>
  <si>
    <t>Stress Gauge</t>
  </si>
  <si>
    <t>SpectraFX 200</t>
  </si>
  <si>
    <t>KSSG02</t>
  </si>
  <si>
    <t>AEP-B-01</t>
  </si>
  <si>
    <t>KSSG03</t>
  </si>
  <si>
    <t>AET-G-16</t>
  </si>
  <si>
    <t>KSSG04</t>
  </si>
  <si>
    <t>ABB-A-18</t>
  </si>
  <si>
    <t>KSSG05</t>
  </si>
  <si>
    <t>AMC-A-03</t>
  </si>
  <si>
    <t>KEOP01</t>
  </si>
  <si>
    <t>AET-D-09</t>
  </si>
  <si>
    <t>Film Thickness Measurement</t>
  </si>
  <si>
    <t>OP-7341XP</t>
  </si>
  <si>
    <t>KEOP02</t>
  </si>
  <si>
    <t>AMC-A-04</t>
  </si>
  <si>
    <t>KEOP03</t>
  </si>
  <si>
    <t>AMC-A-05</t>
  </si>
  <si>
    <t>KEPM03</t>
  </si>
  <si>
    <t>AMC-B-07</t>
  </si>
  <si>
    <t>KEPM01</t>
  </si>
  <si>
    <t>ADI-C-07</t>
  </si>
  <si>
    <t>KEPM04</t>
  </si>
  <si>
    <t>AMC-B-04</t>
  </si>
  <si>
    <t>KEPM08</t>
  </si>
  <si>
    <t>ATF-F-01</t>
  </si>
  <si>
    <t>KPEI01</t>
  </si>
  <si>
    <t>ATF-D-16</t>
  </si>
  <si>
    <t>Bevel Inspection</t>
  </si>
  <si>
    <t>CIRCL</t>
  </si>
  <si>
    <t>KUNV02</t>
  </si>
  <si>
    <t>AMC-A-09</t>
  </si>
  <si>
    <t>Thickness Measurement (CMP) - N3~N12</t>
  </si>
  <si>
    <t>T500</t>
  </si>
  <si>
    <t>KUNV01</t>
  </si>
  <si>
    <t>AMC-B-01</t>
  </si>
  <si>
    <t>T550s</t>
  </si>
  <si>
    <t>KUNV04</t>
  </si>
  <si>
    <t>ACU-D-11</t>
  </si>
  <si>
    <t>KSRS03</t>
  </si>
  <si>
    <t>AET-A-18</t>
  </si>
  <si>
    <t>Resistivity Mapping (IMP)</t>
  </si>
  <si>
    <t>RS-200+</t>
  </si>
  <si>
    <t>KSRS02</t>
  </si>
  <si>
    <t>AEP-A-07</t>
  </si>
  <si>
    <t>Resistivity Mapping (Cu CMP)</t>
  </si>
  <si>
    <t>KSRS01</t>
  </si>
  <si>
    <t>AMC-B-08</t>
  </si>
  <si>
    <t>Resistivity Mapping (WCMP/SPU/Nico)</t>
  </si>
  <si>
    <t>KSRS04</t>
  </si>
  <si>
    <t>ACM-C-03</t>
  </si>
  <si>
    <t>KEXP01</t>
  </si>
  <si>
    <t>ATF-C-19</t>
  </si>
  <si>
    <t>Film Thickness and Composition Measurement (XPS)</t>
  </si>
  <si>
    <t>VeraFlex III</t>
  </si>
  <si>
    <t>AET-F-17</t>
  </si>
  <si>
    <t>Film Thickness and Composition Measurement (XRF)</t>
  </si>
  <si>
    <t>Wafer X 310 (2LP)</t>
  </si>
  <si>
    <t>AIB-F-03</t>
  </si>
  <si>
    <t>KPRC02</t>
  </si>
  <si>
    <t>APH-D-13</t>
  </si>
  <si>
    <t>Mask Clean (BS)</t>
  </si>
  <si>
    <t>BX100</t>
  </si>
  <si>
    <t>KPPC01</t>
  </si>
  <si>
    <t>BROOKS CCS</t>
  </si>
  <si>
    <t>APH-D-09</t>
  </si>
  <si>
    <t>Reticle POD Clean (EUV)</t>
  </si>
  <si>
    <t>M1000</t>
  </si>
  <si>
    <t>KPSM02</t>
  </si>
  <si>
    <t>APH-D-11</t>
  </si>
  <si>
    <t>Reticle POD Exchange (EUV)</t>
  </si>
  <si>
    <t>DP200</t>
  </si>
  <si>
    <t>RUDOLPH</t>
  </si>
  <si>
    <t>APH-D-19</t>
  </si>
  <si>
    <t>Defect Inspection (CW Recycle, AXI)</t>
  </si>
  <si>
    <t>Dragonfly (WEB+) (Lite)</t>
  </si>
  <si>
    <t>KPIN03</t>
  </si>
  <si>
    <t>APH-E-06</t>
  </si>
  <si>
    <t>KPOM01</t>
  </si>
  <si>
    <t>NIKON</t>
  </si>
  <si>
    <t>APH-D-16</t>
  </si>
  <si>
    <t>Defect Inspection (AXI, Manual)</t>
  </si>
  <si>
    <t>Optistation-3200</t>
  </si>
  <si>
    <t>KPRC01</t>
  </si>
  <si>
    <t>家登</t>
  </si>
  <si>
    <t>APH-D-12</t>
  </si>
  <si>
    <t>Mask Clean</t>
  </si>
  <si>
    <t>DE101206</t>
  </si>
  <si>
    <t>KDDO01</t>
  </si>
  <si>
    <t>AIM-A-01</t>
  </si>
  <si>
    <t>DOSE Monitor</t>
  </si>
  <si>
    <t>TP-680 (Win7)</t>
  </si>
  <si>
    <t>KSPA01</t>
  </si>
  <si>
    <t>PFEIFFER</t>
  </si>
  <si>
    <t>AMC-B-15</t>
  </si>
  <si>
    <t>Foup AMC Analysis</t>
  </si>
  <si>
    <t>APA</t>
  </si>
  <si>
    <t>KFPA01</t>
  </si>
  <si>
    <t>AMC-B-02</t>
  </si>
  <si>
    <t>Foup Door Gasket Sealing Analysis</t>
  </si>
  <si>
    <t>APA302-LD</t>
  </si>
  <si>
    <t>KDFI01</t>
  </si>
  <si>
    <t>ACU-E-04</t>
  </si>
  <si>
    <t>Foup Dimension Inspection</t>
  </si>
  <si>
    <t>CS-300 (w/ NRTL)</t>
  </si>
  <si>
    <t>KUAF01</t>
  </si>
  <si>
    <t>PARK SYSTEMS</t>
  </si>
  <si>
    <t>AMC-B-06</t>
  </si>
  <si>
    <t>In-line AFM for post-CMP Dishing/ Erosion Measurement</t>
  </si>
  <si>
    <t>NX-Wafer (LM)</t>
  </si>
  <si>
    <t>KUMP01</t>
  </si>
  <si>
    <t>AFC-B-02</t>
  </si>
  <si>
    <t>Thickness Measurement (B/S) - N3/N7~013</t>
  </si>
  <si>
    <t>MetapulseG</t>
  </si>
  <si>
    <t>KDSC01</t>
  </si>
  <si>
    <t>SEMILAB</t>
  </si>
  <si>
    <t>AET-D-13</t>
  </si>
  <si>
    <t>K Value Measurement</t>
  </si>
  <si>
    <t>FAaST 300SL+</t>
  </si>
  <si>
    <t>KDIM01</t>
  </si>
  <si>
    <t>IAS</t>
  </si>
  <si>
    <t>AIB-B-20</t>
  </si>
  <si>
    <t>Metal Contaminant Monitor</t>
  </si>
  <si>
    <t>Expert (PP-US)</t>
  </si>
  <si>
    <t>KEHD01</t>
  </si>
  <si>
    <t>BRUKER</t>
  </si>
  <si>
    <t>AET-C-03</t>
  </si>
  <si>
    <t>Nanoscratch Measurement</t>
  </si>
  <si>
    <t>TI950 Tribo Indenter</t>
  </si>
  <si>
    <t>KPPC02</t>
  </si>
  <si>
    <t>AFC-B-01</t>
  </si>
  <si>
    <t>Reticle POD Clean</t>
  </si>
  <si>
    <t>M300</t>
  </si>
  <si>
    <t>KELPM1</t>
  </si>
  <si>
    <t>FAC</t>
  </si>
  <si>
    <t>兆晟奈米</t>
  </si>
  <si>
    <t>2F</t>
  </si>
  <si>
    <t>2F酸房</t>
  </si>
  <si>
    <t>Liquid Particle Monitor</t>
  </si>
  <si>
    <t>SuperSizer-V</t>
  </si>
  <si>
    <t>KELPM2</t>
  </si>
  <si>
    <t>KSXRJ1</t>
  </si>
  <si>
    <t>AET-E-03</t>
  </si>
  <si>
    <t>Si Damage Monitor</t>
  </si>
  <si>
    <t>SENSUS600F</t>
  </si>
  <si>
    <t>AWR-A-11</t>
  </si>
  <si>
    <t>Polymer Stripping (FEOL, H1/H3/APM, CW Recycle)</t>
  </si>
  <si>
    <t>AWR-A-08</t>
  </si>
  <si>
    <t>Polymer Stripping (FEOL, M1/H1/H3, CW Recycle)</t>
  </si>
  <si>
    <t>AWR-A-07</t>
  </si>
  <si>
    <t>Polymer Stripping (FEOL/BEOL, SPM/APM/HPM, CW Recycle)</t>
  </si>
  <si>
    <t>AWR-A-09</t>
  </si>
  <si>
    <t>Polymer Stripping (MEOL/BEOL, BD/APM/HPM, CW Recycle)</t>
  </si>
  <si>
    <t>AWR-A-10</t>
  </si>
  <si>
    <t>Polymer Stripping (MEOL/BEOL, M2/APM/HF, CW Recycle)</t>
  </si>
  <si>
    <t>AWR-A-12</t>
  </si>
  <si>
    <t>Polymer Stripping (BEOL, NPE/HF/APM, CW Recycle)</t>
  </si>
  <si>
    <t>AWR-A-01</t>
  </si>
  <si>
    <t>Polymer Stripping (BEOL, M1/SPM/HF, CW Recycle)</t>
  </si>
  <si>
    <t>AWR-B-05</t>
  </si>
  <si>
    <t>Polymer Stripping (HK, M1/HF/APM, CW Recycle)</t>
  </si>
  <si>
    <t>AWR-B-04</t>
  </si>
  <si>
    <t>Polymer Stripping (MG, M2/APM/HF, CW Recycle)</t>
  </si>
  <si>
    <t>KFFCM1</t>
  </si>
  <si>
    <t>AFC-A-01</t>
  </si>
  <si>
    <t>FOUP Clean (FEOL)</t>
  </si>
  <si>
    <t>M800+M10</t>
  </si>
  <si>
    <t>KFFCM2</t>
  </si>
  <si>
    <t>AFC-A-04</t>
  </si>
  <si>
    <t>M800</t>
  </si>
  <si>
    <t>KFFCM3</t>
  </si>
  <si>
    <t>AFC-A-05</t>
  </si>
  <si>
    <t>KFFCM4</t>
  </si>
  <si>
    <t>AFC-A-02</t>
  </si>
  <si>
    <t>FOUP Clean (MEOL)</t>
  </si>
  <si>
    <t>KFFCM5</t>
  </si>
  <si>
    <t>AFC-A-03</t>
  </si>
  <si>
    <t>KFFCM8</t>
  </si>
  <si>
    <t>AFC-B-06</t>
  </si>
  <si>
    <t>FOUP Clean (BEOL)</t>
  </si>
  <si>
    <t>KFFCM6</t>
  </si>
  <si>
    <t>AFC-B-04</t>
  </si>
  <si>
    <t>KFFCM7</t>
  </si>
  <si>
    <t>AFC-B-03</t>
  </si>
  <si>
    <t>KFFCMF</t>
  </si>
  <si>
    <t>AFC-D-05</t>
  </si>
  <si>
    <t>KFFCMG</t>
  </si>
  <si>
    <t>AFC-D-04</t>
  </si>
  <si>
    <t>KFFCM9</t>
  </si>
  <si>
    <t>AFC-B-05</t>
  </si>
  <si>
    <t>FOUP Clean (HK)</t>
  </si>
  <si>
    <t>KDHTC1</t>
  </si>
  <si>
    <t>EXA CO</t>
  </si>
  <si>
    <t>ATC-A-08</t>
  </si>
  <si>
    <t>Tube Clean (Nitride, Horizontal)</t>
  </si>
  <si>
    <t>HTC303B-S</t>
  </si>
  <si>
    <t>KDHTC2</t>
  </si>
  <si>
    <t>ATC-A-09</t>
  </si>
  <si>
    <t>KDVTC1</t>
  </si>
  <si>
    <t>ATC-A-07</t>
  </si>
  <si>
    <t>Tube Clean (Imp, Vertical)</t>
  </si>
  <si>
    <t>VTC301ALP-T2</t>
  </si>
  <si>
    <t>KDVTC2</t>
  </si>
  <si>
    <t>ATC-A-06</t>
  </si>
  <si>
    <t>KWMTA1-P</t>
  </si>
  <si>
    <t>AWT-A-02-P</t>
  </si>
  <si>
    <t>WAT Prober</t>
  </si>
  <si>
    <t>Prexa+FFU+OHT</t>
  </si>
  <si>
    <t>KWMTA2-P</t>
  </si>
  <si>
    <t>AWT-A-03-P</t>
  </si>
  <si>
    <t>KWMTA3-P</t>
  </si>
  <si>
    <t>AWT-A-04-P</t>
  </si>
  <si>
    <t>KWMTA4-P</t>
  </si>
  <si>
    <t>AWT-A-05-P</t>
  </si>
  <si>
    <t>KWMTA5-P</t>
  </si>
  <si>
    <t>AWT-A-06-P</t>
  </si>
  <si>
    <t>KWMTA6-P</t>
  </si>
  <si>
    <t>AWT-A-07-P</t>
  </si>
  <si>
    <t>KWMTA7-P</t>
  </si>
  <si>
    <t>AWT-A-08-P</t>
  </si>
  <si>
    <t>KWMTA8-P</t>
  </si>
  <si>
    <t>AWT-A-09-P</t>
  </si>
  <si>
    <t>KWMTA9-P</t>
  </si>
  <si>
    <t>AWT-A-10-P</t>
  </si>
  <si>
    <t>KWMTAA-P</t>
  </si>
  <si>
    <t>AWT-B-02-P</t>
  </si>
  <si>
    <t>KWMTAB-P</t>
  </si>
  <si>
    <t>AWT-B-03-P</t>
  </si>
  <si>
    <t>KWMTAC-P</t>
  </si>
  <si>
    <t>AWT-B-04-P</t>
  </si>
  <si>
    <t>KWMTAD-P</t>
  </si>
  <si>
    <t>AWT-B-05-P</t>
  </si>
  <si>
    <t>KWMTAE-P</t>
  </si>
  <si>
    <t>AWT-B-06-P</t>
  </si>
  <si>
    <t>KWMTAF-P</t>
  </si>
  <si>
    <t>AWT-B-07-P</t>
  </si>
  <si>
    <t>KWMTAG-P</t>
  </si>
  <si>
    <t>AWT-B-08-P</t>
  </si>
  <si>
    <t>KWMTAH-P</t>
  </si>
  <si>
    <t>AWT-B-09-P</t>
  </si>
  <si>
    <t>KWMTAR-P</t>
  </si>
  <si>
    <t>AWT-B-10-P</t>
  </si>
  <si>
    <t>KWMTAJ-P</t>
  </si>
  <si>
    <t>AWT-D-01-P</t>
  </si>
  <si>
    <t>KWMTAK-P</t>
  </si>
  <si>
    <t>AWT-D-02-P</t>
  </si>
  <si>
    <t>KWMTAL-P</t>
  </si>
  <si>
    <t>AWT-D-03-P</t>
  </si>
  <si>
    <t>KWMTAM-P</t>
  </si>
  <si>
    <t>AWT-D-04-P</t>
  </si>
  <si>
    <t>KWMT01-P</t>
  </si>
  <si>
    <t>AWT-A-01-P</t>
  </si>
  <si>
    <t>Prexa+OHT+Aircool</t>
  </si>
  <si>
    <t>KWMT01-T</t>
  </si>
  <si>
    <t>KEYSIGHT</t>
  </si>
  <si>
    <t>AWT-A-01-T</t>
  </si>
  <si>
    <t>WAT Tester</t>
  </si>
  <si>
    <t>MPPT</t>
  </si>
  <si>
    <t>KWMTA2-T</t>
  </si>
  <si>
    <t>AWT-A-03-T</t>
  </si>
  <si>
    <t>KWMTA3-T</t>
  </si>
  <si>
    <t>AWT-A-04-T</t>
  </si>
  <si>
    <t>KWMT02-T</t>
  </si>
  <si>
    <t>AWT-B-01-T</t>
  </si>
  <si>
    <t>KWMTA5-T</t>
  </si>
  <si>
    <t>AWT-A-06-T</t>
  </si>
  <si>
    <t>KWMTA6-T</t>
  </si>
  <si>
    <t>AWT-A-07-T</t>
  </si>
  <si>
    <t>KWMTA7-T</t>
  </si>
  <si>
    <t>AWT-A-08-T</t>
  </si>
  <si>
    <t>KWMTA8-T</t>
  </si>
  <si>
    <t>AWT-A-09-T</t>
  </si>
  <si>
    <t>KWMTA9-T</t>
  </si>
  <si>
    <t>AWT-A-10-T</t>
  </si>
  <si>
    <t>KWMTAA-T</t>
  </si>
  <si>
    <t>AWT-B-02-T</t>
  </si>
  <si>
    <t>KWMTAB-T</t>
  </si>
  <si>
    <t>AWT-B-03-T</t>
  </si>
  <si>
    <t>KWMTAC-T</t>
  </si>
  <si>
    <t>AWT-B-04-T</t>
  </si>
  <si>
    <t>KWMTAD-T</t>
  </si>
  <si>
    <t>AWT-B-05-T</t>
  </si>
  <si>
    <t>KWMTAE-T</t>
  </si>
  <si>
    <t>AWT-B-06-T</t>
  </si>
  <si>
    <t>KWMTAF-T</t>
  </si>
  <si>
    <t>AWT-B-07-T</t>
  </si>
  <si>
    <t>KWMTAG-T</t>
  </si>
  <si>
    <t>AWT-B-08-T</t>
  </si>
  <si>
    <t>KWMTAH-T</t>
  </si>
  <si>
    <t>AWT-B-09-T</t>
  </si>
  <si>
    <t>KWMTAR-T</t>
  </si>
  <si>
    <t>AWT-B-10-T</t>
  </si>
  <si>
    <t>KWMTAJ-T</t>
  </si>
  <si>
    <t>AWT-D-01-T</t>
  </si>
  <si>
    <t>KWMTAK-T</t>
  </si>
  <si>
    <t>AWT-D-02-T</t>
  </si>
  <si>
    <t>KWMTAL-T</t>
  </si>
  <si>
    <t>AWT-D-03-T</t>
  </si>
  <si>
    <t>KWMTAM-T</t>
  </si>
  <si>
    <t>AWT-D-04-T</t>
  </si>
  <si>
    <t>KWMTA1-T</t>
  </si>
  <si>
    <t>AWT-A-02-T</t>
  </si>
  <si>
    <t>MPPT+</t>
  </si>
  <si>
    <t>KPSM01</t>
  </si>
  <si>
    <t>GUDENG</t>
  </si>
  <si>
    <t>APH-D-10</t>
  </si>
  <si>
    <t>Optic Mask Edge Clean</t>
  </si>
  <si>
    <t>GD-MKC05</t>
  </si>
  <si>
    <t>KPSM03</t>
  </si>
  <si>
    <t>APH-D-15</t>
  </si>
  <si>
    <t>Reticle POD Exchange</t>
  </si>
  <si>
    <t>GD-MKC04</t>
  </si>
  <si>
    <t>KPOV02</t>
  </si>
  <si>
    <t>APH-A-09</t>
  </si>
  <si>
    <t>KWMTA4-T</t>
  </si>
  <si>
    <t>AWT-A-05-T</t>
  </si>
  <si>
    <t>KWMT02-P</t>
  </si>
  <si>
    <t>AWT-B-01-P</t>
  </si>
  <si>
    <t>AEU-A-03-S</t>
  </si>
  <si>
    <t>AEU-A-08-S</t>
  </si>
  <si>
    <t>AEU-A-10-S</t>
  </si>
  <si>
    <t>AEU-A-12-S</t>
  </si>
  <si>
    <t>AEU-A-03-T</t>
  </si>
  <si>
    <t>AEU-A-08-T</t>
  </si>
  <si>
    <t>AEU-A-10-T</t>
  </si>
  <si>
    <t>AEU-A-12-T</t>
  </si>
  <si>
    <t>APH-H-09-S</t>
  </si>
  <si>
    <t>APH-H-09-T</t>
  </si>
  <si>
    <t>APH-C-13-S</t>
  </si>
  <si>
    <t>APH-H-08-S</t>
  </si>
  <si>
    <t>APH-H-07-S</t>
  </si>
  <si>
    <t>APH-C-13-T</t>
  </si>
  <si>
    <t>APH-H-08-T</t>
  </si>
  <si>
    <t>APH-H-07-T</t>
  </si>
  <si>
    <t>APH-H-10-S</t>
  </si>
  <si>
    <t>APH-H-10-T</t>
  </si>
  <si>
    <t>APH-H-06-S</t>
  </si>
  <si>
    <t>APH-H-06-T</t>
  </si>
  <si>
    <t>LITHIUS ProZ (12C, 12D)</t>
  </si>
  <si>
    <t>APH-E-11</t>
  </si>
  <si>
    <t>PR Coating (ArF/Immersion) - N5~N10</t>
  </si>
  <si>
    <t>APH-E-12</t>
  </si>
  <si>
    <t>APH-E-15</t>
  </si>
  <si>
    <t>APH-E-16</t>
  </si>
  <si>
    <t>APH-E-17</t>
  </si>
  <si>
    <t>APH-H-14</t>
  </si>
  <si>
    <t>APH-F-01</t>
  </si>
  <si>
    <t>APH-H-15</t>
  </si>
  <si>
    <t>APH-E-20</t>
  </si>
  <si>
    <t>KCEPS5</t>
  </si>
  <si>
    <t>AEP-C-05</t>
  </si>
  <si>
    <t>AEP-C-06</t>
  </si>
  <si>
    <t>AEP-B-04</t>
  </si>
  <si>
    <t>AEP-B-03</t>
  </si>
  <si>
    <t>AEP-C-01</t>
  </si>
  <si>
    <t>AEP-A-03</t>
  </si>
  <si>
    <t>AEP-C-03</t>
  </si>
  <si>
    <t>AEP-C-04</t>
  </si>
  <si>
    <t>ADI-F-10</t>
  </si>
  <si>
    <t>ADI-E-02</t>
  </si>
  <si>
    <t>ADI-F-18</t>
  </si>
  <si>
    <t>ADI-F-03</t>
  </si>
  <si>
    <t>ADI-F-11</t>
  </si>
  <si>
    <t>ADI-F-19</t>
  </si>
  <si>
    <t>ADI-F-14</t>
  </si>
  <si>
    <t>ADI-F-13</t>
  </si>
  <si>
    <t>ADI-G-07</t>
  </si>
  <si>
    <t>ADI-H-06</t>
  </si>
  <si>
    <t>ADI-H-07</t>
  </si>
  <si>
    <t>AET-J-10</t>
  </si>
  <si>
    <t>AET-K-03</t>
  </si>
  <si>
    <t>AET-J-07</t>
  </si>
  <si>
    <t>AET-P-14</t>
  </si>
  <si>
    <t>AET-L-07</t>
  </si>
  <si>
    <t>Tactras M3 (Vigus iX*4, HC CIP)</t>
  </si>
  <si>
    <t>AET-J-02</t>
  </si>
  <si>
    <t>AET-L-12</t>
  </si>
  <si>
    <t>AET-L-01</t>
  </si>
  <si>
    <t>AET-I-01</t>
  </si>
  <si>
    <t>AET-Q-08</t>
  </si>
  <si>
    <t>MACH IV (Argos*1)</t>
  </si>
  <si>
    <t>AET-K-01</t>
  </si>
  <si>
    <t>AET-L-16</t>
  </si>
  <si>
    <t>AET-N-03</t>
  </si>
  <si>
    <t>AET-Q-16</t>
  </si>
  <si>
    <t>2300E4 (Kiyo CX*2)</t>
  </si>
  <si>
    <t>AET-J-15</t>
  </si>
  <si>
    <t>AET-Q-07</t>
  </si>
  <si>
    <t>AET-P-05</t>
  </si>
  <si>
    <t>AET-P-06</t>
  </si>
  <si>
    <t>2300E4 (Kiyo EX*2, HVBP, Hydra ESC)</t>
  </si>
  <si>
    <t>AET-P-07</t>
  </si>
  <si>
    <t>AET-P-08</t>
  </si>
  <si>
    <t>AET-Q-04</t>
  </si>
  <si>
    <t>AET-R-02</t>
  </si>
  <si>
    <t>AET-R-03</t>
  </si>
  <si>
    <t>AET-R-04</t>
  </si>
  <si>
    <t>AET-Q-12</t>
  </si>
  <si>
    <t>AET-Q-13</t>
  </si>
  <si>
    <t>AET-Q-14</t>
  </si>
  <si>
    <t>AET-P-03</t>
  </si>
  <si>
    <t>AET-M-01</t>
  </si>
  <si>
    <t>AET-N-10</t>
  </si>
  <si>
    <t>AET-N-11</t>
  </si>
  <si>
    <t>AET-L-08</t>
  </si>
  <si>
    <t>AET-L-14</t>
  </si>
  <si>
    <t>AET-O-04</t>
  </si>
  <si>
    <t>AET-R-06</t>
  </si>
  <si>
    <t>AET-L-15</t>
  </si>
  <si>
    <t>Certas LEAGA (PHT*1, aCOR*4)</t>
  </si>
  <si>
    <t>AET-L-03</t>
  </si>
  <si>
    <t>AET-L-10</t>
  </si>
  <si>
    <t>Certas LEAGA (COR*1, PHT*1)</t>
  </si>
  <si>
    <t>AET-Q-01</t>
  </si>
  <si>
    <t>AET-K-04</t>
  </si>
  <si>
    <t>AET-K-07</t>
  </si>
  <si>
    <t>AET-K-06</t>
  </si>
  <si>
    <t>AET-I-06</t>
  </si>
  <si>
    <t>AET-I-04</t>
  </si>
  <si>
    <t>AET-I-02</t>
  </si>
  <si>
    <t>Tactras M3 (Vigus D1000*4, w/ NRTL)</t>
  </si>
  <si>
    <t>AET-I-03</t>
  </si>
  <si>
    <t>AET-N-07</t>
  </si>
  <si>
    <t>2300E4 (Coronus HP*1)</t>
  </si>
  <si>
    <t>AET-R-07</t>
  </si>
  <si>
    <t>AET-I-05</t>
  </si>
  <si>
    <t>AET-J-09</t>
  </si>
  <si>
    <t>AET-J-13</t>
  </si>
  <si>
    <t>AET-L-13</t>
  </si>
  <si>
    <t>AET-M-05</t>
  </si>
  <si>
    <t>AET-K-02</t>
  </si>
  <si>
    <t>2300E6 (Metal NXP*2)</t>
  </si>
  <si>
    <t>AET-P-09</t>
  </si>
  <si>
    <t>AET-N-13</t>
  </si>
  <si>
    <t>ABB-C-03</t>
  </si>
  <si>
    <t>AET-N-12</t>
  </si>
  <si>
    <t>AET-I-07</t>
  </si>
  <si>
    <t>AET-O-03</t>
  </si>
  <si>
    <t>ADI-F-05</t>
  </si>
  <si>
    <t>ADI-E-08</t>
  </si>
  <si>
    <t>ADI-E-04</t>
  </si>
  <si>
    <t>ADI-F-04</t>
  </si>
  <si>
    <t>ADI-G-02</t>
  </si>
  <si>
    <t>ADI-G-03</t>
  </si>
  <si>
    <t>ADI-E-06</t>
  </si>
  <si>
    <t>ADI-E-07</t>
  </si>
  <si>
    <t>KCSMA7</t>
  </si>
  <si>
    <t>ATF-G-09</t>
  </si>
  <si>
    <t>ADI-E-10</t>
  </si>
  <si>
    <t>ADI-I-18</t>
  </si>
  <si>
    <t>ADI-I-17</t>
  </si>
  <si>
    <t>ADI-F-07</t>
  </si>
  <si>
    <t>ADI-E-16</t>
  </si>
  <si>
    <t>ADI-E-15</t>
  </si>
  <si>
    <t>ADI-E-14</t>
  </si>
  <si>
    <t>ADI-E-12</t>
  </si>
  <si>
    <t>ADI-E-11</t>
  </si>
  <si>
    <t>ADI-E-03</t>
  </si>
  <si>
    <t>ADI-F-02</t>
  </si>
  <si>
    <t>ADI-F-06</t>
  </si>
  <si>
    <t>ABS-H-10</t>
  </si>
  <si>
    <t>ABB-A-12</t>
  </si>
  <si>
    <t>ABB-A-13</t>
  </si>
  <si>
    <t>ADI-I-03</t>
  </si>
  <si>
    <t>ADI-I-13</t>
  </si>
  <si>
    <t>ADI-I-12</t>
  </si>
  <si>
    <t>ADI-I-11</t>
  </si>
  <si>
    <t>ADI-I-09</t>
  </si>
  <si>
    <t>ADI-I-08</t>
  </si>
  <si>
    <t>ABB-C-05</t>
  </si>
  <si>
    <t>ABB-C-06</t>
  </si>
  <si>
    <t>ATF-I-24</t>
  </si>
  <si>
    <t>ATF-J-16</t>
  </si>
  <si>
    <t>ATF-J-08</t>
  </si>
  <si>
    <t>ATF-G-18</t>
  </si>
  <si>
    <t>ATF-I-07</t>
  </si>
  <si>
    <t>AIB-F-05</t>
  </si>
  <si>
    <t>AIB-F-02</t>
  </si>
  <si>
    <t>AIB-F-10</t>
  </si>
  <si>
    <t>AIB-G-04</t>
  </si>
  <si>
    <t>ABB-C-07</t>
  </si>
  <si>
    <t>AIB-F-17</t>
  </si>
  <si>
    <t>AIB-D-05</t>
  </si>
  <si>
    <t>AIB-E-01</t>
  </si>
  <si>
    <t>AIB-D-07</t>
  </si>
  <si>
    <t>AIB-D-06</t>
  </si>
  <si>
    <t>ABB-C-04</t>
  </si>
  <si>
    <t>ABB-C-01</t>
  </si>
  <si>
    <t>AIB-G-08</t>
  </si>
  <si>
    <t>AIB-D-01</t>
  </si>
  <si>
    <t>ADI-H-08</t>
  </si>
  <si>
    <t>KDDAA2</t>
  </si>
  <si>
    <t>ADI-G-05</t>
  </si>
  <si>
    <t>ADI-H-02</t>
  </si>
  <si>
    <t>ADI-H-01</t>
  </si>
  <si>
    <t>ADI-H-03</t>
  </si>
  <si>
    <t>KIHITB</t>
  </si>
  <si>
    <t>AIM-B-05</t>
  </si>
  <si>
    <t>KIHIT8</t>
  </si>
  <si>
    <t>AIM-B-08</t>
  </si>
  <si>
    <t>KIHIT7</t>
  </si>
  <si>
    <t>AIM-B-06</t>
  </si>
  <si>
    <t>KIHIT6</t>
  </si>
  <si>
    <t>AIM-B-07</t>
  </si>
  <si>
    <t>AIM-B-13</t>
  </si>
  <si>
    <t>AIM-B-14</t>
  </si>
  <si>
    <t>AIM-B-12</t>
  </si>
  <si>
    <t>KCSMA9</t>
  </si>
  <si>
    <t>ATF-I-14</t>
  </si>
  <si>
    <t>PRODUCER GT+ (PE SILANE*2)</t>
  </si>
  <si>
    <t>KCSMAB</t>
  </si>
  <si>
    <t>ATF-J-11</t>
  </si>
  <si>
    <t>KCSMAA</t>
  </si>
  <si>
    <t>ATF-I-16</t>
  </si>
  <si>
    <t>KCSMA8</t>
  </si>
  <si>
    <t>ATF-H-01</t>
  </si>
  <si>
    <t>KCSMAC</t>
  </si>
  <si>
    <t>ATF-G-13</t>
  </si>
  <si>
    <t>KCOXA2</t>
  </si>
  <si>
    <t>ATF-G-14</t>
  </si>
  <si>
    <t>PRODUCER GT (PE SILANE*2)</t>
  </si>
  <si>
    <t>KCASA6</t>
  </si>
  <si>
    <t>ATF-F-02</t>
  </si>
  <si>
    <t>KCASA7</t>
  </si>
  <si>
    <t>ATF-G-16</t>
  </si>
  <si>
    <t>(Combo 160529+160046) a-Si Deposition (Dummy Poly)</t>
  </si>
  <si>
    <t>ATF-F-10</t>
  </si>
  <si>
    <t>ATF-G-07</t>
  </si>
  <si>
    <t>ATF-H-07</t>
  </si>
  <si>
    <t>ATF-G-10</t>
  </si>
  <si>
    <t>ATF-G-12</t>
  </si>
  <si>
    <t>ATF-F-14</t>
  </si>
  <si>
    <t>ATF-J-05</t>
  </si>
  <si>
    <t>ATF-J-18</t>
  </si>
  <si>
    <t>ATF-J-21</t>
  </si>
  <si>
    <t>ATF-G-01</t>
  </si>
  <si>
    <t>KCBDA9</t>
  </si>
  <si>
    <t>ATF-H-06</t>
  </si>
  <si>
    <t>KCBDA8</t>
  </si>
  <si>
    <t>ATF-G-15</t>
  </si>
  <si>
    <t>KCBDAA</t>
  </si>
  <si>
    <t>ATF-I-17</t>
  </si>
  <si>
    <t>KCBDA7</t>
  </si>
  <si>
    <t>ATF-F-03</t>
  </si>
  <si>
    <t>ATF-I-19</t>
  </si>
  <si>
    <t>ATF-J-07</t>
  </si>
  <si>
    <t>ATF-J-17</t>
  </si>
  <si>
    <t>KCHPA3</t>
  </si>
  <si>
    <t>ATF-G-04</t>
  </si>
  <si>
    <t>ATF-I-04</t>
  </si>
  <si>
    <t>ATF-J-20</t>
  </si>
  <si>
    <t>ATF-J-03</t>
  </si>
  <si>
    <t>ATF-J-19</t>
  </si>
  <si>
    <t>ATF-G-06</t>
  </si>
  <si>
    <t>ATF-J-09</t>
  </si>
  <si>
    <t>ATF-J-06</t>
  </si>
  <si>
    <t>ATF-F-15</t>
  </si>
  <si>
    <t>ATF-I-21</t>
  </si>
  <si>
    <t>ATF-J-10</t>
  </si>
  <si>
    <t>ATF-I-11</t>
  </si>
  <si>
    <t>ABS-A-09</t>
  </si>
  <si>
    <t>ENDURA II (Impulse PVD AlO*1)</t>
  </si>
  <si>
    <t>ABS-E-08</t>
  </si>
  <si>
    <t>ATF-G-08</t>
  </si>
  <si>
    <t>ABS-E-10</t>
  </si>
  <si>
    <t>ABS-E-11</t>
  </si>
  <si>
    <t>　</t>
  </si>
  <si>
    <t>ABS-D-12</t>
  </si>
  <si>
    <t>ENC II TaN*1</t>
  </si>
  <si>
    <t>ABS-D-05</t>
  </si>
  <si>
    <t>ABS-D-13</t>
  </si>
  <si>
    <t>ABS-E-03</t>
  </si>
  <si>
    <t>ABS-H-09</t>
  </si>
  <si>
    <t>ABS-D-09</t>
  </si>
  <si>
    <t>ENDURA II (Collins*5, Degas*2)</t>
  </si>
  <si>
    <t>ABS-E-12</t>
  </si>
  <si>
    <t>CENTURA ACP (Trillium ALD TiN*3)</t>
  </si>
  <si>
    <t>KCWPA4</t>
  </si>
  <si>
    <t>ATF-G-02</t>
  </si>
  <si>
    <t>KCWPA5</t>
  </si>
  <si>
    <t>ATF-H-02</t>
  </si>
  <si>
    <t>ABS-E-05</t>
  </si>
  <si>
    <t>ABS-I-06</t>
  </si>
  <si>
    <t>ABS-E-02</t>
  </si>
  <si>
    <t>ABS-F-07</t>
  </si>
  <si>
    <t>ABS-F-06</t>
  </si>
  <si>
    <t>ABS-F-05</t>
  </si>
  <si>
    <t>ABS-F-04</t>
  </si>
  <si>
    <t>ALD TaN*1</t>
  </si>
  <si>
    <t>ABS-H-17</t>
  </si>
  <si>
    <t>ABS-I-04</t>
  </si>
  <si>
    <t>ABS-H-08</t>
  </si>
  <si>
    <t>ABS-H-12</t>
  </si>
  <si>
    <t>ABS-G-10</t>
  </si>
  <si>
    <t>ABS-G-11</t>
  </si>
  <si>
    <t>ABS-G-15</t>
  </si>
  <si>
    <t>ABS-G-16</t>
  </si>
  <si>
    <t>ABS-G-17</t>
  </si>
  <si>
    <t>ABS-G-18</t>
  </si>
  <si>
    <t>ABS-G-13</t>
  </si>
  <si>
    <t>ABS-I-08</t>
  </si>
  <si>
    <t>KSCPA2</t>
  </si>
  <si>
    <t>ABS-I-03</t>
  </si>
  <si>
    <t>ABS-I-01</t>
  </si>
  <si>
    <t>ABS-E-07</t>
  </si>
  <si>
    <t>ABS-E-09</t>
  </si>
  <si>
    <t>ENTRON-EX W300 (TiN*2, W/ NRTL)</t>
  </si>
  <si>
    <t>ABS-D-06</t>
  </si>
  <si>
    <t>AEC-A-02</t>
  </si>
  <si>
    <t>AEC-A-10</t>
  </si>
  <si>
    <t>AEC-A-08</t>
  </si>
  <si>
    <t>AEC-B-06</t>
  </si>
  <si>
    <t>AEC-B-05</t>
  </si>
  <si>
    <t>AEC-B-04</t>
  </si>
  <si>
    <t>AEC-A-09</t>
  </si>
  <si>
    <t>KMOPA8-C</t>
  </si>
  <si>
    <t>ACM-A-10-C</t>
  </si>
  <si>
    <t>KMOPA8-M</t>
  </si>
  <si>
    <t>ACM-A-10-M</t>
  </si>
  <si>
    <t>KMWPA2-C</t>
  </si>
  <si>
    <t>ACM-A-04-C</t>
  </si>
  <si>
    <t>KMWPA2-M</t>
  </si>
  <si>
    <t>ACM-A-04-M</t>
  </si>
  <si>
    <t>KMOPA6-C</t>
  </si>
  <si>
    <t>ACM-A-03-C</t>
  </si>
  <si>
    <t>#91179 CMG -&gt; MG, model change</t>
  </si>
  <si>
    <t>KMOPA7-C</t>
  </si>
  <si>
    <t>ACM-C-06-C</t>
  </si>
  <si>
    <t>#91167 Keep CMG (改去 P1B)</t>
  </si>
  <si>
    <t>KMOPA6-M</t>
  </si>
  <si>
    <t>ACM-A-03-M</t>
  </si>
  <si>
    <t>KMOPA7-M</t>
  </si>
  <si>
    <t>ACM-C-06-M</t>
  </si>
  <si>
    <t>KMOPA9-C</t>
  </si>
  <si>
    <t>ACM-A-11-C</t>
  </si>
  <si>
    <t>KMOPA9-M</t>
  </si>
  <si>
    <t>ACM-A-11-M</t>
  </si>
  <si>
    <t>ACM-A-08-C</t>
  </si>
  <si>
    <t>KMOPA5-M</t>
  </si>
  <si>
    <t>ACM-A-08-M</t>
  </si>
  <si>
    <t>ACM-B-02-C</t>
  </si>
  <si>
    <t>KMWPE2-M</t>
  </si>
  <si>
    <t>ACM-B-02-M</t>
  </si>
  <si>
    <t>ACU-A-01-C</t>
  </si>
  <si>
    <t>KMCPE2-M</t>
  </si>
  <si>
    <t>ACU-A-01-M</t>
  </si>
  <si>
    <t>ACM-B-01-C</t>
  </si>
  <si>
    <t>KMOPE2-M</t>
  </si>
  <si>
    <t>ACM-B-01-M</t>
  </si>
  <si>
    <t>ACU-C-06-C</t>
  </si>
  <si>
    <t>ACU-C-05-C</t>
  </si>
  <si>
    <t>ACU-C-04-C</t>
  </si>
  <si>
    <t>KUCPEC-M</t>
  </si>
  <si>
    <t>ACU-C-06-M</t>
  </si>
  <si>
    <t>KUCPED-M</t>
  </si>
  <si>
    <t>ACU-C-05-M</t>
  </si>
  <si>
    <t>KUCPEE-M</t>
  </si>
  <si>
    <t>ACU-C-04-M</t>
  </si>
  <si>
    <t>ACU-B-01-C</t>
  </si>
  <si>
    <t>ACU-B-02-C</t>
  </si>
  <si>
    <t>ACU-B-03-C</t>
  </si>
  <si>
    <t>ACU-B-04-C</t>
  </si>
  <si>
    <t>KUCPE7-M</t>
  </si>
  <si>
    <t>ACU-B-01-M</t>
  </si>
  <si>
    <t>KUCPE8-M</t>
  </si>
  <si>
    <t>ACU-B-02-M</t>
  </si>
  <si>
    <t>KUCPE9-M</t>
  </si>
  <si>
    <t>ACU-B-03-M</t>
  </si>
  <si>
    <t>KUCPEA-M</t>
  </si>
  <si>
    <t>ACU-B-04-M</t>
  </si>
  <si>
    <t>ACU-C-08-C</t>
  </si>
  <si>
    <t>ACU-C-09-C</t>
  </si>
  <si>
    <t>KUCPEF-M</t>
  </si>
  <si>
    <t>ACU-C-08-M</t>
  </si>
  <si>
    <t>KUCPEG-M</t>
  </si>
  <si>
    <t>ACU-C-09-M</t>
  </si>
  <si>
    <t>AIB-F-15</t>
  </si>
  <si>
    <t>KDCBA2</t>
  </si>
  <si>
    <t>ATF-J-02</t>
  </si>
  <si>
    <t>APH-H-02</t>
  </si>
  <si>
    <t>LITHIUS Pro (6R)</t>
  </si>
  <si>
    <t>AET-Q-05</t>
  </si>
  <si>
    <t>Tactras M2 (Vigus V1*2)</t>
  </si>
  <si>
    <t>ATF-H-05</t>
  </si>
  <si>
    <t>ADI-I-14</t>
  </si>
  <si>
    <t>ADI-F-12</t>
  </si>
  <si>
    <t>ADI-E-09</t>
  </si>
  <si>
    <t>KPIN04</t>
  </si>
  <si>
    <t>ATF-J-01</t>
  </si>
  <si>
    <t>KPMI06</t>
  </si>
  <si>
    <t>APH-H-01</t>
  </si>
  <si>
    <t>KPOV24</t>
  </si>
  <si>
    <t>APH-J-01</t>
  </si>
  <si>
    <t>KPOV25</t>
  </si>
  <si>
    <t>APH-J-02</t>
  </si>
  <si>
    <t>KPOV26</t>
  </si>
  <si>
    <t>APH-J-03</t>
  </si>
  <si>
    <t>APH-I-10</t>
  </si>
  <si>
    <t>APH-I-02</t>
  </si>
  <si>
    <t>APH-I-03</t>
  </si>
  <si>
    <t>APH-J-06</t>
  </si>
  <si>
    <t>APH-F-02</t>
  </si>
  <si>
    <t>APH-J-08</t>
  </si>
  <si>
    <t>APH-J-09</t>
  </si>
  <si>
    <t>APH-F-06</t>
  </si>
  <si>
    <t>APH-F-05</t>
  </si>
  <si>
    <t>APH-F-04</t>
  </si>
  <si>
    <t>APH-F-03</t>
  </si>
  <si>
    <t>APH-F-09</t>
  </si>
  <si>
    <t>APH-I-09</t>
  </si>
  <si>
    <t>KEPM20</t>
  </si>
  <si>
    <t>ACU-D-09</t>
  </si>
  <si>
    <t>KEPM21</t>
  </si>
  <si>
    <t>AIB-F-09</t>
  </si>
  <si>
    <t>KEPM19</t>
  </si>
  <si>
    <t>ACU-D-08</t>
  </si>
  <si>
    <t>AET-J-01</t>
  </si>
  <si>
    <t>Surfscan SP7XP (16/19/22, VH)</t>
  </si>
  <si>
    <t>AIB-G-06</t>
  </si>
  <si>
    <t>KDTM08</t>
  </si>
  <si>
    <t>ABS-G-07</t>
  </si>
  <si>
    <t>KSSG06</t>
  </si>
  <si>
    <t>ABS-G-02</t>
  </si>
  <si>
    <t>KEPM17</t>
  </si>
  <si>
    <t>ABS-G-06</t>
  </si>
  <si>
    <t>KUNV03</t>
  </si>
  <si>
    <t>ACU-D-10</t>
  </si>
  <si>
    <t>KEXP02</t>
  </si>
  <si>
    <t>ABS-E-15</t>
  </si>
  <si>
    <t>KPSM04</t>
  </si>
  <si>
    <t>APH-F-07</t>
  </si>
  <si>
    <t>AWR-B-06</t>
  </si>
  <si>
    <t>AWR-B-07</t>
  </si>
  <si>
    <t>AWR-B-03</t>
  </si>
  <si>
    <t>KFFCMA</t>
  </si>
  <si>
    <t>AFC-C-01</t>
  </si>
  <si>
    <t>KFFCML</t>
  </si>
  <si>
    <t>AFC-D-02</t>
  </si>
  <si>
    <t>KFFCMD</t>
  </si>
  <si>
    <t>AFC-C-04</t>
  </si>
  <si>
    <t>KFFCME</t>
  </si>
  <si>
    <t>AFC-C-05</t>
  </si>
  <si>
    <t>KFFCMH</t>
  </si>
  <si>
    <t>AFC-D-03</t>
  </si>
  <si>
    <t>KFFCMC</t>
  </si>
  <si>
    <t>AFC-C-03</t>
  </si>
  <si>
    <t>KFFCMJ</t>
  </si>
  <si>
    <t>AFC-E-04</t>
  </si>
  <si>
    <t>KFFCMB</t>
  </si>
  <si>
    <t>AFC-C-02</t>
  </si>
  <si>
    <t>KDVTC3</t>
  </si>
  <si>
    <t>ATC-A-05</t>
  </si>
  <si>
    <t>KDVTC4</t>
  </si>
  <si>
    <t>ATC-A-04</t>
  </si>
  <si>
    <t>KWMTAN-P</t>
  </si>
  <si>
    <t>AWT-D-05-P</t>
  </si>
  <si>
    <t>KWMTAS-P</t>
  </si>
  <si>
    <t>AWT-D-06-P</t>
  </si>
  <si>
    <t>KWMTAN-T</t>
  </si>
  <si>
    <t>AWT-D-05-T</t>
  </si>
  <si>
    <t>KWMTAS-T</t>
  </si>
  <si>
    <t>AWT-D-06-T</t>
  </si>
  <si>
    <t>KWMP01-T</t>
  </si>
  <si>
    <t>STAR TECH</t>
  </si>
  <si>
    <t>AWT-D-07-T</t>
  </si>
  <si>
    <t>WAT Tester (Manual)</t>
  </si>
  <si>
    <t>B1500A+DSOS204A</t>
  </si>
  <si>
    <t>KWMP01-P</t>
  </si>
  <si>
    <t>FORMFACTOR</t>
  </si>
  <si>
    <t>AWT-D-07-P</t>
  </si>
  <si>
    <t>CM300/AP</t>
  </si>
  <si>
    <t>AEU-A-01-S</t>
  </si>
  <si>
    <t>AEU-A-01-T</t>
  </si>
  <si>
    <t>APH-H-12-S</t>
  </si>
  <si>
    <t>APH-H-12-T</t>
  </si>
  <si>
    <t>APH-H-11-S</t>
  </si>
  <si>
    <t>APH-H-11-T</t>
  </si>
  <si>
    <t>APH-H-04-S</t>
  </si>
  <si>
    <t>APH-H-04-T</t>
  </si>
  <si>
    <t>APH-H-05-S</t>
  </si>
  <si>
    <t>APH-H-05-T</t>
  </si>
  <si>
    <t>APH-H-13-S</t>
  </si>
  <si>
    <t>APH-H-13-T</t>
  </si>
  <si>
    <t>APH-E-18</t>
  </si>
  <si>
    <t>APH-E-19</t>
  </si>
  <si>
    <t>APH-G-03</t>
  </si>
  <si>
    <t>AEP-B-02</t>
  </si>
  <si>
    <t>AEP-C-02</t>
  </si>
  <si>
    <t>AET-N-15</t>
  </si>
  <si>
    <t>ADI-F-20</t>
  </si>
  <si>
    <t>ADI-G-08</t>
  </si>
  <si>
    <t>ADI-I-16</t>
  </si>
  <si>
    <t>AET-J-08</t>
  </si>
  <si>
    <t>2300E6 (FLEX-FL*2, AMMP)</t>
  </si>
  <si>
    <t>AET-L-02</t>
  </si>
  <si>
    <t>AET-R-05</t>
  </si>
  <si>
    <t>AET-M-06</t>
  </si>
  <si>
    <t>AET-P-10</t>
  </si>
  <si>
    <t>AET-N-04</t>
  </si>
  <si>
    <t>2300E4 (Kiyo EX*1, HVBP, Hydra ESC)</t>
  </si>
  <si>
    <t>AET-Q-10</t>
  </si>
  <si>
    <t>AET-Q-03</t>
  </si>
  <si>
    <t>AET-R-01</t>
  </si>
  <si>
    <t>AET-J-11</t>
  </si>
  <si>
    <t>AET-L-04</t>
  </si>
  <si>
    <t>AET-P-02</t>
  </si>
  <si>
    <t>AET-O-08</t>
  </si>
  <si>
    <t>AET-Q-11</t>
  </si>
  <si>
    <t>AET-O-07</t>
  </si>
  <si>
    <t>AET-L-05</t>
  </si>
  <si>
    <t>AET-O-02</t>
  </si>
  <si>
    <t>AET-P-11</t>
  </si>
  <si>
    <t>AET-L-11</t>
  </si>
  <si>
    <t>AET-M-03</t>
  </si>
  <si>
    <t>AET-P-01</t>
  </si>
  <si>
    <t>AET-Q-15</t>
  </si>
  <si>
    <t>AET-O-05</t>
  </si>
  <si>
    <t>ADI-F-08</t>
  </si>
  <si>
    <t>ADI-F-09</t>
  </si>
  <si>
    <t>ADI-E-05</t>
  </si>
  <si>
    <t>ADI-I-15</t>
  </si>
  <si>
    <t>ADI-I-02</t>
  </si>
  <si>
    <t>ADI-I-26</t>
  </si>
  <si>
    <t>ADI-H-05</t>
  </si>
  <si>
    <t>SiN Deposition (PEALD, 500C, Indy+) - PO1A</t>
  </si>
  <si>
    <t>ADI-E-13</t>
  </si>
  <si>
    <t>ADI-F-01</t>
  </si>
  <si>
    <t>ABS-H-11</t>
  </si>
  <si>
    <t>ABS-H-18</t>
  </si>
  <si>
    <t>ADI-I-01</t>
  </si>
  <si>
    <t>ADI-I-10</t>
  </si>
  <si>
    <t>ADI-I-07</t>
  </si>
  <si>
    <t>ABB-C-02</t>
  </si>
  <si>
    <t>ATF-I-06</t>
  </si>
  <si>
    <t>AIB-G-02</t>
  </si>
  <si>
    <t>ABB-A-03</t>
  </si>
  <si>
    <t>AFB-A-04</t>
  </si>
  <si>
    <t>AIB-D-04</t>
  </si>
  <si>
    <t>AIM-B-02</t>
  </si>
  <si>
    <t>ADI-F-17</t>
  </si>
  <si>
    <t>KIHITC</t>
  </si>
  <si>
    <t>AIM-B-04</t>
  </si>
  <si>
    <t>KIHITD</t>
  </si>
  <si>
    <t>AIM-B-16</t>
  </si>
  <si>
    <t>AIM-B-15</t>
  </si>
  <si>
    <t>KCSMAD</t>
  </si>
  <si>
    <t>ATF-G-11</t>
  </si>
  <si>
    <t>PRODUCER SE (PE SILANE*2)</t>
  </si>
  <si>
    <t>KCASA8</t>
  </si>
  <si>
    <t>ATF-I-03</t>
  </si>
  <si>
    <t>PRODUCER GT (PE SILANE*1)</t>
  </si>
  <si>
    <t>ATF-F-13</t>
  </si>
  <si>
    <t>ATF-J-15</t>
  </si>
  <si>
    <t>ATF-F-17</t>
  </si>
  <si>
    <t>XP8 QCM (QCM SiN*2)</t>
  </si>
  <si>
    <t>ATF-G-03</t>
  </si>
  <si>
    <t>ATF-I-15</t>
  </si>
  <si>
    <t>Eagle XP8 (DCM HT-SiO*2)</t>
  </si>
  <si>
    <t>ATF-I-23</t>
  </si>
  <si>
    <t>KCBDAB</t>
  </si>
  <si>
    <t>ATF-F-07</t>
  </si>
  <si>
    <t>ATF-C-01</t>
  </si>
  <si>
    <t>ATF-I-10</t>
  </si>
  <si>
    <t>ATF-F-06</t>
  </si>
  <si>
    <t>ATF-J-14</t>
  </si>
  <si>
    <t>ATF-F-16</t>
  </si>
  <si>
    <t>ATF-I-22</t>
  </si>
  <si>
    <t>ADI-I-20</t>
  </si>
  <si>
    <t>ABS-H-06</t>
  </si>
  <si>
    <t>TiAl Deposition (MG) - N4</t>
  </si>
  <si>
    <t>ABS-H-07</t>
  </si>
  <si>
    <t>ABS-F-03</t>
  </si>
  <si>
    <t>ABS-H-13</t>
  </si>
  <si>
    <t>ABS-G-12</t>
  </si>
  <si>
    <t>ABS-I-09</t>
  </si>
  <si>
    <t>ABS-I-07</t>
  </si>
  <si>
    <t>ABS-G-09</t>
  </si>
  <si>
    <t>ABS-I-05</t>
  </si>
  <si>
    <t>Pegasus (Cirrus Co*1, Hydra ALD TiN*2, VOL Co*2, mini-MCxT*2)</t>
  </si>
  <si>
    <t>ABS-H-16</t>
  </si>
  <si>
    <t>AEC-A-03</t>
  </si>
  <si>
    <t>AEC-B-03</t>
  </si>
  <si>
    <t>KMOPAA-C</t>
  </si>
  <si>
    <t>ACM-C-05-C</t>
  </si>
  <si>
    <t>KMOPAA-M</t>
  </si>
  <si>
    <t>ACM-C-05-M</t>
  </si>
  <si>
    <t>ACM-C-04-C</t>
  </si>
  <si>
    <t>KMOPAB-M</t>
  </si>
  <si>
    <t>ACM-C-04-M</t>
  </si>
  <si>
    <t>ACU-C-03-C</t>
  </si>
  <si>
    <t>ACU-C-02-C</t>
  </si>
  <si>
    <t>KUCPEH-M</t>
  </si>
  <si>
    <t>ACU-C-02-M</t>
  </si>
  <si>
    <t>KUCPEK-M</t>
  </si>
  <si>
    <t>ACU-C-03-M</t>
  </si>
  <si>
    <t>ACU-B-05-C</t>
  </si>
  <si>
    <t>KUCPEJ-M</t>
  </si>
  <si>
    <t>ACU-B-05-M</t>
  </si>
  <si>
    <t>AIB-F-01</t>
  </si>
  <si>
    <t>ATF-J-13</t>
  </si>
  <si>
    <t>ADI-F-21</t>
  </si>
  <si>
    <t>AFB-A-05</t>
  </si>
  <si>
    <t>ADI-D-12</t>
  </si>
  <si>
    <t>Poly Deposition (BEOL, CW) - N5~N10</t>
  </si>
  <si>
    <t>APH-F-15</t>
  </si>
  <si>
    <t>APH-I-07</t>
  </si>
  <si>
    <t>APH-E-02</t>
  </si>
  <si>
    <t>APH-F-10</t>
  </si>
  <si>
    <t>KEPM22</t>
  </si>
  <si>
    <t>AET-N-09</t>
  </si>
  <si>
    <t>KDTM10</t>
  </si>
  <si>
    <t>ADI-E-17</t>
  </si>
  <si>
    <t>KFFCMK</t>
  </si>
  <si>
    <t>AFC-D-01</t>
  </si>
  <si>
    <t>KDDO02</t>
  </si>
  <si>
    <t>AIM-B-01</t>
  </si>
  <si>
    <t>AET-M-02</t>
  </si>
  <si>
    <t>AET-P-13</t>
  </si>
  <si>
    <t>AET-K-05</t>
  </si>
  <si>
    <t>AET-J-12</t>
  </si>
  <si>
    <t>AET-N-05</t>
  </si>
  <si>
    <t>AET-O-01</t>
  </si>
  <si>
    <t>ATF-I-13</t>
  </si>
  <si>
    <t>ADI-I-04</t>
  </si>
  <si>
    <t>AET-J-05</t>
  </si>
  <si>
    <t>AET-M-07</t>
  </si>
  <si>
    <t>AET-P-12</t>
  </si>
  <si>
    <t>Tactras M3 CIP (Vigus NX*2)</t>
  </si>
  <si>
    <t>ATF-I-20</t>
  </si>
  <si>
    <t>ACU-D-03</t>
  </si>
  <si>
    <t>AET-M-08</t>
  </si>
  <si>
    <t>ADI-C-05</t>
  </si>
  <si>
    <t>Si Annealing (HK, PCA) - N3~N20</t>
  </si>
  <si>
    <t xml:space="preserve">專案編號 </t>
  </si>
  <si>
    <t>專案預算變更次數</t>
  </si>
  <si>
    <t xml:space="preserve">專案類別 </t>
  </si>
  <si>
    <t xml:space="preserve">名稱 </t>
  </si>
  <si>
    <t xml:space="preserve">客戶名稱 </t>
  </si>
  <si>
    <t xml:space="preserve">專案經理 </t>
  </si>
  <si>
    <t>業務經理</t>
  </si>
  <si>
    <t xml:space="preserve">專案成立日 </t>
  </si>
  <si>
    <t>結案日期</t>
  </si>
  <si>
    <t>材料已請購金額</t>
  </si>
  <si>
    <t>外部發包已請購金額</t>
  </si>
  <si>
    <t>內部發包已請購金額</t>
  </si>
  <si>
    <t>其他已請購金額</t>
  </si>
  <si>
    <t>剩餘金額</t>
  </si>
  <si>
    <t>保固期間</t>
  </si>
  <si>
    <t>保固期限(月)</t>
  </si>
  <si>
    <t>保固啟動日</t>
  </si>
  <si>
    <t>主專案成立日</t>
  </si>
  <si>
    <t>狀態</t>
  </si>
  <si>
    <t>USC19B001</t>
  </si>
  <si>
    <t>Annual internal</t>
  </si>
  <si>
    <t>108年內部行政</t>
  </si>
  <si>
    <t>Chia-Yi Chang</t>
  </si>
  <si>
    <t>1/1/2019</t>
  </si>
  <si>
    <t>2020/1/2 下午 08:00:00</t>
  </si>
  <si>
    <t>~</t>
  </si>
  <si>
    <t>已結案</t>
  </si>
  <si>
    <t>USC20B001</t>
  </si>
  <si>
    <t>109年內部行政</t>
  </si>
  <si>
    <t>1/1/2020</t>
  </si>
  <si>
    <t>2021/1/1 下午 09:00:00</t>
  </si>
  <si>
    <t>Engineering</t>
  </si>
  <si>
    <t>帆宣</t>
  </si>
  <si>
    <t>Rui Ma</t>
  </si>
  <si>
    <t>2/1/2020</t>
  </si>
  <si>
    <t>12/1/2020</t>
  </si>
  <si>
    <t>USC20C002</t>
  </si>
  <si>
    <t>13H FMCS System Integrator and Control Systems Phase 0</t>
  </si>
  <si>
    <t>Gilbane|Exyte a Joint Venture</t>
  </si>
  <si>
    <t>游忠豪</t>
  </si>
  <si>
    <t>2/4/2020</t>
  </si>
  <si>
    <t>7/16/2021</t>
  </si>
  <si>
    <t>USC21B001</t>
  </si>
  <si>
    <t>110年內部行政</t>
  </si>
  <si>
    <t>1/1/2021</t>
  </si>
  <si>
    <t>2022/1/3 下午 09:00:00</t>
  </si>
  <si>
    <t>tsmc AZ Temporary Office Physical Security</t>
  </si>
  <si>
    <t>TSMC Arizona Corporation</t>
  </si>
  <si>
    <t>Chihcheng Hsu</t>
  </si>
  <si>
    <t>2/10/2021</t>
  </si>
  <si>
    <t>進行中</t>
  </si>
  <si>
    <t>TSMC AZ Temp Office Speed Gate</t>
  </si>
  <si>
    <t>3/16/2021</t>
  </si>
  <si>
    <t>8/6/2021</t>
  </si>
  <si>
    <t>8/27/2021</t>
  </si>
  <si>
    <t>F21P1 Chemical &amp; WCCS package</t>
  </si>
  <si>
    <t>Hsuan-Ting Wan</t>
  </si>
  <si>
    <t>9/3/2021</t>
  </si>
  <si>
    <t>tsmc AZ sewer and water pipeline installation</t>
  </si>
  <si>
    <t>Shannon Pulcifer</t>
  </si>
  <si>
    <t>10/5/2021</t>
  </si>
  <si>
    <t>F21 TMAH System</t>
  </si>
  <si>
    <t>F21 Barcode RFID System</t>
  </si>
  <si>
    <t>F21P1 AMC THC Monitoring System</t>
  </si>
  <si>
    <t>F21P1 WH2SO4</t>
  </si>
  <si>
    <t>USC22B001</t>
  </si>
  <si>
    <t>111年內部行政</t>
  </si>
  <si>
    <t>1/1/2022</t>
  </si>
  <si>
    <t>2023/1/2 下午 09:00:00</t>
  </si>
  <si>
    <t>USC22B002</t>
  </si>
  <si>
    <t>2022 B002 預算</t>
  </si>
  <si>
    <t>F21 P1 Office and WH Security and CCTV</t>
  </si>
  <si>
    <t>1/28/2022</t>
  </si>
  <si>
    <t>USC22C002</t>
  </si>
  <si>
    <t>FU ENERGY CORP</t>
  </si>
  <si>
    <t>4/16/2022</t>
  </si>
  <si>
    <t>已作廢</t>
  </si>
  <si>
    <t>USC22C004</t>
  </si>
  <si>
    <t>Tool Hookup Material (UPW&amp;Chemical)</t>
  </si>
  <si>
    <t>5/5/2022</t>
  </si>
  <si>
    <t>Zinter Handling Inc.</t>
  </si>
  <si>
    <t>TSMC F21 FMCS Installation</t>
  </si>
  <si>
    <t>Lumax Controls, INC</t>
  </si>
  <si>
    <t>5/24/2022</t>
  </si>
  <si>
    <t>TSMC F21P1 Tool Hookup Logistic and Warehouse Management</t>
  </si>
  <si>
    <t>5/26/2022</t>
  </si>
  <si>
    <t>F21P1 230kV MTR Oil and Drain Pipe work</t>
  </si>
  <si>
    <t>6/1/2022</t>
  </si>
  <si>
    <t>F21 P1 LSC CMS and DPM 5G System</t>
  </si>
  <si>
    <t>6/4/2022</t>
  </si>
  <si>
    <t>WRC Exterior Pads - NH3 and Diesel System</t>
  </si>
  <si>
    <t>Anthony Clark</t>
  </si>
  <si>
    <t>7/8/2022</t>
  </si>
  <si>
    <t>CAP_A_MFG_F21 Transportation_光阻櫃 exhasut</t>
  </si>
  <si>
    <t>8/6/2022</t>
  </si>
  <si>
    <t>F21P1 AMHS Power Panel</t>
  </si>
  <si>
    <t>8/26/2022</t>
  </si>
  <si>
    <t>USC22C015</t>
  </si>
  <si>
    <t>9/15/2022</t>
  </si>
  <si>
    <t>AMHS MML Power Design</t>
  </si>
  <si>
    <t>9/22/2022</t>
  </si>
  <si>
    <t>AMC monitor 595T0</t>
  </si>
  <si>
    <t>10/5/2022</t>
  </si>
  <si>
    <t>Chih-Hao Ting</t>
  </si>
  <si>
    <t>10/7/2022</t>
  </si>
  <si>
    <t>AZ GF Agru Material</t>
  </si>
  <si>
    <t>10/12/2022</t>
  </si>
  <si>
    <t>United Intergrated Services (USA) Corp.</t>
  </si>
  <si>
    <t>Jeffrey Rubin</t>
  </si>
  <si>
    <t>AMHS TSMC Instrustructure and Branch Circuits</t>
  </si>
  <si>
    <t>10/18/2022</t>
  </si>
  <si>
    <t>10/19/2022</t>
  </si>
  <si>
    <t>10/21/2022</t>
  </si>
  <si>
    <t>USC22C029</t>
  </si>
  <si>
    <t>EBO21-PVC Curtain</t>
  </si>
  <si>
    <t>10/26/2022</t>
  </si>
  <si>
    <t>Yun-Hao Su</t>
  </si>
  <si>
    <t>11/12/2022</t>
  </si>
  <si>
    <t>CAP_E_F21P1 AMHS MML Seismic Foundation</t>
  </si>
  <si>
    <t>USC22C032</t>
  </si>
  <si>
    <t>F21P1 TMAH ACF system expansion</t>
  </si>
  <si>
    <t>11/17/2022</t>
  </si>
  <si>
    <t>11/18/2022</t>
  </si>
  <si>
    <t>CAP_E_F21P1 SP2 Power Design and GEX/PV/CV CAD design forsorter/BWBS/N2/APK/UPK/ASRS</t>
  </si>
  <si>
    <t>11/22/2022</t>
  </si>
  <si>
    <t>CAP_A_90772_F21 Phone call base build and Liquid penetrant testing system</t>
  </si>
  <si>
    <t>12/6/2022</t>
  </si>
  <si>
    <t>Shih-Hung Lee</t>
  </si>
  <si>
    <t>Kurt Hollis</t>
  </si>
  <si>
    <t>Service</t>
  </si>
  <si>
    <t>1/18/2022</t>
  </si>
  <si>
    <t>USC23B001</t>
  </si>
  <si>
    <t>112年內部行政</t>
  </si>
  <si>
    <t>1/1/2023</t>
  </si>
  <si>
    <t>2024/1/2 下午 09:35:00</t>
  </si>
  <si>
    <t>USC23B002</t>
  </si>
  <si>
    <t>Tool Interconnection Project (Main Tool &amp; Module)</t>
  </si>
  <si>
    <t>5/9/2023</t>
  </si>
  <si>
    <t>USC23B003</t>
  </si>
  <si>
    <t>Tool Interconnection Project - Module</t>
  </si>
  <si>
    <t>5/11/2023</t>
  </si>
  <si>
    <t>1/14/2023</t>
  </si>
  <si>
    <t>1/24/2023</t>
  </si>
  <si>
    <t>1/26/2023</t>
  </si>
  <si>
    <t>USC23C010</t>
  </si>
  <si>
    <t>Holon-Mitsubishi Breaker</t>
  </si>
  <si>
    <t>HOLON CO.,LTD.</t>
  </si>
  <si>
    <t>2/11/2023</t>
  </si>
  <si>
    <t>F21P1 AMHS MML Power Design - Muratech</t>
  </si>
  <si>
    <t>Murata Machinery USA, Inc.</t>
  </si>
  <si>
    <t>2/17/2023</t>
  </si>
  <si>
    <t>Hookup Leak Panel for AZQR&amp;EBO</t>
  </si>
  <si>
    <t>3/11/2023</t>
  </si>
  <si>
    <t>F21P1 AMHS Wiring Work Outline</t>
  </si>
  <si>
    <t>村田機械株式会社</t>
  </si>
  <si>
    <t>3/17/2023</t>
  </si>
  <si>
    <t>Mattson Technology, Inc.</t>
  </si>
  <si>
    <t>3/21/2023</t>
  </si>
  <si>
    <t>ASML US, LLC</t>
  </si>
  <si>
    <t>F21P1 Hitachi Interconnection</t>
  </si>
  <si>
    <t>Hitachi High-Tech America, Inc.</t>
  </si>
  <si>
    <t>3/23/2023</t>
  </si>
  <si>
    <t>F21P1_H_pre-construction</t>
  </si>
  <si>
    <t>4/4/2023</t>
  </si>
  <si>
    <t>4/13/2023</t>
  </si>
  <si>
    <t>F21P1 Lam Interconnection</t>
  </si>
  <si>
    <t>Shibaura Technology International Corporation</t>
  </si>
  <si>
    <t>F21P1 Holon Interconnection</t>
  </si>
  <si>
    <t>ASM America, Inc.</t>
  </si>
  <si>
    <t>Kanken Address Mapping</t>
  </si>
  <si>
    <t>Kanken Techno USA, INC.</t>
  </si>
  <si>
    <t>USC23C031</t>
  </si>
  <si>
    <t>F21P1 Mixed Bed</t>
  </si>
  <si>
    <t>Ching-Yi Wu</t>
  </si>
  <si>
    <t>4/15/2023</t>
  </si>
  <si>
    <t>1/23/2024</t>
  </si>
  <si>
    <t>4/17/2023</t>
  </si>
  <si>
    <t>F21P1 EBARA Interconnection</t>
  </si>
  <si>
    <t>EBARA Technologies, Inc.</t>
  </si>
  <si>
    <t>4/18/2023</t>
  </si>
  <si>
    <t>USC23C034</t>
  </si>
  <si>
    <t>UPW Temp Resin</t>
  </si>
  <si>
    <t>4/19/2023</t>
  </si>
  <si>
    <t>崇濬科技股份有限公司</t>
  </si>
  <si>
    <t>4/27/2023</t>
  </si>
  <si>
    <t>Janson Vanshaar</t>
  </si>
  <si>
    <t>4/28/2023</t>
  </si>
  <si>
    <t>Materials Analysis Technology (US) Corp.</t>
  </si>
  <si>
    <t>James McCormick</t>
  </si>
  <si>
    <t>5/10/2023</t>
  </si>
  <si>
    <t>F21P1 ULVAC Interconnection</t>
  </si>
  <si>
    <t>ULVAC, Inc.</t>
  </si>
  <si>
    <t>5/12/2023</t>
  </si>
  <si>
    <t>USC23C039</t>
  </si>
  <si>
    <t>F21P1 Edwards Vacuum Interconnection</t>
  </si>
  <si>
    <t>Edwards Vacuum LLC</t>
  </si>
  <si>
    <t>TSMC F21 Clean Room Suit</t>
  </si>
  <si>
    <t>5/18/2023</t>
  </si>
  <si>
    <t>TSMC F21 HK Tiger Team</t>
  </si>
  <si>
    <t>F21P1 Chemical Safety Cabinet Installation</t>
  </si>
  <si>
    <t>5/24/2023</t>
  </si>
  <si>
    <t>TSMC F21 Electric Tiger Team Fisk Support &amp; Temp Power</t>
  </si>
  <si>
    <t>Okland CM Service</t>
  </si>
  <si>
    <t>Okland Construction Company Inc.</t>
  </si>
  <si>
    <t>6/6/2023</t>
  </si>
  <si>
    <t>WWT Change Order (Piping)</t>
  </si>
  <si>
    <t>F21P1 ATS Interconnection</t>
  </si>
  <si>
    <t>Advanced Thermal Sciences Corporation</t>
  </si>
  <si>
    <t>6/7/2023</t>
  </si>
  <si>
    <t>F21P1 HK Seismic Installation</t>
  </si>
  <si>
    <t>6/15/2023</t>
  </si>
  <si>
    <t>F21P1-0423_H_LSC connectors_MICU</t>
  </si>
  <si>
    <t>6/23/2023</t>
  </si>
  <si>
    <t>Cabinets transport and installation</t>
  </si>
  <si>
    <t>6/30/2023</t>
  </si>
  <si>
    <t>久福金屬實業有限公司</t>
  </si>
  <si>
    <t>7/1/2023</t>
  </si>
  <si>
    <t>F21P1 Cable tray installation-tiger team</t>
  </si>
  <si>
    <t>7/8/2023</t>
  </si>
  <si>
    <t>F21 P1A AMHS PSP &amp; DP Power source breakers</t>
  </si>
  <si>
    <t>7/14/2023</t>
  </si>
  <si>
    <t>7/19/2023</t>
  </si>
  <si>
    <t>UPW Change Order</t>
  </si>
  <si>
    <t>7/27/2023</t>
  </si>
  <si>
    <t>7/28/2023</t>
  </si>
  <si>
    <t>Fab LB2 Trench Cleaning</t>
  </si>
  <si>
    <t>8/2/2023</t>
  </si>
  <si>
    <t>USC23C057</t>
  </si>
  <si>
    <t>TSMC Main Tool Cable Tray</t>
  </si>
  <si>
    <t>8/3/2023</t>
  </si>
  <si>
    <t>F21 EUV Steel Plates</t>
  </si>
  <si>
    <t>8/18/2023</t>
  </si>
  <si>
    <t>F21P1 Foundation T&amp;M</t>
  </si>
  <si>
    <t>10/5/2023</t>
  </si>
  <si>
    <t>F21 CT Local Scrubber Interconnection</t>
  </si>
  <si>
    <t>Clean Technology Co., Ltd.</t>
  </si>
  <si>
    <t>10/12/2023</t>
  </si>
  <si>
    <t>F21 Kanken Tool Interconnection</t>
  </si>
  <si>
    <t>10/20/2023</t>
  </si>
  <si>
    <t>USC23C062</t>
  </si>
  <si>
    <t>F21 G2 Technology Corp Interconnection</t>
  </si>
  <si>
    <t>F21P1-0423_H_T&amp;M Hardware_MICU</t>
  </si>
  <si>
    <t>Chih-Hsiang Liang</t>
  </si>
  <si>
    <t>USC23I001</t>
  </si>
  <si>
    <t>Internal</t>
  </si>
  <si>
    <t>Tool Interconnection Project</t>
  </si>
  <si>
    <t>USC23L001</t>
  </si>
  <si>
    <t>F21P1 Organo 駐地服務</t>
  </si>
  <si>
    <t>奧璐佳瑙科技股份有限公司</t>
  </si>
  <si>
    <t>F21P1 Mega Union 駐地服務</t>
  </si>
  <si>
    <t>兆聯實業股份有限公司</t>
  </si>
  <si>
    <t>10/4/2023</t>
  </si>
  <si>
    <t>USC24B001</t>
  </si>
  <si>
    <t>113年內部行政</t>
  </si>
  <si>
    <t>1/1/2024</t>
  </si>
  <si>
    <t>USC24B002</t>
  </si>
  <si>
    <t>Tool Interconnection Project (Main Tool &amp; Other Vendors)</t>
  </si>
  <si>
    <t>Micron - Chemical SOLBLE RN3000</t>
  </si>
  <si>
    <t>Micron Technology, Inc.</t>
  </si>
  <si>
    <t>1/17/2024</t>
  </si>
  <si>
    <t>[RM]F21 EUV Crane service contract</t>
  </si>
  <si>
    <t>George Silva Gaspar</t>
  </si>
  <si>
    <t>F21P1 Lasertec Interconnection</t>
  </si>
  <si>
    <t>Lasertec USA Inc</t>
  </si>
  <si>
    <t>1/24/2024</t>
  </si>
  <si>
    <t>USC24C004</t>
  </si>
  <si>
    <t>Low Voltage B Side Project</t>
  </si>
  <si>
    <t>3/28/2024</t>
  </si>
  <si>
    <t>USC24C005</t>
  </si>
  <si>
    <t>Chemical &amp; WCCS B Side Project</t>
  </si>
  <si>
    <t>WWT B side Project</t>
  </si>
  <si>
    <t>USC24C007</t>
  </si>
  <si>
    <t>USC24C008</t>
  </si>
  <si>
    <t>UPW B Side Project</t>
  </si>
  <si>
    <t>F21P1 Nova Interconnection</t>
  </si>
  <si>
    <t>Nova Measuring Instruments, Inc.</t>
  </si>
  <si>
    <t>4/12/2024</t>
  </si>
  <si>
    <t>USC24C010</t>
  </si>
  <si>
    <t>General Conditions B Side Project</t>
  </si>
  <si>
    <t>5/2/2024</t>
  </si>
  <si>
    <t>USC24C011</t>
  </si>
  <si>
    <t>F21P1 AOI i-Robot Room Engineering</t>
  </si>
  <si>
    <t>5/3/2024</t>
  </si>
  <si>
    <t>USC24C012</t>
  </si>
  <si>
    <t>F21P1 Target room Engineering</t>
  </si>
  <si>
    <t>TSMC F21 VOC system maintenance</t>
  </si>
  <si>
    <t>華懋科技股份有限公司</t>
  </si>
  <si>
    <t>USS19B001</t>
  </si>
  <si>
    <t>Chieh-Chung Cheng</t>
  </si>
  <si>
    <t>Column1</t>
  </si>
  <si>
    <t>Operator</t>
  </si>
  <si>
    <t>Invoice #</t>
  </si>
  <si>
    <t>PO+item #</t>
  </si>
  <si>
    <t>PO Name/Invoice Name</t>
  </si>
  <si>
    <t>Amount</t>
  </si>
  <si>
    <t>Total Amount</t>
  </si>
  <si>
    <t>Received Amount</t>
  </si>
  <si>
    <t>invoice date</t>
  </si>
  <si>
    <t>Send out date</t>
  </si>
  <si>
    <t>Payment received date</t>
  </si>
  <si>
    <t>Comment</t>
  </si>
  <si>
    <t>Applied %</t>
  </si>
  <si>
    <t>function area</t>
  </si>
  <si>
    <t>Open Days</t>
  </si>
  <si>
    <t>Submit Open Days</t>
  </si>
  <si>
    <t>PO</t>
  </si>
  <si>
    <t>2024/8/1</t>
  </si>
  <si>
    <t>欄22</t>
  </si>
  <si>
    <t>Payment receive Month</t>
  </si>
  <si>
    <t>MICUINT202409041</t>
  </si>
  <si>
    <t>1000 pumps_271pumps</t>
  </si>
  <si>
    <t>N</t>
  </si>
  <si>
    <t>MICUINT202409016</t>
  </si>
  <si>
    <t>SABRE_FC_KSECN3</t>
  </si>
  <si>
    <t>PVD</t>
  </si>
  <si>
    <t>MICUINT202409017</t>
  </si>
  <si>
    <t>SABRE_FC_KSECN2</t>
  </si>
  <si>
    <t>MICUINT202409018</t>
  </si>
  <si>
    <t>SABRE_Next/Max_KUECN7</t>
  </si>
  <si>
    <t>MICUINT202409019</t>
  </si>
  <si>
    <t>SABRE_Next/Max_KUECN6</t>
  </si>
  <si>
    <t>MICUINT202409020</t>
  </si>
  <si>
    <t>SABRE_Next/Max_KUECN5</t>
  </si>
  <si>
    <t>MICUINT202409021</t>
  </si>
  <si>
    <t>SABRE_Next/Max_KUECN4</t>
  </si>
  <si>
    <t>MICUINT202409022</t>
  </si>
  <si>
    <t>SABRE_Next/Max_KUECN3</t>
  </si>
  <si>
    <t>MICUINT202409023</t>
  </si>
  <si>
    <t>SABRE_Next/Max_KUECN2</t>
  </si>
  <si>
    <t>MICUINT202409024</t>
  </si>
  <si>
    <t>SABRE_Next/Max_KUECN1</t>
  </si>
  <si>
    <t>MICUINT202409025</t>
  </si>
  <si>
    <t>CVD_VXP_KCOXN6</t>
  </si>
  <si>
    <t>MICUINT202409026</t>
  </si>
  <si>
    <t>CVD_VXP_KCOXN5</t>
  </si>
  <si>
    <t>MICUINT202409027</t>
  </si>
  <si>
    <t>CVD_VXP_(SiC)_KCSCN1</t>
  </si>
  <si>
    <t>MICUINT202408156</t>
  </si>
  <si>
    <t xml:space="preserve"> KCENA6 Main Tool Interconnect</t>
  </si>
  <si>
    <t>MICUINT202408152</t>
  </si>
  <si>
    <t>LNK-PLASMA(Q2L) INTERCONNECTS_KDLNK2</t>
  </si>
  <si>
    <t>MICUINT202408153</t>
  </si>
  <si>
    <t>CUK-PIQ (QL) INTERCONNECTS_KDCUK2</t>
  </si>
  <si>
    <t>MICUINT202408154</t>
  </si>
  <si>
    <t>CUK-PIQ (QL) INTERCONNECTS_KDCUK3</t>
  </si>
  <si>
    <t>MICUINT202408155</t>
  </si>
  <si>
    <t>TNK-PE-SiN, MT-TiN(Q2L) INTERCONNECTS_KDTNK2</t>
  </si>
  <si>
    <t>MICUINT202408108</t>
  </si>
  <si>
    <t>XP8 DCM Install Interconnect_30FE.3893.03.01_KCSOA6</t>
  </si>
  <si>
    <t>MICUINT202408109</t>
  </si>
  <si>
    <t>XP8 DCM Interconnect_30FE.3993.03.01_KCTOA2</t>
  </si>
  <si>
    <t>MICUINT202408110</t>
  </si>
  <si>
    <t>DG4150 W/LAMP (TNDM) INTERCONNECTS_KSCBH5</t>
  </si>
  <si>
    <t>MICUINT202408111</t>
  </si>
  <si>
    <t>DG4150 W/LAMP (TNDM) INTERCONNECTS_KSCBH6</t>
  </si>
  <si>
    <t>MICUINT202408112</t>
  </si>
  <si>
    <t>DG4150 W/LAMP (TNDM) INTERCONNECTS_KSCBH7</t>
  </si>
  <si>
    <t>MICUINT202408113</t>
  </si>
  <si>
    <t>DG4150 W/LAMP (TNDM) INTERCONNECTS_KSCBH8</t>
  </si>
  <si>
    <t>MICUINT202408114</t>
  </si>
  <si>
    <t>Etch 2300E6 platform_Metal-NXP*6PM_KEMEL9</t>
  </si>
  <si>
    <t>MICUINT202408115</t>
  </si>
  <si>
    <t>CVD_VXP_(SiC)_KCSCN2</t>
  </si>
  <si>
    <t>MICUINT202408116</t>
  </si>
  <si>
    <t>CVD_Vector Excel_VXL_KCSCN3</t>
  </si>
  <si>
    <t>MICUINT202408117</t>
  </si>
  <si>
    <t>CVD_Vector Excel_VXL_KCSCN4</t>
  </si>
  <si>
    <t>MICUINT202408118</t>
  </si>
  <si>
    <t>CVD_Vector Extreme_VXT-TEOS_KCTEN1</t>
  </si>
  <si>
    <t>MICUINT202408119</t>
  </si>
  <si>
    <t>CVD_Vector Extreme_VXT-TEOS_KCTEN2</t>
  </si>
  <si>
    <t>MICUINT202408120</t>
  </si>
  <si>
    <t>1000 Pumps_43pumps</t>
  </si>
  <si>
    <t>43pumps</t>
  </si>
  <si>
    <t>PCA</t>
  </si>
  <si>
    <t>MICUINT202408070</t>
  </si>
  <si>
    <t>KCEPA2 Additional Cables and Labor</t>
  </si>
  <si>
    <t>MICUINT202407042</t>
  </si>
  <si>
    <t>Dowpayment</t>
  </si>
  <si>
    <t>Cannot Be Defined</t>
  </si>
  <si>
    <t>MICUINT202407041</t>
  </si>
  <si>
    <t>MICUINT202407040</t>
  </si>
  <si>
    <t>MICUINT202407039</t>
  </si>
  <si>
    <t>MICUINT202407038</t>
  </si>
  <si>
    <t>MICUINT202407037</t>
  </si>
  <si>
    <t>MICUINT202407036</t>
  </si>
  <si>
    <t>MICUINT202407035</t>
  </si>
  <si>
    <t>AMAT_4400772471_ZCENT-1_V2</t>
  </si>
  <si>
    <t>MICUINT202407033</t>
  </si>
  <si>
    <t>AMAT_4400855293_KEARA1</t>
  </si>
  <si>
    <t>MICUINT202407032</t>
  </si>
  <si>
    <t>AMAT_4400843869_KEPAA1</t>
  </si>
  <si>
    <t>4400822498&amp;1135</t>
  </si>
  <si>
    <t>MICU2024071267</t>
  </si>
  <si>
    <t>4400824169&amp;1135</t>
  </si>
  <si>
    <t>MICU2024071268</t>
  </si>
  <si>
    <t>4400845491&amp;1135</t>
  </si>
  <si>
    <t>MICU2024071270</t>
  </si>
  <si>
    <t>4400853964&amp;190037</t>
  </si>
  <si>
    <t>MICU2024071271</t>
  </si>
  <si>
    <t>4400854563&amp;75453</t>
  </si>
  <si>
    <t>MICU2024071272</t>
  </si>
  <si>
    <t>KCUVA7 Main Tool Interconnection</t>
  </si>
  <si>
    <t>4400854562&amp;75453</t>
  </si>
  <si>
    <t>MICU2024071273</t>
  </si>
  <si>
    <t>4400854982&amp;190037</t>
  </si>
  <si>
    <t>MICU2024071274</t>
  </si>
  <si>
    <t>KECENA4</t>
  </si>
  <si>
    <t>4400855530&amp;1895</t>
  </si>
  <si>
    <t>MICU2024071275</t>
  </si>
  <si>
    <t>4400855190&amp;69307</t>
  </si>
  <si>
    <t>MICU2024071276</t>
  </si>
  <si>
    <t>KEMEA2 Main Tool Interconnect</t>
  </si>
  <si>
    <t>4400855192&amp;69307</t>
  </si>
  <si>
    <t>MICU2024071277</t>
  </si>
  <si>
    <t>KELIA1 Main Tool Interconnect</t>
  </si>
  <si>
    <t>4400855672&amp;19457</t>
  </si>
  <si>
    <t>MICU2024071278</t>
  </si>
  <si>
    <t>4400843757&amp;98189</t>
  </si>
  <si>
    <t>MICU2024071254</t>
  </si>
  <si>
    <t>KSSBA4 Main Tool Interconnection</t>
  </si>
  <si>
    <t>1MUQOC2404040_01&amp;</t>
  </si>
  <si>
    <t>MICUINT202404137</t>
  </si>
  <si>
    <t>CT</t>
  </si>
  <si>
    <t xml:space="preserve">CT Local Scrubber Interconnection_Additional 15 cables </t>
  </si>
  <si>
    <t>4590004398_006&amp;1039.6</t>
  </si>
  <si>
    <t>ChiaLing</t>
  </si>
  <si>
    <t>4590004398_006</t>
  </si>
  <si>
    <t>4590004398</t>
  </si>
  <si>
    <t>4590004398_007&amp;1039.6</t>
  </si>
  <si>
    <t>4590004398_007</t>
  </si>
  <si>
    <t>16865&amp;</t>
  </si>
  <si>
    <t>MICUINT202404101</t>
  </si>
  <si>
    <t xml:space="preserve"> CT Local Scrubber Interconnection</t>
  </si>
  <si>
    <t>S1056770&amp;</t>
  </si>
  <si>
    <t>MICUINT202406001</t>
  </si>
  <si>
    <t>1000 pumps_64pumps</t>
  </si>
  <si>
    <t>all</t>
  </si>
  <si>
    <t>4600000721&amp;39638.94</t>
  </si>
  <si>
    <t>MICUINT202407011</t>
  </si>
  <si>
    <t xml:space="preserve"> J-9011NX#2_KEMGH2</t>
  </si>
  <si>
    <t>4590004398_024&amp;113844.96</t>
  </si>
  <si>
    <t>4590004398_024</t>
  </si>
  <si>
    <t>4590006324&amp;951.46</t>
  </si>
  <si>
    <t>please check amount</t>
  </si>
  <si>
    <t>4590006324</t>
  </si>
  <si>
    <t>4590006337&amp;94999.51</t>
  </si>
  <si>
    <t>4590006444&amp;11513.93</t>
  </si>
  <si>
    <t>4590006446&amp;11513.93</t>
  </si>
  <si>
    <t>4590006458&amp;8620.63</t>
  </si>
  <si>
    <t>4590007573&amp;249804.4</t>
  </si>
  <si>
    <t>4590007574&amp;262952</t>
  </si>
  <si>
    <t>4590007574</t>
  </si>
  <si>
    <t>4590007576&amp;267905.7</t>
  </si>
  <si>
    <t>MICUINT202312002</t>
  </si>
  <si>
    <t>4590007577&amp;282006</t>
  </si>
  <si>
    <t>4590007577</t>
  </si>
  <si>
    <t>H-342357 &amp;</t>
  </si>
  <si>
    <t>MICUINT202404021</t>
  </si>
  <si>
    <t xml:space="preserve">H-342357 </t>
  </si>
  <si>
    <t>Holon LEXa-20 Tool Interconnection_KPMU01</t>
  </si>
  <si>
    <t>4590007578&amp;282006</t>
  </si>
  <si>
    <t>4590007578</t>
  </si>
  <si>
    <t>4590007584&amp;196984.4</t>
  </si>
  <si>
    <t>4590007585&amp;145347.15</t>
  </si>
  <si>
    <t>4590007591&amp;15048</t>
  </si>
  <si>
    <t>4590007592&amp;23868</t>
  </si>
  <si>
    <t>TBD&amp;</t>
  </si>
  <si>
    <t>MICUINT202407001</t>
  </si>
  <si>
    <t xml:space="preserve"> Kanken Tool Interconnection </t>
  </si>
  <si>
    <t>4590007595&amp;23868</t>
  </si>
  <si>
    <t>21740606&amp;13133.31</t>
  </si>
  <si>
    <t>MICUINT202405019</t>
  </si>
  <si>
    <t>3935(BBP) KKDB03</t>
  </si>
  <si>
    <t>4590007597&amp;23868</t>
  </si>
  <si>
    <t>MICUINT202405018</t>
  </si>
  <si>
    <t>3935(BBP) KKDB01</t>
  </si>
  <si>
    <t>4590007605&amp;23868</t>
  </si>
  <si>
    <t>18614&amp;</t>
  </si>
  <si>
    <t>MICUINT202406010</t>
  </si>
  <si>
    <t>SRK-SiOC(Q2L) INTERCONNECT_KDSRK6</t>
  </si>
  <si>
    <t>4590007608&amp;25272</t>
  </si>
  <si>
    <t>MICUINT202406009</t>
  </si>
  <si>
    <t>SRK-SiOC(Q2L) INTERCONNECT_KDSRK4</t>
  </si>
  <si>
    <t>18612&amp;</t>
  </si>
  <si>
    <t>MICUINT202406008</t>
  </si>
  <si>
    <t>AP (QHT2-ILD) INTERCONNECTS_KDSAK3</t>
  </si>
  <si>
    <t>no work for KDSAK3, sent to Tyler and Carson to clarify</t>
  </si>
  <si>
    <t>18613&amp;</t>
  </si>
  <si>
    <t>MICUINT202406007</t>
  </si>
  <si>
    <t>CUK-PIQ (QL) INTERCONNECTS_KDCUK1</t>
  </si>
  <si>
    <t>4590004399_027&amp;8221.122</t>
  </si>
  <si>
    <t>4590004399_027</t>
  </si>
  <si>
    <t>4590004399</t>
  </si>
  <si>
    <t>4590007619&amp;83170</t>
  </si>
  <si>
    <t>4590007625&amp;122834</t>
  </si>
  <si>
    <t>4590007625</t>
  </si>
  <si>
    <t>4590007629&amp;268350.3</t>
  </si>
  <si>
    <t>4590007630&amp;282474</t>
  </si>
  <si>
    <t>4590007630</t>
  </si>
  <si>
    <t>4590007631&amp;282474</t>
  </si>
  <si>
    <t>4590007631</t>
  </si>
  <si>
    <t>4590007753&amp;533175.3</t>
  </si>
  <si>
    <t xml:space="preserve">原先請款KPE601-S </t>
  </si>
  <si>
    <t>4590007753&amp;799762.94</t>
  </si>
  <si>
    <t>4590007754&amp;799762.94</t>
  </si>
  <si>
    <t>4590007754</t>
  </si>
  <si>
    <t>4590007754&amp;533175.3</t>
  </si>
  <si>
    <t>4590007755&amp;533175.3</t>
  </si>
  <si>
    <t>4590007757&amp;1332938.24</t>
  </si>
  <si>
    <t>若KPE603-S完成時使用這個PO</t>
  </si>
  <si>
    <t>4590007757</t>
  </si>
  <si>
    <t>4590007758&amp;1332938.24</t>
  </si>
  <si>
    <t>陳濟宣/AZ-HKD/Ext.7712512</t>
  </si>
  <si>
    <t>4590007758</t>
  </si>
  <si>
    <t>4590007760&amp;260070</t>
  </si>
  <si>
    <t>原先請款KPAN01-S</t>
  </si>
  <si>
    <t>4590007761&amp;256741.1</t>
  </si>
  <si>
    <t>原先請款KPAE01-S</t>
  </si>
  <si>
    <t>4590007761&amp;186720.8</t>
  </si>
  <si>
    <t>4590007914&amp;45264</t>
  </si>
  <si>
    <t>4590007915&amp;26461.5</t>
  </si>
  <si>
    <t>4590007915&amp;39692.25</t>
  </si>
  <si>
    <t>4590007943&amp;141294.61</t>
  </si>
  <si>
    <t>KCBDA1.KCBDA2.KCBDA3.KCBDA4.KCBDA5.KCBDA6.KCBDA7.KCBDA8.KCBDA9.KCBDAA.KCBDAB.KCFLA1.KCFLA2.KCFLA3.KCFLA4.KCFLA5.KCUVA1.KCUVA2.KCUVA3.KCUVA4.KCUVA5.KCUVA6</t>
  </si>
  <si>
    <t>4590008134&amp;650175</t>
  </si>
  <si>
    <t>4590008134</t>
  </si>
  <si>
    <t>4590008192&amp;650175</t>
  </si>
  <si>
    <t>若KPAP03-S完成時使用這個PO</t>
  </si>
  <si>
    <t>4590004400_010&amp;4031.8</t>
  </si>
  <si>
    <t>4590004400_010</t>
  </si>
  <si>
    <t>4590004400</t>
  </si>
  <si>
    <t>4590008195&amp;357596.25</t>
  </si>
  <si>
    <t>原先請款KPAP01-S</t>
  </si>
  <si>
    <t>4600000721&amp;39470.976</t>
  </si>
  <si>
    <t>MICUINT202406027</t>
  </si>
  <si>
    <t xml:space="preserve"> J-9012NX#1 _KEPCH1 </t>
  </si>
  <si>
    <t xml:space="preserve">KEPCH1 </t>
  </si>
  <si>
    <t>4590008195&amp;260070</t>
  </si>
  <si>
    <t>4590008197&amp;443461.9</t>
  </si>
  <si>
    <t>MICUINT202406006</t>
  </si>
  <si>
    <t>SRK-SiOC(Q2L) INTERCONNECT_KDSRK2</t>
  </si>
  <si>
    <t>7102056&amp;65452</t>
  </si>
  <si>
    <t>MICUINT202406023</t>
  </si>
  <si>
    <t>Shibaura Tool Interconnection_CO_KDSNB1</t>
  </si>
  <si>
    <t>4800104873&amp;670</t>
  </si>
  <si>
    <t>MICUINT202406022</t>
  </si>
  <si>
    <t>CVD_VXP_KCOXN1</t>
  </si>
  <si>
    <t>MICUINT202406021</t>
  </si>
  <si>
    <t>CVD_VXP_KCOXN2</t>
  </si>
  <si>
    <t>4800104873&amp;7472.04</t>
  </si>
  <si>
    <t>MICUINT202406020</t>
  </si>
  <si>
    <t>CVD_Vector Extreme_VXT-Core_KCOXN8</t>
  </si>
  <si>
    <t>MICUINT202406019</t>
  </si>
  <si>
    <t>CVD_Vector Extreme_VXT-Core_KCOCN1</t>
  </si>
  <si>
    <t>MICUINT202406018</t>
  </si>
  <si>
    <t>CVD_Vector Extreme_VXT-Core_KCOXN7</t>
  </si>
  <si>
    <t>4800104873&amp;10219</t>
  </si>
  <si>
    <t>MICUINT202406017</t>
  </si>
  <si>
    <t>Etch 2300 platform_Versys metal+Strip *5PM_KEMEL2</t>
  </si>
  <si>
    <t>4800104873&amp;10906</t>
  </si>
  <si>
    <t>MICUINT202406016</t>
  </si>
  <si>
    <t>Etch 2300 platform_Flex45*4PM_KEVIL1</t>
  </si>
  <si>
    <t>4800104873&amp;8695</t>
  </si>
  <si>
    <t>MICUINT202406015</t>
  </si>
  <si>
    <t>Etch 2300E6 platform_Metal-NXP*6PM_KEMEL8</t>
  </si>
  <si>
    <t>4800104873&amp;5880</t>
  </si>
  <si>
    <t>MICUINT202406014</t>
  </si>
  <si>
    <t>Etch 2300E6 platform_Metal-M*4PM_KEMEL4</t>
  </si>
  <si>
    <t>MICUINT202406013</t>
  </si>
  <si>
    <t>Etch 2300E6 platform_Metal-M*4PM_KEMEL3</t>
  </si>
  <si>
    <t>MICUINT202406012</t>
  </si>
  <si>
    <t>Etch 2300E6 platform_Metal-NXP*6PM_KEMEL1</t>
  </si>
  <si>
    <t>4800104873&amp;3066</t>
  </si>
  <si>
    <t>MICUINT202406011</t>
  </si>
  <si>
    <t>Etch 2300E4 platform_Coronus/HP*2PM_KEBEL1</t>
  </si>
  <si>
    <t>6600012791&amp;4473</t>
  </si>
  <si>
    <t>MICUINT202404035</t>
  </si>
  <si>
    <t>6600012912&amp;921</t>
  </si>
  <si>
    <t>MICUINT202404034</t>
  </si>
  <si>
    <t>23002672&amp;</t>
  </si>
  <si>
    <t>MICUINT202405001</t>
  </si>
  <si>
    <t>Tool ID KEXP01</t>
  </si>
  <si>
    <t>4590010392&amp;</t>
  </si>
  <si>
    <t>4590004396_006&amp;</t>
  </si>
  <si>
    <t>4590004396_006</t>
  </si>
  <si>
    <t>4590004396</t>
  </si>
  <si>
    <t>6369&amp;</t>
  </si>
  <si>
    <t>MICUINT202406005</t>
  </si>
  <si>
    <t>Furnace cable connection_KDIPP2</t>
  </si>
  <si>
    <t>MICUINT202406004</t>
  </si>
  <si>
    <t>Furnace cable connection_KDIPP1</t>
  </si>
  <si>
    <t>2919921&amp;</t>
  </si>
  <si>
    <t>MICUINT202406003</t>
  </si>
  <si>
    <t xml:space="preserve"> 584_Interconnection Chiller </t>
  </si>
  <si>
    <t>PO and Tool ID wrong, resubmitted</t>
  </si>
  <si>
    <t>17 TOOLS</t>
  </si>
  <si>
    <t>4590008201&amp;650174.79</t>
  </si>
  <si>
    <t>4590008201</t>
  </si>
  <si>
    <t>4590004396_008&amp;</t>
  </si>
  <si>
    <t>4590004396_008</t>
  </si>
  <si>
    <t>4590008205&amp;443461.9</t>
  </si>
  <si>
    <t>4590010102&amp;354.2</t>
  </si>
  <si>
    <t>4590010102&amp;6729.8</t>
  </si>
  <si>
    <t>4590004396_009&amp;</t>
  </si>
  <si>
    <t>4590004396_009</t>
  </si>
  <si>
    <t>4590010563&amp;17044.27</t>
  </si>
  <si>
    <t>4590012444&amp;1135</t>
  </si>
  <si>
    <t>4590012444</t>
  </si>
  <si>
    <t>4590012447&amp;</t>
  </si>
  <si>
    <t>1.please provide receving document with TSMC signature.2.finail inspection was wrong,this document doesn’t belong to CVD1 tool_TONY需要重新簽核</t>
  </si>
  <si>
    <t>4590012628&amp;49023</t>
  </si>
  <si>
    <t>4590012853&amp;183660.46</t>
  </si>
  <si>
    <t>4590012955&amp;55238</t>
  </si>
  <si>
    <t>4590013195&amp;12107</t>
  </si>
  <si>
    <t>4590004396_011&amp;</t>
  </si>
  <si>
    <t>4590004396_011</t>
  </si>
  <si>
    <t>4590004396_012&amp;</t>
  </si>
  <si>
    <t>4590004396_012</t>
  </si>
  <si>
    <t>4590013927&amp;646</t>
  </si>
  <si>
    <t>4590013968&amp;29498.12</t>
  </si>
  <si>
    <t>4590013968</t>
  </si>
  <si>
    <t>4590013977&amp;2165</t>
  </si>
  <si>
    <t>4590013978&amp;5418.75</t>
  </si>
  <si>
    <t>4590013979&amp;2478</t>
  </si>
  <si>
    <t>4590013980&amp;4954</t>
  </si>
  <si>
    <t>4590004396_013</t>
  </si>
  <si>
    <t>MICUINT202405077</t>
  </si>
  <si>
    <t>MICUINT202405076</t>
  </si>
  <si>
    <t>Voya 1015 lite(LS)_KPIN01</t>
  </si>
  <si>
    <t>MICUINT202405075</t>
  </si>
  <si>
    <t>Voya 1015(LS)_KKDD02</t>
  </si>
  <si>
    <t>4590004396_014</t>
  </si>
  <si>
    <t>MICUINT202405074</t>
  </si>
  <si>
    <t>LS9600 Blower Connection_KPSP11</t>
  </si>
  <si>
    <t>MICUINT202405073</t>
  </si>
  <si>
    <t>TSMC CG-6300 F21-P0108_KPCD18</t>
  </si>
  <si>
    <t>MICUINT202405072</t>
  </si>
  <si>
    <t>TSMC CG-6300 F21-P0107_KPCD17</t>
  </si>
  <si>
    <t>MICUINT202405071</t>
  </si>
  <si>
    <t>TSMC CG-7300 F21-P0119_KPCD15</t>
  </si>
  <si>
    <t>MICUINT202405070</t>
  </si>
  <si>
    <t>TSMC CG-5000 F21-P0100_KPCD02</t>
  </si>
  <si>
    <t>MICUINT202405069</t>
  </si>
  <si>
    <t>XP8 DCM Interconnect_30FE.3926.03.01_KCSOA5</t>
  </si>
  <si>
    <t>4900168011&amp;18576</t>
  </si>
  <si>
    <t>MICUINT202405068</t>
  </si>
  <si>
    <t>XP8 DCM Interconnect_30FE.3974.03.01_KCTOA1</t>
  </si>
  <si>
    <t>4900168026&amp;18576</t>
  </si>
  <si>
    <t>MICUINT202405067</t>
  </si>
  <si>
    <t>XP8 DCM Interconnect_30FE.3992.03.01_KCSOA3</t>
  </si>
  <si>
    <t>4590004396_015&amp;</t>
  </si>
  <si>
    <t>4590004396_015</t>
  </si>
  <si>
    <t>4590004397_002&amp;</t>
  </si>
  <si>
    <t>4590004397_002</t>
  </si>
  <si>
    <t>4590004397</t>
  </si>
  <si>
    <t>4590014546&amp;4568.69</t>
  </si>
  <si>
    <t>4590014925&amp;30202.91</t>
  </si>
  <si>
    <t>4590015105&amp;2580.67</t>
  </si>
  <si>
    <t>4590015106&amp;1519.24</t>
  </si>
  <si>
    <t>4590015107&amp;2870.4</t>
  </si>
  <si>
    <t>4590015107</t>
  </si>
  <si>
    <t>4590015108&amp;2870.4</t>
  </si>
  <si>
    <t>4590015108</t>
  </si>
  <si>
    <t>4590015110&amp;5111.7</t>
  </si>
  <si>
    <t>interconnection tray request for ZCENT-1</t>
  </si>
  <si>
    <t>4590015110</t>
  </si>
  <si>
    <t>4590015915&amp;11064</t>
  </si>
  <si>
    <t>潘信華/F21-LIT2/Ext.7712514</t>
  </si>
  <si>
    <t>4590015915</t>
  </si>
  <si>
    <t>4590015918&amp;11064</t>
  </si>
  <si>
    <t>先前KPAP01-S用到KPE603-S的PO請款</t>
  </si>
  <si>
    <t>4590015918</t>
  </si>
  <si>
    <t>4590004397_011&amp;</t>
  </si>
  <si>
    <t>4590004397_011</t>
  </si>
  <si>
    <t xml:space="preserve"> 金額送錯29882.28請陳昭宇退回修改</t>
  </si>
  <si>
    <t>4590004396_001&amp;3133.1</t>
  </si>
  <si>
    <t>4590004396_001</t>
  </si>
  <si>
    <t>4590004396_002&amp;5919.71</t>
  </si>
  <si>
    <t>4590004396_002</t>
  </si>
  <si>
    <t>4590004396_002&amp;3946.48</t>
  </si>
  <si>
    <t>4590004396_003&amp;3946.48</t>
  </si>
  <si>
    <t>4590004396_003</t>
  </si>
  <si>
    <t>4590004396_004&amp;3946.48</t>
  </si>
  <si>
    <t>4590004396_004</t>
  </si>
  <si>
    <t>4590004396_005&amp;3946.48</t>
  </si>
  <si>
    <t>4590004396_005</t>
  </si>
  <si>
    <t>4590004396_006&amp;561.55</t>
  </si>
  <si>
    <t>4590004396_007&amp;561.55</t>
  </si>
  <si>
    <t>4590004396_007</t>
  </si>
  <si>
    <t>4590004396_008&amp;1123.1</t>
  </si>
  <si>
    <t>4590004396_009&amp;561.55</t>
  </si>
  <si>
    <t>4590004396_010&amp;561.55</t>
  </si>
  <si>
    <t>4590004396_010</t>
  </si>
  <si>
    <t>4590004396_013&amp;561.55</t>
  </si>
  <si>
    <t>4590004396_014&amp;561.55</t>
  </si>
  <si>
    <t>4590004396_015&amp;561.55</t>
  </si>
  <si>
    <t>4590004397_012&amp;</t>
  </si>
  <si>
    <t>4590004397_012</t>
  </si>
  <si>
    <t>4590004397_013&amp;4700.778</t>
  </si>
  <si>
    <t>4590004397_013</t>
  </si>
  <si>
    <t>4590004397_014&amp;4700.778</t>
  </si>
  <si>
    <t>4590004397_014</t>
  </si>
  <si>
    <t>4590004397_004&amp;</t>
  </si>
  <si>
    <t>4590004397_004</t>
  </si>
  <si>
    <t>the document of attachment and doesn't match the PO item _TONY需重新簽核</t>
  </si>
  <si>
    <t>4590004397_004&amp;2089.24</t>
  </si>
  <si>
    <t>4590004397_005&amp;2089.24</t>
  </si>
  <si>
    <t>4590004397_005</t>
  </si>
  <si>
    <t>4590004397_006&amp;</t>
  </si>
  <si>
    <t>4590004397_006</t>
  </si>
  <si>
    <t>4590004397_006&amp;1044.62</t>
  </si>
  <si>
    <t>4590004397_007&amp;1044.62</t>
  </si>
  <si>
    <t>4590004397_007</t>
  </si>
  <si>
    <t>4600000810&amp;10449.43</t>
  </si>
  <si>
    <t>MICUINT202405031</t>
  </si>
  <si>
    <t>TSMC CG-7300 F21-P0121_KPCD19</t>
  </si>
  <si>
    <t>4600000810&amp;10355.89</t>
  </si>
  <si>
    <t>MICUINT202405030</t>
  </si>
  <si>
    <t>TSMC CG-6300 F21-P0105_KPCD13</t>
  </si>
  <si>
    <t>MICUINT202405029</t>
  </si>
  <si>
    <t>TSMC CG-6300 F21-P0104_KPCD10</t>
  </si>
  <si>
    <t>4600000757&amp;5357.52</t>
  </si>
  <si>
    <t>MICUINT202405028</t>
  </si>
  <si>
    <t>TSMC CG-4100 F21-P0124_KPCD26</t>
  </si>
  <si>
    <t>MICUINT202405027</t>
  </si>
  <si>
    <t>TSMC CG-5000 F21-P0101_KPCD03</t>
  </si>
  <si>
    <t>21883931&amp;</t>
  </si>
  <si>
    <t>MICUINT202405026</t>
  </si>
  <si>
    <t>IPRO7(Rapid)_ZLMS-1</t>
  </si>
  <si>
    <t>ZLMS-1</t>
  </si>
  <si>
    <t>MICUINT202405025</t>
  </si>
  <si>
    <t>640E(Rapid)_ZKT6-1</t>
  </si>
  <si>
    <t>ZKT6-1</t>
  </si>
  <si>
    <t>SCAPO24004&amp;</t>
  </si>
  <si>
    <t>MICUINT202405024_01</t>
  </si>
  <si>
    <t>SCAPO24004</t>
  </si>
  <si>
    <t>MICUINT202405024</t>
  </si>
  <si>
    <t>Tax remove, resubmitted</t>
  </si>
  <si>
    <t>21883931&amp;18212</t>
  </si>
  <si>
    <t>MICUINT202405023</t>
  </si>
  <si>
    <t>F21 Rapid interconnection KPMI01</t>
  </si>
  <si>
    <t>21740607&amp;4693.23</t>
  </si>
  <si>
    <t>MICUINT202405022</t>
  </si>
  <si>
    <t>SP5XP VH(SFS) KPSP10</t>
  </si>
  <si>
    <t>MICUINT202405021</t>
  </si>
  <si>
    <t>SP5XP VH(SFS) KPSP08</t>
  </si>
  <si>
    <t>MICUINT202405020</t>
  </si>
  <si>
    <t>SP5XP EH(SFS)_KPSP04</t>
  </si>
  <si>
    <t>4590004398_001&amp;</t>
  </si>
  <si>
    <t>4590004398_001</t>
  </si>
  <si>
    <t>4590004398_002&amp;</t>
  </si>
  <si>
    <t>4590004398_002</t>
  </si>
  <si>
    <t>21740606&amp;11210.91</t>
  </si>
  <si>
    <t>MICUINT202405017</t>
  </si>
  <si>
    <t>2965(BBP) KKDB06</t>
  </si>
  <si>
    <t>21740606&amp;11211.46</t>
  </si>
  <si>
    <t>MICUINT202405016</t>
  </si>
  <si>
    <t>2965(BBP) KKDB02</t>
  </si>
  <si>
    <t>21740604&amp;2230.2</t>
  </si>
  <si>
    <t>MICUINT202405015</t>
  </si>
  <si>
    <t>ALT100(OMD) KPOV16</t>
  </si>
  <si>
    <t>MICUINT202405014</t>
  </si>
  <si>
    <t>ALT100(OMD) KPOV15</t>
  </si>
  <si>
    <t>MICUINT202405013</t>
  </si>
  <si>
    <t>TSMC CG-6300 F21-P0103 Tool ID KPCD12</t>
  </si>
  <si>
    <t>MICUINT202405012</t>
  </si>
  <si>
    <t>TSMC CG-6300 F21-P0097 Tool ID KPCD11</t>
  </si>
  <si>
    <t>MICUINT202405011</t>
  </si>
  <si>
    <t>TSMC CG-7300 F21-P0120 Tool ID KPCD09</t>
  </si>
  <si>
    <t>MICUINT202405010</t>
  </si>
  <si>
    <t>TSMC CG-6300 F21-P0095 Tool ID KPCD08</t>
  </si>
  <si>
    <t>MICUINT202405009</t>
  </si>
  <si>
    <t>TSMC CG-6300 F21-P0106 Tool ID KPCD06</t>
  </si>
  <si>
    <t>MICUINT202405008</t>
  </si>
  <si>
    <t>TSMC CG-7300 F21-P0118 Tool ID KPCD01</t>
  </si>
  <si>
    <t>MICUINT202405007</t>
  </si>
  <si>
    <t>TSMC CG-5000 F21-P0093 Tool ID KPCD05</t>
  </si>
  <si>
    <t>MICUINT202405006</t>
  </si>
  <si>
    <t>TSMC CG-5000 F21-P0092 Tool ID KPCD04</t>
  </si>
  <si>
    <t>21740541&amp;4061.31</t>
  </si>
  <si>
    <t>MICUINT202405005</t>
  </si>
  <si>
    <t>7380(Ebean) Tool ID KKSV04</t>
  </si>
  <si>
    <t>5314&amp;12318</t>
  </si>
  <si>
    <t>MICUINT202405004</t>
  </si>
  <si>
    <t>Tool ID KPMI03</t>
  </si>
  <si>
    <t>2310543888&amp;4786.56</t>
  </si>
  <si>
    <t>MICUINT202405003</t>
  </si>
  <si>
    <t>Tool ID KKSS02</t>
  </si>
  <si>
    <t>MICUINT202405002</t>
  </si>
  <si>
    <t>Tool ID KKSS01</t>
  </si>
  <si>
    <t>4590004398_003&amp;</t>
  </si>
  <si>
    <t>4590004398_003</t>
  </si>
  <si>
    <t>4590004397_008&amp;</t>
  </si>
  <si>
    <t>4590004397_008</t>
  </si>
  <si>
    <t>4590004397_008&amp;3133.85</t>
  </si>
  <si>
    <t>4590004398_005&amp;</t>
  </si>
  <si>
    <t>4590004398_005</t>
  </si>
  <si>
    <t>4590004398_010&amp;</t>
  </si>
  <si>
    <t>4590004398_010</t>
  </si>
  <si>
    <t>4590004398_011&amp;</t>
  </si>
  <si>
    <t>4590004398_011</t>
  </si>
  <si>
    <t>this is SRK pump outlet installation,please upload MIC completion report report with tsmc ENG sign/ID/date,thanks</t>
  </si>
  <si>
    <t>4590004398_012&amp;</t>
  </si>
  <si>
    <t>4590004398_012</t>
  </si>
  <si>
    <t>4590004398_013&amp;</t>
  </si>
  <si>
    <t>4590004398_013</t>
  </si>
  <si>
    <t>4590004398_014&amp;</t>
  </si>
  <si>
    <t>4590004398_014</t>
  </si>
  <si>
    <t>4590004398_015&amp;</t>
  </si>
  <si>
    <t>4590004398_015</t>
  </si>
  <si>
    <t>4590004397_013&amp;3133.85</t>
  </si>
  <si>
    <t>4590004398_016&amp;</t>
  </si>
  <si>
    <t>4590004398_016</t>
  </si>
  <si>
    <t>4590004398_017&amp;</t>
  </si>
  <si>
    <t>4590004398_017</t>
  </si>
  <si>
    <t>4590004397_014&amp;3133.85</t>
  </si>
  <si>
    <t>4590004397_015&amp;3133.85</t>
  </si>
  <si>
    <t>4590004397_015</t>
  </si>
  <si>
    <t>4590004398_004&amp;1039.6</t>
  </si>
  <si>
    <t>4590004398_004</t>
  </si>
  <si>
    <t>4590004398_021&amp;</t>
  </si>
  <si>
    <t>4590004398_021</t>
  </si>
  <si>
    <t>this is SRK LDS flange installation,please upload MIC completion report report with tsmc ENG sign/ID/date,thanks</t>
  </si>
  <si>
    <t>4590004402_010&amp;</t>
  </si>
  <si>
    <t>4590004402_010</t>
  </si>
  <si>
    <t>4590004402</t>
  </si>
  <si>
    <t>4590004398_022&amp;</t>
  </si>
  <si>
    <t>4590004398_022</t>
  </si>
  <si>
    <t>4590004398_023&amp;</t>
  </si>
  <si>
    <t>4590004398_023</t>
  </si>
  <si>
    <t>4590004397_001&amp;</t>
  </si>
  <si>
    <t>MICUINT202307715</t>
  </si>
  <si>
    <t>4590004397_001</t>
  </si>
  <si>
    <t>4590004398_025&amp;</t>
  </si>
  <si>
    <t>4590004398_025</t>
  </si>
  <si>
    <t>MICUINT202307716</t>
  </si>
  <si>
    <t>4590004397_009&amp;</t>
  </si>
  <si>
    <t>MICUINT202304468</t>
  </si>
  <si>
    <t>4590004397_009</t>
  </si>
  <si>
    <t>4590004397_010&amp;</t>
  </si>
  <si>
    <t>MICUINT202304471</t>
  </si>
  <si>
    <t>4590004397_010</t>
  </si>
  <si>
    <t>4590004398_026&amp;</t>
  </si>
  <si>
    <t>4590004398_026</t>
  </si>
  <si>
    <t>MICUINT202307718</t>
  </si>
  <si>
    <t>4590004399_003&amp;2584.79</t>
  </si>
  <si>
    <t>4590004399_003</t>
  </si>
  <si>
    <t>7102056_001&amp;55341</t>
  </si>
  <si>
    <t>MICUINT202404120</t>
  </si>
  <si>
    <t>Shibaura Tool Interconnection(GX3)_KDSNB2</t>
  </si>
  <si>
    <t>4800104873&amp;5662</t>
  </si>
  <si>
    <t>MICUINT202404119</t>
  </si>
  <si>
    <t>DV-34_KEBCL1</t>
  </si>
  <si>
    <t>4800104873&amp;9361.19</t>
  </si>
  <si>
    <t>MICUINT202404118</t>
  </si>
  <si>
    <t>MRC_KDSTL1</t>
  </si>
  <si>
    <t>4800104873&amp;11593</t>
  </si>
  <si>
    <t>MICUINT202404117</t>
  </si>
  <si>
    <t>DV-38_KEPSL1</t>
  </si>
  <si>
    <t>4800104873&amp;10638</t>
  </si>
  <si>
    <t>MICUINT202404116</t>
  </si>
  <si>
    <t>Etch 2300 platform_Flex FL*5PM_KECOL1</t>
  </si>
  <si>
    <t>MICUINT202404115</t>
  </si>
  <si>
    <t>Etch 2300 platform_Flex FL*5PM_KECOL2</t>
  </si>
  <si>
    <t>MICUINT202404114</t>
  </si>
  <si>
    <t>Etch 2300E6 platform_Metal-M*4PM_KEMGL2</t>
  </si>
  <si>
    <t>MICUINT202404113</t>
  </si>
  <si>
    <t>Etch 2300E6 platform_Metal-M*4PM_KEMGL3</t>
  </si>
  <si>
    <t>4800104873&amp;11576.16</t>
  </si>
  <si>
    <t>MICUINT202404112</t>
  </si>
  <si>
    <t>Etch_Gamma_KEPRL4</t>
  </si>
  <si>
    <t>MICUINT202404111</t>
  </si>
  <si>
    <t>Etch_Gamma_KEPRL5</t>
  </si>
  <si>
    <t>MICUINT202404110</t>
  </si>
  <si>
    <t>Etch 2300E6 platform_Metal-M*4PM_KEMEL5</t>
  </si>
  <si>
    <t>4800104873&amp;4473</t>
  </si>
  <si>
    <t>MICUINT202404109</t>
  </si>
  <si>
    <t>Etch 2300E4 platform_Kiyo*3PM_KEPOL7</t>
  </si>
  <si>
    <t>MICUINT202404108</t>
  </si>
  <si>
    <t>Etch 2300E4 platform_Kiyo*3PM_KEPOL5</t>
  </si>
  <si>
    <t>MICUINT202404107</t>
  </si>
  <si>
    <t>Etch 2300E6 platform_Metal-NXP*6PM_KEMEL7</t>
  </si>
  <si>
    <t>MICUINT202404106</t>
  </si>
  <si>
    <t>Etch 2300E4 platform_Kiyo*3PM_KESTL5</t>
  </si>
  <si>
    <t>4800104873&amp;4908.39</t>
  </si>
  <si>
    <t>MICUINT202404105</t>
  </si>
  <si>
    <t>Etch_Argos *3PM_KEPRL1</t>
  </si>
  <si>
    <t>MICUINT202404104</t>
  </si>
  <si>
    <t>Etch_Gamma_KEPRL2</t>
  </si>
  <si>
    <t>MICUINT202404103</t>
  </si>
  <si>
    <t>Etch_Gamma_KEPRL3</t>
  </si>
  <si>
    <t>MICUINT202404102</t>
  </si>
  <si>
    <t>J-9011NX#1_KEMGH1</t>
  </si>
  <si>
    <t>4590004398_027&amp;</t>
  </si>
  <si>
    <t>4590004398_027</t>
  </si>
  <si>
    <t>4590004399_003&amp;1723.2</t>
  </si>
  <si>
    <t>4590004399_004&amp;5643.75</t>
  </si>
  <si>
    <t>4590004399_004</t>
  </si>
  <si>
    <t>MICUINT202307719</t>
  </si>
  <si>
    <t>4590004399_005&amp;5643.75</t>
  </si>
  <si>
    <t>4590004399_005</t>
  </si>
  <si>
    <t>4590004399_006&amp;8465.63</t>
  </si>
  <si>
    <t>4590004399_006</t>
  </si>
  <si>
    <t>4590004399_006&amp;5643.75</t>
  </si>
  <si>
    <t>4590004399_007&amp;8465.63</t>
  </si>
  <si>
    <t>4590004399_007</t>
  </si>
  <si>
    <t>4590004399_007&amp;5643.75</t>
  </si>
  <si>
    <t>4590004399_008&amp;8465.63</t>
  </si>
  <si>
    <t>4590004399_008</t>
  </si>
  <si>
    <t>4590004399_008&amp;5643.75</t>
  </si>
  <si>
    <t>4590004399_009&amp;8465.63</t>
  </si>
  <si>
    <t>4590004399_009</t>
  </si>
  <si>
    <t>4590004399_009&amp;5643.75</t>
  </si>
  <si>
    <t>4590004399_010&amp;8465.63</t>
  </si>
  <si>
    <t>4590004399_010</t>
  </si>
  <si>
    <t>4590004399_010&amp;5643.75</t>
  </si>
  <si>
    <t>4590004399_011&amp;8465.63</t>
  </si>
  <si>
    <t>4590004399_011</t>
  </si>
  <si>
    <t>4590004399_011&amp;5643.75</t>
  </si>
  <si>
    <t>4590004399_012&amp;8465.63</t>
  </si>
  <si>
    <t>4590004399_012</t>
  </si>
  <si>
    <t>4590004399_012&amp;5643.75</t>
  </si>
  <si>
    <t>4590004399_001&amp;</t>
  </si>
  <si>
    <t>4590004399_001</t>
  </si>
  <si>
    <t>4590004399_013&amp;5480.75</t>
  </si>
  <si>
    <t>4590004399_013</t>
  </si>
  <si>
    <t>4590004399_014&amp;8465.63</t>
  </si>
  <si>
    <t>4590004399_014</t>
  </si>
  <si>
    <t>4590004399_014&amp;5643.75</t>
  </si>
  <si>
    <t>4590004399_002&amp;</t>
  </si>
  <si>
    <t>4590004399_002</t>
  </si>
  <si>
    <t>4590004399_015&amp;5643.75</t>
  </si>
  <si>
    <t>4590004399_015</t>
  </si>
  <si>
    <t>4590004399_016&amp;5643.75</t>
  </si>
  <si>
    <t>4590004399_016</t>
  </si>
  <si>
    <t>4590004399_017&amp;8465.63</t>
  </si>
  <si>
    <t>4590004399_017</t>
  </si>
  <si>
    <t>4590004399_017&amp;5643.75</t>
  </si>
  <si>
    <t>4590004399_004&amp;</t>
  </si>
  <si>
    <t>4590004399_018&amp;5643.75</t>
  </si>
  <si>
    <t>4590004399_018</t>
  </si>
  <si>
    <t>4590004399_019&amp;5643.75</t>
  </si>
  <si>
    <t>4590004399_019</t>
  </si>
  <si>
    <t>4590004399_020&amp;5643.75</t>
  </si>
  <si>
    <t>4590004399_020</t>
  </si>
  <si>
    <t>4590004399_021&amp;8248.46</t>
  </si>
  <si>
    <t>4590004399_021</t>
  </si>
  <si>
    <t>4590004399_022&amp;5806.76</t>
  </si>
  <si>
    <t>4590004399_022</t>
  </si>
  <si>
    <t>4590004399_005&amp;</t>
  </si>
  <si>
    <t>4590004399_023&amp;5806.76</t>
  </si>
  <si>
    <t>4590004399_023</t>
  </si>
  <si>
    <t>4590004399_024&amp;5806.76</t>
  </si>
  <si>
    <t>4590004399_024</t>
  </si>
  <si>
    <t>4590004399_025&amp;8248.46</t>
  </si>
  <si>
    <t>4590004399_025</t>
  </si>
  <si>
    <t>4590004399_013&amp;</t>
  </si>
  <si>
    <t>4590004399_026&amp;5480.75</t>
  </si>
  <si>
    <t>4590004399_026</t>
  </si>
  <si>
    <t>4590004399_015&amp;</t>
  </si>
  <si>
    <t>4590004399_027&amp;5480.75</t>
  </si>
  <si>
    <t>4590004399_028&amp;5480.75</t>
  </si>
  <si>
    <t>4590004399_028</t>
  </si>
  <si>
    <t>4590004399_029&amp;8221.12</t>
  </si>
  <si>
    <t>4590004399_029</t>
  </si>
  <si>
    <t>lack data</t>
  </si>
  <si>
    <t>4590004399_029&amp;5480.75</t>
  </si>
  <si>
    <t>4590004400_001&amp;2452.05</t>
  </si>
  <si>
    <t>4590004400_001</t>
  </si>
  <si>
    <t>4590004400_002&amp;82970.73</t>
  </si>
  <si>
    <t>4590004400_002</t>
  </si>
  <si>
    <t>4590004400_004&amp;4964.4</t>
  </si>
  <si>
    <t>4590004400_004</t>
  </si>
  <si>
    <t>4590004400_006&amp;4964.4</t>
  </si>
  <si>
    <t>4590004400_006</t>
  </si>
  <si>
    <t>4590004400_007&amp;1471.23</t>
  </si>
  <si>
    <t>4590004400_007</t>
  </si>
  <si>
    <t>4590004400_007&amp;980.82</t>
  </si>
  <si>
    <t>4590004400_008&amp;4031.82</t>
  </si>
  <si>
    <t>4590004400_008</t>
  </si>
  <si>
    <t>MICUINT202404049</t>
  </si>
  <si>
    <t>Etch 2300E4 platform_Kiyo*3PM_KESTL7</t>
  </si>
  <si>
    <t>MICUINT202404048</t>
  </si>
  <si>
    <t>Etch 2300E4 platform_Kiyo*3PM_KESTL6</t>
  </si>
  <si>
    <t>MICUINT202404047</t>
  </si>
  <si>
    <t>Etch 2300E4 platform_Kiyo*3PM_KESTL4</t>
  </si>
  <si>
    <t>MICUINT202404046</t>
  </si>
  <si>
    <t>Etch 2300E4 platform_Kiyo*3PM_KESTL3</t>
  </si>
  <si>
    <t>MICUINT202404045</t>
  </si>
  <si>
    <t>Etch 2300E4 platform_Kiyo*3PM_KESTL2</t>
  </si>
  <si>
    <t>MICUINT202404044</t>
  </si>
  <si>
    <t>Etch 2300E4 platform_Kiyo*3PM_KESDL2</t>
  </si>
  <si>
    <t>MICUINT202404043</t>
  </si>
  <si>
    <t>Etch 2300E4 platform_Kiyo*3PM_KESDL1</t>
  </si>
  <si>
    <t>MICUINT202404042</t>
  </si>
  <si>
    <t>Etch 2300E4 platform_Kiyo*3PM_KEPOL8</t>
  </si>
  <si>
    <t>MICUINT202404041</t>
  </si>
  <si>
    <t>Etch 2300E4 platform_Kiyo*3PM_KEPOL6</t>
  </si>
  <si>
    <t>MICUINT202404040</t>
  </si>
  <si>
    <t>Etch 2300E4 platform_Kiyo*3PM_KEPOL4</t>
  </si>
  <si>
    <t>MICUINT202404039</t>
  </si>
  <si>
    <t>Etch 2300E4 platform_Kiyo*3PM_KEPOL3</t>
  </si>
  <si>
    <t>MICUINT202404038</t>
  </si>
  <si>
    <t>Etch 2300E4 platform_Kiyo*3PM_KEPOL2</t>
  </si>
  <si>
    <t>MICUINT202404037</t>
  </si>
  <si>
    <t>Etch 2300E4 platform_Kiyo*3PM_KEPOL1</t>
  </si>
  <si>
    <t>MICUINT202404036</t>
  </si>
  <si>
    <t>Etch 2300E4 platform_Coronus*2PM_KEBEL2</t>
  </si>
  <si>
    <t>4590004399_016&amp;</t>
  </si>
  <si>
    <t>4590004399_018&amp;</t>
  </si>
  <si>
    <t>MICUINT202404033</t>
  </si>
  <si>
    <t>Etch 2300E6 platform_Metal-NXP*6PM_KECOL3</t>
  </si>
  <si>
    <t>MICUINT202404032</t>
  </si>
  <si>
    <t>Etch 2300E6 platform_Metal-M*4PM_KEMEL6</t>
  </si>
  <si>
    <t>4800104873&amp;1340</t>
  </si>
  <si>
    <t>MICUINT202404031</t>
  </si>
  <si>
    <t>CVD_VXP_(AHM)_KCAPN1</t>
  </si>
  <si>
    <t>MICUINT202404030</t>
  </si>
  <si>
    <t>CVD_VXP_KCOXN4</t>
  </si>
  <si>
    <t>4800104873&amp;11257.81</t>
  </si>
  <si>
    <t>MICUINT202404029</t>
  </si>
  <si>
    <t>CVD_Vector Excel_VXL_KCSCN5</t>
  </si>
  <si>
    <t>MICUINT202404028</t>
  </si>
  <si>
    <t>CVD_VXP_KCOXN3</t>
  </si>
  <si>
    <t>4800104873&amp;17959.75</t>
  </si>
  <si>
    <t>MICUINT202404027</t>
  </si>
  <si>
    <t>CVD_EMMA_KCANN3</t>
  </si>
  <si>
    <t>MICUINT202404026</t>
  </si>
  <si>
    <t>ALT100(OMD)_KPOV14</t>
  </si>
  <si>
    <t>21784625&amp;2230.2</t>
  </si>
  <si>
    <t>MICUINT202404025</t>
  </si>
  <si>
    <t>ATL_KPOV13</t>
  </si>
  <si>
    <t>21740607&amp;8732.98</t>
  </si>
  <si>
    <t>MICUINT202404024</t>
  </si>
  <si>
    <t>SP7XP Lite(SFS)_KPSP07</t>
  </si>
  <si>
    <t>21740607&amp;</t>
  </si>
  <si>
    <t>MICUINT202404023</t>
  </si>
  <si>
    <t>21772870&amp;4429</t>
  </si>
  <si>
    <t>MICUINT202404022</t>
  </si>
  <si>
    <t>SP3_KPSP09</t>
  </si>
  <si>
    <t>4590004399_020&amp;</t>
  </si>
  <si>
    <t>18614&amp;39813.79</t>
  </si>
  <si>
    <t>MICUINT202404020</t>
  </si>
  <si>
    <t>SRK-SiOC(Q2L) INTERCONNECT_KDSRK3</t>
  </si>
  <si>
    <t>18616&amp;39306.19</t>
  </si>
  <si>
    <t>MICUINT202404019</t>
  </si>
  <si>
    <t>LNK-PLASMA(Q2L) INTERCONNECTS_KDLNK1</t>
  </si>
  <si>
    <t>MICUINT202404018</t>
  </si>
  <si>
    <t>SRK-SiOC(Q2L) INTERCONNECT_KDSRK5</t>
  </si>
  <si>
    <t>18615&amp;38949.79</t>
  </si>
  <si>
    <t>MICUINT202404017</t>
  </si>
  <si>
    <t>TNK-PE-SiN, MT-TiN(Q2L) INTERCONNECTS_KDTNK1</t>
  </si>
  <si>
    <t>MICUINT202404016</t>
  </si>
  <si>
    <t>SRK-SiOC(Q2L) INTERCONNECT_KDSRK1</t>
  </si>
  <si>
    <t>18612&amp;14704.51</t>
  </si>
  <si>
    <t>MICUINT202404015</t>
  </si>
  <si>
    <t>AP (QHT2-ILD) INTERCONNECTS_KDSAK2</t>
  </si>
  <si>
    <t>MICUINT202404014</t>
  </si>
  <si>
    <t>AP (QHT2-ILD) INTERCONNECTS_KDSAK1</t>
  </si>
  <si>
    <t>MICUINT202404013</t>
  </si>
  <si>
    <t>AP (QHT2-ILD) INTERCONNECTS_KDAPK1</t>
  </si>
  <si>
    <t>MICUINT202404012</t>
  </si>
  <si>
    <t>DG4150 W/LAMP (TNDM) INTERCONNECTS_KDAPK5</t>
  </si>
  <si>
    <t>18617&amp;7752.53</t>
  </si>
  <si>
    <t>MICUINT202404011</t>
  </si>
  <si>
    <t>DG4150 W/LAMP (TNDM) INTERCONNECTS_KSCBH4</t>
  </si>
  <si>
    <t>18618&amp;3461.33</t>
  </si>
  <si>
    <t>MICUINT202404010</t>
  </si>
  <si>
    <t>DG4150 (TNDM) INTERCONNECTS_KSCBH3</t>
  </si>
  <si>
    <t>MICUINT202404009</t>
  </si>
  <si>
    <t>DG4150 (TNDM) INTERCONNECTS_KSCBH2</t>
  </si>
  <si>
    <t>MICUINT202404008</t>
  </si>
  <si>
    <t>DG4150 (TNDM) INTERCONNECTS_KSCBH1</t>
  </si>
  <si>
    <t>MICUINT202404007</t>
  </si>
  <si>
    <t>TSMC CG-7300 F21-P0117_KPCD20</t>
  </si>
  <si>
    <t>MICUINT202404006</t>
  </si>
  <si>
    <t>TSMC CG-6300 F21-P0096_KPCD07</t>
  </si>
  <si>
    <t>4600000721&amp;39470.98</t>
  </si>
  <si>
    <t>MICUINT202404005</t>
  </si>
  <si>
    <t>J-9012NX#2_KEPCH2</t>
  </si>
  <si>
    <t>4900168024&amp;18576</t>
  </si>
  <si>
    <t>MICUINT202404004</t>
  </si>
  <si>
    <t>XP8 DCM Interconnect_30FE.3894.03.01_KCSOA1</t>
  </si>
  <si>
    <t>4900167879&amp;18576</t>
  </si>
  <si>
    <t>MICUINT202404003</t>
  </si>
  <si>
    <t>XP* DCM Interconnect_30FE.3980.03.01_KCSOA4</t>
  </si>
  <si>
    <t>4900167880&amp;21875.4</t>
  </si>
  <si>
    <t>MICUINT202404002</t>
  </si>
  <si>
    <t>XP8 QCM Interconnect_30FE.3925.03.01_KCSNA1</t>
  </si>
  <si>
    <t>4900167885&amp;31799.63</t>
  </si>
  <si>
    <t>MICUINT202404001_01</t>
  </si>
  <si>
    <t xml:space="preserve">Intrepid MX Interconnect_10FE.2632.03.01_KCEPS3 </t>
  </si>
  <si>
    <t>4900168010&amp;</t>
  </si>
  <si>
    <t>MICUINT202404001</t>
  </si>
  <si>
    <t>Intrepid MX Interconnect_10FE.2686.03.01_KCEPS3</t>
  </si>
  <si>
    <t>PO and Tool ID wrong, resubmit</t>
  </si>
  <si>
    <t>4590004400_008&amp;2687.88</t>
  </si>
  <si>
    <t>4590004400_009&amp;2687.88</t>
  </si>
  <si>
    <t>4590004400_009</t>
  </si>
  <si>
    <t>4590004399_021&amp;</t>
  </si>
  <si>
    <t>4590004400_010&amp;2687.88</t>
  </si>
  <si>
    <t>4590004400_011&amp;2687.88</t>
  </si>
  <si>
    <t>4590004400_011</t>
  </si>
  <si>
    <t>4590004400_012&amp;2687.88</t>
  </si>
  <si>
    <t>4590004400_012</t>
  </si>
  <si>
    <t>4590004400_013&amp;2687.88</t>
  </si>
  <si>
    <t>4590004400_013</t>
  </si>
  <si>
    <t>4590004400_014&amp;1007.96</t>
  </si>
  <si>
    <t>4590004400_014</t>
  </si>
  <si>
    <t>4590004400_014&amp;671.97</t>
  </si>
  <si>
    <t>4590004400_015&amp;671.97</t>
  </si>
  <si>
    <t>4590004400_015</t>
  </si>
  <si>
    <t>4590004402_001&amp;1563.25</t>
  </si>
  <si>
    <t>4590004402_001</t>
  </si>
  <si>
    <t>4590004402_002&amp;1563.25</t>
  </si>
  <si>
    <t>4590004402_002</t>
  </si>
  <si>
    <t>4590004402_003&amp;1563.25</t>
  </si>
  <si>
    <t>4590004402_003</t>
  </si>
  <si>
    <t>4590004402_004&amp;1563.25</t>
  </si>
  <si>
    <t>4590004402_004</t>
  </si>
  <si>
    <t>4590004402_005&amp;547.91</t>
  </si>
  <si>
    <t>4590004402_005</t>
  </si>
  <si>
    <t>4590004402_006&amp;547.91</t>
  </si>
  <si>
    <t>4590004402_006</t>
  </si>
  <si>
    <t>4590004402_007&amp;547.91</t>
  </si>
  <si>
    <t>4590004402_007</t>
  </si>
  <si>
    <t>4590004402_008&amp;547.91</t>
  </si>
  <si>
    <t>4590004402_008</t>
  </si>
  <si>
    <t>4590004402_009&amp;547.91</t>
  </si>
  <si>
    <t>4590004402_009</t>
  </si>
  <si>
    <t>4590004402_010&amp;547.91</t>
  </si>
  <si>
    <t>4590004402_011&amp;1522.58</t>
  </si>
  <si>
    <t>4590004402_011</t>
  </si>
  <si>
    <t>4590004402_012&amp;547.91</t>
  </si>
  <si>
    <t>4590004402_012</t>
  </si>
  <si>
    <t>4590004402_013&amp;547.91</t>
  </si>
  <si>
    <t>4590004402_013</t>
  </si>
  <si>
    <t>4590004402_014&amp;547.91</t>
  </si>
  <si>
    <t>4590004402_014</t>
  </si>
  <si>
    <t>4590004403_001&amp;1035.46</t>
  </si>
  <si>
    <t>4590004403_001</t>
  </si>
  <si>
    <t>4590004403_002&amp;1035.46</t>
  </si>
  <si>
    <t>4590004403_002</t>
  </si>
  <si>
    <t>4590004403_003&amp;1035.46</t>
  </si>
  <si>
    <t>4590004403_003</t>
  </si>
  <si>
    <t>4590004403_004&amp;1035.46</t>
  </si>
  <si>
    <t>4590004403_004</t>
  </si>
  <si>
    <t>4590004403_005&amp;1035.46</t>
  </si>
  <si>
    <t>4590004403_005</t>
  </si>
  <si>
    <t>4590004403_006&amp;527.79</t>
  </si>
  <si>
    <t>4590004403_006</t>
  </si>
  <si>
    <t>4590004403_007&amp;527.79</t>
  </si>
  <si>
    <t>4590004403_007</t>
  </si>
  <si>
    <t>4590004403_008&amp;1035.46</t>
  </si>
  <si>
    <t>4590004403_008</t>
  </si>
  <si>
    <t>4590004403_009&amp;1035.46</t>
  </si>
  <si>
    <t>4590004403_009</t>
  </si>
  <si>
    <t>4590004403_010&amp;1035.46</t>
  </si>
  <si>
    <t>4590004403_010</t>
  </si>
  <si>
    <t>4590004403_011&amp;1035.46</t>
  </si>
  <si>
    <t>4590004403_011</t>
  </si>
  <si>
    <t>4590004403_012&amp;1035.46</t>
  </si>
  <si>
    <t>4590004403_012</t>
  </si>
  <si>
    <t>4590004399_022&amp;</t>
  </si>
  <si>
    <t>4590004403_014&amp;1035.46</t>
  </si>
  <si>
    <t>4590004403_014</t>
  </si>
  <si>
    <t>4590004403_015&amp;1035.46</t>
  </si>
  <si>
    <t>4590004403_015</t>
  </si>
  <si>
    <t>4590004403_016&amp;1035.46</t>
  </si>
  <si>
    <t>4590004403_016</t>
  </si>
  <si>
    <t>4590004403_017&amp;1035.46</t>
  </si>
  <si>
    <t>4590004403_017</t>
  </si>
  <si>
    <t>4590004403_018&amp;1035.46</t>
  </si>
  <si>
    <t>4590004403_018</t>
  </si>
  <si>
    <t>4590004403_019&amp;1035.46</t>
  </si>
  <si>
    <t>4590004403_019</t>
  </si>
  <si>
    <t>4590004403_020&amp;1035.46</t>
  </si>
  <si>
    <t>4590004403_020</t>
  </si>
  <si>
    <t>4590004399_023&amp;</t>
  </si>
  <si>
    <t>4590004413_001&amp;496.28</t>
  </si>
  <si>
    <t>4590004413_001</t>
  </si>
  <si>
    <t>4590004399_024&amp;</t>
  </si>
  <si>
    <t>4590004413_002&amp;496.28</t>
  </si>
  <si>
    <t>4590004413_002</t>
  </si>
  <si>
    <t>4590004399_025&amp;</t>
  </si>
  <si>
    <t>4590004413_003&amp;496.28</t>
  </si>
  <si>
    <t>4590004413_003</t>
  </si>
  <si>
    <t>4590004399_026&amp;</t>
  </si>
  <si>
    <t>4590004413_004&amp;496.28</t>
  </si>
  <si>
    <t>4590004413_004</t>
  </si>
  <si>
    <t>4590004413_005&amp;983.82</t>
  </si>
  <si>
    <t>4590004413_005</t>
  </si>
  <si>
    <t>4590004413_006&amp;983.82</t>
  </si>
  <si>
    <t>4590004413_006</t>
  </si>
  <si>
    <t>4590004413_007&amp;983.82</t>
  </si>
  <si>
    <t>4590004413_007</t>
  </si>
  <si>
    <t>4590004413_008&amp;496.28</t>
  </si>
  <si>
    <t>4590004413_008</t>
  </si>
  <si>
    <t>4590004413_009&amp;496.28</t>
  </si>
  <si>
    <t>4590004413_009</t>
  </si>
  <si>
    <t>4590004413_010&amp;496.28</t>
  </si>
  <si>
    <t>4590004413_010</t>
  </si>
  <si>
    <t>4590004399_028&amp;</t>
  </si>
  <si>
    <t>4590004413_011&amp;496.28</t>
  </si>
  <si>
    <t>4590004413_011</t>
  </si>
  <si>
    <t>4590004402_001&amp;</t>
  </si>
  <si>
    <t>Support docs missed, resubmitted</t>
  </si>
  <si>
    <t>4590004413_012&amp;496.28</t>
  </si>
  <si>
    <t>4590004413_012</t>
  </si>
  <si>
    <t>4590004413_013&amp;496.28</t>
  </si>
  <si>
    <t>4590004413_013</t>
  </si>
  <si>
    <t>4590004402_005&amp;</t>
  </si>
  <si>
    <t>4590004413_014&amp;496.28</t>
  </si>
  <si>
    <t>4590004413_014</t>
  </si>
  <si>
    <t>4590004413_015&amp;496.28</t>
  </si>
  <si>
    <t>4590004413_015</t>
  </si>
  <si>
    <t>4590004402_006&amp;</t>
  </si>
  <si>
    <t>4590004413_016&amp;496.28</t>
  </si>
  <si>
    <t>4590004413_016</t>
  </si>
  <si>
    <t>4590004413_017&amp;333.76</t>
  </si>
  <si>
    <t>4590004413_017</t>
  </si>
  <si>
    <t>4590004413_018&amp;496.28</t>
  </si>
  <si>
    <t>4590004413_018</t>
  </si>
  <si>
    <t>4590004413_019&amp;333.76</t>
  </si>
  <si>
    <t>4590004413_019</t>
  </si>
  <si>
    <t>4590004413_020&amp;496.28</t>
  </si>
  <si>
    <t>4590004413_020</t>
  </si>
  <si>
    <t>4590004413_021&amp;496.28</t>
  </si>
  <si>
    <t>4590004413_021</t>
  </si>
  <si>
    <t>4590004413_022&amp;496.28</t>
  </si>
  <si>
    <t>4590004413_022</t>
  </si>
  <si>
    <t>4590004413_023&amp;1481.85</t>
  </si>
  <si>
    <t>4590004413_023</t>
  </si>
  <si>
    <t>4590004402_008&amp;</t>
  </si>
  <si>
    <t>4590004413_024&amp;1481.85</t>
  </si>
  <si>
    <t>4590004413_024</t>
  </si>
  <si>
    <t>4590004415_001&amp;2832.42</t>
  </si>
  <si>
    <t>4590004415_001</t>
  </si>
  <si>
    <t>4590004415</t>
  </si>
  <si>
    <t>4590004413_025&amp;1319.33</t>
  </si>
  <si>
    <t>4590004413_025</t>
  </si>
  <si>
    <t>4590004415_002&amp;2832.42</t>
  </si>
  <si>
    <t>4590004415_002</t>
  </si>
  <si>
    <t>4590004413_026&amp;1319.33</t>
  </si>
  <si>
    <t>4590004413_026</t>
  </si>
  <si>
    <t>4590004403_013&amp;</t>
  </si>
  <si>
    <t>MICUINT202306578</t>
  </si>
  <si>
    <t>4590004403_013</t>
  </si>
  <si>
    <t>4590004413_027&amp;496.28</t>
  </si>
  <si>
    <t>4590004413_027</t>
  </si>
  <si>
    <t>4590004413_028&amp;496.28</t>
  </si>
  <si>
    <t>4590004413_028</t>
  </si>
  <si>
    <t>4590004415_003&amp;2832.42</t>
  </si>
  <si>
    <t>4590004415_003</t>
  </si>
  <si>
    <t>4590004413_029&amp;496.28</t>
  </si>
  <si>
    <t>4590004413_029</t>
  </si>
  <si>
    <t>4590004415_005&amp;2832.42</t>
  </si>
  <si>
    <t>4590004415_005</t>
  </si>
  <si>
    <t>KTUS202307_001&amp;</t>
  </si>
  <si>
    <t>MICUINT202307617</t>
  </si>
  <si>
    <t>Kanken Tool Interconnection (labor Downpayment)</t>
  </si>
  <si>
    <t>4590004415_006&amp;2832.42</t>
  </si>
  <si>
    <t>4590004415_006</t>
  </si>
  <si>
    <t>4590006245_001&amp;5991.26</t>
  </si>
  <si>
    <t>4590006245_001</t>
  </si>
  <si>
    <t>BRUKER--FP 3$9630.01刪掉開新的PO_4590010563+4590015106</t>
  </si>
  <si>
    <t>Z-MERIT</t>
  </si>
  <si>
    <t>4590006245</t>
  </si>
  <si>
    <t>resubmite</t>
  </si>
  <si>
    <t>4590004415_007&amp;2832.42</t>
  </si>
  <si>
    <t>4590004415_007</t>
  </si>
  <si>
    <t>4590004413_034&amp;496.54</t>
  </si>
  <si>
    <t>4590004413_034</t>
  </si>
  <si>
    <t>4590004413_035&amp;1810.64</t>
  </si>
  <si>
    <t>4590004413_035</t>
  </si>
  <si>
    <t>4590004413_036&amp;1810.64</t>
  </si>
  <si>
    <t>4590004413_036</t>
  </si>
  <si>
    <t>4590004415_008&amp;2832.42</t>
  </si>
  <si>
    <t>4590004415_008</t>
  </si>
  <si>
    <t>4590004413_037&amp;1485.39</t>
  </si>
  <si>
    <t>4590004413_038&amp;1810.42</t>
  </si>
  <si>
    <t>4590004413_038</t>
  </si>
  <si>
    <t>4590006250_021&amp;13701.87</t>
  </si>
  <si>
    <t>4590006250_021</t>
  </si>
  <si>
    <t>4590006250</t>
  </si>
  <si>
    <t>4590004415_001&amp;1888.28</t>
  </si>
  <si>
    <t>4590004415_009&amp;2832.42</t>
  </si>
  <si>
    <t>4590004415_009</t>
  </si>
  <si>
    <t>4590004415_002&amp;1888.28</t>
  </si>
  <si>
    <t>4590004415_010&amp;2832.42</t>
  </si>
  <si>
    <t>4590004415_010</t>
  </si>
  <si>
    <t>4590004415_003&amp;1888.28</t>
  </si>
  <si>
    <t>4590004415_004&amp;1888.28</t>
  </si>
  <si>
    <t>4590004415_004</t>
  </si>
  <si>
    <t>4590004415_011&amp;2832.42</t>
  </si>
  <si>
    <t>4590004415_011</t>
  </si>
  <si>
    <t>4590004415_005&amp;1888.28</t>
  </si>
  <si>
    <t>4590004415_012&amp;2832.42</t>
  </si>
  <si>
    <t>4590004415_012</t>
  </si>
  <si>
    <t>MICU2024061246</t>
  </si>
  <si>
    <t xml:space="preserve">292_Interconnection Chiller </t>
  </si>
  <si>
    <t>4590004415_013</t>
  </si>
  <si>
    <t>4590004403</t>
  </si>
  <si>
    <t>TOOL ID ERROR</t>
  </si>
  <si>
    <t>4400854404&amp;98189</t>
  </si>
  <si>
    <t>MICU2024061201</t>
  </si>
  <si>
    <t>4400854402&amp;98189</t>
  </si>
  <si>
    <t>MICU2024061200</t>
  </si>
  <si>
    <t>KSSBA7 Main Tool Interconnection</t>
  </si>
  <si>
    <t>4400854401&amp;98189</t>
  </si>
  <si>
    <t>MICU2024061199</t>
  </si>
  <si>
    <t>4400854539&amp;98189</t>
  </si>
  <si>
    <t>MICU2024061198</t>
  </si>
  <si>
    <t xml:space="preserve">KSHRA1 Main Tool Interconnection </t>
  </si>
  <si>
    <t>4400854538&amp;98189</t>
  </si>
  <si>
    <t>MICU2024061197</t>
  </si>
  <si>
    <t>KCSSA2 Main Tool Interconnection</t>
  </si>
  <si>
    <t>KCSSA2</t>
  </si>
  <si>
    <t>4400854537&amp;98189</t>
  </si>
  <si>
    <t>MICU2024061196</t>
  </si>
  <si>
    <t>4400854535&amp;98189</t>
  </si>
  <si>
    <t>MICU2024061195</t>
  </si>
  <si>
    <t>4400843902&amp;97054</t>
  </si>
  <si>
    <t>MICU2024061194</t>
  </si>
  <si>
    <t xml:space="preserve">KSTSA1 Main Tool Interconnect </t>
  </si>
  <si>
    <t>4400843809&amp;98189</t>
  </si>
  <si>
    <t>MICU2024061192</t>
  </si>
  <si>
    <t xml:space="preserve">KSCCA3 Main Tool Interconnect </t>
  </si>
  <si>
    <t>4400870244&amp;1980</t>
  </si>
  <si>
    <t>MICU2024061190</t>
  </si>
  <si>
    <t>KDIGA2 CHANGE ORDER CHAMBER C</t>
  </si>
  <si>
    <t>4400854468&amp;75453</t>
  </si>
  <si>
    <t>MICU2024061189</t>
  </si>
  <si>
    <t>KCBDA6 Main tool, AC Top Plate, Under RMF, Water Manifolds</t>
  </si>
  <si>
    <t>4400854560&amp;75453</t>
  </si>
  <si>
    <t>MICU2024061188</t>
  </si>
  <si>
    <t>KCSMA3 Main tool, AC Top Plate, Under RMF, Water Manifolds</t>
  </si>
  <si>
    <t>4400830144&amp;3698</t>
  </si>
  <si>
    <t>MICU2024061187</t>
  </si>
  <si>
    <t>Power Cable Demo and Install COR0066</t>
  </si>
  <si>
    <t>CMP1</t>
  </si>
  <si>
    <t>4400855669&amp;19457</t>
  </si>
  <si>
    <t>MICU202405026</t>
  </si>
  <si>
    <t xml:space="preserve">KKDD04 Main Tool, AC Top Plate </t>
  </si>
  <si>
    <t>4400855676&amp;19457</t>
  </si>
  <si>
    <t>MICU202405025</t>
  </si>
  <si>
    <t>KPCD22 Main Tool, AC Top Plate</t>
  </si>
  <si>
    <t>4400855674&amp;19457</t>
  </si>
  <si>
    <t>MICU202405024</t>
  </si>
  <si>
    <t>KPCD21 Main Tool, AC Top Plate</t>
  </si>
  <si>
    <t>4400854565&amp;70646</t>
  </si>
  <si>
    <t>MICU202405023</t>
  </si>
  <si>
    <t>KCOLA3 Main Tool, AC Top Plate</t>
  </si>
  <si>
    <t>4400854408&amp;190037</t>
  </si>
  <si>
    <t>MICU202405022</t>
  </si>
  <si>
    <t>KCENA3 Main Tool, AC Top Plate Modifications</t>
  </si>
  <si>
    <t>4400854359&amp;29941</t>
  </si>
  <si>
    <t>MICU202405021</t>
  </si>
  <si>
    <t>KKDD03 Main Tool, EPDU Box, Termination, LAN Cable, Flexible Tubes, CGB, Dry Pump.</t>
  </si>
  <si>
    <t>4400843694&amp;75453</t>
  </si>
  <si>
    <t>MICU202405020</t>
  </si>
  <si>
    <t>KCBDA3 Main Tool, AC Cover Plate, Under RMF, Water Manifolds</t>
  </si>
  <si>
    <t>4400855532&amp;1895</t>
  </si>
  <si>
    <t>4400847886&amp;75453</t>
  </si>
  <si>
    <t xml:space="preserve">KCBDA5 Main Tool, AC Top Plate, Under RMF Junction Box, Water  Manifolds </t>
  </si>
  <si>
    <t>4400842132&amp;1135</t>
  </si>
  <si>
    <t>4400843953&amp;98189</t>
  </si>
  <si>
    <t>4400843814&amp;98189</t>
  </si>
  <si>
    <t>4400843808&amp;98189</t>
  </si>
  <si>
    <t>4400843806&amp;98189</t>
  </si>
  <si>
    <t>4400843732&amp;98189</t>
  </si>
  <si>
    <t>4400843734&amp;98189</t>
  </si>
  <si>
    <t>4400847920&amp;75453</t>
  </si>
  <si>
    <t>4400847923&amp;75453</t>
  </si>
  <si>
    <t>4400843754&amp;98189</t>
  </si>
  <si>
    <t>4400842745&amp;75453</t>
  </si>
  <si>
    <t>4400837525&amp;75453</t>
  </si>
  <si>
    <t>4400855534&amp;1895</t>
  </si>
  <si>
    <t>KMOPA5</t>
  </si>
  <si>
    <t>4400861580&amp;1135</t>
  </si>
  <si>
    <t>4400854358&amp;29720</t>
  </si>
  <si>
    <t>4400847885&amp;76550</t>
  </si>
  <si>
    <t>4400847883&amp;78412</t>
  </si>
  <si>
    <t>4400843868&amp;98189</t>
  </si>
  <si>
    <t>4400843883&amp;69307</t>
  </si>
  <si>
    <t>4400843882&amp;69307</t>
  </si>
  <si>
    <t>KKSV01 EPDU Box Installation &amp; WIre Term</t>
  </si>
  <si>
    <t>4400824164&amp;1135</t>
  </si>
  <si>
    <t>4400819976&amp;1135</t>
  </si>
  <si>
    <t>4400859144&amp;27216</t>
  </si>
  <si>
    <t>4400859143&amp;27216</t>
  </si>
  <si>
    <t>4400858927&amp;27216</t>
  </si>
  <si>
    <t>4400855536&amp;1895</t>
  </si>
  <si>
    <t>4400851516&amp;760</t>
  </si>
  <si>
    <t>KMOPA1</t>
  </si>
  <si>
    <t>4400842757&amp;75453</t>
  </si>
  <si>
    <t>4400855666&amp;75453</t>
  </si>
  <si>
    <t>4400772471&amp;32684.75</t>
  </si>
  <si>
    <t>4400772471&amp;81711.87</t>
  </si>
  <si>
    <t>4400854441&amp;76550</t>
  </si>
  <si>
    <t>4400837507&amp;39604</t>
  </si>
  <si>
    <t>4400837502&amp;39604</t>
  </si>
  <si>
    <t>4400851510&amp;760</t>
  </si>
  <si>
    <t>4400847889&amp;76550</t>
  </si>
  <si>
    <t>4400844277&amp;38469</t>
  </si>
  <si>
    <t>4400842335&amp;760</t>
  </si>
  <si>
    <t>4400850638&amp;3160</t>
  </si>
  <si>
    <t>4400844859&amp;3800</t>
  </si>
  <si>
    <t>4400842932&amp;12096</t>
  </si>
  <si>
    <t>4400834624&amp;2399</t>
  </si>
  <si>
    <t>KDIGA3 Install NEC Required Ground WIre</t>
  </si>
  <si>
    <t>4400834416&amp;2850</t>
  </si>
  <si>
    <t>KDIGA3 Install Unistrut</t>
  </si>
  <si>
    <t>4400834416&amp;0</t>
  </si>
  <si>
    <t>4400824143&amp;0</t>
  </si>
  <si>
    <t>4400822631&amp;0</t>
  </si>
  <si>
    <t>4400822589&amp;0</t>
  </si>
  <si>
    <t>4400822585&amp;0</t>
  </si>
  <si>
    <t>4400822580&amp;0</t>
  </si>
  <si>
    <t>4400822504&amp;0</t>
  </si>
  <si>
    <t>4400822500&amp;0</t>
  </si>
  <si>
    <t>4400820284&amp;3799</t>
  </si>
  <si>
    <t>4400819986&amp;1135</t>
  </si>
  <si>
    <t>4400819978&amp;1135</t>
  </si>
  <si>
    <t>4400819977&amp;1135</t>
  </si>
  <si>
    <t>4400819974&amp;1135</t>
  </si>
  <si>
    <t>4400819935&amp;3799</t>
  </si>
  <si>
    <t>4400819529&amp;1135</t>
  </si>
  <si>
    <t>4400819528&amp;1135</t>
  </si>
  <si>
    <t>4400837524&amp;75453</t>
  </si>
  <si>
    <t>4400837527&amp;75453</t>
  </si>
  <si>
    <t>4400837529&amp;75453</t>
  </si>
  <si>
    <t>4400837542&amp;75453</t>
  </si>
  <si>
    <t>4400772471&amp;59.29</t>
  </si>
  <si>
    <t>4400772471&amp;56750.02</t>
  </si>
  <si>
    <t>4400772471&amp;11821.75</t>
  </si>
  <si>
    <t>4400772471&amp;59108.76</t>
  </si>
  <si>
    <t>4400772471&amp;22030.6</t>
  </si>
  <si>
    <t>4400837508&amp;38469</t>
  </si>
  <si>
    <t>21740541&amp;4061.6871</t>
  </si>
  <si>
    <t>21740541&amp;4061.3121</t>
  </si>
  <si>
    <t>21740606&amp;11211.4621</t>
  </si>
  <si>
    <t>21740606&amp;11210.9121</t>
  </si>
  <si>
    <t>21740606&amp;13133.3121</t>
  </si>
  <si>
    <t>21740607&amp;9386.448</t>
  </si>
  <si>
    <t>21740607&amp;4693.224</t>
  </si>
  <si>
    <t>21740607&amp;17465.454</t>
  </si>
  <si>
    <t>21740607&amp;17465.964</t>
  </si>
  <si>
    <t>21740607&amp;8732.982</t>
  </si>
  <si>
    <t>21740610&amp;9417.2957</t>
  </si>
  <si>
    <t>21740610&amp;9416.9007</t>
  </si>
  <si>
    <t>4400758378&amp;85000</t>
  </si>
  <si>
    <t>4400767535&amp;677000</t>
  </si>
  <si>
    <t>4400772471&amp;1500001.01</t>
  </si>
  <si>
    <t>4400772471&amp;87701.08</t>
  </si>
  <si>
    <t>4400772471&amp;592.9</t>
  </si>
  <si>
    <t>4400772471&amp;291459.16</t>
  </si>
  <si>
    <t>4400772471&amp;188416.69</t>
  </si>
  <si>
    <t>4400800335&amp;1135</t>
  </si>
  <si>
    <t>4400801046&amp;1135</t>
  </si>
  <si>
    <t>4400802557&amp;3799.99</t>
  </si>
  <si>
    <t>4400803577&amp;3265</t>
  </si>
  <si>
    <t>4400806736&amp;4921</t>
  </si>
  <si>
    <t>4400810811&amp;13454</t>
  </si>
  <si>
    <t>4400811501&amp;16555</t>
  </si>
  <si>
    <t>4400811559&amp;1131</t>
  </si>
  <si>
    <t>4400811568&amp;1135</t>
  </si>
  <si>
    <t>4400816696&amp;2379</t>
  </si>
  <si>
    <t>4400819541&amp;1135</t>
  </si>
  <si>
    <t>4400819543&amp;1135</t>
  </si>
  <si>
    <t>4400819544&amp;1135</t>
  </si>
  <si>
    <t>4400819587&amp;1135</t>
  </si>
  <si>
    <t>4400819608&amp;1135</t>
  </si>
  <si>
    <t>4400820801&amp;3758</t>
  </si>
  <si>
    <t>4400822509&amp;8651</t>
  </si>
  <si>
    <t>4400824102&amp;4249.2</t>
  </si>
  <si>
    <t>4400824144&amp;2600</t>
  </si>
  <si>
    <t>4400826923&amp;2393</t>
  </si>
  <si>
    <t>4400828868&amp;995.71</t>
  </si>
  <si>
    <t>4400830150&amp;2357</t>
  </si>
  <si>
    <t>KKCVO2</t>
  </si>
  <si>
    <t>4400830518&amp;6081</t>
  </si>
  <si>
    <t>4400830748&amp;1799.18</t>
  </si>
  <si>
    <t>KEMEA5 AC RAck CB Change</t>
  </si>
  <si>
    <t>4600000721&amp;4385.664</t>
  </si>
  <si>
    <t>4600000721&amp;4404.3264</t>
  </si>
  <si>
    <t>4600000757&amp;837.7092</t>
  </si>
  <si>
    <t>4600000810&amp;1150.6536</t>
  </si>
  <si>
    <t>4600000810&amp;1864.66789294964</t>
  </si>
  <si>
    <t>4900167753&amp;32298.492</t>
  </si>
  <si>
    <t>4900167881&amp;17150.724</t>
  </si>
  <si>
    <t>4900167884&amp;19482.996</t>
  </si>
  <si>
    <t>4800104873_025&amp;4473</t>
  </si>
  <si>
    <t>MICUINT202401009</t>
  </si>
  <si>
    <t>4800104873_055&amp;5880</t>
  </si>
  <si>
    <t>4800104873_065&amp;10638</t>
  </si>
  <si>
    <t>4800104873_074&amp;4760.84</t>
  </si>
  <si>
    <t xml:space="preserve"> MICUINT202305522</t>
  </si>
  <si>
    <t>4800104873_074&amp;11576.16</t>
  </si>
  <si>
    <t>MICUINT202309816</t>
  </si>
  <si>
    <t>4800104873_075&amp;4760.84</t>
  </si>
  <si>
    <t>4800104873_076&amp;4760.84</t>
  </si>
  <si>
    <t>4800104873_077&amp;4760.84</t>
  </si>
  <si>
    <t>4800104873_078&amp;4760.84</t>
  </si>
  <si>
    <t>4800104873_079&amp;4760.84</t>
  </si>
  <si>
    <t>4800104873_080&amp;4760.84</t>
  </si>
  <si>
    <t>4800104873_081&amp;4760.84</t>
  </si>
  <si>
    <t>4800104873_082&amp;4760.84</t>
  </si>
  <si>
    <t>4800104873_083&amp;2986.61</t>
  </si>
  <si>
    <t>4800104873_084&amp;2986.61</t>
  </si>
  <si>
    <t>4800104873_085&amp;2986.61</t>
  </si>
  <si>
    <t>4800104873_085&amp;4908.39</t>
  </si>
  <si>
    <t>4800104873_086&amp;2986.61</t>
  </si>
  <si>
    <t>4800104873_088&amp;1650.25</t>
  </si>
  <si>
    <t>4800104873_088&amp;17959.75</t>
  </si>
  <si>
    <t>4800104873_089&amp;1650.25</t>
  </si>
  <si>
    <t>4800104873_090&amp;1650.25</t>
  </si>
  <si>
    <t>4800104873_091&amp;1650.25</t>
  </si>
  <si>
    <t>4800104873_092&amp;7343.42</t>
  </si>
  <si>
    <t>4800104873_092&amp;12330.58</t>
  </si>
  <si>
    <t>4800104873_093&amp;7343.42</t>
  </si>
  <si>
    <t>4800104873_094&amp;7343.42</t>
  </si>
  <si>
    <t>4800104873_095&amp;1650.19</t>
  </si>
  <si>
    <t>4800104873_096&amp;1650.19</t>
  </si>
  <si>
    <t>4800104873_097&amp;1650.19</t>
  </si>
  <si>
    <t>4800104873_098&amp;1650.19</t>
  </si>
  <si>
    <t>4800104873_099&amp;1650.19</t>
  </si>
  <si>
    <t>4800104873_100&amp;1650.19</t>
  </si>
  <si>
    <t>4800104873_101&amp;1650.19</t>
  </si>
  <si>
    <t>4800104873_102&amp;7787.96</t>
  </si>
  <si>
    <t>4800104873_103&amp;7787.96</t>
  </si>
  <si>
    <t>4800104873_104&amp;7787.96</t>
  </si>
  <si>
    <t>4800104873_105&amp;7787.96</t>
  </si>
  <si>
    <t>4800104873_106&amp;7787.96</t>
  </si>
  <si>
    <t>4800104873_107&amp;7787.96</t>
  </si>
  <si>
    <t>4800104873_108&amp;7787.96</t>
  </si>
  <si>
    <t>4800104873_109&amp;7893.49</t>
  </si>
  <si>
    <t>4800104873_110&amp;7893.49</t>
  </si>
  <si>
    <t>4800104873_111&amp;7893.49</t>
  </si>
  <si>
    <t>4800104873_128&amp;104.96</t>
  </si>
  <si>
    <t>4800104873_129&amp;104.96</t>
  </si>
  <si>
    <t>4800104873_130&amp;104.96</t>
  </si>
  <si>
    <t>4800104873_131&amp;104.96</t>
  </si>
  <si>
    <t>4800104873_134&amp;7787.75</t>
  </si>
  <si>
    <t>4800104873_134&amp;12698.25</t>
  </si>
  <si>
    <t>4800104873_135&amp;3820.72</t>
  </si>
  <si>
    <t>4800104873_136&amp;3820.72</t>
  </si>
  <si>
    <t>4800104873_137&amp;3820.72</t>
  </si>
  <si>
    <t>4800104873_138&amp;3820.72</t>
  </si>
  <si>
    <t>4800104873_139&amp;3820.72</t>
  </si>
  <si>
    <t>4800104873_140&amp;3820.72</t>
  </si>
  <si>
    <t>4800104873_141&amp;3820.72</t>
  </si>
  <si>
    <t>4800104873_142&amp;3820.72</t>
  </si>
  <si>
    <t>4800104873_143&amp;3820.72</t>
  </si>
  <si>
    <t>4800104873_144&amp;3820.72</t>
  </si>
  <si>
    <t>4800104873_145&amp;3820.72</t>
  </si>
  <si>
    <t>4800104873_146&amp;11178.55</t>
  </si>
  <si>
    <t>4800104873_147&amp;11178.55</t>
  </si>
  <si>
    <t>4800104873_148&amp;11178.55</t>
  </si>
  <si>
    <t>4800104873_163&amp;16304.81</t>
  </si>
  <si>
    <t>4800104873_164&amp;16304.81</t>
  </si>
  <si>
    <t>4590004415_006&amp;1888.28</t>
  </si>
  <si>
    <t>4590004415_007&amp;1888.28</t>
  </si>
  <si>
    <t>4590004403_014&amp;</t>
  </si>
  <si>
    <t>4590004415_008&amp;1888.28</t>
  </si>
  <si>
    <t>4590007609&amp;25272</t>
  </si>
  <si>
    <t>4590007609</t>
  </si>
  <si>
    <t>4590004415_009&amp;1888.28</t>
  </si>
  <si>
    <t>4590004403_015&amp;</t>
  </si>
  <si>
    <t>4590004415_010&amp;1888.28</t>
  </si>
  <si>
    <t>4590007614&amp;25272</t>
  </si>
  <si>
    <t>4590007614</t>
  </si>
  <si>
    <t>4590004415_011&amp;1888.28</t>
  </si>
  <si>
    <t>4590007615_003&amp;25272</t>
  </si>
  <si>
    <t>4590007615_003</t>
  </si>
  <si>
    <t>4590007615</t>
  </si>
  <si>
    <t>4590004415_012&amp;1888.28</t>
  </si>
  <si>
    <t>4590007615_004&amp;25272</t>
  </si>
  <si>
    <t>4590007615_004</t>
  </si>
  <si>
    <t>4590004415_013&amp;1888.28</t>
  </si>
  <si>
    <t>4590004415_014&amp;547.91</t>
  </si>
  <si>
    <t>4590004415_014</t>
  </si>
  <si>
    <t>4590004415_015&amp;547.91</t>
  </si>
  <si>
    <t>4590004415_015</t>
  </si>
  <si>
    <t>4590004415_016&amp;547.91</t>
  </si>
  <si>
    <t>4590004415_016</t>
  </si>
  <si>
    <t>4590004415_017&amp;547.91</t>
  </si>
  <si>
    <t>4590004415_017</t>
  </si>
  <si>
    <t>4590004415_018&amp;365.27</t>
  </si>
  <si>
    <t>4590004415_018</t>
  </si>
  <si>
    <t>4590004415_019&amp;365.27</t>
  </si>
  <si>
    <t>4590004415_019</t>
  </si>
  <si>
    <t>4590004415_020&amp;365.27</t>
  </si>
  <si>
    <t>4590004415_020</t>
  </si>
  <si>
    <t>4590004415_021&amp;365.27</t>
  </si>
  <si>
    <t>4590004415_021</t>
  </si>
  <si>
    <t>4590007615_005&amp;25272</t>
  </si>
  <si>
    <t>4590007615_005</t>
  </si>
  <si>
    <t>4590004415_022&amp;38364.89</t>
  </si>
  <si>
    <t>4590004415_022</t>
  </si>
  <si>
    <t>4590007615_012&amp;25272</t>
  </si>
  <si>
    <t>4590007615_012</t>
  </si>
  <si>
    <t>4590004415_024&amp;547.91</t>
  </si>
  <si>
    <t>4590004415_024</t>
  </si>
  <si>
    <t>4590004415_031&amp;365.27</t>
  </si>
  <si>
    <t>4590004415_031</t>
  </si>
  <si>
    <t>4590004415_032&amp;365.27</t>
  </si>
  <si>
    <t>4590004415_032</t>
  </si>
  <si>
    <t>4590004415_033&amp;365.27</t>
  </si>
  <si>
    <t>4590004415_033</t>
  </si>
  <si>
    <t>4590004416_001&amp;912.75</t>
  </si>
  <si>
    <t>4590004416_001</t>
  </si>
  <si>
    <t>4590004416</t>
  </si>
  <si>
    <t>4590004416_001&amp;608.5</t>
  </si>
  <si>
    <t>4590004416_002&amp;912.75</t>
  </si>
  <si>
    <t>4590004416_002</t>
  </si>
  <si>
    <t>4590004416_002&amp;608.5</t>
  </si>
  <si>
    <t>4590004416_003&amp;608.5</t>
  </si>
  <si>
    <t>4590004416_003</t>
  </si>
  <si>
    <t>4590004416_004&amp;912.75</t>
  </si>
  <si>
    <t>4590004416_004</t>
  </si>
  <si>
    <t>4590004416_004&amp;608.5</t>
  </si>
  <si>
    <t>4590004416_005&amp;912.75</t>
  </si>
  <si>
    <t>4590004416_005</t>
  </si>
  <si>
    <t>4590004416_005&amp;608.5</t>
  </si>
  <si>
    <t>4590007616_001&amp;23868</t>
  </si>
  <si>
    <t>4590007616_001</t>
  </si>
  <si>
    <t>4590007616</t>
  </si>
  <si>
    <t>4590004417_001&amp;12177.4</t>
  </si>
  <si>
    <t>4590004417_001</t>
  </si>
  <si>
    <t>4590004419_001&amp;</t>
  </si>
  <si>
    <t>4590004419_001</t>
  </si>
  <si>
    <t>4590004417_002&amp;12177.4</t>
  </si>
  <si>
    <t>4590004417_002</t>
  </si>
  <si>
    <t>4590004417_003&amp;33231.89</t>
  </si>
  <si>
    <t>4590004417_003</t>
  </si>
  <si>
    <t>4590004417_003&amp;22154.59</t>
  </si>
  <si>
    <t>4590004417_004&amp;36532.21</t>
  </si>
  <si>
    <t>4590004417_004</t>
  </si>
  <si>
    <t>4590004417_004&amp;24354.8</t>
  </si>
  <si>
    <t>4590004417_005&amp;36532.21</t>
  </si>
  <si>
    <t>4590004417_005</t>
  </si>
  <si>
    <t>4590004417_005&amp;24354.8</t>
  </si>
  <si>
    <t>4590004417_006&amp;24923.916</t>
  </si>
  <si>
    <t>4590004417_006</t>
  </si>
  <si>
    <t>4590004417</t>
  </si>
  <si>
    <t>4590004417_006&amp;16615.94</t>
  </si>
  <si>
    <t>4590004418_001&amp;1521.43</t>
  </si>
  <si>
    <t>4590004418_001</t>
  </si>
  <si>
    <t>4590004418_002&amp;1521.43</t>
  </si>
  <si>
    <t>4590004418_002</t>
  </si>
  <si>
    <t>4590004418_003&amp;1521.43</t>
  </si>
  <si>
    <t>4590004418_003</t>
  </si>
  <si>
    <t>4590004418_004&amp;3357.41</t>
  </si>
  <si>
    <t>4590004418_004</t>
  </si>
  <si>
    <t>4590004418_005&amp;4091.8</t>
  </si>
  <si>
    <t>4590004418_005</t>
  </si>
  <si>
    <t>4590004418_006&amp;2990.21</t>
  </si>
  <si>
    <t>4590004418_006</t>
  </si>
  <si>
    <t>4590004418_007&amp;2990.21</t>
  </si>
  <si>
    <t>4590004418_007</t>
  </si>
  <si>
    <t>4590004418_008&amp;2990.21</t>
  </si>
  <si>
    <t>4590004418_008</t>
  </si>
  <si>
    <t>4590004418_009&amp;1521.43</t>
  </si>
  <si>
    <t>4590004418_009</t>
  </si>
  <si>
    <t>4590004418_010&amp;1521.43</t>
  </si>
  <si>
    <t>4590004418_010</t>
  </si>
  <si>
    <t>4590004418_011&amp;1521.43</t>
  </si>
  <si>
    <t>4590004418_011</t>
  </si>
  <si>
    <t>4590004418_012&amp;2623.02</t>
  </si>
  <si>
    <t>4590004418_012</t>
  </si>
  <si>
    <t>4590004418_013&amp;1521.43</t>
  </si>
  <si>
    <t>4590004418_013</t>
  </si>
  <si>
    <t>4590004418_014&amp;1521.43</t>
  </si>
  <si>
    <t>4590004418_014</t>
  </si>
  <si>
    <t>4590004418_015&amp;3160.43</t>
  </si>
  <si>
    <t>4590004418_015</t>
  </si>
  <si>
    <t>4590004418_016&amp;1521.43</t>
  </si>
  <si>
    <t>4590004418_016</t>
  </si>
  <si>
    <t>4590004418_017&amp;1521.43</t>
  </si>
  <si>
    <t>4590004418_017</t>
  </si>
  <si>
    <t>4590004418_018&amp;2990.21</t>
  </si>
  <si>
    <t>4590004418_018</t>
  </si>
  <si>
    <t>4590004418_019&amp;2990.21</t>
  </si>
  <si>
    <t>4590004418_019</t>
  </si>
  <si>
    <t>4590004418_020&amp;4091.8</t>
  </si>
  <si>
    <t>4590004418_020</t>
  </si>
  <si>
    <t>4590004418_021&amp;4091.8</t>
  </si>
  <si>
    <t>4590004418_021</t>
  </si>
  <si>
    <t>4590004419_002&amp;</t>
  </si>
  <si>
    <t>4590004419_002</t>
  </si>
  <si>
    <t>4590004419_003&amp;</t>
  </si>
  <si>
    <t>4590004419_003</t>
  </si>
  <si>
    <t>4590004419_004&amp;</t>
  </si>
  <si>
    <t>4590004419_004</t>
  </si>
  <si>
    <t>4590004403_016&amp;</t>
  </si>
  <si>
    <t>4590004419_017&amp;2623.02</t>
  </si>
  <si>
    <t>4590004419_017</t>
  </si>
  <si>
    <t>4590006248_002&amp;</t>
  </si>
  <si>
    <t>MICUINT202304507</t>
  </si>
  <si>
    <t>4590006248_002</t>
  </si>
  <si>
    <t>4590006247_002&amp;561.55</t>
  </si>
  <si>
    <t>4590006247_002</t>
  </si>
  <si>
    <t>4590006247_003&amp;561.55</t>
  </si>
  <si>
    <t>4590006247_003</t>
  </si>
  <si>
    <t>4590006247_004&amp;561.55</t>
  </si>
  <si>
    <t>4590006247_004</t>
  </si>
  <si>
    <t>4590006247_005&amp;561.55</t>
  </si>
  <si>
    <t>4590006247_005</t>
  </si>
  <si>
    <t>4590006247_006&amp;561.55</t>
  </si>
  <si>
    <t>4590006247_006</t>
  </si>
  <si>
    <t>4590006247_007&amp;561.55</t>
  </si>
  <si>
    <t>4590006247_007</t>
  </si>
  <si>
    <t>4590006247_008&amp;3133.1</t>
  </si>
  <si>
    <t>4590006247_008</t>
  </si>
  <si>
    <t>4590006247_009&amp;3133.1</t>
  </si>
  <si>
    <t>4590006247_009</t>
  </si>
  <si>
    <t>4590006247_010&amp;561.55</t>
  </si>
  <si>
    <t>4590006247_010</t>
  </si>
  <si>
    <t>4590006247_011&amp;561.55</t>
  </si>
  <si>
    <t>4590006247_011</t>
  </si>
  <si>
    <t>4590006247_012&amp;561.55</t>
  </si>
  <si>
    <t>4590006247_012</t>
  </si>
  <si>
    <t>4590006247_013&amp;561.55</t>
  </si>
  <si>
    <t>4590006247_013</t>
  </si>
  <si>
    <t>4590006247_014&amp;561.55</t>
  </si>
  <si>
    <t>4590006247_014</t>
  </si>
  <si>
    <t>4590006247_015&amp;561.55</t>
  </si>
  <si>
    <t>4590006247_015</t>
  </si>
  <si>
    <t>4590006247_016&amp;1123.1</t>
  </si>
  <si>
    <t>4590006247_017&amp;561.55</t>
  </si>
  <si>
    <t>4590006247_017</t>
  </si>
  <si>
    <t>4590006247_018&amp;561.55</t>
  </si>
  <si>
    <t>4590006247_018</t>
  </si>
  <si>
    <t>4590007617_002&amp;23868</t>
  </si>
  <si>
    <t>4590007617_002</t>
  </si>
  <si>
    <t>4590007617</t>
  </si>
  <si>
    <t>4590006248_003&amp;</t>
  </si>
  <si>
    <t>MICUINT202304508</t>
  </si>
  <si>
    <t>4590006248_003</t>
  </si>
  <si>
    <t>4590006248_004&amp;</t>
  </si>
  <si>
    <t>MICUINT202304509</t>
  </si>
  <si>
    <t>4590006248_004</t>
  </si>
  <si>
    <t>4590006248_005&amp;</t>
  </si>
  <si>
    <t>MICUINT202304510</t>
  </si>
  <si>
    <t>4590006248_005</t>
  </si>
  <si>
    <t>4590004403_017&amp;</t>
  </si>
  <si>
    <t>4590006250_034&amp;</t>
  </si>
  <si>
    <t>MICUINT202302334</t>
  </si>
  <si>
    <t>4590006250_034</t>
  </si>
  <si>
    <t>4590006250_037&amp;</t>
  </si>
  <si>
    <t>MICUINT202306539</t>
  </si>
  <si>
    <t>4590006250_037</t>
  </si>
  <si>
    <t>4590006250_041&amp;</t>
  </si>
  <si>
    <t>MICUINT202302341</t>
  </si>
  <si>
    <t>4590006250_041</t>
  </si>
  <si>
    <t>4590006261_002&amp;</t>
  </si>
  <si>
    <t>MICUINT202307762</t>
  </si>
  <si>
    <t>4590006261_002</t>
  </si>
  <si>
    <t>4590006251_001&amp;2687.88</t>
  </si>
  <si>
    <t>4590006251_001</t>
  </si>
  <si>
    <t>4590006251_002&amp;2687.88</t>
  </si>
  <si>
    <t>4590006251_002</t>
  </si>
  <si>
    <t>4590006251_003&amp;2687.88</t>
  </si>
  <si>
    <t>4590006251_003</t>
  </si>
  <si>
    <t>4590006251_004&amp;2687.88</t>
  </si>
  <si>
    <t>4590006251_004</t>
  </si>
  <si>
    <t>4590006254_001&amp;547.91</t>
  </si>
  <si>
    <t>4590006254_001</t>
  </si>
  <si>
    <t>4590006254_002&amp;1563.25</t>
  </si>
  <si>
    <t>4590006254_002</t>
  </si>
  <si>
    <t>4590006254_003&amp;1563.25</t>
  </si>
  <si>
    <t>4590006254_003</t>
  </si>
  <si>
    <t>4590006254_004&amp;1563.25</t>
  </si>
  <si>
    <t>4590006254_004</t>
  </si>
  <si>
    <t>4590006254_005&amp;1563.25</t>
  </si>
  <si>
    <t>4590006254_005</t>
  </si>
  <si>
    <t>4590006254_006&amp;547.91</t>
  </si>
  <si>
    <t>4590006254_006</t>
  </si>
  <si>
    <t>4590006255_001&amp;1035.46</t>
  </si>
  <si>
    <t>4590006255_001</t>
  </si>
  <si>
    <t>4590006255_002&amp;1035.46</t>
  </si>
  <si>
    <t>4590006255_002</t>
  </si>
  <si>
    <t>4590006255_003&amp;527.79</t>
  </si>
  <si>
    <t>4590006255_003</t>
  </si>
  <si>
    <t>4590006255_004&amp;547.91</t>
  </si>
  <si>
    <t>4590006255_004</t>
  </si>
  <si>
    <t>4590006255_005&amp;1035.46</t>
  </si>
  <si>
    <t>4590006255_005</t>
  </si>
  <si>
    <t>4590006255_009&amp;1035.46</t>
  </si>
  <si>
    <t>4590006255_009</t>
  </si>
  <si>
    <t>4590006255_010&amp;1035.46</t>
  </si>
  <si>
    <t>4590006255_010</t>
  </si>
  <si>
    <t>4590006255_011&amp;1035.46</t>
  </si>
  <si>
    <t>4590006255_011</t>
  </si>
  <si>
    <t>4590006255_012&amp;1035.46</t>
  </si>
  <si>
    <t>4590006255_012</t>
  </si>
  <si>
    <t>4590006255_013&amp;1035.46</t>
  </si>
  <si>
    <t>4590006255_013</t>
  </si>
  <si>
    <t>4590006255_014&amp;1035.46</t>
  </si>
  <si>
    <t>4590006255_014</t>
  </si>
  <si>
    <t>4590006255_015&amp;1035.46</t>
  </si>
  <si>
    <t>4590006255_015</t>
  </si>
  <si>
    <t>4590006255_016&amp;1035.46</t>
  </si>
  <si>
    <t>4590006255_016</t>
  </si>
  <si>
    <t>4590006255_017&amp;1035.46</t>
  </si>
  <si>
    <t>4590006255_017</t>
  </si>
  <si>
    <t>4590006255_018&amp;1035.46</t>
  </si>
  <si>
    <t>4590006255_018</t>
  </si>
  <si>
    <t>4590006255_019&amp;1035.46</t>
  </si>
  <si>
    <t>4590006255_019</t>
  </si>
  <si>
    <t>4590006255_020&amp;547.91</t>
  </si>
  <si>
    <t>4590006255_020</t>
  </si>
  <si>
    <t>4590006255_021&amp;547.91</t>
  </si>
  <si>
    <t>4590006255_021</t>
  </si>
  <si>
    <t>4590006255_022&amp;1035.46</t>
  </si>
  <si>
    <t>4590006255_022</t>
  </si>
  <si>
    <t>4590006255_023&amp;547.91</t>
  </si>
  <si>
    <t>4590006255_023</t>
  </si>
  <si>
    <t>4590006257_001&amp;365.27</t>
  </si>
  <si>
    <t>4590006257_001</t>
  </si>
  <si>
    <t>4590006257_002&amp;38364.89</t>
  </si>
  <si>
    <t>4590006257_002</t>
  </si>
  <si>
    <t>4590006257_005&amp;1888.28</t>
  </si>
  <si>
    <t>4590006257_005</t>
  </si>
  <si>
    <t>4590006257_006&amp;1888.28</t>
  </si>
  <si>
    <t>4590006257_006</t>
  </si>
  <si>
    <t>4590006257_007&amp;1888.28</t>
  </si>
  <si>
    <t>4590006257_007</t>
  </si>
  <si>
    <t>4590006257_008&amp;1888.28</t>
  </si>
  <si>
    <t>4590006257_008</t>
  </si>
  <si>
    <t>4590006257_009&amp;1888.28</t>
  </si>
  <si>
    <t>4590006257_009</t>
  </si>
  <si>
    <t>4590006257_011&amp;1888.28</t>
  </si>
  <si>
    <t>4590006257_011</t>
  </si>
  <si>
    <t>4590006257_013&amp;1888.28</t>
  </si>
  <si>
    <t>4590006257_013</t>
  </si>
  <si>
    <t>4590006257_015&amp;365.27</t>
  </si>
  <si>
    <t>4590006257_015</t>
  </si>
  <si>
    <t>4590006257_016&amp;547.91</t>
  </si>
  <si>
    <t>4590006257_016</t>
  </si>
  <si>
    <t>4590006257_018&amp;365.27</t>
  </si>
  <si>
    <t>4590006257_018</t>
  </si>
  <si>
    <t>4590006257_019&amp;365.27</t>
  </si>
  <si>
    <t>4590006257_019</t>
  </si>
  <si>
    <t>4590006257_020&amp;547.91</t>
  </si>
  <si>
    <t>4590006257_020</t>
  </si>
  <si>
    <t>4590006257_021&amp;365.27</t>
  </si>
  <si>
    <t>4590006257_021</t>
  </si>
  <si>
    <t>4590006257_023&amp;1888.28</t>
  </si>
  <si>
    <t>4590006257_023</t>
  </si>
  <si>
    <t>4590006257_024&amp;365.27</t>
  </si>
  <si>
    <t>4590006257_024</t>
  </si>
  <si>
    <t>4590006257_026&amp;547.91</t>
  </si>
  <si>
    <t>4590006257_026</t>
  </si>
  <si>
    <t>4590006258_001&amp;608.5</t>
  </si>
  <si>
    <t>4590006258_002&amp;608.5</t>
  </si>
  <si>
    <t>4590006258_002</t>
  </si>
  <si>
    <t>4590006259_001&amp;12177.4</t>
  </si>
  <si>
    <t>4590006259_002&amp;6695.19</t>
  </si>
  <si>
    <t>4590006259_002</t>
  </si>
  <si>
    <t>4590006259_003&amp;22154.59</t>
  </si>
  <si>
    <t>4590006259_003</t>
  </si>
  <si>
    <t>4590006259_004&amp;16615.94</t>
  </si>
  <si>
    <t>4590006259_004</t>
  </si>
  <si>
    <t>4590006259_005&amp;24354.8</t>
  </si>
  <si>
    <t>4590006259_005</t>
  </si>
  <si>
    <t>4590006259_006&amp;16615.94</t>
  </si>
  <si>
    <t>4590006259_006</t>
  </si>
  <si>
    <t>4590006260_002&amp;4091.8</t>
  </si>
  <si>
    <t>4590006260_002</t>
  </si>
  <si>
    <t>4590006260_003&amp;1521.43</t>
  </si>
  <si>
    <t>4590006260_003</t>
  </si>
  <si>
    <t>4590006260_004&amp;1521.43</t>
  </si>
  <si>
    <t>4590006260_004</t>
  </si>
  <si>
    <t>4590006260_005&amp;1521.43</t>
  </si>
  <si>
    <t>4590006260_005</t>
  </si>
  <si>
    <t>4590006260_006&amp;1521.43</t>
  </si>
  <si>
    <t>4590006260_006</t>
  </si>
  <si>
    <t>4590006260_007&amp;3357.41</t>
  </si>
  <si>
    <t>4590006260_007</t>
  </si>
  <si>
    <t>4590006260_008&amp;2990.21</t>
  </si>
  <si>
    <t>4590006260_008</t>
  </si>
  <si>
    <t>4590006260_009&amp;2990.21</t>
  </si>
  <si>
    <t>4590006260_009</t>
  </si>
  <si>
    <t>4590006260_010&amp;2990.21</t>
  </si>
  <si>
    <t>4590006260_010</t>
  </si>
  <si>
    <t>4590006260_011&amp;2990.21</t>
  </si>
  <si>
    <t>4590006260_011</t>
  </si>
  <si>
    <t>4590006260_012&amp;2990.21</t>
  </si>
  <si>
    <t>4590006260_012</t>
  </si>
  <si>
    <t>4590006260_013&amp;1521.43</t>
  </si>
  <si>
    <t>4590006260_013</t>
  </si>
  <si>
    <t>4590006260_014&amp;3160.43</t>
  </si>
  <si>
    <t>4590006260_014</t>
  </si>
  <si>
    <t>4590006260_015&amp;3160.43</t>
  </si>
  <si>
    <t>4590006260_015</t>
  </si>
  <si>
    <t>4590006260_016&amp;3357.41</t>
  </si>
  <si>
    <t>4590006260_016</t>
  </si>
  <si>
    <t>4590006260_017&amp;2990.21</t>
  </si>
  <si>
    <t>4590006260_017</t>
  </si>
  <si>
    <t>4590006260_018&amp;2990.21</t>
  </si>
  <si>
    <t>4590006260_018</t>
  </si>
  <si>
    <t>4590006260_021&amp;1521.43</t>
  </si>
  <si>
    <t>4590006260_021</t>
  </si>
  <si>
    <t>4590006260_022&amp;4091.8</t>
  </si>
  <si>
    <t>4590006260_022</t>
  </si>
  <si>
    <t>4590006260_023&amp;1521.43</t>
  </si>
  <si>
    <t>4590006260_023</t>
  </si>
  <si>
    <t>4590006260_024&amp;1521.43</t>
  </si>
  <si>
    <t>4590006260_024</t>
  </si>
  <si>
    <t>4590006260_025&amp;2623.02</t>
  </si>
  <si>
    <t>4590006260_025</t>
  </si>
  <si>
    <t>4590006261_001&amp;4856.78</t>
  </si>
  <si>
    <t>4590006261_001</t>
  </si>
  <si>
    <t>4590004403_018&amp;</t>
  </si>
  <si>
    <t>4590006261_012&amp;4856.78</t>
  </si>
  <si>
    <t>4590006261_012</t>
  </si>
  <si>
    <t>4590006261_013&amp;4856.78</t>
  </si>
  <si>
    <t>4590006261_013</t>
  </si>
  <si>
    <t>4590006261_017&amp;2623.02</t>
  </si>
  <si>
    <t>4590006261_017</t>
  </si>
  <si>
    <t>4590006261_018&amp;3357.41</t>
  </si>
  <si>
    <t>4590006261_018</t>
  </si>
  <si>
    <t>4590006261_019&amp;2623.02</t>
  </si>
  <si>
    <t>4590006261_019</t>
  </si>
  <si>
    <t>4590007617_009&amp;23868</t>
  </si>
  <si>
    <t>4590007617_009</t>
  </si>
  <si>
    <t>鄭宇智/F21-DIF1/Ext.7718120</t>
  </si>
  <si>
    <t>4590004403_019&amp;</t>
  </si>
  <si>
    <t>4590004403_020&amp;</t>
  </si>
  <si>
    <t>4590007615_006&amp;25272</t>
  </si>
  <si>
    <t>4590007615_006</t>
  </si>
  <si>
    <t>4590004413_001&amp;</t>
  </si>
  <si>
    <t>4590004413</t>
  </si>
  <si>
    <t>4590007638_002&amp;77514.6</t>
  </si>
  <si>
    <t>4590007638_002</t>
  </si>
  <si>
    <t>4590007638</t>
  </si>
  <si>
    <t>4590007638_003&amp;77514.6</t>
  </si>
  <si>
    <t>4590007638_003</t>
  </si>
  <si>
    <t>4590007639_001&amp;120568.2</t>
  </si>
  <si>
    <t>4590007639_001</t>
  </si>
  <si>
    <t>4590007639</t>
  </si>
  <si>
    <t>4590007617_001&amp;23868</t>
  </si>
  <si>
    <t>4590007617_001</t>
  </si>
  <si>
    <t>4590007640_001&amp;88668.6</t>
  </si>
  <si>
    <t>4590007640_001</t>
  </si>
  <si>
    <t>please request amount 40% another 20% wating for tool release. 林嘉祥/F21-WET1/Ext.7712719</t>
  </si>
  <si>
    <t>4590007640</t>
  </si>
  <si>
    <t>4590007640_003&amp;88668.6</t>
  </si>
  <si>
    <t>4590007640_003</t>
  </si>
  <si>
    <t>4590007617_008&amp;23868</t>
  </si>
  <si>
    <t>4590007617_008</t>
  </si>
  <si>
    <t>4590004413_002&amp;</t>
  </si>
  <si>
    <t>4590004413_003&amp;</t>
  </si>
  <si>
    <t>4590004413_004&amp;</t>
  </si>
  <si>
    <t>4590007626_001&amp;109191.1</t>
  </si>
  <si>
    <t>4590007626_001</t>
  </si>
  <si>
    <t>4590007627_001&amp;168569.9</t>
  </si>
  <si>
    <t>4590007627_001</t>
  </si>
  <si>
    <t>4590007628_001&amp;261632.85</t>
  </si>
  <si>
    <t>4590007628_001</t>
  </si>
  <si>
    <t>原先請款KPOCT4</t>
  </si>
  <si>
    <t>4590007628_002&amp;261632.85</t>
  </si>
  <si>
    <t>4590007628_002</t>
  </si>
  <si>
    <t>原先請款KPOCT3</t>
  </si>
  <si>
    <t>4590007638_001&amp;51676.4</t>
  </si>
  <si>
    <t>4590007638_001</t>
  </si>
  <si>
    <t>4590007764_008&amp;62039</t>
  </si>
  <si>
    <t>4590007764_008</t>
  </si>
  <si>
    <t xml:space="preserve">document without signature by TSMC </t>
  </si>
  <si>
    <t>4590007764</t>
  </si>
  <si>
    <t>4590007638_002&amp;51676.4</t>
  </si>
  <si>
    <t>4590007764_009&amp;62039</t>
  </si>
  <si>
    <t>4590007764_009</t>
  </si>
  <si>
    <t>4590007638_003&amp;51676.4</t>
  </si>
  <si>
    <t>4590007638_004&amp;51676.4</t>
  </si>
  <si>
    <t>4590007764_011&amp;62039</t>
  </si>
  <si>
    <t>4590007764_011</t>
  </si>
  <si>
    <t>4590007639_001&amp;80378.8</t>
  </si>
  <si>
    <t>4590007639_002&amp;80378.8</t>
  </si>
  <si>
    <t>4590007639_002</t>
  </si>
  <si>
    <t>4590007764_013&amp;62039</t>
  </si>
  <si>
    <t>4590007764_013</t>
  </si>
  <si>
    <t>4590007640_001&amp;59112.4</t>
  </si>
  <si>
    <t>4590007640_002&amp;59112.4</t>
  </si>
  <si>
    <t>4590007640_002</t>
  </si>
  <si>
    <t>4590007764_014&amp;62039</t>
  </si>
  <si>
    <t>4590007764_014</t>
  </si>
  <si>
    <t>4590007640_003&amp;59112.4</t>
  </si>
  <si>
    <t>4590007640_004&amp;59112.4</t>
  </si>
  <si>
    <t>4590007640_004</t>
  </si>
  <si>
    <t>4590007708_002&amp;</t>
  </si>
  <si>
    <t>4590007708_002</t>
  </si>
  <si>
    <t>4590007641_001&amp;87888.8</t>
  </si>
  <si>
    <t>4590007641_001</t>
  </si>
  <si>
    <t>4590007641_002&amp;87888.8</t>
  </si>
  <si>
    <t>4590007641_002</t>
  </si>
  <si>
    <t>4590007764_027&amp;50321</t>
  </si>
  <si>
    <t>4590007764_027</t>
  </si>
  <si>
    <t>4590004413_005&amp;</t>
  </si>
  <si>
    <t>4590007708_004&amp;</t>
  </si>
  <si>
    <t>4590007708_004</t>
  </si>
  <si>
    <t>4590007708_005&amp;</t>
  </si>
  <si>
    <t>MICUINT202304515</t>
  </si>
  <si>
    <t>4590007708_005</t>
  </si>
  <si>
    <t>4590007708_007&amp;</t>
  </si>
  <si>
    <t>MICUINT202304517</t>
  </si>
  <si>
    <t>4590007708_007</t>
  </si>
  <si>
    <t>upload parts received status and PIC +信華mail</t>
  </si>
  <si>
    <t>4590007708_008&amp;</t>
  </si>
  <si>
    <t>MICUINT202304518</t>
  </si>
  <si>
    <t>4590007708_008</t>
  </si>
  <si>
    <t>4590007711_003&amp;</t>
  </si>
  <si>
    <t>MICUINT202304519</t>
  </si>
  <si>
    <t>4590007711_003</t>
  </si>
  <si>
    <t>4590007710_001&amp;3133.85</t>
  </si>
  <si>
    <t>4590007710_001</t>
  </si>
  <si>
    <t>4590007710_002&amp;3133.85</t>
  </si>
  <si>
    <t>4590007710_002</t>
  </si>
  <si>
    <t>4590007710_003&amp;3313.85</t>
  </si>
  <si>
    <t>4590007710_003</t>
  </si>
  <si>
    <t>4590007710_004&amp;1044.62</t>
  </si>
  <si>
    <t>4590007710_004</t>
  </si>
  <si>
    <t>4590007710_005&amp;3133.85</t>
  </si>
  <si>
    <t>4590007710_005</t>
  </si>
  <si>
    <t>4590007711_005&amp;</t>
  </si>
  <si>
    <t>MICUINT202304520</t>
  </si>
  <si>
    <t>4590007711_005</t>
  </si>
  <si>
    <t>4590004413_006&amp;</t>
  </si>
  <si>
    <t>4590007712_001&amp;1810.42</t>
  </si>
  <si>
    <t>4590007712_001</t>
  </si>
  <si>
    <t>4590007712_002&amp;1810.42</t>
  </si>
  <si>
    <t>4590007712_002</t>
  </si>
  <si>
    <t>4590007716_001&amp;257083.3</t>
  </si>
  <si>
    <t>4590007716_001</t>
  </si>
  <si>
    <t>4590007716_002&amp;270614</t>
  </si>
  <si>
    <t>4590007716_002</t>
  </si>
  <si>
    <t>Mechanical report missing signoff date</t>
  </si>
  <si>
    <t>4590007716</t>
  </si>
  <si>
    <t>4590007762_001&amp;75090</t>
  </si>
  <si>
    <t>MICUINT202403017</t>
  </si>
  <si>
    <t>4590007762_001</t>
  </si>
  <si>
    <t>KPOV05若完成時需要這個PO請款</t>
  </si>
  <si>
    <t>4590007762</t>
  </si>
  <si>
    <t>4590007762_002&amp;30036</t>
  </si>
  <si>
    <t>4590007762_002</t>
  </si>
  <si>
    <t>原本請的是KPOV04-後來得到PO跟機台的正確版-但台積已經付這PO</t>
  </si>
  <si>
    <t>4590007762_002&amp;45054</t>
  </si>
  <si>
    <t>4590007762_003&amp;75090</t>
  </si>
  <si>
    <t>4590007762_003</t>
  </si>
  <si>
    <t>林子平/F21-LIT1/Ext.7713435</t>
  </si>
  <si>
    <t>4590007762_004&amp;75090</t>
  </si>
  <si>
    <t>4590007762_004</t>
  </si>
  <si>
    <t>4590007762_005&amp;45054</t>
  </si>
  <si>
    <t>4590007762_005</t>
  </si>
  <si>
    <t>4590007762_005&amp;30036</t>
  </si>
  <si>
    <t>4590007762_006&amp;45054</t>
  </si>
  <si>
    <t>4590007762_006</t>
  </si>
  <si>
    <t>4590007762_006&amp;30036</t>
  </si>
  <si>
    <t>4590007762_007&amp;45054</t>
  </si>
  <si>
    <t>4590007762_007</t>
  </si>
  <si>
    <t>4590007762_007&amp;30036</t>
  </si>
  <si>
    <t>4590007762_008&amp;45054</t>
  </si>
  <si>
    <t>4590007762_008</t>
  </si>
  <si>
    <t>4590007762_008&amp;30036</t>
  </si>
  <si>
    <t>4590007762_009&amp;45054</t>
  </si>
  <si>
    <t>4590007762_009</t>
  </si>
  <si>
    <t>4590007762_009&amp;30036</t>
  </si>
  <si>
    <t>4590007762_010&amp;30036</t>
  </si>
  <si>
    <t>4590007762_010</t>
  </si>
  <si>
    <t>4590007762_011&amp;30036</t>
  </si>
  <si>
    <t>4590007762_011</t>
  </si>
  <si>
    <t>4590007762_013&amp;30036</t>
  </si>
  <si>
    <t>4590007762_013</t>
  </si>
  <si>
    <t>4590007763_002&amp;8342.8</t>
  </si>
  <si>
    <t>4590007763_002</t>
  </si>
  <si>
    <t>4590007763_003&amp;13920.8</t>
  </si>
  <si>
    <t>4590007763_003</t>
  </si>
  <si>
    <t>4590007763_005&amp;17861.6</t>
  </si>
  <si>
    <t>4590007763_005</t>
  </si>
  <si>
    <t>4590007763_005&amp;24559.7</t>
  </si>
  <si>
    <t>4590007763_006&amp;26792.4</t>
  </si>
  <si>
    <t>4590007763_006</t>
  </si>
  <si>
    <t>4590007763</t>
  </si>
  <si>
    <t>4590007763_006&amp;17861.6</t>
  </si>
  <si>
    <t>4590007763_007&amp;17861.6</t>
  </si>
  <si>
    <t>4590007763_007</t>
  </si>
  <si>
    <t>4590007763_008&amp;26792.4</t>
  </si>
  <si>
    <t>4590007763_008</t>
  </si>
  <si>
    <t>4590007763_008&amp;17861.6</t>
  </si>
  <si>
    <t>4590007763_010&amp;54629</t>
  </si>
  <si>
    <t>4590007763_010</t>
  </si>
  <si>
    <t>4590007763_011&amp;20852.4</t>
  </si>
  <si>
    <t>4590007763_011</t>
  </si>
  <si>
    <t>4590007763_011&amp;13901.6</t>
  </si>
  <si>
    <t>4590007763_012&amp;16683.6</t>
  </si>
  <si>
    <t>4590007763_012</t>
  </si>
  <si>
    <t>4590007763_013&amp;13901.6</t>
  </si>
  <si>
    <t>4590007763_013</t>
  </si>
  <si>
    <t>4590007763_014&amp;13901.6</t>
  </si>
  <si>
    <t>4590007763_014</t>
  </si>
  <si>
    <t>4590007763_015&amp;25025.4</t>
  </si>
  <si>
    <t>4590007763_015</t>
  </si>
  <si>
    <t>4590007763_015&amp;16683.6</t>
  </si>
  <si>
    <t>4590007763_016&amp;16683.6</t>
  </si>
  <si>
    <t>4590007763_016</t>
  </si>
  <si>
    <t>4590007763_017&amp;16683.6</t>
  </si>
  <si>
    <t>4590007763_017</t>
  </si>
  <si>
    <t>4590007763_018&amp;16683.6</t>
  </si>
  <si>
    <t>4590007763_018</t>
  </si>
  <si>
    <t>4590007764_003&amp;47149</t>
  </si>
  <si>
    <t>4590007764_003</t>
  </si>
  <si>
    <t>4590007764_004&amp;47149</t>
  </si>
  <si>
    <t>4590007764_004</t>
  </si>
  <si>
    <t>4590004413_007&amp;</t>
  </si>
  <si>
    <t>4590004413_008&amp;</t>
  </si>
  <si>
    <t>4590004413_009&amp;</t>
  </si>
  <si>
    <t>4590004415_014&amp;821.862</t>
  </si>
  <si>
    <t>4590004415_015&amp;821.862</t>
  </si>
  <si>
    <t>4590004415_016&amp;821.862</t>
  </si>
  <si>
    <t>4590007764_019&amp;39874</t>
  </si>
  <si>
    <t>4590007764_019</t>
  </si>
  <si>
    <t>4590007764_021&amp;39874</t>
  </si>
  <si>
    <t>4590007764_021</t>
  </si>
  <si>
    <t>4590007764_023&amp;45230</t>
  </si>
  <si>
    <t>4590007764_023</t>
  </si>
  <si>
    <t>4590007916_001&amp;65256.75</t>
  </si>
  <si>
    <t>4590007916_001</t>
  </si>
  <si>
    <t>4590007916</t>
  </si>
  <si>
    <t>4590007765_002&amp;361314.45</t>
  </si>
  <si>
    <t>4590007765_002</t>
  </si>
  <si>
    <t>4590007765_003&amp;380331</t>
  </si>
  <si>
    <t>4590007765_003</t>
  </si>
  <si>
    <t>4590007765</t>
  </si>
  <si>
    <t>4590007769_014&amp;</t>
  </si>
  <si>
    <t>MICUINT202307778</t>
  </si>
  <si>
    <t>4590007769_014</t>
  </si>
  <si>
    <t>4590007767_001&amp;263644</t>
  </si>
  <si>
    <t>4590007767_001</t>
  </si>
  <si>
    <t>4590007767</t>
  </si>
  <si>
    <t>4590007767_002&amp;250461.8</t>
  </si>
  <si>
    <t>4590007767_002</t>
  </si>
  <si>
    <t>4590007767_003&amp;263644</t>
  </si>
  <si>
    <t>4590007767_003</t>
  </si>
  <si>
    <t>4590007769_015&amp;</t>
  </si>
  <si>
    <t>MICUINT202307779</t>
  </si>
  <si>
    <t>4590007769_015</t>
  </si>
  <si>
    <t>4590007769_016&amp;</t>
  </si>
  <si>
    <t>MICUINT202307780</t>
  </si>
  <si>
    <t>4590007769_016</t>
  </si>
  <si>
    <t>4590007770_001&amp;</t>
  </si>
  <si>
    <t>MICUINT202307781</t>
  </si>
  <si>
    <t>4590007770_001</t>
  </si>
  <si>
    <t>4590007771_002&amp;</t>
  </si>
  <si>
    <t>MICUINT202304496</t>
  </si>
  <si>
    <t>4590007771_002</t>
  </si>
  <si>
    <t>4590004415_017&amp;821.862</t>
  </si>
  <si>
    <t>4590004415_018&amp;547.908</t>
  </si>
  <si>
    <t>4590007772_003&amp;</t>
  </si>
  <si>
    <t>4590004415_019&amp;547.908</t>
  </si>
  <si>
    <t>4590007772_012</t>
  </si>
  <si>
    <t>4590007772_014&amp;5965.43</t>
  </si>
  <si>
    <t>4590007772</t>
  </si>
  <si>
    <t>4590007920_001&amp;85468.824</t>
  </si>
  <si>
    <t>4590007920_001</t>
  </si>
  <si>
    <t>4590007920</t>
  </si>
  <si>
    <t>4590007911_001&amp;23659.61</t>
  </si>
  <si>
    <t>4590007911_001</t>
  </si>
  <si>
    <t>4590007911_002&amp;23659.61</t>
  </si>
  <si>
    <t>4590007911_002</t>
  </si>
  <si>
    <t>4590007912_001&amp;108667.61</t>
  </si>
  <si>
    <t>4590007912_001</t>
  </si>
  <si>
    <t>4590007912</t>
  </si>
  <si>
    <t>4590007912_001&amp;72445.07</t>
  </si>
  <si>
    <t>4590007920_002&amp;196332.108</t>
  </si>
  <si>
    <t>4590007920_002</t>
  </si>
  <si>
    <t>4590007912_002&amp;34519.72</t>
  </si>
  <si>
    <t>4590007912_002</t>
  </si>
  <si>
    <t>4590007912_003&amp;39692.25</t>
  </si>
  <si>
    <t>4590007912_003</t>
  </si>
  <si>
    <t>4590007912_003&amp;26461.5</t>
  </si>
  <si>
    <t>4590007912_004&amp;26461.5</t>
  </si>
  <si>
    <t>4590007912_004</t>
  </si>
  <si>
    <t>4590007912_005&amp;39692.25</t>
  </si>
  <si>
    <t>4590007912_005</t>
  </si>
  <si>
    <t>4590007912_005&amp;26461.5</t>
  </si>
  <si>
    <t>4590007912_006&amp;39692.25</t>
  </si>
  <si>
    <t>4590007912_006</t>
  </si>
  <si>
    <t>4590007912_006&amp;26461.5</t>
  </si>
  <si>
    <t>4590007912_007&amp;51779.57</t>
  </si>
  <si>
    <t>4590007912_007</t>
  </si>
  <si>
    <t>4590007912_007&amp;34519.72</t>
  </si>
  <si>
    <t>4590007912_008&amp;34519.72</t>
  </si>
  <si>
    <t>4590007912_008</t>
  </si>
  <si>
    <t>4590007912_009&amp;26461.5</t>
  </si>
  <si>
    <t>4590007912_009</t>
  </si>
  <si>
    <t>4590007912_010&amp;39692.25</t>
  </si>
  <si>
    <t>4590007912_010</t>
  </si>
  <si>
    <t>4590007912_010&amp;26461.5</t>
  </si>
  <si>
    <t>4590007912_011&amp;26461.5</t>
  </si>
  <si>
    <t>4590007912_011</t>
  </si>
  <si>
    <t>4590007912_012&amp;39692.25</t>
  </si>
  <si>
    <t>4590007912_012</t>
  </si>
  <si>
    <t>4590007912_012&amp;26461.5</t>
  </si>
  <si>
    <t>4590007912_013&amp;26461.5</t>
  </si>
  <si>
    <t>4590007912_013</t>
  </si>
  <si>
    <t>4590007916_005&amp;</t>
  </si>
  <si>
    <t>4590007916_005</t>
  </si>
  <si>
    <t>please request QC amount only, due to piping material and pulled by SCREEN_業務M已告知請款只會送40%</t>
  </si>
  <si>
    <t>4590007916_001&amp;43504.5</t>
  </si>
  <si>
    <t>4590007916_002&amp;43504.5</t>
  </si>
  <si>
    <t>4590007916_002</t>
  </si>
  <si>
    <t>4590007916_003&amp;6318.43</t>
  </si>
  <si>
    <t>4590007916_003</t>
  </si>
  <si>
    <t>原先請款KCSCS8</t>
  </si>
  <si>
    <t>4590007916_003&amp;9477.64</t>
  </si>
  <si>
    <t>4590007916_004&amp;6318.43</t>
  </si>
  <si>
    <t>4590007916_004</t>
  </si>
  <si>
    <t>原先請款KCSCS5</t>
  </si>
  <si>
    <t>4590007916_004&amp;9477.64</t>
  </si>
  <si>
    <t>4590007916_006&amp;</t>
  </si>
  <si>
    <t>4590007916_006</t>
  </si>
  <si>
    <t>CAP_F_90690_SS3200+ P126 P900 EQP inter</t>
  </si>
  <si>
    <t>4590007916_005&amp;6318.43</t>
  </si>
  <si>
    <t>4590007916_008&amp;</t>
  </si>
  <si>
    <t>4590007916_008</t>
  </si>
  <si>
    <t>CAP_F_90691_SS3200+ P22 P3600 EQP inter</t>
  </si>
  <si>
    <t>4590007916_006&amp;5283.43</t>
  </si>
  <si>
    <t>4590007916_007&amp;5283.43</t>
  </si>
  <si>
    <t>4590007916_007</t>
  </si>
  <si>
    <t>CAP_F_91202_SS3200+ P126 P900 EQP inter</t>
  </si>
  <si>
    <t>4590007916_009&amp;</t>
  </si>
  <si>
    <t>4590007916_009</t>
  </si>
  <si>
    <t>CAP_F_90687_SS3200+ P28 80 EQP inter con</t>
  </si>
  <si>
    <t>4590007916_008&amp;5283.43</t>
  </si>
  <si>
    <t>4590007916_013&amp;</t>
  </si>
  <si>
    <t>4590007916_013</t>
  </si>
  <si>
    <t>4590007916_009&amp;5283.43</t>
  </si>
  <si>
    <t>4590007916_010&amp;5283.43</t>
  </si>
  <si>
    <t>4590007916_010</t>
  </si>
  <si>
    <t>CAP_F_90688_SS3200+ P28 80 EQP inter con</t>
  </si>
  <si>
    <t>4590007916_011&amp;5283.43</t>
  </si>
  <si>
    <t>4590007916_011</t>
  </si>
  <si>
    <t>CAP_F_91204_SS3200+ P28 80 EQP inter con</t>
  </si>
  <si>
    <t>4590007916_012&amp;5283.43</t>
  </si>
  <si>
    <t>4590007916_012</t>
  </si>
  <si>
    <t>CAP_F_91203_SS3200+ P28 80 EQP inter con</t>
  </si>
  <si>
    <t>4590007916_015&amp;</t>
  </si>
  <si>
    <t>4590007916_015</t>
  </si>
  <si>
    <t>4590007916_013&amp;5628.43</t>
  </si>
  <si>
    <t>4590007916_014&amp;5283.43</t>
  </si>
  <si>
    <t>4590007916_014</t>
  </si>
  <si>
    <t>4590007916_017&amp;</t>
  </si>
  <si>
    <t>4590007916_017</t>
  </si>
  <si>
    <t>4590007916_015&amp;5628.43</t>
  </si>
  <si>
    <t>4590007916_016&amp;5628.43</t>
  </si>
  <si>
    <t>4590007916_016</t>
  </si>
  <si>
    <t>4590004413_011&amp;</t>
  </si>
  <si>
    <t>4590007916_017&amp;5283.43</t>
  </si>
  <si>
    <t>4590007916_018&amp;5283.43</t>
  </si>
  <si>
    <t>4590007916_018</t>
  </si>
  <si>
    <t>4590007916_019&amp;</t>
  </si>
  <si>
    <t>MICUINT202302435</t>
  </si>
  <si>
    <t>4590007916_019</t>
  </si>
  <si>
    <t>CAP_F_90684_SS3200+ BEOL N2 P28 P76 EQP</t>
  </si>
  <si>
    <t>JCAN No.JC202303010136/JC202303010137 with duplicate CAP_F_90684_SS3200+BEOL N2 P28~P76 EQP inter co please help check</t>
  </si>
  <si>
    <t>4590007916_021&amp;</t>
  </si>
  <si>
    <t>4590007916_021</t>
  </si>
  <si>
    <t>4590007916_020&amp;5628.43</t>
  </si>
  <si>
    <t>4590007916_020</t>
  </si>
  <si>
    <t>CAP_F_90685_SS3200+ BEOL N2 P28 P76 EQP</t>
  </si>
  <si>
    <t>4590004415_022&amp;57547.34</t>
  </si>
  <si>
    <t>4590007916_021&amp;5628.43</t>
  </si>
  <si>
    <t>4590007916_022&amp;5628.43</t>
  </si>
  <si>
    <t>4590007916_022</t>
  </si>
  <si>
    <t>4590007917_001&amp;113992.93</t>
  </si>
  <si>
    <t>4590007917_001</t>
  </si>
  <si>
    <t>4590004415_023&amp;61402.51</t>
  </si>
  <si>
    <t>4590004415_023</t>
  </si>
  <si>
    <t>4590007917_002&amp;112336.93</t>
  </si>
  <si>
    <t>4590007917_002</t>
  </si>
  <si>
    <t>4590007917_003&amp;112336.93</t>
  </si>
  <si>
    <t>4590007917_003</t>
  </si>
  <si>
    <t>4590007925_001&amp;85468.82</t>
  </si>
  <si>
    <t>4590007925_001</t>
  </si>
  <si>
    <t>4590007925</t>
  </si>
  <si>
    <t>4590004415_024&amp;821.862</t>
  </si>
  <si>
    <t>4590004417_001&amp;18266.1</t>
  </si>
  <si>
    <t>4590004417_002&amp;4519.2519</t>
  </si>
  <si>
    <t>4590004413_012&amp;</t>
  </si>
  <si>
    <t>4590007920_001&amp;56979.22</t>
  </si>
  <si>
    <t>4590004413_014&amp;</t>
  </si>
  <si>
    <t>4590007920_002&amp;130888.07</t>
  </si>
  <si>
    <t>4590007920_003&amp;130888.07</t>
  </si>
  <si>
    <t>4590007920_003</t>
  </si>
  <si>
    <t>4590007920_004&amp;44874.64</t>
  </si>
  <si>
    <t>4590007920_004</t>
  </si>
  <si>
    <t>4590007920_004&amp;29916.43</t>
  </si>
  <si>
    <t>4590007920_005&amp;29916.43</t>
  </si>
  <si>
    <t>4590007920_005</t>
  </si>
  <si>
    <t>4590004413_015&amp;</t>
  </si>
  <si>
    <t>4590007922_001&amp;81656.57</t>
  </si>
  <si>
    <t>4590007922_001</t>
  </si>
  <si>
    <t>4590007922_002&amp;81656.57</t>
  </si>
  <si>
    <t>4590007922_002</t>
  </si>
  <si>
    <t>4590007579&amp;282006</t>
  </si>
  <si>
    <t>4590007579</t>
  </si>
  <si>
    <t>4590007580&amp;282006</t>
  </si>
  <si>
    <t>4590007580</t>
  </si>
  <si>
    <t>4590004413_016&amp;</t>
  </si>
  <si>
    <t>4590007925_001&amp;56979.22</t>
  </si>
  <si>
    <t>4590007925_002&amp;56979.22</t>
  </si>
  <si>
    <t>4590007925_002</t>
  </si>
  <si>
    <t>4590004413_020&amp;</t>
  </si>
  <si>
    <t>4590007925_003&amp;77309.57</t>
  </si>
  <si>
    <t>4590007925_003</t>
  </si>
  <si>
    <t>4590007925_004&amp;77309.57</t>
  </si>
  <si>
    <t>4590007925_004</t>
  </si>
  <si>
    <t>4590007596&amp;</t>
  </si>
  <si>
    <t>Data Error</t>
  </si>
  <si>
    <t>4590007596</t>
  </si>
  <si>
    <t>4590007925_005&amp;77309.57</t>
  </si>
  <si>
    <t>4590007925_005</t>
  </si>
  <si>
    <t>4590007925_006&amp;77309.57</t>
  </si>
  <si>
    <t>4590007925_006</t>
  </si>
  <si>
    <t>4590004413_021&amp;</t>
  </si>
  <si>
    <t>4590007939_001&amp;51474</t>
  </si>
  <si>
    <t>4590007939_001</t>
  </si>
  <si>
    <t>4590007939_002&amp;51474</t>
  </si>
  <si>
    <t>4590007939_002</t>
  </si>
  <si>
    <t>4590004413_022&amp;</t>
  </si>
  <si>
    <t>4590007939_003&amp;51474</t>
  </si>
  <si>
    <t>4590007939_003</t>
  </si>
  <si>
    <t>4590008194&amp;650175</t>
  </si>
  <si>
    <t>please upload KPAP02-S Mechanical sign off report to system</t>
  </si>
  <si>
    <t>4590008194</t>
  </si>
  <si>
    <t>4590007939_004&amp;51474</t>
  </si>
  <si>
    <t>4590007939_004</t>
  </si>
  <si>
    <t>4590007939_005&amp;51474</t>
  </si>
  <si>
    <t>4590007939_005</t>
  </si>
  <si>
    <t>4590013908&amp;21470.42</t>
  </si>
  <si>
    <t>BORIS協定金額最後金額21470.42(已關單)</t>
  </si>
  <si>
    <t>4590013908</t>
  </si>
  <si>
    <t>4590007939_006&amp;51474</t>
  </si>
  <si>
    <t>4590007939_006</t>
  </si>
  <si>
    <t>4590004413_023&amp;</t>
  </si>
  <si>
    <t>4590007940_001&amp;67965</t>
  </si>
  <si>
    <t>4590007940_001</t>
  </si>
  <si>
    <t>4590007940_002&amp;67965</t>
  </si>
  <si>
    <t>4590007940_002</t>
  </si>
  <si>
    <t>4590007940_003&amp;67965</t>
  </si>
  <si>
    <t>4590007940_003</t>
  </si>
  <si>
    <t>4590004413_024&amp;</t>
  </si>
  <si>
    <t>4590004413_025&amp;</t>
  </si>
  <si>
    <t>4590007941_001&amp;93401.36</t>
  </si>
  <si>
    <t>4590007941_001</t>
  </si>
  <si>
    <t>4590007941_002&amp;93401.36</t>
  </si>
  <si>
    <t>4590007941_002</t>
  </si>
  <si>
    <t>4590007941_003&amp;93401.36</t>
  </si>
  <si>
    <t>4590007941_003</t>
  </si>
  <si>
    <t>4590014282&amp;</t>
  </si>
  <si>
    <t>already resubmit5/29/24_we are changed for 1 conduit+8 dividers. We only have 1 conduit+ 2 dividers inatalled by MIC.</t>
  </si>
  <si>
    <t>4590014282</t>
  </si>
  <si>
    <t>4590004413_026&amp;</t>
  </si>
  <si>
    <t>4590007618&amp;</t>
  </si>
  <si>
    <t>4590007618</t>
  </si>
  <si>
    <t>4590008015_001&amp;31318.99</t>
  </si>
  <si>
    <t>4590008015_001</t>
  </si>
  <si>
    <t>4590008015</t>
  </si>
  <si>
    <t>4590009140_011&amp;5201.69</t>
  </si>
  <si>
    <t>4590009140_011</t>
  </si>
  <si>
    <t>MICUINT202407031</t>
  </si>
  <si>
    <t xml:space="preserve"> 116.25 HRs </t>
  </si>
  <si>
    <t>4590007620_002</t>
  </si>
  <si>
    <t>4590007620</t>
  </si>
  <si>
    <t>4590007621_001</t>
  </si>
  <si>
    <t>4590007621</t>
  </si>
  <si>
    <t>4590007641</t>
  </si>
  <si>
    <t>代理人誤送到4590004413_010，以這個PO重送</t>
  </si>
  <si>
    <t>4590007755</t>
  </si>
  <si>
    <t>4590007766_001</t>
  </si>
  <si>
    <t>4590007766</t>
  </si>
  <si>
    <t>4590004413_030</t>
  </si>
  <si>
    <t>4590004413_031</t>
  </si>
  <si>
    <t>4590004413_032</t>
  </si>
  <si>
    <t>4590004413_033</t>
  </si>
  <si>
    <t>4590006247</t>
  </si>
  <si>
    <t>4590006248</t>
  </si>
  <si>
    <t>全部提送到4590007939_001的東西</t>
  </si>
  <si>
    <t>4590006249_015</t>
  </si>
  <si>
    <t>4590006249</t>
  </si>
  <si>
    <t>4590006249_016</t>
  </si>
  <si>
    <t>4590007582</t>
  </si>
  <si>
    <t>4590007593</t>
  </si>
  <si>
    <t>4590007598</t>
  </si>
  <si>
    <t>4590007607</t>
  </si>
  <si>
    <t>4590007613</t>
  </si>
  <si>
    <t>4590007942_002</t>
  </si>
  <si>
    <t>4590007942</t>
  </si>
  <si>
    <t>4590007942_003</t>
  </si>
  <si>
    <t>4590007942_004</t>
  </si>
  <si>
    <t>4590007616_002</t>
  </si>
  <si>
    <t>4590013926</t>
  </si>
  <si>
    <t>4590007616_003</t>
  </si>
  <si>
    <t>4590007617_003</t>
  </si>
  <si>
    <t>4590017803</t>
  </si>
  <si>
    <t>陳昭宇誤退重新送.業主要求金額修正為4317</t>
  </si>
  <si>
    <t>4590007708</t>
  </si>
  <si>
    <t>4590007764_002</t>
  </si>
  <si>
    <t>4590007764_015</t>
  </si>
  <si>
    <t>resubmit</t>
  </si>
  <si>
    <t>4590007772_001</t>
  </si>
  <si>
    <t>wait to Michelle Huang confirm:後以兩台重新提送9/16</t>
  </si>
  <si>
    <t>KCANN1.KCANN3</t>
  </si>
  <si>
    <t>MICUINT202406024</t>
  </si>
  <si>
    <t>ULVAC ENTRON-EX W300 #1 Interconnection in tsmc Fab21 _KSHMU1</t>
  </si>
  <si>
    <t>4590007911</t>
  </si>
  <si>
    <t>4590007917</t>
  </si>
  <si>
    <t>4590007918_001</t>
  </si>
  <si>
    <t>4590007918</t>
  </si>
  <si>
    <t>4590007918_002</t>
  </si>
  <si>
    <t>4590007919_001</t>
  </si>
  <si>
    <t>4590007919</t>
  </si>
  <si>
    <t>4590007919_004</t>
  </si>
  <si>
    <t>4590007922</t>
  </si>
  <si>
    <t>JCAN owner should be module</t>
  </si>
  <si>
    <t>4590007923</t>
  </si>
  <si>
    <t>4590007924_001</t>
  </si>
  <si>
    <t>4590007924</t>
  </si>
  <si>
    <t>MICUINT202405093-1</t>
  </si>
  <si>
    <t>4590007939</t>
  </si>
  <si>
    <t>4590007940</t>
  </si>
  <si>
    <t>4590007940_004</t>
  </si>
  <si>
    <t>4590007941</t>
  </si>
  <si>
    <t>3 tools</t>
  </si>
  <si>
    <t>4590013438</t>
  </si>
  <si>
    <t>11 tools</t>
  </si>
  <si>
    <t>4590013950</t>
  </si>
  <si>
    <t>resubmit-1 conduit+ 2 dividers inatalled</t>
  </si>
  <si>
    <t>4590014334</t>
  </si>
  <si>
    <t>4590015917</t>
  </si>
  <si>
    <t>4590017571</t>
  </si>
  <si>
    <t>please check final acceptance inspection checklist signed date,the PO release on 5/4/2024</t>
  </si>
  <si>
    <t>4590017678</t>
  </si>
  <si>
    <t>4590004419_005</t>
  </si>
  <si>
    <t>4590004419</t>
  </si>
  <si>
    <t>4590004419_006</t>
  </si>
  <si>
    <t>4590004419_007</t>
  </si>
  <si>
    <t>4590004419_008</t>
  </si>
  <si>
    <t>4590017868</t>
  </si>
  <si>
    <t>4590017870</t>
  </si>
  <si>
    <t>4590006249_011</t>
  </si>
  <si>
    <t>tool not move in,pls sign off and upload report again after installation</t>
  </si>
  <si>
    <t>4590017871</t>
  </si>
  <si>
    <t>4590017877</t>
  </si>
  <si>
    <t>4590018008</t>
  </si>
  <si>
    <t>4590018242</t>
  </si>
  <si>
    <t>4590018243</t>
  </si>
  <si>
    <t>4590018245</t>
  </si>
  <si>
    <t>Who is the acceptance at TSMC? the employee ID is miss_等待重新簽核</t>
  </si>
  <si>
    <t>4590020627</t>
  </si>
  <si>
    <t>report is wrong_等待重新簽核</t>
  </si>
  <si>
    <t>4590020628</t>
  </si>
  <si>
    <t>MICUINT202312014</t>
  </si>
  <si>
    <t>4590018491</t>
  </si>
  <si>
    <t>4590018584</t>
  </si>
  <si>
    <t>4590018586</t>
  </si>
  <si>
    <t>4590018587</t>
  </si>
  <si>
    <t>4590018616</t>
  </si>
  <si>
    <t>4590018617</t>
  </si>
  <si>
    <t>4590018618</t>
  </si>
  <si>
    <t>4590018619</t>
  </si>
  <si>
    <t>4590018620</t>
  </si>
  <si>
    <t>please modify the document's time(24'4/24),it is must be late than PO(24'5/24) date</t>
  </si>
  <si>
    <t>4590017867</t>
  </si>
  <si>
    <t>4590018621</t>
  </si>
  <si>
    <t>4590018622</t>
  </si>
  <si>
    <t>4590018646</t>
  </si>
  <si>
    <t>4590017873</t>
  </si>
  <si>
    <t>please modify the document's time(24'5/10),it is must be late than PO date(24'5/11)</t>
  </si>
  <si>
    <t>4590017876</t>
  </si>
  <si>
    <t>Shibaura's inter-connect fee was paid by vendor,not TSMC.</t>
  </si>
  <si>
    <t>4590017881</t>
  </si>
  <si>
    <t>4590018667</t>
  </si>
  <si>
    <t>4590018668</t>
  </si>
  <si>
    <t>4590019324</t>
  </si>
  <si>
    <t>4590020406</t>
  </si>
  <si>
    <t>4590020407</t>
  </si>
  <si>
    <t>4590020408</t>
  </si>
  <si>
    <t>4590020409</t>
  </si>
  <si>
    <t>4590020410</t>
  </si>
  <si>
    <t>4590020415</t>
  </si>
  <si>
    <t>4590020416</t>
  </si>
  <si>
    <t>4590020436</t>
  </si>
  <si>
    <t>4590020440</t>
  </si>
  <si>
    <t>4590020442</t>
  </si>
  <si>
    <t>MICUINT202409001</t>
  </si>
  <si>
    <t>等4590007772-001-1等林建男退單後再送(M9/6)</t>
  </si>
  <si>
    <t>4590020443</t>
  </si>
  <si>
    <t>4590020445</t>
  </si>
  <si>
    <t>4590020448</t>
  </si>
  <si>
    <t>4590020449</t>
  </si>
  <si>
    <t>4590020450</t>
  </si>
  <si>
    <t>4590020451</t>
  </si>
  <si>
    <t>4590020452</t>
  </si>
  <si>
    <t>4590020453</t>
  </si>
  <si>
    <t>4590020455</t>
  </si>
  <si>
    <t>4590020456</t>
  </si>
  <si>
    <t>4590020457</t>
  </si>
  <si>
    <t>4590020459</t>
  </si>
  <si>
    <t>4590020460</t>
  </si>
  <si>
    <t>4590006455</t>
  </si>
  <si>
    <t>this PO was 4" conduit installation and issue date was 2023/12/2,not tools interconnection,please provide correct service report and related document._業務M詢問陳鈺庭關於日期</t>
  </si>
  <si>
    <t>4590014335</t>
  </si>
  <si>
    <t>4590022409</t>
  </si>
  <si>
    <t>4590022410</t>
  </si>
  <si>
    <t>4590022411</t>
  </si>
  <si>
    <t>4590022412</t>
  </si>
  <si>
    <t>4590006260_001</t>
  </si>
  <si>
    <t>4590006260</t>
  </si>
  <si>
    <t>4590006260_019</t>
  </si>
  <si>
    <t>4590007763_004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</si>
</sst>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43" formatCode="_-* #,##0.00_-;\-* #,##0.00_-;_-* &quot;-&quot;??_-;_-@_-"/>
    <numFmt numFmtId="26" formatCode="&quot;US$&quot;#,##0.00_);[Red]\(&quot;US$&quot;#,##0.00\)"/>
    <numFmt numFmtId="176" formatCode="&quot;$&quot;#,##0_);[Red]\(&quot;$&quot;#,##0\)"/>
    <numFmt numFmtId="177" formatCode="&quot;$&quot;#,##0.00_);[Red]\(&quot;$&quot;#,##0.00\)"/>
    <numFmt numFmtId="178" formatCode="_(&quot;$&quot;* #,##0.00_);_(&quot;$&quot;* \(#,##0.00\);_(&quot;$&quot;* &quot;-&quot;??_);_(@_)"/>
    <numFmt numFmtId="179" formatCode="_(* #,##0.00_);_(* \(#,##0.00\);_(* &quot;-&quot;??_);_(@_)"/>
    <numFmt numFmtId="180" formatCode="_-&quot;$&quot;* #,##0.00_-;\-&quot;$&quot;* #,##0.00_-;_-&quot;$&quot;* &quot;-&quot;??_-;_-@_-"/>
    <numFmt numFmtId="181" formatCode="_-[$$-409]* #,##0.00_ ;_-[$$-409]* \-#,##0.00\ ;_-[$$-409]* &quot;-&quot;??_ ;_-@_ "/>
    <numFmt numFmtId="182" formatCode="m/d/yyyy;@"/>
    <numFmt numFmtId="183" formatCode="0.000%"/>
    <numFmt numFmtId="184" formatCode="_-[$$-409]* #,##0_ ;_-[$$-409]* \-#,##0\ ;_-[$$-409]* &quot;-&quot;??_ ;_-@_ "/>
    <numFmt numFmtId="185" formatCode="_(&quot;$&quot;* #,##0.0_);_(&quot;$&quot;* \(#,##0.0\);_(&quot;$&quot;* &quot;-&quot;?_);_(@_)"/>
    <numFmt numFmtId="186" formatCode="_(&quot;$&quot;* #,##0.00_);_(&quot;$&quot;* \(#,##0.00\);_(&quot;$&quot;* &quot;-&quot;?_);_(@_)"/>
    <numFmt numFmtId="187" formatCode="&quot;$&quot;#,##0.00"/>
    <numFmt numFmtId="188" formatCode="m&quot;月&quot;d&quot;日&quot;"/>
    <numFmt numFmtId="189" formatCode="_([$$-409]* #,##0.00_);_([$$-409]* \(#,##0.00\);_([$$-409]* &quot;-&quot;??_);_(@_)"/>
    <numFmt numFmtId="190" formatCode="_([$$-409]* #,##0_);_([$$-409]* \(#,##0\);_([$$-409]* &quot;-&quot;??_);_(@_)"/>
    <numFmt numFmtId="191" formatCode="_(&quot;$&quot;* #,##0_);_(&quot;$&quot;* \(#,##0\);_(&quot;$&quot;* &quot;-&quot;??_);_(@_)"/>
    <numFmt numFmtId="192" formatCode="0.00_);[Red]\(0.00\)"/>
  </numFmts>
  <fonts count="8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charset val="136"/>
      <scheme val="minor"/>
    </font>
    <font>
      <sz val="11"/>
      <color indexed="8"/>
      <name val="Calibri"/>
      <family val="2"/>
    </font>
    <font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name val="新細明體"/>
      <family val="1"/>
      <charset val="136"/>
    </font>
    <font>
      <sz val="9"/>
      <name val="Calibri"/>
      <family val="3"/>
      <charset val="136"/>
      <scheme val="minor"/>
    </font>
    <font>
      <sz val="11"/>
      <color rgb="FF000000"/>
      <name val="Calibri"/>
      <family val="2"/>
      <scheme val="minor"/>
    </font>
    <font>
      <sz val="10"/>
      <color rgb="FFFF0000"/>
      <name val="Arial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sz val="12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theme="0"/>
      <name val="Times New Roman"/>
      <family val="1"/>
    </font>
    <font>
      <sz val="11"/>
      <color theme="1"/>
      <name val="Times New Roman"/>
      <family val="1"/>
    </font>
    <font>
      <sz val="11"/>
      <name val="Times New Roman"/>
      <family val="1"/>
    </font>
    <font>
      <sz val="11"/>
      <color rgb="FFFF0000"/>
      <name val="Times New Roman"/>
      <family val="1"/>
    </font>
    <font>
      <u/>
      <sz val="11"/>
      <color theme="10"/>
      <name val="Times New Roman"/>
      <family val="1"/>
    </font>
    <font>
      <sz val="11"/>
      <color rgb="FF000000"/>
      <name val="Times New Roman"/>
      <family val="1"/>
    </font>
    <font>
      <strike/>
      <sz val="11"/>
      <color rgb="FF000000"/>
      <name val="Calibri"/>
      <family val="2"/>
    </font>
    <font>
      <sz val="11"/>
      <color rgb="FF9C0006"/>
      <name val="Calibri"/>
      <family val="2"/>
    </font>
    <font>
      <strike/>
      <sz val="11"/>
      <color rgb="FF9C0006"/>
      <name val="Calibri"/>
      <family val="2"/>
    </font>
    <font>
      <b/>
      <sz val="12"/>
      <color rgb="FFFFFFFF"/>
      <name val="Calibri"/>
      <family val="2"/>
    </font>
    <font>
      <sz val="11"/>
      <color theme="1"/>
      <name val="Calibri"/>
      <family val="2"/>
    </font>
    <font>
      <sz val="12"/>
      <color theme="0"/>
      <name val="Calibri"/>
      <family val="2"/>
      <charset val="136"/>
      <scheme val="minor"/>
    </font>
    <font>
      <sz val="12"/>
      <color theme="0"/>
      <name val="Calibri"/>
      <family val="2"/>
    </font>
    <font>
      <b/>
      <sz val="11"/>
      <color theme="0"/>
      <name val="Calibri"/>
      <family val="2"/>
    </font>
    <font>
      <b/>
      <sz val="10"/>
      <color theme="0"/>
      <name val="Calibri"/>
      <family val="2"/>
    </font>
    <font>
      <sz val="11"/>
      <color theme="0"/>
      <name val="Calibri"/>
      <family val="2"/>
    </font>
    <font>
      <sz val="10"/>
      <color theme="0"/>
      <name val="Calibri"/>
      <family val="2"/>
    </font>
    <font>
      <sz val="12"/>
      <color theme="1"/>
      <name val="Calibri"/>
      <family val="2"/>
    </font>
    <font>
      <strike/>
      <sz val="11"/>
      <color theme="1"/>
      <name val="Calibri"/>
      <family val="2"/>
    </font>
    <font>
      <strike/>
      <sz val="11"/>
      <name val="Calibri"/>
      <family val="2"/>
    </font>
    <font>
      <u/>
      <sz val="11"/>
      <color theme="10"/>
      <name val="Calibri"/>
      <family val="2"/>
    </font>
    <font>
      <strike/>
      <sz val="12"/>
      <color theme="1"/>
      <name val="Calibri"/>
      <family val="2"/>
    </font>
    <font>
      <sz val="11"/>
      <color rgb="FF32363A"/>
      <name val="72-Regular"/>
      <charset val="1"/>
    </font>
    <font>
      <sz val="11"/>
      <color rgb="FF000000"/>
      <name val="Microsoft JhengHei"/>
      <family val="2"/>
      <charset val="136"/>
    </font>
    <font>
      <sz val="11"/>
      <color rgb="FF000000"/>
      <name val="Calibri"/>
      <family val="2"/>
      <charset val="136"/>
    </font>
    <font>
      <sz val="10"/>
      <color rgb="FF000000"/>
      <name val="Aptos Narrow"/>
      <family val="2"/>
    </font>
    <font>
      <sz val="11"/>
      <color rgb="FF000000"/>
      <name val="Aptos Narrow"/>
      <family val="2"/>
    </font>
    <font>
      <u/>
      <sz val="10"/>
      <color rgb="FF000000"/>
      <name val="Aptos Narrow"/>
      <family val="2"/>
    </font>
    <font>
      <sz val="11"/>
      <color theme="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trike/>
      <sz val="10"/>
      <color rgb="FF000000"/>
      <name val="Arial"/>
      <family val="2"/>
    </font>
    <font>
      <strike/>
      <sz val="11"/>
      <color rgb="FFFF0000"/>
      <name val="Calibri"/>
      <family val="2"/>
      <scheme val="minor"/>
    </font>
    <font>
      <strike/>
      <sz val="10"/>
      <color rgb="FFFF0000"/>
      <name val="Arial"/>
      <family val="2"/>
    </font>
    <font>
      <sz val="11"/>
      <color theme="1"/>
      <name val="Microsoft JhengHei"/>
      <family val="2"/>
    </font>
    <font>
      <sz val="10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sz val="11"/>
      <color theme="1"/>
      <name val="MingLiU"/>
      <family val="2"/>
      <charset val="136"/>
    </font>
    <font>
      <b/>
      <sz val="11"/>
      <color rgb="FF000000"/>
      <name val="Calibri"/>
      <family val="2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2"/>
      <color rgb="FF000000"/>
      <name val="新細明體"/>
      <family val="1"/>
    </font>
    <font>
      <sz val="10"/>
      <color rgb="FF9C0006"/>
      <name val="Arial"/>
      <family val="2"/>
    </font>
    <font>
      <sz val="12"/>
      <color theme="0"/>
      <name val="新細明體"/>
      <family val="2"/>
    </font>
    <font>
      <sz val="11"/>
      <color theme="0"/>
      <name val="新細明體"/>
      <family val="2"/>
    </font>
    <font>
      <sz val="11"/>
      <color rgb="FF000000"/>
      <name val="新細明體"/>
      <family val="2"/>
    </font>
    <font>
      <sz val="11"/>
      <color theme="1"/>
      <name val="新細明體"/>
      <family val="2"/>
    </font>
    <font>
      <strike/>
      <sz val="11"/>
      <color rgb="FF000000"/>
      <name val="新細明體"/>
      <family val="2"/>
    </font>
    <font>
      <sz val="11"/>
      <color theme="0"/>
      <name val="Microsoft JhengHei"/>
      <family val="2"/>
      <charset val="136"/>
    </font>
    <font>
      <sz val="11"/>
      <color theme="0"/>
      <name val="Microsoft JhengHei"/>
      <family val="2"/>
    </font>
    <font>
      <b/>
      <sz val="11"/>
      <color rgb="FFFFFFFF"/>
      <name val="Calibri"/>
      <family val="2"/>
    </font>
    <font>
      <sz val="11"/>
      <color rgb="FFFFFFFF"/>
      <name val="新細明體"/>
    </font>
    <font>
      <sz val="11"/>
      <color rgb="FFFFFFFF"/>
      <name val="Calibri"/>
      <family val="2"/>
    </font>
    <font>
      <sz val="12"/>
      <name val="Microsoft JhengHei"/>
      <family val="2"/>
    </font>
    <font>
      <sz val="12"/>
      <color rgb="FF000000"/>
      <name val="Microsoft JhengHei"/>
      <family val="2"/>
    </font>
    <font>
      <sz val="11"/>
      <color rgb="FF000000"/>
      <name val="Microsoft JhengHei"/>
      <family val="2"/>
    </font>
    <font>
      <sz val="11"/>
      <color rgb="FF000000"/>
      <name val="新細明體"/>
    </font>
    <font>
      <b/>
      <sz val="11"/>
      <color theme="1"/>
      <name val="Calibri"/>
      <family val="2"/>
    </font>
    <font>
      <sz val="11"/>
      <color rgb="FF000000"/>
      <name val="Calibri"/>
    </font>
  </fonts>
  <fills count="4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7030A0"/>
        <bgColor theme="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BC8FDD"/>
        <bgColor theme="4"/>
      </patternFill>
    </fill>
    <fill>
      <patternFill patternType="solid">
        <fgColor rgb="FFE6D6F2"/>
        <bgColor indexed="64"/>
      </patternFill>
    </fill>
    <fill>
      <patternFill patternType="solid">
        <fgColor rgb="FFBC8FDD"/>
        <bgColor indexed="64"/>
      </patternFill>
    </fill>
    <fill>
      <patternFill patternType="solid">
        <fgColor rgb="FFC9A7E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E2EFDA"/>
        <bgColor rgb="FFE2EFDA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rgb="FFDDEBF7"/>
      </patternFill>
    </fill>
    <fill>
      <patternFill patternType="solid">
        <fgColor theme="8"/>
      </patternFill>
    </fill>
    <fill>
      <patternFill patternType="solid">
        <fgColor theme="9"/>
        <bgColor theme="9"/>
      </patternFill>
    </fill>
    <fill>
      <patternFill patternType="solid">
        <fgColor rgb="FFC5E0B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5" tint="0.59999389629810485"/>
        <bgColor theme="8"/>
      </patternFill>
    </fill>
    <fill>
      <patternFill patternType="solid">
        <fgColor rgb="FFFFFF00"/>
        <bgColor theme="9" tint="0.79998168889431442"/>
      </patternFill>
    </fill>
    <fill>
      <patternFill patternType="solid">
        <fgColor rgb="FFD9D9D9"/>
        <bgColor rgb="FF000000"/>
      </patternFill>
    </fill>
    <fill>
      <patternFill patternType="solid">
        <fgColor rgb="FFFBE2D5"/>
        <bgColor rgb="FF000000"/>
      </patternFill>
    </fill>
    <fill>
      <patternFill patternType="solid">
        <fgColor rgb="FFCAEDFB"/>
        <bgColor rgb="FF000000"/>
      </patternFill>
    </fill>
    <fill>
      <patternFill patternType="solid">
        <fgColor rgb="FFF2CEEF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theme="6"/>
        <bgColor indexed="64"/>
      </patternFill>
    </fill>
  </fills>
  <borders count="26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ck">
        <color rgb="FFFF0000"/>
      </right>
      <top/>
      <bottom/>
      <diagonal/>
    </border>
    <border>
      <left/>
      <right/>
      <top/>
      <bottom style="thin">
        <color rgb="FF9BC2E6"/>
      </bottom>
      <diagonal/>
    </border>
    <border>
      <left/>
      <right style="medium">
        <color rgb="FFFF0000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rgb="FF9BC2E6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theme="7" tint="0.39997558519241921"/>
      </top>
      <bottom style="thin">
        <color theme="7" tint="0.39997558519241921"/>
      </bottom>
      <diagonal/>
    </border>
    <border>
      <left/>
      <right/>
      <top/>
      <bottom style="thin">
        <color rgb="FFFFD966"/>
      </bottom>
      <diagonal/>
    </border>
    <border>
      <left/>
      <right style="thick">
        <color rgb="FFFF0000"/>
      </right>
      <top style="thin">
        <color rgb="FF9BC2E6"/>
      </top>
      <bottom/>
      <diagonal/>
    </border>
    <border>
      <left/>
      <right/>
      <top style="thin">
        <color rgb="FFA9D08E"/>
      </top>
      <bottom style="thin">
        <color rgb="FFA9D08E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A5A5A5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rgb="FF47D359"/>
      </top>
      <bottom style="thin">
        <color rgb="FF47D359"/>
      </bottom>
      <diagonal/>
    </border>
  </borders>
  <cellStyleXfs count="41">
    <xf numFmtId="0" fontId="0" fillId="0" borderId="0"/>
    <xf numFmtId="178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8" fillId="0" borderId="0">
      <alignment vertical="center"/>
    </xf>
    <xf numFmtId="43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10" fillId="0" borderId="0"/>
    <xf numFmtId="0" fontId="12" fillId="0" borderId="0" applyNumberFormat="0" applyFill="0" applyBorder="0" applyAlignment="0" applyProtection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3" fillId="0" borderId="0"/>
    <xf numFmtId="43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178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0" fontId="2" fillId="0" borderId="0"/>
    <xf numFmtId="180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8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/>
    <xf numFmtId="43" fontId="8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0" fontId="32" fillId="22" borderId="0" applyNumberFormat="0" applyBorder="0" applyAlignment="0" applyProtection="0">
      <alignment vertical="center"/>
    </xf>
    <xf numFmtId="0" fontId="2" fillId="0" borderId="0"/>
    <xf numFmtId="180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8" fillId="0" borderId="0" applyFont="0" applyFill="0" applyBorder="0" applyAlignment="0" applyProtection="0"/>
    <xf numFmtId="0" fontId="2" fillId="0" borderId="0"/>
    <xf numFmtId="178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/>
    <xf numFmtId="0" fontId="55" fillId="0" borderId="0"/>
  </cellStyleXfs>
  <cellXfs count="650">
    <xf numFmtId="0" fontId="0" fillId="0" borderId="0" xfId="0"/>
    <xf numFmtId="0" fontId="0" fillId="0" borderId="0" xfId="0" applyAlignment="1">
      <alignment horizontal="center"/>
    </xf>
    <xf numFmtId="178" fontId="0" fillId="0" borderId="0" xfId="0" applyNumberFormat="1"/>
    <xf numFmtId="0" fontId="0" fillId="0" borderId="0" xfId="0" applyAlignment="1">
      <alignment horizontal="center" vertical="center"/>
    </xf>
    <xf numFmtId="14" fontId="0" fillId="0" borderId="0" xfId="0" applyNumberFormat="1"/>
    <xf numFmtId="0" fontId="7" fillId="0" borderId="0" xfId="0" applyFont="1"/>
    <xf numFmtId="0" fontId="0" fillId="6" borderId="0" xfId="0" applyFill="1"/>
    <xf numFmtId="0" fontId="0" fillId="0" borderId="0" xfId="0" applyAlignment="1">
      <alignment horizontal="center" vertical="center" wrapText="1"/>
    </xf>
    <xf numFmtId="10" fontId="0" fillId="0" borderId="0" xfId="2" applyNumberFormat="1" applyFont="1"/>
    <xf numFmtId="3" fontId="0" fillId="0" borderId="0" xfId="0" applyNumberFormat="1"/>
    <xf numFmtId="0" fontId="1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81" fontId="0" fillId="0" borderId="0" xfId="0" applyNumberFormat="1"/>
    <xf numFmtId="183" fontId="0" fillId="0" borderId="0" xfId="0" applyNumberFormat="1"/>
    <xf numFmtId="184" fontId="0" fillId="0" borderId="0" xfId="0" applyNumberFormat="1"/>
    <xf numFmtId="184" fontId="0" fillId="6" borderId="0" xfId="0" applyNumberFormat="1" applyFill="1"/>
    <xf numFmtId="183" fontId="0" fillId="6" borderId="0" xfId="0" applyNumberFormat="1" applyFill="1"/>
    <xf numFmtId="176" fontId="0" fillId="0" borderId="0" xfId="0" applyNumberFormat="1"/>
    <xf numFmtId="0" fontId="21" fillId="3" borderId="5" xfId="0" applyFont="1" applyFill="1" applyBorder="1"/>
    <xf numFmtId="0" fontId="21" fillId="3" borderId="0" xfId="0" applyFont="1" applyFill="1"/>
    <xf numFmtId="0" fontId="21" fillId="3" borderId="0" xfId="0" applyFont="1" applyFill="1" applyAlignment="1">
      <alignment horizontal="center"/>
    </xf>
    <xf numFmtId="0" fontId="21" fillId="13" borderId="0" xfId="0" applyFont="1" applyFill="1"/>
    <xf numFmtId="16" fontId="21" fillId="3" borderId="0" xfId="0" applyNumberFormat="1" applyFont="1" applyFill="1"/>
    <xf numFmtId="16" fontId="21" fillId="13" borderId="0" xfId="0" applyNumberFormat="1" applyFont="1" applyFill="1"/>
    <xf numFmtId="17" fontId="21" fillId="3" borderId="0" xfId="0" applyNumberFormat="1" applyFont="1" applyFill="1"/>
    <xf numFmtId="17" fontId="21" fillId="13" borderId="0" xfId="0" applyNumberFormat="1" applyFont="1" applyFill="1"/>
    <xf numFmtId="178" fontId="21" fillId="3" borderId="0" xfId="1" applyFont="1" applyFill="1" applyBorder="1"/>
    <xf numFmtId="178" fontId="21" fillId="13" borderId="0" xfId="1" applyFont="1" applyFill="1" applyBorder="1"/>
    <xf numFmtId="178" fontId="21" fillId="13" borderId="4" xfId="1" applyFont="1" applyFill="1" applyBorder="1"/>
    <xf numFmtId="0" fontId="22" fillId="0" borderId="0" xfId="0" applyFont="1"/>
    <xf numFmtId="178" fontId="23" fillId="0" borderId="0" xfId="1" applyFont="1" applyBorder="1" applyAlignment="1">
      <alignment horizontal="center" vertical="center"/>
    </xf>
    <xf numFmtId="178" fontId="23" fillId="0" borderId="0" xfId="1" applyFont="1" applyBorder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178" fontId="22" fillId="0" borderId="0" xfId="1" applyFont="1" applyBorder="1"/>
    <xf numFmtId="178" fontId="22" fillId="0" borderId="0" xfId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178" fontId="23" fillId="0" borderId="0" xfId="1" applyFont="1" applyFill="1"/>
    <xf numFmtId="178" fontId="23" fillId="0" borderId="0" xfId="0" applyNumberFormat="1" applyFont="1"/>
    <xf numFmtId="178" fontId="23" fillId="0" borderId="0" xfId="2" applyNumberFormat="1" applyFont="1" applyBorder="1" applyAlignment="1">
      <alignment horizontal="center"/>
    </xf>
    <xf numFmtId="178" fontId="22" fillId="0" borderId="0" xfId="1" applyFont="1"/>
    <xf numFmtId="178" fontId="22" fillId="0" borderId="0" xfId="1" applyFont="1" applyFill="1" applyBorder="1"/>
    <xf numFmtId="178" fontId="22" fillId="8" borderId="0" xfId="1" applyFont="1" applyFill="1" applyBorder="1"/>
    <xf numFmtId="178" fontId="22" fillId="11" borderId="0" xfId="1" applyFont="1" applyFill="1" applyBorder="1"/>
    <xf numFmtId="178" fontId="22" fillId="0" borderId="4" xfId="1" applyFont="1" applyBorder="1"/>
    <xf numFmtId="178" fontId="23" fillId="0" borderId="0" xfId="2" applyNumberFormat="1" applyFont="1" applyAlignment="1">
      <alignment horizontal="center"/>
    </xf>
    <xf numFmtId="178" fontId="22" fillId="0" borderId="0" xfId="1" applyFont="1" applyFill="1"/>
    <xf numFmtId="178" fontId="22" fillId="8" borderId="0" xfId="1" applyFont="1" applyFill="1"/>
    <xf numFmtId="178" fontId="22" fillId="0" borderId="0" xfId="1" applyFont="1" applyBorder="1" applyAlignment="1">
      <alignment horizontal="center"/>
    </xf>
    <xf numFmtId="1" fontId="22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center"/>
    </xf>
    <xf numFmtId="178" fontId="24" fillId="0" borderId="0" xfId="1" applyFont="1"/>
    <xf numFmtId="178" fontId="22" fillId="15" borderId="0" xfId="1" applyFont="1" applyFill="1" applyBorder="1"/>
    <xf numFmtId="178" fontId="22" fillId="16" borderId="0" xfId="1" applyFont="1" applyFill="1" applyBorder="1"/>
    <xf numFmtId="178" fontId="24" fillId="0" borderId="0" xfId="1" applyFont="1" applyFill="1" applyBorder="1"/>
    <xf numFmtId="178" fontId="23" fillId="0" borderId="0" xfId="1" applyFont="1" applyFill="1" applyBorder="1"/>
    <xf numFmtId="178" fontId="22" fillId="0" borderId="3" xfId="1" applyFont="1" applyBorder="1"/>
    <xf numFmtId="178" fontId="22" fillId="0" borderId="0" xfId="1" applyFont="1" applyAlignment="1">
      <alignment horizontal="center"/>
    </xf>
    <xf numFmtId="178" fontId="22" fillId="16" borderId="0" xfId="1" applyFont="1" applyFill="1"/>
    <xf numFmtId="178" fontId="22" fillId="10" borderId="0" xfId="1" applyFont="1" applyFill="1" applyBorder="1"/>
    <xf numFmtId="178" fontId="22" fillId="0" borderId="1" xfId="1" applyFont="1" applyBorder="1" applyAlignment="1">
      <alignment horizontal="center"/>
    </xf>
    <xf numFmtId="178" fontId="22" fillId="14" borderId="0" xfId="1" applyFont="1" applyFill="1" applyBorder="1"/>
    <xf numFmtId="178" fontId="22" fillId="0" borderId="0" xfId="0" applyNumberFormat="1" applyFont="1"/>
    <xf numFmtId="178" fontId="22" fillId="0" borderId="0" xfId="1" applyFont="1" applyFill="1" applyAlignment="1">
      <alignment horizontal="center"/>
    </xf>
    <xf numFmtId="178" fontId="22" fillId="0" borderId="0" xfId="1" applyFont="1" applyFill="1" applyBorder="1" applyAlignment="1">
      <alignment horizontal="center"/>
    </xf>
    <xf numFmtId="178" fontId="22" fillId="9" borderId="0" xfId="1" applyFont="1" applyFill="1" applyBorder="1"/>
    <xf numFmtId="178" fontId="22" fillId="0" borderId="1" xfId="1" applyFont="1" applyFill="1" applyBorder="1" applyAlignment="1">
      <alignment horizontal="center"/>
    </xf>
    <xf numFmtId="0" fontId="22" fillId="0" borderId="1" xfId="0" applyFont="1" applyBorder="1"/>
    <xf numFmtId="178" fontId="23" fillId="0" borderId="0" xfId="2" applyNumberFormat="1" applyFont="1" applyFill="1" applyBorder="1" applyAlignment="1">
      <alignment horizontal="center"/>
    </xf>
    <xf numFmtId="178" fontId="23" fillId="15" borderId="0" xfId="1" applyFont="1" applyFill="1"/>
    <xf numFmtId="178" fontId="22" fillId="14" borderId="0" xfId="1" applyFont="1" applyFill="1"/>
    <xf numFmtId="0" fontId="22" fillId="0" borderId="0" xfId="0" applyFont="1" applyAlignment="1">
      <alignment horizontal="left" vertical="center"/>
    </xf>
    <xf numFmtId="10" fontId="23" fillId="0" borderId="0" xfId="0" applyNumberFormat="1" applyFont="1" applyAlignment="1">
      <alignment horizontal="center"/>
    </xf>
    <xf numFmtId="178" fontId="23" fillId="0" borderId="0" xfId="0" applyNumberFormat="1" applyFont="1" applyAlignment="1">
      <alignment horizontal="center"/>
    </xf>
    <xf numFmtId="178" fontId="22" fillId="15" borderId="0" xfId="1" applyFont="1" applyFill="1" applyBorder="1" applyAlignment="1">
      <alignment horizontal="center" vertical="center"/>
    </xf>
    <xf numFmtId="178" fontId="23" fillId="0" borderId="0" xfId="2" applyNumberFormat="1" applyFont="1" applyFill="1" applyAlignment="1">
      <alignment horizontal="center"/>
    </xf>
    <xf numFmtId="178" fontId="22" fillId="11" borderId="0" xfId="1" applyFont="1" applyFill="1"/>
    <xf numFmtId="178" fontId="22" fillId="10" borderId="0" xfId="1" applyFont="1" applyFill="1"/>
    <xf numFmtId="0" fontId="22" fillId="12" borderId="0" xfId="0" applyFont="1" applyFill="1"/>
    <xf numFmtId="0" fontId="22" fillId="0" borderId="4" xfId="0" applyFont="1" applyBorder="1"/>
    <xf numFmtId="178" fontId="24" fillId="0" borderId="0" xfId="1" applyFont="1" applyFill="1"/>
    <xf numFmtId="178" fontId="22" fillId="9" borderId="0" xfId="1" applyFont="1" applyFill="1"/>
    <xf numFmtId="178" fontId="22" fillId="0" borderId="6" xfId="1" applyFont="1" applyFill="1" applyBorder="1"/>
    <xf numFmtId="178" fontId="22" fillId="0" borderId="4" xfId="1" applyFont="1" applyFill="1" applyBorder="1"/>
    <xf numFmtId="0" fontId="22" fillId="0" borderId="6" xfId="0" applyFont="1" applyBorder="1"/>
    <xf numFmtId="0" fontId="22" fillId="12" borderId="4" xfId="0" applyFont="1" applyFill="1" applyBorder="1"/>
    <xf numFmtId="14" fontId="22" fillId="0" borderId="0" xfId="0" applyNumberFormat="1" applyFont="1" applyAlignment="1">
      <alignment horizontal="center"/>
    </xf>
    <xf numFmtId="0" fontId="22" fillId="0" borderId="0" xfId="0" applyFont="1" applyAlignment="1">
      <alignment vertical="top"/>
    </xf>
    <xf numFmtId="0" fontId="24" fillId="0" borderId="0" xfId="0" applyFont="1"/>
    <xf numFmtId="178" fontId="22" fillId="0" borderId="0" xfId="1" applyFont="1" applyAlignment="1">
      <alignment vertical="top"/>
    </xf>
    <xf numFmtId="178" fontId="22" fillId="18" borderId="0" xfId="1" applyFont="1" applyFill="1"/>
    <xf numFmtId="178" fontId="22" fillId="18" borderId="0" xfId="1" applyFont="1" applyFill="1" applyBorder="1"/>
    <xf numFmtId="0" fontId="23" fillId="0" borderId="0" xfId="0" applyFont="1"/>
    <xf numFmtId="178" fontId="22" fillId="0" borderId="3" xfId="1" applyFont="1" applyFill="1" applyBorder="1"/>
    <xf numFmtId="178" fontId="22" fillId="12" borderId="0" xfId="1" applyFont="1" applyFill="1" applyBorder="1"/>
    <xf numFmtId="178" fontId="23" fillId="8" borderId="0" xfId="1" applyFont="1" applyFill="1" applyBorder="1"/>
    <xf numFmtId="178" fontId="22" fillId="0" borderId="0" xfId="1" applyFont="1" applyAlignment="1">
      <alignment horizontal="left" vertical="center"/>
    </xf>
    <xf numFmtId="0" fontId="26" fillId="0" borderId="0" xfId="0" applyFont="1" applyAlignment="1">
      <alignment horizontal="left" vertical="center"/>
    </xf>
    <xf numFmtId="182" fontId="22" fillId="0" borderId="0" xfId="0" applyNumberFormat="1" applyFont="1" applyAlignment="1">
      <alignment horizontal="center"/>
    </xf>
    <xf numFmtId="178" fontId="22" fillId="17" borderId="0" xfId="1" applyFont="1" applyFill="1" applyBorder="1"/>
    <xf numFmtId="0" fontId="22" fillId="0" borderId="0" xfId="0" applyFont="1" applyAlignment="1">
      <alignment wrapText="1"/>
    </xf>
    <xf numFmtId="178" fontId="22" fillId="17" borderId="0" xfId="1" applyFont="1" applyFill="1"/>
    <xf numFmtId="178" fontId="22" fillId="0" borderId="6" xfId="1" applyFont="1" applyBorder="1"/>
    <xf numFmtId="178" fontId="22" fillId="0" borderId="0" xfId="1" applyFont="1" applyBorder="1" applyAlignment="1">
      <alignment horizontal="left" vertical="center"/>
    </xf>
    <xf numFmtId="0" fontId="26" fillId="21" borderId="0" xfId="0" applyFont="1" applyFill="1"/>
    <xf numFmtId="0" fontId="26" fillId="0" borderId="0" xfId="0" applyFont="1" applyAlignment="1">
      <alignment horizontal="center"/>
    </xf>
    <xf numFmtId="0" fontId="22" fillId="4" borderId="0" xfId="0" applyFont="1" applyFill="1"/>
    <xf numFmtId="0" fontId="22" fillId="4" borderId="0" xfId="0" applyFont="1" applyFill="1" applyAlignment="1">
      <alignment horizontal="left" vertical="center"/>
    </xf>
    <xf numFmtId="178" fontId="22" fillId="7" borderId="0" xfId="1" applyFont="1" applyFill="1" applyAlignment="1">
      <alignment horizontal="center"/>
    </xf>
    <xf numFmtId="0" fontId="22" fillId="7" borderId="0" xfId="0" applyFont="1" applyFill="1"/>
    <xf numFmtId="0" fontId="22" fillId="5" borderId="0" xfId="0" applyFont="1" applyFill="1"/>
    <xf numFmtId="0" fontId="22" fillId="5" borderId="0" xfId="0" applyFont="1" applyFill="1" applyAlignment="1">
      <alignment horizontal="center"/>
    </xf>
    <xf numFmtId="0" fontId="22" fillId="20" borderId="0" xfId="0" applyFont="1" applyFill="1"/>
    <xf numFmtId="0" fontId="22" fillId="6" borderId="0" xfId="0" applyFont="1" applyFill="1"/>
    <xf numFmtId="178" fontId="23" fillId="6" borderId="0" xfId="0" applyNumberFormat="1" applyFont="1" applyFill="1"/>
    <xf numFmtId="178" fontId="22" fillId="14" borderId="0" xfId="1" applyFont="1" applyFill="1" applyBorder="1" applyAlignment="1">
      <alignment horizontal="center" vertical="center"/>
    </xf>
    <xf numFmtId="181" fontId="22" fillId="15" borderId="0" xfId="0" applyNumberFormat="1" applyFont="1" applyFill="1"/>
    <xf numFmtId="181" fontId="22" fillId="14" borderId="0" xfId="0" applyNumberFormat="1" applyFont="1" applyFill="1"/>
    <xf numFmtId="178" fontId="22" fillId="7" borderId="0" xfId="1" applyFont="1" applyFill="1" applyBorder="1" applyAlignment="1">
      <alignment horizontal="center"/>
    </xf>
    <xf numFmtId="178" fontId="22" fillId="0" borderId="1" xfId="1" applyFont="1" applyBorder="1"/>
    <xf numFmtId="0" fontId="21" fillId="3" borderId="2" xfId="0" applyFont="1" applyFill="1" applyBorder="1"/>
    <xf numFmtId="0" fontId="21" fillId="3" borderId="2" xfId="0" applyFont="1" applyFill="1" applyBorder="1" applyAlignment="1">
      <alignment horizontal="center"/>
    </xf>
    <xf numFmtId="181" fontId="22" fillId="0" borderId="0" xfId="0" applyNumberFormat="1" applyFont="1"/>
    <xf numFmtId="181" fontId="22" fillId="9" borderId="0" xfId="0" applyNumberFormat="1" applyFont="1" applyFill="1"/>
    <xf numFmtId="181" fontId="26" fillId="0" borderId="0" xfId="0" applyNumberFormat="1" applyFont="1"/>
    <xf numFmtId="181" fontId="22" fillId="8" borderId="0" xfId="0" applyNumberFormat="1" applyFont="1" applyFill="1"/>
    <xf numFmtId="181" fontId="22" fillId="10" borderId="0" xfId="0" applyNumberFormat="1" applyFont="1" applyFill="1"/>
    <xf numFmtId="181" fontId="22" fillId="0" borderId="0" xfId="0" applyNumberFormat="1" applyFont="1" applyAlignment="1">
      <alignment horizontal="left" vertical="center"/>
    </xf>
    <xf numFmtId="26" fontId="22" fillId="0" borderId="0" xfId="0" applyNumberFormat="1" applyFont="1"/>
    <xf numFmtId="181" fontId="22" fillId="16" borderId="0" xfId="0" applyNumberFormat="1" applyFont="1" applyFill="1"/>
    <xf numFmtId="178" fontId="22" fillId="15" borderId="0" xfId="0" applyNumberFormat="1" applyFont="1" applyFill="1"/>
    <xf numFmtId="178" fontId="22" fillId="0" borderId="2" xfId="1" applyFont="1" applyBorder="1"/>
    <xf numFmtId="181" fontId="22" fillId="8" borderId="0" xfId="0" applyNumberFormat="1" applyFont="1" applyFill="1" applyAlignment="1">
      <alignment wrapText="1"/>
    </xf>
    <xf numFmtId="0" fontId="0" fillId="0" borderId="0" xfId="0" applyAlignment="1">
      <alignment vertical="center" wrapText="1"/>
    </xf>
    <xf numFmtId="178" fontId="0" fillId="0" borderId="0" xfId="24" applyFont="1" applyBorder="1" applyAlignment="1">
      <alignment horizontal="center" vertical="center" wrapText="1"/>
    </xf>
    <xf numFmtId="178" fontId="0" fillId="0" borderId="0" xfId="24" applyFont="1" applyAlignment="1">
      <alignment horizontal="center" vertical="center" wrapText="1"/>
    </xf>
    <xf numFmtId="9" fontId="0" fillId="0" borderId="0" xfId="25" applyFont="1" applyAlignment="1">
      <alignment horizontal="center" vertical="center" wrapText="1"/>
    </xf>
    <xf numFmtId="9" fontId="0" fillId="0" borderId="0" xfId="25" applyFont="1" applyBorder="1" applyAlignment="1">
      <alignment horizontal="center" vertical="center" wrapText="1"/>
    </xf>
    <xf numFmtId="0" fontId="0" fillId="8" borderId="0" xfId="0" applyFill="1" applyAlignment="1">
      <alignment vertical="center" wrapText="1"/>
    </xf>
    <xf numFmtId="16" fontId="0" fillId="0" borderId="0" xfId="0" applyNumberFormat="1" applyAlignment="1">
      <alignment vertical="center" wrapText="1"/>
    </xf>
    <xf numFmtId="0" fontId="0" fillId="8" borderId="4" xfId="0" applyFill="1" applyBorder="1" applyAlignment="1">
      <alignment vertical="center" wrapText="1"/>
    </xf>
    <xf numFmtId="16" fontId="0" fillId="8" borderId="0" xfId="0" applyNumberFormat="1" applyFill="1" applyAlignment="1">
      <alignment vertical="center" wrapText="1"/>
    </xf>
    <xf numFmtId="178" fontId="0" fillId="8" borderId="0" xfId="24" applyFont="1" applyFill="1" applyBorder="1" applyAlignment="1">
      <alignment vertical="center" wrapText="1"/>
    </xf>
    <xf numFmtId="16" fontId="0" fillId="8" borderId="0" xfId="24" applyNumberFormat="1" applyFont="1" applyFill="1" applyBorder="1" applyAlignment="1">
      <alignment vertical="center" wrapText="1"/>
    </xf>
    <xf numFmtId="181" fontId="0" fillId="8" borderId="0" xfId="24" applyNumberFormat="1" applyFont="1" applyFill="1" applyBorder="1" applyAlignment="1">
      <alignment vertical="center" wrapText="1"/>
    </xf>
    <xf numFmtId="0" fontId="6" fillId="23" borderId="0" xfId="0" applyFont="1" applyFill="1" applyAlignment="1">
      <alignment vertical="center" wrapText="1"/>
    </xf>
    <xf numFmtId="0" fontId="10" fillId="24" borderId="7" xfId="0" applyFont="1" applyFill="1" applyBorder="1" applyAlignment="1">
      <alignment horizontal="center" vertical="center" wrapText="1"/>
    </xf>
    <xf numFmtId="178" fontId="0" fillId="0" borderId="0" xfId="24" applyFont="1" applyBorder="1" applyAlignment="1">
      <alignment horizontal="left" vertical="center"/>
    </xf>
    <xf numFmtId="178" fontId="0" fillId="0" borderId="0" xfId="24" applyFont="1" applyAlignment="1">
      <alignment horizontal="center" vertical="center"/>
    </xf>
    <xf numFmtId="14" fontId="0" fillId="0" borderId="0" xfId="24" applyNumberFormat="1" applyFont="1" applyAlignment="1">
      <alignment horizontal="center" vertical="center"/>
    </xf>
    <xf numFmtId="9" fontId="0" fillId="0" borderId="0" xfId="25" applyFont="1" applyAlignment="1">
      <alignment horizontal="center" vertical="center"/>
    </xf>
    <xf numFmtId="178" fontId="0" fillId="0" borderId="0" xfId="24" applyFont="1" applyBorder="1" applyAlignment="1">
      <alignment horizontal="center" vertical="center"/>
    </xf>
    <xf numFmtId="9" fontId="0" fillId="0" borderId="0" xfId="25" applyFont="1" applyBorder="1" applyAlignment="1">
      <alignment horizontal="center" vertical="center"/>
    </xf>
    <xf numFmtId="185" fontId="0" fillId="0" borderId="0" xfId="0" applyNumberFormat="1"/>
    <xf numFmtId="178" fontId="0" fillId="0" borderId="0" xfId="24" applyFont="1"/>
    <xf numFmtId="26" fontId="0" fillId="0" borderId="0" xfId="0" applyNumberFormat="1"/>
    <xf numFmtId="186" fontId="10" fillId="0" borderId="0" xfId="7" applyNumberFormat="1"/>
    <xf numFmtId="186" fontId="0" fillId="8" borderId="0" xfId="0" applyNumberFormat="1" applyFill="1"/>
    <xf numFmtId="186" fontId="10" fillId="8" borderId="0" xfId="7" applyNumberFormat="1" applyFill="1"/>
    <xf numFmtId="186" fontId="0" fillId="0" borderId="0" xfId="0" applyNumberFormat="1"/>
    <xf numFmtId="43" fontId="0" fillId="0" borderId="0" xfId="0" applyNumberFormat="1"/>
    <xf numFmtId="185" fontId="0" fillId="8" borderId="0" xfId="0" applyNumberFormat="1" applyFill="1"/>
    <xf numFmtId="178" fontId="0" fillId="9" borderId="0" xfId="0" applyNumberFormat="1" applyFill="1"/>
    <xf numFmtId="0" fontId="0" fillId="0" borderId="0" xfId="0" applyAlignment="1">
      <alignment vertical="center"/>
    </xf>
    <xf numFmtId="178" fontId="0" fillId="0" borderId="0" xfId="24" applyFont="1" applyAlignment="1">
      <alignment horizontal="left" vertical="center"/>
    </xf>
    <xf numFmtId="178" fontId="0" fillId="0" borderId="0" xfId="24" applyFont="1" applyBorder="1"/>
    <xf numFmtId="178" fontId="0" fillId="0" borderId="0" xfId="24" applyFont="1" applyFill="1" applyAlignment="1">
      <alignment horizontal="center" vertical="center"/>
    </xf>
    <xf numFmtId="178" fontId="0" fillId="14" borderId="0" xfId="0" applyNumberFormat="1" applyFill="1"/>
    <xf numFmtId="178" fontId="0" fillId="8" borderId="0" xfId="0" applyNumberFormat="1" applyFill="1"/>
    <xf numFmtId="0" fontId="0" fillId="8" borderId="0" xfId="0" applyFill="1"/>
    <xf numFmtId="178" fontId="10" fillId="8" borderId="0" xfId="7" applyNumberFormat="1" applyFill="1"/>
    <xf numFmtId="178" fontId="0" fillId="8" borderId="0" xfId="24" applyFont="1" applyFill="1" applyBorder="1"/>
    <xf numFmtId="178" fontId="0" fillId="8" borderId="0" xfId="24" applyFont="1" applyFill="1"/>
    <xf numFmtId="4" fontId="0" fillId="8" borderId="0" xfId="0" applyNumberFormat="1" applyFill="1"/>
    <xf numFmtId="181" fontId="0" fillId="8" borderId="0" xfId="0" applyNumberFormat="1" applyFill="1"/>
    <xf numFmtId="14" fontId="0" fillId="0" borderId="0" xfId="24" applyNumberFormat="1" applyFont="1" applyBorder="1" applyAlignment="1">
      <alignment horizontal="center" vertical="center"/>
    </xf>
    <xf numFmtId="4" fontId="0" fillId="0" borderId="0" xfId="0" applyNumberFormat="1"/>
    <xf numFmtId="178" fontId="0" fillId="0" borderId="0" xfId="24" applyFont="1" applyFill="1" applyBorder="1" applyAlignment="1">
      <alignment horizontal="center" vertical="center"/>
    </xf>
    <xf numFmtId="0" fontId="0" fillId="9" borderId="0" xfId="0" applyFill="1"/>
    <xf numFmtId="0" fontId="0" fillId="11" borderId="0" xfId="0" applyFill="1"/>
    <xf numFmtId="185" fontId="5" fillId="0" borderId="0" xfId="0" applyNumberFormat="1" applyFont="1"/>
    <xf numFmtId="178" fontId="7" fillId="0" borderId="0" xfId="0" applyNumberFormat="1" applyFont="1"/>
    <xf numFmtId="178" fontId="0" fillId="8" borderId="0" xfId="24" applyFont="1" applyFill="1" applyAlignment="1">
      <alignment horizontal="center" vertical="center"/>
    </xf>
    <xf numFmtId="0" fontId="0" fillId="18" borderId="0" xfId="0" applyFill="1"/>
    <xf numFmtId="178" fontId="0" fillId="11" borderId="0" xfId="24" applyFont="1" applyFill="1" applyAlignment="1">
      <alignment horizontal="center" vertical="center"/>
    </xf>
    <xf numFmtId="178" fontId="7" fillId="0" borderId="0" xfId="24" applyFont="1" applyAlignment="1">
      <alignment horizontal="center" vertical="center"/>
    </xf>
    <xf numFmtId="185" fontId="7" fillId="0" borderId="0" xfId="0" applyNumberFormat="1" applyFont="1"/>
    <xf numFmtId="178" fontId="0" fillId="0" borderId="0" xfId="27" applyFont="1" applyAlignment="1">
      <alignment horizontal="center" vertical="center"/>
    </xf>
    <xf numFmtId="0" fontId="0" fillId="0" borderId="4" xfId="0" applyBorder="1"/>
    <xf numFmtId="178" fontId="7" fillId="8" borderId="0" xfId="24" applyFont="1" applyFill="1" applyAlignment="1">
      <alignment horizontal="center" vertical="center"/>
    </xf>
    <xf numFmtId="178" fontId="0" fillId="9" borderId="0" xfId="24" applyFont="1" applyFill="1" applyBorder="1"/>
    <xf numFmtId="0" fontId="15" fillId="0" borderId="0" xfId="0" applyFont="1" applyAlignment="1">
      <alignment horizontal="center" vertical="center"/>
    </xf>
    <xf numFmtId="181" fontId="0" fillId="0" borderId="0" xfId="24" applyNumberFormat="1" applyFont="1" applyBorder="1"/>
    <xf numFmtId="0" fontId="34" fillId="0" borderId="0" xfId="17" applyFont="1" applyAlignment="1">
      <alignment horizontal="center" vertical="center"/>
    </xf>
    <xf numFmtId="0" fontId="34" fillId="0" borderId="0" xfId="17" applyFont="1" applyAlignment="1">
      <alignment vertical="center"/>
    </xf>
    <xf numFmtId="0" fontId="34" fillId="0" borderId="0" xfId="17" applyFont="1" applyAlignment="1">
      <alignment horizontal="left" vertical="center"/>
    </xf>
    <xf numFmtId="0" fontId="34" fillId="0" borderId="0" xfId="17" applyFont="1" applyAlignment="1">
      <alignment horizontal="right" vertical="center"/>
    </xf>
    <xf numFmtId="0" fontId="35" fillId="0" borderId="0" xfId="17" applyFont="1" applyAlignment="1">
      <alignment vertical="center" wrapText="1"/>
    </xf>
    <xf numFmtId="0" fontId="33" fillId="22" borderId="0" xfId="28" applyFont="1" applyBorder="1" applyAlignment="1">
      <alignment horizontal="center" vertical="center"/>
    </xf>
    <xf numFmtId="0" fontId="36" fillId="25" borderId="0" xfId="17" applyFont="1" applyFill="1" applyAlignment="1">
      <alignment vertical="center"/>
    </xf>
    <xf numFmtId="180" fontId="36" fillId="25" borderId="0" xfId="18" applyFont="1" applyFill="1" applyBorder="1" applyAlignment="1">
      <alignment horizontal="left" vertical="center"/>
    </xf>
    <xf numFmtId="0" fontId="36" fillId="26" borderId="0" xfId="17" applyFont="1" applyFill="1" applyAlignment="1">
      <alignment vertical="center"/>
    </xf>
    <xf numFmtId="14" fontId="36" fillId="26" borderId="0" xfId="17" applyNumberFormat="1" applyFont="1" applyFill="1" applyAlignment="1">
      <alignment horizontal="center" vertical="center" wrapText="1"/>
    </xf>
    <xf numFmtId="180" fontId="36" fillId="26" borderId="0" xfId="18" applyFont="1" applyFill="1" applyBorder="1" applyAlignment="1">
      <alignment vertical="center"/>
    </xf>
    <xf numFmtId="9" fontId="36" fillId="0" borderId="0" xfId="19" applyFont="1" applyFill="1" applyBorder="1" applyAlignment="1">
      <alignment vertical="center"/>
    </xf>
    <xf numFmtId="177" fontId="36" fillId="0" borderId="0" xfId="18" applyNumberFormat="1" applyFont="1" applyFill="1" applyBorder="1" applyAlignment="1">
      <alignment vertical="center"/>
    </xf>
    <xf numFmtId="180" fontId="36" fillId="0" borderId="0" xfId="18" applyFont="1" applyFill="1" applyAlignment="1">
      <alignment vertical="center"/>
    </xf>
    <xf numFmtId="0" fontId="36" fillId="0" borderId="0" xfId="17" applyFont="1" applyAlignment="1">
      <alignment vertical="center"/>
    </xf>
    <xf numFmtId="0" fontId="31" fillId="0" borderId="0" xfId="17" applyFont="1"/>
    <xf numFmtId="0" fontId="17" fillId="0" borderId="0" xfId="17" applyFont="1" applyAlignment="1">
      <alignment horizontal="center" vertical="center"/>
    </xf>
    <xf numFmtId="0" fontId="17" fillId="0" borderId="0" xfId="17" applyFont="1" applyAlignment="1">
      <alignment horizontal="left" vertical="center"/>
    </xf>
    <xf numFmtId="0" fontId="17" fillId="0" borderId="0" xfId="17" applyFont="1" applyAlignment="1">
      <alignment horizontal="right" vertical="center"/>
    </xf>
    <xf numFmtId="0" fontId="17" fillId="0" borderId="0" xfId="17" applyFont="1" applyAlignment="1">
      <alignment horizontal="left"/>
    </xf>
    <xf numFmtId="0" fontId="18" fillId="0" borderId="0" xfId="17" applyFont="1" applyAlignment="1">
      <alignment horizontal="left" vertical="center"/>
    </xf>
    <xf numFmtId="14" fontId="17" fillId="0" borderId="0" xfId="17" applyNumberFormat="1" applyFont="1" applyAlignment="1">
      <alignment horizontal="left"/>
    </xf>
    <xf numFmtId="0" fontId="17" fillId="0" borderId="0" xfId="17" applyFont="1" applyAlignment="1">
      <alignment horizontal="right"/>
    </xf>
    <xf numFmtId="180" fontId="17" fillId="0" borderId="0" xfId="18" applyFont="1" applyFill="1" applyBorder="1" applyAlignment="1"/>
    <xf numFmtId="0" fontId="17" fillId="0" borderId="0" xfId="17" applyFont="1"/>
    <xf numFmtId="0" fontId="17" fillId="0" borderId="0" xfId="17" applyFont="1" applyAlignment="1">
      <alignment horizontal="center"/>
    </xf>
    <xf numFmtId="0" fontId="17" fillId="0" borderId="0" xfId="17" applyFont="1" applyAlignment="1">
      <alignment horizontal="right" wrapText="1"/>
    </xf>
    <xf numFmtId="0" fontId="31" fillId="0" borderId="0" xfId="17" applyFont="1" applyAlignment="1">
      <alignment horizontal="center"/>
    </xf>
    <xf numFmtId="180" fontId="31" fillId="0" borderId="0" xfId="18" applyFont="1" applyFill="1" applyBorder="1" applyAlignment="1">
      <alignment horizontal="left"/>
    </xf>
    <xf numFmtId="180" fontId="31" fillId="0" borderId="0" xfId="18" applyFont="1" applyBorder="1" applyAlignment="1"/>
    <xf numFmtId="177" fontId="31" fillId="0" borderId="0" xfId="18" applyNumberFormat="1" applyFont="1" applyFill="1" applyBorder="1" applyAlignment="1"/>
    <xf numFmtId="180" fontId="31" fillId="0" borderId="0" xfId="18" applyFont="1" applyFill="1" applyAlignment="1"/>
    <xf numFmtId="17" fontId="31" fillId="0" borderId="0" xfId="17" applyNumberFormat="1" applyFont="1" applyAlignment="1">
      <alignment horizontal="center"/>
    </xf>
    <xf numFmtId="14" fontId="38" fillId="0" borderId="0" xfId="20" applyNumberFormat="1" applyFont="1" applyAlignment="1">
      <alignment horizontal="center" vertical="center"/>
    </xf>
    <xf numFmtId="14" fontId="31" fillId="0" borderId="0" xfId="17" applyNumberFormat="1" applyFont="1" applyAlignment="1">
      <alignment horizontal="center"/>
    </xf>
    <xf numFmtId="14" fontId="38" fillId="0" borderId="0" xfId="20" applyNumberFormat="1" applyFont="1" applyAlignment="1">
      <alignment horizontal="center" vertical="center" wrapText="1"/>
    </xf>
    <xf numFmtId="0" fontId="17" fillId="0" borderId="0" xfId="17" applyFont="1" applyAlignment="1">
      <alignment horizontal="left" vertical="top"/>
    </xf>
    <xf numFmtId="0" fontId="39" fillId="0" borderId="0" xfId="17" applyFont="1"/>
    <xf numFmtId="0" fontId="27" fillId="0" borderId="0" xfId="17" applyFont="1" applyAlignment="1">
      <alignment horizontal="center" vertical="center"/>
    </xf>
    <xf numFmtId="0" fontId="27" fillId="0" borderId="0" xfId="17" applyFont="1"/>
    <xf numFmtId="0" fontId="27" fillId="0" borderId="0" xfId="17" applyFont="1" applyAlignment="1">
      <alignment horizontal="right"/>
    </xf>
    <xf numFmtId="0" fontId="27" fillId="0" borderId="0" xfId="17" applyFont="1" applyAlignment="1">
      <alignment horizontal="left"/>
    </xf>
    <xf numFmtId="0" fontId="40" fillId="0" borderId="0" xfId="17" applyFont="1" applyAlignment="1">
      <alignment horizontal="left" vertical="center"/>
    </xf>
    <xf numFmtId="14" fontId="27" fillId="0" borderId="0" xfId="17" applyNumberFormat="1" applyFont="1" applyAlignment="1">
      <alignment horizontal="left"/>
    </xf>
    <xf numFmtId="180" fontId="27" fillId="0" borderId="0" xfId="18" applyFont="1" applyFill="1" applyBorder="1" applyAlignment="1"/>
    <xf numFmtId="0" fontId="27" fillId="0" borderId="0" xfId="17" applyFont="1" applyAlignment="1">
      <alignment horizontal="center"/>
    </xf>
    <xf numFmtId="0" fontId="39" fillId="0" borderId="0" xfId="17" applyFont="1" applyAlignment="1">
      <alignment horizontal="center"/>
    </xf>
    <xf numFmtId="180" fontId="39" fillId="0" borderId="0" xfId="18" applyFont="1" applyFill="1" applyBorder="1" applyAlignment="1">
      <alignment horizontal="left"/>
    </xf>
    <xf numFmtId="180" fontId="39" fillId="0" borderId="0" xfId="18" applyFont="1" applyBorder="1" applyAlignment="1"/>
    <xf numFmtId="177" fontId="39" fillId="0" borderId="0" xfId="18" applyNumberFormat="1" applyFont="1" applyFill="1" applyBorder="1" applyAlignment="1"/>
    <xf numFmtId="180" fontId="39" fillId="0" borderId="0" xfId="18" applyFont="1" applyFill="1" applyAlignment="1"/>
    <xf numFmtId="14" fontId="38" fillId="0" borderId="0" xfId="20" applyNumberFormat="1" applyFont="1" applyAlignment="1">
      <alignment horizontal="center"/>
    </xf>
    <xf numFmtId="0" fontId="31" fillId="27" borderId="0" xfId="20" applyFont="1" applyFill="1" applyAlignment="1">
      <alignment horizontal="left"/>
    </xf>
    <xf numFmtId="0" fontId="31" fillId="6" borderId="0" xfId="17" applyFont="1" applyFill="1"/>
    <xf numFmtId="0" fontId="31" fillId="28" borderId="0" xfId="20" applyFont="1" applyFill="1" applyAlignment="1">
      <alignment horizontal="left"/>
    </xf>
    <xf numFmtId="0" fontId="31" fillId="25" borderId="0" xfId="20" applyFont="1" applyFill="1" applyAlignment="1">
      <alignment horizontal="left"/>
    </xf>
    <xf numFmtId="0" fontId="20" fillId="0" borderId="0" xfId="17" applyFont="1" applyAlignment="1">
      <alignment horizontal="center" vertical="center"/>
    </xf>
    <xf numFmtId="0" fontId="20" fillId="0" borderId="0" xfId="17" applyFont="1"/>
    <xf numFmtId="0" fontId="20" fillId="0" borderId="0" xfId="17" applyFont="1" applyAlignment="1">
      <alignment horizontal="left" vertical="center"/>
    </xf>
    <xf numFmtId="0" fontId="20" fillId="0" borderId="0" xfId="17" applyFont="1" applyAlignment="1">
      <alignment horizontal="left"/>
    </xf>
    <xf numFmtId="14" fontId="20" fillId="0" borderId="0" xfId="17" applyNumberFormat="1" applyFont="1" applyAlignment="1">
      <alignment horizontal="left"/>
    </xf>
    <xf numFmtId="0" fontId="20" fillId="0" borderId="0" xfId="17" applyFont="1" applyAlignment="1">
      <alignment horizontal="right"/>
    </xf>
    <xf numFmtId="180" fontId="20" fillId="0" borderId="0" xfId="18" applyFont="1" applyFill="1" applyBorder="1" applyAlignment="1"/>
    <xf numFmtId="0" fontId="20" fillId="0" borderId="0" xfId="17" applyFont="1" applyAlignment="1">
      <alignment horizontal="center"/>
    </xf>
    <xf numFmtId="0" fontId="17" fillId="0" borderId="0" xfId="17" applyFont="1" applyAlignment="1">
      <alignment horizontal="left" wrapText="1"/>
    </xf>
    <xf numFmtId="14" fontId="19" fillId="0" borderId="0" xfId="20" applyNumberFormat="1" applyFont="1" applyAlignment="1">
      <alignment horizontal="center" vertical="center"/>
    </xf>
    <xf numFmtId="0" fontId="41" fillId="0" borderId="0" xfId="22" applyFont="1" applyFill="1" applyBorder="1" applyAlignment="1">
      <alignment horizontal="left"/>
    </xf>
    <xf numFmtId="0" fontId="17" fillId="0" borderId="0" xfId="17" applyFont="1" applyAlignment="1">
      <alignment wrapText="1"/>
    </xf>
    <xf numFmtId="180" fontId="17" fillId="0" borderId="0" xfId="18" applyFont="1" applyFill="1" applyBorder="1" applyAlignment="1">
      <alignment horizontal="center"/>
    </xf>
    <xf numFmtId="0" fontId="17" fillId="0" borderId="0" xfId="17" applyFont="1" applyAlignment="1">
      <alignment horizontal="center" wrapText="1"/>
    </xf>
    <xf numFmtId="0" fontId="28" fillId="0" borderId="0" xfId="17" applyFont="1" applyAlignment="1">
      <alignment horizontal="left"/>
    </xf>
    <xf numFmtId="14" fontId="31" fillId="0" borderId="0" xfId="20" applyNumberFormat="1" applyFont="1" applyAlignment="1">
      <alignment horizontal="center"/>
    </xf>
    <xf numFmtId="180" fontId="31" fillId="0" borderId="0" xfId="18" applyFont="1" applyBorder="1" applyAlignment="1">
      <alignment horizontal="left"/>
    </xf>
    <xf numFmtId="180" fontId="18" fillId="0" borderId="0" xfId="18" applyFont="1" applyFill="1" applyBorder="1" applyAlignment="1"/>
    <xf numFmtId="0" fontId="18" fillId="0" borderId="0" xfId="17" applyFont="1"/>
    <xf numFmtId="0" fontId="29" fillId="0" borderId="0" xfId="17" applyFont="1" applyAlignment="1">
      <alignment horizontal="left"/>
    </xf>
    <xf numFmtId="0" fontId="27" fillId="0" borderId="0" xfId="17" applyFont="1" applyAlignment="1">
      <alignment horizontal="right" wrapText="1"/>
    </xf>
    <xf numFmtId="0" fontId="27" fillId="0" borderId="0" xfId="17" applyFont="1" applyAlignment="1">
      <alignment horizontal="left" vertical="center"/>
    </xf>
    <xf numFmtId="0" fontId="27" fillId="0" borderId="0" xfId="17" applyFont="1" applyAlignment="1">
      <alignment horizontal="right" vertical="center"/>
    </xf>
    <xf numFmtId="0" fontId="31" fillId="30" borderId="0" xfId="20" applyFont="1" applyFill="1" applyAlignment="1">
      <alignment horizontal="left"/>
    </xf>
    <xf numFmtId="180" fontId="31" fillId="0" borderId="0" xfId="18" applyFont="1" applyAlignment="1">
      <alignment horizontal="left"/>
    </xf>
    <xf numFmtId="0" fontId="17" fillId="0" borderId="0" xfId="17" applyFont="1" applyAlignment="1">
      <alignment horizontal="fill"/>
    </xf>
    <xf numFmtId="180" fontId="17" fillId="0" borderId="0" xfId="18" applyFont="1" applyFill="1" applyBorder="1" applyAlignment="1">
      <alignment horizontal="right"/>
    </xf>
    <xf numFmtId="4" fontId="17" fillId="0" borderId="0" xfId="17" applyNumberFormat="1" applyFont="1"/>
    <xf numFmtId="0" fontId="31" fillId="0" borderId="0" xfId="0" applyFont="1"/>
    <xf numFmtId="0" fontId="0" fillId="14" borderId="0" xfId="0" applyFill="1"/>
    <xf numFmtId="0" fontId="0" fillId="16" borderId="0" xfId="0" applyFill="1"/>
    <xf numFmtId="0" fontId="7" fillId="9" borderId="0" xfId="0" applyFont="1" applyFill="1"/>
    <xf numFmtId="0" fontId="0" fillId="12" borderId="0" xfId="0" applyFill="1"/>
    <xf numFmtId="0" fontId="0" fillId="10" borderId="0" xfId="0" applyFill="1"/>
    <xf numFmtId="0" fontId="0" fillId="15" borderId="0" xfId="0" applyFill="1"/>
    <xf numFmtId="181" fontId="26" fillId="8" borderId="0" xfId="0" applyNumberFormat="1" applyFont="1" applyFill="1"/>
    <xf numFmtId="17" fontId="39" fillId="0" borderId="0" xfId="17" applyNumberFormat="1" applyFont="1" applyAlignment="1">
      <alignment horizontal="center"/>
    </xf>
    <xf numFmtId="0" fontId="15" fillId="0" borderId="0" xfId="0" applyFont="1"/>
    <xf numFmtId="0" fontId="0" fillId="0" borderId="0" xfId="24" applyNumberFormat="1" applyFont="1" applyBorder="1"/>
    <xf numFmtId="178" fontId="23" fillId="0" borderId="1" xfId="1" applyFont="1" applyBorder="1" applyAlignment="1">
      <alignment horizontal="center" vertical="center" wrapText="1"/>
    </xf>
    <xf numFmtId="178" fontId="23" fillId="0" borderId="2" xfId="1" applyFont="1" applyBorder="1" applyAlignment="1">
      <alignment horizontal="center" vertical="center" wrapText="1"/>
    </xf>
    <xf numFmtId="178" fontId="25" fillId="0" borderId="0" xfId="8" applyNumberFormat="1" applyFont="1" applyFill="1" applyBorder="1" applyAlignment="1">
      <alignment horizontal="center"/>
    </xf>
    <xf numFmtId="178" fontId="22" fillId="0" borderId="2" xfId="1" applyFont="1" applyFill="1" applyBorder="1"/>
    <xf numFmtId="0" fontId="26" fillId="0" borderId="0" xfId="0" applyFont="1"/>
    <xf numFmtId="178" fontId="0" fillId="0" borderId="0" xfId="24" applyFont="1" applyFill="1" applyBorder="1"/>
    <xf numFmtId="4" fontId="43" fillId="8" borderId="0" xfId="0" applyNumberFormat="1" applyFont="1" applyFill="1"/>
    <xf numFmtId="178" fontId="0" fillId="0" borderId="0" xfId="24" applyFont="1" applyFill="1"/>
    <xf numFmtId="178" fontId="31" fillId="0" borderId="0" xfId="24" applyFont="1" applyBorder="1" applyAlignment="1">
      <alignment horizontal="left"/>
    </xf>
    <xf numFmtId="178" fontId="31" fillId="0" borderId="0" xfId="24" applyFont="1" applyBorder="1" applyAlignment="1">
      <alignment horizontal="center"/>
    </xf>
    <xf numFmtId="180" fontId="31" fillId="0" borderId="0" xfId="18" applyFont="1" applyFill="1" applyBorder="1" applyAlignment="1"/>
    <xf numFmtId="0" fontId="31" fillId="0" borderId="0" xfId="17" applyFont="1" applyAlignment="1">
      <alignment horizontal="left"/>
    </xf>
    <xf numFmtId="180" fontId="31" fillId="0" borderId="0" xfId="18" applyFont="1" applyAlignment="1"/>
    <xf numFmtId="0" fontId="45" fillId="0" borderId="0" xfId="17" applyFont="1" applyAlignment="1">
      <alignment horizontal="left"/>
    </xf>
    <xf numFmtId="14" fontId="39" fillId="0" borderId="0" xfId="17" applyNumberFormat="1" applyFont="1" applyAlignment="1">
      <alignment horizontal="center"/>
    </xf>
    <xf numFmtId="0" fontId="46" fillId="0" borderId="12" xfId="0" applyFont="1" applyBorder="1"/>
    <xf numFmtId="0" fontId="48" fillId="0" borderId="14" xfId="0" applyFont="1" applyBorder="1"/>
    <xf numFmtId="0" fontId="46" fillId="0" borderId="14" xfId="0" applyFont="1" applyBorder="1"/>
    <xf numFmtId="0" fontId="47" fillId="0" borderId="14" xfId="0" applyFont="1" applyBorder="1"/>
    <xf numFmtId="4" fontId="46" fillId="0" borderId="14" xfId="0" applyNumberFormat="1" applyFont="1" applyBorder="1"/>
    <xf numFmtId="0" fontId="46" fillId="0" borderId="11" xfId="0" applyFont="1" applyBorder="1"/>
    <xf numFmtId="0" fontId="15" fillId="0" borderId="13" xfId="8" applyFont="1" applyFill="1" applyBorder="1" applyAlignment="1"/>
    <xf numFmtId="0" fontId="48" fillId="0" borderId="12" xfId="0" applyFont="1" applyBorder="1"/>
    <xf numFmtId="180" fontId="31" fillId="6" borderId="0" xfId="18" applyFont="1" applyFill="1" applyBorder="1" applyAlignment="1">
      <alignment horizontal="left"/>
    </xf>
    <xf numFmtId="14" fontId="36" fillId="25" borderId="0" xfId="17" applyNumberFormat="1" applyFont="1" applyFill="1" applyAlignment="1">
      <alignment horizontal="center" vertical="center" wrapText="1"/>
    </xf>
    <xf numFmtId="14" fontId="31" fillId="0" borderId="0" xfId="18" applyNumberFormat="1" applyFont="1" applyBorder="1" applyAlignment="1">
      <alignment horizontal="left" vertical="center"/>
    </xf>
    <xf numFmtId="14" fontId="38" fillId="0" borderId="0" xfId="21" applyNumberFormat="1" applyFont="1" applyFill="1" applyBorder="1" applyAlignment="1">
      <alignment horizontal="center"/>
    </xf>
    <xf numFmtId="14" fontId="42" fillId="0" borderId="0" xfId="21" applyNumberFormat="1" applyFont="1" applyFill="1" applyBorder="1" applyAlignment="1">
      <alignment horizontal="center"/>
    </xf>
    <xf numFmtId="14" fontId="31" fillId="0" borderId="0" xfId="18" applyNumberFormat="1" applyFont="1" applyBorder="1">
      <alignment vertical="center"/>
    </xf>
    <xf numFmtId="177" fontId="31" fillId="0" borderId="0" xfId="18" applyNumberFormat="1" applyFont="1" applyFill="1" applyAlignment="1"/>
    <xf numFmtId="177" fontId="31" fillId="0" borderId="0" xfId="19" applyNumberFormat="1" applyFont="1" applyFill="1" applyBorder="1" applyAlignment="1"/>
    <xf numFmtId="26" fontId="0" fillId="8" borderId="0" xfId="0" applyNumberFormat="1" applyFill="1"/>
    <xf numFmtId="0" fontId="0" fillId="0" borderId="0" xfId="24" applyNumberFormat="1" applyFont="1"/>
    <xf numFmtId="178" fontId="22" fillId="0" borderId="0" xfId="1" applyFont="1" applyFill="1" applyAlignment="1">
      <alignment horizontal="center" vertical="center"/>
    </xf>
    <xf numFmtId="178" fontId="22" fillId="0" borderId="0" xfId="1" applyFont="1" applyFill="1" applyBorder="1" applyAlignment="1">
      <alignment horizontal="center" vertical="center"/>
    </xf>
    <xf numFmtId="181" fontId="21" fillId="3" borderId="5" xfId="0" applyNumberFormat="1" applyFont="1" applyFill="1" applyBorder="1"/>
    <xf numFmtId="3" fontId="22" fillId="9" borderId="0" xfId="0" applyNumberFormat="1" applyFont="1" applyFill="1"/>
    <xf numFmtId="3" fontId="22" fillId="0" borderId="0" xfId="0" applyNumberFormat="1" applyFont="1"/>
    <xf numFmtId="0" fontId="22" fillId="9" borderId="0" xfId="0" applyFont="1" applyFill="1"/>
    <xf numFmtId="4" fontId="22" fillId="8" borderId="0" xfId="0" applyNumberFormat="1" applyFont="1" applyFill="1"/>
    <xf numFmtId="4" fontId="22" fillId="9" borderId="0" xfId="0" applyNumberFormat="1" applyFont="1" applyFill="1"/>
    <xf numFmtId="0" fontId="22" fillId="8" borderId="0" xfId="0" applyFont="1" applyFill="1"/>
    <xf numFmtId="0" fontId="22" fillId="15" borderId="0" xfId="0" applyFont="1" applyFill="1"/>
    <xf numFmtId="177" fontId="17" fillId="0" borderId="0" xfId="17" applyNumberFormat="1" applyFont="1" applyAlignment="1">
      <alignment horizontal="center" vertical="center"/>
    </xf>
    <xf numFmtId="3" fontId="0" fillId="8" borderId="0" xfId="0" applyNumberFormat="1" applyFill="1"/>
    <xf numFmtId="0" fontId="2" fillId="0" borderId="0" xfId="17"/>
    <xf numFmtId="49" fontId="17" fillId="0" borderId="0" xfId="17" applyNumberFormat="1" applyFont="1" applyAlignment="1">
      <alignment horizontal="right"/>
    </xf>
    <xf numFmtId="49" fontId="34" fillId="0" borderId="0" xfId="17" applyNumberFormat="1" applyFont="1" applyAlignment="1">
      <alignment horizontal="left" vertical="center"/>
    </xf>
    <xf numFmtId="49" fontId="27" fillId="0" borderId="0" xfId="17" applyNumberFormat="1" applyFont="1" applyAlignment="1">
      <alignment horizontal="right"/>
    </xf>
    <xf numFmtId="49" fontId="20" fillId="0" borderId="0" xfId="17" applyNumberFormat="1" applyFont="1" applyAlignment="1">
      <alignment horizontal="right"/>
    </xf>
    <xf numFmtId="49" fontId="18" fillId="0" borderId="0" xfId="17" applyNumberFormat="1" applyFont="1" applyAlignment="1">
      <alignment horizontal="right"/>
    </xf>
    <xf numFmtId="49" fontId="31" fillId="0" borderId="0" xfId="17" applyNumberFormat="1" applyFont="1"/>
    <xf numFmtId="14" fontId="37" fillId="25" borderId="0" xfId="17" applyNumberFormat="1" applyFont="1" applyFill="1" applyAlignment="1">
      <alignment horizontal="center" vertical="center" wrapText="1"/>
    </xf>
    <xf numFmtId="14" fontId="31" fillId="0" borderId="0" xfId="17" applyNumberFormat="1" applyFont="1"/>
    <xf numFmtId="0" fontId="31" fillId="29" borderId="0" xfId="20" applyFont="1" applyFill="1" applyAlignment="1">
      <alignment horizontal="left"/>
    </xf>
    <xf numFmtId="0" fontId="31" fillId="0" borderId="0" xfId="20" applyFont="1" applyAlignment="1">
      <alignment horizontal="left"/>
    </xf>
    <xf numFmtId="0" fontId="17" fillId="25" borderId="0" xfId="20" applyFont="1" applyFill="1" applyAlignment="1">
      <alignment horizontal="left"/>
    </xf>
    <xf numFmtId="14" fontId="38" fillId="0" borderId="0" xfId="21" applyNumberFormat="1" applyFont="1" applyAlignment="1">
      <alignment horizontal="center"/>
    </xf>
    <xf numFmtId="43" fontId="17" fillId="0" borderId="0" xfId="17" applyNumberFormat="1" applyFont="1" applyAlignment="1">
      <alignment horizontal="center" vertical="center"/>
    </xf>
    <xf numFmtId="0" fontId="36" fillId="0" borderId="0" xfId="17" applyFont="1" applyAlignment="1">
      <alignment horizontal="center" vertical="center"/>
    </xf>
    <xf numFmtId="180" fontId="31" fillId="0" borderId="0" xfId="18" applyFont="1" applyFill="1" applyBorder="1" applyAlignment="1">
      <alignment horizontal="center"/>
    </xf>
    <xf numFmtId="181" fontId="17" fillId="0" borderId="0" xfId="18" applyNumberFormat="1" applyFont="1" applyFill="1" applyBorder="1" applyAlignment="1">
      <alignment horizontal="right"/>
    </xf>
    <xf numFmtId="181" fontId="17" fillId="0" borderId="0" xfId="17" applyNumberFormat="1" applyFont="1" applyAlignment="1">
      <alignment horizontal="right" vertical="center"/>
    </xf>
    <xf numFmtId="178" fontId="0" fillId="0" borderId="0" xfId="1" applyFont="1" applyAlignment="1">
      <alignment horizontal="center" vertical="center"/>
    </xf>
    <xf numFmtId="0" fontId="0" fillId="0" borderId="0" xfId="17" applyFont="1"/>
    <xf numFmtId="177" fontId="17" fillId="0" borderId="0" xfId="17" applyNumberFormat="1" applyFont="1" applyAlignment="1">
      <alignment horizontal="right"/>
    </xf>
    <xf numFmtId="0" fontId="26" fillId="0" borderId="0" xfId="0" applyFont="1" applyAlignment="1">
      <alignment horizontal="left"/>
    </xf>
    <xf numFmtId="0" fontId="26" fillId="19" borderId="0" xfId="0" applyFont="1" applyFill="1" applyAlignment="1">
      <alignment horizontal="center" vertical="center"/>
    </xf>
    <xf numFmtId="181" fontId="22" fillId="0" borderId="0" xfId="0" applyNumberFormat="1" applyFont="1" applyAlignment="1">
      <alignment vertical="center"/>
    </xf>
    <xf numFmtId="178" fontId="0" fillId="12" borderId="0" xfId="24" applyFont="1" applyFill="1" applyBorder="1"/>
    <xf numFmtId="9" fontId="31" fillId="0" borderId="0" xfId="2" applyFont="1" applyAlignment="1">
      <alignment horizontal="center"/>
    </xf>
    <xf numFmtId="185" fontId="0" fillId="12" borderId="0" xfId="0" applyNumberFormat="1" applyFill="1"/>
    <xf numFmtId="4" fontId="0" fillId="12" borderId="0" xfId="0" applyNumberFormat="1" applyFill="1"/>
    <xf numFmtId="180" fontId="17" fillId="0" borderId="0" xfId="18" applyFont="1" applyAlignment="1"/>
    <xf numFmtId="181" fontId="22" fillId="0" borderId="9" xfId="0" applyNumberFormat="1" applyFont="1" applyBorder="1" applyAlignment="1">
      <alignment vertical="center"/>
    </xf>
    <xf numFmtId="14" fontId="22" fillId="0" borderId="9" xfId="0" applyNumberFormat="1" applyFont="1" applyBorder="1" applyAlignment="1">
      <alignment horizontal="center" vertical="center"/>
    </xf>
    <xf numFmtId="0" fontId="26" fillId="0" borderId="16" xfId="0" applyFont="1" applyBorder="1" applyAlignment="1">
      <alignment horizontal="center"/>
    </xf>
    <xf numFmtId="0" fontId="22" fillId="0" borderId="1" xfId="0" applyFont="1" applyBorder="1" applyAlignment="1">
      <alignment horizontal="center"/>
    </xf>
    <xf numFmtId="178" fontId="22" fillId="2" borderId="0" xfId="1" applyFont="1" applyFill="1" applyBorder="1" applyAlignment="1">
      <alignment horizontal="center"/>
    </xf>
    <xf numFmtId="0" fontId="22" fillId="0" borderId="10" xfId="0" applyFont="1" applyBorder="1" applyAlignment="1">
      <alignment horizontal="center"/>
    </xf>
    <xf numFmtId="0" fontId="22" fillId="0" borderId="3" xfId="0" applyFont="1" applyBorder="1"/>
    <xf numFmtId="181" fontId="22" fillId="8" borderId="0" xfId="1" applyNumberFormat="1" applyFont="1" applyFill="1" applyBorder="1"/>
    <xf numFmtId="181" fontId="22" fillId="0" borderId="15" xfId="0" applyNumberFormat="1" applyFont="1" applyBorder="1"/>
    <xf numFmtId="0" fontId="39" fillId="0" borderId="0" xfId="17" applyFont="1" applyAlignment="1">
      <alignment horizontal="left"/>
    </xf>
    <xf numFmtId="9" fontId="39" fillId="0" borderId="0" xfId="2" applyFont="1" applyAlignment="1">
      <alignment horizontal="center"/>
    </xf>
    <xf numFmtId="177" fontId="39" fillId="0" borderId="0" xfId="19" applyNumberFormat="1" applyFont="1" applyFill="1" applyBorder="1" applyAlignment="1"/>
    <xf numFmtId="180" fontId="39" fillId="0" borderId="0" xfId="18" applyFont="1" applyFill="1" applyBorder="1" applyAlignment="1"/>
    <xf numFmtId="0" fontId="50" fillId="0" borderId="0" xfId="17" applyFont="1"/>
    <xf numFmtId="9" fontId="0" fillId="0" borderId="0" xfId="0" applyNumberFormat="1" applyAlignment="1">
      <alignment horizontal="center"/>
    </xf>
    <xf numFmtId="0" fontId="0" fillId="0" borderId="8" xfId="0" applyBorder="1"/>
    <xf numFmtId="0" fontId="50" fillId="0" borderId="0" xfId="0" applyFont="1"/>
    <xf numFmtId="0" fontId="50" fillId="0" borderId="0" xfId="0" applyFont="1" applyAlignment="1">
      <alignment horizontal="center" vertical="center"/>
    </xf>
    <xf numFmtId="178" fontId="50" fillId="0" borderId="0" xfId="24" applyFont="1" applyBorder="1" applyAlignment="1">
      <alignment horizontal="left" vertical="center"/>
    </xf>
    <xf numFmtId="178" fontId="50" fillId="0" borderId="0" xfId="24" applyFont="1" applyAlignment="1">
      <alignment horizontal="center" vertical="center"/>
    </xf>
    <xf numFmtId="178" fontId="50" fillId="11" borderId="0" xfId="24" applyFont="1" applyFill="1" applyAlignment="1">
      <alignment horizontal="center" vertical="center"/>
    </xf>
    <xf numFmtId="14" fontId="50" fillId="0" borderId="0" xfId="24" applyNumberFormat="1" applyFont="1" applyAlignment="1">
      <alignment horizontal="center" vertical="center"/>
    </xf>
    <xf numFmtId="9" fontId="50" fillId="0" borderId="0" xfId="25" applyFont="1" applyAlignment="1">
      <alignment horizontal="center" vertical="center"/>
    </xf>
    <xf numFmtId="178" fontId="50" fillId="0" borderId="0" xfId="24" applyFont="1" applyBorder="1" applyAlignment="1">
      <alignment horizontal="center" vertical="center"/>
    </xf>
    <xf numFmtId="186" fontId="51" fillId="0" borderId="0" xfId="7" applyNumberFormat="1" applyFont="1"/>
    <xf numFmtId="0" fontId="52" fillId="0" borderId="0" xfId="0" applyFont="1"/>
    <xf numFmtId="0" fontId="52" fillId="0" borderId="0" xfId="0" applyFont="1" applyAlignment="1">
      <alignment horizontal="center" vertical="center"/>
    </xf>
    <xf numFmtId="178" fontId="52" fillId="0" borderId="0" xfId="24" applyFont="1" applyBorder="1" applyAlignment="1">
      <alignment horizontal="left" vertical="center"/>
    </xf>
    <xf numFmtId="178" fontId="52" fillId="0" borderId="0" xfId="24" applyFont="1" applyAlignment="1">
      <alignment horizontal="center" vertical="center"/>
    </xf>
    <xf numFmtId="9" fontId="52" fillId="0" borderId="0" xfId="25" applyFont="1" applyAlignment="1">
      <alignment horizontal="center" vertical="center"/>
    </xf>
    <xf numFmtId="178" fontId="52" fillId="0" borderId="0" xfId="24" applyFont="1" applyBorder="1" applyAlignment="1">
      <alignment horizontal="center" vertical="center"/>
    </xf>
    <xf numFmtId="186" fontId="53" fillId="0" borderId="0" xfId="7" applyNumberFormat="1" applyFont="1"/>
    <xf numFmtId="178" fontId="50" fillId="0" borderId="0" xfId="24" applyFont="1" applyAlignment="1">
      <alignment horizontal="left" vertical="center"/>
    </xf>
    <xf numFmtId="0" fontId="50" fillId="0" borderId="0" xfId="0" applyFont="1" applyAlignment="1">
      <alignment vertical="center"/>
    </xf>
    <xf numFmtId="178" fontId="50" fillId="0" borderId="0" xfId="24" applyFont="1" applyFill="1" applyAlignment="1">
      <alignment horizontal="center" vertical="center"/>
    </xf>
    <xf numFmtId="178" fontId="51" fillId="14" borderId="0" xfId="7" applyNumberFormat="1" applyFont="1" applyFill="1"/>
    <xf numFmtId="0" fontId="1" fillId="0" borderId="0" xfId="17" applyFont="1"/>
    <xf numFmtId="177" fontId="17" fillId="0" borderId="0" xfId="17" applyNumberFormat="1" applyFont="1" applyAlignment="1">
      <alignment horizontal="right" vertical="center"/>
    </xf>
    <xf numFmtId="0" fontId="17" fillId="6" borderId="0" xfId="17" applyFont="1" applyFill="1"/>
    <xf numFmtId="0" fontId="26" fillId="0" borderId="18" xfId="0" applyFont="1" applyBorder="1"/>
    <xf numFmtId="0" fontId="49" fillId="0" borderId="0" xfId="17" applyFont="1" applyAlignment="1">
      <alignment horizontal="center" vertical="center"/>
    </xf>
    <xf numFmtId="0" fontId="0" fillId="0" borderId="0" xfId="17" applyFont="1" applyAlignment="1">
      <alignment horizontal="center"/>
    </xf>
    <xf numFmtId="0" fontId="1" fillId="0" borderId="0" xfId="17" applyFont="1" applyAlignment="1">
      <alignment horizontal="center"/>
    </xf>
    <xf numFmtId="181" fontId="31" fillId="0" borderId="0" xfId="24" applyNumberFormat="1" applyFont="1" applyBorder="1" applyAlignment="1">
      <alignment horizontal="left"/>
    </xf>
    <xf numFmtId="181" fontId="31" fillId="0" borderId="0" xfId="17" applyNumberFormat="1" applyFont="1" applyAlignment="1">
      <alignment horizontal="left"/>
    </xf>
    <xf numFmtId="14" fontId="49" fillId="0" borderId="0" xfId="17" applyNumberFormat="1" applyFont="1" applyAlignment="1">
      <alignment vertical="center"/>
    </xf>
    <xf numFmtId="0" fontId="49" fillId="0" borderId="0" xfId="17" applyFont="1" applyAlignment="1">
      <alignment vertical="center"/>
    </xf>
    <xf numFmtId="0" fontId="34" fillId="0" borderId="0" xfId="36" applyFont="1" applyAlignment="1">
      <alignment horizontal="center" vertical="center"/>
    </xf>
    <xf numFmtId="0" fontId="34" fillId="0" borderId="0" xfId="36" applyFont="1" applyAlignment="1">
      <alignment vertical="center"/>
    </xf>
    <xf numFmtId="0" fontId="34" fillId="0" borderId="0" xfId="36" applyFont="1" applyAlignment="1">
      <alignment horizontal="left" vertical="center"/>
    </xf>
    <xf numFmtId="0" fontId="34" fillId="0" borderId="0" xfId="36" applyFont="1" applyAlignment="1">
      <alignment horizontal="right" vertical="center"/>
    </xf>
    <xf numFmtId="0" fontId="31" fillId="0" borderId="0" xfId="36" applyFont="1" applyAlignment="1">
      <alignment horizontal="center"/>
    </xf>
    <xf numFmtId="0" fontId="17" fillId="0" borderId="0" xfId="36" applyFont="1" applyAlignment="1">
      <alignment horizontal="center" vertical="center"/>
    </xf>
    <xf numFmtId="0" fontId="17" fillId="0" borderId="0" xfId="36" applyFont="1" applyAlignment="1">
      <alignment horizontal="left" vertical="center"/>
    </xf>
    <xf numFmtId="0" fontId="17" fillId="0" borderId="0" xfId="36" applyFont="1" applyAlignment="1">
      <alignment horizontal="left"/>
    </xf>
    <xf numFmtId="0" fontId="18" fillId="0" borderId="0" xfId="36" applyFont="1" applyAlignment="1">
      <alignment horizontal="left" vertical="center"/>
    </xf>
    <xf numFmtId="14" fontId="17" fillId="0" borderId="0" xfId="36" applyNumberFormat="1" applyFont="1" applyAlignment="1">
      <alignment horizontal="left"/>
    </xf>
    <xf numFmtId="49" fontId="17" fillId="0" borderId="0" xfId="36" applyNumberFormat="1" applyFont="1" applyAlignment="1">
      <alignment horizontal="right"/>
    </xf>
    <xf numFmtId="0" fontId="17" fillId="0" borderId="0" xfId="36" applyFont="1"/>
    <xf numFmtId="0" fontId="17" fillId="0" borderId="0" xfId="36" applyFont="1" applyAlignment="1">
      <alignment horizontal="center"/>
    </xf>
    <xf numFmtId="0" fontId="17" fillId="0" borderId="0" xfId="36" applyFont="1" applyAlignment="1">
      <alignment horizontal="right" wrapText="1"/>
    </xf>
    <xf numFmtId="0" fontId="31" fillId="0" borderId="0" xfId="36" applyFont="1"/>
    <xf numFmtId="14" fontId="31" fillId="0" borderId="0" xfId="36" applyNumberFormat="1" applyFont="1" applyAlignment="1">
      <alignment horizontal="center"/>
    </xf>
    <xf numFmtId="14" fontId="31" fillId="0" borderId="0" xfId="36" applyNumberFormat="1" applyFont="1"/>
    <xf numFmtId="0" fontId="17" fillId="0" borderId="0" xfId="36" applyFont="1" applyAlignment="1">
      <alignment horizontal="right"/>
    </xf>
    <xf numFmtId="17" fontId="31" fillId="0" borderId="0" xfId="36" applyNumberFormat="1" applyFont="1" applyAlignment="1">
      <alignment horizontal="center"/>
    </xf>
    <xf numFmtId="0" fontId="17" fillId="0" borderId="0" xfId="36" applyFont="1" applyAlignment="1">
      <alignment horizontal="left" vertical="top"/>
    </xf>
    <xf numFmtId="0" fontId="39" fillId="0" borderId="0" xfId="36" applyFont="1"/>
    <xf numFmtId="14" fontId="39" fillId="0" borderId="0" xfId="36" applyNumberFormat="1" applyFont="1" applyAlignment="1">
      <alignment horizontal="center"/>
    </xf>
    <xf numFmtId="14" fontId="38" fillId="0" borderId="0" xfId="38" applyNumberFormat="1" applyFont="1" applyFill="1" applyBorder="1" applyAlignment="1">
      <alignment horizontal="center"/>
    </xf>
    <xf numFmtId="14" fontId="38" fillId="0" borderId="0" xfId="38" applyNumberFormat="1" applyFont="1" applyAlignment="1">
      <alignment horizontal="center"/>
    </xf>
    <xf numFmtId="0" fontId="20" fillId="0" borderId="0" xfId="36" applyFont="1" applyAlignment="1">
      <alignment horizontal="center" vertical="center"/>
    </xf>
    <xf numFmtId="0" fontId="20" fillId="0" borderId="0" xfId="36" applyFont="1"/>
    <xf numFmtId="0" fontId="20" fillId="0" borderId="0" xfId="36" applyFont="1" applyAlignment="1">
      <alignment horizontal="left" vertical="center"/>
    </xf>
    <xf numFmtId="0" fontId="20" fillId="0" borderId="0" xfId="36" applyFont="1" applyAlignment="1">
      <alignment horizontal="left"/>
    </xf>
    <xf numFmtId="14" fontId="20" fillId="0" borderId="0" xfId="36" applyNumberFormat="1" applyFont="1" applyAlignment="1">
      <alignment horizontal="left"/>
    </xf>
    <xf numFmtId="49" fontId="20" fillId="0" borderId="0" xfId="36" applyNumberFormat="1" applyFont="1" applyAlignment="1">
      <alignment horizontal="right"/>
    </xf>
    <xf numFmtId="0" fontId="20" fillId="0" borderId="0" xfId="36" applyFont="1" applyAlignment="1">
      <alignment horizontal="center"/>
    </xf>
    <xf numFmtId="0" fontId="20" fillId="0" borderId="0" xfId="36" applyFont="1" applyAlignment="1">
      <alignment horizontal="right"/>
    </xf>
    <xf numFmtId="0" fontId="17" fillId="0" borderId="0" xfId="36" applyFont="1" applyAlignment="1">
      <alignment horizontal="left" wrapText="1"/>
    </xf>
    <xf numFmtId="0" fontId="17" fillId="0" borderId="0" xfId="36" applyFont="1" applyAlignment="1">
      <alignment wrapText="1"/>
    </xf>
    <xf numFmtId="0" fontId="17" fillId="0" borderId="0" xfId="36" applyFont="1" applyAlignment="1">
      <alignment horizontal="center" wrapText="1"/>
    </xf>
    <xf numFmtId="0" fontId="18" fillId="0" borderId="0" xfId="36" applyFont="1"/>
    <xf numFmtId="0" fontId="17" fillId="0" borderId="0" xfId="36" applyFont="1" applyAlignment="1">
      <alignment horizontal="fill"/>
    </xf>
    <xf numFmtId="4" fontId="17" fillId="0" borderId="0" xfId="36" applyNumberFormat="1" applyFont="1"/>
    <xf numFmtId="181" fontId="31" fillId="0" borderId="0" xfId="39" applyNumberFormat="1" applyFont="1" applyBorder="1" applyAlignment="1">
      <alignment horizontal="left"/>
    </xf>
    <xf numFmtId="178" fontId="31" fillId="0" borderId="0" xfId="39" applyFont="1" applyBorder="1" applyAlignment="1">
      <alignment horizontal="center"/>
    </xf>
    <xf numFmtId="0" fontId="31" fillId="0" borderId="0" xfId="36" applyFont="1" applyAlignment="1">
      <alignment horizontal="left"/>
    </xf>
    <xf numFmtId="181" fontId="17" fillId="0" borderId="0" xfId="36" applyNumberFormat="1" applyFont="1" applyAlignment="1">
      <alignment horizontal="right" vertical="center"/>
    </xf>
    <xf numFmtId="181" fontId="31" fillId="0" borderId="0" xfId="36" applyNumberFormat="1" applyFont="1" applyAlignment="1">
      <alignment horizontal="left"/>
    </xf>
    <xf numFmtId="178" fontId="22" fillId="0" borderId="2" xfId="1" applyFont="1" applyBorder="1" applyAlignment="1">
      <alignment horizontal="center" vertical="center"/>
    </xf>
    <xf numFmtId="178" fontId="22" fillId="0" borderId="1" xfId="1" applyFont="1" applyFill="1" applyBorder="1"/>
    <xf numFmtId="9" fontId="31" fillId="0" borderId="0" xfId="36" applyNumberFormat="1" applyFont="1" applyAlignment="1">
      <alignment horizontal="center"/>
    </xf>
    <xf numFmtId="181" fontId="0" fillId="8" borderId="0" xfId="24" applyNumberFormat="1" applyFont="1" applyFill="1" applyBorder="1"/>
    <xf numFmtId="181" fontId="31" fillId="0" borderId="0" xfId="36" applyNumberFormat="1" applyFont="1" applyAlignment="1">
      <alignment horizontal="right"/>
    </xf>
    <xf numFmtId="0" fontId="31" fillId="0" borderId="0" xfId="36" applyFont="1" applyAlignment="1">
      <alignment horizontal="right"/>
    </xf>
    <xf numFmtId="181" fontId="17" fillId="0" borderId="0" xfId="18" applyNumberFormat="1" applyFont="1" applyFill="1" applyBorder="1" applyAlignment="1"/>
    <xf numFmtId="181" fontId="17" fillId="0" borderId="0" xfId="18" applyNumberFormat="1" applyFont="1" applyFill="1" applyBorder="1" applyAlignment="1">
      <alignment horizontal="center"/>
    </xf>
    <xf numFmtId="181" fontId="17" fillId="0" borderId="0" xfId="36" applyNumberFormat="1" applyFont="1" applyAlignment="1">
      <alignment horizontal="center" vertical="center"/>
    </xf>
    <xf numFmtId="181" fontId="17" fillId="0" borderId="0" xfId="36" applyNumberFormat="1" applyFont="1" applyAlignment="1">
      <alignment horizontal="right"/>
    </xf>
    <xf numFmtId="177" fontId="22" fillId="0" borderId="0" xfId="1" applyNumberFormat="1" applyFont="1" applyFill="1"/>
    <xf numFmtId="0" fontId="31" fillId="0" borderId="0" xfId="0" applyFont="1" applyAlignment="1">
      <alignment horizontal="center" vertical="center"/>
    </xf>
    <xf numFmtId="0" fontId="56" fillId="32" borderId="19" xfId="40" applyFont="1" applyFill="1" applyBorder="1" applyAlignment="1">
      <alignment horizontal="center" vertical="center" wrapText="1"/>
    </xf>
    <xf numFmtId="0" fontId="57" fillId="0" borderId="19" xfId="0" applyFont="1" applyBorder="1" applyAlignment="1">
      <alignment horizontal="center" vertical="center"/>
    </xf>
    <xf numFmtId="0" fontId="57" fillId="0" borderId="19" xfId="0" applyFont="1" applyBorder="1" applyAlignment="1">
      <alignment horizontal="center" vertical="center" wrapText="1"/>
    </xf>
    <xf numFmtId="0" fontId="57" fillId="0" borderId="19" xfId="0" quotePrefix="1" applyFont="1" applyBorder="1" applyAlignment="1">
      <alignment horizontal="center" vertical="center"/>
    </xf>
    <xf numFmtId="0" fontId="0" fillId="0" borderId="0" xfId="0" quotePrefix="1"/>
    <xf numFmtId="0" fontId="57" fillId="6" borderId="19" xfId="0" applyFont="1" applyFill="1" applyBorder="1" applyAlignment="1">
      <alignment horizontal="center" vertical="center"/>
    </xf>
    <xf numFmtId="0" fontId="57" fillId="6" borderId="19" xfId="0" quotePrefix="1" applyFont="1" applyFill="1" applyBorder="1" applyAlignment="1">
      <alignment horizontal="center" vertical="center"/>
    </xf>
    <xf numFmtId="0" fontId="57" fillId="6" borderId="19" xfId="0" applyFont="1" applyFill="1" applyBorder="1" applyAlignment="1">
      <alignment horizontal="center" vertical="center" wrapText="1"/>
    </xf>
    <xf numFmtId="0" fontId="22" fillId="0" borderId="9" xfId="0" applyFont="1" applyBorder="1" applyAlignment="1">
      <alignment horizontal="center" vertical="center"/>
    </xf>
    <xf numFmtId="0" fontId="17" fillId="31" borderId="9" xfId="36" applyFont="1" applyFill="1" applyBorder="1"/>
    <xf numFmtId="0" fontId="17" fillId="31" borderId="9" xfId="36" applyFont="1" applyFill="1" applyBorder="1" applyAlignment="1">
      <alignment horizontal="center"/>
    </xf>
    <xf numFmtId="0" fontId="31" fillId="31" borderId="9" xfId="36" applyFont="1" applyFill="1" applyBorder="1" applyAlignment="1">
      <alignment horizontal="center"/>
    </xf>
    <xf numFmtId="9" fontId="31" fillId="31" borderId="9" xfId="37" applyFont="1" applyFill="1" applyBorder="1" applyAlignment="1">
      <alignment horizontal="center"/>
    </xf>
    <xf numFmtId="0" fontId="17" fillId="33" borderId="9" xfId="36" applyFont="1" applyFill="1" applyBorder="1"/>
    <xf numFmtId="0" fontId="17" fillId="0" borderId="9" xfId="36" applyFont="1" applyBorder="1" applyAlignment="1">
      <alignment horizontal="center"/>
    </xf>
    <xf numFmtId="0" fontId="17" fillId="0" borderId="9" xfId="17" applyFont="1" applyBorder="1"/>
    <xf numFmtId="0" fontId="31" fillId="0" borderId="9" xfId="36" applyFont="1" applyBorder="1" applyAlignment="1">
      <alignment horizontal="center"/>
    </xf>
    <xf numFmtId="9" fontId="31" fillId="0" borderId="9" xfId="37" applyFont="1" applyBorder="1" applyAlignment="1">
      <alignment horizontal="center"/>
    </xf>
    <xf numFmtId="0" fontId="17" fillId="0" borderId="9" xfId="36" applyFont="1" applyBorder="1"/>
    <xf numFmtId="0" fontId="17" fillId="6" borderId="9" xfId="36" applyFont="1" applyFill="1" applyBorder="1"/>
    <xf numFmtId="0" fontId="60" fillId="0" borderId="0" xfId="0" applyFont="1"/>
    <xf numFmtId="0" fontId="61" fillId="2" borderId="2" xfId="0" applyFont="1" applyFill="1" applyBorder="1"/>
    <xf numFmtId="0" fontId="61" fillId="2" borderId="0" xfId="0" applyFont="1" applyFill="1"/>
    <xf numFmtId="0" fontId="61" fillId="2" borderId="3" xfId="0" applyFont="1" applyFill="1" applyBorder="1" applyAlignment="1">
      <alignment horizontal="left"/>
    </xf>
    <xf numFmtId="178" fontId="61" fillId="2" borderId="3" xfId="1" applyFont="1" applyFill="1" applyBorder="1"/>
    <xf numFmtId="0" fontId="61" fillId="0" borderId="0" xfId="0" applyFont="1" applyAlignment="1">
      <alignment horizontal="left"/>
    </xf>
    <xf numFmtId="9" fontId="61" fillId="2" borderId="3" xfId="2" applyFont="1" applyFill="1" applyBorder="1" applyAlignment="1">
      <alignment horizontal="center"/>
    </xf>
    <xf numFmtId="0" fontId="26" fillId="21" borderId="0" xfId="0" applyFont="1" applyFill="1" applyAlignment="1">
      <alignment horizontal="center"/>
    </xf>
    <xf numFmtId="0" fontId="62" fillId="0" borderId="0" xfId="0" applyFont="1"/>
    <xf numFmtId="0" fontId="55" fillId="0" borderId="21" xfId="0" applyFont="1" applyBorder="1"/>
    <xf numFmtId="0" fontId="55" fillId="36" borderId="21" xfId="0" applyFont="1" applyFill="1" applyBorder="1"/>
    <xf numFmtId="0" fontId="55" fillId="35" borderId="21" xfId="0" applyFont="1" applyFill="1" applyBorder="1"/>
    <xf numFmtId="0" fontId="55" fillId="37" borderId="21" xfId="0" applyFont="1" applyFill="1" applyBorder="1"/>
    <xf numFmtId="0" fontId="63" fillId="38" borderId="19" xfId="0" applyFont="1" applyFill="1" applyBorder="1"/>
    <xf numFmtId="190" fontId="61" fillId="2" borderId="3" xfId="1" applyNumberFormat="1" applyFont="1" applyFill="1" applyBorder="1"/>
    <xf numFmtId="191" fontId="61" fillId="2" borderId="3" xfId="1" applyNumberFormat="1" applyFont="1" applyFill="1" applyBorder="1"/>
    <xf numFmtId="191" fontId="61" fillId="2" borderId="3" xfId="0" applyNumberFormat="1" applyFont="1" applyFill="1" applyBorder="1"/>
    <xf numFmtId="0" fontId="55" fillId="0" borderId="23" xfId="0" applyFont="1" applyBorder="1"/>
    <xf numFmtId="11" fontId="55" fillId="0" borderId="23" xfId="0" applyNumberFormat="1" applyFont="1" applyBorder="1"/>
    <xf numFmtId="0" fontId="10" fillId="34" borderId="21" xfId="0" applyFont="1" applyFill="1" applyBorder="1" applyAlignment="1">
      <alignment wrapText="1"/>
    </xf>
    <xf numFmtId="0" fontId="55" fillId="34" borderId="21" xfId="0" applyFont="1" applyFill="1" applyBorder="1" applyAlignment="1">
      <alignment wrapText="1"/>
    </xf>
    <xf numFmtId="0" fontId="10" fillId="34" borderId="23" xfId="0" applyFont="1" applyFill="1" applyBorder="1" applyAlignment="1">
      <alignment wrapText="1"/>
    </xf>
    <xf numFmtId="0" fontId="55" fillId="0" borderId="24" xfId="0" applyFont="1" applyBorder="1"/>
    <xf numFmtId="0" fontId="10" fillId="0" borderId="24" xfId="0" applyFont="1" applyBorder="1"/>
    <xf numFmtId="0" fontId="55" fillId="0" borderId="0" xfId="0" applyFont="1"/>
    <xf numFmtId="0" fontId="27" fillId="39" borderId="0" xfId="36" applyFont="1" applyFill="1" applyAlignment="1">
      <alignment horizontal="center" vertical="center"/>
    </xf>
    <xf numFmtId="0" fontId="27" fillId="39" borderId="0" xfId="36" applyFont="1" applyFill="1" applyAlignment="1">
      <alignment horizontal="left"/>
    </xf>
    <xf numFmtId="0" fontId="40" fillId="39" borderId="0" xfId="36" applyFont="1" applyFill="1" applyAlignment="1">
      <alignment horizontal="left" vertical="center"/>
    </xf>
    <xf numFmtId="14" fontId="27" fillId="39" borderId="0" xfId="36" applyNumberFormat="1" applyFont="1" applyFill="1" applyAlignment="1">
      <alignment horizontal="left"/>
    </xf>
    <xf numFmtId="0" fontId="27" fillId="39" borderId="0" xfId="36" applyFont="1" applyFill="1"/>
    <xf numFmtId="0" fontId="27" fillId="39" borderId="0" xfId="36" applyFont="1" applyFill="1" applyAlignment="1">
      <alignment horizontal="center"/>
    </xf>
    <xf numFmtId="0" fontId="27" fillId="39" borderId="0" xfId="36" applyFont="1" applyFill="1" applyAlignment="1">
      <alignment horizontal="right" wrapText="1"/>
    </xf>
    <xf numFmtId="0" fontId="39" fillId="39" borderId="0" xfId="36" applyFont="1" applyFill="1" applyAlignment="1">
      <alignment horizontal="center"/>
    </xf>
    <xf numFmtId="49" fontId="27" fillId="39" borderId="0" xfId="36" applyNumberFormat="1" applyFont="1" applyFill="1" applyAlignment="1">
      <alignment horizontal="right"/>
    </xf>
    <xf numFmtId="0" fontId="39" fillId="39" borderId="0" xfId="36" applyFont="1" applyFill="1"/>
    <xf numFmtId="180" fontId="39" fillId="39" borderId="0" xfId="18" applyFont="1" applyFill="1" applyBorder="1" applyAlignment="1">
      <alignment horizontal="left"/>
    </xf>
    <xf numFmtId="14" fontId="39" fillId="39" borderId="0" xfId="36" applyNumberFormat="1" applyFont="1" applyFill="1" applyAlignment="1">
      <alignment horizontal="center"/>
    </xf>
    <xf numFmtId="180" fontId="39" fillId="39" borderId="0" xfId="18" applyFont="1" applyFill="1" applyBorder="1" applyAlignment="1"/>
    <xf numFmtId="0" fontId="31" fillId="39" borderId="0" xfId="36" applyFont="1" applyFill="1"/>
    <xf numFmtId="14" fontId="31" fillId="39" borderId="0" xfId="36" applyNumberFormat="1" applyFont="1" applyFill="1"/>
    <xf numFmtId="0" fontId="27" fillId="39" borderId="0" xfId="36" applyFont="1" applyFill="1" applyAlignment="1">
      <alignment horizontal="left" vertical="center"/>
    </xf>
    <xf numFmtId="0" fontId="27" fillId="39" borderId="0" xfId="36" applyFont="1" applyFill="1" applyAlignment="1">
      <alignment horizontal="right"/>
    </xf>
    <xf numFmtId="17" fontId="39" fillId="39" borderId="0" xfId="36" applyNumberFormat="1" applyFont="1" applyFill="1" applyAlignment="1">
      <alignment horizontal="center"/>
    </xf>
    <xf numFmtId="14" fontId="42" fillId="39" borderId="0" xfId="38" applyNumberFormat="1" applyFont="1" applyFill="1" applyBorder="1" applyAlignment="1">
      <alignment horizontal="center"/>
    </xf>
    <xf numFmtId="0" fontId="17" fillId="39" borderId="0" xfId="36" applyFont="1" applyFill="1" applyAlignment="1">
      <alignment horizontal="center" vertical="center"/>
    </xf>
    <xf numFmtId="0" fontId="39" fillId="39" borderId="0" xfId="36" applyFont="1" applyFill="1" applyAlignment="1">
      <alignment horizontal="left"/>
    </xf>
    <xf numFmtId="177" fontId="39" fillId="39" borderId="0" xfId="19" applyNumberFormat="1" applyFont="1" applyFill="1" applyBorder="1" applyAlignment="1"/>
    <xf numFmtId="0" fontId="39" fillId="39" borderId="0" xfId="17" applyFont="1" applyFill="1" applyAlignment="1">
      <alignment horizontal="center"/>
    </xf>
    <xf numFmtId="0" fontId="27" fillId="39" borderId="0" xfId="17" applyFont="1" applyFill="1" applyAlignment="1">
      <alignment horizontal="center" vertical="center"/>
    </xf>
    <xf numFmtId="0" fontId="27" fillId="39" borderId="0" xfId="17" applyFont="1" applyFill="1" applyAlignment="1">
      <alignment horizontal="left" vertical="center"/>
    </xf>
    <xf numFmtId="0" fontId="27" fillId="39" borderId="0" xfId="17" applyFont="1" applyFill="1" applyAlignment="1">
      <alignment horizontal="left"/>
    </xf>
    <xf numFmtId="0" fontId="27" fillId="39" borderId="0" xfId="17" applyFont="1" applyFill="1" applyAlignment="1">
      <alignment horizontal="center"/>
    </xf>
    <xf numFmtId="49" fontId="27" fillId="39" borderId="0" xfId="17" applyNumberFormat="1" applyFont="1" applyFill="1" applyAlignment="1">
      <alignment horizontal="right"/>
    </xf>
    <xf numFmtId="181" fontId="27" fillId="39" borderId="0" xfId="36" applyNumberFormat="1" applyFont="1" applyFill="1" applyAlignment="1">
      <alignment horizontal="right"/>
    </xf>
    <xf numFmtId="0" fontId="27" fillId="39" borderId="0" xfId="17" applyFont="1" applyFill="1"/>
    <xf numFmtId="0" fontId="40" fillId="39" borderId="0" xfId="17" applyFont="1" applyFill="1" applyAlignment="1">
      <alignment horizontal="left" vertical="center"/>
    </xf>
    <xf numFmtId="0" fontId="17" fillId="39" borderId="0" xfId="17" applyFont="1" applyFill="1" applyAlignment="1">
      <alignment horizontal="center"/>
    </xf>
    <xf numFmtId="14" fontId="39" fillId="39" borderId="0" xfId="17" applyNumberFormat="1" applyFont="1" applyFill="1" applyAlignment="1">
      <alignment horizontal="center"/>
    </xf>
    <xf numFmtId="0" fontId="39" fillId="39" borderId="0" xfId="17" applyFont="1" applyFill="1"/>
    <xf numFmtId="181" fontId="20" fillId="0" borderId="0" xfId="18" applyNumberFormat="1" applyFont="1" applyFill="1" applyBorder="1" applyAlignment="1"/>
    <xf numFmtId="181" fontId="17" fillId="0" borderId="0" xfId="1" applyNumberFormat="1" applyFont="1" applyFill="1" applyBorder="1" applyAlignment="1"/>
    <xf numFmtId="181" fontId="27" fillId="39" borderId="0" xfId="18" applyNumberFormat="1" applyFont="1" applyFill="1" applyBorder="1" applyAlignment="1"/>
    <xf numFmtId="181" fontId="17" fillId="0" borderId="0" xfId="1" applyNumberFormat="1" applyFont="1" applyAlignment="1">
      <alignment horizontal="right"/>
    </xf>
    <xf numFmtId="178" fontId="23" fillId="8" borderId="0" xfId="0" applyNumberFormat="1" applyFont="1" applyFill="1"/>
    <xf numFmtId="0" fontId="36" fillId="0" borderId="0" xfId="36" applyFont="1" applyAlignment="1">
      <alignment horizontal="center" vertical="center"/>
    </xf>
    <xf numFmtId="49" fontId="34" fillId="0" borderId="0" xfId="36" applyNumberFormat="1" applyFont="1" applyAlignment="1">
      <alignment horizontal="left" vertical="center"/>
    </xf>
    <xf numFmtId="181" fontId="34" fillId="0" borderId="0" xfId="36" applyNumberFormat="1" applyFont="1" applyAlignment="1">
      <alignment vertical="center"/>
    </xf>
    <xf numFmtId="0" fontId="35" fillId="0" borderId="0" xfId="36" applyFont="1" applyAlignment="1">
      <alignment horizontal="center" vertical="center" wrapText="1"/>
    </xf>
    <xf numFmtId="0" fontId="36" fillId="25" borderId="0" xfId="36" applyFont="1" applyFill="1" applyAlignment="1">
      <alignment vertical="center"/>
    </xf>
    <xf numFmtId="14" fontId="37" fillId="25" borderId="0" xfId="36" applyNumberFormat="1" applyFont="1" applyFill="1" applyAlignment="1">
      <alignment horizontal="center" vertical="center" wrapText="1"/>
    </xf>
    <xf numFmtId="14" fontId="36" fillId="25" borderId="0" xfId="36" applyNumberFormat="1" applyFont="1" applyFill="1" applyAlignment="1">
      <alignment horizontal="center" vertical="center" wrapText="1"/>
    </xf>
    <xf numFmtId="0" fontId="36" fillId="26" borderId="0" xfId="36" applyFont="1" applyFill="1" applyAlignment="1">
      <alignment vertical="center"/>
    </xf>
    <xf numFmtId="14" fontId="36" fillId="26" borderId="0" xfId="36" applyNumberFormat="1" applyFont="1" applyFill="1" applyAlignment="1">
      <alignment horizontal="center" vertical="center" wrapText="1"/>
    </xf>
    <xf numFmtId="0" fontId="36" fillId="0" borderId="0" xfId="36" applyFont="1" applyAlignment="1">
      <alignment vertical="center"/>
    </xf>
    <xf numFmtId="14" fontId="36" fillId="0" borderId="0" xfId="36" applyNumberFormat="1" applyFont="1" applyAlignment="1">
      <alignment vertical="center"/>
    </xf>
    <xf numFmtId="14" fontId="31" fillId="0" borderId="9" xfId="0" applyNumberFormat="1" applyFont="1" applyBorder="1" applyAlignment="1">
      <alignment horizontal="center" vertical="center"/>
    </xf>
    <xf numFmtId="181" fontId="31" fillId="0" borderId="9" xfId="0" applyNumberFormat="1" applyFont="1" applyBorder="1" applyAlignment="1">
      <alignment vertical="center"/>
    </xf>
    <xf numFmtId="180" fontId="17" fillId="0" borderId="0" xfId="18" applyFont="1" applyBorder="1" applyAlignment="1"/>
    <xf numFmtId="49" fontId="18" fillId="0" borderId="0" xfId="36" applyNumberFormat="1" applyFont="1" applyAlignment="1">
      <alignment horizontal="right"/>
    </xf>
    <xf numFmtId="181" fontId="18" fillId="0" borderId="0" xfId="18" applyNumberFormat="1" applyFont="1" applyFill="1" applyBorder="1" applyAlignment="1"/>
    <xf numFmtId="0" fontId="17" fillId="0" borderId="18" xfId="0" applyFont="1" applyBorder="1"/>
    <xf numFmtId="181" fontId="31" fillId="0" borderId="0" xfId="0" applyNumberFormat="1" applyFont="1" applyAlignment="1">
      <alignment vertical="center"/>
    </xf>
    <xf numFmtId="14" fontId="31" fillId="39" borderId="0" xfId="36" applyNumberFormat="1" applyFont="1" applyFill="1" applyAlignment="1">
      <alignment horizontal="center"/>
    </xf>
    <xf numFmtId="177" fontId="39" fillId="39" borderId="0" xfId="18" applyNumberFormat="1" applyFont="1" applyFill="1" applyBorder="1" applyAlignment="1"/>
    <xf numFmtId="181" fontId="27" fillId="39" borderId="0" xfId="1" applyNumberFormat="1" applyFont="1" applyFill="1" applyBorder="1" applyAlignment="1"/>
    <xf numFmtId="14" fontId="39" fillId="39" borderId="0" xfId="36" applyNumberFormat="1" applyFont="1" applyFill="1"/>
    <xf numFmtId="180" fontId="39" fillId="39" borderId="0" xfId="18" applyFont="1" applyFill="1" applyAlignment="1"/>
    <xf numFmtId="14" fontId="42" fillId="39" borderId="0" xfId="38" applyNumberFormat="1" applyFont="1" applyFill="1" applyAlignment="1">
      <alignment horizontal="center"/>
    </xf>
    <xf numFmtId="177" fontId="39" fillId="39" borderId="0" xfId="18" applyNumberFormat="1" applyFont="1" applyFill="1" applyAlignment="1"/>
    <xf numFmtId="0" fontId="31" fillId="0" borderId="0" xfId="0" applyFont="1" applyAlignment="1">
      <alignment horizontal="left" vertical="center"/>
    </xf>
    <xf numFmtId="14" fontId="39" fillId="39" borderId="0" xfId="17" applyNumberFormat="1" applyFont="1" applyFill="1"/>
    <xf numFmtId="181" fontId="17" fillId="0" borderId="0" xfId="17" applyNumberFormat="1" applyFont="1" applyAlignment="1">
      <alignment horizontal="right"/>
    </xf>
    <xf numFmtId="0" fontId="31" fillId="0" borderId="0" xfId="0" applyFont="1" applyAlignment="1">
      <alignment horizontal="center"/>
    </xf>
    <xf numFmtId="49" fontId="31" fillId="0" borderId="0" xfId="36" applyNumberFormat="1" applyFont="1"/>
    <xf numFmtId="181" fontId="31" fillId="0" borderId="0" xfId="36" applyNumberFormat="1" applyFont="1"/>
    <xf numFmtId="14" fontId="69" fillId="0" borderId="0" xfId="36" applyNumberFormat="1" applyFont="1" applyAlignment="1">
      <alignment vertical="center"/>
    </xf>
    <xf numFmtId="188" fontId="70" fillId="0" borderId="0" xfId="36" applyNumberFormat="1" applyFont="1" applyAlignment="1">
      <alignment vertical="center"/>
    </xf>
    <xf numFmtId="191" fontId="22" fillId="0" borderId="0" xfId="1" applyNumberFormat="1" applyFont="1"/>
    <xf numFmtId="9" fontId="22" fillId="0" borderId="0" xfId="2" applyFont="1" applyAlignment="1">
      <alignment horizontal="center"/>
    </xf>
    <xf numFmtId="191" fontId="22" fillId="0" borderId="0" xfId="0" applyNumberFormat="1" applyFont="1"/>
    <xf numFmtId="190" fontId="22" fillId="0" borderId="0" xfId="1" applyNumberFormat="1" applyFont="1"/>
    <xf numFmtId="14" fontId="73" fillId="0" borderId="0" xfId="36" applyNumberFormat="1" applyFont="1" applyAlignment="1">
      <alignment vertical="center"/>
    </xf>
    <xf numFmtId="0" fontId="74" fillId="0" borderId="13" xfId="0" applyFont="1" applyBorder="1"/>
    <xf numFmtId="14" fontId="75" fillId="0" borderId="11" xfId="0" applyNumberFormat="1" applyFont="1" applyBorder="1" applyAlignment="1">
      <alignment wrapText="1"/>
    </xf>
    <xf numFmtId="14" fontId="75" fillId="0" borderId="13" xfId="0" applyNumberFormat="1" applyFont="1" applyBorder="1" applyAlignment="1">
      <alignment wrapText="1"/>
    </xf>
    <xf numFmtId="14" fontId="34" fillId="0" borderId="0" xfId="36" applyNumberFormat="1" applyFont="1" applyAlignment="1">
      <alignment horizontal="left" vertical="center"/>
    </xf>
    <xf numFmtId="14" fontId="29" fillId="39" borderId="0" xfId="36" applyNumberFormat="1" applyFont="1" applyFill="1" applyAlignment="1">
      <alignment horizontal="left"/>
    </xf>
    <xf numFmtId="0" fontId="17" fillId="28" borderId="0" xfId="20" applyFont="1" applyFill="1" applyAlignment="1">
      <alignment horizontal="left"/>
    </xf>
    <xf numFmtId="14" fontId="27" fillId="39" borderId="0" xfId="17" applyNumberFormat="1" applyFont="1" applyFill="1" applyAlignment="1">
      <alignment horizontal="left"/>
    </xf>
    <xf numFmtId="178" fontId="50" fillId="0" borderId="0" xfId="24" applyFont="1" applyBorder="1"/>
    <xf numFmtId="178" fontId="50" fillId="0" borderId="0" xfId="24" applyFont="1"/>
    <xf numFmtId="0" fontId="50" fillId="0" borderId="0" xfId="24" applyNumberFormat="1" applyFont="1" applyBorder="1"/>
    <xf numFmtId="0" fontId="26" fillId="31" borderId="9" xfId="0" applyFont="1" applyFill="1" applyBorder="1" applyAlignment="1">
      <alignment horizontal="center" vertical="center"/>
    </xf>
    <xf numFmtId="0" fontId="26" fillId="0" borderId="9" xfId="0" applyFont="1" applyBorder="1" applyAlignment="1">
      <alignment horizontal="center" vertical="center"/>
    </xf>
    <xf numFmtId="178" fontId="22" fillId="0" borderId="0" xfId="0" applyNumberFormat="1" applyFont="1" applyAlignment="1">
      <alignment horizontal="left" vertical="center"/>
    </xf>
    <xf numFmtId="181" fontId="21" fillId="3" borderId="0" xfId="0" applyNumberFormat="1" applyFont="1" applyFill="1"/>
    <xf numFmtId="178" fontId="22" fillId="0" borderId="17" xfId="1" applyFont="1" applyBorder="1"/>
    <xf numFmtId="178" fontId="22" fillId="0" borderId="4" xfId="0" applyNumberFormat="1" applyFont="1" applyBorder="1"/>
    <xf numFmtId="178" fontId="22" fillId="0" borderId="4" xfId="0" applyNumberFormat="1" applyFont="1" applyBorder="1" applyAlignment="1">
      <alignment horizontal="left" vertical="center"/>
    </xf>
    <xf numFmtId="178" fontId="22" fillId="0" borderId="0" xfId="1" applyFont="1" applyAlignment="1"/>
    <xf numFmtId="178" fontId="22" fillId="0" borderId="0" xfId="1" applyFont="1" applyBorder="1" applyAlignment="1"/>
    <xf numFmtId="178" fontId="22" fillId="0" borderId="0" xfId="1" applyFont="1" applyFill="1" applyAlignment="1"/>
    <xf numFmtId="178" fontId="22" fillId="0" borderId="0" xfId="1" applyFont="1" applyFill="1" applyBorder="1" applyAlignment="1"/>
    <xf numFmtId="14" fontId="26" fillId="31" borderId="9" xfId="0" applyNumberFormat="1" applyFont="1" applyFill="1" applyBorder="1" applyAlignment="1">
      <alignment horizontal="center" vertical="center"/>
    </xf>
    <xf numFmtId="14" fontId="26" fillId="0" borderId="9" xfId="0" applyNumberFormat="1" applyFont="1" applyBorder="1" applyAlignment="1">
      <alignment horizontal="center" vertical="center"/>
    </xf>
    <xf numFmtId="0" fontId="22" fillId="0" borderId="0" xfId="0" pivotButton="1" applyFont="1"/>
    <xf numFmtId="0" fontId="22" fillId="0" borderId="0" xfId="0" applyFont="1" applyAlignment="1">
      <alignment horizontal="left"/>
    </xf>
    <xf numFmtId="187" fontId="22" fillId="0" borderId="0" xfId="0" applyNumberFormat="1" applyFont="1"/>
    <xf numFmtId="189" fontId="22" fillId="0" borderId="0" xfId="0" applyNumberFormat="1" applyFont="1"/>
    <xf numFmtId="181" fontId="17" fillId="0" borderId="22" xfId="0" applyNumberFormat="1" applyFont="1" applyBorder="1" applyAlignment="1">
      <alignment horizontal="right"/>
    </xf>
    <xf numFmtId="9" fontId="31" fillId="0" borderId="0" xfId="37" applyFont="1" applyAlignment="1">
      <alignment horizontal="center"/>
    </xf>
    <xf numFmtId="9" fontId="31" fillId="39" borderId="0" xfId="37" applyFont="1" applyFill="1" applyAlignment="1">
      <alignment horizontal="center"/>
    </xf>
    <xf numFmtId="0" fontId="26" fillId="0" borderId="9" xfId="0" applyFont="1" applyBorder="1" applyAlignment="1">
      <alignment horizontal="left" vertical="center"/>
    </xf>
    <xf numFmtId="0" fontId="31" fillId="39" borderId="0" xfId="36" applyFont="1" applyFill="1" applyAlignment="1">
      <alignment horizontal="center"/>
    </xf>
    <xf numFmtId="9" fontId="31" fillId="0" borderId="0" xfId="37" applyFont="1" applyFill="1" applyAlignment="1">
      <alignment horizontal="center"/>
    </xf>
    <xf numFmtId="192" fontId="26" fillId="31" borderId="9" xfId="0" applyNumberFormat="1" applyFont="1" applyFill="1" applyBorder="1" applyAlignment="1">
      <alignment horizontal="right" vertical="center"/>
    </xf>
    <xf numFmtId="192" fontId="26" fillId="0" borderId="9" xfId="0" applyNumberFormat="1" applyFont="1" applyBorder="1" applyAlignment="1">
      <alignment horizontal="right" vertical="center"/>
    </xf>
    <xf numFmtId="0" fontId="34" fillId="0" borderId="0" xfId="36" applyFont="1" applyAlignment="1">
      <alignment horizontal="center" vertical="center" wrapText="1"/>
    </xf>
    <xf numFmtId="178" fontId="22" fillId="8" borderId="0" xfId="0" applyNumberFormat="1" applyFont="1" applyFill="1"/>
    <xf numFmtId="0" fontId="31" fillId="16" borderId="0" xfId="36" applyFont="1" applyFill="1" applyAlignment="1">
      <alignment horizontal="center"/>
    </xf>
    <xf numFmtId="0" fontId="17" fillId="16" borderId="0" xfId="36" applyFont="1" applyFill="1" applyAlignment="1">
      <alignment horizontal="center" vertical="center"/>
    </xf>
    <xf numFmtId="0" fontId="17" fillId="16" borderId="0" xfId="36" applyFont="1" applyFill="1" applyAlignment="1">
      <alignment horizontal="left" vertical="center"/>
    </xf>
    <xf numFmtId="0" fontId="17" fillId="16" borderId="0" xfId="36" applyFont="1" applyFill="1" applyAlignment="1">
      <alignment horizontal="left"/>
    </xf>
    <xf numFmtId="49" fontId="17" fillId="16" borderId="0" xfId="36" applyNumberFormat="1" applyFont="1" applyFill="1" applyAlignment="1">
      <alignment horizontal="right"/>
    </xf>
    <xf numFmtId="181" fontId="17" fillId="16" borderId="0" xfId="18" applyNumberFormat="1" applyFont="1" applyFill="1" applyBorder="1" applyAlignment="1">
      <alignment horizontal="right"/>
    </xf>
    <xf numFmtId="0" fontId="17" fillId="16" borderId="0" xfId="36" applyFont="1" applyFill="1"/>
    <xf numFmtId="0" fontId="17" fillId="16" borderId="0" xfId="36" applyFont="1" applyFill="1" applyAlignment="1">
      <alignment horizontal="center"/>
    </xf>
    <xf numFmtId="14" fontId="31" fillId="16" borderId="0" xfId="36" applyNumberFormat="1" applyFont="1" applyFill="1" applyAlignment="1">
      <alignment horizontal="center"/>
    </xf>
    <xf numFmtId="180" fontId="31" fillId="16" borderId="0" xfId="18" applyFont="1" applyFill="1" applyBorder="1" applyAlignment="1">
      <alignment horizontal="left"/>
    </xf>
    <xf numFmtId="14" fontId="38" fillId="16" borderId="0" xfId="38" applyNumberFormat="1" applyFont="1" applyFill="1" applyBorder="1" applyAlignment="1">
      <alignment horizontal="center"/>
    </xf>
    <xf numFmtId="180" fontId="31" fillId="16" borderId="0" xfId="18" applyFont="1" applyFill="1" applyBorder="1" applyAlignment="1"/>
    <xf numFmtId="9" fontId="31" fillId="16" borderId="0" xfId="37" applyFont="1" applyFill="1" applyAlignment="1">
      <alignment horizontal="center"/>
    </xf>
    <xf numFmtId="177" fontId="31" fillId="16" borderId="0" xfId="18" applyNumberFormat="1" applyFont="1" applyFill="1" applyBorder="1" applyAlignment="1"/>
    <xf numFmtId="180" fontId="31" fillId="16" borderId="0" xfId="18" applyFont="1" applyFill="1" applyAlignment="1"/>
    <xf numFmtId="0" fontId="31" fillId="16" borderId="0" xfId="36" applyFont="1" applyFill="1"/>
    <xf numFmtId="181" fontId="17" fillId="16" borderId="0" xfId="1" applyNumberFormat="1" applyFont="1" applyFill="1" applyBorder="1" applyAlignment="1"/>
    <xf numFmtId="14" fontId="31" fillId="16" borderId="0" xfId="36" applyNumberFormat="1" applyFont="1" applyFill="1"/>
    <xf numFmtId="0" fontId="38" fillId="0" borderId="11" xfId="0" applyFont="1" applyBorder="1" applyAlignment="1">
      <alignment horizontal="center"/>
    </xf>
    <xf numFmtId="0" fontId="38" fillId="0" borderId="13" xfId="0" applyFont="1" applyBorder="1" applyAlignment="1">
      <alignment horizontal="center"/>
    </xf>
    <xf numFmtId="0" fontId="78" fillId="0" borderId="19" xfId="0" applyFont="1" applyBorder="1" applyAlignment="1">
      <alignment horizontal="center" vertical="center" wrapText="1"/>
    </xf>
    <xf numFmtId="0" fontId="17" fillId="0" borderId="25" xfId="0" applyFont="1" applyBorder="1"/>
    <xf numFmtId="0" fontId="59" fillId="0" borderId="20" xfId="0" applyFont="1" applyBorder="1" applyAlignment="1">
      <alignment horizontal="center" vertical="center" wrapText="1"/>
    </xf>
    <xf numFmtId="0" fontId="59" fillId="0" borderId="0" xfId="0" applyFont="1" applyAlignment="1">
      <alignment horizontal="center" vertical="center" wrapText="1"/>
    </xf>
    <xf numFmtId="0" fontId="26" fillId="31" borderId="9" xfId="0" applyFont="1" applyFill="1" applyBorder="1"/>
    <xf numFmtId="0" fontId="26" fillId="0" borderId="9" xfId="0" applyFont="1" applyBorder="1"/>
    <xf numFmtId="178" fontId="1" fillId="0" borderId="0" xfId="24" applyFont="1" applyBorder="1"/>
  </cellXfs>
  <cellStyles count="41">
    <cellStyle name="_F6_Tool_Qty_1031_~6050548" xfId="6" xr:uid="{ABD3DBCB-A268-435A-A835-BE26BB2D79A9}"/>
    <cellStyle name="Accent5 2" xfId="28" xr:uid="{46ED9825-64C4-49C8-9EB9-40C1B3253B76}"/>
    <cellStyle name="Comma 2" xfId="4" xr:uid="{4E058B46-2C7F-4003-93EF-DC6E65027762}"/>
    <cellStyle name="Comma 2 2" xfId="13" xr:uid="{B536BB85-6C02-46C5-ACB7-8C4AA0997882}"/>
    <cellStyle name="Comma 2 3" xfId="10" xr:uid="{EE508A05-FEA6-4610-BC29-A5157930248C}"/>
    <cellStyle name="Comma 3" xfId="26" xr:uid="{414C3D02-85A9-4D7E-B088-78F0B6734C9F}"/>
    <cellStyle name="Currency" xfId="1" builtinId="4"/>
    <cellStyle name="Currency 2" xfId="16" xr:uid="{F0E52CA6-78E6-4AE4-8991-7964B13BA556}"/>
    <cellStyle name="Currency 2 2" xfId="35" xr:uid="{5303140D-1AC3-4DEA-9705-C834ADB11549}"/>
    <cellStyle name="Currency 3" xfId="24" xr:uid="{B58285B1-5F86-441F-87FC-04A8B3D21FB9}"/>
    <cellStyle name="Currency 3 2" xfId="39" xr:uid="{80F671EA-0DA9-48C4-89EB-6CB863FF8FBF}"/>
    <cellStyle name="Hyperlink" xfId="8" builtinId="8"/>
    <cellStyle name="Normal" xfId="0" builtinId="0"/>
    <cellStyle name="Normal 2" xfId="3" xr:uid="{F93AE9C0-0A0C-4683-9C2F-0D71F1A4C941}"/>
    <cellStyle name="Normal 2 2" xfId="12" xr:uid="{00F34DFC-B130-44A7-BBB7-A183CE1A5C7C}"/>
    <cellStyle name="Normal 2 2 2" xfId="34" xr:uid="{7FA6EC7D-D616-4C67-973F-ED3CD196507A}"/>
    <cellStyle name="Normal 3" xfId="9" xr:uid="{5BA77FA6-E746-4189-84E6-B1859CC16CBE}"/>
    <cellStyle name="Normal 4" xfId="32" xr:uid="{92B18971-5DDE-4389-B613-1D316AF80540}"/>
    <cellStyle name="Normal 5" xfId="40" xr:uid="{64503A75-D65A-46B6-AFC3-B5129D1056A5}"/>
    <cellStyle name="Percent" xfId="2" builtinId="5"/>
    <cellStyle name="Percent 2" xfId="5" xr:uid="{432393C7-40B5-4744-8182-5E3356F26144}"/>
    <cellStyle name="Percent 2 2" xfId="14" xr:uid="{96417EEA-56CD-4C72-BC32-7636FE965EA9}"/>
    <cellStyle name="Percent 2 3" xfId="11" xr:uid="{8679D4EE-4B42-4C07-8ADC-4C3DA87CC7EC}"/>
    <cellStyle name="Percent 3" xfId="25" xr:uid="{E7E02024-9882-44CE-8873-3004B96F4AE9}"/>
    <cellStyle name="Percent 4" xfId="33" xr:uid="{84B03478-6C31-467A-BAC5-4EBBD525948F}"/>
    <cellStyle name="一般 2" xfId="7" xr:uid="{6B799751-8540-4C48-834B-52B2149C1F2D}"/>
    <cellStyle name="一般 2 2" xfId="29" xr:uid="{CC97744D-4CC4-4991-AC82-D9B99B03D54C}"/>
    <cellStyle name="一般 3" xfId="17" xr:uid="{E5567786-18B5-4BF7-A4C8-8117A2D1A1E4}"/>
    <cellStyle name="一般 3 2" xfId="36" xr:uid="{8F1104D4-CEF9-41A9-BEC4-910BB89D3852}"/>
    <cellStyle name="一般 4" xfId="20" xr:uid="{421AC111-B12C-400F-84C5-F21D3A24D649}"/>
    <cellStyle name="千分位 2" xfId="21" xr:uid="{A3A61668-40B7-499C-8F20-BAA92B29AA77}"/>
    <cellStyle name="千分位 2 2" xfId="38" xr:uid="{2FB7ED01-5E4B-4633-B860-8BABB77E20D2}"/>
    <cellStyle name="千分位 3" xfId="23" xr:uid="{667A6344-FB06-4C06-8E25-2D373FA2089C}"/>
    <cellStyle name="百分比 2" xfId="19" xr:uid="{A46C35B4-86D5-48DA-864E-68459549BB80}"/>
    <cellStyle name="百分比 2 2" xfId="31" xr:uid="{6C67C53B-C31E-4FA8-8C0B-743DED4836D7}"/>
    <cellStyle name="百分比 3" xfId="37" xr:uid="{F13342F9-9A51-4E7E-9A1F-071FB4B9A792}"/>
    <cellStyle name="貨幣 2" xfId="15" xr:uid="{57533AED-9727-4E42-8A72-BE0AFA87FC40}"/>
    <cellStyle name="貨幣 2 2" xfId="27" xr:uid="{E25855F3-5664-4610-BCD3-66ACEEA8738D}"/>
    <cellStyle name="貨幣 2 3" xfId="30" xr:uid="{2562188C-AABB-4413-B98B-AC4DAC93B6F9}"/>
    <cellStyle name="貨幣 3" xfId="18" xr:uid="{7F61E55C-8302-4398-9394-C720CD4F6E9D}"/>
    <cellStyle name="超連結 2" xfId="22" xr:uid="{1AC37F7A-6160-4D44-98CA-54FE3F1EA2B3}"/>
  </cellStyles>
  <dxfs count="559">
    <dxf>
      <numFmt numFmtId="193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3" formatCode="m/d/yyyy"/>
    </dxf>
    <dxf>
      <numFmt numFmtId="0" formatCode="General"/>
    </dxf>
    <dxf>
      <numFmt numFmtId="193" formatCode="m/d/yyyy"/>
    </dxf>
    <dxf>
      <numFmt numFmtId="193" formatCode="m/d/yyyy"/>
    </dxf>
    <dxf>
      <numFmt numFmtId="193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>
        <left/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>
        <left/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>
        <left/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>
        <left/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>
        <left/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>
        <left/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>
        <left/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>
        <left/>
        <right style="thin">
          <color indexed="64"/>
        </right>
        <top/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rgb="FF000000"/>
          <bgColor rgb="FFD9D9D9"/>
        </patternFill>
      </fill>
      <alignment horizontal="general" vertical="bottom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name val="Calibri"/>
      </font>
      <numFmt numFmtId="0" formatCode="General"/>
    </dxf>
    <dxf>
      <font>
        <name val="Calibri"/>
      </font>
      <numFmt numFmtId="0" formatCode="General"/>
    </dxf>
    <dxf>
      <font>
        <name val="Calibri"/>
      </font>
      <numFmt numFmtId="19" formatCode="yyyy/m/d"/>
    </dxf>
    <dxf>
      <font>
        <name val="Calibri"/>
      </font>
      <numFmt numFmtId="0" formatCode="General"/>
    </dxf>
    <dxf>
      <font>
        <name val="Calibri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outline val="0"/>
        <shadow val="0"/>
        <u val="none"/>
        <vertAlign val="baseline"/>
        <sz val="11"/>
        <name val="Calibri"/>
        <scheme val="none"/>
      </font>
      <numFmt numFmtId="177" formatCode="&quot;$&quot;#,##0.00_);[Red]\(&quot;$&quot;#,##0.00\)"/>
      <fill>
        <patternFill patternType="none"/>
      </fill>
    </dxf>
    <dxf>
      <font>
        <outline val="0"/>
        <shadow val="0"/>
        <u val="none"/>
        <vertAlign val="baseline"/>
        <sz val="11"/>
        <name val="Calibri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outline val="0"/>
        <shadow val="0"/>
        <u val="none"/>
        <vertAlign val="baseline"/>
        <name val="Calibri"/>
        <scheme val="none"/>
      </font>
      <numFmt numFmtId="19" formatCode="yyyy/m/d"/>
      <alignment horizontal="center" textRotation="0" wrapText="0" indent="0" justifyLastLine="0" shrinkToFit="0" readingOrder="0"/>
    </dxf>
    <dxf>
      <font>
        <outline val="0"/>
        <shadow val="0"/>
        <u val="none"/>
        <vertAlign val="baseline"/>
        <name val="Calibri"/>
        <scheme val="none"/>
      </font>
    </dxf>
    <dxf>
      <font>
        <outline val="0"/>
        <shadow val="0"/>
        <u val="none"/>
        <vertAlign val="baseline"/>
        <name val="Calibri"/>
        <scheme val="none"/>
      </font>
      <numFmt numFmtId="0" formatCode="General"/>
      <alignment horizontal="center" textRotation="0" indent="0" justifyLastLine="0" shrinkToFit="0" readingOrder="0"/>
    </dxf>
    <dxf>
      <font>
        <outline val="0"/>
        <shadow val="0"/>
        <u val="none"/>
        <vertAlign val="baseline"/>
        <name val="Calibri"/>
        <scheme val="none"/>
      </font>
      <numFmt numFmtId="0" formatCode="General"/>
    </dxf>
    <dxf>
      <font>
        <outline val="0"/>
        <shadow val="0"/>
        <u val="none"/>
        <vertAlign val="baseline"/>
        <name val="Calibri"/>
        <scheme val="none"/>
      </font>
      <numFmt numFmtId="19" formatCode="yyyy/m/d"/>
      <alignment horizontal="center" textRotation="0" indent="0" justifyLastLine="0" shrinkToFit="0" readingOrder="0"/>
    </dxf>
    <dxf>
      <font>
        <outline val="0"/>
        <shadow val="0"/>
        <u val="none"/>
        <vertAlign val="baseline"/>
        <name val="Calibri"/>
        <scheme val="none"/>
      </font>
      <alignment horizontal="left" textRotation="0" wrapText="0" indent="0" justifyLastLine="0" shrinkToFit="0" readingOrder="0"/>
    </dxf>
    <dxf>
      <font>
        <outline val="0"/>
        <shadow val="0"/>
        <u val="none"/>
        <vertAlign val="baseline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name val="Calibri"/>
      </font>
      <fill>
        <patternFill patternType="none">
          <fgColor indexed="64"/>
          <bgColor indexed="65"/>
        </patternFill>
      </fill>
      <alignment horizontal="center"/>
    </dxf>
    <dxf>
      <font>
        <name val="Calibri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alignment vertical="center" textRotation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outline val="0"/>
        <shadow val="0"/>
        <vertAlign val="baseline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outline val="0"/>
        <shadow val="0"/>
        <vertAlign val="baseline"/>
        <name val="Calibri"/>
        <family val="2"/>
        <scheme val="none"/>
      </font>
      <numFmt numFmtId="19" formatCode="yyyy/m/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3" formatCode="m/d/yyyy"/>
    </dxf>
    <dxf>
      <font>
        <outline val="0"/>
        <shadow val="0"/>
        <vertAlign val="baseline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outline val="0"/>
        <shadow val="0"/>
        <vertAlign val="baseline"/>
        <name val="Calibri"/>
        <family val="2"/>
        <scheme val="none"/>
      </font>
      <numFmt numFmtId="19" formatCode="yyyy/m/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3" formatCode="m/d/yyyy"/>
    </dxf>
    <dxf>
      <font>
        <outline val="0"/>
        <shadow val="0"/>
        <vertAlign val="baseline"/>
        <name val="Calibri"/>
        <family val="2"/>
        <scheme val="none"/>
      </font>
      <numFmt numFmtId="19" formatCode="yyyy/m/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3" formatCode="m/d/yyyy"/>
    </dxf>
    <dxf>
      <font>
        <outline val="0"/>
        <shadow val="0"/>
        <vertAlign val="baseline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outline val="0"/>
        <shadow val="0"/>
        <vertAlign val="baseline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80" formatCode="_-&quot;$&quot;* #,##0.00_-;\-&quot;$&quot;* #,##0.00_-;_-&quot;$&quot;* &quot;-&quot;??_-;_-@_-"/>
    </dxf>
    <dxf>
      <font>
        <outline val="0"/>
        <shadow val="0"/>
        <u val="none"/>
        <vertAlign val="baseline"/>
        <sz val="11"/>
        <name val="Calibri"/>
        <family val="2"/>
        <scheme val="none"/>
      </font>
      <numFmt numFmtId="177" formatCode="&quot;$&quot;#,##0.00_);[Red]\(&quot;$&quot;#,##0.00\)"/>
      <fill>
        <patternFill patternType="none"/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77" formatCode="&quot;$&quot;#,##0.00_);[Red]\(&quot;$&quot;#,##0.00\)"/>
    </dxf>
    <dxf>
      <font>
        <outline val="0"/>
        <shadow val="0"/>
        <u val="none"/>
        <vertAlign val="baseline"/>
        <sz val="11"/>
        <name val="Calibri"/>
        <family val="2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outline val="0"/>
        <shadow val="0"/>
        <u val="none"/>
        <vertAlign val="baseline"/>
        <name val="Calibri"/>
        <family val="2"/>
        <scheme val="none"/>
      </font>
      <numFmt numFmtId="19" formatCode="yyyy/m/d"/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3" formatCode="m/d/yyyy"/>
      <alignment horizontal="center" vertical="bottom" textRotation="0" wrapText="0" indent="0" justifyLastLine="0" shrinkToFit="0" readingOrder="0"/>
    </dxf>
    <dxf>
      <font>
        <outline val="0"/>
        <shadow val="0"/>
        <u val="none"/>
        <vertAlign val="baseline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81" formatCode="_-[$$-409]* #,##0.00_ ;_-[$$-409]* \-#,##0.00\ ;_-[$$-409]* &quot;-&quot;??_ ;_-@_ "/>
      <alignment horizontal="center" vertical="bottom" textRotation="0" wrapText="0" indent="0" justifyLastLine="0" shrinkToFit="0" readingOrder="0"/>
    </dxf>
    <dxf>
      <font>
        <outline val="0"/>
        <shadow val="0"/>
        <u val="none"/>
        <vertAlign val="baseline"/>
        <name val="Calibri"/>
        <family val="2"/>
        <scheme val="none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outline val="0"/>
        <shadow val="0"/>
        <u val="none"/>
        <vertAlign val="baseline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outline val="0"/>
        <shadow val="0"/>
        <u val="none"/>
        <vertAlign val="baseline"/>
        <name val="Calibri"/>
        <family val="2"/>
        <scheme val="none"/>
      </font>
      <numFmt numFmtId="19" formatCode="yyyy/m/d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3" formatCode="m/d/yyyy"/>
      <alignment horizontal="center" vertical="bottom" textRotation="0" wrapText="0" indent="0" justifyLastLine="0" shrinkToFit="0" readingOrder="0"/>
    </dxf>
    <dxf>
      <font>
        <outline val="0"/>
        <shadow val="0"/>
        <u val="none"/>
        <vertAlign val="baseline"/>
        <name val="Calibri"/>
        <family val="2"/>
        <scheme val="none"/>
      </font>
      <alignment horizontal="lef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81" formatCode="_-[$$-409]* #,##0.00_ ;_-[$$-409]* \-#,##0.00\ ;_-[$$-409]* &quot;-&quot;??_ ;_-@_ "/>
      <alignment horizontal="left" vertical="bottom" textRotation="0" wrapText="0" indent="0" justifyLastLine="0" shrinkToFit="0" readingOrder="0"/>
    </dxf>
    <dxf>
      <font>
        <outline val="0"/>
        <shadow val="0"/>
        <u val="none"/>
        <vertAlign val="baseline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outline val="0"/>
        <shadow val="0"/>
        <vertAlign val="baseline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81" formatCode="_-[$$-409]* #,##0.00_ ;_-[$$-409]* \-#,##0.00\ ;_-[$$-409]* &quot;-&quot;??_ ;_-@_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81" formatCode="_-[$$-409]* #,##0.00_ ;_-[$$-409]* \-#,##0.00\ ;_-[$$-409]* &quot;-&quot;??_ ;_-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0" formatCode="@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outline val="0"/>
        <shadow val="0"/>
        <vertAlign val="baseline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outline val="0"/>
        <shadow val="0"/>
        <vertAlign val="baseline"/>
        <name val="Calibri"/>
        <family val="2"/>
        <scheme val="none"/>
      </font>
    </dxf>
    <dxf>
      <font>
        <outline val="0"/>
        <shadow val="0"/>
        <vertAlign val="baseline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alignment vertical="center" textRotation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numFmt numFmtId="186" formatCode="_(&quot;$&quot;* #,##0.00_);_(&quot;$&quot;* \(#,##0.00\);_(&quot;$&quot;* &quot;-&quot;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186" formatCode="_(&quot;$&quot;* #,##0.00_);_(&quot;$&quot;* \(#,##0.00\);_(&quot;$&quot;* &quot;-&quot;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&quot;$&quot;* #,##0.00_);_(&quot;$&quot;* \(#,##0.00\);_(&quot;$&quot;* &quot;-&quot;??_);_(@_)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&quot;$&quot;* #,##0.00_);_(&quot;$&quot;* \(#,##0.00\);_(&quot;$&quot;* &quot;-&quot;??_);_(@_)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&quot;$&quot;* #,##0.00_);_(&quot;$&quot;* \(#,##0.00\);_(&quot;$&quot;* &quot;-&quot;??_);_(@_)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&quot;$&quot;* #,##0.00_);_(&quot;$&quot;* \(#,##0.00\);_(&quot;$&quot;* &quot;-&quot;??_);_(@_)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&quot;$&quot;* #,##0.00_);_(&quot;$&quot;* \(#,##0.00\);_(&quot;$&quot;* &quot;-&quot;??_);_(@_)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&quot;$&quot;* #,##0.00_);_(&quot;$&quot;* \(#,##0.00\);_(&quot;$&quot;* &quot;-&quot;??_);_(@_)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&quot;$&quot;* #,##0.00_);_(&quot;$&quot;* \(#,##0.00\);_(&quot;$&quot;* &quot;-&quot;??_);_(@_)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&quot;$&quot;* #,##0.00_);_(&quot;$&quot;* \(#,##0.00\);_(&quot;$&quot;* &quot;-&quot;??_);_(@_)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&quot;$&quot;* #,##0.00_);_(&quot;$&quot;* \(#,##0.00\);_(&quot;$&quot;* &quot;-&quot;??_);_(@_)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&quot;$&quot;* #,##0.00_);_(&quot;$&quot;* \(#,##0.00\);_(&quot;$&quot;* &quot;-&quot;??_);_(@_)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&quot;$&quot;* #,##0.00_);_(&quot;$&quot;* \(#,##0.00\);_(&quot;$&quot;* &quot;-&quot;??_);_(@_)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&quot;$&quot;* #,##0.00_);_(&quot;$&quot;* \(#,##0.00\);_(&quot;$&quot;* &quot;-&quot;??_);_(@_)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&quot;$&quot;* #,##0.00_);_(&quot;$&quot;* \(#,##0.00\);_(&quot;$&quot;* &quot;-&quot;??_);_(@_)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&quot;$&quot;* #,##0.00_);_(&quot;$&quot;* \(#,##0.00\);_(&quot;$&quot;* &quot;-&quot;??_);_(@_)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&quot;$&quot;* #,##0.00_);_(&quot;$&quot;* \(#,##0.00\);_(&quot;$&quot;* &quot;-&quot;??_);_(@_)"/>
      <border diagonalUp="0" diagonalDown="0" outline="0">
        <left/>
        <right/>
        <top/>
        <bottom/>
      </border>
    </dxf>
    <dxf>
      <border diagonalUp="0" diagonalDown="0" outline="0">
        <left/>
        <right style="thick">
          <color rgb="FFFF0000"/>
        </right>
        <top/>
        <bottom/>
      </border>
    </dxf>
    <dxf>
      <border>
        <right style="thick">
          <color rgb="FFFF0000"/>
        </right>
      </border>
    </dxf>
    <dxf>
      <border diagonalUp="0" diagonalDown="0" outline="0">
        <left/>
        <right style="thick">
          <color rgb="FFFF0000"/>
        </right>
        <top/>
        <bottom/>
      </border>
    </dxf>
    <dxf>
      <border diagonalUp="0" diagonalDown="0">
        <left/>
        <right style="thick">
          <color rgb="FFFF0000"/>
        </right>
        <top/>
        <bottom/>
        <vertical/>
        <horizontal/>
      </border>
    </dxf>
    <dxf>
      <border diagonalUp="0" diagonalDown="0" outline="0">
        <left/>
        <right style="thick">
          <color rgb="FFFF0000"/>
        </right>
        <top/>
        <bottom/>
      </border>
    </dxf>
    <dxf>
      <border diagonalUp="0" diagonalDown="0">
        <left/>
        <right style="thick">
          <color rgb="FFFF0000"/>
        </right>
        <top/>
        <bottom/>
        <vertical/>
        <horizontal/>
      </border>
    </dxf>
    <dxf>
      <border diagonalUp="0" diagonalDown="0" outline="0">
        <left/>
        <right style="thick">
          <color rgb="FFFF0000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&quot;$&quot;* #,##0.00_);_(&quot;$&quot;* \(#,##0.00\);_(&quot;$&quot;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&quot;$&quot;* #,##0.00_);_(&quot;$&quot;* \(#,##0.00\);_(&quot;$&quot;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&quot;$&quot;* #,##0.00_);_(&quot;$&quot;* \(#,##0.00\);_(&quot;$&quot;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&quot;$&quot;* #,##0.00_);_(&quot;$&quot;* \(#,##0.00\);_(&quot;$&quot;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&quot;$&quot;* #,##0.00_);_(&quot;$&quot;* \(#,##0.00\);_(&quot;$&quot;* &quot;-&quot;??_);_(@_)"/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</dxf>
    <dxf>
      <numFmt numFmtId="178" formatCode="_(&quot;$&quot;* #,##0.00_);_(&quot;$&quot;* \(#,##0.00\);_(&quot;$&quot;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&quot;$&quot;* #,##0.00_);_(&quot;$&quot;* \(#,##0.00\);_(&quot;$&quot;* &quot;-&quot;??_);_(@_)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&quot;$&quot;* #,##0.00_);_(&quot;$&quot;* \(#,##0.00\);_(&quot;$&quot;* &quot;-&quot;??_);_(@_)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&quot;$&quot;* #,##0.00_);_(&quot;$&quot;* \(#,##0.00\);_(&quot;$&quot;* &quot;-&quot;??_);_(@_)"/>
      <alignment horizontal="center" vertical="center" textRotation="0" wrapText="0" indent="0" justifyLastLine="0" shrinkToFit="0" readingOrder="0"/>
    </dxf>
    <dxf>
      <numFmt numFmtId="193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3" formatCode="m/d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&quot;$&quot;* #,##0.00_);_(&quot;$&quot;* \(#,##0.00\);_(&quot;$&quot;* &quot;-&quot;??_);_(@_)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&quot;$&quot;* #,##0.00_);_(&quot;$&quot;* \(#,##0.00\);_(&quot;$&quot;* &quot;-&quot;??_);_(@_)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&quot;$&quot;* #,##0.00_);_(&quot;$&quot;* \(#,##0.00\);_(&quot;$&quot;* &quot;-&quot;??_);_(@_)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&quot;$&quot;* #,##0.00_);_(&quot;$&quot;* \(#,##0.00\);_(&quot;$&quot;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&quot;$&quot;* #,##0.00_);_(&quot;$&quot;* \(#,##0.00\);_(&quot;$&quot;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&quot;$&quot;* #,##0.00_);_(&quot;$&quot;* \(#,##0.00\);_(&quot;$&quot;* &quot;-&quot;??_);_(@_)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&quot;$&quot;* #,##0.00_);_(&quot;$&quot;* \(#,##0.00\);_(&quot;$&quot;* &quot;-&quot;??_);_(@_)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&quot;$&quot;* #,##0.00_);_(&quot;$&quot;* \(#,##0.00\);_(&quot;$&quot;* &quot;-&quot;??_);_(@_)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&quot;$&quot;* #,##0.00_);_(&quot;$&quot;* \(#,##0.00\);_(&quot;$&quot;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&quot;$&quot;* #,##0.00_);_(&quot;$&quot;* \(#,##0.00\);_(&quot;$&quot;* &quot;-&quot;??_);_(@_)"/>
      <alignment horizontal="left" vertical="center" textRotation="0" wrapText="0" indent="0" justifyLastLine="0" shrinkToFit="0" readingOrder="0"/>
    </dxf>
    <dxf>
      <alignment horizontal="general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vertical="center" textRotation="0" wrapText="1" indent="0" justifyLastLine="0" shrinkToFit="0" readingOrder="0"/>
    </dxf>
    <dxf>
      <fill>
        <patternFill>
          <bgColor rgb="FFFFB7B7"/>
        </patternFill>
      </fill>
    </dxf>
    <dxf>
      <fill>
        <patternFill>
          <bgColor rgb="FFFFB7B7"/>
        </patternFill>
      </fill>
    </dxf>
    <dxf>
      <fill>
        <patternFill>
          <bgColor rgb="FFFFB7B7"/>
        </patternFill>
      </fill>
    </dxf>
    <dxf>
      <fill>
        <patternFill>
          <bgColor rgb="FFFFB7B7"/>
        </patternFill>
      </fill>
    </dxf>
    <dxf>
      <fill>
        <patternFill>
          <bgColor rgb="FFFFB7B7"/>
        </patternFill>
      </fill>
    </dxf>
    <dxf>
      <fill>
        <patternFill>
          <bgColor rgb="FFFFB7B7"/>
        </patternFill>
      </fill>
    </dxf>
    <dxf>
      <fill>
        <patternFill>
          <bgColor rgb="FFFFB7B7"/>
        </patternFill>
      </fill>
    </dxf>
    <dxf>
      <fill>
        <patternFill>
          <bgColor rgb="FFFFB7B7"/>
        </patternFill>
      </fill>
    </dxf>
    <dxf>
      <fill>
        <patternFill>
          <bgColor rgb="FFFFB7B7"/>
        </patternFill>
      </fill>
    </dxf>
    <dxf>
      <fill>
        <patternFill>
          <bgColor rgb="FFFFB7B7"/>
        </patternFill>
      </fill>
    </dxf>
    <dxf>
      <fill>
        <patternFill>
          <bgColor rgb="FFFFB7B7"/>
        </patternFill>
      </fill>
    </dxf>
    <dxf>
      <fill>
        <patternFill>
          <bgColor rgb="FFFFB7B7"/>
        </patternFill>
      </fill>
    </dxf>
    <dxf>
      <fill>
        <patternFill>
          <bgColor rgb="FFFFB7B7"/>
        </patternFill>
      </fill>
    </dxf>
    <dxf>
      <fill>
        <patternFill>
          <bgColor rgb="FFFFB7B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  <numFmt numFmtId="178" formatCode="_(&quot;$&quot;* #,##0.00_);_(&quot;$&quot;* \(#,##0.00\);_(&quot;$&quot;* &quot;-&quot;??_);_(@_)"/>
      <border diagonalUp="0" diagonalDown="0">
        <left/>
        <right style="thick">
          <color rgb="FFFF000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78" formatCode="_(&quot;$&quot;* #,##0.00_);_(&quot;$&quot;* \(#,##0.00\);_(&quot;$&quot;* &quot;-&quot;??_);_(@_)"/>
      <border diagonalUp="0" diagonalDown="0" outline="0">
        <left/>
        <right style="thick">
          <color rgb="FFFF0000"/>
        </right>
        <top/>
        <bottom/>
      </border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  <numFmt numFmtId="178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78" formatCode="_(&quot;$&quot;* #,##0.00_);_(&quot;$&quot;* \(#,##0.00\);_(&quot;$&quot;* &quot;-&quot;??_);_(@_)"/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  <numFmt numFmtId="178" formatCode="_(&quot;$&quot;* #,##0.00_);_(&quot;$&quot;* \(#,##0.00\);_(&quot;$&quot;* &quot;-&quot;??_);_(@_)"/>
      <border diagonalUp="0" diagonalDown="0">
        <left/>
        <right style="thick">
          <color rgb="FFFF000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78" formatCode="_(&quot;$&quot;* #,##0.00_);_(&quot;$&quot;* \(#,##0.00\);_(&quot;$&quot;* &quot;-&quot;??_);_(@_)"/>
      <border diagonalUp="0" diagonalDown="0" outline="0">
        <left/>
        <right style="thick">
          <color rgb="FFFF0000"/>
        </right>
        <top/>
        <bottom/>
      </border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  <numFmt numFmtId="181" formatCode="_-[$$-409]* #,##0.00_ ;_-[$$-409]* \-#,##0.0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81" formatCode="_-[$$-409]* #,##0.00_ ;_-[$$-409]* \-#,##0.00\ ;_-[$$-409]* &quot;-&quot;??_ ;_-@_ "/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  <numFmt numFmtId="181" formatCode="_-[$$-409]* #,##0.00_ ;_-[$$-409]* \-#,##0.0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81" formatCode="_-[$$-409]* #,##0.00_ ;_-[$$-409]* \-#,##0.00\ ;_-[$$-409]* &quot;-&quot;??_ ;_-@_ "/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  <numFmt numFmtId="181" formatCode="_-[$$-409]* #,##0.00_ ;_-[$$-409]* \-#,##0.0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81" formatCode="_-[$$-409]* #,##0.00_ ;_-[$$-409]* \-#,##0.00\ ;_-[$$-409]* &quot;-&quot;??_ ;_-@_ "/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  <numFmt numFmtId="181" formatCode="_-[$$-409]* #,##0.00_ ;_-[$$-409]* \-#,##0.00\ ;_-[$$-409]* &quot;-&quot;??_ ;_-@_ "/>
      <fill>
        <patternFill patternType="none"/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81" formatCode="_-[$$-409]* #,##0.00_ ;_-[$$-409]* \-#,##0.00\ ;_-[$$-409]* &quot;-&quot;??_ ;_-@_ "/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  <numFmt numFmtId="181" formatCode="_-[$$-409]* #,##0.00_ ;_-[$$-409]* \-#,##0.0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81" formatCode="_-[$$-409]* #,##0.00_ ;_-[$$-409]* \-#,##0.00\ ;_-[$$-409]* &quot;-&quot;??_ ;_-@_ "/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81" formatCode="_-[$$-409]* #,##0.00_ ;_-[$$-409]* \-#,##0.00\ ;_-[$$-409]* &quot;-&quot;??_ ;_-@_ "/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  <numFmt numFmtId="181" formatCode="_-[$$-409]* #,##0.00_ ;_-[$$-409]* \-#,##0.0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81" formatCode="_-[$$-409]* #,##0.00_ ;_-[$$-409]* \-#,##0.00\ ;_-[$$-409]* &quot;-&quot;??_ ;_-@_ "/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  <numFmt numFmtId="181" formatCode="_-[$$-409]* #,##0.00_ ;_-[$$-409]* \-#,##0.0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81" formatCode="_-[$$-409]* #,##0.00_ ;_-[$$-409]* \-#,##0.00\ ;_-[$$-409]* &quot;-&quot;??_ ;_-@_ "/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fill>
        <patternFill patternType="none">
          <fgColor indexed="64"/>
          <bgColor indexed="65"/>
        </patternFill>
      </fill>
      <border diagonalUp="0" diagonalDown="0" outline="0">
        <left/>
        <right style="thick">
          <color rgb="FFFF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 outline="0">
        <left/>
        <right style="thick">
          <color rgb="FFFF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fill>
        <patternFill patternType="none">
          <fgColor indexed="64"/>
          <bgColor indexed="65"/>
        </patternFill>
      </fill>
      <border diagonalUp="0" diagonalDown="0" outline="0">
        <right style="thick">
          <color rgb="FFFF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 outline="0">
        <left/>
        <right style="thick">
          <color rgb="FFFF0000"/>
        </right>
        <top/>
        <bottom/>
      </border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 outline="0">
        <left/>
        <right style="thick">
          <color rgb="FFFF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 outline="0">
        <left/>
        <right style="thick">
          <color rgb="FFFF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 outline="0">
        <left/>
        <right style="thick">
          <color rgb="FFFF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 outline="0">
        <left/>
        <right style="thick">
          <color rgb="FFFF0000"/>
        </right>
        <top/>
        <bottom/>
      </border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fill>
        <patternFill patternType="solid">
          <fgColor indexed="64"/>
          <bgColor theme="9"/>
        </patternFill>
      </fill>
      <border diagonalUp="0" diagonalDown="0" outline="0">
        <left/>
        <right style="thick">
          <color rgb="FFFF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fill>
        <patternFill patternType="solid">
          <fgColor indexed="64"/>
          <bgColor theme="9"/>
        </patternFill>
      </fill>
      <border diagonalUp="0" diagonalDown="0" outline="0">
        <left/>
        <right style="thick">
          <color rgb="FFFF0000"/>
        </right>
        <top/>
        <bottom/>
      </border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 outline="0">
        <left/>
        <right style="thick">
          <color rgb="FFFF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 outline="0">
        <left/>
        <right style="thick">
          <color rgb="FFFF0000"/>
        </right>
        <top/>
        <bottom/>
      </border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 outline="0">
        <left/>
        <right style="medium">
          <color rgb="FFFF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 outline="0">
        <left/>
        <right style="medium">
          <color rgb="FFFF0000"/>
        </right>
        <top/>
        <bottom/>
      </border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178" formatCode="_(&quot;$&quot;* #,##0.00_);_(&quot;$&quot;* \(#,##0.00\);_(&quot;$&quot;* &quot;-&quot;??_);_(@_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178" formatCode="_(&quot;$&quot;* #,##0.00_);_(&quot;$&quot;* \(#,##0.00\);_(&quot;$&quot;* &quot;-&quot;??_);_(@_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178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178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178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178" formatCode="_(&quot;$&quot;* #,##0.00_);_(&quot;$&quot;* \(#,##0.00\);_(&quot;$&quot;* &quot;-&quot;??_);_(@_)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178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178" formatCode="_(&quot;$&quot;* #,##0.00_);_(&quot;$&quot;* \(#,##0.00\);_(&quot;$&quot;* &quot;-&quot;??_);_(@_)"/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top" textRotation="0" wrapText="0" indent="0" justifyLastLine="0" shrinkToFit="0" readingOrder="0"/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  <numFmt numFmtId="178" formatCode="_(&quot;$&quot;* #,##0.00_);_(&quot;$&quot;* \(#,##0.00\);_(&quot;$&quot;* &quot;-&quot;??_);_(@_)"/>
      <fill>
        <patternFill patternType="none"/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78" formatCode="_(&quot;$&quot;* #,##0.00_);_(&quot;$&quot;* \(#,##0.00\);_(&quot;$&quot;* &quot;-&quot;??_);_(@_)"/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  <fill>
        <patternFill patternType="none"/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border outline="0">
        <left style="thin">
          <color rgb="FF9BC2E6"/>
        </left>
        <top style="thin">
          <color rgb="FF9BC2E6"/>
        </top>
        <bottom style="thin">
          <color rgb="FF9BC2E6"/>
        </bottom>
      </border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Times New Roman"/>
        <family val="1"/>
        <scheme val="none"/>
      </font>
      <fill>
        <patternFill patternType="solid">
          <fgColor theme="4"/>
          <bgColor rgb="FF7030A0"/>
        </patternFill>
      </fill>
    </dxf>
    <dxf>
      <fill>
        <patternFill>
          <bgColor rgb="FFFECFCA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193" formatCode="m/d/yyyy"/>
    </dxf>
    <dxf>
      <numFmt numFmtId="193" formatCode="m/d/yyyy"/>
    </dxf>
    <dxf>
      <numFmt numFmtId="193" formatCode="m/d/yyyy"/>
    </dxf>
    <dxf>
      <numFmt numFmtId="0" formatCode="General"/>
    </dxf>
    <dxf>
      <numFmt numFmtId="35" formatCode="_-* #,##0.00_-;\-* #,##0.00_-;_-* &quot;-&quot;??_-;_-@_-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font>
        <name val="Times New Roman"/>
      </font>
    </dxf>
    <dxf>
      <font>
        <name val="Times New Roman"/>
      </font>
    </dxf>
    <dxf>
      <font>
        <name val="Times New Roman"/>
      </font>
    </dxf>
    <dxf>
      <font>
        <name val="Times New Roman"/>
      </font>
    </dxf>
    <dxf>
      <font>
        <name val="Times New Roman"/>
      </font>
    </dxf>
    <dxf>
      <font>
        <name val="Times New Roman"/>
      </font>
    </dxf>
    <dxf>
      <font>
        <name val="Times New Roman"/>
      </font>
    </dxf>
    <dxf>
      <font>
        <name val="Times New Roman"/>
      </font>
    </dxf>
    <dxf>
      <font>
        <name val="Times New Roman"/>
      </font>
    </dxf>
    <dxf>
      <font>
        <name val="Times New Roman"/>
      </font>
    </dxf>
    <dxf>
      <font>
        <name val="Times New Roman"/>
      </font>
    </dxf>
    <dxf>
      <font>
        <name val="Times New Roman"/>
      </font>
    </dxf>
    <dxf>
      <numFmt numFmtId="189" formatCode="_([$$-409]* #,##0.00_);_([$$-409]* \(#,##0.00\);_([$$-409]* &quot;-&quot;??_);_(@_)"/>
    </dxf>
    <dxf>
      <font>
        <name val="Times New Roman"/>
      </font>
    </dxf>
    <dxf>
      <font>
        <name val="Times New Roman"/>
      </font>
    </dxf>
    <dxf>
      <font>
        <name val="Times New Roman"/>
      </font>
    </dxf>
    <dxf>
      <font>
        <name val="Times New Roman"/>
      </font>
    </dxf>
    <dxf>
      <font>
        <name val="Times New Roman"/>
      </font>
    </dxf>
    <dxf>
      <font>
        <name val="Times New Roman"/>
      </font>
    </dxf>
    <dxf>
      <numFmt numFmtId="181" formatCode="_-[$$-409]* #,##0.00_ ;_-[$$-409]* \-#,##0.00\ ;_-[$$-409]* &quot;-&quot;??_ ;_-@_ "/>
    </dxf>
    <dxf>
      <numFmt numFmtId="181" formatCode="_-[$$-409]* #,##0.00_ ;_-[$$-409]* \-#,##0.00\ ;_-[$$-409]* &quot;-&quot;??_ ;_-@_ "/>
    </dxf>
  </dxfs>
  <tableStyles count="0" defaultTableStyle="TableStyleMedium2" defaultPivotStyle="PivotStyleLight16"/>
  <colors>
    <mruColors>
      <color rgb="FFC9A7E3"/>
      <color rgb="FFCC99FF"/>
      <color rgb="FFE6D6F2"/>
      <color rgb="FFBC8FDD"/>
      <color rgb="FFFECFCA"/>
      <color rgb="FFED7D31"/>
      <color rgb="FFFFB7B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4.xml"/><Relationship Id="rId21" Type="http://schemas.openxmlformats.org/officeDocument/2006/relationships/externalLink" Target="externalLinks/externalLink9.xml"/><Relationship Id="rId42" Type="http://schemas.openxmlformats.org/officeDocument/2006/relationships/externalLink" Target="externalLinks/externalLink30.xml"/><Relationship Id="rId47" Type="http://schemas.openxmlformats.org/officeDocument/2006/relationships/externalLink" Target="externalLinks/externalLink35.xml"/><Relationship Id="rId63" Type="http://schemas.openxmlformats.org/officeDocument/2006/relationships/powerPivotData" Target="model/item.data"/><Relationship Id="rId68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9" Type="http://schemas.openxmlformats.org/officeDocument/2006/relationships/externalLink" Target="externalLinks/externalLink17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2.xml"/><Relationship Id="rId32" Type="http://schemas.openxmlformats.org/officeDocument/2006/relationships/externalLink" Target="externalLinks/externalLink20.xml"/><Relationship Id="rId37" Type="http://schemas.openxmlformats.org/officeDocument/2006/relationships/externalLink" Target="externalLinks/externalLink25.xml"/><Relationship Id="rId40" Type="http://schemas.openxmlformats.org/officeDocument/2006/relationships/externalLink" Target="externalLinks/externalLink28.xml"/><Relationship Id="rId45" Type="http://schemas.openxmlformats.org/officeDocument/2006/relationships/externalLink" Target="externalLinks/externalLink33.xml"/><Relationship Id="rId53" Type="http://schemas.openxmlformats.org/officeDocument/2006/relationships/pivotCacheDefinition" Target="pivotCache/pivotCacheDefinition1.xml"/><Relationship Id="rId58" Type="http://schemas.openxmlformats.org/officeDocument/2006/relationships/sharedStrings" Target="sharedStrings.xml"/><Relationship Id="rId66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microsoft.com/office/2017/06/relationships/rdRichValueStructure" Target="richData/rdrichvaluestructure.xml"/><Relationship Id="rId1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2.xml"/><Relationship Id="rId22" Type="http://schemas.openxmlformats.org/officeDocument/2006/relationships/externalLink" Target="externalLinks/externalLink10.xml"/><Relationship Id="rId27" Type="http://schemas.openxmlformats.org/officeDocument/2006/relationships/externalLink" Target="externalLinks/externalLink15.xml"/><Relationship Id="rId30" Type="http://schemas.openxmlformats.org/officeDocument/2006/relationships/externalLink" Target="externalLinks/externalLink18.xml"/><Relationship Id="rId35" Type="http://schemas.openxmlformats.org/officeDocument/2006/relationships/externalLink" Target="externalLinks/externalLink23.xml"/><Relationship Id="rId43" Type="http://schemas.openxmlformats.org/officeDocument/2006/relationships/externalLink" Target="externalLinks/externalLink31.xml"/><Relationship Id="rId48" Type="http://schemas.openxmlformats.org/officeDocument/2006/relationships/externalLink" Target="externalLinks/externalLink36.xml"/><Relationship Id="rId56" Type="http://schemas.openxmlformats.org/officeDocument/2006/relationships/connections" Target="connections.xml"/><Relationship Id="rId64" Type="http://schemas.microsoft.com/office/2017/10/relationships/person" Target="persons/person.xml"/><Relationship Id="rId69" Type="http://schemas.openxmlformats.org/officeDocument/2006/relationships/customXml" Target="../customXml/item4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9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5" Type="http://schemas.openxmlformats.org/officeDocument/2006/relationships/externalLink" Target="externalLinks/externalLink13.xml"/><Relationship Id="rId33" Type="http://schemas.openxmlformats.org/officeDocument/2006/relationships/externalLink" Target="externalLinks/externalLink21.xml"/><Relationship Id="rId38" Type="http://schemas.openxmlformats.org/officeDocument/2006/relationships/externalLink" Target="externalLinks/externalLink26.xml"/><Relationship Id="rId46" Type="http://schemas.openxmlformats.org/officeDocument/2006/relationships/externalLink" Target="externalLinks/externalLink34.xml"/><Relationship Id="rId59" Type="http://schemas.openxmlformats.org/officeDocument/2006/relationships/sheetMetadata" Target="metadata.xml"/><Relationship Id="rId67" Type="http://schemas.openxmlformats.org/officeDocument/2006/relationships/customXml" Target="../customXml/item2.xml"/><Relationship Id="rId20" Type="http://schemas.openxmlformats.org/officeDocument/2006/relationships/externalLink" Target="externalLinks/externalLink8.xml"/><Relationship Id="rId41" Type="http://schemas.openxmlformats.org/officeDocument/2006/relationships/externalLink" Target="externalLinks/externalLink29.xml"/><Relationship Id="rId54" Type="http://schemas.openxmlformats.org/officeDocument/2006/relationships/pivotCacheDefinition" Target="pivotCache/pivotCacheDefinition2.xml"/><Relationship Id="rId62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3.xml"/><Relationship Id="rId23" Type="http://schemas.openxmlformats.org/officeDocument/2006/relationships/externalLink" Target="externalLinks/externalLink11.xml"/><Relationship Id="rId28" Type="http://schemas.openxmlformats.org/officeDocument/2006/relationships/externalLink" Target="externalLinks/externalLink16.xml"/><Relationship Id="rId36" Type="http://schemas.openxmlformats.org/officeDocument/2006/relationships/externalLink" Target="externalLinks/externalLink24.xml"/><Relationship Id="rId49" Type="http://schemas.openxmlformats.org/officeDocument/2006/relationships/externalLink" Target="externalLinks/externalLink37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9.xml"/><Relationship Id="rId44" Type="http://schemas.openxmlformats.org/officeDocument/2006/relationships/externalLink" Target="externalLinks/externalLink32.xml"/><Relationship Id="rId52" Type="http://schemas.openxmlformats.org/officeDocument/2006/relationships/externalLink" Target="externalLinks/externalLink40.xml"/><Relationship Id="rId60" Type="http://schemas.microsoft.com/office/2017/06/relationships/rdRichValue" Target="richData/rdrichvalue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39" Type="http://schemas.openxmlformats.org/officeDocument/2006/relationships/externalLink" Target="externalLinks/externalLink27.xml"/><Relationship Id="rId34" Type="http://schemas.openxmlformats.org/officeDocument/2006/relationships/externalLink" Target="externalLinks/externalLink22.xml"/><Relationship Id="rId50" Type="http://schemas.openxmlformats.org/officeDocument/2006/relationships/externalLink" Target="externalLinks/externalLink38.xml"/><Relationship Id="rId55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ec-nts1\CRD%20&#26989;&#21209;&#37096;\My%20Documents\&#26366;&#24535;&#22283;\Znewcase\&#21932;&#27835;&#24037;&#21830;NEW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ec-nts1\CRD%20&#26989;&#21209;&#37096;\My%20Documents\&#26366;&#24535;&#22283;\Znewcase\70812000\85-021\C-84021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ec-nts1\CRD%20&#26989;&#21209;&#37096;\My%20Documents\&#26366;&#24535;&#22283;\Znewcase\79010000\ENG1\BSLURY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SANDA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ojsvr38\My%20Documents\8k%20branh%20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8k%20branh%206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ckicchiou02\&#26032;&#22686;&#30913;&#30879;&#21312;%20(D)\Documents%20and%20Settings\bensonhsieh\&#26700;&#38754;\Benson\&#26009;&#20729;&#22823;&#38598;&#21512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ckicchiou02\&#26032;&#22686;&#30913;&#30879;&#21312;%20(D)\Documents%20and%20Settings\User\Local%20Settings\Temporary%20Internet%20Files\OLK5\DATA_JDolman\Projecten\L11_Elephant\Lighting\T07GE_AUO_jdo_MCC_DPlis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a948\T1220\COSTOS\WIPCOM0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a020\atyrau$\Documents%20and%20Settings\A0731\Desktop\Jacob\Haradh\PlanData\Planning&amp;reporting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0980;&#51116;&#50672;\aproject\skec\TDI\BM\TDIBM1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876fs01\home\project\Tangguh\2002\JGC\E&#27231;&#35373;&#12479;\BQ\BQ&#35336;&#31639;Tangguh-JGC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&#27888;&#22283;&#20272;&#20729;&#22522;&#28310;&#27284;-01(2004&#24180;%20Rev.%201,%2002-12-04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OWS\TEMP\&#27888;&#22283;&#20272;&#20729;&#22522;&#28310;&#27284;-01(2004&#24180;%20Rev.%201,%2002-12-04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CHINA\PROJECT\CONTROL\CST_STA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u6fs2\G5C0\Documents%20and%20Settings\jerrychchen\Local%20Settings\Temporary%20Internet%20Files\OLKE\2003_AFP_&#30456;&#38364;&#27284;&#26696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rk4\c\CCS_BKUP_FILE\MONTHLY\mach_out&#31684;&#26412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u6fs2\G5C0\My%20Documents\&#26410;&#20998;&#39006;&#38620;&#29289;&#22846;\MQC%20CT%200.5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tinliu\Local%20Settings\Temporary%20Internet%20Files\OLK6\MIC\&#25991;&#20214;&#31649;&#29702;\Excel\Hook-Up-Material-TSMC7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(C)My%20Documents\Tsmc&#24288;\tsmc-12\003-&#22577;&#20729;&#36039;&#26009;\003-14k\14K%20Tool%20List(&#40670;&#25976;&#34920;)-1008(&#20839;)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ckicchiou02\&#26032;&#22686;&#30913;&#30879;&#21312;%20(D)\Documents%20and%20Settings\User\Local%20Settings\Temporary%20Internet%20Files\OLK5\AUO_STar\original\Power\T07GE_AUO_jdo_MCC_DPlist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ricsu-pc\l8b%20ph1%20c-table\Array\scaner\0223-Canon_C_table_20100223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ec-nts1\CRD%20&#26989;&#21209;&#37096;\My%20Documents\&#26366;&#24535;&#22283;\Znewcase\LIN\&#24038;&#29151;&#31119;&#23665;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emp-Work\Capacity\Plan2000\990302\Capacity__0302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18A3705A%20DSM/Conceptual%20and%20Basic/MH/&#38468;&#20214;&#20108;%20Deliverables%20for%20Basic%20Design%20Package%20and%20FOM-2%20DDE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8A3705A%20DSM\Conceptual%20and%20Basic\MH\&#38468;&#20214;&#20108;%20Deliverables%20for%20Basic%20Design%20Package%20and%20FOM-2%20DDE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ies\Factory%20Layout%20Technology\MLC\01_Fab-1\50_Capacity\Tool%20List\Capacity%20V1.4%20(0826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ckicchiou02\&#26032;&#22686;&#30913;&#30879;&#21312;%20(D)\Documents%20and%20Settings\User\Local%20Settings\Temporary%20Internet%20Files\OLK5\Documents%20and%20Settings\cswu\Local%20Settings\Temporary%20Internet%20Files\OLK3B\T07GE_AUO_jdo_MCC_DPlist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ckicchiou02\&#26032;&#22686;&#30913;&#30879;&#21312;%20(D)\My%20Documents\Elephant%20Array%20&#20132;&#25509;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David%20Wang/03%20USA%20New%20Fab%20Construction/MSCM%20Report/Bald%20Eagle%20Project%20(US%20Construction%20Supply%20Chain)%20DD%2010-04-2020%20ver1.0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.58\se&#24179;&#21488;\&#26032;&#36039;&#26009;&#22846;\&#35215;&#21123;&#26696;&#36039;&#26009;\&#21451;&#36948;\L8B\CF\F799%20Recycle%20Line\RECYCLE-LINE-C-Table100125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ec-nts1\CRD%20&#26989;&#21209;&#37096;\My%20Documents\&#26366;&#24535;&#22283;\Znewcase\70812000\ENG1\ENTRY\ENTRY-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ckicchiou02\&#26032;&#22686;&#30913;&#30879;&#21312;%20(D)\Documents%20and%20Settings\PST\Local%20Settings\Temporary%20Internet%20Files\Content.IE5\LY1J6HB0\Documents%20and%20Settings\bensonhsieh\&#26700;&#38754;\Benson\&#26009;&#20729;&#22823;&#38598;&#21512;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c-smic-1\c\EVA%200806\0307-OPTO\Material-rev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ecns\crd&#26989;&#21209;&#37096;\CRD&#26989;&#21209;&#37096;%20&#20839;&#37096;&#20849;&#29992;&#30446;&#37636;\&#20272;&#31639;\&#21516;&#27888;\&#21516;&#27888;&#26481;&#20108;-&#38738;&#24180;&#27161;&#21934;-&#22577;&#20729;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ec-nts1\CRD%20&#26989;&#21209;&#37096;\My%20Documents\&#26366;&#24535;&#22283;\Znewcase\70812-M\ENG1\CHG1\CHG1-S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L7B%20Project\CUB3\CUB3_M&amp;E_Quotation\&#37329;&#23637;\M&amp;E%20PHASE1%20-REV02-960905-&#22577;&#20729;0925%20to%20AUO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omsrv\Commercial\Construction\WINDOWS\TEMP\14%20Piping%20Bill%20of%20Materials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ncentchung-pc\TANGO&#29872;&#23433;&#20844;&#29992;&#36039;&#26009;&#22846;\Documents%20and%20Settings\taiwenliu\Local%20Settings\Temporary%20Internet%20Files\OLKA\&#26045;&#24037;&#30003;&#35531;&#19968;&#35261;&#34920;930927~931003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s0-pc1\ESH&#20844;&#29992;&#36039;&#26009;&#22846;\ERC\&#20844;&#29992;&#36039;&#26009;&#21283;\Audit%20record\Audit%20&#21312;&#22495;\10%20&#24288;(&#19968;&#26399;&#24037;&#21312;)\Weekly%20Audit%20Report\2005\W17Weekly%20Audit%20Repor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假設工程"/>
      <sheetName val="標單"/>
      <sheetName val="投標標價呈核表"/>
      <sheetName val="開標結果"/>
    </sheetNames>
    <sheetDataSet>
      <sheetData sheetId="0"/>
      <sheetData sheetId="1"/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三棟"/>
      <sheetName val="演奏廳各期計價"/>
    </sheetNames>
    <sheetDataSet>
      <sheetData sheetId="0" refreshError="1"/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預算總表"/>
      <sheetName val="Exh_Branch(8K)(依前購)"/>
      <sheetName val="Valve"/>
    </sheetNames>
    <sheetDataSet>
      <sheetData sheetId="0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산근"/>
      <sheetName val="#REF"/>
      <sheetName val="000000"/>
      <sheetName val="XXXXXX"/>
      <sheetName val="KUWATI(Total) "/>
      <sheetName val="GC-01"/>
      <sheetName val="GC-02"/>
      <sheetName val="GC-03"/>
      <sheetName val="GC-04"/>
      <sheetName val="GC-07"/>
      <sheetName val="GC-08"/>
      <sheetName val="GC-09"/>
      <sheetName val="GC-10"/>
      <sheetName val="GC-19"/>
      <sheetName val="GC-21"/>
      <sheetName val="GC-22"/>
      <sheetName val="집계표(OPTION)"/>
      <sheetName val="OPTION 2"/>
      <sheetName val="OPTION 3"/>
      <sheetName val="Sheet2"/>
      <sheetName val="Sheet3"/>
      <sheetName val="견적조건"/>
      <sheetName val="대비표"/>
      <sheetName val="집계표 (TOTAL)"/>
      <sheetName val="집계표 (CIVIL-23)"/>
      <sheetName val="집계표 (FGRU)"/>
      <sheetName val="집계표 (25,26)"/>
      <sheetName val="집계표 (MEROX)"/>
      <sheetName val="집계표 (NITROGEN)"/>
      <sheetName val="집계표 (M4)"/>
      <sheetName val="집계표 (CIVIL4)"/>
      <sheetName val="집계표 (CIVIL6)"/>
      <sheetName val="집계표 (CIVIL7)"/>
      <sheetName val="내역서(DEMO TOTAL)"/>
      <sheetName val="내역서 (CIVIL-23)"/>
      <sheetName val="내역서 (fgru)"/>
      <sheetName val="내역서 (25&amp;26)"/>
      <sheetName val="내역서 (MEROX)"/>
      <sheetName val="내역서 (NITROGEN)"/>
      <sheetName val="내역서 (M4)"/>
      <sheetName val="내역서 (CIVIL-4)"/>
      <sheetName val="내역서 (CIVIL-6)"/>
      <sheetName val="내역서 (CIVIL-7)"/>
      <sheetName val="2002년 현장공사비 국내 실적"/>
      <sheetName val="2003년국내현장공사비 실적"/>
      <sheetName val="_REF"/>
      <sheetName val="집계표_OPTION_"/>
      <sheetName val="당초"/>
      <sheetName val="단가(자재)"/>
      <sheetName val="단가(노임)"/>
      <sheetName val="기초목록"/>
      <sheetName val="노임단가"/>
      <sheetName val="???"/>
      <sheetName val="VC2 10.99"/>
      <sheetName val="예산"/>
      <sheetName val="BQMPALOC"/>
      <sheetName val="금액내역서"/>
      <sheetName val="inter"/>
      <sheetName val="Sheet1"/>
      <sheetName val="KP1590_E"/>
      <sheetName val="영업2"/>
      <sheetName val="1월"/>
      <sheetName val="공문"/>
      <sheetName val="영업3"/>
      <sheetName val="??"/>
      <sheetName val="ERECIN"/>
      <sheetName val="INPUT DATA"/>
      <sheetName val="집계표 (25,26ဩ"/>
      <sheetName val="BQ_Utl_Off"/>
      <sheetName val="수입"/>
      <sheetName val="Form 0"/>
      <sheetName val="COVER"/>
      <sheetName val="12CGOU"/>
      <sheetName val="경영혁신본부"/>
      <sheetName val="»ê±Ù"/>
      <sheetName val="Final(1)summary"/>
      <sheetName val="연돌일위집계"/>
      <sheetName val="___"/>
      <sheetName val="ESCON"/>
      <sheetName val="BD集計用"/>
      <sheetName val="95삼성급(본사)"/>
      <sheetName val="DESCRIPTION"/>
      <sheetName val="Form D-1"/>
      <sheetName val="Form B-1"/>
      <sheetName val="Form F-1"/>
      <sheetName val="Assist(B-1)"/>
      <sheetName val="Form A"/>
      <sheetName val="갑지"/>
      <sheetName val="세금자료"/>
      <sheetName val="KUWATI(Total)_"/>
      <sheetName val="OPTION_2"/>
      <sheetName val="OPTION_3"/>
      <sheetName val="집계표_(TOTAL)"/>
      <sheetName val="집계표_(CIVIL-23)"/>
      <sheetName val="집계표_(FGRU)"/>
      <sheetName val="집계표_(25,26)"/>
      <sheetName val="집계표_(MEROX)"/>
      <sheetName val="집계표_(NITROGEN)"/>
      <sheetName val="집계표_(M4)"/>
      <sheetName val="집계표_(CIVIL4)"/>
      <sheetName val="집계표_(CIVIL6)"/>
      <sheetName val="집계표_(CIVIL7)"/>
      <sheetName val="내역서(DEMO_TOTAL)"/>
      <sheetName val="내역서_(CIVIL-23)"/>
      <sheetName val="내역서_(fgru)"/>
      <sheetName val="내역서_(25&amp;26)"/>
      <sheetName val="내역서_(MEROX)"/>
      <sheetName val="내역서_(NITROGEN)"/>
      <sheetName val="내역서_(M4)"/>
      <sheetName val="내역서_(CIVIL-4)"/>
      <sheetName val="내역서_(CIVIL-6)"/>
      <sheetName val="내역서_(CIVIL-7)"/>
      <sheetName val="2002년_현장공사비_국내_실적"/>
      <sheetName val="2003년국내현장공사비_실적"/>
      <sheetName val="VC2_10_99"/>
      <sheetName val="입출재고현황 (2)"/>
      <sheetName val="SANDAN"/>
      <sheetName val="뜃맟뭁돽띿맟?-BLDG"/>
      <sheetName val="__"/>
      <sheetName val="뜃맟뭁돽띿맟_-BLDG"/>
      <sheetName val="General Data"/>
      <sheetName val="LABOR &amp; 자재"/>
      <sheetName val="제작도"/>
      <sheetName val="CB"/>
      <sheetName val="DRUM"/>
      <sheetName val="eq_data"/>
      <sheetName val="SALA-002"/>
      <sheetName val="DHEQSUPT"/>
      <sheetName val="기성내역"/>
      <sheetName val="당진1,2호기전선관설치및접지4차공사내역서-을지"/>
      <sheetName val="TTL"/>
      <sheetName val="M-EQPT-Z"/>
      <sheetName val="Price Schedule"/>
      <sheetName val="간접비내역-1"/>
      <sheetName val="Lup2"/>
      <sheetName val="간접비 총괄"/>
      <sheetName val="POWER"/>
      <sheetName val="INPUT_DATA"/>
      <sheetName val="General_Data"/>
      <sheetName val="집계표_(25,26ဩ"/>
      <sheetName val="Form_0"/>
      <sheetName val="노임단가표"/>
      <sheetName val="BOROUGE2"/>
      <sheetName val="주간기성"/>
      <sheetName val="3.공통공사대비"/>
      <sheetName val="B"/>
      <sheetName val="PRICES"/>
      <sheetName val="INSTR"/>
      <sheetName val="EQUIP"/>
      <sheetName val="EQUIPMENT -2"/>
      <sheetName val="合成単価作成表-BLDG"/>
      <sheetName val="내역ࠜĀ_x0000_M4)"/>
      <sheetName val="???(OPTION)"/>
      <sheetName val="Q&amp;pl-V"/>
      <sheetName val="Static Equip"/>
      <sheetName val="CAT_5"/>
      <sheetName val="내역서 耰&quot;_x0000__x0000_"/>
      <sheetName val="_x0008_"/>
      <sheetName val="비교검토"/>
      <sheetName val="h-013211-2"/>
      <sheetName val="CAL."/>
      <sheetName val="EQT-ESTN"/>
      <sheetName val="???¡§????"/>
      <sheetName val="????¢ç¢®¡¿????"/>
      <sheetName val="??????????¢ç??????"/>
      <sheetName val="???????¢ç¢®¢¯????"/>
      <sheetName val="???????®¡¿????"/>
      <sheetName val="??????????????????"/>
      <sheetName val="Rate Analysis"/>
      <sheetName val="F4-F7"/>
      <sheetName val="IN"/>
      <sheetName val="표지"/>
      <sheetName val="WE'T"/>
      <sheetName val="찍기"/>
      <sheetName val="실행"/>
      <sheetName val="Cash2"/>
      <sheetName val="Z"/>
      <sheetName val="물량"/>
      <sheetName val="WEIGHT LIST"/>
      <sheetName val="산#2-1 (2)"/>
      <sheetName val="POL6차-PIPING"/>
      <sheetName val="산#3-1"/>
      <sheetName val="BEND LOSS"/>
      <sheetName val="공사비 내역 (가)"/>
      <sheetName val="CTEMCOST"/>
      <sheetName val="3.Breakdown Direct Paint"/>
      <sheetName val="내역"/>
      <sheetName val="단면 (2)"/>
      <sheetName val="Spl"/>
      <sheetName val="내역ࠜĀ"/>
      <sheetName val="내역서 耰&quot;??"/>
      <sheetName val="24V"/>
      <sheetName val="LEGEND"/>
      <sheetName val="내역ࠜĀ_x005f_x0000_M4)"/>
      <sheetName val="PROCURE"/>
      <sheetName val="내역서 耰&quot;_x005f_x0000__x005f_x0000_"/>
      <sheetName val="_x005f_x0008_"/>
      <sheetName val="BID"/>
      <sheetName val="6PILE  (돌출)"/>
      <sheetName val="A"/>
      <sheetName val="Form A "/>
      <sheetName val="jobhist"/>
      <sheetName val="국내"/>
      <sheetName val="Quantity"/>
      <sheetName val="___(OPTION)"/>
      <sheetName val="____¢ç¢®¡¿____"/>
      <sheetName val="__________¢ç______"/>
      <sheetName val="___¡§____"/>
      <sheetName val="_______¢ç¢®¢¯____"/>
      <sheetName val="_______®¡¿____"/>
      <sheetName val="__________________"/>
      <sheetName val="내역서 耰&quot;__"/>
      <sheetName val="Summary Sheets"/>
      <sheetName val="Z- GENERAL PRICE SUMMARY"/>
      <sheetName val=" Estimate  "/>
      <sheetName val="갑지1"/>
      <sheetName val="내역ࠜĀ?M4)"/>
      <sheetName val="PBS"/>
      <sheetName val="경영혁신본뷀"/>
      <sheetName val="electrical"/>
      <sheetName val="Compare"/>
      <sheetName val="고압수량(철거)"/>
      <sheetName val="°ßÀûÁ¶°Ç"/>
      <sheetName val="´ëºñÇ¥"/>
      <sheetName val="Áý°èÇ¥ (TOTAL)"/>
      <sheetName val="Áý°èÇ¥ (CIVIL-23)"/>
      <sheetName val="Áý°èÇ¥ (FGRU)"/>
      <sheetName val="Áý°èÇ¥ (25,26)"/>
      <sheetName val="Áý°èÇ¥ (MEROX)"/>
      <sheetName val="Áý°èÇ¥ (NITROGEN)"/>
      <sheetName val="Áý°èÇ¥ (M4)"/>
      <sheetName val="Áý°èÇ¥ (CIVIL4)"/>
      <sheetName val="Áý°èÇ¥ (CIVIL6)"/>
      <sheetName val="Áý°èÇ¥ (CIVIL7)"/>
      <sheetName val="³»¿ª¼­(DEMO TOTAL)"/>
      <sheetName val="³»¿ª¼­ (CIVIL-23)"/>
      <sheetName val="³»¿ª¼­ (fgru)"/>
      <sheetName val="³»¿ª¼­ (25&amp;26)"/>
      <sheetName val="³»¿ª¼­ (MEROX)"/>
      <sheetName val="³»¿ª¼­ (NITROGEN)"/>
      <sheetName val="³»¿ª¼­ (M4)"/>
      <sheetName val="³»¿ª¼­ (CIVIL-4)"/>
      <sheetName val="³»¿ª¼­ (CIVIL-6)"/>
      <sheetName val="³»¿ª¼­ (CIVIL-7)"/>
      <sheetName val="Áý°èÇ¥(OPTION)"/>
      <sheetName val="2002³â ÇöÀå°ø»çºñ ±¹³» ½ÇÀû"/>
      <sheetName val="2003³â±¹³»ÇöÀå°ø»çºñ ½ÇÀû"/>
      <sheetName val="기계내역서"/>
      <sheetName val="SOURCE"/>
      <sheetName val="2.2 STAFF Scedule"/>
      <sheetName val="내역ࠜĀ_x005f_x005f_x005f_x0000_M4)"/>
      <sheetName val="Data"/>
      <sheetName val="당초내역서"/>
      <sheetName val="OPTION_21"/>
      <sheetName val="OPTION_31"/>
      <sheetName val="KUWATI(Total)_1"/>
      <sheetName val="집계표_(TOTAL)1"/>
      <sheetName val="집계표_(CIVIL-23)1"/>
      <sheetName val="집계표_(FGRU)1"/>
      <sheetName val="집계표_(25,26)1"/>
      <sheetName val="집계표_(MEROX)1"/>
      <sheetName val="집계표_(NITROGEN)1"/>
      <sheetName val="집계표_(M4)1"/>
      <sheetName val="집계표_(CIVIL4)1"/>
      <sheetName val="집계표_(CIVIL6)1"/>
      <sheetName val="집계표_(CIVIL7)1"/>
      <sheetName val="내역서(DEMO_TOTAL)1"/>
      <sheetName val="내역서_(CIVIL-23)1"/>
      <sheetName val="내역서_(fgru)1"/>
      <sheetName val="내역서_(25&amp;26)1"/>
      <sheetName val="내역서_(MEROX)1"/>
      <sheetName val="내역서_(NITROGEN)1"/>
      <sheetName val="내역서_(M4)1"/>
      <sheetName val="내역서_(CIVIL-4)1"/>
      <sheetName val="내역서_(CIVIL-6)1"/>
      <sheetName val="내역서_(CIVIL-7)1"/>
      <sheetName val="2002년_현장공사비_국내_실적1"/>
      <sheetName val="2003년국내현장공사비_실적1"/>
      <sheetName val="VC2_10_991"/>
      <sheetName val="INPUT_DATA1"/>
      <sheetName val="집계표_(25,26ဩ1"/>
      <sheetName val="Form_D-1"/>
      <sheetName val="Form_B-1"/>
      <sheetName val="Form_F-1"/>
      <sheetName val="Form_A"/>
      <sheetName val="Form_01"/>
      <sheetName val="입출재고현황_(2)"/>
      <sheetName val="General_Data1"/>
      <sheetName val="LABOR_&amp;_자재"/>
      <sheetName val="간접비_총괄"/>
      <sheetName val="Price_Schedule"/>
      <sheetName val="3_공통공사대비"/>
      <sheetName val="내역서_耰&quot;"/>
      <sheetName val=""/>
      <sheetName val="EQUIPMENT_-2"/>
      <sheetName val="CAL_"/>
      <sheetName val="Rate_Analysis"/>
      <sheetName val="내역서_耰&quot;??"/>
      <sheetName val="Sheet6"/>
      <sheetName val="갑지(추정)"/>
      <sheetName val="ELEC_DCI"/>
      <sheetName val="INST_DCI"/>
      <sheetName val="Engg-Exec-2"/>
      <sheetName val="Site-Precom-2"/>
      <sheetName val="Collab"/>
      <sheetName val="Transport"/>
      <sheetName val="Civil 1"/>
      <sheetName val="Civil 2"/>
      <sheetName val="Civil 3"/>
      <sheetName val="Site 1"/>
      <sheetName val="Site 2"/>
      <sheetName val="Site 3"/>
      <sheetName val="Site Faci"/>
      <sheetName val="Cont"/>
      <sheetName val="Engg-Exec-1"/>
      <sheetName val="Site-Precom-1"/>
      <sheetName val="Site-Precom-Vendor"/>
      <sheetName val="Risk-Anal"/>
      <sheetName val="Ranges"/>
      <sheetName val="User"/>
      <sheetName val="EQUIPOS"/>
      <sheetName val="AREA"/>
      <sheetName val="바닥판"/>
      <sheetName val="TYPE1"/>
      <sheetName val="철근량"/>
      <sheetName val="토목주소"/>
      <sheetName val="프랜트면허"/>
      <sheetName val="역T형"/>
      <sheetName val="PILE"/>
      <sheetName val="Man Hole"/>
      <sheetName val="대로근거"/>
      <sheetName val="중로근거"/>
      <sheetName val="PRO_DCI"/>
      <sheetName val="HVAC_DCI"/>
      <sheetName val="PIPE_DCI"/>
      <sheetName val="일위대가표"/>
      <sheetName val="조건표"/>
      <sheetName val="일위대가"/>
      <sheetName val="내역표지"/>
      <sheetName val="산출2-기기동력"/>
      <sheetName val="40총괄"/>
      <sheetName val="40집계"/>
      <sheetName val="30신설일위대가"/>
      <sheetName val="30집계표"/>
      <sheetName val="NSCP견적물량"/>
      <sheetName val="공사비예산서(토목분)"/>
      <sheetName val="float&amp;bear"/>
      <sheetName val="Kfracture"/>
      <sheetName val="직재"/>
      <sheetName val="I一般比"/>
      <sheetName val="입력시트"/>
      <sheetName val="CIVIL"/>
      <sheetName val="ERECT"/>
      <sheetName val="PROSUM"/>
      <sheetName val="내역ࠜĀ_M4)"/>
      <sheetName val="내역서 耰&quot;_x005f_x005f_x005f_x0000__x005f_x005f_x0000"/>
      <sheetName val="_x005f_x005f_x005f_x0008_"/>
      <sheetName val="내역서_耰&quot;__"/>
      <sheetName val="Resumen"/>
      <sheetName val="Precios Unitarios"/>
      <sheetName val="내역ࠜĀ_x005f_x005f_x005f_x005f_x005f_x005f_x005f_x0000_M4"/>
      <sheetName val="내역서 耰&quot;_x005f_x005f_x005f_x005f_x005f_x005f_x005f_x0000_"/>
      <sheetName val="_x005f_x005f_x005f_x005f_x005f_x005f_x005f_x0008_"/>
      <sheetName val="9906"/>
      <sheetName val="계측 내역서"/>
      <sheetName val="Lstsub"/>
      <sheetName val="[SANDAN.XLS??"/>
      <sheetName val="Hot"/>
      <sheetName val="Piping BQ for one turbine"/>
      <sheetName val="Administrative Prices"/>
      <sheetName val="Calc"/>
      <sheetName val="WBS 44"/>
      <sheetName val="WBS 41"/>
      <sheetName val="Precios por Administración"/>
      <sheetName val="Subcon A"/>
      <sheetName val="AILC004"/>
      <sheetName val="Sheet1 (2)"/>
      <sheetName val="수로보호공"/>
      <sheetName val="데이타"/>
      <sheetName val="식재인부"/>
      <sheetName val="견적"/>
      <sheetName val="7. 월별투입내역서"/>
      <sheetName val="인부신상자료"/>
      <sheetName val="cable-data"/>
      <sheetName val="T 3"/>
      <sheetName val="HORI. VESSEL"/>
      <sheetName val="BCPAB"/>
      <sheetName val="PI"/>
      <sheetName val="EQUIP LIST"/>
      <sheetName val="내역서"/>
      <sheetName val="MP MOB"/>
      <sheetName val="SummaryC"/>
      <sheetName val="Detail"/>
      <sheetName val="Sheet4"/>
      <sheetName val="cable"/>
      <sheetName val="배관내역"/>
      <sheetName val="Form B"/>
      <sheetName val="Direct"/>
      <sheetName val="FORM-12"/>
      <sheetName val="Insts"/>
      <sheetName val="Vind - BtB"/>
      <sheetName val="LV induction motors"/>
      <sheetName val="인원계획"/>
      <sheetName val="BSD (2)"/>
      <sheetName val="BM DATA SHEET"/>
      <sheetName val="입찰품의서"/>
      <sheetName val="내역ࠜĀ_x005f_x005f_x005f_x005f_x005f_x005f_x005f_x005f_x0"/>
      <sheetName val="내역서 耰&quot;_x005f_x005f_x005f_x005f_x005f_x005f_x005f_x005f_"/>
      <sheetName val="_x005f_x005f_x005f_x005f_x005f_x005f_x005f_x005f_x005f_x005f_"/>
      <sheetName val="Q-7100-001"/>
      <sheetName val="수주추정"/>
      <sheetName val="_x0002__x0000_뻘N_x0000__x0000__x0001_ࠀ역서"/>
      <sheetName val="BATCH"/>
      <sheetName val="trf(36%)"/>
      <sheetName val="sum"/>
      <sheetName val="Summary"/>
      <sheetName val="All_2"/>
      <sheetName val="Monthly Load"/>
      <sheetName val="Weekly Load"/>
      <sheetName val="_x0002_?뻘N??_x0001_ࠀ역서"/>
      <sheetName val="Utility and Fire flange"/>
      <sheetName val="_SANDAN.XLS__"/>
      <sheetName val="97 사업추정(WEKI)"/>
      <sheetName val="Piping_물량_정리_"/>
      <sheetName val="KUWATI(Total)_2"/>
      <sheetName val="집계표_(TOTAL)2"/>
      <sheetName val="집계표_(CIVIL-23)2"/>
      <sheetName val="집계표_(FGRU)2"/>
      <sheetName val="집계표_(25,26)2"/>
      <sheetName val="집계표_(MEROX)2"/>
      <sheetName val="집계표_(NITROGEN)2"/>
      <sheetName val="집계표_(M4)2"/>
      <sheetName val="집계표_(CIVIL4)2"/>
      <sheetName val="집계표_(CIVIL6)2"/>
      <sheetName val="집계표_(CIVIL7)2"/>
      <sheetName val="내역서(DEMO_TOTAL)2"/>
      <sheetName val="내역서_(CIVIL-23)2"/>
      <sheetName val="내역서_(fgru)2"/>
      <sheetName val="내역서_(25&amp;26)2"/>
      <sheetName val="내역서_(MEROX)2"/>
      <sheetName val="내역서_(NITROGEN)2"/>
      <sheetName val="내역서_(M4)2"/>
      <sheetName val="내역서_(CIVIL-4)2"/>
      <sheetName val="내역서_(CIVIL-6)2"/>
      <sheetName val="내역서_(CIVIL-7)2"/>
      <sheetName val="OPTION_22"/>
      <sheetName val="OPTION_32"/>
      <sheetName val="2002년_현장공사비_국내_실적2"/>
      <sheetName val="2003년국내현장공사비_실적2"/>
      <sheetName val="VC2_10_992"/>
      <sheetName val="KUWATI(Total)_3"/>
      <sheetName val="집계표_(TOTAL)3"/>
      <sheetName val="집계표_(CIVIL-23)3"/>
      <sheetName val="집계표_(FGRU)3"/>
      <sheetName val="집계표_(25,26)3"/>
      <sheetName val="집계표_(MEROX)3"/>
      <sheetName val="집계표_(NITROGEN)3"/>
      <sheetName val="집계표_(M4)3"/>
      <sheetName val="집계표_(CIVIL4)3"/>
      <sheetName val="집계표_(CIVIL6)3"/>
      <sheetName val="집계표_(CIVIL7)3"/>
      <sheetName val="내역서(DEMO_TOTAL)3"/>
      <sheetName val="내역서_(CIVIL-23)3"/>
      <sheetName val="내역서_(fgru)3"/>
      <sheetName val="내역서_(25&amp;26)3"/>
      <sheetName val="내역서_(MEROX)3"/>
      <sheetName val="내역서_(NITROGEN)3"/>
      <sheetName val="내역서_(M4)3"/>
      <sheetName val="내역서_(CIVIL-4)3"/>
      <sheetName val="내역서_(CIVIL-6)3"/>
      <sheetName val="내역서_(CIVIL-7)3"/>
      <sheetName val="OPTION_23"/>
      <sheetName val="OPTION_33"/>
      <sheetName val="2002년_현장공사비_국내_실적3"/>
      <sheetName val="2003년국내현장공사비_실적3"/>
      <sheetName val="VC2_10_993"/>
      <sheetName val="집계표"/>
      <sheetName val="DB@Acess"/>
      <sheetName val="변경집계표"/>
      <sheetName val="Basic_Rate"/>
      <sheetName val="appendix_2_5_final_accounts"/>
      <sheetName val="Format"/>
      <sheetName val="Labour"/>
      <sheetName val="Material"/>
      <sheetName val="Sheet1_(2)"/>
      <sheetName val="Material Selections"/>
      <sheetName val="INPUT_DATA2"/>
      <sheetName val="집계표_(25,26ဩ2"/>
      <sheetName val="Form_02"/>
      <sheetName val="Form_D-11"/>
      <sheetName val="Form_B-11"/>
      <sheetName val="Form_F-11"/>
      <sheetName val="Form_A1"/>
      <sheetName val="입출재고현황_(2)1"/>
      <sheetName val="General_Data2"/>
      <sheetName val="LABOR_&amp;_자재1"/>
      <sheetName val="간접비_총괄1"/>
      <sheetName val="Price_Schedule1"/>
      <sheetName val="3_공통공사대비1"/>
      <sheetName val="내역서_耰&quot;??1"/>
      <sheetName val="CAL_1"/>
      <sheetName val="Rate_Analysis1"/>
      <sheetName val="EQUIPMENT_-21"/>
      <sheetName val="Static_Equip"/>
      <sheetName val="3_Breakdown_Direct_Paint"/>
      <sheetName val="WEIGHT_LIST"/>
      <sheetName val="산#2-1_(2)"/>
      <sheetName val="BEND_LOSS"/>
      <sheetName val="공사비_내역_(가)"/>
      <sheetName val="단면_(2)"/>
      <sheetName val="내역서_耰&quot;_x005f_x0000__x005f_x0000_"/>
      <sheetName val="6PILE__(돌출)"/>
      <sheetName val="Form_A_"/>
      <sheetName val="내역서_耰&quot;__1"/>
      <sheetName val="Summary_Sheets"/>
      <sheetName val="Civil_1"/>
      <sheetName val="Civil_2"/>
      <sheetName val="Civil_3"/>
      <sheetName val="Site_1"/>
      <sheetName val="Site_2"/>
      <sheetName val="Site_3"/>
      <sheetName val="Site_Faci"/>
      <sheetName val="DCS"/>
      <sheetName val="FWBS7000,8000"/>
      <sheetName val="ANALYSER"/>
      <sheetName val="Eq. Mobilization"/>
      <sheetName val="출금실적"/>
      <sheetName val="경영현황"/>
      <sheetName val="금융"/>
      <sheetName val="M_DB"/>
      <sheetName val="실행집계"/>
      <sheetName val="breakdown of wage rate"/>
      <sheetName val="Indirect Cost"/>
      <sheetName val="Unit"/>
      <sheetName val="내역서 (∮ἀ嘆ɶ_x0000_᠀㬁_x0000_"/>
      <sheetName val="당초_xd8b4_∸ἀ"/>
      <sheetName val="총괄표"/>
      <sheetName val="7422CW00"/>
      <sheetName val="_x0002_"/>
      <sheetName val="Resource table"/>
      <sheetName val="수량집계"/>
      <sheetName val="총괄집계표"/>
      <sheetName val="일일총괄"/>
      <sheetName val="criteria"/>
      <sheetName val="RFP002"/>
      <sheetName val="General"/>
      <sheetName val="Menus"/>
      <sheetName val="Cal"/>
      <sheetName val="TDTKP"/>
      <sheetName val="DK-KH"/>
      <sheetName val="_x0004__x0000__x000d__x0000__x0003__x0000__x0004__x0000__x0016__x0000__x000d__x0000__x0004_"/>
      <sheetName val="_x000a__x0000__x001b__x0000__x0006__x0000__x0006__x0000__x0008__x0000__x000a__x0000__x0000_"/>
      <sheetName val="BREAKDOWN(철거설치)"/>
      <sheetName val="BREAKDOWN(신규설치)"/>
      <sheetName val="자바라1"/>
      <sheetName val="Code_Magics"/>
      <sheetName val="Code"/>
      <sheetName val="Curves"/>
      <sheetName val="Note"/>
      <sheetName val="data_dci"/>
      <sheetName val="Heads"/>
      <sheetName val="BASE"/>
      <sheetName val="data_mci"/>
      <sheetName val="BLDG_DCI"/>
      <sheetName val="BLDG_MCI"/>
      <sheetName val="PRO_A"/>
      <sheetName val="Tables"/>
      <sheetName val="Page_2"/>
      <sheetName val="Dbase"/>
      <sheetName val="behind"/>
      <sheetName val="Main"/>
      <sheetName val="costing_CV"/>
      <sheetName val="ITB_COST"/>
      <sheetName val="costing_ESDV"/>
      <sheetName val="costing_FE"/>
      <sheetName val="PROJECT"/>
      <sheetName val="정부노임단가"/>
      <sheetName val="Jobcost"/>
      <sheetName val="Default_Magics"/>
      <sheetName val="BM_DATA_SHEET"/>
      <sheetName val="Graph_(LGEN)"/>
      <sheetName val="PumpSpec"/>
      <sheetName val="costing_MOV"/>
      <sheetName val="PRO"/>
      <sheetName val="out_prog"/>
      <sheetName val="TABLE"/>
      <sheetName val="costing_Press"/>
      <sheetName val="96_121"/>
      <sheetName val="선적schedule_(2)"/>
      <sheetName val="System구분"/>
      <sheetName val="견적기준"/>
      <sheetName val="b_balju-단가단가단가"/>
      <sheetName val="10현장조직"/>
      <sheetName val="할증표"/>
      <sheetName val="choose"/>
      <sheetName val="내역서 (∮ἀ嘆ɶ"/>
      <sheetName val="Heavy Equipments"/>
      <sheetName val="AG Pipe Qty Analysis"/>
      <sheetName val="BM-Elec"/>
      <sheetName val="BM-Inst"/>
      <sheetName val="HP-Steamdrum"/>
      <sheetName val="목표세부명세"/>
      <sheetName val="중기일위대가"/>
      <sheetName val="입찰내역 발주처 양식"/>
      <sheetName val="w't table"/>
      <sheetName val="TOTAL"/>
      <sheetName val="COVER-P"/>
      <sheetName val="1350-A"/>
      <sheetName val="품셈"/>
      <sheetName val="97"/>
      <sheetName val="MANP"/>
      <sheetName val="C"/>
      <sheetName val="Equipment List"/>
      <sheetName val="info"/>
      <sheetName val="TP"/>
      <sheetName val="Form1.SQP"/>
      <sheetName val="중기"/>
      <sheetName val="D-623D"/>
      <sheetName val="SCHEDD TAMBAHAN"/>
      <sheetName val="Resource"/>
      <sheetName val="원가"/>
      <sheetName val="공정계획(내부계획25%,내부w.f)"/>
      <sheetName val="Preliminaries"/>
      <sheetName val="piping"/>
      <sheetName val="Mech"/>
      <sheetName val="Fire Protection"/>
      <sheetName val="Buildings"/>
      <sheetName val="Instrument"/>
      <sheetName val="SFN ORIG"/>
      <sheetName val="SFN"/>
      <sheetName val="R2564AHDTS"/>
      <sheetName val="CPS"/>
      <sheetName val="ITB COST"/>
      <sheetName val="Dir Manpower Other Exp."/>
      <sheetName val="사급자재집계표"/>
      <sheetName val="HVAC(사급자재)"/>
      <sheetName val="U-W"/>
      <sheetName val="결과조달"/>
      <sheetName val="LOB"/>
      <sheetName val="수량산출서"/>
      <sheetName val="SS2"/>
      <sheetName val="mto-rev0B"/>
      <sheetName val="4-3LEVEL-5 epic.4"/>
      <sheetName val="단가 (2)"/>
      <sheetName val="실행내역"/>
      <sheetName val="FWBS 1530"/>
      <sheetName val="breakdown_of_wage_rate"/>
      <sheetName val="Indirect_Cost"/>
      <sheetName val="생산계획"/>
      <sheetName val="상반기손익차2총괄"/>
      <sheetName val="VLOOKUP"/>
      <sheetName val="cal-foamglass"/>
      <sheetName val="연습"/>
      <sheetName val="운반"/>
      <sheetName val="Proposal"/>
      <sheetName val="실행예산 MM"/>
      <sheetName val="VIZ4"/>
      <sheetName val="VIZ7"/>
      <sheetName val="UZ"/>
      <sheetName val="K_SURFACES"/>
      <sheetName val="도"/>
      <sheetName val="BOQ-B.DOWN"/>
      <sheetName val="한강운반비"/>
      <sheetName val="Administrative_Prices"/>
      <sheetName val="WBS_44"/>
      <sheetName val="WBS_41"/>
      <sheetName val="Precios_por_Administración"/>
      <sheetName val="Precios_Unitarios"/>
      <sheetName val="Subcon_A"/>
      <sheetName val="KUWATI(Total)_4"/>
      <sheetName val="OPTION_24"/>
      <sheetName val="OPTION_34"/>
      <sheetName val="집계표_(TOTAL)4"/>
      <sheetName val="집계표_(CIVIL-23)4"/>
      <sheetName val="집계표_(FGRU)4"/>
      <sheetName val="집계표_(25,26)4"/>
      <sheetName val="집계표_(MEROX)4"/>
      <sheetName val="집계표_(NITROGEN)4"/>
      <sheetName val="집계표_(M4)4"/>
      <sheetName val="집계표_(CIVIL4)4"/>
      <sheetName val="집계표_(CIVIL6)4"/>
      <sheetName val="집계표_(CIVIL7)4"/>
      <sheetName val="내역서(DEMO_TOTAL)4"/>
      <sheetName val="내역서_(CIVIL-23)4"/>
      <sheetName val="내역서_(fgru)4"/>
      <sheetName val="내역서_(25&amp;26)4"/>
      <sheetName val="내역서_(MEROX)4"/>
      <sheetName val="내역서_(NITROGEN)4"/>
      <sheetName val="내역서_(M4)4"/>
      <sheetName val="내역서_(CIVIL-4)4"/>
      <sheetName val="내역서_(CIVIL-6)4"/>
      <sheetName val="내역서_(CIVIL-7)4"/>
      <sheetName val="2002년_현장공사비_국내_실적4"/>
      <sheetName val="2003년국내현장공사비_실적4"/>
      <sheetName val="VC2_10_994"/>
      <sheetName val="INPUT_DATA3"/>
      <sheetName val="집계표_(25,26ဩ3"/>
      <sheetName val="Form_D-12"/>
      <sheetName val="Form_B-12"/>
      <sheetName val="Form_F-12"/>
      <sheetName val="Form_A2"/>
      <sheetName val="Form_03"/>
      <sheetName val="General_Data3"/>
      <sheetName val="LABOR_&amp;_자재2"/>
      <sheetName val="입출재고현황_(2)2"/>
      <sheetName val="Price_Schedule2"/>
      <sheetName val="간접비_총괄2"/>
      <sheetName val="3_공통공사대비2"/>
      <sheetName val="Rate_Analysis2"/>
      <sheetName val="EQUIPMENT_-22"/>
      <sheetName val="CAL_2"/>
      <sheetName val="내역서_耰&quot;_x005f_x0000__x005f_x0000_1"/>
      <sheetName val="Static_Equip1"/>
      <sheetName val="WEIGHT_LIST1"/>
      <sheetName val="산#2-1_(2)1"/>
      <sheetName val="BEND_LOSS1"/>
      <sheetName val="공사비_내역_(가)1"/>
      <sheetName val="6PILE__(돌출)1"/>
      <sheetName val="내역서_耰&quot;??2"/>
      <sheetName val="단면_(2)1"/>
      <sheetName val="Form_A_1"/>
      <sheetName val="3_Breakdown_Direct_Paint1"/>
      <sheetName val="Man_Hole"/>
      <sheetName val="Áý°èÇ¥_(TOTAL)"/>
      <sheetName val="Áý°èÇ¥_(CIVIL-23)"/>
      <sheetName val="Áý°èÇ¥_(FGRU)"/>
      <sheetName val="Áý°èÇ¥_(25,26)"/>
      <sheetName val="Áý°èÇ¥_(MEROX)"/>
      <sheetName val="Áý°èÇ¥_(NITROGEN)"/>
      <sheetName val="Áý°èÇ¥_(M4)"/>
      <sheetName val="Áý°èÇ¥_(CIVIL4)"/>
      <sheetName val="Áý°èÇ¥_(CIVIL6)"/>
      <sheetName val="Áý°èÇ¥_(CIVIL7)"/>
      <sheetName val="³»¿ª¼­(DEMO_TOTAL)"/>
      <sheetName val="³»¿ª¼­_(CIVIL-23)"/>
      <sheetName val="³»¿ª¼­_(fgru)"/>
      <sheetName val="³»¿ª¼­_(25&amp;26)"/>
      <sheetName val="³»¿ª¼­_(MEROX)"/>
      <sheetName val="³»¿ª¼­_(NITROGEN)"/>
      <sheetName val="³»¿ª¼­_(M4)"/>
      <sheetName val="³»¿ª¼­_(CIVIL-4)"/>
      <sheetName val="³»¿ª¼­_(CIVIL-6)"/>
      <sheetName val="³»¿ª¼­_(CIVIL-7)"/>
      <sheetName val="2002³â_ÇöÀå°ø»çºñ_±¹³»_½ÇÀû"/>
      <sheetName val="2003³â±¹³»ÇöÀå°ø»çºñ_½ÇÀû"/>
      <sheetName val="Civil_11"/>
      <sheetName val="Civil_21"/>
      <sheetName val="Civil_31"/>
      <sheetName val="Site_11"/>
      <sheetName val="Site_21"/>
      <sheetName val="Site_31"/>
      <sheetName val="Site_Faci1"/>
      <sheetName val="내역서_耰&quot;__2"/>
      <sheetName val="Summary_Sheets1"/>
      <sheetName val="Sheet1_(2)1"/>
      <sheetName val="내역서_耰&quot;_x005f_x005f_x005f_x0000__x005f_x005f_x0000"/>
      <sheetName val="계측_내역서"/>
      <sheetName val="2_2_STAFF_Scedule"/>
      <sheetName val="7__월별투입내역서"/>
      <sheetName val="내역서_耰&quot;_x005f_x005f_x005f_x005f_x005f_x005f_x005f_x0000_"/>
      <sheetName val="Z-_GENERAL_PRICE_SUMMARY"/>
      <sheetName val="_Estimate__"/>
      <sheetName val="T_3"/>
      <sheetName val="HORI__VESSEL"/>
      <sheetName val="내역서_耰&quot;_x005f_x005f_x005f_x005f_x005f_x005f_x005f_x005f_"/>
      <sheetName val="Vind_-_BtB"/>
      <sheetName val="LV_induction_motors"/>
      <sheetName val="BSD_(2)"/>
      <sheetName val="EQUIP_LIST"/>
      <sheetName val="MP_MOB"/>
      <sheetName val="Form_B"/>
      <sheetName val="뻘Nࠀ역서"/>
      <sheetName val="Monthly_Load"/>
      <sheetName val="Weekly_Load"/>
      <sheetName val="Material_Selections"/>
      <sheetName val="97_사업추정(WEKI)"/>
      <sheetName val="내역서_(∮ἀ嘆ɶ᠀㬁"/>
      <sheetName val="[SANDAN_XLS??"/>
      <sheetName val="Piping_BQ_for_one_turbine"/>
      <sheetName val="Eq__Mobilization"/>
      <sheetName val="Utility_and_Fire_flange"/>
      <sheetName val="Heavy_Equipments"/>
      <sheetName val="AG_Pipe_Qty_Analysis"/>
      <sheetName val="Costo-MO"/>
      <sheetName val="부대비율"/>
      <sheetName val="BM_DATA_SHEET1"/>
      <sheetName val="내역서_耰&quot;1"/>
      <sheetName val="_x000a__x000a_"/>
      <sheetName val="Resource_table"/>
      <sheetName val="SFN_ORIG"/>
      <sheetName val="?뻘N??ࠀ역서"/>
      <sheetName val="_SANDAN_XLS__"/>
      <sheetName val="Equipment_List"/>
      <sheetName val="Form1_SQP"/>
      <sheetName val="공정계획(내부계획25%,내부w_f)"/>
      <sheetName val="MODULE CONFIRM"/>
      <sheetName val="분전반계산서(석관)"/>
      <sheetName val="이자율"/>
      <sheetName val="WIND"/>
      <sheetName val="_x0004_"/>
      <sheetName val="_x000a_"/>
      <sheetName val="SILICATE"/>
      <sheetName val="Labor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강재"/>
      <sheetName val="OD5000"/>
      <sheetName val="SCHEDD_TAMBAHAN"/>
      <sheetName val="Dir_Manpower_Other_Exp_"/>
      <sheetName val="w't_table"/>
      <sheetName val="Fire_Protection"/>
      <sheetName val="입찰내역_발주처_양식"/>
      <sheetName val="dc1"/>
      <sheetName val="노임9월"/>
      <sheetName val="CHANNEL"/>
      <sheetName val="PROTECTION "/>
      <sheetName val="CIBATU5OO"/>
      <sheetName val="PROGRESS"/>
      <sheetName val="Cash In-Cash Out Actual"/>
      <sheetName val="MTP"/>
      <sheetName val="master"/>
      <sheetName val="MTO"/>
      <sheetName val="Elect_BOM"/>
      <sheetName val="Elect"/>
      <sheetName val="BQ"/>
      <sheetName val="aa_piping"/>
      <sheetName val="CABLE_DATA"/>
      <sheetName val="CIVIL_UP"/>
      <sheetName val="ETUDE_de_Prix__(2)"/>
      <sheetName val="BAG-2"/>
      <sheetName val="Overall"/>
      <sheetName val="salary"/>
      <sheetName val="Rekapitulasi"/>
      <sheetName val="CÓDIGOS"/>
      <sheetName val="選單"/>
      <sheetName val="INPUT"/>
      <sheetName val="설계명세1-1"/>
      <sheetName val="Database"/>
      <sheetName val="CUADRO DE PRECIOS"/>
      <sheetName val="Hoja2"/>
      <sheetName val="FWBS"/>
      <sheetName val="경제지표"/>
      <sheetName val="1100-1200-1300-1910-2140-LEV 2"/>
      <sheetName val="Material Price"/>
      <sheetName val="실행철강하도"/>
      <sheetName val="전기"/>
      <sheetName val="실행(ALT1)"/>
      <sheetName val="내역서1999.8최종"/>
      <sheetName val="REDUCER"/>
      <sheetName val="plan&amp;section of foundation"/>
      <sheetName val="DESIGN CRITERIA"/>
      <sheetName val="working load at the btm ft."/>
      <sheetName val="stability check"/>
      <sheetName val="design load"/>
      <sheetName val="breakdown_of_wage_rate1"/>
      <sheetName val="Indirect_Cost1"/>
      <sheetName val="MODULE_CONFIRM"/>
      <sheetName val="실행예산_MM"/>
      <sheetName val="plan&amp;section_of_foundation"/>
      <sheetName val="working_load_at_the_btm_ft_"/>
      <sheetName val="stability_check"/>
      <sheetName val="design_criteria"/>
      <sheetName val="design_load"/>
      <sheetName val="단가_(2)"/>
      <sheetName val="4-3LEVEL-5_epic_4"/>
      <sheetName val="BOQ-B_DOWN"/>
      <sheetName val="FWBS_1530"/>
      <sheetName val="DESIGN"/>
      <sheetName val="Checklist-Parameters"/>
      <sheetName val="Fillermetal"/>
      <sheetName val="Updating Form-Oct 2011"/>
      <sheetName val="Weld Consumable"/>
      <sheetName val="WQT"/>
      <sheetName val="NDE Cost-Summary"/>
      <sheetName val="9July Above Ground Pipe"/>
      <sheetName val="M 11"/>
      <sheetName val="Process Data 1"/>
      <sheetName val="배수내역"/>
      <sheetName val="판가반영"/>
      <sheetName val="공사내역"/>
      <sheetName val="견적대비표"/>
      <sheetName val="일위대가(계측기설치)"/>
      <sheetName val="EP0618"/>
      <sheetName val="BOQ"/>
      <sheetName val="첨부1-집행내역(요약)"/>
      <sheetName val="SEX"/>
      <sheetName val="Currency Rate"/>
      <sheetName val="Personnel"/>
      <sheetName val="ANALISA"/>
      <sheetName val="Unit Price "/>
      <sheetName val="PNT"/>
      <sheetName val="D7(1)"/>
      <sheetName val="5-ALAT(1)"/>
      <sheetName val="4-Basic Price"/>
      <sheetName val="Rekap"/>
      <sheetName val="AHS"/>
      <sheetName val="Evaluasi Penw"/>
      <sheetName val="Man Power &amp; Comp"/>
      <sheetName val="MP-PLAN"/>
      <sheetName val="L-TIGA"/>
      <sheetName val="Data List"/>
      <sheetName val="MP_PLAN"/>
      <sheetName val="10"/>
      <sheetName val="5"/>
      <sheetName val="1"/>
      <sheetName val="KUWATI(Total)_5"/>
      <sheetName val="OPTION_25"/>
      <sheetName val="OPTION_35"/>
      <sheetName val="집계표_(TOTAL)5"/>
      <sheetName val="집계표_(CIVIL-23)5"/>
      <sheetName val="집계표_(FGRU)5"/>
      <sheetName val="집계표_(25,26)5"/>
      <sheetName val="집계표_(MEROX)5"/>
      <sheetName val="집계표_(NITROGEN)5"/>
      <sheetName val="집계표_(M4)5"/>
      <sheetName val="집계표_(CIVIL4)5"/>
      <sheetName val="집계표_(CIVIL6)5"/>
      <sheetName val="집계표_(CIVIL7)5"/>
      <sheetName val="내역서(DEMO_TOTAL)5"/>
      <sheetName val="내역서_(CIVIL-23)5"/>
      <sheetName val="내역서_(fgru)5"/>
      <sheetName val="내역서_(25&amp;26)5"/>
      <sheetName val="내역서_(MEROX)5"/>
      <sheetName val="내역서_(NITROGEN)5"/>
      <sheetName val="내역서_(M4)5"/>
      <sheetName val="내역서_(CIVIL-4)5"/>
      <sheetName val="내역서_(CIVIL-6)5"/>
      <sheetName val="내역서_(CIVIL-7)5"/>
      <sheetName val="2002년_현장공사비_국내_실적5"/>
      <sheetName val="2003년국내현장공사비_실적5"/>
      <sheetName val="VC2_10_995"/>
      <sheetName val="집계표_(25,26ဩ4"/>
      <sheetName val="INPUT_DATA4"/>
      <sheetName val="Form_04"/>
      <sheetName val="Form_D-13"/>
      <sheetName val="Form_B-13"/>
      <sheetName val="Form_F-13"/>
      <sheetName val="Form_A3"/>
      <sheetName val="입출재고현황_(2)3"/>
      <sheetName val="General_Data4"/>
      <sheetName val="LABOR_&amp;_자재3"/>
      <sheetName val="간접비_총괄3"/>
      <sheetName val="Price_Schedule3"/>
      <sheetName val="3_공통공사대비3"/>
      <sheetName val="Rate_Analysis3"/>
      <sheetName val="CAL_3"/>
      <sheetName val="EQUIPMENT_-23"/>
      <sheetName val="내역서_耰&quot;??3"/>
      <sheetName val="WEIGHT_LIST2"/>
      <sheetName val="산#2-1_(2)2"/>
      <sheetName val="BEND_LOSS2"/>
      <sheetName val="공사비_내역_(가)2"/>
      <sheetName val="단면_(2)2"/>
      <sheetName val="내역서_耰&quot;_x005f_x0000__x005f_x0000_2"/>
      <sheetName val="6PILE__(돌출)2"/>
      <sheetName val="Form_A_2"/>
      <sheetName val="Civil_12"/>
      <sheetName val="Civil_22"/>
      <sheetName val="Civil_32"/>
      <sheetName val="Site_12"/>
      <sheetName val="Site_22"/>
      <sheetName val="Site_32"/>
      <sheetName val="Site_Faci2"/>
      <sheetName val="3_Breakdown_Direct_Paint2"/>
      <sheetName val="Static_Equip2"/>
      <sheetName val="Áý°èÇ¥_(TOTAL)1"/>
      <sheetName val="Áý°èÇ¥_(CIVIL-23)1"/>
      <sheetName val="Áý°èÇ¥_(FGRU)1"/>
      <sheetName val="Áý°èÇ¥_(25,26)1"/>
      <sheetName val="Áý°èÇ¥_(MEROX)1"/>
      <sheetName val="Áý°èÇ¥_(NITROGEN)1"/>
      <sheetName val="Áý°èÇ¥_(M4)1"/>
      <sheetName val="Áý°èÇ¥_(CIVIL4)1"/>
      <sheetName val="Áý°èÇ¥_(CIVIL6)1"/>
      <sheetName val="Áý°èÇ¥_(CIVIL7)1"/>
      <sheetName val="³»¿ª¼­(DEMO_TOTAL)1"/>
      <sheetName val="³»¿ª¼­_(CIVIL-23)1"/>
      <sheetName val="³»¿ª¼­_(fgru)1"/>
      <sheetName val="³»¿ª¼­_(25&amp;26)1"/>
      <sheetName val="³»¿ª¼­_(MEROX)1"/>
      <sheetName val="³»¿ª¼­_(NITROGEN)1"/>
      <sheetName val="³»¿ª¼­_(M4)1"/>
      <sheetName val="³»¿ª¼­_(CIVIL-4)1"/>
      <sheetName val="³»¿ª¼­_(CIVIL-6)1"/>
      <sheetName val="³»¿ª¼­_(CIVIL-7)1"/>
      <sheetName val="2002³â_ÇöÀå°ø»çºñ_±¹³»_½ÇÀû1"/>
      <sheetName val="2003³â±¹³»ÇöÀå°ø»çºñ_½ÇÀû1"/>
      <sheetName val="내역서_耰&quot;__3"/>
      <sheetName val="Summary_Sheets2"/>
      <sheetName val="내역서_耰&quot;2"/>
      <sheetName val="Man_Hole1"/>
      <sheetName val="7__월별투입내역서1"/>
      <sheetName val="내역서_耰&quot;_x005f_x005f_x005f_x0000__x005f_x005f_x0001"/>
      <sheetName val="2_2_STAFF_Scedule1"/>
      <sheetName val="계측_내역서1"/>
      <sheetName val="내역서_耰&quot;_x005f_x005f_x005f_x005f_x005f_x005f_x00001"/>
      <sheetName val="Z-_GENERAL_PRICE_SUMMARY1"/>
      <sheetName val="_Estimate__1"/>
      <sheetName val="Sheet1_(2)2"/>
      <sheetName val="T_31"/>
      <sheetName val="Precios_Unitarios1"/>
      <sheetName val="HORI__VESSEL1"/>
      <sheetName val="EQUIP_LIST1"/>
      <sheetName val="MP_MOB1"/>
      <sheetName val="Form_B1"/>
      <sheetName val="Administrative_Prices1"/>
      <sheetName val="WBS_441"/>
      <sheetName val="WBS_411"/>
      <sheetName val="Precios_por_Administración1"/>
      <sheetName val="Subcon_A1"/>
      <sheetName val="Vind_-_BtB1"/>
      <sheetName val="LV_induction_motors1"/>
      <sheetName val="BSD_(2)1"/>
      <sheetName val="BM_DATA_SHEET2"/>
      <sheetName val="내역서_耰&quot;_x005f_x005f_x005f_x005f_x005f_x005f_x005f1"/>
      <sheetName val="97_사업추정(WEKI)1"/>
      <sheetName val="Monthly_Load1"/>
      <sheetName val="Weekly_Load1"/>
      <sheetName val="[SANDAN_XLS??1"/>
      <sheetName val="Piping_BQ_for_one_turbine1"/>
      <sheetName val="Utility_and_Fire_flange1"/>
      <sheetName val="Material_Selections1"/>
      <sheetName val="Eq__Mobilization1"/>
      <sheetName val="_SANDAN_XLS__1"/>
      <sheetName val="Resource_table1"/>
      <sheetName val="KUWATI(Total)_6"/>
      <sheetName val="집계표_(TOTAL)6"/>
      <sheetName val="집계표_(CIVIL-23)6"/>
      <sheetName val="집계표_(FGRU)6"/>
      <sheetName val="집계표_(25,26)6"/>
      <sheetName val="집계표_(MEROX)6"/>
      <sheetName val="집계표_(NITROGEN)6"/>
      <sheetName val="집계표_(M4)6"/>
      <sheetName val="집계표_(CIVIL4)6"/>
      <sheetName val="집계표_(CIVIL6)6"/>
      <sheetName val="집계표_(CIVIL7)6"/>
      <sheetName val="내역서(DEMO_TOTAL)6"/>
      <sheetName val="내역서_(CIVIL-23)6"/>
      <sheetName val="내역서_(fgru)6"/>
      <sheetName val="내역서_(25&amp;26)6"/>
      <sheetName val="내역서_(MEROX)6"/>
      <sheetName val="내역서_(NITROGEN)6"/>
      <sheetName val="내역서_(M4)6"/>
      <sheetName val="내역서_(CIVIL-4)6"/>
      <sheetName val="내역서_(CIVIL-6)6"/>
      <sheetName val="내역서_(CIVIL-7)6"/>
      <sheetName val="OPTION_26"/>
      <sheetName val="OPTION_36"/>
      <sheetName val="2002년_현장공사비_국내_실적6"/>
      <sheetName val="2003년국내현장공사비_실적6"/>
      <sheetName val="VC2_10_996"/>
      <sheetName val="집계표_(25,26ဩ5"/>
      <sheetName val="INPUT_DATA5"/>
      <sheetName val="Form_05"/>
      <sheetName val="Form_D-14"/>
      <sheetName val="Form_B-14"/>
      <sheetName val="Form_F-14"/>
      <sheetName val="Form_A4"/>
      <sheetName val="입출재고현황_(2)4"/>
      <sheetName val="General_Data5"/>
      <sheetName val="LABOR_&amp;_자재4"/>
      <sheetName val="간접비_총괄4"/>
      <sheetName val="Price_Schedule4"/>
      <sheetName val="3_공통공사대비4"/>
      <sheetName val="CAL_4"/>
      <sheetName val="Rate_Analysis4"/>
      <sheetName val="내역서_耰&quot;??4"/>
      <sheetName val="EQUIPMENT_-24"/>
      <sheetName val="6PILE__(돌출)3"/>
      <sheetName val="WEIGHT_LIST3"/>
      <sheetName val="산#2-1_(2)3"/>
      <sheetName val="BEND_LOSS3"/>
      <sheetName val="공사비_내역_(가)3"/>
      <sheetName val="3_Breakdown_Direct_Paint3"/>
      <sheetName val="Static_Equip3"/>
      <sheetName val="단면_(2)3"/>
      <sheetName val="Form_A_3"/>
      <sheetName val="내역서_耰&quot;_x005f_x0000__x005f_x0000_3"/>
      <sheetName val="내역서_耰&quot;__4"/>
      <sheetName val="Summary_Sheets3"/>
      <sheetName val="Civil_13"/>
      <sheetName val="Civil_23"/>
      <sheetName val="Civil_33"/>
      <sheetName val="Site_13"/>
      <sheetName val="Site_23"/>
      <sheetName val="Site_33"/>
      <sheetName val="Site_Faci3"/>
      <sheetName val="Áý°èÇ¥_(TOTAL)2"/>
      <sheetName val="Áý°èÇ¥_(CIVIL-23)2"/>
      <sheetName val="Áý°èÇ¥_(FGRU)2"/>
      <sheetName val="Áý°èÇ¥_(25,26)2"/>
      <sheetName val="Áý°èÇ¥_(MEROX)2"/>
      <sheetName val="Áý°èÇ¥_(NITROGEN)2"/>
      <sheetName val="Áý°èÇ¥_(M4)2"/>
      <sheetName val="Áý°èÇ¥_(CIVIL4)2"/>
      <sheetName val="Áý°èÇ¥_(CIVIL6)2"/>
      <sheetName val="Áý°èÇ¥_(CIVIL7)2"/>
      <sheetName val="³»¿ª¼­(DEMO_TOTAL)2"/>
      <sheetName val="³»¿ª¼­_(CIVIL-23)2"/>
      <sheetName val="³»¿ª¼­_(fgru)2"/>
      <sheetName val="³»¿ª¼­_(25&amp;26)2"/>
      <sheetName val="³»¿ª¼­_(MEROX)2"/>
      <sheetName val="³»¿ª¼­_(NITROGEN)2"/>
      <sheetName val="³»¿ª¼­_(M4)2"/>
      <sheetName val="³»¿ª¼­_(CIVIL-4)2"/>
      <sheetName val="³»¿ª¼­_(CIVIL-6)2"/>
      <sheetName val="³»¿ª¼­_(CIVIL-7)2"/>
      <sheetName val="2002³â_ÇöÀå°ø»çºñ_±¹³»_½ÇÀû2"/>
      <sheetName val="2003³â±¹³»ÇöÀå°ø»çºñ_½ÇÀû2"/>
      <sheetName val="2_2_STAFF_Scedule2"/>
      <sheetName val="EQUIP_LIST2"/>
      <sheetName val="BM_DATA_SHEET3"/>
      <sheetName val="Man_Hole2"/>
      <sheetName val="내역서_耰&quot;_x005f_x005f_x005f_x0000__x005f_x005f_x0002"/>
      <sheetName val="7__월별투입내역서2"/>
      <sheetName val="계측_내역서2"/>
      <sheetName val="내역서_耰&quot;_x005f_x005f_x005f_x005f_x005f_x005f_x00002"/>
      <sheetName val="Vind_-_BtB2"/>
      <sheetName val="LV_induction_motors2"/>
      <sheetName val="BSD_(2)2"/>
      <sheetName val="Sheet1_(2)3"/>
      <sheetName val="Z-_GENERAL_PRICE_SUMMARY2"/>
      <sheetName val="_Estimate__2"/>
      <sheetName val="T_32"/>
      <sheetName val="HORI__VESSEL2"/>
      <sheetName val="Precios_Unitarios2"/>
      <sheetName val="Administrative_Prices2"/>
      <sheetName val="WBS_442"/>
      <sheetName val="WBS_412"/>
      <sheetName val="Precios_por_Administración2"/>
      <sheetName val="Subcon_A2"/>
      <sheetName val="내역서_耰&quot;_x005f_x005f_x005f_x005f_x005f_x005f_x005f2"/>
      <sheetName val="MP_MOB2"/>
      <sheetName val="Form_B2"/>
      <sheetName val="내역서_耰&quot;3"/>
      <sheetName val="[SANDAN_XLS??2"/>
      <sheetName val="Piping_BQ_for_one_turbine2"/>
      <sheetName val="Monthly_Load2"/>
      <sheetName val="Weekly_Load2"/>
      <sheetName val="Material_Selections2"/>
      <sheetName val="Utility_and_Fire_flange2"/>
      <sheetName val="_SANDAN_XLS__2"/>
      <sheetName val="97_사업추정(WEKI)2"/>
      <sheetName val="Eq__Mobilization2"/>
      <sheetName val="breakdown_of_wage_rate2"/>
      <sheetName val="Indirect_Cost2"/>
      <sheetName val="Resource_table2"/>
      <sheetName val="Closeout Control"/>
      <sheetName val="Sum (Case-3)"/>
      <sheetName val="예산-내부"/>
      <sheetName val="영업소실적"/>
      <sheetName val="PROJECT BRIEF"/>
      <sheetName val="tggwan(mac)"/>
      <sheetName val="Site Findings Status Sheet"/>
      <sheetName val="내역ࠜĀ_x005f_x005f_x005f_x0000_M4"/>
      <sheetName val="내역서 耰&quot;_x005f_x005f_x005f_x0000_"/>
      <sheetName val="내역ࠜĀ_x005f_x005f_x005f_x005f_x0"/>
      <sheetName val="내역서 耰&quot;_x005f_x005f_x005f_x005f_"/>
      <sheetName val="내역서 耰&quot;_x005f_x0000__x0000"/>
      <sheetName val="_x005f_x005f_x005f_x005f_"/>
      <sheetName val="Equip Rental Summary by Contr"/>
      <sheetName val="Project Equip Rental Summary"/>
      <sheetName val="Contractor Indirect Sumry"/>
      <sheetName val="Project Indirect Sumry"/>
      <sheetName val="COA Sumry by Area"/>
      <sheetName val="COA Sumry by Contr"/>
      <sheetName val="COA Sumry by RG"/>
      <sheetName val="TDC COA Grp Sumry"/>
      <sheetName val="TDC COA Grp Sumry by Area"/>
      <sheetName val="TDC COA Grp Sumry by RG"/>
      <sheetName val="Equipment Sumry"/>
      <sheetName val="TDC Item Dets-Full"/>
      <sheetName val="TDC Item Dets-IPM-Full"/>
      <sheetName val="TDC Item Sumry by Area"/>
      <sheetName val="TDC Item Sumry by RG"/>
      <sheetName val="TDC Key Qty Sumry by RG"/>
      <sheetName val="List - Equipment by Area"/>
      <sheetName val="List - Equipment by Contr"/>
      <sheetName val="Equipment - Unit Costs by Mat"/>
      <sheetName val="List - Equipment by Rep Grp"/>
      <sheetName val="Craft Summary by Contr"/>
      <sheetName val="Project Craft Summary"/>
      <sheetName val="Project Metrics"/>
      <sheetName val="Engineering&amp;Management"/>
      <sheetName val="Tools &amp; Settings"/>
      <sheetName val="Data Summary"/>
      <sheetName val="Resources"/>
      <sheetName val="FFA"/>
      <sheetName val="Currencies"/>
      <sheetName val="Crew Costs"/>
      <sheetName val="Spread Costs"/>
      <sheetName val="Unique List_Misc"/>
      <sheetName val="CONFIG"/>
      <sheetName val="Datos"/>
      <sheetName val="99. FWBS(Ref)"/>
      <sheetName val="99. Change Rate"/>
      <sheetName val="In-House Summary"/>
      <sheetName val="7422CW_x0013__x0000_"/>
      <sheetName val=" _x0000__x001b__x0000__x0006__x0000__x0006__x0000__x0008__x0000_ _x0000__x0000_"/>
      <sheetName val="할증 "/>
      <sheetName val="Pengesahan "/>
      <sheetName val="RAB AR&amp;STR"/>
      <sheetName val="I-KAMAR"/>
      <sheetName val="BILL"/>
      <sheetName val="Library"/>
      <sheetName val="_x0002__x0000_뻘N_x0000__x0000__"/>
      <sheetName val="_x0004__x0000__x000d__x0000__x0"/>
      <sheetName val="_x000a__x0000__x001b__x0000__x0"/>
      <sheetName val="_x0002__뻘N___x0001_ࠀ역서"/>
      <sheetName val="내역서_耰&quot;_x005f_x0000__x0000"/>
      <sheetName val="DB"/>
      <sheetName val="Weekl_x0004__x0000__x0016__x0000__x000d__x0000_"/>
      <sheetName val="_x0000__x000e__x0000__x0005_"/>
      <sheetName val="내역서_(N_x0009__x000e__x000e__x000e__x0009__x0009__x0012__x0010__x000a_"/>
      <sheetName val="ഀࠀကЀЀԀЀԀ̀ᤀഀ؀Ѐༀ"/>
      <sheetName val="골조시행"/>
      <sheetName val="KUWATI(Total)_8"/>
      <sheetName val="집계표_(TOTAL)8"/>
      <sheetName val="집계표_(CIVIL-23)8"/>
      <sheetName val="집계표_(FGRU)8"/>
      <sheetName val="집계표_(25,26)8"/>
      <sheetName val="집계표_(MEROX)8"/>
      <sheetName val="집계표_(NITROGEN)8"/>
      <sheetName val="집계표_(M4)8"/>
      <sheetName val="집계표_(CIVIL4)8"/>
      <sheetName val="집계표_(CIVIL6)8"/>
      <sheetName val="집계표_(CIVIL7)8"/>
      <sheetName val="내역서(DEMO_TOTAL)8"/>
      <sheetName val="내역서_(CIVIL-23)8"/>
      <sheetName val="내역서_(fgru)8"/>
      <sheetName val="내역서_(25&amp;26)8"/>
      <sheetName val="내역서_(MEROX)8"/>
      <sheetName val="내역서_(NITROGEN)8"/>
      <sheetName val="내역서_(M4)8"/>
      <sheetName val="내역서_(CIVIL-4)8"/>
      <sheetName val="내역서_(CIVIL-6)8"/>
      <sheetName val="내역서_(CIVIL-7)8"/>
      <sheetName val="OPTION_28"/>
      <sheetName val="OPTION_38"/>
      <sheetName val="2002년_현장공사비_국내_실적8"/>
      <sheetName val="2003년국내현장공사비_실적8"/>
      <sheetName val="VC2_10_998"/>
      <sheetName val="집계표_(25,26ဩ7"/>
      <sheetName val="INPUT_DATA7"/>
      <sheetName val="Form_07"/>
      <sheetName val="Form_D-16"/>
      <sheetName val="Form_B-16"/>
      <sheetName val="Form_F-16"/>
      <sheetName val="Form_A6"/>
      <sheetName val="입출재고현황_(2)6"/>
      <sheetName val="General_Data7"/>
      <sheetName val="LABOR_&amp;_자재6"/>
      <sheetName val="간접비_총괄6"/>
      <sheetName val="Price_Schedule6"/>
      <sheetName val="3_공통공사대비6"/>
      <sheetName val="CAL_6"/>
      <sheetName val="Rate_Analysis6"/>
      <sheetName val="내역서_耰&quot;??6"/>
      <sheetName val="EQUIPMENT_-26"/>
      <sheetName val="6PILE__(돌출)5"/>
      <sheetName val="WEIGHT_LIST5"/>
      <sheetName val="산#2-1_(2)5"/>
      <sheetName val="BEND_LOSS5"/>
      <sheetName val="공사비_내역_(가)5"/>
      <sheetName val="3_Breakdown_Direct_Paint5"/>
      <sheetName val="Static_Equip5"/>
      <sheetName val="단면_(2)5"/>
      <sheetName val="Form_A_5"/>
      <sheetName val="내역서_耰&quot;_x005f_x0000__x005f_x0000_5"/>
      <sheetName val="내역서_耰&quot;__6"/>
      <sheetName val="Summary_Sheets5"/>
      <sheetName val="Civil_15"/>
      <sheetName val="Civil_25"/>
      <sheetName val="Civil_35"/>
      <sheetName val="Site_15"/>
      <sheetName val="Site_25"/>
      <sheetName val="Site_35"/>
      <sheetName val="Site_Faci5"/>
      <sheetName val="Áý°èÇ¥_(TOTAL)4"/>
      <sheetName val="Áý°èÇ¥_(CIVIL-23)4"/>
      <sheetName val="Áý°èÇ¥_(FGRU)4"/>
      <sheetName val="Áý°èÇ¥_(25,26)4"/>
      <sheetName val="Áý°èÇ¥_(MEROX)4"/>
      <sheetName val="Áý°èÇ¥_(NITROGEN)4"/>
      <sheetName val="Áý°èÇ¥_(M4)4"/>
      <sheetName val="Áý°èÇ¥_(CIVIL4)4"/>
      <sheetName val="Áý°èÇ¥_(CIVIL6)4"/>
      <sheetName val="Áý°èÇ¥_(CIVIL7)4"/>
      <sheetName val="³»¿ª¼­(DEMO_TOTAL)4"/>
      <sheetName val="³»¿ª¼­_(CIVIL-23)4"/>
      <sheetName val="³»¿ª¼­_(fgru)4"/>
      <sheetName val="³»¿ª¼­_(25&amp;26)4"/>
      <sheetName val="³»¿ª¼­_(MEROX)4"/>
      <sheetName val="³»¿ª¼­_(NITROGEN)4"/>
      <sheetName val="³»¿ª¼­_(M4)4"/>
      <sheetName val="³»¿ª¼­_(CIVIL-4)4"/>
      <sheetName val="³»¿ª¼­_(CIVIL-6)4"/>
      <sheetName val="³»¿ª¼­_(CIVIL-7)4"/>
      <sheetName val="2002³â_ÇöÀå°ø»çºñ_±¹³»_½ÇÀû4"/>
      <sheetName val="2003³â±¹³»ÇöÀå°ø»çºñ_½ÇÀû4"/>
      <sheetName val="2_2_STAFF_Scedule4"/>
      <sheetName val="EQUIP_LIST4"/>
      <sheetName val="BM_DATA_SHEET5"/>
      <sheetName val="Man_Hole4"/>
      <sheetName val="내역서_耰&quot;_x005f_x005f_x005f_x0000__x005f_x005f_x0004"/>
      <sheetName val="7__월별투입내역서4"/>
      <sheetName val="계측_내역서4"/>
      <sheetName val="내역서_耰&quot;_x005f_x005f_x005f_x005f_x005f_x005f_x00004"/>
      <sheetName val="Vind_-_BtB4"/>
      <sheetName val="LV_induction_motors4"/>
      <sheetName val="BSD_(2)4"/>
      <sheetName val="Sheet1_(2)5"/>
      <sheetName val="Z-_GENERAL_PRICE_SUMMARY4"/>
      <sheetName val="_Estimate__4"/>
      <sheetName val="T_34"/>
      <sheetName val="HORI__VESSEL4"/>
      <sheetName val="Precios_Unitarios4"/>
      <sheetName val="Administrative_Prices4"/>
      <sheetName val="WBS_444"/>
      <sheetName val="WBS_414"/>
      <sheetName val="Precios_por_Administración4"/>
      <sheetName val="Subcon_A4"/>
      <sheetName val="내역서_耰&quot;_x005f_x005f_x005f_x005f_x005f_x005f_x005f4"/>
      <sheetName val="MP_MOB4"/>
      <sheetName val="Form_B4"/>
      <sheetName val="내역서_耰&quot;5"/>
      <sheetName val="[SANDAN_XLS??4"/>
      <sheetName val="Piping_BQ_for_one_turbine4"/>
      <sheetName val="Monthly_Load4"/>
      <sheetName val="Weekly_Load4"/>
      <sheetName val="Material_Selections4"/>
      <sheetName val="Utility_and_Fire_flange4"/>
      <sheetName val="_SANDAN_XLS__4"/>
      <sheetName val="97_사업추정(WEKI)4"/>
      <sheetName val="Eq__Mobilization4"/>
      <sheetName val="breakdown_of_wage_rate4"/>
      <sheetName val="Indirect_Cost4"/>
      <sheetName val="Resource_table4"/>
      <sheetName val="Heavy_Equipments2"/>
      <sheetName val="AG_Pipe_Qty_Analysis2"/>
      <sheetName val="입찰내역_발주처_양식1"/>
      <sheetName val="Equipment_List2"/>
      <sheetName val="Form1_SQP2"/>
      <sheetName val="공정계획(내부계획25%,내부w_f)2"/>
      <sheetName val="FWBS_15301"/>
      <sheetName val="Fire_Protection1"/>
      <sheetName val="SFN_ORIG2"/>
      <sheetName val="내역서_(∮ἀ嘆ɶ1"/>
      <sheetName val="Dir_Manpower_Other_Exp_1"/>
      <sheetName val="SCHEDD_TAMBAHAN1"/>
      <sheetName val="w't_table1"/>
      <sheetName val="실행예산_MM1"/>
      <sheetName val="BOQ-B_DOWN1"/>
      <sheetName val="단가_(2)1"/>
      <sheetName val="4-3LEVEL-5_epic_41"/>
      <sheetName val="ITB_COST2"/>
      <sheetName val="KUWATI(Total)_7"/>
      <sheetName val="집계표_(TOTAL)7"/>
      <sheetName val="집계표_(CIVIL-23)7"/>
      <sheetName val="집계표_(FGRU)7"/>
      <sheetName val="집계표_(25,26)7"/>
      <sheetName val="집계표_(MEROX)7"/>
      <sheetName val="집계표_(NITROGEN)7"/>
      <sheetName val="집계표_(M4)7"/>
      <sheetName val="집계표_(CIVIL4)7"/>
      <sheetName val="집계표_(CIVIL6)7"/>
      <sheetName val="집계표_(CIVIL7)7"/>
      <sheetName val="내역서(DEMO_TOTAL)7"/>
      <sheetName val="내역서_(CIVIL-23)7"/>
      <sheetName val="내역서_(fgru)7"/>
      <sheetName val="내역서_(25&amp;26)7"/>
      <sheetName val="내역서_(MEROX)7"/>
      <sheetName val="내역서_(NITROGEN)7"/>
      <sheetName val="내역서_(M4)7"/>
      <sheetName val="내역서_(CIVIL-4)7"/>
      <sheetName val="내역서_(CIVIL-6)7"/>
      <sheetName val="내역서_(CIVIL-7)7"/>
      <sheetName val="OPTION_27"/>
      <sheetName val="OPTION_37"/>
      <sheetName val="2002년_현장공사비_국내_실적7"/>
      <sheetName val="2003년국내현장공사비_실적7"/>
      <sheetName val="VC2_10_997"/>
      <sheetName val="집계표_(25,26ဩ6"/>
      <sheetName val="INPUT_DATA6"/>
      <sheetName val="Form_06"/>
      <sheetName val="Form_D-15"/>
      <sheetName val="Form_B-15"/>
      <sheetName val="Form_F-15"/>
      <sheetName val="Form_A5"/>
      <sheetName val="입출재고현황_(2)5"/>
      <sheetName val="General_Data6"/>
      <sheetName val="LABOR_&amp;_자재5"/>
      <sheetName val="간접비_총괄5"/>
      <sheetName val="Price_Schedule5"/>
      <sheetName val="3_공통공사대비5"/>
      <sheetName val="CAL_5"/>
      <sheetName val="Rate_Analysis5"/>
      <sheetName val="내역서_耰&quot;??5"/>
      <sheetName val="EQUIPMENT_-25"/>
      <sheetName val="6PILE__(돌출)4"/>
      <sheetName val="WEIGHT_LIST4"/>
      <sheetName val="산#2-1_(2)4"/>
      <sheetName val="BEND_LOSS4"/>
      <sheetName val="공사비_내역_(가)4"/>
      <sheetName val="3_Breakdown_Direct_Paint4"/>
      <sheetName val="Static_Equip4"/>
      <sheetName val="단면_(2)4"/>
      <sheetName val="Form_A_4"/>
      <sheetName val="내역서_耰&quot;_x005f_x0000__x005f_x0000_4"/>
      <sheetName val="내역서_耰&quot;__5"/>
      <sheetName val="Summary_Sheets4"/>
      <sheetName val="Civil_14"/>
      <sheetName val="Civil_24"/>
      <sheetName val="Civil_34"/>
      <sheetName val="Site_14"/>
      <sheetName val="Site_24"/>
      <sheetName val="Site_34"/>
      <sheetName val="Site_Faci4"/>
      <sheetName val="Áý°èÇ¥_(TOTAL)3"/>
      <sheetName val="Áý°èÇ¥_(CIVIL-23)3"/>
      <sheetName val="Áý°èÇ¥_(FGRU)3"/>
      <sheetName val="Áý°èÇ¥_(25,26)3"/>
      <sheetName val="Áý°èÇ¥_(MEROX)3"/>
      <sheetName val="Áý°èÇ¥_(NITROGEN)3"/>
      <sheetName val="Áý°èÇ¥_(M4)3"/>
      <sheetName val="Áý°èÇ¥_(CIVIL4)3"/>
      <sheetName val="Áý°èÇ¥_(CIVIL6)3"/>
      <sheetName val="Áý°èÇ¥_(CIVIL7)3"/>
      <sheetName val="³»¿ª¼­(DEMO_TOTAL)3"/>
      <sheetName val="³»¿ª¼­_(CIVIL-23)3"/>
      <sheetName val="³»¿ª¼­_(fgru)3"/>
      <sheetName val="³»¿ª¼­_(25&amp;26)3"/>
      <sheetName val="³»¿ª¼­_(MEROX)3"/>
      <sheetName val="³»¿ª¼­_(NITROGEN)3"/>
      <sheetName val="³»¿ª¼­_(M4)3"/>
      <sheetName val="³»¿ª¼­_(CIVIL-4)3"/>
      <sheetName val="³»¿ª¼­_(CIVIL-6)3"/>
      <sheetName val="³»¿ª¼­_(CIVIL-7)3"/>
      <sheetName val="2002³â_ÇöÀå°ø»çºñ_±¹³»_½ÇÀû3"/>
      <sheetName val="2003³â±¹³»ÇöÀå°ø»çºñ_½ÇÀû3"/>
      <sheetName val="2_2_STAFF_Scedule3"/>
      <sheetName val="EQUIP_LIST3"/>
      <sheetName val="BM_DATA_SHEET4"/>
      <sheetName val="Man_Hole3"/>
      <sheetName val="내역서_耰&quot;_x005f_x005f_x005f_x0000__x005f_x005f_x0003"/>
      <sheetName val="7__월별투입내역서3"/>
      <sheetName val="계측_내역서3"/>
      <sheetName val="내역서_耰&quot;_x005f_x005f_x005f_x005f_x005f_x005f_x00003"/>
      <sheetName val="Vind_-_BtB3"/>
      <sheetName val="LV_induction_motors3"/>
      <sheetName val="BSD_(2)3"/>
      <sheetName val="Sheet1_(2)4"/>
      <sheetName val="Z-_GENERAL_PRICE_SUMMARY3"/>
      <sheetName val="_Estimate__3"/>
      <sheetName val="T_33"/>
      <sheetName val="HORI__VESSEL3"/>
      <sheetName val="Precios_Unitarios3"/>
      <sheetName val="Administrative_Prices3"/>
      <sheetName val="WBS_443"/>
      <sheetName val="WBS_413"/>
      <sheetName val="Precios_por_Administración3"/>
      <sheetName val="Subcon_A3"/>
      <sheetName val="내역서_耰&quot;_x005f_x005f_x005f_x005f_x005f_x005f_x005f3"/>
      <sheetName val="MP_MOB3"/>
      <sheetName val="Form_B3"/>
      <sheetName val="내역서_耰&quot;4"/>
      <sheetName val="[SANDAN_XLS??3"/>
      <sheetName val="Piping_BQ_for_one_turbine3"/>
      <sheetName val="Monthly_Load3"/>
      <sheetName val="Weekly_Load3"/>
      <sheetName val="Material_Selections3"/>
      <sheetName val="Utility_and_Fire_flange3"/>
      <sheetName val="_SANDAN_XLS__3"/>
      <sheetName val="97_사업추정(WEKI)3"/>
      <sheetName val="Eq__Mobilization3"/>
      <sheetName val="breakdown_of_wage_rate3"/>
      <sheetName val="Indirect_Cost3"/>
      <sheetName val="Resource_table3"/>
      <sheetName val="Heavy_Equipments1"/>
      <sheetName val="AG_Pipe_Qty_Analysis1"/>
      <sheetName val="Equipment_List1"/>
      <sheetName val="Form1_SQP1"/>
      <sheetName val="공정계획(내부계획25%,내부w_f)1"/>
      <sheetName val="SFN_ORIG1"/>
      <sheetName val="내역서_(∮ἀ嘆ɶ"/>
      <sheetName val="ITB_COST1"/>
      <sheetName val="HVAC"/>
      <sheetName val="2.Overall Summary "/>
      <sheetName val="SCH"/>
      <sheetName val="검측서"/>
      <sheetName val="경상"/>
      <sheetName val="UP MINOR"/>
      <sheetName val="ANX3A11"/>
      <sheetName val="5.) Time Delays"/>
      <sheetName val="KP_List"/>
      <sheetName val="내역서_(N _x000e__x000e__x000e_  _x0012__x0010__x000a_"/>
      <sheetName val="노임이"/>
      <sheetName val="Item code"/>
      <sheetName val="업체코드"/>
      <sheetName val="??-BLDG"/>
      <sheetName val="Unt rate"/>
      <sheetName val="Codes.Pers"/>
      <sheetName val="Direct PMS"/>
      <sheetName val="예가표"/>
      <sheetName val="  "/>
      <sheetName val=" "/>
      <sheetName val="경비실"/>
      <sheetName val="SUMMARY (0A)"/>
      <sheetName val="SUMMARY (1A)"/>
      <sheetName val="SUMMARY (1B)"/>
      <sheetName val="SUMMARY (03)"/>
      <sheetName val="F1"/>
      <sheetName val="F2"/>
      <sheetName val="F1(Cable Rack)"/>
      <sheetName val="F2(Cable Rack)"/>
      <sheetName val="F3(Cable Rack)"/>
      <sheetName val="F1 (POLYMER)"/>
      <sheetName val="F2 (POLYMER)"/>
      <sheetName val="F3 (POLYMER)"/>
      <sheetName val="F4 (POLYMER)"/>
      <sheetName val="F5( Polymerization )"/>
      <sheetName val="F6 ( Polymerization )"/>
      <sheetName val="B1 (Grid A-7, -6)"/>
      <sheetName val="B1 (Grid A, B)"/>
      <sheetName val="B1 (Grid C-7, -6)"/>
      <sheetName val="B2 (Grid -7 B, C) (1)"/>
      <sheetName val="B2 (Grid -7 B, C) (2)"/>
      <sheetName val="B2 (Grid -6 B, C) (1)"/>
      <sheetName val="B2 (Grid -6 B, C) (2)"/>
      <sheetName val="F1 (MONOMER)"/>
      <sheetName val="F2 (MONOMER)"/>
      <sheetName val="F3 (MONOMER)"/>
      <sheetName val="90K060C (MONOMER)"/>
      <sheetName val="F1 (EXTRUSION)"/>
      <sheetName val="F2 (EXTRUSION)"/>
      <sheetName val="F3 (EXTRUSION)"/>
      <sheetName val="F4 (EXTRUSION)"/>
      <sheetName val="F5 (EXTRUSION)"/>
      <sheetName val="F6A (EXTRUSION)"/>
      <sheetName val="F6D (EXTRUSION)"/>
      <sheetName val="F7 (EXTRUSION)"/>
      <sheetName val="F8 (EXTRUSION)"/>
      <sheetName val="F9 (EXTRUSION)"/>
      <sheetName val="F10 (EXTRUSION)"/>
      <sheetName val="F11 (EXTRUSION)"/>
      <sheetName val="B1 (Grid F-5`, 4`)"/>
      <sheetName val="B2 (Grid F,E-4`)"/>
      <sheetName val="B2 (Grid F,E-5`)"/>
      <sheetName val="B3 (Grid C,B-4`)"/>
      <sheetName val="B4 (Grid B,A-4`)"/>
      <sheetName val="B5 (Grid E-5`) &amp; (Grid D-5`)"/>
      <sheetName val="B6 (Grid E,D-5')"/>
      <sheetName val="B7 (Grid E,D-5')"/>
      <sheetName val="F-1"/>
      <sheetName val="95D040, A506"/>
      <sheetName val="95P040AB, A507"/>
      <sheetName val="95X020-U08, A602"/>
      <sheetName val="95X020-U07, A606"/>
      <sheetName val="95E040, A509"/>
      <sheetName val="95D024;025, A615"/>
      <sheetName val="95X020-U05, A601"/>
      <sheetName val="95X020-U02, A204"/>
      <sheetName val="Extruder FDN"/>
      <sheetName val="PF1a"/>
      <sheetName val="PF4"/>
      <sheetName val="PF4a"/>
      <sheetName val="PF5"/>
      <sheetName val="BOG COMP. FDN"/>
      <sheetName val="SOG COMP. FDN"/>
      <sheetName val="1G1 (Ground Beam)"/>
      <sheetName val="1G2-1(Ground Beam)"/>
      <sheetName val="1G2-2(Ground Beam)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, 16"/>
      <sheetName val="LO CONSOLE FDN"/>
      <sheetName val="OIL COOLER FDN"/>
      <sheetName val="CW CONSOLE FDN (SOG)"/>
      <sheetName val="PD3"/>
      <sheetName val="SF1"/>
      <sheetName val="PD1"/>
      <sheetName val="PD2"/>
      <sheetName val="PD3 (SOG)"/>
      <sheetName val="SF1 (SOG)"/>
      <sheetName val="SF2 (SOG)"/>
      <sheetName val="SLAB (1S1-1)"/>
      <sheetName val="SLAB (1S1-2)"/>
      <sheetName val="SLAB (1S1-3)"/>
      <sheetName val="COLUMN (+5500)"/>
      <sheetName val="COLUMN (+12500)"/>
      <sheetName val="COLUMN (+15500)"/>
      <sheetName val="ETC."/>
      <sheetName val="breakdown of wage ra`f"/>
      <sheetName val="breakdown of wage ra"/>
      <sheetName val="breakdown of wage rað-"/>
      <sheetName val="00-Summary Information-ABB"/>
      <sheetName val="장산"/>
      <sheetName val="0. Resource　Code"/>
      <sheetName val="OPT_x0012__x0000__x0010__x0000__x000a__x0000_"/>
      <sheetName val="_x0000__x0013__x0000__x0014_"/>
      <sheetName val="Process Data (2)"/>
      <sheetName val="Updating_Form-Oct_2011"/>
      <sheetName val="Weld_Consumable"/>
      <sheetName val="NDE_Cost-Summary"/>
      <sheetName val="9July_Above_Ground_Pipe"/>
      <sheetName val="Tools_&amp;_Settings"/>
      <sheetName val="Data_Summary"/>
      <sheetName val="Crew_Costs"/>
      <sheetName val="Spread_Costs"/>
      <sheetName val="Unique_List_Misc"/>
      <sheetName val="M_11"/>
      <sheetName val="Process_Data_(2)"/>
      <sheetName val="PROTECTION_"/>
      <sheetName val="Cash_In-Cash_Out_Actual"/>
      <sheetName val="당초?∸ἀ"/>
      <sheetName val="Ocean Transporation Charge"/>
      <sheetName val="배수공"/>
      <sheetName val="시행분석"/>
      <sheetName val="Discounted Cash Flow"/>
      <sheetName val="Cash Flow bulanan"/>
      <sheetName val="schalt"/>
      <sheetName val="schtng"/>
      <sheetName val="schbhn"/>
      <sheetName val="H.Satuan"/>
      <sheetName val="I_KAMAR"/>
      <sheetName val="breakdown of wage rap"/>
      <sheetName val="PROJEC䁔"/>
      <sheetName val="Jobcos䁴"/>
      <sheetName val="Sy䁳tem구분"/>
      <sheetName val="BM䀭Elec"/>
      <sheetName val="AN䁁LIS䁁"/>
      <sheetName val="BO䁑-B.䁄OWN"/>
      <sheetName val="HV䁁C(사자재)"/>
      <sheetName val="R2䀵64A䁈DTS"/>
      <sheetName val="mto-re䁶0B"/>
      <sheetName val="내역脜_(M䀴)4"/>
      <sheetName val="3_공통공사비2"/>
      <sheetName val="BEND_L䁏SS1"/>
      <sheetName val="Fo䁲m_A_1"/>
      <sheetName val="Ci䁶il_11"/>
      <sheetName val="Ci䁶il_䀳1"/>
      <sheetName val="Si䁴e_2䀱"/>
      <sheetName val="Si䁴e_F䁡ci1"/>
      <sheetName val="EQ䁕IP_䁌IST"/>
      <sheetName val="Su䁢con_A"/>
      <sheetName val="BS䁄_(2)"/>
      <sheetName val="FWBS_1䀵30"/>
      <sheetName val="breakdown of wage ra"/>
      <sheetName val="Chart_Cable"/>
      <sheetName val="Bill rekap"/>
      <sheetName val="수량산출"/>
      <sheetName val="BQ_IMPORT"/>
      <sheetName val="Exchange Rate"/>
      <sheetName val="Material code"/>
      <sheetName val="AUX"/>
      <sheetName val="Aux."/>
      <sheetName val="CUADRO_DE_PRECIOS"/>
      <sheetName val="w't_table2"/>
      <sheetName val="SCHEDD_TAMBAHAN2"/>
      <sheetName val="Fire_Protection2"/>
      <sheetName val="입찰내역_발주처_양식2"/>
      <sheetName val="Dir_Manpower_Other_Exp_2"/>
      <sheetName val="MODULE_CONFIRM1"/>
      <sheetName val="PROTECTION_1"/>
      <sheetName val="CUADRO_DE_PRECIOS1"/>
      <sheetName val="Cash_In-Cash_Out_Actual1"/>
      <sheetName val="Equipment_List3"/>
      <sheetName val="Form1_SQP3"/>
      <sheetName val="공정계획(내부계획25%,내부w_f)3"/>
      <sheetName val="Heavy_Equipments3"/>
      <sheetName val="AG_Pipe_Qty_Analysis3"/>
      <sheetName val="SFN_ORIG3"/>
      <sheetName val="w't_table3"/>
      <sheetName val="SCHEDD_TAMBAHAN3"/>
      <sheetName val="Fire_Protection3"/>
      <sheetName val="입찰내역_발주처_양식3"/>
      <sheetName val="Dir_Manpower_Other_Exp_3"/>
      <sheetName val="FWBS_15302"/>
      <sheetName val="내역서_(∮ἀ嘆ɶ2"/>
      <sheetName val="4-3LEVEL-5_epic_42"/>
      <sheetName val="단가_(2)2"/>
      <sheetName val="실행예산_MM2"/>
      <sheetName val="MODULE_CONFIRM2"/>
      <sheetName val="PROTECTION_2"/>
      <sheetName val="BOQ-B_DOWN2"/>
      <sheetName val="ITB_COST3"/>
      <sheetName val="CUADRO_DE_PRECIOS2"/>
      <sheetName val="Cash_In-Cash_Out_Actual2"/>
      <sheetName val="Equipment_List4"/>
      <sheetName val="Form1_SQP4"/>
      <sheetName val="공정계획(내부계획25%,내부w_f)4"/>
      <sheetName val="Heavy_Equipments4"/>
      <sheetName val="AG_Pipe_Qty_Analysis4"/>
      <sheetName val="SFN_ORIG4"/>
      <sheetName val="w't_table4"/>
      <sheetName val="SCHEDD_TAMBAHAN4"/>
      <sheetName val="Fire_Protection4"/>
      <sheetName val="입찰내역_발주처_양식4"/>
      <sheetName val="Dir_Manpower_Other_Exp_4"/>
      <sheetName val="FWBS_15303"/>
      <sheetName val="내역서_(∮ἀ嘆ɶ3"/>
      <sheetName val="4-3LEVEL-5_epic_43"/>
      <sheetName val="단가_(2)3"/>
      <sheetName val="실행예산_MM3"/>
      <sheetName val="MODULE_CONFIRM3"/>
      <sheetName val="PROTECTION_3"/>
      <sheetName val="BOQ-B_DOWN3"/>
      <sheetName val="ITB_COST4"/>
      <sheetName val="CUADRO_DE_PRECIOS3"/>
      <sheetName val="Cash_In-Cash_Out_Actual3"/>
      <sheetName val="KUWATI(Total)_9"/>
      <sheetName val="집계표_(TOTAL)9"/>
      <sheetName val="집계표_(CIVIL-23)9"/>
      <sheetName val="집계표_(FGRU)9"/>
      <sheetName val="집계표_(25,26)9"/>
      <sheetName val="집계표_(MEROX)9"/>
      <sheetName val="집계표_(NITROGEN)9"/>
      <sheetName val="집계표_(M4)9"/>
      <sheetName val="집계표_(CIVIL4)9"/>
      <sheetName val="집계표_(CIVIL6)9"/>
      <sheetName val="집계표_(CIVIL7)9"/>
      <sheetName val="내역서(DEMO_TOTAL)9"/>
      <sheetName val="내역서_(CIVIL-23)9"/>
      <sheetName val="내역서_(fgru)9"/>
      <sheetName val="내역서_(25&amp;26)9"/>
      <sheetName val="내역서_(MEROX)9"/>
      <sheetName val="내역서_(NITROGEN)9"/>
      <sheetName val="내역서_(M4)9"/>
      <sheetName val="내역서_(CIVIL-4)9"/>
      <sheetName val="내역서_(CIVIL-6)9"/>
      <sheetName val="내역서_(CIVIL-7)9"/>
      <sheetName val="OPTION_29"/>
      <sheetName val="OPTION_39"/>
      <sheetName val="2002년_현장공사비_국내_실적9"/>
      <sheetName val="2003년국내현장공사비_실적9"/>
      <sheetName val="VC2_10_999"/>
      <sheetName val="집계표_(25,26ဩ8"/>
      <sheetName val="INPUT_DATA8"/>
      <sheetName val="입출재고현황_(2)7"/>
      <sheetName val="Form_08"/>
      <sheetName val="Form_D-17"/>
      <sheetName val="Form_B-17"/>
      <sheetName val="Form_F-17"/>
      <sheetName val="Form_A7"/>
      <sheetName val="General_Data8"/>
      <sheetName val="LABOR_&amp;_자재7"/>
      <sheetName val="Price_Schedule7"/>
      <sheetName val="간접비_총괄7"/>
      <sheetName val="3_공통공사대비7"/>
      <sheetName val="Rate_Analysis7"/>
      <sheetName val="CAL_7"/>
      <sheetName val="WEIGHT_LIST6"/>
      <sheetName val="산#2-1_(2)6"/>
      <sheetName val="BEND_LOSS6"/>
      <sheetName val="공사비_내역_(가)6"/>
      <sheetName val="내역서_耰&quot;??7"/>
      <sheetName val="EQUIPMENT_-27"/>
      <sheetName val="6PILE__(돌출)6"/>
      <sheetName val="Static_Equip6"/>
      <sheetName val="단면_(2)6"/>
      <sheetName val="Form_A_6"/>
      <sheetName val="내역서_耰&quot;_x005f_x0000__x005f_x0000_6"/>
      <sheetName val="3_Breakdown_Direct_Paint6"/>
      <sheetName val="내역서_耰&quot;__7"/>
      <sheetName val="Summary_Sheets6"/>
      <sheetName val="Civil_16"/>
      <sheetName val="Civil_26"/>
      <sheetName val="Civil_36"/>
      <sheetName val="Site_16"/>
      <sheetName val="Site_26"/>
      <sheetName val="Site_36"/>
      <sheetName val="Site_Faci6"/>
      <sheetName val="Administrative_Prices5"/>
      <sheetName val="WBS_445"/>
      <sheetName val="WBS_415"/>
      <sheetName val="Precios_por_Administración5"/>
      <sheetName val="Precios_Unitarios5"/>
      <sheetName val="Subcon_A5"/>
      <sheetName val="BM_DATA_SHEET6"/>
      <sheetName val="Áý°èÇ¥_(TOTAL)5"/>
      <sheetName val="Áý°èÇ¥_(CIVIL-23)5"/>
      <sheetName val="Áý°èÇ¥_(FGRU)5"/>
      <sheetName val="Áý°èÇ¥_(25,26)5"/>
      <sheetName val="Áý°èÇ¥_(MEROX)5"/>
      <sheetName val="Áý°èÇ¥_(NITROGEN)5"/>
      <sheetName val="Áý°èÇ¥_(M4)5"/>
      <sheetName val="Áý°èÇ¥_(CIVIL4)5"/>
      <sheetName val="Áý°èÇ¥_(CIVIL6)5"/>
      <sheetName val="Áý°èÇ¥_(CIVIL7)5"/>
      <sheetName val="³»¿ª¼­(DEMO_TOTAL)5"/>
      <sheetName val="³»¿ª¼­_(CIVIL-23)5"/>
      <sheetName val="³»¿ª¼­_(fgru)5"/>
      <sheetName val="³»¿ª¼­_(25&amp;26)5"/>
      <sheetName val="³»¿ª¼­_(MEROX)5"/>
      <sheetName val="³»¿ª¼­_(NITROGEN)5"/>
      <sheetName val="³»¿ª¼­_(M4)5"/>
      <sheetName val="³»¿ª¼­_(CIVIL-4)5"/>
      <sheetName val="³»¿ª¼­_(CIVIL-6)5"/>
      <sheetName val="³»¿ª¼­_(CIVIL-7)5"/>
      <sheetName val="2002³â_ÇöÀå°ø»çºñ_±¹³»_½ÇÀû5"/>
      <sheetName val="2003³â±¹³»ÇöÀå°ø»çºñ_½ÇÀû5"/>
      <sheetName val="EQUIP_LIST5"/>
      <sheetName val="Z-_GENERAL_PRICE_SUMMARY5"/>
      <sheetName val="_Estimate__5"/>
      <sheetName val="2_2_STAFF_Scedule5"/>
      <sheetName val="내역서_耰&quot;_x005f_x005f_x005f_x0000__x005f_x005f_x0005"/>
      <sheetName val="계측_내역서5"/>
      <sheetName val="Man_Hole5"/>
      <sheetName val="Sheet1_(2)6"/>
      <sheetName val="내역서_耰&quot;_x005f_x005f_x005f_x005f_x005f_x005f_x00005"/>
      <sheetName val="7__월별투입내역서5"/>
      <sheetName val="T_35"/>
      <sheetName val="HORI__VESSEL5"/>
      <sheetName val="Vind_-_BtB5"/>
      <sheetName val="LV_induction_motors5"/>
      <sheetName val="BSD_(2)5"/>
      <sheetName val="Monthly_Load5"/>
      <sheetName val="Weekly_Load5"/>
      <sheetName val="MP_MOB5"/>
      <sheetName val="Form_B5"/>
      <sheetName val="Material_Selections5"/>
      <sheetName val="내역서_耰&quot;_x005f_x005f_x005f_x005f_x005f_x005f_x005f5"/>
      <sheetName val="97_사업추정(WEKI)5"/>
      <sheetName val="breakdown_of_wage_rate5"/>
      <sheetName val="Indirect_Cost5"/>
      <sheetName val="[SANDAN_XLS??5"/>
      <sheetName val="Eq__Mobilization5"/>
      <sheetName val="Resource_table5"/>
      <sheetName val="Piping_BQ_for_one_turbine5"/>
      <sheetName val="Utility_and_Fire_flange5"/>
      <sheetName val="Equipment_List5"/>
      <sheetName val="Form1_SQP5"/>
      <sheetName val="공정계획(내부계획25%,내부w_f)5"/>
      <sheetName val="Heavy_Equipments5"/>
      <sheetName val="AG_Pipe_Qty_Analysis5"/>
      <sheetName val="_SANDAN_XLS__5"/>
      <sheetName val="SFN_ORIG5"/>
      <sheetName val="w't_table5"/>
      <sheetName val="SCHEDD_TAMBAHAN5"/>
      <sheetName val="Fire_Protection5"/>
      <sheetName val="입찰내역_발주처_양식5"/>
      <sheetName val="Dir_Manpower_Other_Exp_5"/>
      <sheetName val="FWBS_15304"/>
      <sheetName val="내역서_(∮ἀ嘆ɶ4"/>
      <sheetName val="4-3LEVEL-5_epic_44"/>
      <sheetName val="단가_(2)4"/>
      <sheetName val="실행예산_MM4"/>
      <sheetName val="MODULE_CONFIRM4"/>
      <sheetName val="PROTECTION_4"/>
      <sheetName val="BOQ-B_DOWN4"/>
      <sheetName val="ITB_COST5"/>
      <sheetName val="CUADRO_DE_PRECIOS4"/>
      <sheetName val="Cash_In-Cash_Out_Actual4"/>
      <sheetName val="OCT.FDN"/>
      <sheetName val="D-3109"/>
      <sheetName val="예산실적전체당월"/>
      <sheetName val="BD"/>
      <sheetName val="Harga Satuan"/>
      <sheetName val="LISTRIK"/>
      <sheetName val="F ALARM"/>
      <sheetName val="General Notes"/>
      <sheetName val="물량표"/>
      <sheetName val="PABS,Site info"/>
      <sheetName val="내역서1999_8최종"/>
      <sheetName val="plan&amp;section_of_foundation1"/>
      <sheetName val="working_load_at_the_btm_ft_1"/>
      <sheetName val="stability_check1"/>
      <sheetName val="design_load1"/>
      <sheetName val="Process_Data_1"/>
      <sheetName val="TDC_COA_Sumry"/>
      <sheetName val="TDC_Item_Dets"/>
      <sheetName val="TDC_Item_Sumry"/>
      <sheetName val="TDC_Key_Qty_Sumry"/>
      <sheetName val="List_-_Components"/>
      <sheetName val="List_-_Equipment"/>
      <sheetName val="COA_Sumry_-_Std_Imp"/>
      <sheetName val="Contr_TDC_-_Std_Imp"/>
      <sheetName val="Item_Sumry_-_Std_Imp"/>
      <sheetName val="Unit_Costs_-_Std_Imp"/>
      <sheetName val="Unit_MH_-_Std_Imp"/>
      <sheetName val="Proj_TIC_-_Std_Imp"/>
      <sheetName val="Closeout_Control"/>
      <sheetName val="PROJECT_BRIEF"/>
      <sheetName val="Unit_Price_"/>
      <sheetName val="Site_Findings_Status_Sheet"/>
      <sheetName val="Direct_PMS"/>
      <sheetName val="Sum_(Case-3)"/>
      <sheetName val="Man_Power_&amp;_Comp"/>
      <sheetName val="Data_List"/>
      <sheetName val="4-Basic_Price"/>
      <sheetName val="Evaluasi_Penw"/>
      <sheetName val="Currency_Rate"/>
      <sheetName val="1100-1200-1300-1910-2140-LEV_2"/>
      <sheetName val="Material_Price"/>
      <sheetName val="7422CW"/>
      <sheetName val="내역서_耰&quot;_x005f_x005f_x005f_x0000_"/>
      <sheetName val="내역서_耰&quot;_x005f_x005f_x005f_x005f_"/>
      <sheetName val="5_)_Time_Delays"/>
      <sheetName val="In-House_Summary"/>
      <sheetName val="OPT_x000a_"/>
      <sheetName val="Weekl_x000a_"/>
      <sheetName val="Aux_"/>
      <sheetName val="定额"/>
      <sheetName val="_"/>
      <sheetName val="_뻘N__ࠀ역서"/>
      <sheetName val="HO_Site Rates-2011"/>
      <sheetName val="Pipe-Hot"/>
      <sheetName val="Analysis"/>
      <sheetName val="EVA-004-MEC"/>
      <sheetName val="USDKRW"/>
      <sheetName val="Inquiry"/>
      <sheetName val="품셈TABLE"/>
      <sheetName val="DISCIPLINE"/>
      <sheetName val="EE-PROP"/>
      <sheetName val="DATA MENTAH"/>
      <sheetName val="Raw data"/>
      <sheetName val="2. 현장 자금투입 집계표"/>
      <sheetName val="PWA"/>
      <sheetName val="9_1차이내역"/>
      <sheetName val="pipeline-1"/>
      <sheetName val="2003상반기노임기준"/>
      <sheetName val="_도면 및 도서 제출목록 및 일정_170202.xlsx"/>
      <sheetName val="Rates &amp; Legend"/>
      <sheetName val="실행집_x0005_"/>
      <sheetName val="실행집聈"/>
      <sheetName val="Codes_Pers"/>
      <sheetName val="내역ࠜĀ_x005f_x0000_M4"/>
      <sheetName val="내역서 耰&quot;_x005f_x0000_"/>
      <sheetName val="내역ࠜĀ_x005f_x005f_x0"/>
      <sheetName val="내역서 耰&quot;_x005f_x005f_"/>
      <sheetName val="내역서 耰&quot;_x0000__x0000"/>
      <sheetName val="_x005f_x005f_"/>
      <sheetName val="내역서_耰&quot;_x0000__x0000"/>
      <sheetName val="Weekl_x0004_"/>
      <sheetName val="내역서_耰&quot;_x005f_x0000__x0001"/>
      <sheetName val="내역서_耰&quot;_x005f_x005f_x00001"/>
      <sheetName val="내역서_耰&quot;_x005f_x005f_x005f1"/>
      <sheetName val="내역서_耰&quot;_x005f_x0000__x0002"/>
      <sheetName val="내역서_耰&quot;_x005f_x005f_x00002"/>
      <sheetName val="내역서_耰&quot;_x005f_x005f_x005f2"/>
      <sheetName val="손익차9월2"/>
      <sheetName val="OPT_x0012_"/>
      <sheetName val="내역서_耰&quot;_x005f_x0000__x0003"/>
      <sheetName val="내역서_耰&quot;_x005f_x005f_x00003"/>
      <sheetName val="내역서_耰&quot;_x005f_x005f_x005f3"/>
      <sheetName val="내역서_耰&quot;_x005f_x0000__x0004"/>
      <sheetName val="내역서_耰&quot;_x005f_x005f_x00004"/>
      <sheetName val="내역서_耰&quot;_x005f_x005f_x005f4"/>
      <sheetName val="내역서_耰&quot;_x0000__x0000_6"/>
      <sheetName val="내역서_耰&quot;_x005f_x0000__x0005"/>
      <sheetName val="내역서_耰&quot;_x005f_x005f_x00005"/>
      <sheetName val="내역서_耰&quot;_x005f_x005f_x005f5"/>
      <sheetName val="내역서_耰&quot;_x005f_x0000_"/>
      <sheetName val="내역서_耰&quot;_x005f_x005f_"/>
      <sheetName val="내역ࠜĀ_x0000_M4"/>
      <sheetName val="내역ࠜĀ_x0"/>
      <sheetName val="내역서 耰&quot;_"/>
      <sheetName val="내역서_耰&quot;_x0000__x0001"/>
      <sheetName val="내역서_耰&quot;_x00001"/>
      <sheetName val="내역서_耰&quot;_x005f1"/>
      <sheetName val="내역서_耰&quot;_x0000__x0002"/>
      <sheetName val="내역서_耰&quot;_x00002"/>
      <sheetName val="내역서_耰&quot;_x005f2"/>
      <sheetName val="Others"/>
      <sheetName val="Sheet5"/>
      <sheetName val="TYPE"/>
      <sheetName val="BQMP"/>
      <sheetName val="CAL1"/>
      <sheetName val="Distribution Table"/>
      <sheetName val="BA1047集約"/>
      <sheetName val="__x0000__x001b__x0000__x0006__x"/>
      <sheetName val="차트 (2)"/>
      <sheetName val="도면자료제출일정"/>
      <sheetName val="DROP DOWN"/>
      <sheetName val="Linelist LNGC Process"/>
      <sheetName val="용접품"/>
      <sheetName val="절단품"/>
      <sheetName val="Action Item"/>
      <sheetName val="Rating"/>
      <sheetName val="유림골조"/>
      <sheetName val="ID.CD"/>
      <sheetName val="Equipment Spec List"/>
      <sheetName val="LEGENDA"/>
      <sheetName val="drg"/>
      <sheetName val="BM"/>
      <sheetName val="백분율"/>
      <sheetName val="공사비SUM"/>
      <sheetName val="내역(한신APT)"/>
      <sheetName val="design_criteria1"/>
      <sheetName val="MD"/>
      <sheetName val="BO䁑-B_䁄OWN"/>
      <sheetName val="UP_MINOR"/>
      <sheetName val="RAB_AR&amp;STR"/>
      <sheetName val="Cash_Flow_bulanan"/>
      <sheetName val="H_Satuan"/>
      <sheetName val="Bill_rekap"/>
      <sheetName val="99__FWBS(Ref)"/>
      <sheetName val="99__Change_Rate"/>
      <sheetName val="Harga_Satuan"/>
      <sheetName val="F_ALARM"/>
      <sheetName val="내역서_耰&quot;_x005f_x0000__x00001"/>
      <sheetName val="할증_"/>
      <sheetName val="내역서_(N____x000a_"/>
      <sheetName val="내역서_(N   _x000a_"/>
      <sheetName val="Discounted_Cash_Flow"/>
      <sheetName val="Ocean_Transporation_Charge"/>
      <sheetName val="차트_(2)"/>
      <sheetName val="Pengesahan_"/>
      <sheetName val="Exchange_Rate"/>
      <sheetName val="뻘N_"/>
      <sheetName val="_x000a__x0"/>
      <sheetName val="Unt_rate"/>
      <sheetName val="Equip_Rental_Summary_by_Contr"/>
      <sheetName val="Project_Equip_Rental_Summary"/>
      <sheetName val="Contractor_Indirect_Sumry"/>
      <sheetName val="Project_Indirect_Sumry"/>
      <sheetName val="COA_Sumry_by_Area"/>
      <sheetName val="COA_Sumry_by_Contr"/>
      <sheetName val="COA_Sumry_by_RG"/>
      <sheetName val="TDC_COA_Grp_Sumry"/>
      <sheetName val="TDC_COA_Grp_Sumry_by_Area"/>
      <sheetName val="TDC_COA_Grp_Sumry_by_RG"/>
      <sheetName val="Equipment_Sumry"/>
      <sheetName val="TDC_Item_Dets-Full"/>
      <sheetName val="TDC_Item_Dets-IPM-Full"/>
      <sheetName val="TDC_Item_Sumry_by_Area"/>
      <sheetName val="TDC_Item_Sumry_by_RG"/>
      <sheetName val="TDC_Key_Qty_Sumry_by_RG"/>
      <sheetName val="List_-_Equipment_by_Area"/>
      <sheetName val="List_-_Equipment_by_Contr"/>
      <sheetName val="Equipment_-_Unit_Costs_by_Mat"/>
      <sheetName val="List_-_Equipment_by_Rep_Grp"/>
      <sheetName val="Craft_Summary_by_Contr"/>
      <sheetName val="Project_Craft_Summary"/>
      <sheetName val="Project_Metrics"/>
      <sheetName val="Item_code"/>
      <sheetName val="SUMMARY_(0A)"/>
      <sheetName val="SUMMARY_(1A)"/>
      <sheetName val="SUMMARY_(1B)"/>
      <sheetName val="SUMMARY_(03)"/>
      <sheetName val="F1(Cable_Rack)"/>
      <sheetName val="F2(Cable_Rack)"/>
      <sheetName val="F3(Cable_Rack)"/>
      <sheetName val="F1_(POLYMER)"/>
      <sheetName val="F2_(POLYMER)"/>
      <sheetName val="F3_(POLYMER)"/>
      <sheetName val="F4_(POLYMER)"/>
      <sheetName val="F5(_Polymerization_)"/>
      <sheetName val="F6_(_Polymerization_)"/>
      <sheetName val="B1_(Grid_A-7,_-6)"/>
      <sheetName val="B1_(Grid_A,_B)"/>
      <sheetName val="B1_(Grid_C-7,_-6)"/>
      <sheetName val="B2_(Grid_-7_B,_C)_(1)"/>
      <sheetName val="B2_(Grid_-7_B,_C)_(2)"/>
      <sheetName val="B2_(Grid_-6_B,_C)_(1)"/>
      <sheetName val="B2_(Grid_-6_B,_C)_(2)"/>
      <sheetName val="F1_(MONOMER)"/>
      <sheetName val="F2_(MONOMER)"/>
      <sheetName val="F3_(MONOMER)"/>
      <sheetName val="90K060C_(MONOMER)"/>
      <sheetName val="F1_(EXTRUSION)"/>
      <sheetName val="F2_(EXTRUSION)"/>
      <sheetName val="F3_(EXTRUSION)"/>
      <sheetName val="F4_(EXTRUSION)"/>
      <sheetName val="F5_(EXTRUSION)"/>
      <sheetName val="F6A_(EXTRUSION)"/>
      <sheetName val="F6D_(EXTRUSION)"/>
      <sheetName val="F7_(EXTRUSION)"/>
      <sheetName val="F8_(EXTRUSION)"/>
      <sheetName val="F9_(EXTRUSION)"/>
      <sheetName val="F10_(EXTRUSION)"/>
      <sheetName val="F11_(EXTRUSION)"/>
      <sheetName val="B1_(Grid_F-5`,_4`)"/>
      <sheetName val="B2_(Grid_F,E-4`)"/>
      <sheetName val="B2_(Grid_F,E-5`)"/>
      <sheetName val="B3_(Grid_C,B-4`)"/>
      <sheetName val="B4_(Grid_B,A-4`)"/>
      <sheetName val="B5_(Grid_E-5`)_&amp;_(Grid_D-5`)"/>
      <sheetName val="B6_(Grid_E,D-5')"/>
      <sheetName val="B7_(Grid_E,D-5')"/>
      <sheetName val="95D040,_A506"/>
      <sheetName val="95P040AB,_A507"/>
      <sheetName val="95X020-U08,_A602"/>
      <sheetName val="95X020-U07,_A606"/>
      <sheetName val="95E040,_A509"/>
      <sheetName val="95D024;025,_A615"/>
      <sheetName val="95X020-U05,_A601"/>
      <sheetName val="95X020-U02,_A204"/>
      <sheetName val="Extruder_FDN"/>
      <sheetName val="BOG_COMP__FDN"/>
      <sheetName val="SOG_COMP__FDN"/>
      <sheetName val="1G1_(Ground_Beam)"/>
      <sheetName val="1G2-1(Ground_Beam)"/>
      <sheetName val="1G2-2(Ground_Beam)"/>
      <sheetName val="P15,_16"/>
      <sheetName val="LO_CONSOLE_FDN"/>
      <sheetName val="OIL_COOLER_FDN"/>
      <sheetName val="CW_CONSOLE_FDN_(SOG)"/>
      <sheetName val="PD3_(SOG)"/>
      <sheetName val="SF1_(SOG)"/>
      <sheetName val="SF2_(SOG)"/>
      <sheetName val="SLAB_(1S1-1)"/>
      <sheetName val="SLAB_(1S1-2)"/>
      <sheetName val="SLAB_(1S1-3)"/>
      <sheetName val="COLUMN_(+5500)"/>
      <sheetName val="COLUMN_(+12500)"/>
      <sheetName val="COLUMN_(+15500)"/>
      <sheetName val="ETC_"/>
      <sheetName val="2__현장_자금투입_집계표"/>
      <sheetName val="_도면_및_도서_제출목록_및_일정_170202_xlsx"/>
      <sheetName val="Rates_&amp;_Legend"/>
      <sheetName val="OCT_FDN"/>
      <sheetName val="General_Notes"/>
      <sheetName val="개시대사 (2)"/>
      <sheetName val="환율"/>
      <sheetName val="대운산출"/>
      <sheetName val="Header"/>
      <sheetName val="SPEC LIST(EQUP, SYS)"/>
      <sheetName val="Air Cooler-E"/>
      <sheetName val="Al Taweelah"/>
      <sheetName val="TJ1Q47"/>
      <sheetName val="Particular Sch"/>
      <sheetName val="Pulldown"/>
      <sheetName val="KUWATI(Total)_11"/>
      <sheetName val="집계표_(TOTAL)11"/>
      <sheetName val="집계표_(CIVIL-23)11"/>
      <sheetName val="집계표_(FGRU)11"/>
      <sheetName val="집계표_(25,26)11"/>
      <sheetName val="집계표_(MEROX)11"/>
      <sheetName val="집계표_(NITROGEN)11"/>
      <sheetName val="집계표_(M4)11"/>
      <sheetName val="집계표_(CIVIL4)11"/>
      <sheetName val="집계표_(CIVIL6)11"/>
      <sheetName val="집계표_(CIVIL7)11"/>
      <sheetName val="내역서(DEMO_TOTAL)11"/>
      <sheetName val="내역서_(CIVIL-23)11"/>
      <sheetName val="내역서_(fgru)11"/>
      <sheetName val="내역서_(25&amp;26)11"/>
      <sheetName val="내역서_(MEROX)11"/>
      <sheetName val="내역서_(NITROGEN)11"/>
      <sheetName val="내역서_(M4)11"/>
      <sheetName val="내역서_(CIVIL-4)11"/>
      <sheetName val="내역서_(CIVIL-6)11"/>
      <sheetName val="내역서_(CIVIL-7)11"/>
      <sheetName val="OPTION_211"/>
      <sheetName val="OPTION_311"/>
      <sheetName val="2002년_현장공사비_국내_실적11"/>
      <sheetName val="2003년국내현장공사비_실적11"/>
      <sheetName val="VC2_10_9911"/>
      <sheetName val="INPUT_DATA10"/>
      <sheetName val="집계표_(25,26ဩ10"/>
      <sheetName val="Form_D-19"/>
      <sheetName val="Form_B-19"/>
      <sheetName val="Form_F-19"/>
      <sheetName val="Form_A9"/>
      <sheetName val="Form_010"/>
      <sheetName val="입출재고현황_(2)9"/>
      <sheetName val="General_Data10"/>
      <sheetName val="LABOR_&amp;_자재9"/>
      <sheetName val="간접비_총괄9"/>
      <sheetName val="3_공통공사대비9"/>
      <sheetName val="Price_Schedule9"/>
      <sheetName val="Rate_Analysis9"/>
      <sheetName val="내역서_耰&quot;??9"/>
      <sheetName val="EQUIPMENT_-29"/>
      <sheetName val="CAL_9"/>
      <sheetName val="내역서_耰&quot;_x005f_x0000__x005f_x0000_8"/>
      <sheetName val="WEIGHT_LIST8"/>
      <sheetName val="산#2-1_(2)8"/>
      <sheetName val="BEND_LOSS8"/>
      <sheetName val="공사비_내역_(가)8"/>
      <sheetName val="6PILE__(돌출)8"/>
      <sheetName val="Man_Hole7"/>
      <sheetName val="Form_A_8"/>
      <sheetName val="단면_(2)8"/>
      <sheetName val="Static_Equip8"/>
      <sheetName val="3_Breakdown_Direct_Paint8"/>
      <sheetName val="WBS_447"/>
      <sheetName val="WBS_417"/>
      <sheetName val="Administrative_Prices7"/>
      <sheetName val="Precios_por_Administración7"/>
      <sheetName val="Precios_Unitarios7"/>
      <sheetName val="내역서_耰&quot;_x005f_x005f_x005f_x0000__x005f_x005f_x0007"/>
      <sheetName val="내역서_耰&quot;__9"/>
      <sheetName val="SFN_ORIG7"/>
      <sheetName val="Z-_GENERAL_PRICE_SUMMARY7"/>
      <sheetName val="_Estimate__7"/>
      <sheetName val="Updating_Form-Oct_20112"/>
      <sheetName val="Weld_Consumable2"/>
      <sheetName val="NDE_Cost-Summary2"/>
      <sheetName val="9July_Above_Ground_Pipe2"/>
      <sheetName val="Civil_18"/>
      <sheetName val="Civil_28"/>
      <sheetName val="Civil_38"/>
      <sheetName val="Site_18"/>
      <sheetName val="Site_28"/>
      <sheetName val="Site_38"/>
      <sheetName val="Site_Faci8"/>
      <sheetName val="Áý°èÇ¥_(TOTAL)7"/>
      <sheetName val="Áý°èÇ¥_(CIVIL-23)7"/>
      <sheetName val="Áý°èÇ¥_(FGRU)7"/>
      <sheetName val="Áý°èÇ¥_(25,26)7"/>
      <sheetName val="Áý°èÇ¥_(MEROX)7"/>
      <sheetName val="Áý°èÇ¥_(NITROGEN)7"/>
      <sheetName val="Áý°èÇ¥_(M4)7"/>
      <sheetName val="Áý°èÇ¥_(CIVIL4)7"/>
      <sheetName val="Áý°èÇ¥_(CIVIL6)7"/>
      <sheetName val="Áý°èÇ¥_(CIVIL7)7"/>
      <sheetName val="³»¿ª¼­(DEMO_TOTAL)7"/>
      <sheetName val="³»¿ª¼­_(CIVIL-23)7"/>
      <sheetName val="³»¿ª¼­_(fgru)7"/>
      <sheetName val="³»¿ª¼­_(25&amp;26)7"/>
      <sheetName val="³»¿ª¼­_(MEROX)7"/>
      <sheetName val="³»¿ª¼­_(NITROGEN)7"/>
      <sheetName val="³»¿ª¼­_(M4)7"/>
      <sheetName val="³»¿ª¼­_(CIVIL-4)7"/>
      <sheetName val="³»¿ª¼­_(CIVIL-6)7"/>
      <sheetName val="³»¿ª¼­_(CIVIL-7)7"/>
      <sheetName val="2002³â_ÇöÀå°ø»çºñ_±¹³»_½ÇÀû7"/>
      <sheetName val="2003³â±¹³»ÇöÀå°ø»çºñ_½ÇÀû7"/>
      <sheetName val="Summary_Sheets8"/>
      <sheetName val="2_2_STAFF_Scedule7"/>
      <sheetName val="내역서_耰&quot;_x005f_x005f_x005f_x005f_x005f_x005f_x00007"/>
      <sheetName val="Subcon_A7"/>
      <sheetName val="Sheet1_(2)8"/>
      <sheetName val="계측_내역서7"/>
      <sheetName val="7__월별투입내역서7"/>
      <sheetName val="T_37"/>
      <sheetName val="HORI__VESSEL7"/>
      <sheetName val="BM_DATA_SHEET8"/>
      <sheetName val="Vind_-_BtB7"/>
      <sheetName val="LV_induction_motors7"/>
      <sheetName val="BSD_(2)7"/>
      <sheetName val="내역서_耰&quot;_x005f_x005f_x005f_x005f_x005f_x005f_x005f7"/>
      <sheetName val="EQUIP_LIST7"/>
      <sheetName val="MP_MOB7"/>
      <sheetName val="Form_B7"/>
      <sheetName val="내역서_耰&quot;7"/>
      <sheetName val="Tools_&amp;_Settings2"/>
      <sheetName val="Data_Summary2"/>
      <sheetName val="Crew_Costs2"/>
      <sheetName val="Spread_Costs2"/>
      <sheetName val="Unique_List_Misc2"/>
      <sheetName val="M_112"/>
      <sheetName val="Process_Data_(2)2"/>
      <sheetName val="Monthly_Load7"/>
      <sheetName val="Weekly_Load7"/>
      <sheetName val="97_사업추정(WEKI)7"/>
      <sheetName val="breakdown_of_wage_rate7"/>
      <sheetName val="Indirect_Cost7"/>
      <sheetName val="Eq__Mobilization7"/>
      <sheetName val="Material_Selections7"/>
      <sheetName val="[SANDAN_XLS??7"/>
      <sheetName val="Piping_BQ_for_one_turbine7"/>
      <sheetName val="Resource_table7"/>
      <sheetName val="Utility_and_Fire_flange7"/>
      <sheetName val="Equipment_List7"/>
      <sheetName val="Form1_SQP7"/>
      <sheetName val="공정계획(내부계획25%,내부w_f)7"/>
      <sheetName val="_SANDAN_XLS__7"/>
      <sheetName val="w't_table7"/>
      <sheetName val="Heavy_Equipments7"/>
      <sheetName val="AG_Pipe_Qty_Analysis7"/>
      <sheetName val="SCHEDD_TAMBAHAN7"/>
      <sheetName val="Fire_Protection7"/>
      <sheetName val="입찰내역_발주처_양식7"/>
      <sheetName val="실행예산_MM6"/>
      <sheetName val="FWBS_15306"/>
      <sheetName val="Dir_Manpower_Other_Exp_7"/>
      <sheetName val="BOQ-B_DOWN6"/>
      <sheetName val="내역서_(∮ἀ嘆ɶ6"/>
      <sheetName val="MODULE_CONFIRM6"/>
      <sheetName val="ITB_COST7"/>
      <sheetName val="단가_(2)6"/>
      <sheetName val="4-3LEVEL-5_epic_46"/>
      <sheetName val="PROTECTION_6"/>
      <sheetName val="Cash_In-Cash_Out_Actual6"/>
      <sheetName val="CUADRO_DE_PRECIOS6"/>
      <sheetName val="Process_Data_12"/>
      <sheetName val="내역서1999_8최종2"/>
      <sheetName val="plan&amp;section_of_foundation3"/>
      <sheetName val="working_load_at_the_btm_ft_3"/>
      <sheetName val="stability_check3"/>
      <sheetName val="design_load3"/>
      <sheetName val="TDC_COA_Sumry2"/>
      <sheetName val="TDC_Item_Dets2"/>
      <sheetName val="TDC_Item_Sumry2"/>
      <sheetName val="TDC_Key_Qty_Sumry2"/>
      <sheetName val="List_-_Components2"/>
      <sheetName val="List_-_Equipment2"/>
      <sheetName val="COA_Sumry_-_Std_Imp2"/>
      <sheetName val="Contr_TDC_-_Std_Imp2"/>
      <sheetName val="Item_Sumry_-_Std_Imp2"/>
      <sheetName val="Unit_Costs_-_Std_Imp2"/>
      <sheetName val="Unit_MH_-_Std_Imp2"/>
      <sheetName val="Proj_TIC_-_Std_Imp2"/>
      <sheetName val="1100-1200-1300-1910-2140-LEV_22"/>
      <sheetName val="Material_Price2"/>
      <sheetName val="Currency_Rate2"/>
      <sheetName val="Unit_Price_2"/>
      <sheetName val="4-Basic_Price2"/>
      <sheetName val="Evaluasi_Penw2"/>
      <sheetName val="Man_Power_&amp;_Comp2"/>
      <sheetName val="Data_List2"/>
      <sheetName val="Closeout_Control2"/>
      <sheetName val="Sum_(Case-3)2"/>
      <sheetName val="PROJECT_BRIEF2"/>
      <sheetName val="Site_Findings_Status_Sheet2"/>
      <sheetName val="내역서_耰&quot;_x005f_x005f_x005f_x0000_2"/>
      <sheetName val="내역서_耰&quot;_x005f_x005f_x005f_x005f_2"/>
      <sheetName val="내역서_耰&quot;_x005f_x0000__x00003"/>
      <sheetName val="Equip_Rental_Summary_by_Contr2"/>
      <sheetName val="Project_Equip_Rental_Summary2"/>
      <sheetName val="Contractor_Indirect_Sumry2"/>
      <sheetName val="Project_Indirect_Sumry2"/>
      <sheetName val="COA_Sumry_by_Area2"/>
      <sheetName val="COA_Sumry_by_Contr2"/>
      <sheetName val="COA_Sumry_by_RG2"/>
      <sheetName val="TDC_COA_Grp_Sumry2"/>
      <sheetName val="TDC_COA_Grp_Sumry_by_Area2"/>
      <sheetName val="TDC_COA_Grp_Sumry_by_RG2"/>
      <sheetName val="Equipment_Sumry2"/>
      <sheetName val="TDC_Item_Dets-Full2"/>
      <sheetName val="TDC_Item_Dets-IPM-Full2"/>
      <sheetName val="TDC_Item_Sumry_by_Area2"/>
      <sheetName val="TDC_Item_Sumry_by_RG2"/>
      <sheetName val="TDC_Key_Qty_Sumry_by_RG2"/>
      <sheetName val="List_-_Equipment_by_Area2"/>
      <sheetName val="List_-_Equipment_by_Contr2"/>
      <sheetName val="Equipment_-_Unit_Costs_by_Mat2"/>
      <sheetName val="List_-_Equipment_by_Rep_Grp2"/>
      <sheetName val="Craft_Summary_by_Contr2"/>
      <sheetName val="Project_Craft_Summary2"/>
      <sheetName val="Project_Metrics2"/>
      <sheetName val="99__FWBS(Ref)2"/>
      <sheetName val="99__Change_Rate2"/>
      <sheetName val="RAB_AR&amp;STR2"/>
      <sheetName val="할증_2"/>
      <sheetName val="2_Overall_Summary_1"/>
      <sheetName val="In-House_Summary2"/>
      <sheetName val="Pengesahan_2"/>
      <sheetName val="UP_MINOR2"/>
      <sheetName val="5_)_Time_Delays2"/>
      <sheetName val="Item_code2"/>
      <sheetName val="Unt_rate2"/>
      <sheetName val="Codes_Pers2"/>
      <sheetName val="Direct_PMS2"/>
      <sheetName val="__2"/>
      <sheetName val="_2"/>
      <sheetName val="SUMMARY_(0A)2"/>
      <sheetName val="SUMMARY_(1A)2"/>
      <sheetName val="SUMMARY_(1B)2"/>
      <sheetName val="SUMMARY_(03)2"/>
      <sheetName val="F1(Cable_Rack)2"/>
      <sheetName val="F2(Cable_Rack)2"/>
      <sheetName val="F3(Cable_Rack)2"/>
      <sheetName val="F1_(POLYMER)2"/>
      <sheetName val="F2_(POLYMER)2"/>
      <sheetName val="F3_(POLYMER)2"/>
      <sheetName val="F4_(POLYMER)2"/>
      <sheetName val="F5(_Polymerization_)2"/>
      <sheetName val="F6_(_Polymerization_)2"/>
      <sheetName val="B1_(Grid_A-7,_-6)2"/>
      <sheetName val="B1_(Grid_A,_B)2"/>
      <sheetName val="B1_(Grid_C-7,_-6)2"/>
      <sheetName val="B2_(Grid_-7_B,_C)_(1)2"/>
      <sheetName val="B2_(Grid_-7_B,_C)_(2)2"/>
      <sheetName val="B2_(Grid_-6_B,_C)_(1)2"/>
      <sheetName val="B2_(Grid_-6_B,_C)_(2)2"/>
      <sheetName val="F1_(MONOMER)2"/>
      <sheetName val="F2_(MONOMER)2"/>
      <sheetName val="F3_(MONOMER)2"/>
      <sheetName val="90K060C_(MONOMER)2"/>
      <sheetName val="F1_(EXTRUSION)2"/>
      <sheetName val="F2_(EXTRUSION)2"/>
      <sheetName val="F3_(EXTRUSION)2"/>
      <sheetName val="F4_(EXTRUSION)2"/>
      <sheetName val="F5_(EXTRUSION)2"/>
      <sheetName val="F6A_(EXTRUSION)2"/>
      <sheetName val="F6D_(EXTRUSION)2"/>
      <sheetName val="F7_(EXTRUSION)2"/>
      <sheetName val="F8_(EXTRUSION)2"/>
      <sheetName val="F9_(EXTRUSION)2"/>
      <sheetName val="F10_(EXTRUSION)2"/>
      <sheetName val="F11_(EXTRUSION)2"/>
      <sheetName val="B1_(Grid_F-5`,_4`)2"/>
      <sheetName val="B2_(Grid_F,E-4`)2"/>
      <sheetName val="B2_(Grid_F,E-5`)2"/>
      <sheetName val="B3_(Grid_C,B-4`)2"/>
      <sheetName val="B4_(Grid_B,A-4`)2"/>
      <sheetName val="B5_(Grid_E-5`)_&amp;_(Grid_D-5`)2"/>
      <sheetName val="B6_(Grid_E,D-5')2"/>
      <sheetName val="B7_(Grid_E,D-5')2"/>
      <sheetName val="95D040,_A5062"/>
      <sheetName val="95P040AB,_A5072"/>
      <sheetName val="95X020-U08,_A6022"/>
      <sheetName val="95X020-U07,_A6062"/>
      <sheetName val="95E040,_A5092"/>
      <sheetName val="95D024;025,_A6152"/>
      <sheetName val="95X020-U05,_A6012"/>
      <sheetName val="95X020-U02,_A2042"/>
      <sheetName val="Extruder_FDN2"/>
      <sheetName val="BOG_COMP__FDN2"/>
      <sheetName val="SOG_COMP__FDN2"/>
      <sheetName val="1G1_(Ground_Beam)2"/>
      <sheetName val="1G2-1(Ground_Beam)2"/>
      <sheetName val="1G2-2(Ground_Beam)2"/>
      <sheetName val="P15,_162"/>
      <sheetName val="LO_CONSOLE_FDN2"/>
      <sheetName val="OIL_COOLER_FDN2"/>
      <sheetName val="CW_CONSOLE_FDN_(SOG)2"/>
      <sheetName val="PD3_(SOG)2"/>
      <sheetName val="SF1_(SOG)2"/>
      <sheetName val="SF2_(SOG)2"/>
      <sheetName val="SLAB_(1S1-1)2"/>
      <sheetName val="SLAB_(1S1-2)2"/>
      <sheetName val="SLAB_(1S1-3)2"/>
      <sheetName val="COLUMN_(+5500)2"/>
      <sheetName val="COLUMN_(+12500)2"/>
      <sheetName val="COLUMN_(+15500)2"/>
      <sheetName val="ETC_2"/>
      <sheetName val="breakdown_of_wage_ra`f1"/>
      <sheetName val="breakdown_of_wage_ra1"/>
      <sheetName val="breakdown_of_wage_rað-1"/>
      <sheetName val="00-Summary_Information-ABB1"/>
      <sheetName val="0__Resource　Code1"/>
      <sheetName val="Ocean_Transporation_Charge2"/>
      <sheetName val="Discounted_Cash_Flow2"/>
      <sheetName val="Cash_Flow_bulanan2"/>
      <sheetName val="H_Satuan2"/>
      <sheetName val="breakdown_of_wage_rap1"/>
      <sheetName val="BO䁑-B_䁄OWN2"/>
      <sheetName val="breakdown_of_wage_ra1"/>
      <sheetName val="Material_code1"/>
      <sheetName val="Aux_2"/>
      <sheetName val="OCT_FDN2"/>
      <sheetName val="Exchange_Rate2"/>
      <sheetName val="DATA_MENTAH1"/>
      <sheetName val="General_Notes2"/>
      <sheetName val="PABS,Site_info1"/>
      <sheetName val="실행집"/>
      <sheetName val="Bill_rekap2"/>
      <sheetName val="Harga_Satuan2"/>
      <sheetName val="F_ALARM2"/>
      <sheetName val="HO_Site_Rates-20111"/>
      <sheetName val="Raw_data1"/>
      <sheetName val="2__현장_자금투입_집계표2"/>
      <sheetName val="_도면_및_도서_제출목록_및_일정_170202_xlsx2"/>
      <sheetName val="Rates_&amp;_Legend2"/>
      <sheetName val="내역서_耰&quot;_x005f_x0000_2"/>
      <sheetName val="내역서_耰&quot;_x005f_x005f_2"/>
      <sheetName val="Weekl"/>
      <sheetName val="OPT"/>
      <sheetName val="내역서_耰&quot;_1"/>
      <sheetName val="Distribution_Table1"/>
      <sheetName val="__x"/>
      <sheetName val="차트_(2)2"/>
      <sheetName val="DROP_DOWN1"/>
      <sheetName val="Linelist_LNGC_Process1"/>
      <sheetName val="Action_Item1"/>
      <sheetName val="ID_CD1"/>
      <sheetName val="Equipment_Spec_List1"/>
      <sheetName val="내역서_(N____x000a_2"/>
      <sheetName val="개시대사_(2)1"/>
      <sheetName val="SPEC_LIST(EQUP,_SYS)1"/>
      <sheetName val="Air_Cooler-E1"/>
      <sheetName val="Al_Taweelah1"/>
      <sheetName val="Particular_Sch1"/>
      <sheetName val="KUWATI(Total)_10"/>
      <sheetName val="집계표_(TOTAL)10"/>
      <sheetName val="집계표_(CIVIL-23)10"/>
      <sheetName val="집계표_(FGRU)10"/>
      <sheetName val="집계표_(25,26)10"/>
      <sheetName val="집계표_(MEROX)10"/>
      <sheetName val="집계표_(NITROGEN)10"/>
      <sheetName val="집계표_(M4)10"/>
      <sheetName val="집계표_(CIVIL4)10"/>
      <sheetName val="집계표_(CIVIL6)10"/>
      <sheetName val="집계표_(CIVIL7)10"/>
      <sheetName val="내역서(DEMO_TOTAL)10"/>
      <sheetName val="내역서_(CIVIL-23)10"/>
      <sheetName val="내역서_(fgru)10"/>
      <sheetName val="내역서_(25&amp;26)10"/>
      <sheetName val="내역서_(MEROX)10"/>
      <sheetName val="내역서_(NITROGEN)10"/>
      <sheetName val="내역서_(M4)10"/>
      <sheetName val="내역서_(CIVIL-4)10"/>
      <sheetName val="내역서_(CIVIL-6)10"/>
      <sheetName val="내역서_(CIVIL-7)10"/>
      <sheetName val="OPTION_210"/>
      <sheetName val="OPTION_310"/>
      <sheetName val="2002년_현장공사비_국내_실적10"/>
      <sheetName val="2003년국내현장공사비_실적10"/>
      <sheetName val="VC2_10_9910"/>
      <sheetName val="INPUT_DATA9"/>
      <sheetName val="집계표_(25,26ဩ9"/>
      <sheetName val="Form_D-18"/>
      <sheetName val="Form_B-18"/>
      <sheetName val="Form_F-18"/>
      <sheetName val="Form_A8"/>
      <sheetName val="Form_09"/>
      <sheetName val="입출재고현황_(2)8"/>
      <sheetName val="General_Data9"/>
      <sheetName val="LABOR_&amp;_자재8"/>
      <sheetName val="간접비_총괄8"/>
      <sheetName val="3_공통공사대비8"/>
      <sheetName val="Price_Schedule8"/>
      <sheetName val="Rate_Analysis8"/>
      <sheetName val="내역서_耰&quot;??8"/>
      <sheetName val="EQUIPMENT_-28"/>
      <sheetName val="CAL_8"/>
      <sheetName val="내역서_耰&quot;_x005f_x0000__x005f_x0000_7"/>
      <sheetName val="WEIGHT_LIST7"/>
      <sheetName val="산#2-1_(2)7"/>
      <sheetName val="BEND_LOSS7"/>
      <sheetName val="공사비_내역_(가)7"/>
      <sheetName val="6PILE__(돌출)7"/>
      <sheetName val="Man_Hole6"/>
      <sheetName val="Form_A_7"/>
      <sheetName val="단면_(2)7"/>
      <sheetName val="Static_Equip7"/>
      <sheetName val="3_Breakdown_Direct_Paint7"/>
      <sheetName val="WBS_446"/>
      <sheetName val="WBS_416"/>
      <sheetName val="Administrative_Prices6"/>
      <sheetName val="Precios_por_Administración6"/>
      <sheetName val="Precios_Unitarios6"/>
      <sheetName val="내역서_耰&quot;_x005f_x005f_x005f_x0000__x005f_x005f_x0006"/>
      <sheetName val="내역서_耰&quot;__8"/>
      <sheetName val="SFN_ORIG6"/>
      <sheetName val="Z-_GENERAL_PRICE_SUMMARY6"/>
      <sheetName val="_Estimate__6"/>
      <sheetName val="Updating_Form-Oct_20111"/>
      <sheetName val="Weld_Consumable1"/>
      <sheetName val="NDE_Cost-Summary1"/>
      <sheetName val="9July_Above_Ground_Pipe1"/>
      <sheetName val="Civil_17"/>
      <sheetName val="Civil_27"/>
      <sheetName val="Civil_37"/>
      <sheetName val="Site_17"/>
      <sheetName val="Site_27"/>
      <sheetName val="Site_37"/>
      <sheetName val="Site_Faci7"/>
      <sheetName val="Áý°èÇ¥_(TOTAL)6"/>
      <sheetName val="Áý°èÇ¥_(CIVIL-23)6"/>
      <sheetName val="Áý°èÇ¥_(FGRU)6"/>
      <sheetName val="Áý°èÇ¥_(25,26)6"/>
      <sheetName val="Áý°èÇ¥_(MEROX)6"/>
      <sheetName val="Áý°èÇ¥_(NITROGEN)6"/>
      <sheetName val="Áý°èÇ¥_(M4)6"/>
      <sheetName val="Áý°èÇ¥_(CIVIL4)6"/>
      <sheetName val="Áý°èÇ¥_(CIVIL6)6"/>
      <sheetName val="Áý°èÇ¥_(CIVIL7)6"/>
      <sheetName val="³»¿ª¼­(DEMO_TOTAL)6"/>
      <sheetName val="³»¿ª¼­_(CIVIL-23)6"/>
      <sheetName val="³»¿ª¼­_(fgru)6"/>
      <sheetName val="³»¿ª¼­_(25&amp;26)6"/>
      <sheetName val="³»¿ª¼­_(MEROX)6"/>
      <sheetName val="³»¿ª¼­_(NITROGEN)6"/>
      <sheetName val="³»¿ª¼­_(M4)6"/>
      <sheetName val="³»¿ª¼­_(CIVIL-4)6"/>
      <sheetName val="³»¿ª¼­_(CIVIL-6)6"/>
      <sheetName val="³»¿ª¼­_(CIVIL-7)6"/>
      <sheetName val="2002³â_ÇöÀå°ø»çºñ_±¹³»_½ÇÀû6"/>
      <sheetName val="2003³â±¹³»ÇöÀå°ø»çºñ_½ÇÀû6"/>
      <sheetName val="Summary_Sheets7"/>
      <sheetName val="2_2_STAFF_Scedule6"/>
      <sheetName val="내역서_耰&quot;_x005f_x005f_x005f_x005f_x005f_x005f_x00006"/>
      <sheetName val="Subcon_A6"/>
      <sheetName val="Sheet1_(2)7"/>
      <sheetName val="계측_내역서6"/>
      <sheetName val="7__월별투입내역서6"/>
      <sheetName val="T_36"/>
      <sheetName val="HORI__VESSEL6"/>
      <sheetName val="BM_DATA_SHEET7"/>
      <sheetName val="Vind_-_BtB6"/>
      <sheetName val="LV_induction_motors6"/>
      <sheetName val="BSD_(2)6"/>
      <sheetName val="내역서_耰&quot;_x005f_x005f_x005f_x005f_x005f_x005f_x005f6"/>
      <sheetName val="EQUIP_LIST6"/>
      <sheetName val="MP_MOB6"/>
      <sheetName val="Form_B6"/>
      <sheetName val="Tools_&amp;_Settings1"/>
      <sheetName val="Data_Summary1"/>
      <sheetName val="Crew_Costs1"/>
      <sheetName val="Spread_Costs1"/>
      <sheetName val="Unique_List_Misc1"/>
      <sheetName val="M_111"/>
      <sheetName val="Process_Data_(2)1"/>
      <sheetName val="Monthly_Load6"/>
      <sheetName val="Weekly_Load6"/>
      <sheetName val="97_사업추정(WEKI)6"/>
      <sheetName val="breakdown_of_wage_rate6"/>
      <sheetName val="Indirect_Cost6"/>
      <sheetName val="Eq__Mobilization6"/>
      <sheetName val="Material_Selections6"/>
      <sheetName val="[SANDAN_XLS??6"/>
      <sheetName val="Piping_BQ_for_one_turbine6"/>
      <sheetName val="Resource_table6"/>
      <sheetName val="Utility_and_Fire_flange6"/>
      <sheetName val="Equipment_List6"/>
      <sheetName val="Form1_SQP6"/>
      <sheetName val="공정계획(내부계획25%,내부w_f)6"/>
      <sheetName val="_SANDAN_XLS__6"/>
      <sheetName val="w't_table6"/>
      <sheetName val="Heavy_Equipments6"/>
      <sheetName val="AG_Pipe_Qty_Analysis6"/>
      <sheetName val="SCHEDD_TAMBAHAN6"/>
      <sheetName val="Fire_Protection6"/>
      <sheetName val="입찰내역_발주처_양식6"/>
      <sheetName val="실행예산_MM5"/>
      <sheetName val="FWBS_15305"/>
      <sheetName val="Dir_Manpower_Other_Exp_6"/>
      <sheetName val="BOQ-B_DOWN5"/>
      <sheetName val="내역서_(∮ἀ嘆ɶ5"/>
      <sheetName val="MODULE_CONFIRM5"/>
      <sheetName val="ITB_COST6"/>
      <sheetName val="단가_(2)5"/>
      <sheetName val="4-3LEVEL-5_epic_45"/>
      <sheetName val="PROTECTION_5"/>
      <sheetName val="Cash_In-Cash_Out_Actual5"/>
      <sheetName val="CUADRO_DE_PRECIOS5"/>
      <sheetName val="Process_Data_11"/>
      <sheetName val="내역서1999_8최종1"/>
      <sheetName val="plan&amp;section_of_foundation2"/>
      <sheetName val="working_load_at_the_btm_ft_2"/>
      <sheetName val="stability_check2"/>
      <sheetName val="design_load2"/>
      <sheetName val="TDC_COA_Sumry1"/>
      <sheetName val="TDC_Item_Dets1"/>
      <sheetName val="TDC_Item_Sumry1"/>
      <sheetName val="TDC_Key_Qty_Sumry1"/>
      <sheetName val="List_-_Components1"/>
      <sheetName val="List_-_Equipment1"/>
      <sheetName val="COA_Sumry_-_Std_Imp1"/>
      <sheetName val="Contr_TDC_-_Std_Imp1"/>
      <sheetName val="Item_Sumry_-_Std_Imp1"/>
      <sheetName val="Unit_Costs_-_Std_Imp1"/>
      <sheetName val="Unit_MH_-_Std_Imp1"/>
      <sheetName val="Proj_TIC_-_Std_Imp1"/>
      <sheetName val="1100-1200-1300-1910-2140-LEV_21"/>
      <sheetName val="Material_Price1"/>
      <sheetName val="Currency_Rate1"/>
      <sheetName val="Unit_Price_1"/>
      <sheetName val="4-Basic_Price1"/>
      <sheetName val="Evaluasi_Penw1"/>
      <sheetName val="Man_Power_&amp;_Comp1"/>
      <sheetName val="Data_List1"/>
      <sheetName val="Closeout_Control1"/>
      <sheetName val="Sum_(Case-3)1"/>
      <sheetName val="PROJECT_BRIEF1"/>
      <sheetName val="Site_Findings_Status_Sheet1"/>
      <sheetName val="내역서_耰&quot;_x005f_x005f_x005f_x0000_1"/>
      <sheetName val="내역서_耰&quot;_x005f_x005f_x005f_x005f_1"/>
      <sheetName val="내역서_耰&quot;_x005f_x0000__x00002"/>
      <sheetName val="Equip_Rental_Summary_by_Contr1"/>
      <sheetName val="Project_Equip_Rental_Summary1"/>
      <sheetName val="Contractor_Indirect_Sumry1"/>
      <sheetName val="Project_Indirect_Sumry1"/>
      <sheetName val="COA_Sumry_by_Area1"/>
      <sheetName val="COA_Sumry_by_Contr1"/>
      <sheetName val="COA_Sumry_by_RG1"/>
      <sheetName val="TDC_COA_Grp_Sumry1"/>
      <sheetName val="TDC_COA_Grp_Sumry_by_Area1"/>
      <sheetName val="TDC_COA_Grp_Sumry_by_RG1"/>
      <sheetName val="Equipment_Sumry1"/>
      <sheetName val="TDC_Item_Dets-Full1"/>
      <sheetName val="TDC_Item_Dets-IPM-Full1"/>
      <sheetName val="TDC_Item_Sumry_by_Area1"/>
      <sheetName val="TDC_Item_Sumry_by_RG1"/>
      <sheetName val="TDC_Key_Qty_Sumry_by_RG1"/>
      <sheetName val="List_-_Equipment_by_Area1"/>
      <sheetName val="List_-_Equipment_by_Contr1"/>
      <sheetName val="Equipment_-_Unit_Costs_by_Mat1"/>
      <sheetName val="List_-_Equipment_by_Rep_Grp1"/>
      <sheetName val="Craft_Summary_by_Contr1"/>
      <sheetName val="Project_Craft_Summary1"/>
      <sheetName val="Project_Metrics1"/>
      <sheetName val="99__FWBS(Ref)1"/>
      <sheetName val="99__Change_Rate1"/>
      <sheetName val="RAB_AR&amp;STR1"/>
      <sheetName val="할증_1"/>
      <sheetName val="2_Overall_Summary_"/>
      <sheetName val="In-House_Summary1"/>
      <sheetName val="Pengesahan_1"/>
      <sheetName val="UP_MINOR1"/>
      <sheetName val="5_)_Time_Delays1"/>
      <sheetName val="Item_code1"/>
      <sheetName val="Unt_rate1"/>
      <sheetName val="Codes_Pers1"/>
      <sheetName val="Direct_PMS1"/>
      <sheetName val="__1"/>
      <sheetName val="_1"/>
      <sheetName val="SUMMARY_(0A)1"/>
      <sheetName val="SUMMARY_(1A)1"/>
      <sheetName val="SUMMARY_(1B)1"/>
      <sheetName val="SUMMARY_(03)1"/>
      <sheetName val="F1(Cable_Rack)1"/>
      <sheetName val="F2(Cable_Rack)1"/>
      <sheetName val="F3(Cable_Rack)1"/>
      <sheetName val="F1_(POLYMER)1"/>
      <sheetName val="F2_(POLYMER)1"/>
      <sheetName val="F3_(POLYMER)1"/>
      <sheetName val="F4_(POLYMER)1"/>
      <sheetName val="F5(_Polymerization_)1"/>
      <sheetName val="F6_(_Polymerization_)1"/>
      <sheetName val="B1_(Grid_A-7,_-6)1"/>
      <sheetName val="B1_(Grid_A,_B)1"/>
      <sheetName val="B1_(Grid_C-7,_-6)1"/>
      <sheetName val="B2_(Grid_-7_B,_C)_(1)1"/>
      <sheetName val="B2_(Grid_-7_B,_C)_(2)1"/>
      <sheetName val="B2_(Grid_-6_B,_C)_(1)1"/>
      <sheetName val="B2_(Grid_-6_B,_C)_(2)1"/>
      <sheetName val="F1_(MONOMER)1"/>
      <sheetName val="F2_(MONOMER)1"/>
      <sheetName val="F3_(MONOMER)1"/>
      <sheetName val="90K060C_(MONOMER)1"/>
      <sheetName val="F1_(EXTRUSION)1"/>
      <sheetName val="F2_(EXTRUSION)1"/>
      <sheetName val="F3_(EXTRUSION)1"/>
      <sheetName val="F4_(EXTRUSION)1"/>
      <sheetName val="F5_(EXTRUSION)1"/>
      <sheetName val="F6A_(EXTRUSION)1"/>
      <sheetName val="F6D_(EXTRUSION)1"/>
      <sheetName val="F7_(EXTRUSION)1"/>
      <sheetName val="F8_(EXTRUSION)1"/>
      <sheetName val="F9_(EXTRUSION)1"/>
      <sheetName val="F10_(EXTRUSION)1"/>
      <sheetName val="F11_(EXTRUSION)1"/>
      <sheetName val="B1_(Grid_F-5`,_4`)1"/>
      <sheetName val="B2_(Grid_F,E-4`)1"/>
      <sheetName val="B2_(Grid_F,E-5`)1"/>
      <sheetName val="B3_(Grid_C,B-4`)1"/>
      <sheetName val="B4_(Grid_B,A-4`)1"/>
      <sheetName val="B5_(Grid_E-5`)_&amp;_(Grid_D-5`)1"/>
      <sheetName val="B6_(Grid_E,D-5')1"/>
      <sheetName val="B7_(Grid_E,D-5')1"/>
      <sheetName val="95D040,_A5061"/>
      <sheetName val="95P040AB,_A5071"/>
      <sheetName val="95X020-U08,_A6021"/>
      <sheetName val="95X020-U07,_A6061"/>
      <sheetName val="95E040,_A5091"/>
      <sheetName val="95D024;025,_A6151"/>
      <sheetName val="95X020-U05,_A6011"/>
      <sheetName val="95X020-U02,_A2041"/>
      <sheetName val="Extruder_FDN1"/>
      <sheetName val="BOG_COMP__FDN1"/>
      <sheetName val="SOG_COMP__FDN1"/>
      <sheetName val="1G1_(Ground_Beam)1"/>
      <sheetName val="1G2-1(Ground_Beam)1"/>
      <sheetName val="1G2-2(Ground_Beam)1"/>
      <sheetName val="P15,_161"/>
      <sheetName val="LO_CONSOLE_FDN1"/>
      <sheetName val="OIL_COOLER_FDN1"/>
      <sheetName val="CW_CONSOLE_FDN_(SOG)1"/>
      <sheetName val="PD3_(SOG)1"/>
      <sheetName val="SF1_(SOG)1"/>
      <sheetName val="SF2_(SOG)1"/>
      <sheetName val="SLAB_(1S1-1)1"/>
      <sheetName val="SLAB_(1S1-2)1"/>
      <sheetName val="SLAB_(1S1-3)1"/>
      <sheetName val="COLUMN_(+5500)1"/>
      <sheetName val="COLUMN_(+12500)1"/>
      <sheetName val="COLUMN_(+15500)1"/>
      <sheetName val="ETC_1"/>
      <sheetName val="breakdown_of_wage_ra`f"/>
      <sheetName val="breakdown_of_wage_ra"/>
      <sheetName val="breakdown_of_wage_rað-"/>
      <sheetName val="00-Summary_Information-ABB"/>
      <sheetName val="0__Resource　Code"/>
      <sheetName val="Ocean_Transporation_Charge1"/>
      <sheetName val="Discounted_Cash_Flow1"/>
      <sheetName val="Cash_Flow_bulanan1"/>
      <sheetName val="H_Satuan1"/>
      <sheetName val="breakdown_of_wage_rap"/>
      <sheetName val="BO䁑-B_䁄OWN1"/>
      <sheetName val="breakdown_of_wage_ra"/>
      <sheetName val="Material_code"/>
      <sheetName val="Aux_1"/>
      <sheetName val="OCT_FDN1"/>
      <sheetName val="Exchange_Rate1"/>
      <sheetName val="DATA_MENTAH"/>
      <sheetName val="General_Notes1"/>
      <sheetName val="PABS,Site_info"/>
      <sheetName val="Bill_rekap1"/>
      <sheetName val="Harga_Satuan1"/>
      <sheetName val="F_ALARM1"/>
      <sheetName val="HO_Site_Rates-2011"/>
      <sheetName val="Raw_data"/>
      <sheetName val="2__현장_자금투입_집계표1"/>
      <sheetName val="_도면_및_도서_제출목록_및_일정_170202_xlsx1"/>
      <sheetName val="Rates_&amp;_Legend1"/>
      <sheetName val="내역서_耰&quot;_x005f_x0000_1"/>
      <sheetName val="내역서_耰&quot;_x005f_x005f_1"/>
      <sheetName val="내역서_耰&quot;_"/>
      <sheetName val="Distribution_Table"/>
      <sheetName val="차트_(2)1"/>
      <sheetName val="DROP_DOWN"/>
      <sheetName val="Linelist_LNGC_Process"/>
      <sheetName val="Action_Item"/>
      <sheetName val="ID_CD"/>
      <sheetName val="Equipment_Spec_List"/>
      <sheetName val="내역서_(N____x000a_1"/>
      <sheetName val="개시대사_(2)"/>
      <sheetName val="SPEC_LIST(EQUP,_SYS)"/>
      <sheetName val="Air_Cooler-E"/>
      <sheetName val="Al_Taweelah"/>
      <sheetName val="Particular_Sch"/>
      <sheetName val="TQ Format"/>
      <sheetName val="SUM "/>
      <sheetName val="Multi-currency"/>
      <sheetName val="208"/>
      <sheetName val="공사비집계"/>
      <sheetName val="breakdown of wage raÐ¾"/>
      <sheetName val="热力"/>
      <sheetName val="PHSB"/>
      <sheetName val="AN"/>
      <sheetName val="EQUIPMENT_-_x0000_"/>
      <sheetName val="내역서_(N _x000e__x000e__x000e_  _x0012__x0010_ "/>
      <sheetName val="Additional data"/>
      <sheetName val="구분"/>
      <sheetName val="기기리스트"/>
      <sheetName val="11.자재단가"/>
      <sheetName val="바닥판_x0000_⽷_x0000_"/>
      <sheetName val="Values"/>
      <sheetName val="Attach 4-18"/>
      <sheetName val="14-Eng rate"/>
      <sheetName val="Grafico"/>
      <sheetName val="Codes"/>
      <sheetName val="E-160"/>
      <sheetName val="CASH"/>
      <sheetName val="인산"/>
      <sheetName val="C-301E~305E"/>
      <sheetName val="Precios Unitariԯ_x0000_"/>
      <sheetName val="Sum(table)"/>
      <sheetName val="OIL SEPARATOR"/>
      <sheetName val="CATCH BASIN"/>
      <sheetName val="UG"/>
      <sheetName val="UG2"/>
      <sheetName val="UG3"/>
      <sheetName val="UG4"/>
      <sheetName val="FW Post Indicator Valve 24&quot;"/>
      <sheetName val="FW Post Indicator Valve 20&quot;"/>
      <sheetName val="FW Post Indicator Valve 6&quot;"/>
      <sheetName val="Fire Monitor or Hydrant 6&quot; FDN"/>
      <sheetName val="SUMP VB"/>
      <sheetName val="CLEANOUT 4&quot;"/>
      <sheetName val="Not reqd"/>
      <sheetName val="호환성 보고서"/>
      <sheetName val="Orçamento"/>
      <sheetName val="Cashflow Analysis"/>
      <sheetName val="Données"/>
      <sheetName val="GraphData"/>
      <sheetName val="BHANDUP"/>
      <sheetName val="Register"/>
      <sheetName val="INPUT DATA OF SCHEDULE"/>
      <sheetName val="{}"/>
      <sheetName val="내역서 ᢐ_x001f__x0000__x0000_"/>
      <sheetName val="CONST"/>
      <sheetName val="Finansal tamamlanma Eğrisi"/>
      <sheetName val="SIVA"/>
      <sheetName val="33628-Rev. A"/>
      <sheetName val="Admin Manu 2-Equipment Type ID"/>
      <sheetName val="#¡REF"/>
      <sheetName val=" _x0000__x001b__x0000__x0006__x"/>
      <sheetName val="Weekl_x0004__x0000__x0016__x000"/>
      <sheetName val="내역서_(N_x0009__x000e__x000e__x00"/>
      <sheetName val="내역서_(N _x000e__x000e__x000e_  _"/>
      <sheetName val="__-BLDG"/>
      <sheetName val="내역서_(N _x000e__x000e__x00"/>
      <sheetName val="C1C2"/>
      <sheetName val="LIFE &amp; REP PROVN"/>
      <sheetName val="O&amp;M CREW"/>
      <sheetName val="Att-1 CTCI MH rate"/>
      <sheetName val="Precios_Unitariԯ"/>
      <sheetName val="TQ_Format"/>
      <sheetName val="breakdown_of_wage_raÐ¾"/>
      <sheetName val="Additional_data"/>
      <sheetName val="내역서_(N____"/>
      <sheetName val="Master List"/>
      <sheetName val="리스크 분류체계"/>
      <sheetName val="Risk"/>
      <sheetName val="손익차총괄2"/>
      <sheetName val="WIP"/>
      <sheetName val="내역서 (∮ἀ嘆ɶ?᠀㬁?"/>
      <sheetName val="당초_xd8b4_➴ȭ"/>
      <sheetName val="Basis(site)"/>
      <sheetName val="配管単価"/>
      <sheetName val="Mat"/>
      <sheetName val="제출계산서"/>
      <sheetName val="tifico"/>
      <sheetName val="Benchmark"/>
      <sheetName val="Drop-Downs"/>
      <sheetName val="ABUT수량-A1"/>
      <sheetName val="서부산시설"/>
      <sheetName val="Tender data"/>
      <sheetName val="Demand"/>
      <sheetName val="Occ"/>
      <sheetName val="SUM_"/>
      <sheetName val="GM 000"/>
      <sheetName val="Graph"/>
      <sheetName val="Consortium VP"/>
      <sheetName val="Summary MONTH"/>
      <sheetName val="DESICON SUM"/>
      <sheetName val="DES TCF Rental"/>
      <sheetName val="DES TCF Maints pers"/>
      <sheetName val="DES TCF Heavy Equipment"/>
      <sheetName val="EQUIPMENT"/>
      <sheetName val="SECURITY"/>
      <sheetName val="SERVICES"/>
      <sheetName val="CONSUMABLES"/>
      <sheetName val="BANK BOND"/>
      <sheetName val="PHC WAREHOUSE - INFOONLY"/>
      <sheetName val="VENDORS"/>
      <sheetName val="CATERING CONTROL"/>
      <sheetName val="SUB CONTRACT"/>
      <sheetName val="SPDC - INFONLY"/>
      <sheetName val="VENDOR SCHEDUL"/>
      <sheetName val="VENDOR PRESENCE - COMM"/>
      <sheetName val="VENDOR PRESENCE - RECH"/>
      <sheetName val="VENDOR PRESENCE - COMM "/>
      <sheetName val="CONTRACT RATES"/>
      <sheetName val="EXPAN-1"/>
      <sheetName val="Basic"/>
      <sheetName val="B_Down"/>
      <sheetName val="Scheme Area Details_Block__ C2"/>
      <sheetName val="날개벽"/>
      <sheetName val="Cash Flow"/>
      <sheetName val="Yield"/>
      <sheetName val="내역서_耰&quot;_x0000__x0003"/>
      <sheetName val="내역서_耰&quot;_x00003"/>
      <sheetName val="내역서_耰&quot;_x005f3"/>
      <sheetName val="내역서_耰&quot;_x0000__x0004"/>
      <sheetName val="내역서_耰&quot;_x00004"/>
      <sheetName val="내역서_耰&quot;_x005f4"/>
      <sheetName val="내역서_耰&quot;_x0000__x0005"/>
      <sheetName val="내역서_耰&quot;_x00005"/>
      <sheetName val="내역서_耰&quot;_x005f5"/>
      <sheetName val="내역서_(N _x000e__x000e__x000e_  _x0012__x0010__"/>
      <sheetName val="OPT_"/>
      <sheetName val="Weekl_"/>
      <sheetName val="Leyenda"/>
      <sheetName val="BSD ᯷㧓_x0001_"/>
      <sheetName val="Direct Histogram Rev. A (f)"/>
      <sheetName val="광통신 견적내역서1"/>
      <sheetName val="TABELE"/>
      <sheetName val="Fig 4-14"/>
      <sheetName val="List register"/>
      <sheetName val="Indirect"/>
      <sheetName val="Schedule "/>
      <sheetName val="Loading Struc"/>
      <sheetName val="Loading Pip"/>
      <sheetName val="Loading Overall (BASE Proposal)"/>
      <sheetName val="SCaffold"/>
      <sheetName val="Steel Structure"/>
      <sheetName val="UR"/>
      <sheetName val="Ref-Str"/>
      <sheetName val="PIPING AG-UG_NEW UNITS"/>
      <sheetName val="MEC_PIPING PREFABR"/>
      <sheetName val="Ref-Pip"/>
      <sheetName val="Working File-Pip"/>
      <sheetName val="NDT"/>
      <sheetName val="VALVES"/>
      <sheetName val="Supports"/>
      <sheetName val="Miscellaneous"/>
      <sheetName val="Equip_ISBL &amp; OSBL "/>
      <sheetName val="Painting"/>
      <sheetName val="INS-Piping"/>
      <sheetName val="INS-Equipment"/>
      <sheetName val="ELECTRICITY"/>
      <sheetName val="INSTRUMENTATION"/>
      <sheetName val="Sch.6"/>
      <sheetName val="공사"/>
      <sheetName val="2857Q&amp;PL"/>
      <sheetName val="design_criteria2"/>
      <sheetName val="SUPTMTO"/>
      <sheetName val="인사자료총집계"/>
      <sheetName val="터파기및재료"/>
      <sheetName val="일위대가 "/>
      <sheetName val="98수문일위"/>
      <sheetName val="단가"/>
      <sheetName val="5. 월별투입내역서"/>
      <sheetName val="간접비"/>
      <sheetName val="95TOTREV"/>
      <sheetName val="조명시설"/>
      <sheetName val="SECL 리스크 분류체계 (2)"/>
      <sheetName val="달력"/>
      <sheetName val="인원聈2"/>
      <sheetName val="Rate"/>
      <sheetName val="CUACA"/>
      <sheetName val="ANALISA-S"/>
      <sheetName val="hrgsat"/>
      <sheetName val="SCHEDULE"/>
      <sheetName val="Analisa Fave"/>
      <sheetName val="Bank"/>
      <sheetName val="BUA"/>
      <sheetName val="Harsat Bahan"/>
      <sheetName val="Harsat Subkon"/>
      <sheetName val="Harsat Upah"/>
      <sheetName val="PP"/>
      <sheetName val="RAB"/>
      <sheetName val="Master 1.0"/>
      <sheetName val="Estimate"/>
      <sheetName val="Agregat Halus &amp; Kasar"/>
      <sheetName val="TABEL"/>
      <sheetName val="DIV_5"/>
      <sheetName val="DIV_7A"/>
      <sheetName val="DIV_2"/>
      <sheetName val="DIV_4"/>
      <sheetName val="DIV_6"/>
      <sheetName val="DIV_8"/>
      <sheetName val="HARGA MATERIAL"/>
      <sheetName val="MT_an"/>
      <sheetName val="dasar"/>
      <sheetName val="Harga Sat_APP"/>
      <sheetName val="AM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6-AGREGAT"/>
      <sheetName val="STAF"/>
      <sheetName val="jpr"/>
      <sheetName val="Hitung"/>
      <sheetName val="Normalisasi"/>
      <sheetName val="Tgh JGC-Inv I clp"/>
      <sheetName val="PCS "/>
      <sheetName val="Progress Statement-SI"/>
      <sheetName val="Progress Payment-3110"/>
      <sheetName val="설산1.나"/>
      <sheetName val="본사S"/>
      <sheetName val="건축내역"/>
      <sheetName val="FORM-0"/>
      <sheetName val="1.설계기준"/>
      <sheetName val="Dropdown"/>
      <sheetName val="급여"/>
      <sheetName val="Cost Code"/>
      <sheetName val="Data Ref"/>
      <sheetName val="Interdept Rate"/>
      <sheetName val="INSTLIST 1"/>
      <sheetName val="TABLAS"/>
      <sheetName val="견적서"/>
      <sheetName val="간접노무비"/>
      <sheetName val="BM #1"/>
      <sheetName val="입찰안"/>
      <sheetName val="LOADDAT"/>
      <sheetName val="Perm. Test"/>
      <sheetName val="Galian 1"/>
      <sheetName val="Analisa-Harga"/>
      <sheetName val="Analisa Lump sum"/>
      <sheetName val="data-pendukung"/>
      <sheetName val="CH-RANC"/>
      <sheetName val="351BQMCN"/>
      <sheetName val="rap"/>
      <sheetName val="As"/>
      <sheetName val="Sec I ML"/>
      <sheetName val="단가대비표"/>
      <sheetName val="목록"/>
      <sheetName val="Activity Form"/>
      <sheetName val="Itembalance Report (18-sep-18)"/>
      <sheetName val="BUDGET SUMMARY "/>
      <sheetName val="내역서_耰&quot;_x005f_x0000__x0006"/>
      <sheetName val="내역서_耰&quot;_x005f_x005f_x00006"/>
      <sheetName val="내역서_耰&quot;_x005f_x005f_x005f6"/>
      <sheetName val="Wellhrs"/>
      <sheetName val="表三甲"/>
      <sheetName val="6BPRO"/>
      <sheetName val="2013电气概算 价目表 (营改增调整)"/>
      <sheetName val="06定额"/>
      <sheetName val="ADMON"/>
      <sheetName val="EQUIPOS DE SEGURIDAD"/>
      <sheetName val="MATERIALES CONSUMIBLES"/>
      <sheetName val="PERSONAL INDIRECTO "/>
      <sheetName val="Tables 3.1 to 3.5 EXH G"/>
      <sheetName val="Depreciation"/>
      <sheetName val="Validation"/>
      <sheetName val="合成単価作成表_BLDG"/>
      <sheetName val="16"/>
      <sheetName val="50"/>
      <sheetName val="Drop"/>
      <sheetName val="REF for VV"/>
      <sheetName val="REF"/>
      <sheetName val="Weekl "/>
      <sheetName val="내역서_(N___ "/>
      <sheetName val="내역서_(N    "/>
      <sheetName val=" _x0"/>
      <sheetName val="OPT "/>
      <sheetName val="전표분개장(공종별)"/>
      <sheetName val="노무비집계"/>
      <sheetName val="공통가설"/>
      <sheetName val="자재비"/>
      <sheetName val="감모비"/>
      <sheetName val="P-Ins &amp; Bonds"/>
      <sheetName val="Land Dev't. Ph-1"/>
      <sheetName val="4300 UTILITY BLDG (2)"/>
      <sheetName val="0000"/>
      <sheetName val="Index"/>
      <sheetName val="SPEC(RECEPTACLE)"/>
      <sheetName val="SPEC(CABLE &amp; WIRE)"/>
      <sheetName val="총괄"/>
      <sheetName val="MC-1"/>
      <sheetName val="Lookup"/>
      <sheetName val="SoW"/>
      <sheetName val=" _x0000__x001b__x0000__x0"/>
      <sheetName val="OPT_x0012__x0000__x0010__x0000_ _x0000_"/>
      <sheetName val="Har_mat"/>
      <sheetName val="chitimc"/>
      <sheetName val="dongia (2)"/>
      <sheetName val="LKVL-CK-HT-GD1"/>
      <sheetName val="本体取纏"/>
      <sheetName val="鉄骨纏め"/>
      <sheetName val="34"/>
      <sheetName val="35"/>
      <sheetName val="TQ_Format1"/>
      <sheetName val="11_자재단가"/>
      <sheetName val="내역서_(N____1"/>
      <sheetName val="__x1"/>
      <sheetName val="Weekl_x000"/>
      <sheetName val="내역서_(N _x00"/>
      <sheetName val="LIFE_&amp;_REP_PROVN"/>
      <sheetName val="O&amp;M_CREW"/>
      <sheetName val="내역서_(N__x00"/>
      <sheetName val="Cashflow_Analysis"/>
      <sheetName val="breakdown_of_wage_raÐ¾1"/>
      <sheetName val="Additional_data1"/>
      <sheetName val="Schedule_"/>
      <sheetName val="Loading_Struc"/>
      <sheetName val="Loading_Pip"/>
      <sheetName val="Loading_Overall_(BASE_Proposal)"/>
      <sheetName val="Steel_Structure"/>
      <sheetName val="PIPING_AG-UG_NEW_UNITS"/>
      <sheetName val="MEC_PIPING_PREFABR"/>
      <sheetName val="Working_File-Pip"/>
      <sheetName val="Equip_ISBL_&amp;_OSBL_"/>
      <sheetName val="Attach_4-18"/>
      <sheetName val="INPUT_DATA_OF_SCHEDULE"/>
      <sheetName val="OIL_SEPARATOR"/>
      <sheetName val="CATCH_BASIN"/>
      <sheetName val="FW_Post_Indicator_Valve_24&quot;"/>
      <sheetName val="FW_Post_Indicator_Valve_20&quot;"/>
      <sheetName val="FW_Post_Indicator_Valve_6&quot;"/>
      <sheetName val="Fire_Monitor_or_Hydrant_6&quot;_FDN"/>
      <sheetName val="SUMP_VB"/>
      <sheetName val="CLEANOUT_4&quot;"/>
      <sheetName val="Not_reqd"/>
      <sheetName val="호환성_보고서"/>
      <sheetName val="Finansal_tamamlanma_Eğrisi"/>
      <sheetName val="Master_List"/>
      <sheetName val="Activity_Form"/>
      <sheetName val="내역서_(∮ἀ嘆ɶ?᠀㬁?"/>
      <sheetName val="내역서_ᢐ"/>
      <sheetName val="33628-Rev__A"/>
      <sheetName val="Admin_Manu_2-Equipment_Type_ID"/>
      <sheetName val="14-Eng_rate"/>
      <sheetName val="리스크_분류체계"/>
      <sheetName val="Itembalance_Report_(18-sep-18)"/>
      <sheetName val="BUDGET_SUMMARY_"/>
      <sheetName val="37"/>
      <sheetName val="64.4"/>
      <sheetName val="64.5"/>
      <sheetName val="22"/>
      <sheetName val="36.2"/>
      <sheetName val="36.1"/>
      <sheetName val="NP"/>
      <sheetName val="Folha1"/>
      <sheetName val="SPT vs PHI"/>
      <sheetName val="1.자금요약"/>
      <sheetName val="2.실행비투입"/>
      <sheetName val="3.본사집계"/>
      <sheetName val="3-1.본사투입"/>
      <sheetName val="4.지사집계"/>
      <sheetName val="4-1.지사투입"/>
      <sheetName val="5.현장총집계"/>
      <sheetName val="5-1.현금집계"/>
      <sheetName val="5-2.현금출납"/>
      <sheetName val="5-3.외상집계"/>
      <sheetName val="5-4.외상투입"/>
      <sheetName val="6.미지급금"/>
      <sheetName val="5-5.기타공제집계"/>
      <sheetName val="5-6.기타공제"/>
      <sheetName val="7.기성현황(실)"/>
      <sheetName val="8.한국인수당"/>
      <sheetName val="8.한국인수당 (Master file)"/>
      <sheetName val="9.기타수입"/>
      <sheetName val="10.투입집계"/>
      <sheetName val="(참고)CashFlow"/>
      <sheetName val="(참고)기성대투입"/>
      <sheetName val="(참고)기타공제"/>
      <sheetName val="(참고)미지급금"/>
      <sheetName val="5-4.외상투입 (2)"/>
      <sheetName val="16.기성현황(예)"/>
      <sheetName val="17.자금요약2"/>
      <sheetName val="18.실행대비투입2"/>
      <sheetName val="설명서"/>
      <sheetName val="eqpmad2"/>
      <sheetName val="OPT_x0012__x0000__x0010__x0000_"/>
      <sheetName val="Settings"/>
      <sheetName val="Instrumentation&amp;Automation"/>
      <sheetName val="PI-18031-M3-BOQ"/>
      <sheetName val="Void"/>
      <sheetName val="_x005f_x005f_x005f_x005f_x005f_x005f_x00ည톐ឮ"/>
      <sheetName val="SUMMARY MTO_02.2.35"/>
      <sheetName val="N.G METERING CALC."/>
      <sheetName val="N.G METERING"/>
      <sheetName val="N.G METERING (2)"/>
      <sheetName val="summary(order)"/>
      <sheetName val="CUMENE METERING"/>
      <sheetName val="N2 METERING "/>
      <sheetName val="H2 METERING  "/>
      <sheetName val="MS-5101"/>
      <sheetName val="MS-5401"/>
      <sheetName val="MS-5102"/>
      <sheetName val="CO METERING"/>
      <sheetName val="L-5301"/>
      <sheetName val="품의서(지출)"/>
      <sheetName val="6.공정표"/>
      <sheetName val="주차구획선수량"/>
      <sheetName val="Enron Form"/>
      <sheetName val="회사99"/>
      <sheetName val="7-2"/>
      <sheetName val="F&amp;C"/>
      <sheetName val="최종(1)사용"/>
      <sheetName val="05. Curva S"/>
      <sheetName val="Offer"/>
      <sheetName val="TR Rev vs Commit"/>
      <sheetName val="TR +MMHE PL report"/>
      <sheetName val="P23P2724 _ Commitment "/>
      <sheetName val="TESİSAT"/>
      <sheetName val="1.11.b"/>
      <sheetName val="CONCRETE TYPE"/>
      <sheetName val="공통부대비"/>
      <sheetName val="Map"/>
      <sheetName val="내역서(실행)"/>
      <sheetName val="손익합산"/>
      <sheetName val="5. Work load(현재원기준)"/>
      <sheetName val="DATASHT"/>
      <sheetName val="FitOutConfCentre"/>
      <sheetName val="부재치수입력"/>
      <sheetName val="Up"/>
      <sheetName val="Payment Certificate-1"/>
      <sheetName val="PCL-1"/>
      <sheetName val="Floor wet"/>
      <sheetName val="Floor Balcony"/>
      <sheetName val="Hard scape Floor"/>
      <sheetName val="P03 Skirting"/>
      <sheetName val="GF wall"/>
      <sheetName val="Kitchen Wall wet LIN-701"/>
      <sheetName val="Wall wet LIN-601 "/>
      <sheetName val="BOQ (2)"/>
      <sheetName val="Kitchen"/>
      <sheetName val="VO Schedule-1"/>
      <sheetName val="Fly-1"/>
      <sheetName val="HOLD AMOUNT"/>
      <sheetName val="Back Charge (2)"/>
      <sheetName val="Penalties-1"/>
      <sheetName val="Temporary Deductions-1 "/>
      <sheetName val="Contracharges Check list-1 "/>
      <sheetName val="PC 03"/>
      <sheetName val="Sheet7"/>
      <sheetName val="Measurement sheet"/>
      <sheetName val="Material Only"/>
      <sheetName val="Man power supply"/>
      <sheetName val="Camp Deduction"/>
      <sheetName val="MFG &amp; DEL"/>
      <sheetName val="CCL"/>
      <sheetName val="BSD_᯷㧓"/>
      <sheetName val="Tender_data"/>
      <sheetName val="Scheme_Area_Details_Block___C2"/>
      <sheetName val="광통신_견적내역서1"/>
      <sheetName val="Cash_Flow"/>
      <sheetName val="5__월별투입내역서"/>
      <sheetName val="GM_000"/>
      <sheetName val="1_설계기준"/>
      <sheetName val="일위대가_"/>
      <sheetName val="RESUMEN CD"/>
      <sheetName val="BOQ REV6"/>
      <sheetName val="QUANTITIES"/>
      <sheetName val="NAV000"/>
      <sheetName val="Maliyet Ozet"/>
      <sheetName val="USD"/>
      <sheetName val="OZET"/>
      <sheetName val="1.1-1.2"/>
      <sheetName val="1.3- 1.4"/>
      <sheetName val="2"/>
      <sheetName val="3.1"/>
      <sheetName val="3.2"/>
      <sheetName val="4.1(a)"/>
      <sheetName val="4.1(b)"/>
      <sheetName val="4.1.(c)"/>
      <sheetName val="5.1"/>
      <sheetName val="Kuwaitisation"/>
      <sheetName val="05__Curva_S"/>
      <sheetName val="Other data"/>
      <sheetName val="MOD-MOI-DOT"/>
      <sheetName val="สรุปราคา"/>
      <sheetName val="Bill 4.7 Predestain Bridge "/>
      <sheetName val="Bill 4.7 Predestain"/>
      <sheetName val="1.1 FT type 1"/>
      <sheetName val="1.2 FT type 1A"/>
      <sheetName val="1.3 FT type 2"/>
      <sheetName val="1.4 FT type 3"/>
      <sheetName val="1.5 FT type 4"/>
      <sheetName val="2.1 CL Outside"/>
      <sheetName val="2.2 CL Inside"/>
      <sheetName val="2.3 CL Ramp"/>
      <sheetName val="3.1 CB Outside"/>
      <sheetName val="3.2 CB Inside"/>
      <sheetName val="4.Stair"/>
      <sheetName val="5.Ramp"/>
      <sheetName val="6.Handrail"/>
      <sheetName val="Invoice (Interim No.28)"/>
      <sheetName val="Cost Summary"/>
      <sheetName val="Direct Cost"/>
      <sheetName val="Direct Cost (2)"/>
      <sheetName val="Summary (3)"/>
      <sheetName val="Indirect Cost Summary"/>
      <sheetName val="Budget"/>
      <sheetName val="Ramp data"/>
      <sheetName val="Cashflow"/>
      <sheetName val="Lower Ground"/>
      <sheetName val="Income"/>
      <sheetName val="Assumptions"/>
      <sheetName val="Letting"/>
      <sheetName val="S-C+Market"/>
      <sheetName val="UBR"/>
      <sheetName val="Inputs"/>
      <sheetName val="AFFAN"/>
      <sheetName val="BOULEVARD"/>
      <sheetName val="PPlay_Data"/>
      <sheetName val="Cap Cost"/>
      <sheetName val="Control"/>
      <sheetName val="Data_Sheet"/>
      <sheetName val="RLV Calc"/>
      <sheetName val="Costs (dev)"/>
      <sheetName val="DE"/>
      <sheetName val="Bluewater NPV - sell January"/>
      <sheetName val="DW"/>
      <sheetName val="Calcs"/>
      <sheetName val="Upper Ground"/>
      <sheetName val="LANDSCAPE"/>
      <sheetName val="MALL"/>
      <sheetName val="PARK NE"/>
      <sheetName val="Financial Summary"/>
      <sheetName val="D&amp;C Calcs"/>
      <sheetName val="CA Upside_Downside Old"/>
      <sheetName val="EASEL CA Example"/>
      <sheetName val="BazaEL"/>
      <sheetName val="MEMBER"/>
      <sheetName val="A. ENGINEERING"/>
      <sheetName val="B-1. 배관자재"/>
      <sheetName val="B-2. 전기자재"/>
      <sheetName val="B-3. 계장자재"/>
      <sheetName val="B-4. 기계자재"/>
      <sheetName val="C-1. 공통가설"/>
      <sheetName val="C-2. 토목"/>
      <sheetName val="C-4. 철골"/>
      <sheetName val="C-5. 기계"/>
      <sheetName val="C-6. 배관"/>
      <sheetName val="C-7. 전기"/>
      <sheetName val="C-8. 계장"/>
      <sheetName val="C-9. 중장비"/>
      <sheetName val="C-10. 소방설비"/>
      <sheetName val="C-11. 보온"/>
      <sheetName val="C-12. CMS"/>
      <sheetName val="금융비용"/>
      <sheetName val="을지"/>
      <sheetName val="P Staff fac"/>
      <sheetName val="concrete"/>
      <sheetName val="beam-reinft-IIInd floor"/>
      <sheetName val="P-Site fac"/>
      <sheetName val="P-Clients fac"/>
      <sheetName val="내역서_(N___ 1"/>
      <sheetName val="Sheet307"/>
      <sheetName val="Sheet358"/>
      <sheetName val="Sheet359"/>
      <sheetName val="Sheet360"/>
      <sheetName val="Sheet361"/>
      <sheetName val="Sheet362"/>
      <sheetName val="Sheet363"/>
      <sheetName val="Sheet364"/>
      <sheetName val="Sheet365"/>
      <sheetName val="Sheet366"/>
      <sheetName val="Sheet367"/>
      <sheetName val="Sheet368"/>
      <sheetName val="Sheet369"/>
      <sheetName val="Sheet370"/>
      <sheetName val="Sheet371"/>
      <sheetName val="Sheet372"/>
      <sheetName val="Sheet373"/>
      <sheetName val="0.품의서(전체)"/>
      <sheetName val="LAST UPDATE"/>
      <sheetName val="External Issues"/>
      <sheetName val="RefG"/>
      <sheetName val="IRR sponsor"/>
      <sheetName val="4-Lane bridge"/>
      <sheetName val="Insulation_Utl_Off"/>
      <sheetName val="Note_Piping"/>
      <sheetName val="List Equip"/>
      <sheetName val="MatCost"/>
      <sheetName val="Process C (1-166)"/>
      <sheetName val="TRUCK HAUL CYCLE-waste"/>
      <sheetName val="Existing PC Pavement"/>
      <sheetName val="Subgrade"/>
      <sheetName val="GAE8'97"/>
      <sheetName val="LLEGADA"/>
      <sheetName val="DESBASTE"/>
      <sheetName val="Cash-Flow"/>
      <sheetName val="Master Data"/>
      <sheetName val="ind'l cp"/>
      <sheetName val="coutprod"/>
      <sheetName val="author_spending"/>
      <sheetName val="3.부제O호표"/>
      <sheetName val="5.소모재료비"/>
      <sheetName val="8.시멘트제원표"/>
      <sheetName val="2.품제O호표"/>
      <sheetName val="변수데이타"/>
      <sheetName val="입고대장"/>
      <sheetName val="SK-정비동"/>
      <sheetName val="본부 SHOP"/>
      <sheetName val="사업부"/>
      <sheetName val="로디아"/>
      <sheetName val="#6 MDU 일반"/>
      <sheetName val="#6 MDU엄반장"/>
      <sheetName val="FCC일상"/>
      <sheetName val="오만기계배관"/>
      <sheetName val="#6MDU 기계"/>
      <sheetName val="SK동력"/>
      <sheetName val="SOHAR철골"/>
      <sheetName val="HOU COMP`"/>
      <sheetName val="태국ATC"/>
      <sheetName val="FCC OBL-SHOP"/>
      <sheetName val="NEW FCC OBL"/>
      <sheetName val="#4 MDU"/>
      <sheetName val="#6 SHOP"/>
      <sheetName val="NRC OBL-조연식"/>
      <sheetName val="PE합성"/>
      <sheetName val="GDS"/>
      <sheetName val="광양복합"/>
      <sheetName val="광양-신철균"/>
      <sheetName val="광양-조연식 반장"/>
      <sheetName val="25BL"/>
      <sheetName val="#5MDU REV"/>
      <sheetName val="육상시설"/>
      <sheetName val="EPDM재가동"/>
      <sheetName val="쿠웨이트"/>
      <sheetName val="노임정리"/>
      <sheetName val="인원"/>
      <sheetName val="인원(8월)"/>
      <sheetName val="직영"/>
      <sheetName val="일반"/>
      <sheetName val="비계"/>
      <sheetName val="비계(조은)"/>
      <sheetName val="비계(영동)"/>
      <sheetName val="배관"/>
      <sheetName val="제관"/>
      <sheetName val="배관LBO"/>
      <sheetName val="TD"/>
      <sheetName val="열교"/>
      <sheetName val="열비"/>
      <sheetName val="BLC"/>
      <sheetName val="토목"/>
      <sheetName val="LBO PROJECT"/>
      <sheetName val="PEL"/>
      <sheetName val="유형분류"/>
      <sheetName val="VENDOR LIST"/>
      <sheetName val="공통비"/>
      <sheetName val="BOP LINE LIST"/>
      <sheetName val="매출관리"/>
      <sheetName val="절단표"/>
      <sheetName val="Welder"/>
      <sheetName val="기준표"/>
      <sheetName val="EQUI-CONS"/>
      <sheetName val="5.Cennik"/>
      <sheetName val="5_Cennik"/>
      <sheetName val="Powierzchnie"/>
      <sheetName val="SD_Trains_2019"/>
      <sheetName val="내역서_(N__x001"/>
      <sheetName val="KUWATI(Total)_12"/>
      <sheetName val="집계표_(TOTAL)12"/>
      <sheetName val="집계표_(CIVIL-23)12"/>
      <sheetName val="집계표_(FGRU)12"/>
      <sheetName val="집계표_(25,26)12"/>
      <sheetName val="집계표_(MEROX)12"/>
      <sheetName val="집계표_(NITROGEN)12"/>
      <sheetName val="집계표_(M4)12"/>
      <sheetName val="집계표_(CIVIL4)12"/>
      <sheetName val="집계표_(CIVIL6)12"/>
      <sheetName val="집계표_(CIVIL7)12"/>
      <sheetName val="내역서(DEMO_TOTAL)12"/>
      <sheetName val="내역서_(CIVIL-23)12"/>
      <sheetName val="내역서_(fgru)12"/>
      <sheetName val="내역서_(25&amp;26)12"/>
      <sheetName val="내역서_(MEROX)12"/>
      <sheetName val="내역서_(NITROGEN)12"/>
      <sheetName val="내역서_(M4)12"/>
      <sheetName val="내역서_(CIVIL-4)12"/>
      <sheetName val="내역서_(CIVIL-6)12"/>
      <sheetName val="내역서_(CIVIL-7)12"/>
      <sheetName val="OPTION_212"/>
      <sheetName val="OPTION_312"/>
      <sheetName val="2002년_현장공사비_국내_실적12"/>
      <sheetName val="2003년국내현장공사비_실적12"/>
      <sheetName val="VC2_10_9912"/>
      <sheetName val="INPUT_DATA11"/>
      <sheetName val="집계표_(25,26ဩ11"/>
      <sheetName val="Form_D-110"/>
      <sheetName val="Form_B-110"/>
      <sheetName val="Form_F-110"/>
      <sheetName val="Form_A10"/>
      <sheetName val="Form_011"/>
      <sheetName val="General_Data11"/>
      <sheetName val="LABOR_&amp;_자재10"/>
      <sheetName val="입출재고현황_(2)10"/>
      <sheetName val="Price_Schedule10"/>
      <sheetName val="간접비_총괄10"/>
      <sheetName val="3_공통공사대비10"/>
      <sheetName val="Rate_Analysis10"/>
      <sheetName val="내역서_耰&quot;??10"/>
      <sheetName val="EQUIPMENT_-210"/>
      <sheetName val="CAL_10"/>
      <sheetName val="공사비_내역_(가)9"/>
      <sheetName val="WEIGHT_LIST9"/>
      <sheetName val="산#2-1_(2)9"/>
      <sheetName val="BEND_LOSS9"/>
      <sheetName val="단면_(2)9"/>
      <sheetName val="6PILE__(돌출)9"/>
      <sheetName val="Static_Equip9"/>
      <sheetName val="Form_A_9"/>
      <sheetName val="내역서_耰&quot;_x005f_x0000__x005f_x0000_9"/>
      <sheetName val="3_Breakdown_Direct_Paint9"/>
      <sheetName val="내역서_耰&quot;__10"/>
      <sheetName val="Summary_Sheets9"/>
      <sheetName val="Civil_19"/>
      <sheetName val="Civil_29"/>
      <sheetName val="Civil_39"/>
      <sheetName val="Site_19"/>
      <sheetName val="Site_29"/>
      <sheetName val="Site_39"/>
      <sheetName val="Site_Faci9"/>
      <sheetName val="Administrative_Prices8"/>
      <sheetName val="WBS_448"/>
      <sheetName val="WBS_418"/>
      <sheetName val="Precios_por_Administración8"/>
      <sheetName val="Precios_Unitarios8"/>
      <sheetName val="Subcon_A8"/>
      <sheetName val="Áý°èÇ¥_(TOTAL)8"/>
      <sheetName val="Áý°èÇ¥_(CIVIL-23)8"/>
      <sheetName val="Áý°èÇ¥_(FGRU)8"/>
      <sheetName val="Áý°èÇ¥_(25,26)8"/>
      <sheetName val="Áý°èÇ¥_(MEROX)8"/>
      <sheetName val="Áý°èÇ¥_(NITROGEN)8"/>
      <sheetName val="Áý°èÇ¥_(M4)8"/>
      <sheetName val="Áý°èÇ¥_(CIVIL4)8"/>
      <sheetName val="Áý°èÇ¥_(CIVIL6)8"/>
      <sheetName val="Áý°èÇ¥_(CIVIL7)8"/>
      <sheetName val="³»¿ª¼­(DEMO_TOTAL)8"/>
      <sheetName val="³»¿ª¼­_(CIVIL-23)8"/>
      <sheetName val="³»¿ª¼­_(fgru)8"/>
      <sheetName val="³»¿ª¼­_(25&amp;26)8"/>
      <sheetName val="³»¿ª¼­_(MEROX)8"/>
      <sheetName val="³»¿ª¼­_(NITROGEN)8"/>
      <sheetName val="³»¿ª¼­_(M4)8"/>
      <sheetName val="³»¿ª¼­_(CIVIL-4)8"/>
      <sheetName val="³»¿ª¼­_(CIVIL-6)8"/>
      <sheetName val="³»¿ª¼­_(CIVIL-7)8"/>
      <sheetName val="2002³â_ÇöÀå°ø»çºñ_±¹³»_½ÇÀû8"/>
      <sheetName val="2003³â±¹³»ÇöÀå°ø»çºñ_½ÇÀû8"/>
      <sheetName val="Man_Hole8"/>
      <sheetName val="2_2_STAFF_Scedule8"/>
      <sheetName val="내역서_耰&quot;_x005f_x005f_x005f_x0000__x005f_x005f_x0008"/>
      <sheetName val="내역서_耰&quot;_x005f_x005f_x005f_x005f_x005f_x005f_x00008"/>
      <sheetName val="Z-_GENERAL_PRICE_SUMMARY8"/>
      <sheetName val="_Estimate__8"/>
      <sheetName val="내역서_耰&quot;_x005f_x005f_x005f_x005f_x005f_x005f_x005f8"/>
      <sheetName val="7__월별투입내역서8"/>
      <sheetName val="계측_내역서8"/>
      <sheetName val="Vind_-_BtB8"/>
      <sheetName val="LV_induction_motors8"/>
      <sheetName val="BSD_(2)8"/>
      <sheetName val="BM_DATA_SHEET9"/>
      <sheetName val="Sheet1_(2)9"/>
      <sheetName val="T_38"/>
      <sheetName val="HORI__VESSEL8"/>
      <sheetName val="EQUIP_LIST8"/>
      <sheetName val="MP_MOB8"/>
      <sheetName val="Form_B8"/>
      <sheetName val="97_사업추정(WEKI)8"/>
      <sheetName val="breakdown_of_wage_rate8"/>
      <sheetName val="Monthly_Load8"/>
      <sheetName val="Material_Selections8"/>
      <sheetName val="Weekly_Load8"/>
      <sheetName val="[SANDAN_XLS??8"/>
      <sheetName val="Piping_BQ_for_one_turbine8"/>
      <sheetName val="Eq__Mobilization8"/>
      <sheetName val="Indirect_Cost8"/>
      <sheetName val="Heavy_Equipments8"/>
      <sheetName val="AG_Pipe_Qty_Analysis8"/>
      <sheetName val="Utility_and_Fire_flange8"/>
      <sheetName val="_SANDAN_XLS__8"/>
      <sheetName val="입찰내역_발주처_양식8"/>
      <sheetName val="Resource_table8"/>
      <sheetName val="SFN_ORIG8"/>
      <sheetName val="Equipment_List8"/>
      <sheetName val="Form1_SQP8"/>
      <sheetName val="공정계획(내부계획25%,내부w_f)8"/>
      <sheetName val="w't_table8"/>
      <sheetName val="SCHEDD_TAMBAHAN8"/>
      <sheetName val="Fire_Protection8"/>
      <sheetName val="Dir_Manpower_Other_Exp_8"/>
      <sheetName val="FWBS_15307"/>
      <sheetName val="내역서_(∮ἀ嘆ɶ7"/>
      <sheetName val="4-3LEVEL-5_epic_47"/>
      <sheetName val="단가_(2)7"/>
      <sheetName val="실행예산_MM7"/>
      <sheetName val="ITB_COST8"/>
      <sheetName val="MODULE_CONFIRM7"/>
      <sheetName val="BOQ-B_DOWN7"/>
      <sheetName val="PROTECTION_7"/>
      <sheetName val="plan&amp;section_of_foundation4"/>
      <sheetName val="Unit_Price_3"/>
      <sheetName val="Cash_In-Cash_Out_Actual7"/>
      <sheetName val="내역서1999_8최종3"/>
      <sheetName val="CUADRO_DE_PRECIOS7"/>
      <sheetName val="working_load_at_the_btm_ft_4"/>
      <sheetName val="stability_check4"/>
      <sheetName val="design_load4"/>
      <sheetName val="1100-1200-1300-1910-2140-LEV_23"/>
      <sheetName val="Updating_Form-Oct_20113"/>
      <sheetName val="Weld_Consumable3"/>
      <sheetName val="NDE_Cost-Summary3"/>
      <sheetName val="9July_Above_Ground_Pipe3"/>
      <sheetName val="M_113"/>
      <sheetName val="Process_Data_13"/>
      <sheetName val="TDC_COA_Sumry3"/>
      <sheetName val="TDC_Item_Dets3"/>
      <sheetName val="TDC_Item_Sumry3"/>
      <sheetName val="TDC_Key_Qty_Sumry3"/>
      <sheetName val="List_-_Components3"/>
      <sheetName val="List_-_Equipment3"/>
      <sheetName val="COA_Sumry_-_Std_Imp3"/>
      <sheetName val="Contr_TDC_-_Std_Imp3"/>
      <sheetName val="Item_Sumry_-_Std_Imp3"/>
      <sheetName val="Unit_Costs_-_Std_Imp3"/>
      <sheetName val="Unit_MH_-_Std_Imp3"/>
      <sheetName val="Proj_TIC_-_Std_Imp3"/>
      <sheetName val="Closeout_Control3"/>
      <sheetName val="Site_Findings_Status_Sheet3"/>
      <sheetName val="내역서_耰&quot;_x005f_x005f_x005f_x0000_3"/>
      <sheetName val="내역서_耰&quot;_x005f_x005f_x005f_x005f_3"/>
      <sheetName val="Currency_Rate3"/>
      <sheetName val="4-Basic_Price3"/>
      <sheetName val="Evaluasi_Penw3"/>
      <sheetName val="Man_Power_&amp;_Comp3"/>
      <sheetName val="Data_List3"/>
      <sheetName val="Material_Price3"/>
      <sheetName val="Codes_Pers3"/>
      <sheetName val="Sum_(Case-3)3"/>
      <sheetName val="PROJECT_BRIEF3"/>
      <sheetName val="Tools_&amp;_Settings3"/>
      <sheetName val="Data_Summary3"/>
      <sheetName val="Crew_Costs3"/>
      <sheetName val="Spread_Costs3"/>
      <sheetName val="Unique_List_Misc3"/>
      <sheetName val="In-House_Summary3"/>
      <sheetName val="Direct_PMS3"/>
      <sheetName val="5_)_Time_Delays3"/>
      <sheetName val="Aux_3"/>
      <sheetName val="Process_Data_(2)3"/>
      <sheetName val="Material_code2"/>
      <sheetName val="__3"/>
      <sheetName val="_3"/>
      <sheetName val="breakdown_of_wage_ra`f2"/>
      <sheetName val="breakdown_of_wage_ra2"/>
      <sheetName val="breakdown_of_wage_rað-2"/>
      <sheetName val="00-Summary_Information-ABB2"/>
      <sheetName val="내역서_耰&quot;_x005f_x0000_3"/>
      <sheetName val="내역서_耰&quot;_x005f_x005f_3"/>
      <sheetName val="2_Overall_Summary_2"/>
      <sheetName val="0__Resource　Code2"/>
      <sheetName val="breakdown_of_wage_rap2"/>
      <sheetName val="breakdown_of_wage_ra2"/>
      <sheetName val="Finansal_tamamlanma_Eğrisi1"/>
      <sheetName val="내역서_耰&quot;8"/>
      <sheetName val="내역서_耰&quot;_2"/>
      <sheetName val="PABS,Site_info2"/>
      <sheetName val="Distribution_Table2"/>
      <sheetName val="Raw_data2"/>
      <sheetName val="Action_Item2"/>
      <sheetName val="Cashflow_Analysis1"/>
      <sheetName val="Attach_4-181"/>
      <sheetName val="SUM_1"/>
      <sheetName val="내역서_(∮ἀ嘆ɶ?᠀㬁?1"/>
      <sheetName val="광통신_견적내역서11"/>
      <sheetName val="리스크_분류체계1"/>
      <sheetName val="OIL_SEPARATOR1"/>
      <sheetName val="CATCH_BASIN1"/>
      <sheetName val="FW_Post_Indicator_Valve_24&quot;1"/>
      <sheetName val="FW_Post_Indicator_Valve_20&quot;1"/>
      <sheetName val="FW_Post_Indicator_Valve_6&quot;1"/>
      <sheetName val="Fire_Monitor_or_Hydrant_6&quot;_FDN1"/>
      <sheetName val="SUMP_VB1"/>
      <sheetName val="CLEANOUT_4&quot;1"/>
      <sheetName val="Not_reqd1"/>
      <sheetName val="호환성_보고서1"/>
      <sheetName val="11_자재단가1"/>
      <sheetName val="LIFE_&amp;_REP_PROVN1"/>
      <sheetName val="O&amp;M_CREW1"/>
      <sheetName val="Kodlamalar"/>
      <sheetName val="Kod_Location"/>
      <sheetName val="내역서_耰&quot;_x0000__x0006"/>
      <sheetName val="내역서_耰&quot;_x00006"/>
      <sheetName val="내역서_耰&quot;_x005f6"/>
      <sheetName val="내역서_耰&quot;_x005f_x0000__x0007"/>
      <sheetName val="내역서_耰&quot;_x005f_x005f_x00007"/>
      <sheetName val="내역서_耰&quot;_x005f_x005f_x005f7"/>
      <sheetName val="당초_∸ἀ"/>
      <sheetName val="내역서 (∮ἀ嘆ɶ_᠀㬁_"/>
      <sheetName val="내역서_(∮ἀ嘆ɶ_᠀㬁_"/>
      <sheetName val="당초�ἀ"/>
      <sheetName val="304-06"/>
      <sheetName val="Units"/>
      <sheetName val="Chap 2- Page 4 "/>
      <sheetName val="1234"/>
      <sheetName val="Vehicle Log"/>
      <sheetName val="M&amp;E Summary"/>
      <sheetName val="rev summary"/>
      <sheetName val="M&amp;E Prelims"/>
      <sheetName val="A-ELECT&amp;ELV"/>
      <sheetName val="B-FP (2)"/>
      <sheetName val="C-ACMV"/>
      <sheetName val="D-P&amp;S"/>
      <sheetName val="equiplist"/>
      <sheetName val="Sch.1"/>
      <sheetName val="สรุปยอดเหล็กตาม Cost Record VY "/>
      <sheetName val="แนบ PR"/>
      <sheetName val="OR21 Final Forecast Rev.2"/>
      <sheetName val="Summary Forecast Budget 1&amp;2"/>
      <sheetName val="Summary Forecast Budget Rev 2"/>
      <sheetName val="Backup OR21 "/>
      <sheetName val="Budget for ENT"/>
      <sheetName val="ADJ. D-Wall&amp;BR Ent. Rev.2.1"/>
      <sheetName val="Rebar+Conพื้น Waste10%"/>
      <sheetName val="Backup D-Wall Ent. 13.07.19"/>
      <sheetName val="Backup BR.ENT. 13.07.19"/>
      <sheetName val="Final Forecast 72111"/>
      <sheetName val="IMP OR21 2019.07.11"/>
      <sheetName val="Concrete 72112"/>
      <sheetName val="หินเกล็ด "/>
      <sheetName val="เปรียบเทียบBudget BR."/>
      <sheetName val="ADJ. BR Ent. Rev.2.1 (2)"/>
      <sheetName val="แผนงานBarrette Pile"/>
      <sheetName val="BOQ  VI 03.09.19 "/>
      <sheetName val="Backup BR.BMA"/>
      <sheetName val="Sum Budget&amp;Rev.1"/>
      <sheetName val="Sum Budget Rev.1"/>
      <sheetName val="Sum Budget&amp;Rev.1_Rebar"/>
      <sheetName val="Sum Budget Rev 2_Rebar"/>
      <sheetName val="Rebar+Conพื้น Waste10% Rev.00"/>
      <sheetName val="Rebar+Conพื้น Waste10% Rev.01 "/>
      <sheetName val="Equip Rev.00 Budget"/>
      <sheetName val="Budget Waterpoofing"/>
      <sheetName val="Manpower Categories"/>
      <sheetName val="name"/>
      <sheetName val="tblg denda"/>
      <sheetName val="F1.4"/>
      <sheetName val="PROGRAM"/>
      <sheetName val="Eng_Hrs (HO)"/>
      <sheetName val="Statprod gab"/>
      <sheetName val="L 1"/>
      <sheetName val="XZLC003_PART1"/>
      <sheetName val="원가조정 내역"/>
      <sheetName val="내역서_耰&quot;_x005f_x0000__x00004"/>
      <sheetName val="할증_3"/>
      <sheetName val="99__FWBS(Ref)3"/>
      <sheetName val="99__Change_Rate3"/>
      <sheetName val="Equip_Rental_Summary_by_Contr3"/>
      <sheetName val="Project_Equip_Rental_Summary3"/>
      <sheetName val="Contractor_Indirect_Sumry3"/>
      <sheetName val="Project_Indirect_Sumry3"/>
      <sheetName val="COA_Sumry_by_Area3"/>
      <sheetName val="COA_Sumry_by_Contr3"/>
      <sheetName val="COA_Sumry_by_RG3"/>
      <sheetName val="TDC_COA_Grp_Sumry3"/>
      <sheetName val="TDC_COA_Grp_Sumry_by_Area3"/>
      <sheetName val="TDC_COA_Grp_Sumry_by_RG3"/>
      <sheetName val="Equipment_Sumry3"/>
      <sheetName val="TDC_Item_Dets-Full3"/>
      <sheetName val="TDC_Item_Dets-IPM-Full3"/>
      <sheetName val="TDC_Item_Sumry_by_Area3"/>
      <sheetName val="TDC_Item_Sumry_by_RG3"/>
      <sheetName val="TDC_Key_Qty_Sumry_by_RG3"/>
      <sheetName val="List_-_Equipment_by_Area3"/>
      <sheetName val="List_-_Equipment_by_Contr3"/>
      <sheetName val="Equipment_-_Unit_Costs_by_Mat3"/>
      <sheetName val="List_-_Equipment_by_Rep_Grp3"/>
      <sheetName val="Craft_Summary_by_Contr3"/>
      <sheetName val="Project_Craft_Summary3"/>
      <sheetName val="Project_Metrics3"/>
      <sheetName val="Pengesahan_3"/>
      <sheetName val="RAB_AR&amp;STR3"/>
      <sheetName val="Unt_rate3"/>
      <sheetName val="SUMMARY_(0A)3"/>
      <sheetName val="SUMMARY_(1A)3"/>
      <sheetName val="SUMMARY_(1B)3"/>
      <sheetName val="SUMMARY_(03)3"/>
      <sheetName val="F1(Cable_Rack)3"/>
      <sheetName val="F2(Cable_Rack)3"/>
      <sheetName val="F3(Cable_Rack)3"/>
      <sheetName val="F1_(POLYMER)3"/>
      <sheetName val="F2_(POLYMER)3"/>
      <sheetName val="F3_(POLYMER)3"/>
      <sheetName val="F4_(POLYMER)3"/>
      <sheetName val="F5(_Polymerization_)3"/>
      <sheetName val="F6_(_Polymerization_)3"/>
      <sheetName val="B1_(Grid_A-7,_-6)3"/>
      <sheetName val="B1_(Grid_A,_B)3"/>
      <sheetName val="B1_(Grid_C-7,_-6)3"/>
      <sheetName val="B2_(Grid_-7_B,_C)_(1)3"/>
      <sheetName val="B2_(Grid_-7_B,_C)_(2)3"/>
      <sheetName val="B2_(Grid_-6_B,_C)_(1)3"/>
      <sheetName val="B2_(Grid_-6_B,_C)_(2)3"/>
      <sheetName val="F1_(MONOMER)3"/>
      <sheetName val="F2_(MONOMER)3"/>
      <sheetName val="F3_(MONOMER)3"/>
      <sheetName val="90K060C_(MONOMER)3"/>
      <sheetName val="F1_(EXTRUSION)3"/>
      <sheetName val="F2_(EXTRUSION)3"/>
      <sheetName val="F3_(EXTRUSION)3"/>
      <sheetName val="F4_(EXTRUSION)3"/>
      <sheetName val="F5_(EXTRUSION)3"/>
      <sheetName val="F6A_(EXTRUSION)3"/>
      <sheetName val="F6D_(EXTRUSION)3"/>
      <sheetName val="F7_(EXTRUSION)3"/>
      <sheetName val="F8_(EXTRUSION)3"/>
      <sheetName val="F9_(EXTRUSION)3"/>
      <sheetName val="F10_(EXTRUSION)3"/>
      <sheetName val="F11_(EXTRUSION)3"/>
      <sheetName val="B1_(Grid_F-5`,_4`)3"/>
      <sheetName val="B2_(Grid_F,E-4`)3"/>
      <sheetName val="B2_(Grid_F,E-5`)3"/>
      <sheetName val="B3_(Grid_C,B-4`)3"/>
      <sheetName val="B4_(Grid_B,A-4`)3"/>
      <sheetName val="B5_(Grid_E-5`)_&amp;_(Grid_D-5`)3"/>
      <sheetName val="B6_(Grid_E,D-5')3"/>
      <sheetName val="B7_(Grid_E,D-5')3"/>
      <sheetName val="95D040,_A5063"/>
      <sheetName val="95P040AB,_A5073"/>
      <sheetName val="95X020-U08,_A6023"/>
      <sheetName val="95X020-U07,_A6063"/>
      <sheetName val="95E040,_A5093"/>
      <sheetName val="95D024;025,_A6153"/>
      <sheetName val="95X020-U05,_A6013"/>
      <sheetName val="95X020-U02,_A2043"/>
      <sheetName val="Extruder_FDN3"/>
      <sheetName val="BOG_COMP__FDN3"/>
      <sheetName val="SOG_COMP__FDN3"/>
      <sheetName val="1G1_(Ground_Beam)3"/>
      <sheetName val="1G2-1(Ground_Beam)3"/>
      <sheetName val="1G2-2(Ground_Beam)3"/>
      <sheetName val="P15,_163"/>
      <sheetName val="LO_CONSOLE_FDN3"/>
      <sheetName val="OIL_COOLER_FDN3"/>
      <sheetName val="CW_CONSOLE_FDN_(SOG)3"/>
      <sheetName val="PD3_(SOG)3"/>
      <sheetName val="SF1_(SOG)3"/>
      <sheetName val="SF2_(SOG)3"/>
      <sheetName val="SLAB_(1S1-1)3"/>
      <sheetName val="SLAB_(1S1-2)3"/>
      <sheetName val="SLAB_(1S1-3)3"/>
      <sheetName val="COLUMN_(+5500)3"/>
      <sheetName val="COLUMN_(+12500)3"/>
      <sheetName val="COLUMN_(+15500)3"/>
      <sheetName val="ETC_3"/>
      <sheetName val="UP_MINOR3"/>
      <sheetName val="Discounted_Cash_Flow3"/>
      <sheetName val="Ocean_Transporation_Charge3"/>
      <sheetName val="Item_code3"/>
      <sheetName val="Cash_Flow_bulanan3"/>
      <sheetName val="H_Satuan3"/>
      <sheetName val="BO䁑-B_䁄OWN3"/>
      <sheetName val="OCT_FDN3"/>
      <sheetName val="2__현장_자금투입_집계표3"/>
      <sheetName val="_도면_및_도서_제출목록_및_일정_170202_xlsx3"/>
      <sheetName val="General_Notes3"/>
      <sheetName val="Exchange_Rate3"/>
      <sheetName val="Bill_rekap3"/>
      <sheetName val="Harga_Satuan3"/>
      <sheetName val="F_ALARM3"/>
      <sheetName val="Rates_&amp;_Legend3"/>
      <sheetName val="차트_(2)3"/>
      <sheetName val="DATA_MENTAH2"/>
      <sheetName val="DROP_DOWN2"/>
      <sheetName val="개시대사_(2)2"/>
      <sheetName val="ID_CD2"/>
      <sheetName val="Equipment_Spec_List2"/>
      <sheetName val="SPEC_LIST(EQUP,_SYS)2"/>
      <sheetName val="내역서_(N____x000a_3"/>
      <sheetName val="HO_Site_Rates-20112"/>
      <sheetName val="Air_Cooler-E2"/>
      <sheetName val="TQ_Format2"/>
      <sheetName val="breakdown_of_wage_raÐ¾2"/>
      <sheetName val="Additional_data2"/>
      <sheetName val="INPUT_DATA_OF_SCHEDULE1"/>
      <sheetName val="Linelist_LNGC_Process2"/>
      <sheetName val="Particular_Sch2"/>
      <sheetName val="Al_Taweelah2"/>
      <sheetName val="Activity_Form1"/>
      <sheetName val="1_자금요약"/>
      <sheetName val="2_실행비투입"/>
      <sheetName val="3_본사집계"/>
      <sheetName val="3-1_본사투입"/>
      <sheetName val="4_지사집계"/>
      <sheetName val="4-1_지사투입"/>
      <sheetName val="5_현장총집계"/>
      <sheetName val="5-1_현금집계"/>
      <sheetName val="5-2_현금출납"/>
      <sheetName val="5-3_외상집계"/>
      <sheetName val="5-4_외상투입"/>
      <sheetName val="6_미지급금"/>
      <sheetName val="5-5_기타공제집계"/>
      <sheetName val="5-6_기타공제"/>
      <sheetName val="7_기성현황(실)"/>
      <sheetName val="8_한국인수당"/>
      <sheetName val="8_한국인수당_(Master_file)"/>
      <sheetName val="9_기타수입"/>
      <sheetName val="10_투입집계"/>
      <sheetName val="5-4_외상투입_(2)"/>
      <sheetName val="16_기성현황(예)"/>
      <sheetName val="17_자금요약2"/>
      <sheetName val="18_실행대비투입2"/>
      <sheetName val="Master_List1"/>
      <sheetName val="33628-Rev__A1"/>
      <sheetName val="Admin_Manu_2-Equipment_Type_ID1"/>
      <sheetName val="Schedule_1"/>
      <sheetName val="Loading_Struc1"/>
      <sheetName val="Loading_Pip1"/>
      <sheetName val="Loading_Overall_(BASE_Proposal1"/>
      <sheetName val="Steel_Structure1"/>
      <sheetName val="PIPING_AG-UG_NEW_UNITS1"/>
      <sheetName val="MEC_PIPING_PREFABR1"/>
      <sheetName val="Working_File-Pip1"/>
      <sheetName val="Equip_ISBL_&amp;_OSBL_1"/>
      <sheetName val="14-Eng_rate1"/>
      <sheetName val="Itembalance_Report_(18-sep-18)1"/>
      <sheetName val="BUDGET_SUMMARY_1"/>
      <sheetName val="REF_for_VV"/>
      <sheetName val="설산1_나"/>
      <sheetName val="Fig_4-14"/>
      <sheetName val="EQUIPOS_DE_SEGURIDAD"/>
      <sheetName val="MATERIALES_CONSUMIBLES"/>
      <sheetName val="PERSONAL_INDIRECTO_"/>
      <sheetName val="Tables_3_1_to_3_5_EXH_G"/>
      <sheetName val="05__Curva_S1"/>
      <sheetName val="SECL_리스크_분류체계_(2)"/>
      <sheetName val="SPT_vs_PHI"/>
      <sheetName val="List_register"/>
      <sheetName val="Direct_Histogram_Rev__A_(f)"/>
      <sheetName val="P-Ins_&amp;_Bonds"/>
      <sheetName val="INSTLIST_1"/>
      <sheetName val="__x0"/>
      <sheetName val="Weekl_1"/>
      <sheetName val="내역서_(N____2"/>
      <sheetName val="내역서_(N____3"/>
      <sheetName val="OPT_1"/>
      <sheetName val="Payment_Certificate-1"/>
      <sheetName val="Floor_wet"/>
      <sheetName val="Floor_Balcony"/>
      <sheetName val="Hard_scape_Floor"/>
      <sheetName val="P03_Skirting"/>
      <sheetName val="GF_wall"/>
      <sheetName val="Kitchen_Wall_wet_LIN-701"/>
      <sheetName val="Wall_wet_LIN-601_"/>
      <sheetName val="BOQ_(2)"/>
      <sheetName val="VO_Schedule-1"/>
      <sheetName val="HOLD_AMOUNT"/>
      <sheetName val="Back_Charge_(2)"/>
      <sheetName val="Temporary_Deductions-1_"/>
      <sheetName val="Contracharges_Check_list-1_"/>
      <sheetName val="PC_03"/>
      <sheetName val="Measurement_sheet"/>
      <sheetName val="Material_Only"/>
      <sheetName val="Man_power_supply"/>
      <sheetName val="Camp_Deduction"/>
      <sheetName val="Att-1_CTCI_MH_rate"/>
      <sheetName val="RESUMEN_CD"/>
      <sheetName val="BOQ_REV6"/>
      <sheetName val="Maliyet_Ozet"/>
      <sheetName val="1_1-1_2"/>
      <sheetName val="1_3-_1_4"/>
      <sheetName val="3_1"/>
      <sheetName val="3_2"/>
      <sheetName val="4_1(a)"/>
      <sheetName val="4_1(b)"/>
      <sheetName val="4_1_(c)"/>
      <sheetName val="5_1"/>
      <sheetName val="Other_data"/>
      <sheetName val="Consortium_VP"/>
      <sheetName val="Summary_MONTH"/>
      <sheetName val="DESICON_SUM"/>
      <sheetName val="DES_TCF_Rental"/>
      <sheetName val="DES_TCF_Maints_pers"/>
      <sheetName val="DES_TCF_Heavy_Equipment"/>
      <sheetName val="BANK_BOND"/>
      <sheetName val="PHC_WAREHOUSE_-_INFOONLY"/>
      <sheetName val="CATERING_CONTROL"/>
      <sheetName val="SUB_CONTRACT"/>
      <sheetName val="SPDC_-_INFONLY"/>
      <sheetName val="VENDOR_SCHEDUL"/>
      <sheetName val="VENDOR_PRESENCE_-_COMM"/>
      <sheetName val="VENDOR_PRESENCE_-_RECH"/>
      <sheetName val="VENDOR_PRESENCE_-_COMM_"/>
      <sheetName val="CONTRACT_RATES"/>
      <sheetName val="BM_#1"/>
      <sheetName val="Analisa_Fave"/>
      <sheetName val="Harsat_Bahan"/>
      <sheetName val="Harsat_Subkon"/>
      <sheetName val="Harsat_Upah"/>
      <sheetName val="Master_1_0"/>
      <sheetName val="Agregat_Halus_&amp;_Kasar"/>
      <sheetName val="HARGA_MATERIAL"/>
      <sheetName val="Harga_Sat_APP"/>
      <sheetName val="Tgh_JGC-Inv_I_clp"/>
      <sheetName val="PCS_"/>
      <sheetName val="Progress_Statement-SI"/>
      <sheetName val="Progress_Payment-3110"/>
      <sheetName val="Cost_Code"/>
      <sheetName val="Data_Ref"/>
      <sheetName val="Interdept_Rate"/>
      <sheetName val="Perm__Test"/>
      <sheetName val="Galian_1"/>
      <sheetName val="Analisa_Lump_sum"/>
      <sheetName val="Sec_I_ML"/>
      <sheetName val="Land_Dev't__Ph-1"/>
      <sheetName val="4300_UTILITY_BLDG_(2)"/>
      <sheetName val="64_4"/>
      <sheetName val="64_5"/>
      <sheetName val="36_2"/>
      <sheetName val="36_1"/>
      <sheetName val="dongia_(2)"/>
      <sheetName val="SPEC(CABLE_&amp;_WIRE)"/>
      <sheetName val="Enron_Form"/>
      <sheetName val="SUMMARY_MTO_02_2_35"/>
      <sheetName val="N_G_METERING_CALC_"/>
      <sheetName val="N_G_METERING"/>
      <sheetName val="N_G_METERING_(2)"/>
      <sheetName val="CUMENE_METERING"/>
      <sheetName val="N2_METERING_"/>
      <sheetName val="H2_METERING__"/>
      <sheetName val="CO_METERING"/>
      <sheetName val="6_공정표"/>
      <sheetName val="Bill_4_7_Predestain_Bridge_"/>
      <sheetName val="Bill_4_7_Predestain"/>
      <sheetName val="1_1_FT_type_1"/>
      <sheetName val="1_2_FT_type_1A"/>
      <sheetName val="1_3_FT_type_2"/>
      <sheetName val="1_4_FT_type_3"/>
      <sheetName val="1_5_FT_type_4"/>
      <sheetName val="2_1_CL_Outside"/>
      <sheetName val="2_2_CL_Inside"/>
      <sheetName val="2_3_CL_Ramp"/>
      <sheetName val="3_1_CB_Outside"/>
      <sheetName val="3_2_CB_Inside"/>
      <sheetName val="4_Stair"/>
      <sheetName val="5_Ramp"/>
      <sheetName val="6_Handrail"/>
      <sheetName val="Invoice_(Interim_No_28)"/>
      <sheetName val="Cost_Summary"/>
      <sheetName val="Direct_Cost"/>
      <sheetName val="Direct_Cost_(2)"/>
      <sheetName val="Summary_(3)"/>
      <sheetName val="Indirect_Cost_Summary"/>
      <sheetName val="1_11_b"/>
      <sheetName val="KUWATI(Total)_13"/>
      <sheetName val="집계표_(TOTAL)13"/>
      <sheetName val="집계표_(CIVIL-23)13"/>
      <sheetName val="집계표_(FGRU)13"/>
      <sheetName val="집계표_(25,26)13"/>
      <sheetName val="집계표_(MEROX)13"/>
      <sheetName val="집계표_(NITROGEN)13"/>
      <sheetName val="집계표_(M4)13"/>
      <sheetName val="집계표_(CIVIL4)13"/>
      <sheetName val="집계표_(CIVIL6)13"/>
      <sheetName val="집계표_(CIVIL7)13"/>
      <sheetName val="내역서(DEMO_TOTAL)13"/>
      <sheetName val="내역서_(CIVIL-23)13"/>
      <sheetName val="내역서_(fgru)13"/>
      <sheetName val="내역서_(25&amp;26)13"/>
      <sheetName val="내역서_(MEROX)13"/>
      <sheetName val="내역서_(NITROGEN)13"/>
      <sheetName val="내역서_(M4)13"/>
      <sheetName val="내역서_(CIVIL-4)13"/>
      <sheetName val="내역서_(CIVIL-6)13"/>
      <sheetName val="내역서_(CIVIL-7)13"/>
      <sheetName val="OPTION_213"/>
      <sheetName val="OPTION_313"/>
      <sheetName val="2002년_현장공사비_국내_실적13"/>
      <sheetName val="2003년국내현장공사비_실적13"/>
      <sheetName val="VC2_10_9913"/>
      <sheetName val="INPUT_DATA12"/>
      <sheetName val="집계표_(25,26ဩ12"/>
      <sheetName val="입출재고현황_(2)11"/>
      <sheetName val="Form_012"/>
      <sheetName val="Form_D-111"/>
      <sheetName val="Form_B-111"/>
      <sheetName val="Form_F-111"/>
      <sheetName val="Form_A11"/>
      <sheetName val="General_Data12"/>
      <sheetName val="LABOR_&amp;_자재11"/>
      <sheetName val="간접비_총괄11"/>
      <sheetName val="Price_Schedule11"/>
      <sheetName val="3_공통공사대비11"/>
      <sheetName val="Rate_Analysis11"/>
      <sheetName val="내역서_耰&quot;??11"/>
      <sheetName val="EQUIPMENT_-211"/>
      <sheetName val="CAL_11"/>
      <sheetName val="WEIGHT_LIST10"/>
      <sheetName val="산#2-1_(2)10"/>
      <sheetName val="BEND_LOSS10"/>
      <sheetName val="공사비_내역_(가)10"/>
      <sheetName val="Form_A_10"/>
      <sheetName val="단면_(2)10"/>
      <sheetName val="Static_Equip10"/>
      <sheetName val="3_Breakdown_Direct_Paint10"/>
      <sheetName val="6PILE__(돌출)10"/>
      <sheetName val="내역서_耰&quot;_x005f_x0000__x005f_x0000_10"/>
      <sheetName val="Civil_110"/>
      <sheetName val="Civil_210"/>
      <sheetName val="Civil_310"/>
      <sheetName val="Site_110"/>
      <sheetName val="Site_210"/>
      <sheetName val="Site_310"/>
      <sheetName val="Site_Faci10"/>
      <sheetName val="Áý°èÇ¥_(TOTAL)9"/>
      <sheetName val="Áý°èÇ¥_(CIVIL-23)9"/>
      <sheetName val="Áý°èÇ¥_(FGRU)9"/>
      <sheetName val="Áý°èÇ¥_(25,26)9"/>
      <sheetName val="Áý°èÇ¥_(MEROX)9"/>
      <sheetName val="Áý°èÇ¥_(NITROGEN)9"/>
      <sheetName val="Áý°èÇ¥_(M4)9"/>
      <sheetName val="Áý°èÇ¥_(CIVIL4)9"/>
      <sheetName val="Áý°èÇ¥_(CIVIL6)9"/>
      <sheetName val="Áý°èÇ¥_(CIVIL7)9"/>
      <sheetName val="³»¿ª¼­(DEMO_TOTAL)9"/>
      <sheetName val="³»¿ª¼­_(CIVIL-23)9"/>
      <sheetName val="³»¿ª¼­_(fgru)9"/>
      <sheetName val="³»¿ª¼­_(25&amp;26)9"/>
      <sheetName val="³»¿ª¼­_(MEROX)9"/>
      <sheetName val="³»¿ª¼­_(NITROGEN)9"/>
      <sheetName val="³»¿ª¼­_(M4)9"/>
      <sheetName val="³»¿ª¼­_(CIVIL-4)9"/>
      <sheetName val="³»¿ª¼­_(CIVIL-6)9"/>
      <sheetName val="³»¿ª¼­_(CIVIL-7)9"/>
      <sheetName val="2002³â_ÇöÀå°ø»çºñ_±¹³»_½ÇÀû9"/>
      <sheetName val="2003³â±¹³»ÇöÀå°ø»çºñ_½ÇÀû9"/>
      <sheetName val="Man_Hole9"/>
      <sheetName val="Administrative_Prices9"/>
      <sheetName val="WBS_449"/>
      <sheetName val="WBS_419"/>
      <sheetName val="Precios_por_Administración9"/>
      <sheetName val="Precios_Unitarios9"/>
      <sheetName val="Subcon_A9"/>
      <sheetName val="내역서_耰&quot;__11"/>
      <sheetName val="Summary_Sheets10"/>
      <sheetName val="2_2_STAFF_Scedule9"/>
      <sheetName val="내역서_耰&quot;_x005f_x005f_x005f_x0000__x005f_x005f_x0009"/>
      <sheetName val="내역서_耰&quot;_x005f_x005f_x005f_x005f_x005f_x005f_x00009"/>
      <sheetName val="Z-_GENERAL_PRICE_SUMMARY9"/>
      <sheetName val="_Estimate__9"/>
      <sheetName val="내역서_耰&quot;_x005f_x005f_x005f_x005f_x005f_x005f_x005f9"/>
      <sheetName val="7__월별투입내역서9"/>
      <sheetName val="계측_내역서9"/>
      <sheetName val="Vind_-_BtB9"/>
      <sheetName val="LV_induction_motors9"/>
      <sheetName val="BSD_(2)9"/>
      <sheetName val="BM_DATA_SHEET10"/>
      <sheetName val="Sheet1_(2)10"/>
      <sheetName val="T_39"/>
      <sheetName val="HORI__VESSEL9"/>
      <sheetName val="EQUIP_LIST9"/>
      <sheetName val="MP_MOB9"/>
      <sheetName val="Form_B9"/>
      <sheetName val="Monthly_Load9"/>
      <sheetName val="Weekly_Load9"/>
      <sheetName val="97_사업추정(WEKI)9"/>
      <sheetName val="breakdown_of_wage_rate9"/>
      <sheetName val="Indirect_Cost9"/>
      <sheetName val="Material_Selections9"/>
      <sheetName val="[SANDAN_XLS??9"/>
      <sheetName val="Piping_BQ_for_one_turbine9"/>
      <sheetName val="Eq__Mobilization9"/>
      <sheetName val="Utility_and_Fire_flange9"/>
      <sheetName val="Heavy_Equipments9"/>
      <sheetName val="AG_Pipe_Qty_Analysis9"/>
      <sheetName val="_SANDAN_XLS__9"/>
      <sheetName val="입찰내역_발주처_양식9"/>
      <sheetName val="Resource_table9"/>
      <sheetName val="Equipment_List9"/>
      <sheetName val="Form1_SQP9"/>
      <sheetName val="공정계획(내부계획25%,내부w_f)9"/>
      <sheetName val="SCHEDD_TAMBAHAN9"/>
      <sheetName val="w't_table9"/>
      <sheetName val="SFN_ORIG9"/>
      <sheetName val="Fire_Protection9"/>
      <sheetName val="FWBS_15308"/>
      <sheetName val="내역서_(∮ἀ嘆ɶ8"/>
      <sheetName val="Dir_Manpower_Other_Exp_9"/>
      <sheetName val="ITB_COST9"/>
      <sheetName val="4-3LEVEL-5_epic_48"/>
      <sheetName val="단가_(2)8"/>
      <sheetName val="BOQ-B_DOWN8"/>
      <sheetName val="실행예산_MM8"/>
      <sheetName val="MODULE_CONFIRM8"/>
      <sheetName val="PROTECTION_8"/>
      <sheetName val="Cash_In-Cash_Out_Actual8"/>
      <sheetName val="내역서1999_8최종4"/>
      <sheetName val="Unit_Price_4"/>
      <sheetName val="CUADRO_DE_PRECIOS8"/>
      <sheetName val="plan&amp;section_of_foundation5"/>
      <sheetName val="1100-1200-1300-1910-2140-LEV_24"/>
      <sheetName val="Material_Price4"/>
      <sheetName val="TDC_COA_Sumry4"/>
      <sheetName val="TDC_Item_Dets4"/>
      <sheetName val="TDC_Item_Sumry4"/>
      <sheetName val="TDC_Key_Qty_Sumry4"/>
      <sheetName val="List_-_Components4"/>
      <sheetName val="List_-_Equipment4"/>
      <sheetName val="COA_Sumry_-_Std_Imp4"/>
      <sheetName val="Contr_TDC_-_Std_Imp4"/>
      <sheetName val="Item_Sumry_-_Std_Imp4"/>
      <sheetName val="Unit_Costs_-_Std_Imp4"/>
      <sheetName val="Unit_MH_-_Std_Imp4"/>
      <sheetName val="Proj_TIC_-_Std_Imp4"/>
      <sheetName val="Updating_Form-Oct_20114"/>
      <sheetName val="Weld_Consumable4"/>
      <sheetName val="NDE_Cost-Summary4"/>
      <sheetName val="9July_Above_Ground_Pipe4"/>
      <sheetName val="M_114"/>
      <sheetName val="Process_Data_14"/>
      <sheetName val="working_load_at_the_btm_ft_5"/>
      <sheetName val="stability_check5"/>
      <sheetName val="design_load5"/>
      <sheetName val="Currency_Rate4"/>
      <sheetName val="4-Basic_Price4"/>
      <sheetName val="Evaluasi_Penw4"/>
      <sheetName val="Man_Power_&amp;_Comp4"/>
      <sheetName val="Data_List4"/>
      <sheetName val="Closeout_Control4"/>
      <sheetName val="Site_Findings_Status_Sheet4"/>
      <sheetName val="Tools_&amp;_Settings4"/>
      <sheetName val="Data_Summary4"/>
      <sheetName val="Crew_Costs4"/>
      <sheetName val="Spread_Costs4"/>
      <sheetName val="Unique_List_Misc4"/>
      <sheetName val="내역서_耰&quot;_x005f_x005f_x005f_x0000_4"/>
      <sheetName val="내역서_耰&quot;_x005f_x005f_x005f_x005f_4"/>
      <sheetName val="내역서_耰&quot;_x005f_x0000__x00005"/>
      <sheetName val="할증_4"/>
      <sheetName val="99__FWBS(Ref)4"/>
      <sheetName val="99__Change_Rate4"/>
      <sheetName val="PROJECT_BRIEF4"/>
      <sheetName val="RAB_AR&amp;STR4"/>
      <sheetName val="Discounted_Cash_Flow4"/>
      <sheetName val="Sum_(Case-3)4"/>
      <sheetName val="Ocean_Transporation_Charge4"/>
      <sheetName val="SUMMARY_(0A)4"/>
      <sheetName val="SUMMARY_(1A)4"/>
      <sheetName val="SUMMARY_(1B)4"/>
      <sheetName val="SUMMARY_(03)4"/>
      <sheetName val="F1(Cable_Rack)4"/>
      <sheetName val="F2(Cable_Rack)4"/>
      <sheetName val="F3(Cable_Rack)4"/>
      <sheetName val="F1_(POLYMER)4"/>
      <sheetName val="F2_(POLYMER)4"/>
      <sheetName val="F3_(POLYMER)4"/>
      <sheetName val="F4_(POLYMER)4"/>
      <sheetName val="F5(_Polymerization_)4"/>
      <sheetName val="F6_(_Polymerization_)4"/>
      <sheetName val="B1_(Grid_A-7,_-6)4"/>
      <sheetName val="B1_(Grid_A,_B)4"/>
      <sheetName val="B1_(Grid_C-7,_-6)4"/>
      <sheetName val="B2_(Grid_-7_B,_C)_(1)4"/>
      <sheetName val="B2_(Grid_-7_B,_C)_(2)4"/>
      <sheetName val="B2_(Grid_-6_B,_C)_(1)4"/>
      <sheetName val="B2_(Grid_-6_B,_C)_(2)4"/>
      <sheetName val="F1_(MONOMER)4"/>
      <sheetName val="F2_(MONOMER)4"/>
      <sheetName val="F3_(MONOMER)4"/>
      <sheetName val="90K060C_(MONOMER)4"/>
      <sheetName val="F1_(EXTRUSION)4"/>
      <sheetName val="F2_(EXTRUSION)4"/>
      <sheetName val="F3_(EXTRUSION)4"/>
      <sheetName val="F4_(EXTRUSION)4"/>
      <sheetName val="F5_(EXTRUSION)4"/>
      <sheetName val="F6A_(EXTRUSION)4"/>
      <sheetName val="F6D_(EXTRUSION)4"/>
      <sheetName val="F7_(EXTRUSION)4"/>
      <sheetName val="F8_(EXTRUSION)4"/>
      <sheetName val="F9_(EXTRUSION)4"/>
      <sheetName val="F10_(EXTRUSION)4"/>
      <sheetName val="F11_(EXTRUSION)4"/>
      <sheetName val="B1_(Grid_F-5`,_4`)4"/>
      <sheetName val="B2_(Grid_F,E-4`)4"/>
      <sheetName val="B2_(Grid_F,E-5`)4"/>
      <sheetName val="B3_(Grid_C,B-4`)4"/>
      <sheetName val="B4_(Grid_B,A-4`)4"/>
      <sheetName val="B5_(Grid_E-5`)_&amp;_(Grid_D-5`)4"/>
      <sheetName val="B6_(Grid_E,D-5')4"/>
      <sheetName val="B7_(Grid_E,D-5')4"/>
      <sheetName val="95D040,_A5064"/>
      <sheetName val="95P040AB,_A5074"/>
      <sheetName val="95X020-U08,_A6024"/>
      <sheetName val="95X020-U07,_A6064"/>
      <sheetName val="95E040,_A5094"/>
      <sheetName val="95D024;025,_A6154"/>
      <sheetName val="95X020-U05,_A6014"/>
      <sheetName val="95X020-U02,_A2044"/>
      <sheetName val="Extruder_FDN4"/>
      <sheetName val="BOG_COMP__FDN4"/>
      <sheetName val="SOG_COMP__FDN4"/>
      <sheetName val="1G1_(Ground_Beam)4"/>
      <sheetName val="1G2-1(Ground_Beam)4"/>
      <sheetName val="1G2-2(Ground_Beam)4"/>
      <sheetName val="P15,_164"/>
      <sheetName val="LO_CONSOLE_FDN4"/>
      <sheetName val="OIL_COOLER_FDN4"/>
      <sheetName val="CW_CONSOLE_FDN_(SOG)4"/>
      <sheetName val="PD3_(SOG)4"/>
      <sheetName val="SF1_(SOG)4"/>
      <sheetName val="SF2_(SOG)4"/>
      <sheetName val="SLAB_(1S1-1)4"/>
      <sheetName val="SLAB_(1S1-2)4"/>
      <sheetName val="SLAB_(1S1-3)4"/>
      <sheetName val="COLUMN_(+5500)4"/>
      <sheetName val="COLUMN_(+12500)4"/>
      <sheetName val="COLUMN_(+15500)4"/>
      <sheetName val="ETC_4"/>
      <sheetName val="5_)_Time_Delays4"/>
      <sheetName val="Cash_Flow_bulanan4"/>
      <sheetName val="H_Satuan4"/>
      <sheetName val="In-House_Summary4"/>
      <sheetName val="Direct_PMS4"/>
      <sheetName val="Codes_Pers4"/>
      <sheetName val="Equip_Rental_Summary_by_Contr4"/>
      <sheetName val="Project_Equip_Rental_Summary4"/>
      <sheetName val="Contractor_Indirect_Sumry4"/>
      <sheetName val="Project_Indirect_Sumry4"/>
      <sheetName val="COA_Sumry_by_Area4"/>
      <sheetName val="COA_Sumry_by_Contr4"/>
      <sheetName val="COA_Sumry_by_RG4"/>
      <sheetName val="TDC_COA_Grp_Sumry4"/>
      <sheetName val="TDC_COA_Grp_Sumry_by_Area4"/>
      <sheetName val="TDC_COA_Grp_Sumry_by_RG4"/>
      <sheetName val="Equipment_Sumry4"/>
      <sheetName val="TDC_Item_Dets-Full4"/>
      <sheetName val="TDC_Item_Dets-IPM-Full4"/>
      <sheetName val="TDC_Item_Sumry_by_Area4"/>
      <sheetName val="TDC_Item_Sumry_by_RG4"/>
      <sheetName val="TDC_Key_Qty_Sumry_by_RG4"/>
      <sheetName val="List_-_Equipment_by_Area4"/>
      <sheetName val="List_-_Equipment_by_Contr4"/>
      <sheetName val="Equipment_-_Unit_Costs_by_Mat4"/>
      <sheetName val="List_-_Equipment_by_Rep_Grp4"/>
      <sheetName val="Craft_Summary_by_Contr4"/>
      <sheetName val="Project_Craft_Summary4"/>
      <sheetName val="Project_Metrics4"/>
      <sheetName val="Pengesahan_4"/>
      <sheetName val="00-Summary_Information-ABB3"/>
      <sheetName val="Unt_rate4"/>
      <sheetName val="__4"/>
      <sheetName val="_4"/>
      <sheetName val="breakdown_of_wage_ra`f3"/>
      <sheetName val="breakdown_of_wage_ra3"/>
      <sheetName val="breakdown_of_wage_rað-3"/>
      <sheetName val="UP_MINOR4"/>
      <sheetName val="Aux_4"/>
      <sheetName val="Item_code4"/>
      <sheetName val="BO䁑-B_䁄OWN4"/>
      <sheetName val="OCT_FDN4"/>
      <sheetName val="2__현장_자금투입_집계표4"/>
      <sheetName val="_도면_및_도서_제출목록_및_일정_170202_xlsx4"/>
      <sheetName val="2_Overall_Summary_3"/>
      <sheetName val="General_Notes4"/>
      <sheetName val="Exchange_Rate4"/>
      <sheetName val="내역서_耰&quot;_x005f_x0000_4"/>
      <sheetName val="내역서_耰&quot;_x005f_x005f_4"/>
      <sheetName val="Process_Data_(2)4"/>
      <sheetName val="내역서_耰&quot;_3"/>
      <sheetName val="Bill_rekap4"/>
      <sheetName val="Harga_Satuan4"/>
      <sheetName val="F_ALARM4"/>
      <sheetName val="PABS,Site_info3"/>
      <sheetName val="0__Resource　Code3"/>
      <sheetName val="breakdown_of_wage_rap3"/>
      <sheetName val="breakdown_of_wage_ra3"/>
      <sheetName val="Rates_&amp;_Legend4"/>
      <sheetName val="차트_(2)4"/>
      <sheetName val="DATA_MENTAH3"/>
      <sheetName val="Material_code3"/>
      <sheetName val="Raw_data3"/>
      <sheetName val="Distribution_Table3"/>
      <sheetName val="DROP_DOWN3"/>
      <sheetName val="개시대사_(2)3"/>
      <sheetName val="Action_Item3"/>
      <sheetName val="ID_CD3"/>
      <sheetName val="Equipment_Spec_List3"/>
      <sheetName val="SPEC_LIST(EQUP,_SYS)3"/>
      <sheetName val="Cashflow_Analysis2"/>
      <sheetName val="Finansal_tamamlanma_Eğrisi2"/>
      <sheetName val="내역서_(N____x000a_4"/>
      <sheetName val="EQUIPOS_DE_SEGURIDAD1"/>
      <sheetName val="MATERIALES_CONSUMIBLES1"/>
      <sheetName val="PERSONAL_INDIRECTO_1"/>
      <sheetName val="HO_Site_Rates-20113"/>
      <sheetName val="TQ_Format3"/>
      <sheetName val="breakdown_of_wage_raÐ¾3"/>
      <sheetName val="Additional_data3"/>
      <sheetName val="Linelist_LNGC_Process3"/>
      <sheetName val="Air_Cooler-E3"/>
      <sheetName val="Al_Taweelah3"/>
      <sheetName val="Particular_Sch3"/>
      <sheetName val="SUM_2"/>
      <sheetName val="11_자재단가2"/>
      <sheetName val="LIFE_&amp;_REP_PROVN2"/>
      <sheetName val="O&amp;M_CREW2"/>
      <sheetName val="Attach_4-182"/>
      <sheetName val="INPUT_DATA_OF_SCHEDULE2"/>
      <sheetName val="내역서_(∮ἀ嘆ɶ?᠀㬁?2"/>
      <sheetName val="Master_List2"/>
      <sheetName val="33628-Rev__A2"/>
      <sheetName val="Fig_4-141"/>
      <sheetName val="Admin_Manu_2-Equipment_Type_ID2"/>
      <sheetName val="OIL_SEPARATOR2"/>
      <sheetName val="CATCH_BASIN2"/>
      <sheetName val="FW_Post_Indicator_Valve_24&quot;2"/>
      <sheetName val="FW_Post_Indicator_Valve_20&quot;2"/>
      <sheetName val="FW_Post_Indicator_Valve_6&quot;2"/>
      <sheetName val="Fire_Monitor_or_Hydrant_6&quot;_FDN2"/>
      <sheetName val="SUMP_VB2"/>
      <sheetName val="CLEANOUT_4&quot;2"/>
      <sheetName val="Not_reqd2"/>
      <sheetName val="호환성_보고서2"/>
      <sheetName val="14-Eng_rate2"/>
      <sheetName val="리스크_분류체계2"/>
      <sheetName val="GM_0001"/>
      <sheetName val="Tender_data1"/>
      <sheetName val="Itembalance_Report_(18-sep-18)2"/>
      <sheetName val="BUDGET_SUMMARY_2"/>
      <sheetName val="Activity_Form2"/>
      <sheetName val="SECL_리스크_분류체계_(2)1"/>
      <sheetName val="Tables_3_1_to_3_5_EXH_G1"/>
      <sheetName val="Schedule_2"/>
      <sheetName val="Loading_Struc2"/>
      <sheetName val="Loading_Pip2"/>
      <sheetName val="Loading_Overall_(BASE_Proposal2"/>
      <sheetName val="Steel_Structure2"/>
      <sheetName val="PIPING_AG-UG_NEW_UNITS2"/>
      <sheetName val="MEC_PIPING_PREFABR2"/>
      <sheetName val="Working_File-Pip2"/>
      <sheetName val="Equip_ISBL_&amp;_OSBL_2"/>
      <sheetName val="Scheme_Area_Details_Block___C21"/>
      <sheetName val="SPT_vs_PHI1"/>
      <sheetName val="Cash_Flow1"/>
      <sheetName val="1_자금요약1"/>
      <sheetName val="2_실행비투입1"/>
      <sheetName val="3_본사집계1"/>
      <sheetName val="3-1_본사투입1"/>
      <sheetName val="4_지사집계1"/>
      <sheetName val="4-1_지사투입1"/>
      <sheetName val="5_현장총집계1"/>
      <sheetName val="5-1_현금집계1"/>
      <sheetName val="5-2_현금출납1"/>
      <sheetName val="5-3_외상집계1"/>
      <sheetName val="5-4_외상투입1"/>
      <sheetName val="6_미지급금1"/>
      <sheetName val="5-5_기타공제집계1"/>
      <sheetName val="5-6_기타공제1"/>
      <sheetName val="7_기성현황(실)1"/>
      <sheetName val="8_한국인수당1"/>
      <sheetName val="8_한국인수당_(Master_file)1"/>
      <sheetName val="9_기타수입1"/>
      <sheetName val="10_투입집계1"/>
      <sheetName val="5-4_외상투입_(2)1"/>
      <sheetName val="16_기성현황(예)1"/>
      <sheetName val="17_자금요약21"/>
      <sheetName val="18_실행대비투입21"/>
      <sheetName val="1_설계기준1"/>
      <sheetName val="5__월별투입내역서1"/>
      <sheetName val="REF_for_VV1"/>
      <sheetName val="설산1_나1"/>
      <sheetName val="05__Curva_S2"/>
      <sheetName val="List_register1"/>
      <sheetName val="Direct_Histogram_Rev__A_(f)1"/>
      <sheetName val="일위대가_1"/>
      <sheetName val="P-Ins_&amp;_Bonds1"/>
      <sheetName val="INSTLIST_11"/>
      <sheetName val="Weekl_2"/>
      <sheetName val="내역서_(N____4"/>
      <sheetName val="내역서_(N____5"/>
      <sheetName val="__x01"/>
      <sheetName val="OPT_2"/>
      <sheetName val="Payment_Certificate-11"/>
      <sheetName val="Floor_wet1"/>
      <sheetName val="Floor_Balcony1"/>
      <sheetName val="Hard_scape_Floor1"/>
      <sheetName val="P03_Skirting1"/>
      <sheetName val="GF_wall1"/>
      <sheetName val="Kitchen_Wall_wet_LIN-7011"/>
      <sheetName val="Wall_wet_LIN-601_1"/>
      <sheetName val="BOQ_(2)1"/>
      <sheetName val="VO_Schedule-11"/>
      <sheetName val="HOLD_AMOUNT1"/>
      <sheetName val="Back_Charge_(2)1"/>
      <sheetName val="Temporary_Deductions-1_1"/>
      <sheetName val="Contracharges_Check_list-1_1"/>
      <sheetName val="PC_031"/>
      <sheetName val="Measurement_sheet1"/>
      <sheetName val="Material_Only1"/>
      <sheetName val="Man_power_supply1"/>
      <sheetName val="Camp_Deduction1"/>
      <sheetName val="Att-1_CTCI_MH_rate1"/>
      <sheetName val="Other_data1"/>
      <sheetName val="RESUMEN_CD1"/>
      <sheetName val="BOQ_REV61"/>
      <sheetName val="Maliyet_Ozet1"/>
      <sheetName val="1_1-1_21"/>
      <sheetName val="1_3-_1_41"/>
      <sheetName val="3_11"/>
      <sheetName val="3_21"/>
      <sheetName val="4_1(a)1"/>
      <sheetName val="4_1(b)1"/>
      <sheetName val="4_1_(c)1"/>
      <sheetName val="5_11"/>
      <sheetName val="Consortium_VP1"/>
      <sheetName val="Summary_MONTH1"/>
      <sheetName val="DESICON_SUM1"/>
      <sheetName val="DES_TCF_Rental1"/>
      <sheetName val="DES_TCF_Maints_pers1"/>
      <sheetName val="DES_TCF_Heavy_Equipment1"/>
      <sheetName val="BANK_BOND1"/>
      <sheetName val="PHC_WAREHOUSE_-_INFOONLY1"/>
      <sheetName val="CATERING_CONTROL1"/>
      <sheetName val="SUB_CONTRACT1"/>
      <sheetName val="SPDC_-_INFONLY1"/>
      <sheetName val="VENDOR_SCHEDUL1"/>
      <sheetName val="VENDOR_PRESENCE_-_COMM1"/>
      <sheetName val="VENDOR_PRESENCE_-_RECH1"/>
      <sheetName val="VENDOR_PRESENCE_-_COMM_1"/>
      <sheetName val="CONTRACT_RATES1"/>
      <sheetName val="BM_#11"/>
      <sheetName val="Analisa_Fave1"/>
      <sheetName val="Harsat_Bahan1"/>
      <sheetName val="Harsat_Subkon1"/>
      <sheetName val="Harsat_Upah1"/>
      <sheetName val="Master_1_01"/>
      <sheetName val="Agregat_Halus_&amp;_Kasar1"/>
      <sheetName val="HARGA_MATERIAL1"/>
      <sheetName val="Harga_Sat_APP1"/>
      <sheetName val="Tgh_JGC-Inv_I_clp1"/>
      <sheetName val="PCS_1"/>
      <sheetName val="Progress_Statement-SI1"/>
      <sheetName val="Progress_Payment-31101"/>
      <sheetName val="Cost_Code1"/>
      <sheetName val="Data_Ref1"/>
      <sheetName val="Interdept_Rate1"/>
      <sheetName val="Perm__Test1"/>
      <sheetName val="Galian_11"/>
      <sheetName val="Analisa_Lump_sum1"/>
      <sheetName val="Sec_I_ML1"/>
      <sheetName val="Land_Dev't__Ph-11"/>
      <sheetName val="4300_UTILITY_BLDG_(2)1"/>
      <sheetName val="64_41"/>
      <sheetName val="64_51"/>
      <sheetName val="36_21"/>
      <sheetName val="36_11"/>
      <sheetName val="dongia_(2)1"/>
      <sheetName val="SPEC(CABLE_&amp;_WIRE)1"/>
      <sheetName val="내역서_(N__x002"/>
      <sheetName val="Enron_Form1"/>
      <sheetName val="SUMMARY_MTO_02_2_351"/>
      <sheetName val="N_G_METERING_CALC_1"/>
      <sheetName val="N_G_METERING1"/>
      <sheetName val="N_G_METERING_(2)1"/>
      <sheetName val="CUMENE_METERING1"/>
      <sheetName val="N2_METERING_1"/>
      <sheetName val="H2_METERING__1"/>
      <sheetName val="CO_METERING1"/>
      <sheetName val="6_공정표1"/>
      <sheetName val="Bill_4_7_Predestain_Bridge_1"/>
      <sheetName val="Bill_4_7_Predestain1"/>
      <sheetName val="1_1_FT_type_11"/>
      <sheetName val="1_2_FT_type_1A1"/>
      <sheetName val="1_3_FT_type_21"/>
      <sheetName val="1_4_FT_type_31"/>
      <sheetName val="1_5_FT_type_41"/>
      <sheetName val="2_1_CL_Outside1"/>
      <sheetName val="2_2_CL_Inside1"/>
      <sheetName val="2_3_CL_Ramp1"/>
      <sheetName val="3_1_CB_Outside1"/>
      <sheetName val="3_2_CB_Inside1"/>
      <sheetName val="4_Stair1"/>
      <sheetName val="5_Ramp1"/>
      <sheetName val="6_Handrail1"/>
      <sheetName val="Invoice_(Interim_No_28)1"/>
      <sheetName val="Cost_Summary1"/>
      <sheetName val="Direct_Cost1"/>
      <sheetName val="Direct_Cost_(2)1"/>
      <sheetName val="Summary_(3)1"/>
      <sheetName val="Indirect_Cost_Summary1"/>
      <sheetName val="1_11_b1"/>
      <sheetName val="5_Cennik1"/>
      <sheetName val="Tabla"/>
      <sheetName val="Option"/>
      <sheetName val="P2-Project Data"/>
      <sheetName val="구매DWG-정산용"/>
      <sheetName val="예정(3)"/>
      <sheetName val="PIPE"/>
      <sheetName val="기초견적가"/>
      <sheetName val="TANK"/>
      <sheetName val="SG"/>
      <sheetName val="포장복구집계"/>
      <sheetName val="간선계산"/>
      <sheetName val="AS복구"/>
      <sheetName val="2000년1차"/>
      <sheetName val="DATE"/>
      <sheetName val="ITEM"/>
      <sheetName val="일반공사"/>
      <sheetName val="터널조도"/>
      <sheetName val="노임"/>
      <sheetName val="중기터파기"/>
      <sheetName val="G.R300경비"/>
      <sheetName val="계수시트"/>
      <sheetName val="투찰"/>
      <sheetName val="AS포장복구 "/>
      <sheetName val="시설물일위"/>
      <sheetName val="가설공사"/>
      <sheetName val="수목데이타"/>
      <sheetName val="단가조사"/>
      <sheetName val="식재"/>
      <sheetName val="99노임기준"/>
      <sheetName val="총괄내역서"/>
      <sheetName val="변수값"/>
      <sheetName val="청천내"/>
      <sheetName val="요율"/>
      <sheetName val="2공구하도급내역서"/>
      <sheetName val="기계경비(시간당)"/>
      <sheetName val="시설물"/>
      <sheetName val="연결임시"/>
      <sheetName val="구조물공"/>
      <sheetName val="부대tu"/>
      <sheetName val="중기조종사 단위단가"/>
      <sheetName val="9509"/>
      <sheetName val="투찰추정"/>
      <sheetName val="하부철근수량"/>
      <sheetName val="JUCKEYK"/>
      <sheetName val="식재출력용"/>
      <sheetName val="부대공"/>
      <sheetName val="가로등내역서"/>
      <sheetName val="램머"/>
      <sheetName val="저"/>
      <sheetName val="Baby일위대가"/>
      <sheetName val="45,46"/>
      <sheetName val="노무비"/>
      <sheetName val="실행대비"/>
      <sheetName val="지급자재"/>
      <sheetName val="노무비단가"/>
      <sheetName val="관리,공감"/>
      <sheetName val="입찰"/>
      <sheetName val="원가계산서"/>
      <sheetName val="산출내역서"/>
      <sheetName val="4차원가계산서"/>
      <sheetName val="중기상차"/>
      <sheetName val="단가결정"/>
      <sheetName val="유지관리"/>
      <sheetName val="단가산출"/>
      <sheetName val="9GNG운반"/>
      <sheetName val="내역아"/>
      <sheetName val="원가서"/>
      <sheetName val="여과지동"/>
      <sheetName val="울타리"/>
      <sheetName val="기초자료"/>
      <sheetName val="자재대"/>
      <sheetName val="조명율표"/>
      <sheetName val="재료"/>
      <sheetName val="200"/>
      <sheetName val="공정코드"/>
      <sheetName val="토공"/>
      <sheetName val="총괄-1"/>
      <sheetName val="도급"/>
      <sheetName val="포장공"/>
      <sheetName val="설 계"/>
      <sheetName val="현경"/>
      <sheetName val="소야공정계획표"/>
      <sheetName val="GRAND REKAP"/>
      <sheetName val="SKEDULmaterial"/>
      <sheetName val="HARSAT"/>
      <sheetName val="analisa (2)"/>
      <sheetName val="HargaDasar"/>
      <sheetName val="D-4-Struktur"/>
      <sheetName val="Analisa 2"/>
      <sheetName val="Up &amp; bhn"/>
      <sheetName val="Str"/>
      <sheetName val="HRG BHN"/>
      <sheetName val="lab_eng"/>
      <sheetName val="eqp"/>
      <sheetName val="lab"/>
      <sheetName val="UPAH"/>
      <sheetName val="pricelist"/>
      <sheetName val="HAL-1"/>
      <sheetName val="a.h ars sum"/>
      <sheetName val="a.h ars"/>
      <sheetName val="3"/>
      <sheetName val="DAF.HRG"/>
      <sheetName val="Urai _Resap pengikat"/>
      <sheetName val="tblg_denda"/>
      <sheetName val="Analisa (ok punya)"/>
      <sheetName val="SAT-DAS"/>
      <sheetName val="Statprod_gab"/>
      <sheetName val="L_1"/>
      <sheetName val="design_criteria3"/>
      <sheetName val="Statprod_gab1"/>
      <sheetName val="L_11"/>
      <sheetName val="LRK "/>
      <sheetName val="Kolom UT"/>
      <sheetName val="HB "/>
      <sheetName val="7.공정표"/>
      <sheetName val="재공품기초자료"/>
      <sheetName val="하치장수불부"/>
      <sheetName val="산수배수"/>
      <sheetName val="Quotation"/>
      <sheetName val="ABB Summary"/>
      <sheetName val="Man power rate"/>
      <sheetName val="Const equip rate"/>
      <sheetName val="01-Gang Rate &amp; Info"/>
      <sheetName val="02-Precal"/>
      <sheetName val="03-WBS_IA-EI-OF-751-01-0202"/>
      <sheetName val="04-CA"/>
      <sheetName val="05-Sum Cost"/>
      <sheetName val="06-Indirect Loading"/>
      <sheetName val="07-Heavy Equipment"/>
      <sheetName val="08-RR Check List"/>
      <sheetName val="09-THABB"/>
      <sheetName val="10-FD33"/>
      <sheetName val="11-IndustryUsage"/>
      <sheetName val="12-ServiceCategory"/>
      <sheetName val="13-ChannelClass"/>
      <sheetName val="15-Master"/>
      <sheetName val="1) Risk and Opportunities"/>
      <sheetName val="2) Full Cost Calculation"/>
      <sheetName val="FxExchangeRatesBudget"/>
      <sheetName val="FAB별"/>
      <sheetName val="CodeSheet"/>
      <sheetName val="CodeSheet(신2)"/>
      <sheetName val="동상부 Tact 기준 반입일정 및 수량_0217"/>
      <sheetName val="Equipt Rental"/>
      <sheetName val="CFA"/>
      <sheetName val="EQ"/>
      <sheetName val="EQ USED (CORRECTED)"/>
      <sheetName val="CERTIFICATE"/>
      <sheetName val="Rebar Constant"/>
      <sheetName val="Sheet"/>
      <sheetName val="Equip_Mstr"/>
      <sheetName val="Costing"/>
      <sheetName val="Equip_Mstr FOR 3A1"/>
      <sheetName val=" 토목 처리장도급내역서 "/>
      <sheetName val="Garph Work-Cost"/>
      <sheetName val="Tubing"/>
      <sheetName val="sdm"/>
      <sheetName val="Alat (2)"/>
      <sheetName val="Anal"/>
      <sheetName val="RAB-NEGO"/>
      <sheetName val="DAF-2"/>
      <sheetName val="Anl"/>
      <sheetName val="AC"/>
      <sheetName val="견적의뢰"/>
      <sheetName val="InsertListDrawing 1 "/>
      <sheetName val="InD Mpower"/>
      <sheetName val="Rekap Biaya"/>
      <sheetName val="Kuantitas &amp; Harga"/>
      <sheetName val="Nopember (2)"/>
      <sheetName val="Nopember"/>
      <sheetName val="영동(D)"/>
      <sheetName val="VAT TU DIEN"/>
      <sheetName val="bldg list"/>
      <sheetName val="FC04_2030"/>
      <sheetName val="FC04_203099"/>
      <sheetName val="MSP-Operator Building-Area C"/>
      <sheetName val="Scaffolding Volume"/>
      <sheetName val="JGSummit Package 2 (CTCI)"/>
      <sheetName val="COST BD"/>
      <sheetName val="Peralatan"/>
      <sheetName val="빙장비사양"/>
      <sheetName val="장비사양"/>
      <sheetName val="배합비(99-05-25)"/>
      <sheetName val="breakdown of FA113"/>
      <sheetName val="Insulation 150108"/>
      <sheetName val="Sheet 14"/>
      <sheetName val="EXR"/>
      <sheetName val="TR_Rev_vs_Commit"/>
      <sheetName val="TR_+MMHE_PL_report"/>
      <sheetName val="P23P2724___Commitment_"/>
      <sheetName val="A__ENGINEERING"/>
      <sheetName val="B-1__배관자재"/>
      <sheetName val="B-2__전기자재"/>
      <sheetName val="B-3__계장자재"/>
      <sheetName val="B-4__기계자재"/>
      <sheetName val="C-1__공통가설"/>
      <sheetName val="C-2__토목"/>
      <sheetName val="C-4__철골"/>
      <sheetName val="C-5__기계"/>
      <sheetName val="C-6__배관"/>
      <sheetName val="C-7__전기"/>
      <sheetName val="C-8__계장"/>
      <sheetName val="C-9__중장비"/>
      <sheetName val="C-10__소방설비"/>
      <sheetName val="C-11__보온"/>
      <sheetName val="C-12__CMS"/>
      <sheetName val="5__Work_load(현재원기준)"/>
      <sheetName val="0_품의서(전체)"/>
      <sheetName val="LAST_UPDATE"/>
      <sheetName val="External_Issues"/>
      <sheetName val="G_R300경비"/>
      <sheetName val="AS포장복구_"/>
      <sheetName val="중기조종사_단위단가"/>
      <sheetName val="설_계"/>
      <sheetName val="Order_Summary"/>
      <sheetName val="Order_Summary_New"/>
      <sheetName val="MASTER_RATE ANALYSIS"/>
      <sheetName val="Intro"/>
      <sheetName val="CASHFLOWS"/>
      <sheetName val="MN T.B."/>
      <sheetName val="Headings"/>
      <sheetName val="INDIGINEOUS ITEMS "/>
      <sheetName val="Core Data"/>
      <sheetName val="final abstract"/>
      <sheetName val="대비"/>
      <sheetName val="내역서(전체)"/>
      <sheetName val="철거산출근거"/>
      <sheetName val="Mobilisasi"/>
      <sheetName val="Default"/>
      <sheetName val="harga"/>
      <sheetName val="4-MVAC"/>
      <sheetName val="G_SUMMARY"/>
      <sheetName val="Memb Schd"/>
      <sheetName val="PPC"/>
      <sheetName val="Tableau"/>
      <sheetName val="Coef et données"/>
      <sheetName val="SAP"/>
      <sheetName val="Pag_hal"/>
      <sheetName val="SAT-BHN"/>
      <sheetName val="Condition"/>
      <sheetName val="PERSONNELIST"/>
      <sheetName val="ENE-CAL"/>
      <sheetName val="SWALE (구산)"/>
      <sheetName val="BLN_PKG"/>
      <sheetName val="매립"/>
      <sheetName val="ENE-CAL 1"/>
      <sheetName val="09월"/>
      <sheetName val="10월"/>
      <sheetName val="자금신청서"/>
      <sheetName val="Drop-Down"/>
      <sheetName val="Precios_Unitariԯ1"/>
      <sheetName val="SI-1"/>
      <sheetName val="Setup"/>
      <sheetName val="@"/>
      <sheetName val="revenue"/>
      <sheetName val="sga"/>
      <sheetName val="engineering"/>
      <sheetName val="design_criteria4"/>
      <sheetName val="5__Work_load(현재원기준)1"/>
      <sheetName val="KUWATI(Total)_14"/>
      <sheetName val="집계표_(TOTAL)14"/>
      <sheetName val="집계표_(CIVIL-23)14"/>
      <sheetName val="집계표_(FGRU)14"/>
      <sheetName val="집계표_(25,26)14"/>
      <sheetName val="집계표_(MEROX)14"/>
      <sheetName val="집계표_(NITROGEN)14"/>
      <sheetName val="집계표_(M4)14"/>
      <sheetName val="집계표_(CIVIL4)14"/>
      <sheetName val="집계표_(CIVIL6)14"/>
      <sheetName val="집계표_(CIVIL7)14"/>
      <sheetName val="내역서(DEMO_TOTAL)14"/>
      <sheetName val="내역서_(CIVIL-23)14"/>
      <sheetName val="내역서_(fgru)14"/>
      <sheetName val="내역서_(25&amp;26)14"/>
      <sheetName val="내역서_(MEROX)14"/>
      <sheetName val="내역서_(NITROGEN)14"/>
      <sheetName val="내역서_(M4)14"/>
      <sheetName val="내역서_(CIVIL-4)14"/>
      <sheetName val="내역서_(CIVIL-6)14"/>
      <sheetName val="내역서_(CIVIL-7)14"/>
      <sheetName val="OPTION_214"/>
      <sheetName val="OPTION_314"/>
      <sheetName val="2002년_현장공사비_국내_실적14"/>
      <sheetName val="2003년국내현장공사비_실적14"/>
      <sheetName val="VC2_10_9914"/>
      <sheetName val="WEIGHT_LIST11"/>
      <sheetName val="산#2-1_(2)11"/>
      <sheetName val="BEND_LOSS11"/>
      <sheetName val="INPUT_DATA13"/>
      <sheetName val="집계표_(25,26ဩ13"/>
      <sheetName val="Form_013"/>
      <sheetName val="General_Data13"/>
      <sheetName val="LABOR_&amp;_자재12"/>
      <sheetName val="입출재고현황_(2)12"/>
      <sheetName val="Form_D-112"/>
      <sheetName val="Form_B-112"/>
      <sheetName val="Form_F-112"/>
      <sheetName val="Form_A12"/>
      <sheetName val="3_공통공사대비12"/>
      <sheetName val="간접비_총괄12"/>
      <sheetName val="Price_Schedule12"/>
      <sheetName val="CAL_12"/>
      <sheetName val="Rate_Analysis12"/>
      <sheetName val="단면_(2)11"/>
      <sheetName val="EQUIPMENT_-212"/>
      <sheetName val="공사비_내역_(가)11"/>
      <sheetName val="내역서_耰&quot;??12"/>
      <sheetName val="내역서_耰&quot;_x005f_x0000__x005f_x0000_11"/>
      <sheetName val="6PILE__(돌출)11"/>
      <sheetName val="Static_Equip11"/>
      <sheetName val="Form_A_11"/>
      <sheetName val="3_Breakdown_Direct_Paint11"/>
      <sheetName val="내역서_耰&quot;__12"/>
      <sheetName val="Summary_Sheets11"/>
      <sheetName val="Civil_111"/>
      <sheetName val="Civil_211"/>
      <sheetName val="Civil_311"/>
      <sheetName val="Site_111"/>
      <sheetName val="Site_211"/>
      <sheetName val="Site_311"/>
      <sheetName val="Site_Faci11"/>
      <sheetName val="7__월별투입내역서10"/>
      <sheetName val="Man_Hole10"/>
      <sheetName val="Sheet1_(2)11"/>
      <sheetName val="Áý°èÇ¥_(TOTAL)10"/>
      <sheetName val="Áý°èÇ¥_(CIVIL-23)10"/>
      <sheetName val="Áý°èÇ¥_(FGRU)10"/>
      <sheetName val="Áý°èÇ¥_(25,26)10"/>
      <sheetName val="Áý°èÇ¥_(MEROX)10"/>
      <sheetName val="Áý°èÇ¥_(NITROGEN)10"/>
      <sheetName val="Áý°èÇ¥_(M4)10"/>
      <sheetName val="Áý°èÇ¥_(CIVIL4)10"/>
      <sheetName val="Áý°èÇ¥_(CIVIL6)10"/>
      <sheetName val="Áý°èÇ¥_(CIVIL7)10"/>
      <sheetName val="³»¿ª¼­(DEMO_TOTAL)10"/>
      <sheetName val="³»¿ª¼­_(CIVIL-23)10"/>
      <sheetName val="³»¿ª¼­_(fgru)10"/>
      <sheetName val="³»¿ª¼­_(25&amp;26)10"/>
      <sheetName val="³»¿ª¼­_(MEROX)10"/>
      <sheetName val="³»¿ª¼­_(NITROGEN)10"/>
      <sheetName val="³»¿ª¼­_(M4)10"/>
      <sheetName val="³»¿ª¼­_(CIVIL-4)10"/>
      <sheetName val="³»¿ª¼­_(CIVIL-6)10"/>
      <sheetName val="³»¿ª¼­_(CIVIL-7)10"/>
      <sheetName val="2002³â_ÇöÀå°ø»çºñ_±¹³»_½ÇÀû10"/>
      <sheetName val="2003³â±¹³»ÇöÀå°ø»çºñ_½ÇÀû10"/>
      <sheetName val="계측_내역서10"/>
      <sheetName val="내역서_耰&quot;_x005f_x005f_x005f_x0000__x005f_x005f_x0010"/>
      <sheetName val="2_2_STAFF_Scedule10"/>
      <sheetName val="내역서_耰&quot;_x005f_x005f_x005f_x005f_x005f_x005f_x00010"/>
      <sheetName val="Z-_GENERAL_PRICE_SUMMARY10"/>
      <sheetName val="_Estimate__10"/>
      <sheetName val="T_310"/>
      <sheetName val="HORI__VESSEL10"/>
      <sheetName val="MP_MOB10"/>
      <sheetName val="BM_DATA_SHEET11"/>
      <sheetName val="w't_table10"/>
      <sheetName val="Administrative_Prices10"/>
      <sheetName val="WBS_4410"/>
      <sheetName val="WBS_4110"/>
      <sheetName val="Precios_por_Administración10"/>
      <sheetName val="Precios_Unitarios10"/>
      <sheetName val="Subcon_A10"/>
      <sheetName val="EQUIP_LIST10"/>
      <sheetName val="Vind_-_BtB10"/>
      <sheetName val="LV_induction_motors10"/>
      <sheetName val="BSD_(2)10"/>
      <sheetName val="Form_B10"/>
      <sheetName val="내역서_耰&quot;_x005f_x005f_x005f_x005f_x005f_x005f_x00510"/>
      <sheetName val="97_사업추정(WEKI)10"/>
      <sheetName val="[SANDAN_XLS??10"/>
      <sheetName val="Eq__Mobilization10"/>
      <sheetName val="Monthly_Load10"/>
      <sheetName val="Weekly_Load10"/>
      <sheetName val="breakdown_of_wage_rate10"/>
      <sheetName val="Indirect_Cost10"/>
      <sheetName val="Material_Selections10"/>
      <sheetName val="Piping_BQ_for_one_turbine10"/>
      <sheetName val="Item_code5"/>
      <sheetName val="공정계획(내부계획25%,내부w_f)10"/>
      <sheetName val="Utility_and_Fire_flange10"/>
      <sheetName val="SFN_ORIG10"/>
      <sheetName val="Resource_table10"/>
      <sheetName val="AG_Pipe_Qty_Analysis10"/>
      <sheetName val="Equipment_List10"/>
      <sheetName val="Form1_SQP10"/>
      <sheetName val="_SANDAN_XLS__10"/>
      <sheetName val="Heavy_Equipments10"/>
      <sheetName val="입찰내역_발주처_양식10"/>
      <sheetName val="BOQ-B_DOWN9"/>
      <sheetName val="실행예산_MM9"/>
      <sheetName val="Dir_Manpower_Other_Exp_10"/>
      <sheetName val="SCHEDD_TAMBAHAN10"/>
      <sheetName val="Fire_Protection10"/>
      <sheetName val="단가_(2)9"/>
      <sheetName val="4-3LEVEL-5_epic_49"/>
      <sheetName val="FWBS_15309"/>
      <sheetName val="MODULE_CONFIRM9"/>
      <sheetName val="내역서_(∮ἀ嘆ɶ9"/>
      <sheetName val="ITB_COST10"/>
      <sheetName val="PROTECTION_9"/>
      <sheetName val="Cash_In-Cash_Out_Actual9"/>
      <sheetName val="5_)_Time_Delays5"/>
      <sheetName val="Site_Findings_Status_Sheet5"/>
      <sheetName val="CUADRO_DE_PRECIOS9"/>
      <sheetName val="plan&amp;section_of_foundation6"/>
      <sheetName val="working_load_at_the_btm_ft_6"/>
      <sheetName val="stability_check6"/>
      <sheetName val="design_criteria5"/>
      <sheetName val="design_load6"/>
      <sheetName val="1100-1200-1300-1910-2140-LEV_25"/>
      <sheetName val="Material_Price5"/>
      <sheetName val="TDC_COA_Sumry5"/>
      <sheetName val="TDC_Item_Dets5"/>
      <sheetName val="TDC_Item_Sumry5"/>
      <sheetName val="TDC_Key_Qty_Sumry5"/>
      <sheetName val="List_-_Components5"/>
      <sheetName val="List_-_Equipment5"/>
      <sheetName val="COA_Sumry_-_Std_Imp5"/>
      <sheetName val="Contr_TDC_-_Std_Imp5"/>
      <sheetName val="Item_Sumry_-_Std_Imp5"/>
      <sheetName val="Unit_Costs_-_Std_Imp5"/>
      <sheetName val="Unit_MH_-_Std_Imp5"/>
      <sheetName val="Proj_TIC_-_Std_Imp5"/>
      <sheetName val="내역서1999_8최종5"/>
      <sheetName val="Closeout_Control5"/>
      <sheetName val="Currency_Rate5"/>
      <sheetName val="Unit_Price_5"/>
      <sheetName val="4-Basic_Price5"/>
      <sheetName val="Evaluasi_Penw5"/>
      <sheetName val="Man_Power_&amp;_Comp5"/>
      <sheetName val="Data_List5"/>
      <sheetName val="RAB_AR&amp;STR5"/>
      <sheetName val="PROJECT_BRIEF5"/>
      <sheetName val="내역서_耰&quot;_x005f_x005f_x005f_x0000_5"/>
      <sheetName val="내역서_耰&quot;_x005f_x005f_x005f_x005f_5"/>
      <sheetName val="내역서_耰&quot;_x005f_x0000__x00006"/>
      <sheetName val="Updating_Form-Oct_20115"/>
      <sheetName val="Weld_Consumable5"/>
      <sheetName val="NDE_Cost-Summary5"/>
      <sheetName val="9July_Above_Ground_Pipe5"/>
      <sheetName val="M_115"/>
      <sheetName val="Process_Data_15"/>
      <sheetName val="Sum_(Case-3)5"/>
      <sheetName val="할증_5"/>
      <sheetName val="Air_Cooler-E4"/>
      <sheetName val="2__현장_자금투입_집계표5"/>
      <sheetName val="Tools_&amp;_Settings5"/>
      <sheetName val="Data_Summary5"/>
      <sheetName val="Crew_Costs5"/>
      <sheetName val="Spread_Costs5"/>
      <sheetName val="Unique_List_Misc5"/>
      <sheetName val="UP_MINOR5"/>
      <sheetName val="Equip_Rental_Summary_by_Contr5"/>
      <sheetName val="Project_Equip_Rental_Summary5"/>
      <sheetName val="Contractor_Indirect_Sumry5"/>
      <sheetName val="Project_Indirect_Sumry5"/>
      <sheetName val="COA_Sumry_by_Area5"/>
      <sheetName val="COA_Sumry_by_Contr5"/>
      <sheetName val="COA_Sumry_by_RG5"/>
      <sheetName val="TDC_COA_Grp_Sumry5"/>
      <sheetName val="TDC_COA_Grp_Sumry_by_Area5"/>
      <sheetName val="TDC_COA_Grp_Sumry_by_RG5"/>
      <sheetName val="Equipment_Sumry5"/>
      <sheetName val="TDC_Item_Dets-Full5"/>
      <sheetName val="TDC_Item_Dets-IPM-Full5"/>
      <sheetName val="TDC_Item_Sumry_by_Area5"/>
      <sheetName val="TDC_Item_Sumry_by_RG5"/>
      <sheetName val="TDC_Key_Qty_Sumry_by_RG5"/>
      <sheetName val="List_-_Equipment_by_Area5"/>
      <sheetName val="List_-_Equipment_by_Contr5"/>
      <sheetName val="Equipment_-_Unit_Costs_by_Mat5"/>
      <sheetName val="List_-_Equipment_by_Rep_Grp5"/>
      <sheetName val="Craft_Summary_by_Contr5"/>
      <sheetName val="Project_Craft_Summary5"/>
      <sheetName val="Project_Metrics5"/>
      <sheetName val="99__FWBS(Ref)5"/>
      <sheetName val="99__Change_Rate5"/>
      <sheetName val="In-House_Summary5"/>
      <sheetName val="Unt_rate5"/>
      <sheetName val="SUMMARY_(0A)5"/>
      <sheetName val="SUMMARY_(1A)5"/>
      <sheetName val="SUMMARY_(1B)5"/>
      <sheetName val="SUMMARY_(03)5"/>
      <sheetName val="F1(Cable_Rack)5"/>
      <sheetName val="F2(Cable_Rack)5"/>
      <sheetName val="F3(Cable_Rack)5"/>
      <sheetName val="F1_(POLYMER)5"/>
      <sheetName val="F2_(POLYMER)5"/>
      <sheetName val="F3_(POLYMER)5"/>
      <sheetName val="F4_(POLYMER)5"/>
      <sheetName val="F5(_Polymerization_)5"/>
      <sheetName val="F6_(_Polymerization_)5"/>
      <sheetName val="B1_(Grid_A-7,_-6)5"/>
      <sheetName val="B1_(Grid_A,_B)5"/>
      <sheetName val="B1_(Grid_C-7,_-6)5"/>
      <sheetName val="B2_(Grid_-7_B,_C)_(1)5"/>
      <sheetName val="B2_(Grid_-7_B,_C)_(2)5"/>
      <sheetName val="B2_(Grid_-6_B,_C)_(1)5"/>
      <sheetName val="B2_(Grid_-6_B,_C)_(2)5"/>
      <sheetName val="F1_(MONOMER)5"/>
      <sheetName val="F2_(MONOMER)5"/>
      <sheetName val="F3_(MONOMER)5"/>
      <sheetName val="90K060C_(MONOMER)5"/>
      <sheetName val="F1_(EXTRUSION)5"/>
      <sheetName val="F2_(EXTRUSION)5"/>
      <sheetName val="F3_(EXTRUSION)5"/>
      <sheetName val="F4_(EXTRUSION)5"/>
      <sheetName val="F5_(EXTRUSION)5"/>
      <sheetName val="F6A_(EXTRUSION)5"/>
      <sheetName val="F6D_(EXTRUSION)5"/>
      <sheetName val="F7_(EXTRUSION)5"/>
      <sheetName val="F8_(EXTRUSION)5"/>
      <sheetName val="F9_(EXTRUSION)5"/>
      <sheetName val="F10_(EXTRUSION)5"/>
      <sheetName val="F11_(EXTRUSION)5"/>
      <sheetName val="B1_(Grid_F-5`,_4`)5"/>
      <sheetName val="B2_(Grid_F,E-4`)5"/>
      <sheetName val="B2_(Grid_F,E-5`)5"/>
      <sheetName val="B3_(Grid_C,B-4`)5"/>
      <sheetName val="B4_(Grid_B,A-4`)5"/>
      <sheetName val="B5_(Grid_E-5`)_&amp;_(Grid_D-5`)5"/>
      <sheetName val="B6_(Grid_E,D-5')5"/>
      <sheetName val="B7_(Grid_E,D-5')5"/>
      <sheetName val="95D040,_A5065"/>
      <sheetName val="95P040AB,_A5075"/>
      <sheetName val="95X020-U08,_A6025"/>
      <sheetName val="95X020-U07,_A6065"/>
      <sheetName val="95E040,_A5095"/>
      <sheetName val="95D024;025,_A6155"/>
      <sheetName val="95X020-U05,_A6015"/>
      <sheetName val="95X020-U02,_A2045"/>
      <sheetName val="Extruder_FDN5"/>
      <sheetName val="BOG_COMP__FDN5"/>
      <sheetName val="SOG_COMP__FDN5"/>
      <sheetName val="1G1_(Ground_Beam)5"/>
      <sheetName val="1G2-1(Ground_Beam)5"/>
      <sheetName val="1G2-2(Ground_Beam)5"/>
      <sheetName val="P15,_165"/>
      <sheetName val="LO_CONSOLE_FDN5"/>
      <sheetName val="OIL_COOLER_FDN5"/>
      <sheetName val="CW_CONSOLE_FDN_(SOG)5"/>
      <sheetName val="PD3_(SOG)5"/>
      <sheetName val="SF1_(SOG)5"/>
      <sheetName val="SF2_(SOG)5"/>
      <sheetName val="SLAB_(1S1-1)5"/>
      <sheetName val="SLAB_(1S1-2)5"/>
      <sheetName val="SLAB_(1S1-3)5"/>
      <sheetName val="COLUMN_(+5500)5"/>
      <sheetName val="COLUMN_(+12500)5"/>
      <sheetName val="COLUMN_(+15500)5"/>
      <sheetName val="ETC_5"/>
      <sheetName val="Discounted_Cash_Flow5"/>
      <sheetName val="Ocean_Transporation_Charge5"/>
      <sheetName val="Cash_Flow_bulanan5"/>
      <sheetName val="H_Satuan5"/>
      <sheetName val="OCT_FDN5"/>
      <sheetName val="Codes_Pers5"/>
      <sheetName val="General_Notes5"/>
      <sheetName val="BO䁑-B_䁄OWN5"/>
      <sheetName val="_도면_및_도서_제출목록_및_일정_170202_xlsx5"/>
      <sheetName val="Direct_PMS5"/>
      <sheetName val="Aux_5"/>
      <sheetName val="Rates_&amp;_Legend5"/>
      <sheetName val="Pengesahan_5"/>
      <sheetName val="00-Summary_Information-ABB4"/>
      <sheetName val="Harga_Satuan5"/>
      <sheetName val="F_ALARM5"/>
      <sheetName val="Distribution_Table4"/>
      <sheetName val="2_Overall_Summary_4"/>
      <sheetName val="__5"/>
      <sheetName val="_5"/>
      <sheetName val="breakdown_of_wage_ra`f4"/>
      <sheetName val="breakdown_of_wage_ra4"/>
      <sheetName val="breakdown_of_wage_rað-4"/>
      <sheetName val="Raw_data4"/>
      <sheetName val="Exchange_Rate5"/>
      <sheetName val="Bill_rekap5"/>
      <sheetName val="차트_(2)5"/>
      <sheetName val="Action_Item4"/>
      <sheetName val="PABS,Site_info4"/>
      <sheetName val="0__Resource　Code4"/>
      <sheetName val="Material_code4"/>
      <sheetName val="DATA_MENTAH4"/>
      <sheetName val="breakdown_of_wage_rap4"/>
      <sheetName val="내역서_耰&quot;_x005f_x0000_5"/>
      <sheetName val="내역서_耰&quot;_x005f_x005f_5"/>
      <sheetName val="Process_Data_(2)5"/>
      <sheetName val="breakdown_of_wage_ra4"/>
      <sheetName val="HO_Site_Rates-20114"/>
      <sheetName val="Particular_Sch4"/>
      <sheetName val="내역서_耰&quot;_4"/>
      <sheetName val="DROP_DOWN4"/>
      <sheetName val="Al_Taweelah4"/>
      <sheetName val="ID_CD4"/>
      <sheetName val="Equipment_Spec_List4"/>
      <sheetName val="개시대사_(2)4"/>
      <sheetName val="SPEC_LIST(EQUP,_SYS)4"/>
      <sheetName val="내역서_(N____x000a_5"/>
      <sheetName val="Linelist_LNGC_Process4"/>
      <sheetName val="SUM_3"/>
      <sheetName val="Tender_data2"/>
      <sheetName val="Cash_Flow2"/>
      <sheetName val="Scheme_Area_Details_Block___C22"/>
      <sheetName val="광통신_견적내역서12"/>
      <sheetName val="Fig_4-142"/>
      <sheetName val="GM_0002"/>
      <sheetName val="Tables_3_1_to_3_5_EXH_G2"/>
      <sheetName val="EQUIPOS_DE_SEGURIDAD2"/>
      <sheetName val="MATERIALES_CONSUMIBLES2"/>
      <sheetName val="PERSONAL_INDIRECTO_2"/>
      <sheetName val="설산1_나2"/>
      <sheetName val="일위대가_2"/>
      <sheetName val="SECL_리스크_분류체계_(2)2"/>
      <sheetName val="5__월별투입내역서2"/>
      <sheetName val="1_설계기준2"/>
      <sheetName val="BM_#12"/>
      <sheetName val="Cost_Code2"/>
      <sheetName val="Data_Ref2"/>
      <sheetName val="Interdept_Rate2"/>
      <sheetName val="REF_for_VV2"/>
      <sheetName val="Weekl_3"/>
      <sheetName val="내역서_(N____6"/>
      <sheetName val="__x02"/>
      <sheetName val="OPT_3"/>
      <sheetName val="P-Ins_&amp;_Bonds2"/>
      <sheetName val="Land_Dev't__Ph-12"/>
      <sheetName val="4300_UTILITY_BLDG_(2)2"/>
      <sheetName val="INSTLIST_12"/>
      <sheetName val="Analisa_Fave2"/>
      <sheetName val="Harsat_Bahan2"/>
      <sheetName val="Harsat_Subkon2"/>
      <sheetName val="Harsat_Upah2"/>
      <sheetName val="Master_1_02"/>
      <sheetName val="Agregat_Halus_&amp;_Kasar2"/>
      <sheetName val="HARGA_MATERIAL2"/>
      <sheetName val="Harga_Sat_APP2"/>
      <sheetName val="Tgh_JGC-Inv_I_clp2"/>
      <sheetName val="PCS_2"/>
      <sheetName val="Progress_Statement-SI2"/>
      <sheetName val="Progress_Payment-31102"/>
      <sheetName val="Direct_Histogram_Rev__A_(f)2"/>
      <sheetName val="List_register2"/>
      <sheetName val="Att-1_CTCI_MH_rate2"/>
      <sheetName val="Perm__Test2"/>
      <sheetName val="Galian_12"/>
      <sheetName val="Analisa_Lump_sum2"/>
      <sheetName val="Sec_I_ML2"/>
      <sheetName val="dongia_(2)2"/>
      <sheetName val="64_42"/>
      <sheetName val="64_52"/>
      <sheetName val="36_22"/>
      <sheetName val="36_12"/>
      <sheetName val="5__Work_load(현재원기준)2"/>
      <sheetName val="내역서_耰&quot;9"/>
      <sheetName val="공통비총괄표"/>
      <sheetName val="Sch_6"/>
      <sheetName val="InD_Mpower"/>
      <sheetName val="내역서_(∮ἀ嘆ɶ_᠀㬁_1"/>
      <sheetName val="สรุปยอดเหล็กตาม_Cost_Record_VY_"/>
      <sheetName val="แนบ_PR"/>
      <sheetName val="OR21_Final_Forecast_Rev_2"/>
      <sheetName val="Summary_Forecast_Budget_1&amp;2"/>
      <sheetName val="Summary_Forecast_Budget_Rev_2"/>
      <sheetName val="Backup_OR21_"/>
      <sheetName val="Budget_for_ENT"/>
      <sheetName val="ADJ__D-Wall&amp;BR_Ent__Rev_2_1"/>
      <sheetName val="Rebar+Conพื้น_Waste10%"/>
      <sheetName val="Backup_D-Wall_Ent__13_07_19"/>
      <sheetName val="Backup_BR_ENT__13_07_19"/>
      <sheetName val="Final_Forecast_72111"/>
      <sheetName val="IMP_OR21_2019_07_11"/>
      <sheetName val="Concrete_72112"/>
      <sheetName val="หินเกล็ด_"/>
      <sheetName val="เปรียบเทียบBudget_BR_"/>
      <sheetName val="ADJ__BR_Ent__Rev_2_1_(2)"/>
      <sheetName val="แผนงานBarrette_Pile"/>
      <sheetName val="BOQ__VI_03_09_19_"/>
      <sheetName val="Backup_BR_BMA"/>
      <sheetName val="Sum_Budget&amp;Rev_1"/>
      <sheetName val="Sum_Budget_Rev_1"/>
      <sheetName val="Sum_Budget&amp;Rev_1_Rebar"/>
      <sheetName val="Sum_Budget_Rev_2_Rebar"/>
      <sheetName val="Rebar+Conพื้น_Waste10%_Rev_00"/>
      <sheetName val="Rebar+Conพื้น_Waste10%_Rev_01_"/>
      <sheetName val="Equip_Rev_00_Budget"/>
      <sheetName val="Budget_Waterpoofing"/>
      <sheetName val="IRR_sponsor"/>
      <sheetName val="4-Lane_bridge"/>
      <sheetName val="List_Equip"/>
      <sheetName val="Process_C_(1-166)"/>
      <sheetName val="TRUCK_HAUL_CYCLE-waste"/>
      <sheetName val="Existing_PC_Pavement"/>
      <sheetName val="Master_Data"/>
      <sheetName val="ind'l_cp"/>
      <sheetName val="3_부제O호표"/>
      <sheetName val="5_소모재료비"/>
      <sheetName val="8_시멘트제원표"/>
      <sheetName val="2_품제O호표"/>
      <sheetName val="본부_SHOP"/>
      <sheetName val="#6_MDU_일반"/>
      <sheetName val="#6_MDU엄반장"/>
      <sheetName val="#6MDU_기계"/>
      <sheetName val="HOU_COMP`"/>
      <sheetName val="FCC_OBL-SHOP"/>
      <sheetName val="NEW_FCC_OBL"/>
      <sheetName val="#4_MDU"/>
      <sheetName val="#6_SHOP"/>
      <sheetName val="NRC_OBL-조연식"/>
      <sheetName val="광양-조연식_반장"/>
      <sheetName val="#5MDU_REV"/>
      <sheetName val="LBO_PROJECT"/>
      <sheetName val="VENDOR_LIST"/>
      <sheetName val="BOP_LINE_LIST"/>
      <sheetName val="2013电气概算_价目表_(营改增调整)"/>
      <sheetName val="ABB_Summary"/>
      <sheetName val="Man_power_rate"/>
      <sheetName val="Const_equip_rate"/>
      <sheetName val="01-Gang_Rate_&amp;_Info"/>
      <sheetName val="05-Sum_Cost"/>
      <sheetName val="06-Indirect_Loading"/>
      <sheetName val="07-Heavy_Equipment"/>
      <sheetName val="08-RR_Check_List"/>
      <sheetName val="1)_Risk_and_Opportunities"/>
      <sheetName val="2)_Full_Cost_Calculation"/>
      <sheetName val="내역서_(N____11"/>
      <sheetName val="F1_4"/>
      <sheetName val="tblg_denda1"/>
      <sheetName val="LRK_"/>
      <sheetName val="Insulation_150108"/>
      <sheetName val="Vehicle_Log"/>
      <sheetName val="M&amp;E_Summary"/>
      <sheetName val="rev_summary"/>
      <sheetName val="M&amp;E_Prelims"/>
      <sheetName val="B-FP_(2)"/>
      <sheetName val="Sch_1"/>
      <sheetName val="PLSt 03  "/>
      <sheetName val="П 7 курс аванса"/>
      <sheetName val="IncStat 03-04"/>
      <sheetName val="IncStat 03  "/>
      <sheetName val="Авансы по СНГ"/>
      <sheetName val="INPUT_TABLE"/>
      <sheetName val="S1BOQ"/>
      <sheetName val="6.2 Floor Finishes"/>
      <sheetName val="C1 (calcolo)"/>
      <sheetName val="TABLO-3"/>
      <sheetName val="CC"/>
      <sheetName val="DivLabor_Report"/>
      <sheetName val="-0.5 TABLA PRESUPUESTOS"/>
      <sheetName val="Sithe-PPL"/>
      <sheetName val="ﾄﾞﾊﾞｲFUEL GAS追見"/>
      <sheetName val="見積書"/>
      <sheetName val="CONCRETE_TYPE"/>
      <sheetName val="Equipt_Rental"/>
      <sheetName val="EQ_USED_(CORRECTED)"/>
      <sheetName val="Rebar_Constant"/>
      <sheetName val="-0_5_TABLA_PRESUPUESTOS"/>
      <sheetName val="ﾄﾞﾊﾞｲFUEL_GAS追見"/>
      <sheetName val="Pomoćni"/>
      <sheetName val="경영상태"/>
      <sheetName val="MOTORDATA"/>
      <sheetName val="Week ending"/>
      <sheetName val="Planners Workload"/>
      <sheetName val="MAY 00-Bobbins"/>
      <sheetName val="BALAN1"/>
      <sheetName val="2.2 띠장의 설계"/>
      <sheetName val="내역서_(N   _"/>
      <sheetName val="Raw Ref"/>
      <sheetName val="Cost Codes"/>
      <sheetName val="(10) Other Costs5"/>
      <sheetName val="Assmpns"/>
      <sheetName val="Process Piping"/>
      <sheetName val="FR"/>
      <sheetName val="REF.ONLY"/>
      <sheetName val="일위"/>
      <sheetName val="CC8"/>
      <sheetName val="SOR"/>
      <sheetName val="_x005f_x005f_x00ည톐ឮ"/>
      <sheetName val="REQDELTA"/>
      <sheetName val="Dsr Hitung"/>
      <sheetName val="Mat Tower"/>
      <sheetName val="RT13526 CPI"/>
      <sheetName val="RT15918"/>
      <sheetName val="DPKlah"/>
      <sheetName val="HARVEST02"/>
      <sheetName val="Inputs - Results"/>
      <sheetName val="CONTENT"/>
      <sheetName val="GENERAL "/>
      <sheetName val="Spec"/>
      <sheetName val="PCT"/>
      <sheetName val="Comb"/>
      <sheetName val="Tank Loading"/>
      <sheetName val="Fdn Calc"/>
      <sheetName val="PHT"/>
      <sheetName val="Resume"/>
      <sheetName val="ATTACHMENT"/>
      <sheetName val="LATERAL OCDI BH-02"/>
      <sheetName val="Lateral Broms"/>
      <sheetName val="N-SPT corr"/>
      <sheetName val="Curve N-SPT"/>
      <sheetName val="기준"/>
      <sheetName val="IndirectSum"/>
      <sheetName val="2공구산출내역"/>
      <sheetName val="내역서_(N___ 2"/>
      <sheetName val="뜃맟뭁돽띿맟-BLDG"/>
      <sheetName val="(OPTION)"/>
      <sheetName val="¢ç¢®¡¿"/>
      <sheetName val="¢ç"/>
      <sheetName val="¡§"/>
      <sheetName val="¢ç¢®¢¯"/>
      <sheetName val="®¡¿"/>
      <sheetName val="SANDAN.XLS"/>
      <sheetName val="SANDAN_XLS"/>
      <sheetName val="SANDAN_XLS1"/>
      <sheetName val="SANDAN_XLS2"/>
      <sheetName val="-BLDG"/>
      <sheetName val="SANDAN_XLS3"/>
      <sheetName val="SANDAN_XLS4"/>
      <sheetName val="SANDAN_XLS5"/>
      <sheetName val="SANDAN_XLS6"/>
      <sheetName val="SANDAN_XLS7"/>
      <sheetName val="Appendix A"/>
      <sheetName val="Definitions"/>
      <sheetName val="Data Ref."/>
      <sheetName val="KKS System Codes"/>
      <sheetName val="Price Schedule Code"/>
      <sheetName val="Ana. PU"/>
      <sheetName val="tr-28202"/>
      <sheetName val="Statprod_gab2"/>
      <sheetName val="L_12"/>
      <sheetName val="Analisa_(ok_punya)"/>
      <sheetName val="Perhit.Alat"/>
      <sheetName val="CF"/>
      <sheetName val="Addendum No.1 BILL 2"/>
      <sheetName val="Expenses"/>
      <sheetName val="Code 07"/>
      <sheetName val="Integrated-S Curve"/>
      <sheetName val="LDB"/>
      <sheetName val="8-31-98"/>
      <sheetName val="combined 9-30"/>
      <sheetName val="worksheet inchican"/>
      <sheetName val="combined_9-30"/>
      <sheetName val="worksheet_inchican"/>
      <sheetName val="combined_9-301"/>
      <sheetName val="worksheet_inchican1"/>
      <sheetName val="8_31_98"/>
      <sheetName val="combined 9_30"/>
      <sheetName val="bar chart-rev"/>
      <sheetName val="combined_9_30"/>
      <sheetName val="bar_chart-rev"/>
      <sheetName val="combined_9_301"/>
      <sheetName val="bar_chart-rev1"/>
      <sheetName val="MATERIAL'S PRICE"/>
      <sheetName val="combined_9-303"/>
      <sheetName val="worksheet_inchican3"/>
      <sheetName val="combined_9_303"/>
      <sheetName val="bar_chart-rev3"/>
      <sheetName val="MATERIAL'S_PRICE1"/>
      <sheetName val="combined_9-302"/>
      <sheetName val="worksheet_inchican2"/>
      <sheetName val="combined_9_302"/>
      <sheetName val="bar_chart-rev2"/>
      <sheetName val="MATERIAL'S_PRICE"/>
      <sheetName val="arch-derivation"/>
      <sheetName val="Schedule S-Curve Revision#3"/>
      <sheetName val="Schedule_S-Curve_Revision#31"/>
      <sheetName val="Schedule_S-Curve_Revision#3"/>
      <sheetName val="PC &amp; PVS"/>
      <sheetName val="combined_9-304"/>
      <sheetName val="worksheet_inchican4"/>
      <sheetName val="combined_9_304"/>
      <sheetName val="bar_chart-rev4"/>
      <sheetName val="MATERIAL'S_PRICE2"/>
      <sheetName val="combined_9-305"/>
      <sheetName val="worksheet_inchican5"/>
      <sheetName val="combined_9_305"/>
      <sheetName val="bar_chart-rev5"/>
      <sheetName val="MATERIAL'S_PRICE3"/>
      <sheetName val="2.223M_due to adj profit"/>
      <sheetName val="derive"/>
      <sheetName val="Factor"/>
      <sheetName val="deriv"/>
      <sheetName val="Inchican Road Accomplishment"/>
      <sheetName val="Bill3-Basement"/>
      <sheetName val="combined_9-306"/>
      <sheetName val="worksheet_inchican6"/>
      <sheetName val="combined_9_306"/>
      <sheetName val="bar_chart-rev6"/>
      <sheetName val="MATERIAL'S_PRICE4"/>
      <sheetName val="Schedule_S-Curve_Revision#32"/>
      <sheetName val="PC_&amp;_PVS"/>
      <sheetName val="combined_9-307"/>
      <sheetName val="worksheet_inchican7"/>
      <sheetName val="combined_9_307"/>
      <sheetName val="bar_chart-rev7"/>
      <sheetName val="MATERIAL'S_PRICE5"/>
      <sheetName val="Schedule_S-Curve_Revision#33"/>
      <sheetName val="PC_&amp;_PVS1"/>
      <sheetName val="combined_9-308"/>
      <sheetName val="worksheet_inchican8"/>
      <sheetName val="combined_9_308"/>
      <sheetName val="bar_chart-rev8"/>
      <sheetName val="MATERIAL'S_PRICE6"/>
      <sheetName val="Schedule_S-Curve_Revision#34"/>
      <sheetName val="PC_&amp;_PVS2"/>
      <sheetName val="Shut down"/>
      <sheetName val="Building"/>
      <sheetName val="HSBC"/>
      <sheetName val="bill 2"/>
      <sheetName val="combined_9-309"/>
      <sheetName val="worksheet_inchican9"/>
      <sheetName val="combined_9_309"/>
      <sheetName val="bar_chart-rev9"/>
      <sheetName val="MATERIAL'S_PRICE7"/>
      <sheetName val="Schedule_S-Curve_Revision#36"/>
      <sheetName val="Schedule_S-Curve_Revision#35"/>
      <sheetName val="P2P"/>
      <sheetName val="combined_9-3010"/>
      <sheetName val="worksheet_inchican10"/>
      <sheetName val="combined_9_3010"/>
      <sheetName val="bar_chart-rev10"/>
      <sheetName val="MATERIAL'S_PRICE8"/>
      <sheetName val="PC_&amp;_PVS4"/>
      <sheetName val="PC_&amp;_PVS3"/>
      <sheetName val="factors"/>
      <sheetName val="s-31-98"/>
      <sheetName val="sorksheet inchican"/>
      <sheetName val="sombined 9-30"/>
      <sheetName val="30120302(PT3)-Nov"/>
      <sheetName val="S-Curve"/>
      <sheetName val="OPT1"/>
      <sheetName val="03"/>
      <sheetName val="REBAR"/>
      <sheetName val="PH 5"/>
      <sheetName val="Inchican_Road_Accomplishment"/>
      <sheetName val="Inchican_Road_Accomplishment2"/>
      <sheetName val="4-Lane_bridge2"/>
      <sheetName val="Inchican_Road_Accomplishment1"/>
      <sheetName val="4-Lane_bridge1"/>
      <sheetName val="MU"/>
      <sheetName val="Arch"/>
      <sheetName val="CONTRACT-SUM"/>
      <sheetName val="remaining billing"/>
      <sheetName val="Hac.Lots"/>
      <sheetName val="Res.Lots"/>
      <sheetName val="Spine Road"/>
      <sheetName val="CSA"/>
      <sheetName val="INPUT DATA HERE"/>
      <sheetName val="combined_9-3011"/>
      <sheetName val="worksheet_inchican11"/>
      <sheetName val="combined_9_3011"/>
      <sheetName val="bar_chart-rev11"/>
      <sheetName val="MATERIAL'S_PRICE9"/>
      <sheetName val="Schedule_S-Curve_Revision#37"/>
      <sheetName val="PC_&amp;_PVS5"/>
      <sheetName val="2_223M_due_to_adj_profit"/>
      <sheetName val="bill_2"/>
      <sheetName val="Shut_down"/>
      <sheetName val="sorksheet_inchican"/>
      <sheetName val="sombined_9-30"/>
      <sheetName val="PH_5"/>
      <sheetName val="conditions"/>
      <sheetName val="openings"/>
      <sheetName val="option Y1"/>
      <sheetName val="Poundage"/>
      <sheetName val="4-Lane_bridge3"/>
      <sheetName val="Inchican_Road_Accomplishment3"/>
      <sheetName val="Land_Dev't__Ph-13"/>
      <sheetName val="remaining_billing"/>
      <sheetName val="Hac_Lots"/>
      <sheetName val="Res_Lots"/>
      <sheetName val="Spine_Road"/>
      <sheetName val="derivationB2&amp;B3"/>
      <sheetName val="Summary (overall)"/>
      <sheetName val="breakdown"/>
      <sheetName val="Adimi bldg"/>
      <sheetName val="Pump House"/>
      <sheetName val="Fuel Regu Station"/>
      <sheetName val="combined_9-3012"/>
      <sheetName val="worksheet_inchican12"/>
      <sheetName val="combined_9_3012"/>
      <sheetName val="bar_chart-rev12"/>
      <sheetName val="MATERIAL'S_PRICE10"/>
      <sheetName val="Schedule_S-Curve_Revision#38"/>
      <sheetName val="PC_&amp;_PVS6"/>
      <sheetName val="2_223M_due_to_adj_profit1"/>
      <sheetName val="4-Lane_bridge4"/>
      <sheetName val="Inchican_Road_Accomplishment4"/>
      <sheetName val="Land_Dev't__Ph-14"/>
      <sheetName val="bill_21"/>
      <sheetName val="Shut_down1"/>
      <sheetName val="sorksheet_inchican1"/>
      <sheetName val="sombined_9-301"/>
      <sheetName val="PH_51"/>
      <sheetName val="remaining_billing1"/>
      <sheetName val="Hac_Lots1"/>
      <sheetName val="Res_Lots1"/>
      <sheetName val="Spine_Road1"/>
      <sheetName val="INPUT_DATA_HERE"/>
      <sheetName val="option_Y1"/>
      <sheetName val="combined_9-3013"/>
      <sheetName val="worksheet_inchican13"/>
      <sheetName val="combined_9_3013"/>
      <sheetName val="bar_chart-rev13"/>
      <sheetName val="MATERIAL'S_PRICE11"/>
      <sheetName val="Schedule_S-Curve_Revision#39"/>
      <sheetName val="PC_&amp;_PVS7"/>
      <sheetName val="2_223M_due_to_adj_profit2"/>
      <sheetName val="4-Lane_bridge5"/>
      <sheetName val="Inchican_Road_Accomplishment5"/>
      <sheetName val="Land_Dev't__Ph-15"/>
      <sheetName val="bill_22"/>
      <sheetName val="Shut_down2"/>
      <sheetName val="sorksheet_inchican2"/>
      <sheetName val="sombined_9-302"/>
      <sheetName val="PH_52"/>
      <sheetName val="remaining_billing2"/>
      <sheetName val="Hac_Lots2"/>
      <sheetName val="Res_Lots2"/>
      <sheetName val="Spine_Road2"/>
      <sheetName val="INPUT_DATA_HERE1"/>
      <sheetName val="option_Y11"/>
      <sheetName val="combined_9-3014"/>
      <sheetName val="worksheet_inchican14"/>
      <sheetName val="combined_9_3014"/>
      <sheetName val="bar_chart-rev14"/>
      <sheetName val="MATERIAL'S_PRICE12"/>
      <sheetName val="Schedule_S-Curve_Revision#310"/>
      <sheetName val="PC_&amp;_PVS8"/>
      <sheetName val="2_223M_due_to_adj_profit3"/>
      <sheetName val="4-Lane_bridge6"/>
      <sheetName val="Inchican_Road_Accomplishment6"/>
      <sheetName val="Land_Dev't__Ph-16"/>
      <sheetName val="bill_23"/>
      <sheetName val="Shut_down3"/>
      <sheetName val="sorksheet_inchican3"/>
      <sheetName val="sombined_9-303"/>
      <sheetName val="PH_53"/>
      <sheetName val="remaining_billing3"/>
      <sheetName val="Hac_Lots3"/>
      <sheetName val="Res_Lots3"/>
      <sheetName val="Spine_Road3"/>
      <sheetName val="INPUT_DATA_HERE2"/>
      <sheetName val="option_Y12"/>
      <sheetName val="combined_9-3015"/>
      <sheetName val="worksheet_inchican15"/>
      <sheetName val="combined_9_3015"/>
      <sheetName val="bar_chart-rev15"/>
      <sheetName val="MATERIAL'S_PRICE13"/>
      <sheetName val="Schedule_S-Curve_Revision#311"/>
      <sheetName val="PC_&amp;_PVS9"/>
      <sheetName val="2_223M_due_to_adj_profit4"/>
      <sheetName val="4-Lane_bridge7"/>
      <sheetName val="Inchican_Road_Accomplishment7"/>
      <sheetName val="Land_Dev't__Ph-17"/>
      <sheetName val="bill_24"/>
      <sheetName val="Shut_down4"/>
      <sheetName val="sorksheet_inchican4"/>
      <sheetName val="sombined_9-304"/>
      <sheetName val="PH_54"/>
      <sheetName val="remaining_billing4"/>
      <sheetName val="Hac_Lots4"/>
      <sheetName val="Res_Lots4"/>
      <sheetName val="Spine_Road4"/>
      <sheetName val="INPUT_DATA_HERE3"/>
      <sheetName val="option_Y13"/>
      <sheetName val="combined_9-3016"/>
      <sheetName val="worksheet_inchican16"/>
      <sheetName val="combined_9_3016"/>
      <sheetName val="bar_chart-rev16"/>
      <sheetName val="MATERIAL'S_PRICE14"/>
      <sheetName val="Schedule_S-Curve_Revision#312"/>
      <sheetName val="PC_&amp;_PVS10"/>
      <sheetName val="2_223M_due_to_adj_profit5"/>
      <sheetName val="4-Lane_bridge8"/>
      <sheetName val="Inchican_Road_Accomplishment8"/>
      <sheetName val="Land_Dev't__Ph-18"/>
      <sheetName val="bill_25"/>
      <sheetName val="Shut_down5"/>
      <sheetName val="sorksheet_inchican5"/>
      <sheetName val="sombined_9-305"/>
      <sheetName val="PH_55"/>
      <sheetName val="remaining_billing5"/>
      <sheetName val="Hac_Lots5"/>
      <sheetName val="Res_Lots5"/>
      <sheetName val="Spine_Road5"/>
      <sheetName val="INPUT_DATA_HERE4"/>
      <sheetName val="option_Y14"/>
      <sheetName val="combined_9-3017"/>
      <sheetName val="worksheet_inchican17"/>
      <sheetName val="combined_9_3017"/>
      <sheetName val="bar_chart-rev17"/>
      <sheetName val="MATERIAL'S_PRICE15"/>
      <sheetName val="Schedule_S-Curve_Revision#313"/>
      <sheetName val="PC_&amp;_PVS11"/>
      <sheetName val="2_223M_due_to_adj_profit6"/>
      <sheetName val="Material_Price6"/>
      <sheetName val="4-Lane_bridge9"/>
      <sheetName val="Inchican_Road_Accomplishment9"/>
      <sheetName val="Land_Dev't__Ph-19"/>
      <sheetName val="bill_26"/>
      <sheetName val="Shut_down6"/>
      <sheetName val="sorksheet_inchican6"/>
      <sheetName val="sombined_9-306"/>
      <sheetName val="PH_56"/>
      <sheetName val="remaining_billing6"/>
      <sheetName val="Hac_Lots6"/>
      <sheetName val="Res_Lots6"/>
      <sheetName val="Spine_Road6"/>
      <sheetName val="INPUT_DATA_HERE5"/>
      <sheetName val="option_Y15"/>
      <sheetName val="combined_9-3018"/>
      <sheetName val="worksheet_inchican18"/>
      <sheetName val="combined_9_3018"/>
      <sheetName val="bar_chart-rev18"/>
      <sheetName val="MATERIAL'S_PRICE16"/>
      <sheetName val="Schedule_S-Curve_Revision#314"/>
      <sheetName val="PC_&amp;_PVS12"/>
      <sheetName val="2_223M_due_to_adj_profit7"/>
      <sheetName val="Material_Price7"/>
      <sheetName val="4-Lane_bridge10"/>
      <sheetName val="Inchican_Road_Accomplishment10"/>
      <sheetName val="Land_Dev't__Ph-110"/>
      <sheetName val="bill_27"/>
      <sheetName val="Shut_down7"/>
      <sheetName val="remaining_billing7"/>
      <sheetName val="Hac_Lots7"/>
      <sheetName val="Res_Lots7"/>
      <sheetName val="Spine_Road7"/>
      <sheetName val="sorksheet_inchican7"/>
      <sheetName val="sombined_9-307"/>
      <sheetName val="INPUT_DATA_HERE6"/>
      <sheetName val="PH_57"/>
      <sheetName val="option_Y16"/>
      <sheetName val="combined_9-3019"/>
      <sheetName val="worksheet_inchican19"/>
      <sheetName val="combined_9_3019"/>
      <sheetName val="bar_chart-rev19"/>
      <sheetName val="MATERIAL'S_PRICE17"/>
      <sheetName val="Schedule_S-Curve_Revision#315"/>
      <sheetName val="PC_&amp;_PVS13"/>
      <sheetName val="2_223M_due_to_adj_profit8"/>
      <sheetName val="Material_Price8"/>
      <sheetName val="4-Lane_bridge11"/>
      <sheetName val="Inchican_Road_Accomplishment11"/>
      <sheetName val="Land_Dev't__Ph-111"/>
      <sheetName val="bill_28"/>
      <sheetName val="Shut_down8"/>
      <sheetName val="sorksheet_inchican8"/>
      <sheetName val="sombined_9-308"/>
      <sheetName val="PH_58"/>
      <sheetName val="remaining_billing8"/>
      <sheetName val="Hac_Lots8"/>
      <sheetName val="Res_Lots8"/>
      <sheetName val="Spine_Road8"/>
      <sheetName val="INPUT_DATA_HERE7"/>
      <sheetName val="option_Y17"/>
      <sheetName val="combined_9-3020"/>
      <sheetName val="worksheet_inchican20"/>
      <sheetName val="combined_9_3020"/>
      <sheetName val="bar_chart-rev20"/>
      <sheetName val="MATERIAL'S_PRICE18"/>
      <sheetName val="Schedule_S-Curve_Revision#316"/>
      <sheetName val="PC_&amp;_PVS14"/>
      <sheetName val="2_223M_due_to_adj_profit9"/>
      <sheetName val="Material_Price9"/>
      <sheetName val="4-Lane_bridge12"/>
      <sheetName val="Inchican_Road_Accomplishment12"/>
      <sheetName val="Land_Dev't__Ph-112"/>
      <sheetName val="bill_29"/>
      <sheetName val="Shut_down9"/>
      <sheetName val="sorksheet_inchican9"/>
      <sheetName val="sombined_9-309"/>
      <sheetName val="PH_59"/>
      <sheetName val="remaining_billing9"/>
      <sheetName val="Hac_Lots9"/>
      <sheetName val="Res_Lots9"/>
      <sheetName val="Spine_Road9"/>
      <sheetName val="INPUT_DATA_HERE8"/>
      <sheetName val="option_Y18"/>
      <sheetName val="combined_9-3021"/>
      <sheetName val="worksheet_inchican21"/>
      <sheetName val="combined_9_3021"/>
      <sheetName val="bar_chart-rev21"/>
      <sheetName val="MATERIAL'S_PRICE19"/>
      <sheetName val="Schedule_S-Curve_Revision#317"/>
      <sheetName val="PC_&amp;_PVS15"/>
      <sheetName val="2_223M_due_to_adj_profit10"/>
      <sheetName val="Material_Price10"/>
      <sheetName val="4-Lane_bridge13"/>
      <sheetName val="Inchican_Road_Accomplishment13"/>
      <sheetName val="Land_Dev't__Ph-113"/>
      <sheetName val="bill_210"/>
      <sheetName val="Shut_down10"/>
      <sheetName val="sorksheet_inchican10"/>
      <sheetName val="sombined_9-3010"/>
      <sheetName val="PH_510"/>
      <sheetName val="remaining_billing10"/>
      <sheetName val="Hac_Lots10"/>
      <sheetName val="Res_Lots10"/>
      <sheetName val="Spine_Road10"/>
      <sheetName val="INPUT_DATA_HERE9"/>
      <sheetName val="option_Y19"/>
      <sheetName val="combined_9-3022"/>
      <sheetName val="worksheet_inchican22"/>
      <sheetName val="combined_9_3022"/>
      <sheetName val="bar_chart-rev22"/>
      <sheetName val="MATERIAL'S_PRICE20"/>
      <sheetName val="Schedule_S-Curve_Revision#318"/>
      <sheetName val="PC_&amp;_PVS16"/>
      <sheetName val="2_223M_due_to_adj_profit11"/>
      <sheetName val="Material_Price11"/>
      <sheetName val="4-Lane_bridge14"/>
      <sheetName val="Inchican_Road_Accomplishment14"/>
      <sheetName val="Land_Dev't__Ph-114"/>
      <sheetName val="bill_211"/>
      <sheetName val="Shut_down11"/>
      <sheetName val="sorksheet_inchican11"/>
      <sheetName val="sombined_9-3011"/>
      <sheetName val="PH_511"/>
      <sheetName val="remaining_billing11"/>
      <sheetName val="Hac_Lots11"/>
      <sheetName val="Res_Lots11"/>
      <sheetName val="Spine_Road11"/>
      <sheetName val="INPUT_DATA_HERE10"/>
      <sheetName val="option_Y110"/>
      <sheetName val="combined_9-3023"/>
      <sheetName val="worksheet_inchican23"/>
      <sheetName val="combined_9_3023"/>
      <sheetName val="bar_chart-rev23"/>
      <sheetName val="MATERIAL'S_PRICE21"/>
      <sheetName val="Schedule_S-Curve_Revision#319"/>
      <sheetName val="PC_&amp;_PVS17"/>
      <sheetName val="2_223M_due_to_adj_profit12"/>
      <sheetName val="Material_Price12"/>
      <sheetName val="4-Lane_bridge15"/>
      <sheetName val="Inchican_Road_Accomplishment15"/>
      <sheetName val="Land_Dev't__Ph-115"/>
      <sheetName val="bill_212"/>
      <sheetName val="Shut_down12"/>
      <sheetName val="sorksheet_inchican12"/>
      <sheetName val="sombined_9-3012"/>
      <sheetName val="PH_512"/>
      <sheetName val="remaining_billing12"/>
      <sheetName val="Hac_Lots12"/>
      <sheetName val="Res_Lots12"/>
      <sheetName val="Spine_Road12"/>
      <sheetName val="INPUT_DATA_HERE11"/>
      <sheetName val="option_Y111"/>
      <sheetName val="Footing Tie Beam"/>
      <sheetName val="combined_9-3024"/>
      <sheetName val="worksheet_inchican24"/>
      <sheetName val="combined_9_3024"/>
      <sheetName val="bar_chart-rev24"/>
      <sheetName val="MATERIAL'S_PRICE22"/>
      <sheetName val="Schedule_S-Curve_Revision#320"/>
      <sheetName val="PC_&amp;_PVS18"/>
      <sheetName val="2_223M_due_to_adj_profit13"/>
      <sheetName val="Material_Price13"/>
      <sheetName val="4-Lane_bridge16"/>
      <sheetName val="Inchican_Road_Accomplishment16"/>
      <sheetName val="Land_Dev't__Ph-116"/>
      <sheetName val="bill_213"/>
      <sheetName val="Shut_down13"/>
      <sheetName val="sorksheet_inchican13"/>
      <sheetName val="sombined_9-3013"/>
      <sheetName val="PH_513"/>
      <sheetName val="remaining_billing13"/>
      <sheetName val="Hac_Lots13"/>
      <sheetName val="Res_Lots13"/>
      <sheetName val="Spine_Road13"/>
      <sheetName val="INPUT_DATA_HERE12"/>
      <sheetName val="option_Y112"/>
      <sheetName val="UTILITIES"/>
      <sheetName val="FINAL NEGO"/>
      <sheetName val="DISCUSSION"/>
      <sheetName val="SIGN-OFF"/>
      <sheetName val="RFP Codes"/>
      <sheetName val="Bill summary of cost"/>
      <sheetName val="unit price"/>
      <sheetName val="Schedule S-Curve (new scheme)"/>
      <sheetName val="UPA-struc"/>
      <sheetName val="Fire Suppression"/>
      <sheetName val="revised#1"/>
      <sheetName val="Materials"/>
      <sheetName val="lookups"/>
      <sheetName val="tabulation (comparison)"/>
      <sheetName val="area comp 2011 01 18"/>
      <sheetName val="combined_9-3025"/>
      <sheetName val="worksheet_inchican25"/>
      <sheetName val="combined_9_3025"/>
      <sheetName val="bar_chart-rev25"/>
      <sheetName val="MATERIAL'S_PRICE23"/>
      <sheetName val="PC_&amp;_PVS19"/>
      <sheetName val="Schedule_S-Curve_Revision#321"/>
      <sheetName val="Land_Dev't__Ph-117"/>
      <sheetName val="4-Lane_bridge17"/>
      <sheetName val="2_223M_due_to_adj_profit14"/>
      <sheetName val="Material_Price14"/>
      <sheetName val="Inchican_Road_Accomplishment17"/>
      <sheetName val="Shut_down14"/>
      <sheetName val="bill_214"/>
      <sheetName val="sorksheet_inchican14"/>
      <sheetName val="sombined_9-3014"/>
      <sheetName val="PH_514"/>
      <sheetName val="option_Y113"/>
      <sheetName val="remaining_billing14"/>
      <sheetName val="Hac_Lots14"/>
      <sheetName val="Res_Lots14"/>
      <sheetName val="Spine_Road14"/>
      <sheetName val="INPUT_DATA_HERE13"/>
      <sheetName val="Summary_(overall)"/>
      <sheetName val="Adimi_bldg"/>
      <sheetName val="Pump_House"/>
      <sheetName val="Fuel_Regu_Station"/>
      <sheetName val="FINAL_NEGO"/>
      <sheetName val="Footing_Tie_Beam"/>
      <sheetName val="RFP_Codes"/>
      <sheetName val="Bill_summary_of_cost"/>
      <sheetName val="unit_price"/>
      <sheetName val="Schedule_S-Curve_(new_scheme)"/>
      <sheetName val="Fire_Suppression"/>
      <sheetName val="tabulation_(comparison)"/>
      <sheetName val="area_comp_2011_01_18"/>
      <sheetName val="Addendum_No_1_BILL_2"/>
      <sheetName val="Tabulation "/>
      <sheetName val="afis"/>
      <sheetName val="COLUMN"/>
      <sheetName val="3.-RESOURCE LIST"/>
      <sheetName val="0.-SUMMARY"/>
      <sheetName val="3.2.AUX"/>
      <sheetName val="3.3.AUX-2"/>
      <sheetName val="galian saluran"/>
      <sheetName val="05 Analisa Teknik"/>
      <sheetName val="見管SＴ"/>
      <sheetName val="見管ＧＴ"/>
      <sheetName val="GRAND SUM"/>
      <sheetName val="VCC 11110-461"/>
      <sheetName val="7.6.3.J.Inline Instrument"/>
      <sheetName val="F-31"/>
      <sheetName val="5.5FWBS CODE"/>
      <sheetName val="график финансирования"/>
      <sheetName val="Load"/>
      <sheetName val="Data_ST"/>
      <sheetName val="VV_Ped"/>
      <sheetName val="PCV"/>
      <sheetName val="Site_x0000__x0000_"/>
      <sheetName val="MRS"/>
      <sheetName val="P&amp;L"/>
      <sheetName val="Monthly S Curve SPK"/>
      <sheetName val="UPAH &amp; BHN ARS"/>
      <sheetName val="AHS ARS"/>
      <sheetName val="Analisa HSP"/>
      <sheetName val="입찰내역 발주처 양卤"/>
      <sheetName val="Analisa Neraca"/>
      <sheetName val="GAEYO"/>
      <sheetName val="CEQ_Master"/>
      <sheetName val="Man_Master"/>
      <sheetName val="여흥"/>
      <sheetName val="Diary"/>
      <sheetName val="RSC"/>
      <sheetName val="TTL_Qty"/>
      <sheetName val="QTY"/>
      <sheetName val="BQ_E20_02_Rp_"/>
      <sheetName val="ANAL.BOW"/>
      <sheetName val="Isolasi Luar Dalam"/>
      <sheetName val="Isolasi Luar"/>
      <sheetName val="파이프류"/>
      <sheetName val="변수"/>
      <sheetName val="CAP"/>
      <sheetName val="Addition-ProtectionSummary"/>
      <sheetName val="Project D"/>
      <sheetName val="Tender Summary"/>
      <sheetName val="OE (KSB)"/>
      <sheetName val="TEST1"/>
      <sheetName val="Sew-Tahan"/>
      <sheetName val="내역ࠜĀ_x005f"/>
      <sheetName val="내역서 耰&quot;_x005f"/>
      <sheetName val="_x005f_x005f_x005f_x005F_x005f_x005f_"/>
      <sheetName val="당초?ἀ"/>
      <sheetName val="_x0004_?_x000d_?_x0003_?_x0004_?_x0016_?_x000d_?_x0004_"/>
      <sheetName val="_x000a_?_x001b_?_x0006_?_x0006_?_x0008_?_x000a_??"/>
      <sheetName val="내역서_耰&quot;_x005f"/>
      <sheetName val=" ?_x001b_?_x0006_?_x0006_?_x0008_? ??"/>
      <sheetName val="Weekl_x0004_?_x0016_?_x000d_?"/>
      <sheetName val="?_x000e_?_x0005_"/>
      <sheetName val="_x0002_?뻘N??_"/>
      <sheetName val="_x0004_?_x000d_?_x0"/>
      <sheetName val="_x000a_?_x001b_?_x0"/>
      <sheetName val="7422CW_x0013_?"/>
      <sheetName val="OPT_x0012_?_x0010_?_x000a_?"/>
      <sheetName val="?_x0013_?_x0014_"/>
      <sheetName val="Analisa SNI STANDART "/>
      <sheetName val="Schedul"/>
      <sheetName val="1.B"/>
      <sheetName val="EVAL-ANAL"/>
      <sheetName val="div-6"/>
      <sheetName val="RKP"/>
      <sheetName val="div-2"/>
      <sheetName val="변경내역대비표(2)"/>
      <sheetName val="Lists"/>
      <sheetName val="phuluc1"/>
      <sheetName val="TONGKE1P"/>
      <sheetName val="TKThep"/>
      <sheetName val="Bang KL"/>
      <sheetName val="소화실적"/>
      <sheetName val="계수"/>
      <sheetName val="수주계획('22)"/>
      <sheetName val="수주계획(22)"/>
      <sheetName val="전계가"/>
      <sheetName val="Monomers"/>
      <sheetName val="6_2_Floor_Finishes"/>
      <sheetName val="MSH51C"/>
      <sheetName val="Micro"/>
      <sheetName val="Macro"/>
      <sheetName val="JKT"/>
      <sheetName val="1195 B1"/>
      <sheetName val="page 6"/>
      <sheetName val="Capel KI"/>
      <sheetName val="Capel PK"/>
      <sheetName val="Summary HS Pipa CS"/>
      <sheetName val="AsumsiDasar"/>
      <sheetName val="Raw Data-Combined"/>
      <sheetName val="Rates"/>
      <sheetName val="Spread"/>
      <sheetName val="TRNS-C1"/>
      <sheetName val="plumbing"/>
      <sheetName val="MANPOWER-RATES"/>
      <sheetName val="EQUIPMENT-PRICE"/>
      <sheetName val="Instrument Proc"/>
      <sheetName val="MTO Civil Work"/>
      <sheetName val="Sched 3 (Construction)"/>
      <sheetName val="Sched 1 (Engineering)"/>
      <sheetName val="Sched 2 (Procurement "/>
      <sheetName val="JOB Code"/>
      <sheetName val="Days"/>
      <sheetName val="COVER_RECAP_INSTALL (2)"/>
      <sheetName val="COVER_RECAP_INSTALL"/>
      <sheetName val="Rekap Summary"/>
      <sheetName val="Rekap Breakdown"/>
      <sheetName val="Mapping"/>
      <sheetName val="Acceptance"/>
      <sheetName val="ISR"/>
      <sheetName val="Detail Eng"/>
      <sheetName val="Equiv.Length"/>
      <sheetName val="lkalibrasi BENENAIN"/>
      <sheetName val="HSATUAN"/>
      <sheetName val="Terbilang"/>
      <sheetName val="har-sat"/>
      <sheetName val="Harga Mat "/>
      <sheetName val="Accountingword"/>
      <sheetName val="Main Control"/>
      <sheetName val="upa"/>
      <sheetName val="Ra  stair"/>
      <sheetName val="TEMP PROFILE"/>
      <sheetName val="_선택 속성(잠금)"/>
      <sheetName val="Drop-down lists"/>
      <sheetName val="EST_EQUIPOS"/>
      <sheetName val="P. control"/>
      <sheetName val="EVAL"/>
      <sheetName val="Costing Detailed"/>
      <sheetName val="ER10_Old"/>
      <sheetName val="Basic Data Inputs"/>
      <sheetName val="AIRCOND"/>
      <sheetName val="EXTERNAL"/>
      <sheetName val="MDGAS"/>
      <sheetName val="BILL 1"/>
      <sheetName val="Step2 -&gt; Mat. Cost"/>
      <sheetName val="Elektrikal"/>
      <sheetName val="PESANTREN"/>
      <sheetName val="G"/>
      <sheetName val=" hrg bhn"/>
      <sheetName val="BAHAN"/>
      <sheetName val="Riser-1"/>
      <sheetName val="음료실행"/>
      <sheetName val="Áý°èÇ¥_(TOTAN)5"/>
      <sheetName val="Section 1"/>
      <sheetName val="HS"/>
      <sheetName val="Koordinat"/>
      <sheetName val="3-DIV4"/>
      <sheetName val="hs-str"/>
      <sheetName val="hs_str"/>
      <sheetName val="Rekap Addendum"/>
      <sheetName val="6"/>
      <sheetName val="7"/>
      <sheetName val="8"/>
      <sheetName val="9"/>
      <sheetName val="11"/>
      <sheetName val="12"/>
      <sheetName val="13"/>
      <sheetName val="14"/>
      <sheetName val="15"/>
      <sheetName val="17"/>
      <sheetName val="18"/>
      <sheetName val="19"/>
      <sheetName val="20"/>
      <sheetName val="4"/>
      <sheetName val="AT 2"/>
      <sheetName val="Jateng"/>
      <sheetName val="Jatim"/>
      <sheetName val="Steel-Twr"/>
      <sheetName val="Alat"/>
      <sheetName val="热工设备"/>
      <sheetName val="仪表设备"/>
      <sheetName val="Man Power"/>
      <sheetName val="grafik"/>
      <sheetName val="OP-DSU"/>
      <sheetName val="pro ra op"/>
      <sheetName val="analis standar(8m)"/>
      <sheetName val="Ex_Rate"/>
      <sheetName val="ShareCapital "/>
      <sheetName val="Inventories"/>
      <sheetName val="BAG_2"/>
      <sheetName val="ANALIS"/>
      <sheetName val="_x005f_x0002__x005f_x0000_뻘N_x005f_x0000__x005f_x0000__"/>
      <sheetName val="내역서 (∮ἀ嘆ɶ_x005f_x0000_᠀㬁_x005f_x0000_"/>
      <sheetName val="당초_x005f_xd8b4_∸ἀ"/>
      <sheetName val="_x005f_x0002__뻘N___x005f_x0001_ࠀ역서"/>
      <sheetName val="_x005f_x0002_"/>
      <sheetName val="_x005f_x0004__x005f_x0000__x005f_x000d__x005f_x0000__x0"/>
      <sheetName val="_x005f_x000a__x005f_x0000__x005f_x001b__x005f_x0000__x0"/>
      <sheetName val="_x005f_x000a__x005f_x000a_"/>
      <sheetName val="_x005f_x0004_"/>
      <sheetName val="_x005f_x000a_"/>
      <sheetName val=" _x005f_x0000__x005f_x001b__x005f_x0000__x005f_x0006__x"/>
      <sheetName val="내역서 耰&quot;_x005f_x005f_x005f_x0000__x0000"/>
      <sheetName val="_x005f_x005f_x005f_x005f_x005f_x005f_x005f_x005f_"/>
      <sheetName val="Weekl_x005f_x0004__x005f_x0000__x005f_x0016__x000"/>
      <sheetName val="_x005f_x0000__x005f_x000e__x005f_x0000__x005f_x0005_"/>
      <sheetName val="내역서_(N_x005f_x0009__x005f_x000e__x005f_x000e__x00"/>
      <sheetName val="내역서_(N _x005f_x000e__x005f_x000e__x005f_x000e_  _"/>
      <sheetName val="내역서_耰&quot;_x005f_x005f_x005f_x0000__x0000"/>
      <sheetName val="7422CW_x005f_x0013__x005f_x0000_"/>
      <sheetName val="OPT_x005f_x0012__x005f_x0000__x005f_x0010__x005f_x0000_"/>
      <sheetName val="_x005f_x0000__x005f_x0013__x005f_x0000__x005f_x0014_"/>
      <sheetName val="Weekl_x005f_x0004_"/>
      <sheetName val="내역서_耰&quot;_x005f_x005f_x005f_x0000__x0001"/>
      <sheetName val="내역서_耰&quot;_x005f_x005f_x005f_x005f_x00001"/>
      <sheetName val="내역서_耰&quot;_x005f_x005f_x005f_x005f_x005f1"/>
      <sheetName val="내역서_耰&quot;_x005f_x005f_x005f_x0000__x0002"/>
      <sheetName val="내역서_耰&quot;_x005f_x005f_x005f_x005f_x00002"/>
      <sheetName val="내역서_耰&quot;_x005f_x005f_x005f_x005f_x005f2"/>
      <sheetName val="실행집_x005f_x0005_"/>
      <sheetName val="내역서_耰&quot;_x005f_x005f_x005f_x0000__x00001"/>
      <sheetName val="Weekl_x005f_x000a_"/>
      <sheetName val="내역서_(N____x005f_x000a_"/>
      <sheetName val="내역서_(N   _x005f_x000a_"/>
      <sheetName val="_x005f_x000a__x0"/>
      <sheetName val="OPT_x005f_x000a_"/>
      <sheetName val="9-1차이내역"/>
      <sheetName val="Bangunan Utama"/>
      <sheetName val="daf-3(OK)"/>
      <sheetName val="daf-7(OK)"/>
      <sheetName val="Hrg.Sat"/>
      <sheetName val="GKP"/>
      <sheetName val="renc mgn"/>
      <sheetName val="Rekap Analisa"/>
      <sheetName val="SchC"/>
      <sheetName val="SchA"/>
      <sheetName val="SewAlat"/>
      <sheetName val="ANALISA PEK.UMUM"/>
      <sheetName val="IN OUT"/>
      <sheetName val="7422CW_x005f_x0013_"/>
      <sheetName val="OPT_x005f_x0012_"/>
      <sheetName val="내역서 ᢐ_x005f_x001f_"/>
      <sheetName val="내역서_耰&quot;_x005f_x005f_x005f_x0000__x0003"/>
      <sheetName val="내역서_耰&quot;_x005f_x005f_x005f_x005f_x00003"/>
      <sheetName val="내역서_耰&quot;_x005f_x005f_x005f_x005f_x005f3"/>
      <sheetName val="내역서_耰&quot;_x005f_x005f_x005f_x0000__x0004"/>
      <sheetName val="내역서_耰&quot;_x005f_x005f_x005f_x005f_x00004"/>
      <sheetName val="내역서_耰&quot;_x005f_x005f_x005f_x005f_x005f4"/>
      <sheetName val="내역서_耰&quot;_x005f_x005f_x005f_x0000__x0005"/>
      <sheetName val="내역서_耰&quot;_x005f_x005f_x005f_x005f_x00005"/>
      <sheetName val="내역서_耰&quot;_x005f_x005f_x005f_x005f_x005f5"/>
      <sheetName val="내역서 ᢐ_x005f_x001f__x005f_x0000__x005f_x0000_"/>
      <sheetName val="EQUIPMENT_-_x005f_x0000_"/>
      <sheetName val="__x005f_x0000__x005f_x001b__x005f_x0000__x005f_x0006__x"/>
      <sheetName val="바닥판_x005f_x0000_⽷_x005f_x0000_"/>
      <sheetName val="내역서_耰&quot;_x005f_x005f_x005f_x0000__x00002"/>
      <sheetName val="내역서_(N____x005f_x000a_2"/>
      <sheetName val="내역서_(N____x005f_x000a_1"/>
      <sheetName val="내역서_耰&quot;_x005f_x005f_x005f_x0000__x00003"/>
      <sheetName val="Sat Bah _ Up"/>
      <sheetName val="DATA PROYEK"/>
      <sheetName val="rab me (by owner) "/>
      <sheetName val="BQ (by owner)"/>
      <sheetName val="rab me (fisik)"/>
      <sheetName val="abut2"/>
      <sheetName val="LIST ANHARSAT"/>
      <sheetName val="Team 3 S-Curve"/>
      <sheetName val="내역서_耰&quot;_x005f_x0000__x0008"/>
      <sheetName val="내역서_耰&quot;_x005f_x005f_x00008"/>
      <sheetName val="내역서_耰&quot;_x005f_x005f_x005f8"/>
      <sheetName val="내역서_耰&quot;_x00007"/>
      <sheetName val="내역서_耰&quot;_x005f7"/>
      <sheetName val="_x00ည톐ឮ"/>
      <sheetName val="내역서_耰&quot;_x0000__x0007"/>
      <sheetName val="LV induction _x0000__x0000__x0005__x0000_묠"/>
      <sheetName val="Page1"/>
      <sheetName val="Home Office"/>
      <sheetName val="TABLE-A"/>
      <sheetName val="내역서 耰&quot;"/>
      <sheetName val="내역ࠜĀM4)"/>
      <sheetName val="7422CW_x0013_"/>
      <sheetName val="EQUIPMENT_-"/>
      <sheetName val="내역서 ᢐ_x001f_"/>
      <sheetName val="Precios Unitariԯ"/>
      <sheetName val="내역서_耰&quot;_x0000__x0000_7"/>
      <sheetName val="내역서_耰&quot;_x0000__x0000_8"/>
      <sheetName val="내역서_耰&quot;6"/>
      <sheetName val="내역서_耰&quot;_x0000"/>
      <sheetName val="내역ࠜĀM4"/>
      <sheetName val="내역서_耰&quot;_x0001"/>
      <sheetName val="내역서_耰&quot;_x0002"/>
      <sheetName val="내역서_耰&quot;_x0000__x0000_"/>
      <sheetName val="내역서_耰&quot;_x0000__x0000_1"/>
      <sheetName val="내역서_耰&quot;_x0000__x0000_2"/>
      <sheetName val="내역서_耰&quot;_x0000__x0000_3"/>
      <sheetName val="내역서_耰&quot;_x0000__x0000_4"/>
      <sheetName val="내역서_耰&quot;_x0000__x0000_5"/>
      <sheetName val="내역서 耰&quot;_x0000_"/>
      <sheetName val="내역서_耰&quot;_x0000_"/>
      <sheetName val="내역서_耰&quot;_x0000__x00001"/>
      <sheetName val="_x0000__x0004_"/>
      <sheetName val="내역서_耰&quot;_x0000__x00002"/>
      <sheetName val="내역서_耰&quot;_x0000_1"/>
      <sheetName val="내역서_耰&quot;_x0000__x00003"/>
      <sheetName val="내역서_耰&quot;_x0000_2"/>
      <sheetName val="내역서_耰&quot;_x0003"/>
      <sheetName val="내역서_耰&quot;_x0004"/>
      <sheetName val="내역서_耰&quot;_x0005"/>
      <sheetName val="내역서_耰&quot;_x000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 refreshError="1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 refreshError="1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 refreshError="1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/>
      <sheetData sheetId="1497" refreshError="1"/>
      <sheetData sheetId="1498" refreshError="1"/>
      <sheetData sheetId="1499"/>
      <sheetData sheetId="1500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/>
      <sheetData sheetId="1671" refreshError="1"/>
      <sheetData sheetId="1672" refreshError="1"/>
      <sheetData sheetId="1673" refreshError="1"/>
      <sheetData sheetId="1674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/>
      <sheetData sheetId="1713"/>
      <sheetData sheetId="1714"/>
      <sheetData sheetId="1715"/>
      <sheetData sheetId="1716"/>
      <sheetData sheetId="1717"/>
      <sheetData sheetId="1718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/>
      <sheetData sheetId="1837"/>
      <sheetData sheetId="1838"/>
      <sheetData sheetId="1839"/>
      <sheetData sheetId="1840"/>
      <sheetData sheetId="1841"/>
      <sheetData sheetId="1842"/>
      <sheetData sheetId="1843"/>
      <sheetData sheetId="1844"/>
      <sheetData sheetId="1845"/>
      <sheetData sheetId="1846"/>
      <sheetData sheetId="1847"/>
      <sheetData sheetId="1848"/>
      <sheetData sheetId="1849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/>
      <sheetData sheetId="1862"/>
      <sheetData sheetId="1863"/>
      <sheetData sheetId="1864"/>
      <sheetData sheetId="1865"/>
      <sheetData sheetId="1866"/>
      <sheetData sheetId="1867"/>
      <sheetData sheetId="1868"/>
      <sheetData sheetId="1869"/>
      <sheetData sheetId="1870"/>
      <sheetData sheetId="1871"/>
      <sheetData sheetId="1872"/>
      <sheetData sheetId="1873"/>
      <sheetData sheetId="1874"/>
      <sheetData sheetId="1875"/>
      <sheetData sheetId="1876"/>
      <sheetData sheetId="1877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/>
      <sheetData sheetId="1886"/>
      <sheetData sheetId="1887"/>
      <sheetData sheetId="1888"/>
      <sheetData sheetId="1889"/>
      <sheetData sheetId="1890"/>
      <sheetData sheetId="1891"/>
      <sheetData sheetId="1892"/>
      <sheetData sheetId="1893"/>
      <sheetData sheetId="1894"/>
      <sheetData sheetId="1895"/>
      <sheetData sheetId="1896"/>
      <sheetData sheetId="1897"/>
      <sheetData sheetId="1898"/>
      <sheetData sheetId="1899"/>
      <sheetData sheetId="1900"/>
      <sheetData sheetId="1901"/>
      <sheetData sheetId="1902"/>
      <sheetData sheetId="1903"/>
      <sheetData sheetId="1904"/>
      <sheetData sheetId="1905"/>
      <sheetData sheetId="1906"/>
      <sheetData sheetId="1907" refreshError="1"/>
      <sheetData sheetId="1908"/>
      <sheetData sheetId="1909"/>
      <sheetData sheetId="1910"/>
      <sheetData sheetId="1911"/>
      <sheetData sheetId="1912"/>
      <sheetData sheetId="1913"/>
      <sheetData sheetId="1914"/>
      <sheetData sheetId="1915"/>
      <sheetData sheetId="1916"/>
      <sheetData sheetId="1917"/>
      <sheetData sheetId="1918"/>
      <sheetData sheetId="1919" refreshError="1"/>
      <sheetData sheetId="1920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/>
      <sheetData sheetId="1946"/>
      <sheetData sheetId="1947"/>
      <sheetData sheetId="1948"/>
      <sheetData sheetId="1949"/>
      <sheetData sheetId="1950" refreshError="1"/>
      <sheetData sheetId="1951" refreshError="1"/>
      <sheetData sheetId="1952" refreshError="1"/>
      <sheetData sheetId="1953" refreshError="1"/>
      <sheetData sheetId="1954"/>
      <sheetData sheetId="1955" refreshError="1"/>
      <sheetData sheetId="1956" refreshError="1"/>
      <sheetData sheetId="1957"/>
      <sheetData sheetId="1958"/>
      <sheetData sheetId="1959"/>
      <sheetData sheetId="1960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/>
      <sheetData sheetId="1977" refreshError="1"/>
      <sheetData sheetId="1978" refreshError="1"/>
      <sheetData sheetId="1979"/>
      <sheetData sheetId="1980"/>
      <sheetData sheetId="1981" refreshError="1"/>
      <sheetData sheetId="1982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/>
      <sheetData sheetId="2008"/>
      <sheetData sheetId="2009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/>
      <sheetData sheetId="2021"/>
      <sheetData sheetId="2022"/>
      <sheetData sheetId="2023"/>
      <sheetData sheetId="2024"/>
      <sheetData sheetId="2025"/>
      <sheetData sheetId="2026"/>
      <sheetData sheetId="2027"/>
      <sheetData sheetId="2028"/>
      <sheetData sheetId="2029"/>
      <sheetData sheetId="2030"/>
      <sheetData sheetId="2031"/>
      <sheetData sheetId="2032"/>
      <sheetData sheetId="2033"/>
      <sheetData sheetId="2034"/>
      <sheetData sheetId="2035"/>
      <sheetData sheetId="2036"/>
      <sheetData sheetId="2037"/>
      <sheetData sheetId="2038"/>
      <sheetData sheetId="2039"/>
      <sheetData sheetId="2040"/>
      <sheetData sheetId="2041"/>
      <sheetData sheetId="2042"/>
      <sheetData sheetId="2043"/>
      <sheetData sheetId="2044"/>
      <sheetData sheetId="2045"/>
      <sheetData sheetId="2046"/>
      <sheetData sheetId="2047"/>
      <sheetData sheetId="2048"/>
      <sheetData sheetId="2049"/>
      <sheetData sheetId="2050"/>
      <sheetData sheetId="2051"/>
      <sheetData sheetId="2052"/>
      <sheetData sheetId="2053"/>
      <sheetData sheetId="2054"/>
      <sheetData sheetId="2055"/>
      <sheetData sheetId="2056"/>
      <sheetData sheetId="2057"/>
      <sheetData sheetId="2058"/>
      <sheetData sheetId="2059"/>
      <sheetData sheetId="2060"/>
      <sheetData sheetId="2061"/>
      <sheetData sheetId="2062"/>
      <sheetData sheetId="2063"/>
      <sheetData sheetId="2064"/>
      <sheetData sheetId="2065"/>
      <sheetData sheetId="2066"/>
      <sheetData sheetId="2067"/>
      <sheetData sheetId="2068"/>
      <sheetData sheetId="2069"/>
      <sheetData sheetId="2070"/>
      <sheetData sheetId="2071"/>
      <sheetData sheetId="2072"/>
      <sheetData sheetId="2073"/>
      <sheetData sheetId="2074"/>
      <sheetData sheetId="2075"/>
      <sheetData sheetId="2076"/>
      <sheetData sheetId="2077"/>
      <sheetData sheetId="2078"/>
      <sheetData sheetId="2079"/>
      <sheetData sheetId="2080"/>
      <sheetData sheetId="2081"/>
      <sheetData sheetId="2082"/>
      <sheetData sheetId="2083"/>
      <sheetData sheetId="2084"/>
      <sheetData sheetId="2085"/>
      <sheetData sheetId="2086"/>
      <sheetData sheetId="2087"/>
      <sheetData sheetId="2088"/>
      <sheetData sheetId="2089"/>
      <sheetData sheetId="2090"/>
      <sheetData sheetId="2091"/>
      <sheetData sheetId="2092"/>
      <sheetData sheetId="2093"/>
      <sheetData sheetId="2094"/>
      <sheetData sheetId="2095"/>
      <sheetData sheetId="2096"/>
      <sheetData sheetId="2097"/>
      <sheetData sheetId="2098"/>
      <sheetData sheetId="2099"/>
      <sheetData sheetId="2100"/>
      <sheetData sheetId="2101"/>
      <sheetData sheetId="2102"/>
      <sheetData sheetId="2103"/>
      <sheetData sheetId="2104"/>
      <sheetData sheetId="2105"/>
      <sheetData sheetId="2106"/>
      <sheetData sheetId="2107"/>
      <sheetData sheetId="2108"/>
      <sheetData sheetId="2109"/>
      <sheetData sheetId="2110"/>
      <sheetData sheetId="2111"/>
      <sheetData sheetId="2112"/>
      <sheetData sheetId="2113"/>
      <sheetData sheetId="2114"/>
      <sheetData sheetId="2115"/>
      <sheetData sheetId="2116"/>
      <sheetData sheetId="2117"/>
      <sheetData sheetId="2118"/>
      <sheetData sheetId="2119"/>
      <sheetData sheetId="2120"/>
      <sheetData sheetId="2121"/>
      <sheetData sheetId="2122"/>
      <sheetData sheetId="2123"/>
      <sheetData sheetId="2124"/>
      <sheetData sheetId="2125"/>
      <sheetData sheetId="2126"/>
      <sheetData sheetId="2127"/>
      <sheetData sheetId="2128"/>
      <sheetData sheetId="2129"/>
      <sheetData sheetId="2130"/>
      <sheetData sheetId="2131"/>
      <sheetData sheetId="2132"/>
      <sheetData sheetId="2133"/>
      <sheetData sheetId="2134"/>
      <sheetData sheetId="2135" refreshError="1"/>
      <sheetData sheetId="2136" refreshError="1"/>
      <sheetData sheetId="2137" refreshError="1"/>
      <sheetData sheetId="2138" refreshError="1"/>
      <sheetData sheetId="2139"/>
      <sheetData sheetId="2140" refreshError="1"/>
      <sheetData sheetId="2141" refreshError="1"/>
      <sheetData sheetId="2142" refreshError="1"/>
      <sheetData sheetId="2143" refreshError="1"/>
      <sheetData sheetId="2144"/>
      <sheetData sheetId="2145"/>
      <sheetData sheetId="2146"/>
      <sheetData sheetId="2147"/>
      <sheetData sheetId="2148"/>
      <sheetData sheetId="2149"/>
      <sheetData sheetId="2150"/>
      <sheetData sheetId="2151"/>
      <sheetData sheetId="2152"/>
      <sheetData sheetId="2153"/>
      <sheetData sheetId="2154"/>
      <sheetData sheetId="2155"/>
      <sheetData sheetId="2156"/>
      <sheetData sheetId="2157"/>
      <sheetData sheetId="2158"/>
      <sheetData sheetId="2159"/>
      <sheetData sheetId="2160"/>
      <sheetData sheetId="2161"/>
      <sheetData sheetId="2162"/>
      <sheetData sheetId="2163"/>
      <sheetData sheetId="2164"/>
      <sheetData sheetId="2165"/>
      <sheetData sheetId="2166"/>
      <sheetData sheetId="2167"/>
      <sheetData sheetId="2168"/>
      <sheetData sheetId="2169"/>
      <sheetData sheetId="2170"/>
      <sheetData sheetId="2171"/>
      <sheetData sheetId="2172"/>
      <sheetData sheetId="2173"/>
      <sheetData sheetId="2174"/>
      <sheetData sheetId="2175"/>
      <sheetData sheetId="2176"/>
      <sheetData sheetId="2177"/>
      <sheetData sheetId="2178"/>
      <sheetData sheetId="2179"/>
      <sheetData sheetId="2180"/>
      <sheetData sheetId="2181"/>
      <sheetData sheetId="2182"/>
      <sheetData sheetId="2183"/>
      <sheetData sheetId="2184"/>
      <sheetData sheetId="2185"/>
      <sheetData sheetId="2186"/>
      <sheetData sheetId="2187"/>
      <sheetData sheetId="2188"/>
      <sheetData sheetId="2189"/>
      <sheetData sheetId="2190"/>
      <sheetData sheetId="2191"/>
      <sheetData sheetId="2192"/>
      <sheetData sheetId="2193"/>
      <sheetData sheetId="2194"/>
      <sheetData sheetId="2195"/>
      <sheetData sheetId="2196"/>
      <sheetData sheetId="2197"/>
      <sheetData sheetId="2198"/>
      <sheetData sheetId="2199"/>
      <sheetData sheetId="2200"/>
      <sheetData sheetId="2201"/>
      <sheetData sheetId="2202"/>
      <sheetData sheetId="2203"/>
      <sheetData sheetId="2204"/>
      <sheetData sheetId="2205"/>
      <sheetData sheetId="2206"/>
      <sheetData sheetId="2207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/>
      <sheetData sheetId="2226"/>
      <sheetData sheetId="2227"/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/>
      <sheetData sheetId="2238"/>
      <sheetData sheetId="2239"/>
      <sheetData sheetId="2240"/>
      <sheetData sheetId="2241"/>
      <sheetData sheetId="2242"/>
      <sheetData sheetId="2243"/>
      <sheetData sheetId="2244"/>
      <sheetData sheetId="2245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/>
      <sheetData sheetId="2258"/>
      <sheetData sheetId="2259"/>
      <sheetData sheetId="2260"/>
      <sheetData sheetId="2261"/>
      <sheetData sheetId="2262"/>
      <sheetData sheetId="2263"/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/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/>
      <sheetData sheetId="2301"/>
      <sheetData sheetId="2302"/>
      <sheetData sheetId="2303"/>
      <sheetData sheetId="2304"/>
      <sheetData sheetId="2305"/>
      <sheetData sheetId="2306"/>
      <sheetData sheetId="2307"/>
      <sheetData sheetId="2308"/>
      <sheetData sheetId="2309"/>
      <sheetData sheetId="2310"/>
      <sheetData sheetId="2311"/>
      <sheetData sheetId="2312"/>
      <sheetData sheetId="2313"/>
      <sheetData sheetId="2314"/>
      <sheetData sheetId="2315"/>
      <sheetData sheetId="2316"/>
      <sheetData sheetId="2317"/>
      <sheetData sheetId="2318"/>
      <sheetData sheetId="2319"/>
      <sheetData sheetId="2320"/>
      <sheetData sheetId="2321"/>
      <sheetData sheetId="2322"/>
      <sheetData sheetId="2323"/>
      <sheetData sheetId="2324"/>
      <sheetData sheetId="2325"/>
      <sheetData sheetId="2326"/>
      <sheetData sheetId="2327"/>
      <sheetData sheetId="2328"/>
      <sheetData sheetId="2329"/>
      <sheetData sheetId="2330"/>
      <sheetData sheetId="2331"/>
      <sheetData sheetId="2332"/>
      <sheetData sheetId="2333"/>
      <sheetData sheetId="2334"/>
      <sheetData sheetId="2335"/>
      <sheetData sheetId="2336"/>
      <sheetData sheetId="2337"/>
      <sheetData sheetId="2338"/>
      <sheetData sheetId="2339"/>
      <sheetData sheetId="2340"/>
      <sheetData sheetId="2341"/>
      <sheetData sheetId="2342"/>
      <sheetData sheetId="2343"/>
      <sheetData sheetId="2344"/>
      <sheetData sheetId="2345"/>
      <sheetData sheetId="2346"/>
      <sheetData sheetId="2347"/>
      <sheetData sheetId="2348"/>
      <sheetData sheetId="2349"/>
      <sheetData sheetId="2350"/>
      <sheetData sheetId="2351"/>
      <sheetData sheetId="2352"/>
      <sheetData sheetId="2353"/>
      <sheetData sheetId="2354"/>
      <sheetData sheetId="2355"/>
      <sheetData sheetId="2356"/>
      <sheetData sheetId="2357"/>
      <sheetData sheetId="2358"/>
      <sheetData sheetId="2359"/>
      <sheetData sheetId="2360"/>
      <sheetData sheetId="2361"/>
      <sheetData sheetId="2362"/>
      <sheetData sheetId="2363"/>
      <sheetData sheetId="2364"/>
      <sheetData sheetId="2365"/>
      <sheetData sheetId="2366"/>
      <sheetData sheetId="2367"/>
      <sheetData sheetId="2368"/>
      <sheetData sheetId="2369"/>
      <sheetData sheetId="2370"/>
      <sheetData sheetId="2371"/>
      <sheetData sheetId="2372"/>
      <sheetData sheetId="2373"/>
      <sheetData sheetId="2374"/>
      <sheetData sheetId="2375"/>
      <sheetData sheetId="2376"/>
      <sheetData sheetId="2377"/>
      <sheetData sheetId="2378"/>
      <sheetData sheetId="2379"/>
      <sheetData sheetId="2380"/>
      <sheetData sheetId="2381"/>
      <sheetData sheetId="2382"/>
      <sheetData sheetId="2383"/>
      <sheetData sheetId="2384"/>
      <sheetData sheetId="2385"/>
      <sheetData sheetId="2386"/>
      <sheetData sheetId="2387"/>
      <sheetData sheetId="2388"/>
      <sheetData sheetId="2389"/>
      <sheetData sheetId="2390"/>
      <sheetData sheetId="2391"/>
      <sheetData sheetId="2392"/>
      <sheetData sheetId="2393"/>
      <sheetData sheetId="2394"/>
      <sheetData sheetId="2395"/>
      <sheetData sheetId="2396"/>
      <sheetData sheetId="2397"/>
      <sheetData sheetId="2398"/>
      <sheetData sheetId="2399"/>
      <sheetData sheetId="2400"/>
      <sheetData sheetId="2401"/>
      <sheetData sheetId="2402"/>
      <sheetData sheetId="2403"/>
      <sheetData sheetId="2404"/>
      <sheetData sheetId="2405"/>
      <sheetData sheetId="2406"/>
      <sheetData sheetId="2407"/>
      <sheetData sheetId="2408"/>
      <sheetData sheetId="2409"/>
      <sheetData sheetId="2410"/>
      <sheetData sheetId="2411"/>
      <sheetData sheetId="2412"/>
      <sheetData sheetId="2413"/>
      <sheetData sheetId="2414"/>
      <sheetData sheetId="2415"/>
      <sheetData sheetId="2416"/>
      <sheetData sheetId="2417"/>
      <sheetData sheetId="2418"/>
      <sheetData sheetId="2419"/>
      <sheetData sheetId="2420"/>
      <sheetData sheetId="2421"/>
      <sheetData sheetId="2422"/>
      <sheetData sheetId="2423"/>
      <sheetData sheetId="2424"/>
      <sheetData sheetId="2425"/>
      <sheetData sheetId="2426"/>
      <sheetData sheetId="2427"/>
      <sheetData sheetId="2428"/>
      <sheetData sheetId="2429"/>
      <sheetData sheetId="2430"/>
      <sheetData sheetId="2431"/>
      <sheetData sheetId="2432"/>
      <sheetData sheetId="2433"/>
      <sheetData sheetId="2434"/>
      <sheetData sheetId="2435"/>
      <sheetData sheetId="2436"/>
      <sheetData sheetId="2437"/>
      <sheetData sheetId="2438"/>
      <sheetData sheetId="2439"/>
      <sheetData sheetId="2440"/>
      <sheetData sheetId="2441"/>
      <sheetData sheetId="2442"/>
      <sheetData sheetId="2443"/>
      <sheetData sheetId="2444"/>
      <sheetData sheetId="2445"/>
      <sheetData sheetId="2446"/>
      <sheetData sheetId="2447"/>
      <sheetData sheetId="2448"/>
      <sheetData sheetId="2449"/>
      <sheetData sheetId="2450"/>
      <sheetData sheetId="2451"/>
      <sheetData sheetId="2452"/>
      <sheetData sheetId="2453"/>
      <sheetData sheetId="2454"/>
      <sheetData sheetId="2455"/>
      <sheetData sheetId="2456"/>
      <sheetData sheetId="2457"/>
      <sheetData sheetId="2458"/>
      <sheetData sheetId="2459"/>
      <sheetData sheetId="2460"/>
      <sheetData sheetId="2461"/>
      <sheetData sheetId="2462"/>
      <sheetData sheetId="2463"/>
      <sheetData sheetId="2464"/>
      <sheetData sheetId="2465"/>
      <sheetData sheetId="2466"/>
      <sheetData sheetId="2467"/>
      <sheetData sheetId="2468"/>
      <sheetData sheetId="2469"/>
      <sheetData sheetId="2470"/>
      <sheetData sheetId="2471"/>
      <sheetData sheetId="2472"/>
      <sheetData sheetId="2473"/>
      <sheetData sheetId="2474"/>
      <sheetData sheetId="2475"/>
      <sheetData sheetId="2476"/>
      <sheetData sheetId="2477"/>
      <sheetData sheetId="2478"/>
      <sheetData sheetId="2479"/>
      <sheetData sheetId="2480"/>
      <sheetData sheetId="2481"/>
      <sheetData sheetId="2482"/>
      <sheetData sheetId="2483"/>
      <sheetData sheetId="2484"/>
      <sheetData sheetId="2485"/>
      <sheetData sheetId="2486"/>
      <sheetData sheetId="2487"/>
      <sheetData sheetId="2488"/>
      <sheetData sheetId="2489"/>
      <sheetData sheetId="2490"/>
      <sheetData sheetId="2491"/>
      <sheetData sheetId="2492"/>
      <sheetData sheetId="2493"/>
      <sheetData sheetId="2494"/>
      <sheetData sheetId="2495"/>
      <sheetData sheetId="2496"/>
      <sheetData sheetId="2497"/>
      <sheetData sheetId="2498"/>
      <sheetData sheetId="2499"/>
      <sheetData sheetId="2500"/>
      <sheetData sheetId="2501"/>
      <sheetData sheetId="2502"/>
      <sheetData sheetId="2503"/>
      <sheetData sheetId="2504"/>
      <sheetData sheetId="2505"/>
      <sheetData sheetId="2506"/>
      <sheetData sheetId="2507"/>
      <sheetData sheetId="2508"/>
      <sheetData sheetId="2509"/>
      <sheetData sheetId="2510"/>
      <sheetData sheetId="2511"/>
      <sheetData sheetId="2512"/>
      <sheetData sheetId="2513"/>
      <sheetData sheetId="2514"/>
      <sheetData sheetId="2515"/>
      <sheetData sheetId="2516"/>
      <sheetData sheetId="2517"/>
      <sheetData sheetId="2518"/>
      <sheetData sheetId="2519"/>
      <sheetData sheetId="2520"/>
      <sheetData sheetId="2521"/>
      <sheetData sheetId="2522"/>
      <sheetData sheetId="2523"/>
      <sheetData sheetId="2524"/>
      <sheetData sheetId="2525"/>
      <sheetData sheetId="2526"/>
      <sheetData sheetId="2527"/>
      <sheetData sheetId="2528"/>
      <sheetData sheetId="2529"/>
      <sheetData sheetId="2530"/>
      <sheetData sheetId="2531"/>
      <sheetData sheetId="2532"/>
      <sheetData sheetId="2533"/>
      <sheetData sheetId="2534"/>
      <sheetData sheetId="2535"/>
      <sheetData sheetId="2536"/>
      <sheetData sheetId="2537"/>
      <sheetData sheetId="2538"/>
      <sheetData sheetId="2539"/>
      <sheetData sheetId="2540"/>
      <sheetData sheetId="2541"/>
      <sheetData sheetId="2542"/>
      <sheetData sheetId="2543"/>
      <sheetData sheetId="2544"/>
      <sheetData sheetId="2545"/>
      <sheetData sheetId="2546"/>
      <sheetData sheetId="2547"/>
      <sheetData sheetId="2548"/>
      <sheetData sheetId="2549"/>
      <sheetData sheetId="2550"/>
      <sheetData sheetId="2551"/>
      <sheetData sheetId="2552"/>
      <sheetData sheetId="2553"/>
      <sheetData sheetId="2554"/>
      <sheetData sheetId="2555"/>
      <sheetData sheetId="2556"/>
      <sheetData sheetId="2557"/>
      <sheetData sheetId="2558"/>
      <sheetData sheetId="2559"/>
      <sheetData sheetId="2560"/>
      <sheetData sheetId="2561"/>
      <sheetData sheetId="2562"/>
      <sheetData sheetId="2563"/>
      <sheetData sheetId="2564"/>
      <sheetData sheetId="2565"/>
      <sheetData sheetId="2566"/>
      <sheetData sheetId="2567"/>
      <sheetData sheetId="2568"/>
      <sheetData sheetId="2569"/>
      <sheetData sheetId="2570"/>
      <sheetData sheetId="2571"/>
      <sheetData sheetId="2572"/>
      <sheetData sheetId="2573"/>
      <sheetData sheetId="2574"/>
      <sheetData sheetId="2575"/>
      <sheetData sheetId="2576"/>
      <sheetData sheetId="2577"/>
      <sheetData sheetId="2578"/>
      <sheetData sheetId="2579"/>
      <sheetData sheetId="2580"/>
      <sheetData sheetId="2581"/>
      <sheetData sheetId="2582"/>
      <sheetData sheetId="2583"/>
      <sheetData sheetId="2584"/>
      <sheetData sheetId="2585"/>
      <sheetData sheetId="2586"/>
      <sheetData sheetId="2587"/>
      <sheetData sheetId="2588"/>
      <sheetData sheetId="2589"/>
      <sheetData sheetId="2590"/>
      <sheetData sheetId="2591"/>
      <sheetData sheetId="2592"/>
      <sheetData sheetId="2593"/>
      <sheetData sheetId="2594"/>
      <sheetData sheetId="2595"/>
      <sheetData sheetId="2596"/>
      <sheetData sheetId="2597"/>
      <sheetData sheetId="2598"/>
      <sheetData sheetId="2599"/>
      <sheetData sheetId="2600"/>
      <sheetData sheetId="2601"/>
      <sheetData sheetId="2602"/>
      <sheetData sheetId="2603"/>
      <sheetData sheetId="2604"/>
      <sheetData sheetId="2605"/>
      <sheetData sheetId="2606"/>
      <sheetData sheetId="2607"/>
      <sheetData sheetId="2608"/>
      <sheetData sheetId="2609"/>
      <sheetData sheetId="2610"/>
      <sheetData sheetId="2611"/>
      <sheetData sheetId="2612"/>
      <sheetData sheetId="2613"/>
      <sheetData sheetId="2614"/>
      <sheetData sheetId="2615"/>
      <sheetData sheetId="2616"/>
      <sheetData sheetId="2617"/>
      <sheetData sheetId="2618"/>
      <sheetData sheetId="2619"/>
      <sheetData sheetId="2620"/>
      <sheetData sheetId="2621"/>
      <sheetData sheetId="2622"/>
      <sheetData sheetId="2623"/>
      <sheetData sheetId="2624"/>
      <sheetData sheetId="2625"/>
      <sheetData sheetId="2626"/>
      <sheetData sheetId="2627"/>
      <sheetData sheetId="2628"/>
      <sheetData sheetId="2629"/>
      <sheetData sheetId="2630"/>
      <sheetData sheetId="2631"/>
      <sheetData sheetId="2632"/>
      <sheetData sheetId="2633"/>
      <sheetData sheetId="2634"/>
      <sheetData sheetId="2635"/>
      <sheetData sheetId="2636"/>
      <sheetData sheetId="2637"/>
      <sheetData sheetId="2638"/>
      <sheetData sheetId="2639"/>
      <sheetData sheetId="2640"/>
      <sheetData sheetId="2641"/>
      <sheetData sheetId="2642"/>
      <sheetData sheetId="2643"/>
      <sheetData sheetId="2644"/>
      <sheetData sheetId="2645"/>
      <sheetData sheetId="2646"/>
      <sheetData sheetId="2647"/>
      <sheetData sheetId="2648"/>
      <sheetData sheetId="2649"/>
      <sheetData sheetId="2650"/>
      <sheetData sheetId="2651"/>
      <sheetData sheetId="2652"/>
      <sheetData sheetId="2653"/>
      <sheetData sheetId="2654"/>
      <sheetData sheetId="2655"/>
      <sheetData sheetId="2656"/>
      <sheetData sheetId="2657"/>
      <sheetData sheetId="2658"/>
      <sheetData sheetId="2659"/>
      <sheetData sheetId="2660"/>
      <sheetData sheetId="2661"/>
      <sheetData sheetId="2662"/>
      <sheetData sheetId="2663"/>
      <sheetData sheetId="2664"/>
      <sheetData sheetId="2665"/>
      <sheetData sheetId="2666"/>
      <sheetData sheetId="2667"/>
      <sheetData sheetId="2668"/>
      <sheetData sheetId="2669"/>
      <sheetData sheetId="2670"/>
      <sheetData sheetId="2671"/>
      <sheetData sheetId="2672"/>
      <sheetData sheetId="2673"/>
      <sheetData sheetId="2674"/>
      <sheetData sheetId="2675"/>
      <sheetData sheetId="2676"/>
      <sheetData sheetId="2677"/>
      <sheetData sheetId="2678"/>
      <sheetData sheetId="2679"/>
      <sheetData sheetId="2680"/>
      <sheetData sheetId="2681"/>
      <sheetData sheetId="2682"/>
      <sheetData sheetId="2683"/>
      <sheetData sheetId="2684"/>
      <sheetData sheetId="2685"/>
      <sheetData sheetId="2686"/>
      <sheetData sheetId="2687"/>
      <sheetData sheetId="2688"/>
      <sheetData sheetId="2689"/>
      <sheetData sheetId="2690"/>
      <sheetData sheetId="2691"/>
      <sheetData sheetId="2692"/>
      <sheetData sheetId="2693"/>
      <sheetData sheetId="2694"/>
      <sheetData sheetId="2695"/>
      <sheetData sheetId="2696"/>
      <sheetData sheetId="2697"/>
      <sheetData sheetId="2698"/>
      <sheetData sheetId="2699"/>
      <sheetData sheetId="2700"/>
      <sheetData sheetId="2701"/>
      <sheetData sheetId="2702"/>
      <sheetData sheetId="2703"/>
      <sheetData sheetId="2704"/>
      <sheetData sheetId="2705"/>
      <sheetData sheetId="2706"/>
      <sheetData sheetId="2707"/>
      <sheetData sheetId="2708"/>
      <sheetData sheetId="2709"/>
      <sheetData sheetId="2710"/>
      <sheetData sheetId="2711"/>
      <sheetData sheetId="2712"/>
      <sheetData sheetId="2713"/>
      <sheetData sheetId="2714"/>
      <sheetData sheetId="2715"/>
      <sheetData sheetId="2716"/>
      <sheetData sheetId="2717"/>
      <sheetData sheetId="2718"/>
      <sheetData sheetId="2719"/>
      <sheetData sheetId="2720"/>
      <sheetData sheetId="2721"/>
      <sheetData sheetId="2722"/>
      <sheetData sheetId="2723"/>
      <sheetData sheetId="2724"/>
      <sheetData sheetId="2725"/>
      <sheetData sheetId="2726"/>
      <sheetData sheetId="2727"/>
      <sheetData sheetId="2728"/>
      <sheetData sheetId="2729"/>
      <sheetData sheetId="2730"/>
      <sheetData sheetId="2731"/>
      <sheetData sheetId="2732"/>
      <sheetData sheetId="2733"/>
      <sheetData sheetId="2734"/>
      <sheetData sheetId="2735"/>
      <sheetData sheetId="2736"/>
      <sheetData sheetId="2737"/>
      <sheetData sheetId="2738"/>
      <sheetData sheetId="2739"/>
      <sheetData sheetId="2740"/>
      <sheetData sheetId="2741"/>
      <sheetData sheetId="2742"/>
      <sheetData sheetId="2743"/>
      <sheetData sheetId="2744"/>
      <sheetData sheetId="2745"/>
      <sheetData sheetId="2746"/>
      <sheetData sheetId="2747"/>
      <sheetData sheetId="2748"/>
      <sheetData sheetId="2749"/>
      <sheetData sheetId="2750"/>
      <sheetData sheetId="2751"/>
      <sheetData sheetId="2752"/>
      <sheetData sheetId="2753"/>
      <sheetData sheetId="2754"/>
      <sheetData sheetId="2755"/>
      <sheetData sheetId="2756"/>
      <sheetData sheetId="2757"/>
      <sheetData sheetId="2758"/>
      <sheetData sheetId="2759"/>
      <sheetData sheetId="2760"/>
      <sheetData sheetId="2761"/>
      <sheetData sheetId="2762"/>
      <sheetData sheetId="2763"/>
      <sheetData sheetId="2764"/>
      <sheetData sheetId="2765"/>
      <sheetData sheetId="2766"/>
      <sheetData sheetId="2767"/>
      <sheetData sheetId="2768"/>
      <sheetData sheetId="2769"/>
      <sheetData sheetId="2770"/>
      <sheetData sheetId="2771"/>
      <sheetData sheetId="2772"/>
      <sheetData sheetId="2773"/>
      <sheetData sheetId="2774"/>
      <sheetData sheetId="2775"/>
      <sheetData sheetId="2776"/>
      <sheetData sheetId="2777"/>
      <sheetData sheetId="2778"/>
      <sheetData sheetId="2779"/>
      <sheetData sheetId="2780"/>
      <sheetData sheetId="2781"/>
      <sheetData sheetId="2782"/>
      <sheetData sheetId="2783"/>
      <sheetData sheetId="2784"/>
      <sheetData sheetId="2785"/>
      <sheetData sheetId="2786"/>
      <sheetData sheetId="2787"/>
      <sheetData sheetId="2788"/>
      <sheetData sheetId="2789"/>
      <sheetData sheetId="2790"/>
      <sheetData sheetId="2791"/>
      <sheetData sheetId="2792"/>
      <sheetData sheetId="2793"/>
      <sheetData sheetId="2794"/>
      <sheetData sheetId="2795"/>
      <sheetData sheetId="2796"/>
      <sheetData sheetId="2797"/>
      <sheetData sheetId="2798"/>
      <sheetData sheetId="2799"/>
      <sheetData sheetId="2800"/>
      <sheetData sheetId="2801"/>
      <sheetData sheetId="2802"/>
      <sheetData sheetId="2803"/>
      <sheetData sheetId="2804"/>
      <sheetData sheetId="2805"/>
      <sheetData sheetId="2806"/>
      <sheetData sheetId="2807"/>
      <sheetData sheetId="2808"/>
      <sheetData sheetId="2809"/>
      <sheetData sheetId="2810"/>
      <sheetData sheetId="2811"/>
      <sheetData sheetId="2812"/>
      <sheetData sheetId="2813"/>
      <sheetData sheetId="2814"/>
      <sheetData sheetId="2815"/>
      <sheetData sheetId="2816"/>
      <sheetData sheetId="2817"/>
      <sheetData sheetId="2818"/>
      <sheetData sheetId="2819"/>
      <sheetData sheetId="2820"/>
      <sheetData sheetId="2821"/>
      <sheetData sheetId="2822"/>
      <sheetData sheetId="2823"/>
      <sheetData sheetId="2824"/>
      <sheetData sheetId="2825"/>
      <sheetData sheetId="2826"/>
      <sheetData sheetId="2827"/>
      <sheetData sheetId="2828"/>
      <sheetData sheetId="2829"/>
      <sheetData sheetId="2830" refreshError="1"/>
      <sheetData sheetId="2831" refreshError="1"/>
      <sheetData sheetId="2832" refreshError="1"/>
      <sheetData sheetId="2833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/>
      <sheetData sheetId="2924"/>
      <sheetData sheetId="2925"/>
      <sheetData sheetId="2926"/>
      <sheetData sheetId="2927"/>
      <sheetData sheetId="2928"/>
      <sheetData sheetId="2929"/>
      <sheetData sheetId="2930"/>
      <sheetData sheetId="2931"/>
      <sheetData sheetId="2932"/>
      <sheetData sheetId="2933"/>
      <sheetData sheetId="2934"/>
      <sheetData sheetId="2935"/>
      <sheetData sheetId="2936"/>
      <sheetData sheetId="2937"/>
      <sheetData sheetId="2938"/>
      <sheetData sheetId="2939"/>
      <sheetData sheetId="2940"/>
      <sheetData sheetId="2941"/>
      <sheetData sheetId="2942"/>
      <sheetData sheetId="2943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/>
      <sheetData sheetId="2952" refreshError="1"/>
      <sheetData sheetId="2953" refreshError="1"/>
      <sheetData sheetId="2954"/>
      <sheetData sheetId="2955" refreshError="1"/>
      <sheetData sheetId="2956" refreshError="1"/>
      <sheetData sheetId="2957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/>
      <sheetData sheetId="2971"/>
      <sheetData sheetId="2972"/>
      <sheetData sheetId="2973"/>
      <sheetData sheetId="2974"/>
      <sheetData sheetId="2975"/>
      <sheetData sheetId="2976"/>
      <sheetData sheetId="2977"/>
      <sheetData sheetId="2978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/>
      <sheetData sheetId="2997" refreshError="1"/>
      <sheetData sheetId="2998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/>
      <sheetData sheetId="3009" refreshError="1"/>
      <sheetData sheetId="3010" refreshError="1"/>
      <sheetData sheetId="3011"/>
      <sheetData sheetId="3012"/>
      <sheetData sheetId="3013"/>
      <sheetData sheetId="3014"/>
      <sheetData sheetId="3015"/>
      <sheetData sheetId="3016"/>
      <sheetData sheetId="3017"/>
      <sheetData sheetId="3018"/>
      <sheetData sheetId="3019"/>
      <sheetData sheetId="3020"/>
      <sheetData sheetId="3021"/>
      <sheetData sheetId="3022"/>
      <sheetData sheetId="3023"/>
      <sheetData sheetId="3024"/>
      <sheetData sheetId="3025"/>
      <sheetData sheetId="3026"/>
      <sheetData sheetId="3027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/>
      <sheetData sheetId="3056"/>
      <sheetData sheetId="3057"/>
      <sheetData sheetId="3058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/>
      <sheetData sheetId="3092"/>
      <sheetData sheetId="3093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/>
      <sheetData sheetId="3100"/>
      <sheetData sheetId="3101"/>
      <sheetData sheetId="3102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/>
      <sheetData sheetId="3113"/>
      <sheetData sheetId="3114"/>
      <sheetData sheetId="3115"/>
      <sheetData sheetId="3116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/>
      <sheetData sheetId="3134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/>
      <sheetData sheetId="3144"/>
      <sheetData sheetId="3145"/>
      <sheetData sheetId="3146"/>
      <sheetData sheetId="3147"/>
      <sheetData sheetId="3148"/>
      <sheetData sheetId="3149"/>
      <sheetData sheetId="3150"/>
      <sheetData sheetId="3151"/>
      <sheetData sheetId="3152"/>
      <sheetData sheetId="3153"/>
      <sheetData sheetId="3154"/>
      <sheetData sheetId="3155"/>
      <sheetData sheetId="3156"/>
      <sheetData sheetId="3157"/>
      <sheetData sheetId="3158"/>
      <sheetData sheetId="3159"/>
      <sheetData sheetId="3160"/>
      <sheetData sheetId="3161"/>
      <sheetData sheetId="3162"/>
      <sheetData sheetId="3163"/>
      <sheetData sheetId="3164"/>
      <sheetData sheetId="3165"/>
      <sheetData sheetId="3166"/>
      <sheetData sheetId="3167"/>
      <sheetData sheetId="3168"/>
      <sheetData sheetId="3169"/>
      <sheetData sheetId="3170"/>
      <sheetData sheetId="3171"/>
      <sheetData sheetId="3172"/>
      <sheetData sheetId="3173"/>
      <sheetData sheetId="3174"/>
      <sheetData sheetId="3175"/>
      <sheetData sheetId="3176"/>
      <sheetData sheetId="3177"/>
      <sheetData sheetId="3178"/>
      <sheetData sheetId="3179"/>
      <sheetData sheetId="3180"/>
      <sheetData sheetId="3181"/>
      <sheetData sheetId="3182"/>
      <sheetData sheetId="3183"/>
      <sheetData sheetId="3184"/>
      <sheetData sheetId="3185"/>
      <sheetData sheetId="3186"/>
      <sheetData sheetId="3187"/>
      <sheetData sheetId="3188"/>
      <sheetData sheetId="3189"/>
      <sheetData sheetId="3190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/>
      <sheetData sheetId="3198"/>
      <sheetData sheetId="3199"/>
      <sheetData sheetId="3200"/>
      <sheetData sheetId="3201"/>
      <sheetData sheetId="3202"/>
      <sheetData sheetId="3203"/>
      <sheetData sheetId="3204"/>
      <sheetData sheetId="3205"/>
      <sheetData sheetId="3206"/>
      <sheetData sheetId="3207"/>
      <sheetData sheetId="3208"/>
      <sheetData sheetId="3209"/>
      <sheetData sheetId="3210"/>
      <sheetData sheetId="3211"/>
      <sheetData sheetId="3212"/>
      <sheetData sheetId="3213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/>
      <sheetData sheetId="3232"/>
      <sheetData sheetId="3233"/>
      <sheetData sheetId="3234"/>
      <sheetData sheetId="3235"/>
      <sheetData sheetId="3236"/>
      <sheetData sheetId="3237"/>
      <sheetData sheetId="3238"/>
      <sheetData sheetId="3239"/>
      <sheetData sheetId="3240"/>
      <sheetData sheetId="3241"/>
      <sheetData sheetId="3242"/>
      <sheetData sheetId="3243"/>
      <sheetData sheetId="3244" refreshError="1"/>
      <sheetData sheetId="3245" refreshError="1"/>
      <sheetData sheetId="3246" refreshError="1"/>
      <sheetData sheetId="3247" refreshError="1"/>
      <sheetData sheetId="3248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/>
      <sheetData sheetId="3270"/>
      <sheetData sheetId="3271"/>
      <sheetData sheetId="3272"/>
      <sheetData sheetId="3273"/>
      <sheetData sheetId="3274"/>
      <sheetData sheetId="3275"/>
      <sheetData sheetId="3276"/>
      <sheetData sheetId="3277"/>
      <sheetData sheetId="3278"/>
      <sheetData sheetId="3279"/>
      <sheetData sheetId="3280"/>
      <sheetData sheetId="3281"/>
      <sheetData sheetId="3282"/>
      <sheetData sheetId="3283"/>
      <sheetData sheetId="3284"/>
      <sheetData sheetId="3285"/>
      <sheetData sheetId="3286"/>
      <sheetData sheetId="3287"/>
      <sheetData sheetId="3288"/>
      <sheetData sheetId="3289"/>
      <sheetData sheetId="3290"/>
      <sheetData sheetId="3291"/>
      <sheetData sheetId="3292"/>
      <sheetData sheetId="3293" refreshError="1"/>
      <sheetData sheetId="3294" refreshError="1"/>
      <sheetData sheetId="3295"/>
      <sheetData sheetId="3296"/>
      <sheetData sheetId="3297"/>
      <sheetData sheetId="3298"/>
      <sheetData sheetId="3299"/>
      <sheetData sheetId="3300"/>
      <sheetData sheetId="3301"/>
      <sheetData sheetId="3302"/>
      <sheetData sheetId="3303"/>
      <sheetData sheetId="3304"/>
      <sheetData sheetId="3305"/>
      <sheetData sheetId="3306"/>
      <sheetData sheetId="3307"/>
      <sheetData sheetId="3308"/>
      <sheetData sheetId="3309"/>
      <sheetData sheetId="3310"/>
      <sheetData sheetId="3311"/>
      <sheetData sheetId="3312"/>
      <sheetData sheetId="3313"/>
      <sheetData sheetId="3314"/>
      <sheetData sheetId="3315"/>
      <sheetData sheetId="3316"/>
      <sheetData sheetId="3317"/>
      <sheetData sheetId="3318"/>
      <sheetData sheetId="3319"/>
      <sheetData sheetId="3320"/>
      <sheetData sheetId="3321" refreshError="1"/>
      <sheetData sheetId="3322" refreshError="1"/>
      <sheetData sheetId="3323" refreshError="1"/>
      <sheetData sheetId="3324"/>
      <sheetData sheetId="3325"/>
      <sheetData sheetId="3326"/>
      <sheetData sheetId="3327"/>
      <sheetData sheetId="3328"/>
      <sheetData sheetId="3329"/>
      <sheetData sheetId="3330"/>
      <sheetData sheetId="3331"/>
      <sheetData sheetId="3332"/>
      <sheetData sheetId="3333"/>
      <sheetData sheetId="3334"/>
      <sheetData sheetId="3335"/>
      <sheetData sheetId="3336"/>
      <sheetData sheetId="3337"/>
      <sheetData sheetId="3338"/>
      <sheetData sheetId="3339"/>
      <sheetData sheetId="3340"/>
      <sheetData sheetId="3341"/>
      <sheetData sheetId="3342"/>
      <sheetData sheetId="3343"/>
      <sheetData sheetId="3344"/>
      <sheetData sheetId="3345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/>
      <sheetData sheetId="3403"/>
      <sheetData sheetId="3404"/>
      <sheetData sheetId="3405"/>
      <sheetData sheetId="3406"/>
      <sheetData sheetId="3407"/>
      <sheetData sheetId="3408"/>
      <sheetData sheetId="3409"/>
      <sheetData sheetId="3410"/>
      <sheetData sheetId="3411"/>
      <sheetData sheetId="3412"/>
      <sheetData sheetId="3413"/>
      <sheetData sheetId="3414"/>
      <sheetData sheetId="3415"/>
      <sheetData sheetId="3416"/>
      <sheetData sheetId="3417"/>
      <sheetData sheetId="3418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/>
      <sheetData sheetId="3507"/>
      <sheetData sheetId="3508"/>
      <sheetData sheetId="3509"/>
      <sheetData sheetId="3510"/>
      <sheetData sheetId="3511"/>
      <sheetData sheetId="3512"/>
      <sheetData sheetId="3513"/>
      <sheetData sheetId="3514"/>
      <sheetData sheetId="3515"/>
      <sheetData sheetId="3516"/>
      <sheetData sheetId="3517"/>
      <sheetData sheetId="3518"/>
      <sheetData sheetId="3519"/>
      <sheetData sheetId="3520"/>
      <sheetData sheetId="3521"/>
      <sheetData sheetId="3522"/>
      <sheetData sheetId="3523"/>
      <sheetData sheetId="3524"/>
      <sheetData sheetId="3525"/>
      <sheetData sheetId="3526"/>
      <sheetData sheetId="3527"/>
      <sheetData sheetId="3528"/>
      <sheetData sheetId="3529"/>
      <sheetData sheetId="3530"/>
      <sheetData sheetId="3531"/>
      <sheetData sheetId="3532"/>
      <sheetData sheetId="3533"/>
      <sheetData sheetId="3534"/>
      <sheetData sheetId="3535"/>
      <sheetData sheetId="3536"/>
      <sheetData sheetId="3537"/>
      <sheetData sheetId="3538"/>
      <sheetData sheetId="3539"/>
      <sheetData sheetId="3540"/>
      <sheetData sheetId="3541"/>
      <sheetData sheetId="3542"/>
      <sheetData sheetId="3543"/>
      <sheetData sheetId="3544"/>
      <sheetData sheetId="3545"/>
      <sheetData sheetId="3546"/>
      <sheetData sheetId="3547"/>
      <sheetData sheetId="3548"/>
      <sheetData sheetId="3549"/>
      <sheetData sheetId="3550"/>
      <sheetData sheetId="3551"/>
      <sheetData sheetId="3552"/>
      <sheetData sheetId="3553"/>
      <sheetData sheetId="3554"/>
      <sheetData sheetId="3555"/>
      <sheetData sheetId="3556"/>
      <sheetData sheetId="3557"/>
      <sheetData sheetId="3558"/>
      <sheetData sheetId="3559"/>
      <sheetData sheetId="3560"/>
      <sheetData sheetId="3561"/>
      <sheetData sheetId="3562"/>
      <sheetData sheetId="3563"/>
      <sheetData sheetId="3564"/>
      <sheetData sheetId="3565"/>
      <sheetData sheetId="3566"/>
      <sheetData sheetId="3567"/>
      <sheetData sheetId="3568"/>
      <sheetData sheetId="3569"/>
      <sheetData sheetId="3570"/>
      <sheetData sheetId="3571"/>
      <sheetData sheetId="3572"/>
      <sheetData sheetId="3573"/>
      <sheetData sheetId="3574"/>
      <sheetData sheetId="3575"/>
      <sheetData sheetId="3576"/>
      <sheetData sheetId="3577"/>
      <sheetData sheetId="3578"/>
      <sheetData sheetId="3579"/>
      <sheetData sheetId="3580"/>
      <sheetData sheetId="3581"/>
      <sheetData sheetId="3582"/>
      <sheetData sheetId="3583"/>
      <sheetData sheetId="3584"/>
      <sheetData sheetId="3585"/>
      <sheetData sheetId="3586"/>
      <sheetData sheetId="3587"/>
      <sheetData sheetId="3588"/>
      <sheetData sheetId="3589"/>
      <sheetData sheetId="3590"/>
      <sheetData sheetId="3591"/>
      <sheetData sheetId="3592"/>
      <sheetData sheetId="3593"/>
      <sheetData sheetId="3594"/>
      <sheetData sheetId="3595"/>
      <sheetData sheetId="3596"/>
      <sheetData sheetId="3597"/>
      <sheetData sheetId="3598"/>
      <sheetData sheetId="3599"/>
      <sheetData sheetId="3600"/>
      <sheetData sheetId="3601"/>
      <sheetData sheetId="3602"/>
      <sheetData sheetId="3603"/>
      <sheetData sheetId="3604"/>
      <sheetData sheetId="3605"/>
      <sheetData sheetId="3606"/>
      <sheetData sheetId="3607"/>
      <sheetData sheetId="3608"/>
      <sheetData sheetId="3609"/>
      <sheetData sheetId="3610"/>
      <sheetData sheetId="3611"/>
      <sheetData sheetId="3612"/>
      <sheetData sheetId="3613"/>
      <sheetData sheetId="3614"/>
      <sheetData sheetId="3615"/>
      <sheetData sheetId="3616"/>
      <sheetData sheetId="3617"/>
      <sheetData sheetId="3618"/>
      <sheetData sheetId="3619"/>
      <sheetData sheetId="3620"/>
      <sheetData sheetId="3621"/>
      <sheetData sheetId="3622"/>
      <sheetData sheetId="3623"/>
      <sheetData sheetId="3624"/>
      <sheetData sheetId="3625"/>
      <sheetData sheetId="3626"/>
      <sheetData sheetId="3627"/>
      <sheetData sheetId="3628"/>
      <sheetData sheetId="3629"/>
      <sheetData sheetId="3630"/>
      <sheetData sheetId="3631"/>
      <sheetData sheetId="3632"/>
      <sheetData sheetId="3633"/>
      <sheetData sheetId="3634"/>
      <sheetData sheetId="3635"/>
      <sheetData sheetId="3636"/>
      <sheetData sheetId="3637"/>
      <sheetData sheetId="3638"/>
      <sheetData sheetId="3639"/>
      <sheetData sheetId="3640"/>
      <sheetData sheetId="3641"/>
      <sheetData sheetId="3642"/>
      <sheetData sheetId="3643"/>
      <sheetData sheetId="3644"/>
      <sheetData sheetId="3645"/>
      <sheetData sheetId="3646"/>
      <sheetData sheetId="3647"/>
      <sheetData sheetId="3648"/>
      <sheetData sheetId="3649"/>
      <sheetData sheetId="3650"/>
      <sheetData sheetId="3651"/>
      <sheetData sheetId="3652"/>
      <sheetData sheetId="3653"/>
      <sheetData sheetId="3654"/>
      <sheetData sheetId="3655"/>
      <sheetData sheetId="3656"/>
      <sheetData sheetId="3657"/>
      <sheetData sheetId="3658"/>
      <sheetData sheetId="3659"/>
      <sheetData sheetId="3660"/>
      <sheetData sheetId="3661"/>
      <sheetData sheetId="3662"/>
      <sheetData sheetId="3663"/>
      <sheetData sheetId="3664"/>
      <sheetData sheetId="3665"/>
      <sheetData sheetId="3666"/>
      <sheetData sheetId="3667"/>
      <sheetData sheetId="3668"/>
      <sheetData sheetId="3669"/>
      <sheetData sheetId="3670"/>
      <sheetData sheetId="3671"/>
      <sheetData sheetId="3672"/>
      <sheetData sheetId="3673"/>
      <sheetData sheetId="3674"/>
      <sheetData sheetId="3675"/>
      <sheetData sheetId="3676"/>
      <sheetData sheetId="3677"/>
      <sheetData sheetId="3678"/>
      <sheetData sheetId="3679"/>
      <sheetData sheetId="3680"/>
      <sheetData sheetId="3681"/>
      <sheetData sheetId="3682"/>
      <sheetData sheetId="3683"/>
      <sheetData sheetId="3684"/>
      <sheetData sheetId="3685"/>
      <sheetData sheetId="3686"/>
      <sheetData sheetId="3687"/>
      <sheetData sheetId="3688"/>
      <sheetData sheetId="3689"/>
      <sheetData sheetId="3690"/>
      <sheetData sheetId="3691"/>
      <sheetData sheetId="3692"/>
      <sheetData sheetId="3693"/>
      <sheetData sheetId="3694"/>
      <sheetData sheetId="3695"/>
      <sheetData sheetId="3696"/>
      <sheetData sheetId="3697"/>
      <sheetData sheetId="3698"/>
      <sheetData sheetId="3699"/>
      <sheetData sheetId="3700"/>
      <sheetData sheetId="3701"/>
      <sheetData sheetId="3702"/>
      <sheetData sheetId="3703"/>
      <sheetData sheetId="3704"/>
      <sheetData sheetId="3705"/>
      <sheetData sheetId="3706"/>
      <sheetData sheetId="3707"/>
      <sheetData sheetId="3708"/>
      <sheetData sheetId="3709"/>
      <sheetData sheetId="3710"/>
      <sheetData sheetId="3711"/>
      <sheetData sheetId="3712" refreshError="1"/>
      <sheetData sheetId="3713" refreshError="1"/>
      <sheetData sheetId="3714"/>
      <sheetData sheetId="3715"/>
      <sheetData sheetId="3716"/>
      <sheetData sheetId="3717"/>
      <sheetData sheetId="3718"/>
      <sheetData sheetId="3719"/>
      <sheetData sheetId="3720"/>
      <sheetData sheetId="3721"/>
      <sheetData sheetId="3722"/>
      <sheetData sheetId="3723"/>
      <sheetData sheetId="3724"/>
      <sheetData sheetId="3725"/>
      <sheetData sheetId="3726"/>
      <sheetData sheetId="3727"/>
      <sheetData sheetId="3728"/>
      <sheetData sheetId="3729"/>
      <sheetData sheetId="3730"/>
      <sheetData sheetId="3731"/>
      <sheetData sheetId="3732"/>
      <sheetData sheetId="3733"/>
      <sheetData sheetId="3734"/>
      <sheetData sheetId="3735"/>
      <sheetData sheetId="3736"/>
      <sheetData sheetId="3737" refreshError="1"/>
      <sheetData sheetId="3738" refreshError="1"/>
      <sheetData sheetId="3739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/>
      <sheetData sheetId="3753" refreshError="1"/>
      <sheetData sheetId="3754"/>
      <sheetData sheetId="3755"/>
      <sheetData sheetId="3756"/>
      <sheetData sheetId="3757"/>
      <sheetData sheetId="3758"/>
      <sheetData sheetId="3759"/>
      <sheetData sheetId="3760"/>
      <sheetData sheetId="3761" refreshError="1"/>
      <sheetData sheetId="3762" refreshError="1"/>
      <sheetData sheetId="3763" refreshError="1"/>
      <sheetData sheetId="3764" refreshError="1"/>
      <sheetData sheetId="3765"/>
      <sheetData sheetId="3766"/>
      <sheetData sheetId="3767"/>
      <sheetData sheetId="3768"/>
      <sheetData sheetId="3769"/>
      <sheetData sheetId="3770"/>
      <sheetData sheetId="3771"/>
      <sheetData sheetId="3772"/>
      <sheetData sheetId="3773"/>
      <sheetData sheetId="3774" refreshError="1"/>
      <sheetData sheetId="3775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/>
      <sheetData sheetId="3782"/>
      <sheetData sheetId="3783"/>
      <sheetData sheetId="3784"/>
      <sheetData sheetId="3785"/>
      <sheetData sheetId="3786"/>
      <sheetData sheetId="3787"/>
      <sheetData sheetId="3788"/>
      <sheetData sheetId="3789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/>
      <sheetData sheetId="3802"/>
      <sheetData sheetId="3803"/>
      <sheetData sheetId="3804"/>
      <sheetData sheetId="3805"/>
      <sheetData sheetId="3806"/>
      <sheetData sheetId="3807"/>
      <sheetData sheetId="3808"/>
      <sheetData sheetId="3809"/>
      <sheetData sheetId="3810"/>
      <sheetData sheetId="3811"/>
      <sheetData sheetId="3812"/>
      <sheetData sheetId="3813"/>
      <sheetData sheetId="3814"/>
      <sheetData sheetId="3815"/>
      <sheetData sheetId="3816"/>
      <sheetData sheetId="3817"/>
      <sheetData sheetId="3818"/>
      <sheetData sheetId="3819"/>
      <sheetData sheetId="3820"/>
      <sheetData sheetId="3821"/>
      <sheetData sheetId="3822"/>
      <sheetData sheetId="3823"/>
      <sheetData sheetId="3824"/>
      <sheetData sheetId="3825"/>
      <sheetData sheetId="3826"/>
      <sheetData sheetId="3827"/>
      <sheetData sheetId="3828"/>
      <sheetData sheetId="3829"/>
      <sheetData sheetId="3830"/>
      <sheetData sheetId="3831"/>
      <sheetData sheetId="3832"/>
      <sheetData sheetId="3833"/>
      <sheetData sheetId="3834"/>
      <sheetData sheetId="3835"/>
      <sheetData sheetId="3836"/>
      <sheetData sheetId="3837"/>
      <sheetData sheetId="3838"/>
      <sheetData sheetId="3839"/>
      <sheetData sheetId="3840"/>
      <sheetData sheetId="3841"/>
      <sheetData sheetId="3842"/>
      <sheetData sheetId="3843"/>
      <sheetData sheetId="3844"/>
      <sheetData sheetId="3845"/>
      <sheetData sheetId="3846"/>
      <sheetData sheetId="3847"/>
      <sheetData sheetId="3848"/>
      <sheetData sheetId="3849"/>
      <sheetData sheetId="3850"/>
      <sheetData sheetId="3851"/>
      <sheetData sheetId="3852"/>
      <sheetData sheetId="3853"/>
      <sheetData sheetId="3854"/>
      <sheetData sheetId="3855"/>
      <sheetData sheetId="3856"/>
      <sheetData sheetId="3857"/>
      <sheetData sheetId="3858"/>
      <sheetData sheetId="3859"/>
      <sheetData sheetId="3860"/>
      <sheetData sheetId="3861"/>
      <sheetData sheetId="3862"/>
      <sheetData sheetId="3863"/>
      <sheetData sheetId="3864"/>
      <sheetData sheetId="3865"/>
      <sheetData sheetId="3866"/>
      <sheetData sheetId="3867"/>
      <sheetData sheetId="3868"/>
      <sheetData sheetId="3869"/>
      <sheetData sheetId="3870"/>
      <sheetData sheetId="3871"/>
      <sheetData sheetId="3872"/>
      <sheetData sheetId="3873"/>
      <sheetData sheetId="3874"/>
      <sheetData sheetId="3875"/>
      <sheetData sheetId="3876"/>
      <sheetData sheetId="3877"/>
      <sheetData sheetId="3878"/>
      <sheetData sheetId="3879"/>
      <sheetData sheetId="3880"/>
      <sheetData sheetId="3881"/>
      <sheetData sheetId="3882"/>
      <sheetData sheetId="3883"/>
      <sheetData sheetId="3884"/>
      <sheetData sheetId="3885"/>
      <sheetData sheetId="3886"/>
      <sheetData sheetId="3887"/>
      <sheetData sheetId="3888"/>
      <sheetData sheetId="3889"/>
      <sheetData sheetId="3890"/>
      <sheetData sheetId="3891"/>
      <sheetData sheetId="3892"/>
      <sheetData sheetId="3893"/>
      <sheetData sheetId="3894"/>
      <sheetData sheetId="3895"/>
      <sheetData sheetId="3896"/>
      <sheetData sheetId="3897"/>
      <sheetData sheetId="3898"/>
      <sheetData sheetId="3899"/>
      <sheetData sheetId="3900"/>
      <sheetData sheetId="3901"/>
      <sheetData sheetId="3902"/>
      <sheetData sheetId="3903"/>
      <sheetData sheetId="3904"/>
      <sheetData sheetId="3905"/>
      <sheetData sheetId="3906"/>
      <sheetData sheetId="3907"/>
      <sheetData sheetId="3908"/>
      <sheetData sheetId="3909"/>
      <sheetData sheetId="3910"/>
      <sheetData sheetId="3911"/>
      <sheetData sheetId="3912"/>
      <sheetData sheetId="3913"/>
      <sheetData sheetId="3914"/>
      <sheetData sheetId="3915"/>
      <sheetData sheetId="3916"/>
      <sheetData sheetId="3917"/>
      <sheetData sheetId="3918"/>
      <sheetData sheetId="3919"/>
      <sheetData sheetId="3920"/>
      <sheetData sheetId="3921"/>
      <sheetData sheetId="3922"/>
      <sheetData sheetId="3923"/>
      <sheetData sheetId="3924"/>
      <sheetData sheetId="3925"/>
      <sheetData sheetId="3926"/>
      <sheetData sheetId="3927"/>
      <sheetData sheetId="3928"/>
      <sheetData sheetId="3929"/>
      <sheetData sheetId="3930"/>
      <sheetData sheetId="3931"/>
      <sheetData sheetId="3932"/>
      <sheetData sheetId="3933"/>
      <sheetData sheetId="3934"/>
      <sheetData sheetId="3935"/>
      <sheetData sheetId="3936"/>
      <sheetData sheetId="3937"/>
      <sheetData sheetId="3938"/>
      <sheetData sheetId="3939"/>
      <sheetData sheetId="3940"/>
      <sheetData sheetId="3941"/>
      <sheetData sheetId="3942"/>
      <sheetData sheetId="3943"/>
      <sheetData sheetId="3944"/>
      <sheetData sheetId="3945"/>
      <sheetData sheetId="3946"/>
      <sheetData sheetId="3947"/>
      <sheetData sheetId="3948"/>
      <sheetData sheetId="3949"/>
      <sheetData sheetId="3950"/>
      <sheetData sheetId="3951"/>
      <sheetData sheetId="3952"/>
      <sheetData sheetId="3953"/>
      <sheetData sheetId="3954"/>
      <sheetData sheetId="3955"/>
      <sheetData sheetId="3956"/>
      <sheetData sheetId="3957"/>
      <sheetData sheetId="3958"/>
      <sheetData sheetId="3959"/>
      <sheetData sheetId="3960"/>
      <sheetData sheetId="3961"/>
      <sheetData sheetId="3962"/>
      <sheetData sheetId="3963"/>
      <sheetData sheetId="3964"/>
      <sheetData sheetId="3965"/>
      <sheetData sheetId="3966"/>
      <sheetData sheetId="3967"/>
      <sheetData sheetId="3968"/>
      <sheetData sheetId="3969"/>
      <sheetData sheetId="3970"/>
      <sheetData sheetId="3971"/>
      <sheetData sheetId="3972"/>
      <sheetData sheetId="3973"/>
      <sheetData sheetId="3974"/>
      <sheetData sheetId="3975"/>
      <sheetData sheetId="3976"/>
      <sheetData sheetId="3977"/>
      <sheetData sheetId="3978"/>
      <sheetData sheetId="3979"/>
      <sheetData sheetId="3980"/>
      <sheetData sheetId="3981"/>
      <sheetData sheetId="3982"/>
      <sheetData sheetId="3983"/>
      <sheetData sheetId="3984"/>
      <sheetData sheetId="3985"/>
      <sheetData sheetId="3986"/>
      <sheetData sheetId="3987"/>
      <sheetData sheetId="3988"/>
      <sheetData sheetId="3989"/>
      <sheetData sheetId="3990"/>
      <sheetData sheetId="3991"/>
      <sheetData sheetId="3992"/>
      <sheetData sheetId="3993"/>
      <sheetData sheetId="3994"/>
      <sheetData sheetId="3995"/>
      <sheetData sheetId="3996"/>
      <sheetData sheetId="3997"/>
      <sheetData sheetId="3998"/>
      <sheetData sheetId="3999"/>
      <sheetData sheetId="4000"/>
      <sheetData sheetId="4001"/>
      <sheetData sheetId="4002"/>
      <sheetData sheetId="4003"/>
      <sheetData sheetId="4004"/>
      <sheetData sheetId="4005"/>
      <sheetData sheetId="4006"/>
      <sheetData sheetId="4007"/>
      <sheetData sheetId="4008"/>
      <sheetData sheetId="4009"/>
      <sheetData sheetId="4010"/>
      <sheetData sheetId="4011"/>
      <sheetData sheetId="4012"/>
      <sheetData sheetId="4013"/>
      <sheetData sheetId="4014"/>
      <sheetData sheetId="4015"/>
      <sheetData sheetId="4016"/>
      <sheetData sheetId="4017"/>
      <sheetData sheetId="4018"/>
      <sheetData sheetId="4019"/>
      <sheetData sheetId="4020"/>
      <sheetData sheetId="4021"/>
      <sheetData sheetId="4022"/>
      <sheetData sheetId="4023"/>
      <sheetData sheetId="4024"/>
      <sheetData sheetId="4025"/>
      <sheetData sheetId="4026"/>
      <sheetData sheetId="4027"/>
      <sheetData sheetId="4028"/>
      <sheetData sheetId="4029"/>
      <sheetData sheetId="4030"/>
      <sheetData sheetId="4031"/>
      <sheetData sheetId="4032"/>
      <sheetData sheetId="4033"/>
      <sheetData sheetId="4034"/>
      <sheetData sheetId="4035"/>
      <sheetData sheetId="4036"/>
      <sheetData sheetId="4037"/>
      <sheetData sheetId="4038"/>
      <sheetData sheetId="4039"/>
      <sheetData sheetId="4040"/>
      <sheetData sheetId="4041"/>
      <sheetData sheetId="4042"/>
      <sheetData sheetId="4043"/>
      <sheetData sheetId="4044"/>
      <sheetData sheetId="4045"/>
      <sheetData sheetId="4046"/>
      <sheetData sheetId="4047"/>
      <sheetData sheetId="4048"/>
      <sheetData sheetId="4049"/>
      <sheetData sheetId="4050"/>
      <sheetData sheetId="4051"/>
      <sheetData sheetId="4052"/>
      <sheetData sheetId="4053"/>
      <sheetData sheetId="4054"/>
      <sheetData sheetId="4055"/>
      <sheetData sheetId="4056"/>
      <sheetData sheetId="4057"/>
      <sheetData sheetId="4058"/>
      <sheetData sheetId="4059"/>
      <sheetData sheetId="4060"/>
      <sheetData sheetId="4061"/>
      <sheetData sheetId="4062"/>
      <sheetData sheetId="4063"/>
      <sheetData sheetId="4064"/>
      <sheetData sheetId="4065"/>
      <sheetData sheetId="4066"/>
      <sheetData sheetId="4067"/>
      <sheetData sheetId="4068"/>
      <sheetData sheetId="4069"/>
      <sheetData sheetId="4070"/>
      <sheetData sheetId="4071"/>
      <sheetData sheetId="4072"/>
      <sheetData sheetId="4073"/>
      <sheetData sheetId="4074"/>
      <sheetData sheetId="4075"/>
      <sheetData sheetId="4076"/>
      <sheetData sheetId="4077"/>
      <sheetData sheetId="4078"/>
      <sheetData sheetId="4079"/>
      <sheetData sheetId="4080"/>
      <sheetData sheetId="4081"/>
      <sheetData sheetId="4082"/>
      <sheetData sheetId="4083"/>
      <sheetData sheetId="4084"/>
      <sheetData sheetId="4085"/>
      <sheetData sheetId="4086"/>
      <sheetData sheetId="4087"/>
      <sheetData sheetId="4088"/>
      <sheetData sheetId="4089"/>
      <sheetData sheetId="4090"/>
      <sheetData sheetId="4091"/>
      <sheetData sheetId="4092"/>
      <sheetData sheetId="4093"/>
      <sheetData sheetId="4094"/>
      <sheetData sheetId="4095"/>
      <sheetData sheetId="4096"/>
      <sheetData sheetId="4097"/>
      <sheetData sheetId="4098"/>
      <sheetData sheetId="4099"/>
      <sheetData sheetId="4100"/>
      <sheetData sheetId="4101"/>
      <sheetData sheetId="4102"/>
      <sheetData sheetId="4103"/>
      <sheetData sheetId="4104"/>
      <sheetData sheetId="4105"/>
      <sheetData sheetId="4106"/>
      <sheetData sheetId="4107"/>
      <sheetData sheetId="4108"/>
      <sheetData sheetId="4109"/>
      <sheetData sheetId="4110"/>
      <sheetData sheetId="4111"/>
      <sheetData sheetId="4112"/>
      <sheetData sheetId="4113"/>
      <sheetData sheetId="4114"/>
      <sheetData sheetId="4115"/>
      <sheetData sheetId="4116"/>
      <sheetData sheetId="4117"/>
      <sheetData sheetId="4118"/>
      <sheetData sheetId="4119"/>
      <sheetData sheetId="4120"/>
      <sheetData sheetId="4121"/>
      <sheetData sheetId="4122"/>
      <sheetData sheetId="4123"/>
      <sheetData sheetId="4124"/>
      <sheetData sheetId="4125"/>
      <sheetData sheetId="4126"/>
      <sheetData sheetId="4127"/>
      <sheetData sheetId="4128"/>
      <sheetData sheetId="4129"/>
      <sheetData sheetId="4130"/>
      <sheetData sheetId="4131"/>
      <sheetData sheetId="4132"/>
      <sheetData sheetId="4133"/>
      <sheetData sheetId="4134"/>
      <sheetData sheetId="4135"/>
      <sheetData sheetId="4136"/>
      <sheetData sheetId="4137"/>
      <sheetData sheetId="4138"/>
      <sheetData sheetId="4139"/>
      <sheetData sheetId="4140"/>
      <sheetData sheetId="4141"/>
      <sheetData sheetId="4142"/>
      <sheetData sheetId="4143"/>
      <sheetData sheetId="4144"/>
      <sheetData sheetId="4145"/>
      <sheetData sheetId="4146"/>
      <sheetData sheetId="4147"/>
      <sheetData sheetId="4148"/>
      <sheetData sheetId="4149"/>
      <sheetData sheetId="4150"/>
      <sheetData sheetId="4151"/>
      <sheetData sheetId="4152"/>
      <sheetData sheetId="4153"/>
      <sheetData sheetId="4154"/>
      <sheetData sheetId="4155"/>
      <sheetData sheetId="4156"/>
      <sheetData sheetId="4157"/>
      <sheetData sheetId="4158"/>
      <sheetData sheetId="4159"/>
      <sheetData sheetId="4160"/>
      <sheetData sheetId="4161"/>
      <sheetData sheetId="4162"/>
      <sheetData sheetId="4163"/>
      <sheetData sheetId="4164"/>
      <sheetData sheetId="4165"/>
      <sheetData sheetId="4166"/>
      <sheetData sheetId="4167"/>
      <sheetData sheetId="4168"/>
      <sheetData sheetId="4169"/>
      <sheetData sheetId="4170"/>
      <sheetData sheetId="4171"/>
      <sheetData sheetId="4172"/>
      <sheetData sheetId="4173"/>
      <sheetData sheetId="4174"/>
      <sheetData sheetId="4175"/>
      <sheetData sheetId="4176"/>
      <sheetData sheetId="4177"/>
      <sheetData sheetId="4178"/>
      <sheetData sheetId="4179"/>
      <sheetData sheetId="4180"/>
      <sheetData sheetId="4181"/>
      <sheetData sheetId="4182"/>
      <sheetData sheetId="4183"/>
      <sheetData sheetId="4184"/>
      <sheetData sheetId="4185"/>
      <sheetData sheetId="4186"/>
      <sheetData sheetId="4187"/>
      <sheetData sheetId="4188"/>
      <sheetData sheetId="4189"/>
      <sheetData sheetId="4190"/>
      <sheetData sheetId="4191"/>
      <sheetData sheetId="4192"/>
      <sheetData sheetId="4193"/>
      <sheetData sheetId="4194"/>
      <sheetData sheetId="4195"/>
      <sheetData sheetId="4196"/>
      <sheetData sheetId="4197"/>
      <sheetData sheetId="4198"/>
      <sheetData sheetId="4199"/>
      <sheetData sheetId="4200"/>
      <sheetData sheetId="4201"/>
      <sheetData sheetId="4202"/>
      <sheetData sheetId="4203"/>
      <sheetData sheetId="4204"/>
      <sheetData sheetId="4205"/>
      <sheetData sheetId="4206"/>
      <sheetData sheetId="4207"/>
      <sheetData sheetId="4208"/>
      <sheetData sheetId="4209"/>
      <sheetData sheetId="4210"/>
      <sheetData sheetId="4211"/>
      <sheetData sheetId="4212"/>
      <sheetData sheetId="4213"/>
      <sheetData sheetId="4214"/>
      <sheetData sheetId="4215"/>
      <sheetData sheetId="4216"/>
      <sheetData sheetId="4217"/>
      <sheetData sheetId="4218"/>
      <sheetData sheetId="4219"/>
      <sheetData sheetId="4220"/>
      <sheetData sheetId="4221"/>
      <sheetData sheetId="4222"/>
      <sheetData sheetId="4223"/>
      <sheetData sheetId="4224"/>
      <sheetData sheetId="4225"/>
      <sheetData sheetId="4226"/>
      <sheetData sheetId="4227"/>
      <sheetData sheetId="4228"/>
      <sheetData sheetId="4229"/>
      <sheetData sheetId="4230"/>
      <sheetData sheetId="4231"/>
      <sheetData sheetId="4232"/>
      <sheetData sheetId="4233"/>
      <sheetData sheetId="4234"/>
      <sheetData sheetId="4235"/>
      <sheetData sheetId="4236"/>
      <sheetData sheetId="4237"/>
      <sheetData sheetId="4238"/>
      <sheetData sheetId="4239"/>
      <sheetData sheetId="4240"/>
      <sheetData sheetId="4241"/>
      <sheetData sheetId="4242"/>
      <sheetData sheetId="4243"/>
      <sheetData sheetId="4244"/>
      <sheetData sheetId="4245"/>
      <sheetData sheetId="4246"/>
      <sheetData sheetId="4247"/>
      <sheetData sheetId="4248"/>
      <sheetData sheetId="4249"/>
      <sheetData sheetId="4250"/>
      <sheetData sheetId="4251"/>
      <sheetData sheetId="4252"/>
      <sheetData sheetId="4253"/>
      <sheetData sheetId="4254"/>
      <sheetData sheetId="4255"/>
      <sheetData sheetId="4256"/>
      <sheetData sheetId="4257"/>
      <sheetData sheetId="4258"/>
      <sheetData sheetId="4259"/>
      <sheetData sheetId="4260"/>
      <sheetData sheetId="4261"/>
      <sheetData sheetId="4262"/>
      <sheetData sheetId="4263"/>
      <sheetData sheetId="4264"/>
      <sheetData sheetId="4265"/>
      <sheetData sheetId="4266"/>
      <sheetData sheetId="4267"/>
      <sheetData sheetId="4268"/>
      <sheetData sheetId="4269"/>
      <sheetData sheetId="4270"/>
      <sheetData sheetId="4271"/>
      <sheetData sheetId="4272"/>
      <sheetData sheetId="4273"/>
      <sheetData sheetId="4274"/>
      <sheetData sheetId="4275"/>
      <sheetData sheetId="4276"/>
      <sheetData sheetId="4277"/>
      <sheetData sheetId="4278"/>
      <sheetData sheetId="4279"/>
      <sheetData sheetId="4280"/>
      <sheetData sheetId="4281"/>
      <sheetData sheetId="4282"/>
      <sheetData sheetId="4283"/>
      <sheetData sheetId="4284"/>
      <sheetData sheetId="4285"/>
      <sheetData sheetId="4286"/>
      <sheetData sheetId="4287"/>
      <sheetData sheetId="4288"/>
      <sheetData sheetId="4289"/>
      <sheetData sheetId="4290"/>
      <sheetData sheetId="4291"/>
      <sheetData sheetId="4292"/>
      <sheetData sheetId="4293"/>
      <sheetData sheetId="4294"/>
      <sheetData sheetId="4295"/>
      <sheetData sheetId="4296"/>
      <sheetData sheetId="4297"/>
      <sheetData sheetId="4298"/>
      <sheetData sheetId="4299"/>
      <sheetData sheetId="4300"/>
      <sheetData sheetId="4301"/>
      <sheetData sheetId="4302"/>
      <sheetData sheetId="4303"/>
      <sheetData sheetId="4304"/>
      <sheetData sheetId="4305"/>
      <sheetData sheetId="4306"/>
      <sheetData sheetId="4307"/>
      <sheetData sheetId="4308"/>
      <sheetData sheetId="4309"/>
      <sheetData sheetId="4310"/>
      <sheetData sheetId="4311"/>
      <sheetData sheetId="4312"/>
      <sheetData sheetId="4313"/>
      <sheetData sheetId="4314"/>
      <sheetData sheetId="4315"/>
      <sheetData sheetId="4316"/>
      <sheetData sheetId="4317"/>
      <sheetData sheetId="4318"/>
      <sheetData sheetId="4319"/>
      <sheetData sheetId="4320"/>
      <sheetData sheetId="4321"/>
      <sheetData sheetId="4322"/>
      <sheetData sheetId="4323"/>
      <sheetData sheetId="4324"/>
      <sheetData sheetId="4325"/>
      <sheetData sheetId="4326"/>
      <sheetData sheetId="4327"/>
      <sheetData sheetId="4328"/>
      <sheetData sheetId="4329"/>
      <sheetData sheetId="4330"/>
      <sheetData sheetId="4331"/>
      <sheetData sheetId="4332"/>
      <sheetData sheetId="4333"/>
      <sheetData sheetId="4334"/>
      <sheetData sheetId="4335"/>
      <sheetData sheetId="4336"/>
      <sheetData sheetId="4337"/>
      <sheetData sheetId="4338"/>
      <sheetData sheetId="4339"/>
      <sheetData sheetId="4340"/>
      <sheetData sheetId="4341"/>
      <sheetData sheetId="4342"/>
      <sheetData sheetId="4343"/>
      <sheetData sheetId="4344"/>
      <sheetData sheetId="4345"/>
      <sheetData sheetId="4346"/>
      <sheetData sheetId="4347"/>
      <sheetData sheetId="4348"/>
      <sheetData sheetId="4349"/>
      <sheetData sheetId="4350"/>
      <sheetData sheetId="4351"/>
      <sheetData sheetId="4352"/>
      <sheetData sheetId="4353"/>
      <sheetData sheetId="4354"/>
      <sheetData sheetId="4355"/>
      <sheetData sheetId="4356"/>
      <sheetData sheetId="4357"/>
      <sheetData sheetId="4358"/>
      <sheetData sheetId="4359"/>
      <sheetData sheetId="4360"/>
      <sheetData sheetId="4361"/>
      <sheetData sheetId="4362"/>
      <sheetData sheetId="4363"/>
      <sheetData sheetId="4364"/>
      <sheetData sheetId="4365"/>
      <sheetData sheetId="4366"/>
      <sheetData sheetId="4367"/>
      <sheetData sheetId="4368"/>
      <sheetData sheetId="4369"/>
      <sheetData sheetId="4370"/>
      <sheetData sheetId="4371"/>
      <sheetData sheetId="4372"/>
      <sheetData sheetId="4373"/>
      <sheetData sheetId="4374"/>
      <sheetData sheetId="4375"/>
      <sheetData sheetId="4376"/>
      <sheetData sheetId="4377"/>
      <sheetData sheetId="4378"/>
      <sheetData sheetId="4379"/>
      <sheetData sheetId="4380"/>
      <sheetData sheetId="4381"/>
      <sheetData sheetId="4382"/>
      <sheetData sheetId="4383"/>
      <sheetData sheetId="4384"/>
      <sheetData sheetId="4385"/>
      <sheetData sheetId="4386"/>
      <sheetData sheetId="4387"/>
      <sheetData sheetId="4388"/>
      <sheetData sheetId="4389"/>
      <sheetData sheetId="4390"/>
      <sheetData sheetId="4391"/>
      <sheetData sheetId="4392"/>
      <sheetData sheetId="4393"/>
      <sheetData sheetId="4394"/>
      <sheetData sheetId="4395"/>
      <sheetData sheetId="4396"/>
      <sheetData sheetId="4397"/>
      <sheetData sheetId="4398"/>
      <sheetData sheetId="4399"/>
      <sheetData sheetId="4400"/>
      <sheetData sheetId="4401"/>
      <sheetData sheetId="4402"/>
      <sheetData sheetId="4403"/>
      <sheetData sheetId="4404"/>
      <sheetData sheetId="4405"/>
      <sheetData sheetId="4406"/>
      <sheetData sheetId="4407"/>
      <sheetData sheetId="4408"/>
      <sheetData sheetId="4409"/>
      <sheetData sheetId="4410"/>
      <sheetData sheetId="4411"/>
      <sheetData sheetId="4412"/>
      <sheetData sheetId="4413"/>
      <sheetData sheetId="4414"/>
      <sheetData sheetId="4415"/>
      <sheetData sheetId="4416"/>
      <sheetData sheetId="4417"/>
      <sheetData sheetId="4418"/>
      <sheetData sheetId="4419"/>
      <sheetData sheetId="4420"/>
      <sheetData sheetId="4421"/>
      <sheetData sheetId="4422"/>
      <sheetData sheetId="4423"/>
      <sheetData sheetId="4424"/>
      <sheetData sheetId="4425"/>
      <sheetData sheetId="4426"/>
      <sheetData sheetId="4427"/>
      <sheetData sheetId="4428"/>
      <sheetData sheetId="4429"/>
      <sheetData sheetId="4430"/>
      <sheetData sheetId="4431"/>
      <sheetData sheetId="4432"/>
      <sheetData sheetId="4433"/>
      <sheetData sheetId="4434"/>
      <sheetData sheetId="4435"/>
      <sheetData sheetId="4436"/>
      <sheetData sheetId="4437"/>
      <sheetData sheetId="4438"/>
      <sheetData sheetId="4439"/>
      <sheetData sheetId="4440"/>
      <sheetData sheetId="4441"/>
      <sheetData sheetId="4442"/>
      <sheetData sheetId="4443"/>
      <sheetData sheetId="4444"/>
      <sheetData sheetId="4445"/>
      <sheetData sheetId="4446"/>
      <sheetData sheetId="4447"/>
      <sheetData sheetId="4448"/>
      <sheetData sheetId="4449"/>
      <sheetData sheetId="4450"/>
      <sheetData sheetId="4451"/>
      <sheetData sheetId="4452"/>
      <sheetData sheetId="4453"/>
      <sheetData sheetId="4454"/>
      <sheetData sheetId="4455"/>
      <sheetData sheetId="4456"/>
      <sheetData sheetId="4457"/>
      <sheetData sheetId="4458"/>
      <sheetData sheetId="4459"/>
      <sheetData sheetId="4460"/>
      <sheetData sheetId="4461"/>
      <sheetData sheetId="4462"/>
      <sheetData sheetId="4463"/>
      <sheetData sheetId="4464"/>
      <sheetData sheetId="4465"/>
      <sheetData sheetId="4466"/>
      <sheetData sheetId="4467"/>
      <sheetData sheetId="4468"/>
      <sheetData sheetId="4469"/>
      <sheetData sheetId="4470"/>
      <sheetData sheetId="4471"/>
      <sheetData sheetId="4472"/>
      <sheetData sheetId="4473"/>
      <sheetData sheetId="4474"/>
      <sheetData sheetId="4475"/>
      <sheetData sheetId="4476"/>
      <sheetData sheetId="4477"/>
      <sheetData sheetId="4478"/>
      <sheetData sheetId="4479"/>
      <sheetData sheetId="4480"/>
      <sheetData sheetId="4481"/>
      <sheetData sheetId="4482"/>
      <sheetData sheetId="4483"/>
      <sheetData sheetId="4484"/>
      <sheetData sheetId="4485"/>
      <sheetData sheetId="4486"/>
      <sheetData sheetId="4487"/>
      <sheetData sheetId="4488"/>
      <sheetData sheetId="4489"/>
      <sheetData sheetId="4490"/>
      <sheetData sheetId="4491"/>
      <sheetData sheetId="4492"/>
      <sheetData sheetId="4493"/>
      <sheetData sheetId="4494"/>
      <sheetData sheetId="4495"/>
      <sheetData sheetId="4496"/>
      <sheetData sheetId="4497"/>
      <sheetData sheetId="4498"/>
      <sheetData sheetId="4499"/>
      <sheetData sheetId="4500"/>
      <sheetData sheetId="4501"/>
      <sheetData sheetId="4502"/>
      <sheetData sheetId="4503"/>
      <sheetData sheetId="4504"/>
      <sheetData sheetId="4505"/>
      <sheetData sheetId="4506"/>
      <sheetData sheetId="4507"/>
      <sheetData sheetId="4508"/>
      <sheetData sheetId="4509"/>
      <sheetData sheetId="4510"/>
      <sheetData sheetId="4511"/>
      <sheetData sheetId="4512"/>
      <sheetData sheetId="4513"/>
      <sheetData sheetId="4514"/>
      <sheetData sheetId="4515"/>
      <sheetData sheetId="4516"/>
      <sheetData sheetId="4517"/>
      <sheetData sheetId="4518"/>
      <sheetData sheetId="4519"/>
      <sheetData sheetId="4520"/>
      <sheetData sheetId="4521"/>
      <sheetData sheetId="4522"/>
      <sheetData sheetId="4523"/>
      <sheetData sheetId="4524"/>
      <sheetData sheetId="4525"/>
      <sheetData sheetId="4526"/>
      <sheetData sheetId="4527"/>
      <sheetData sheetId="4528"/>
      <sheetData sheetId="4529"/>
      <sheetData sheetId="4530"/>
      <sheetData sheetId="4531"/>
      <sheetData sheetId="4532"/>
      <sheetData sheetId="4533"/>
      <sheetData sheetId="4534"/>
      <sheetData sheetId="4535"/>
      <sheetData sheetId="4536"/>
      <sheetData sheetId="4537"/>
      <sheetData sheetId="4538"/>
      <sheetData sheetId="4539"/>
      <sheetData sheetId="4540"/>
      <sheetData sheetId="4541"/>
      <sheetData sheetId="4542"/>
      <sheetData sheetId="4543"/>
      <sheetData sheetId="4544"/>
      <sheetData sheetId="4545"/>
      <sheetData sheetId="4546"/>
      <sheetData sheetId="4547"/>
      <sheetData sheetId="4548"/>
      <sheetData sheetId="4549"/>
      <sheetData sheetId="4550"/>
      <sheetData sheetId="4551"/>
      <sheetData sheetId="4552"/>
      <sheetData sheetId="4553"/>
      <sheetData sheetId="4554"/>
      <sheetData sheetId="4555"/>
      <sheetData sheetId="4556"/>
      <sheetData sheetId="4557"/>
      <sheetData sheetId="4558"/>
      <sheetData sheetId="4559"/>
      <sheetData sheetId="4560"/>
      <sheetData sheetId="4561"/>
      <sheetData sheetId="4562"/>
      <sheetData sheetId="4563"/>
      <sheetData sheetId="4564"/>
      <sheetData sheetId="4565"/>
      <sheetData sheetId="4566"/>
      <sheetData sheetId="4567"/>
      <sheetData sheetId="4568"/>
      <sheetData sheetId="4569"/>
      <sheetData sheetId="4570"/>
      <sheetData sheetId="4571"/>
      <sheetData sheetId="4572"/>
      <sheetData sheetId="4573"/>
      <sheetData sheetId="4574"/>
      <sheetData sheetId="4575"/>
      <sheetData sheetId="4576"/>
      <sheetData sheetId="4577"/>
      <sheetData sheetId="4578"/>
      <sheetData sheetId="4579"/>
      <sheetData sheetId="4580"/>
      <sheetData sheetId="4581"/>
      <sheetData sheetId="4582"/>
      <sheetData sheetId="4583"/>
      <sheetData sheetId="4584"/>
      <sheetData sheetId="4585"/>
      <sheetData sheetId="4586"/>
      <sheetData sheetId="4587"/>
      <sheetData sheetId="4588"/>
      <sheetData sheetId="4589"/>
      <sheetData sheetId="4590"/>
      <sheetData sheetId="4591"/>
      <sheetData sheetId="4592"/>
      <sheetData sheetId="4593"/>
      <sheetData sheetId="4594"/>
      <sheetData sheetId="4595"/>
      <sheetData sheetId="4596"/>
      <sheetData sheetId="4597"/>
      <sheetData sheetId="4598"/>
      <sheetData sheetId="4599"/>
      <sheetData sheetId="4600" refreshError="1"/>
      <sheetData sheetId="4601" refreshError="1"/>
      <sheetData sheetId="4602" refreshError="1"/>
      <sheetData sheetId="4603" refreshError="1"/>
      <sheetData sheetId="4604"/>
      <sheetData sheetId="4605"/>
      <sheetData sheetId="4606"/>
      <sheetData sheetId="4607"/>
      <sheetData sheetId="4608"/>
      <sheetData sheetId="4609"/>
      <sheetData sheetId="4610"/>
      <sheetData sheetId="4611"/>
      <sheetData sheetId="4612"/>
      <sheetData sheetId="4613"/>
      <sheetData sheetId="4614"/>
      <sheetData sheetId="4615"/>
      <sheetData sheetId="4616"/>
      <sheetData sheetId="4617"/>
      <sheetData sheetId="4618"/>
      <sheetData sheetId="4619"/>
      <sheetData sheetId="4620"/>
      <sheetData sheetId="4621"/>
      <sheetData sheetId="4622"/>
      <sheetData sheetId="4623"/>
      <sheetData sheetId="4624"/>
      <sheetData sheetId="4625"/>
      <sheetData sheetId="4626"/>
      <sheetData sheetId="4627"/>
      <sheetData sheetId="4628"/>
      <sheetData sheetId="4629"/>
      <sheetData sheetId="4630"/>
      <sheetData sheetId="4631"/>
      <sheetData sheetId="4632"/>
      <sheetData sheetId="4633"/>
      <sheetData sheetId="4634"/>
      <sheetData sheetId="4635"/>
      <sheetData sheetId="4636"/>
      <sheetData sheetId="4637"/>
      <sheetData sheetId="4638"/>
      <sheetData sheetId="4639"/>
      <sheetData sheetId="4640" refreshError="1"/>
      <sheetData sheetId="4641" refreshError="1"/>
      <sheetData sheetId="4642" refreshError="1"/>
      <sheetData sheetId="4643" refreshError="1"/>
      <sheetData sheetId="4644" refreshError="1"/>
      <sheetData sheetId="4645" refreshError="1"/>
      <sheetData sheetId="4646" refreshError="1"/>
      <sheetData sheetId="4647" refreshError="1"/>
      <sheetData sheetId="4648" refreshError="1"/>
      <sheetData sheetId="4649" refreshError="1"/>
      <sheetData sheetId="4650" refreshError="1"/>
      <sheetData sheetId="4651" refreshError="1"/>
      <sheetData sheetId="4652" refreshError="1"/>
      <sheetData sheetId="4653" refreshError="1"/>
      <sheetData sheetId="4654" refreshError="1"/>
      <sheetData sheetId="4655" refreshError="1"/>
      <sheetData sheetId="4656" refreshError="1"/>
      <sheetData sheetId="4657" refreshError="1"/>
      <sheetData sheetId="4658" refreshError="1"/>
      <sheetData sheetId="4659" refreshError="1"/>
      <sheetData sheetId="4660" refreshError="1"/>
      <sheetData sheetId="4661" refreshError="1"/>
      <sheetData sheetId="4662" refreshError="1"/>
      <sheetData sheetId="4663" refreshError="1"/>
      <sheetData sheetId="4664" refreshError="1"/>
      <sheetData sheetId="4665" refreshError="1"/>
      <sheetData sheetId="4666" refreshError="1"/>
      <sheetData sheetId="4667" refreshError="1"/>
      <sheetData sheetId="4668" refreshError="1"/>
      <sheetData sheetId="4669" refreshError="1"/>
      <sheetData sheetId="4670" refreshError="1"/>
      <sheetData sheetId="4671" refreshError="1"/>
      <sheetData sheetId="4672" refreshError="1"/>
      <sheetData sheetId="4673" refreshError="1"/>
      <sheetData sheetId="4674" refreshError="1"/>
      <sheetData sheetId="4675" refreshError="1"/>
      <sheetData sheetId="4676" refreshError="1"/>
      <sheetData sheetId="4677" refreshError="1"/>
      <sheetData sheetId="4678" refreshError="1"/>
      <sheetData sheetId="4679" refreshError="1"/>
      <sheetData sheetId="4680" refreshError="1"/>
      <sheetData sheetId="4681" refreshError="1"/>
      <sheetData sheetId="4682" refreshError="1"/>
      <sheetData sheetId="4683" refreshError="1"/>
      <sheetData sheetId="4684" refreshError="1"/>
      <sheetData sheetId="4685" refreshError="1"/>
      <sheetData sheetId="4686" refreshError="1"/>
      <sheetData sheetId="4687" refreshError="1"/>
      <sheetData sheetId="4688" refreshError="1"/>
      <sheetData sheetId="4689" refreshError="1"/>
      <sheetData sheetId="4690" refreshError="1"/>
      <sheetData sheetId="4691" refreshError="1"/>
      <sheetData sheetId="4692" refreshError="1"/>
      <sheetData sheetId="4693" refreshError="1"/>
      <sheetData sheetId="4694" refreshError="1"/>
      <sheetData sheetId="4695" refreshError="1"/>
      <sheetData sheetId="4696" refreshError="1"/>
      <sheetData sheetId="4697" refreshError="1"/>
      <sheetData sheetId="4698" refreshError="1"/>
      <sheetData sheetId="4699" refreshError="1"/>
      <sheetData sheetId="4700" refreshError="1"/>
      <sheetData sheetId="4701" refreshError="1"/>
      <sheetData sheetId="4702" refreshError="1"/>
      <sheetData sheetId="4703" refreshError="1"/>
      <sheetData sheetId="4704" refreshError="1"/>
      <sheetData sheetId="4705" refreshError="1"/>
      <sheetData sheetId="4706" refreshError="1"/>
      <sheetData sheetId="4707" refreshError="1"/>
      <sheetData sheetId="4708" refreshError="1"/>
      <sheetData sheetId="4709" refreshError="1"/>
      <sheetData sheetId="4710" refreshError="1"/>
      <sheetData sheetId="4711" refreshError="1"/>
      <sheetData sheetId="4712" refreshError="1"/>
      <sheetData sheetId="4713" refreshError="1"/>
      <sheetData sheetId="4714" refreshError="1"/>
      <sheetData sheetId="4715" refreshError="1"/>
      <sheetData sheetId="4716" refreshError="1"/>
      <sheetData sheetId="4717" refreshError="1"/>
      <sheetData sheetId="4718" refreshError="1"/>
      <sheetData sheetId="4719" refreshError="1"/>
      <sheetData sheetId="4720" refreshError="1"/>
      <sheetData sheetId="4721" refreshError="1"/>
      <sheetData sheetId="4722" refreshError="1"/>
      <sheetData sheetId="4723" refreshError="1"/>
      <sheetData sheetId="4724" refreshError="1"/>
      <sheetData sheetId="4725" refreshError="1"/>
      <sheetData sheetId="4726" refreshError="1"/>
      <sheetData sheetId="4727" refreshError="1"/>
      <sheetData sheetId="4728" refreshError="1"/>
      <sheetData sheetId="4729" refreshError="1"/>
      <sheetData sheetId="4730" refreshError="1"/>
      <sheetData sheetId="4731" refreshError="1"/>
      <sheetData sheetId="4732" refreshError="1"/>
      <sheetData sheetId="4733" refreshError="1"/>
      <sheetData sheetId="4734" refreshError="1"/>
      <sheetData sheetId="4735" refreshError="1"/>
      <sheetData sheetId="4736" refreshError="1"/>
      <sheetData sheetId="4737" refreshError="1"/>
      <sheetData sheetId="4738" refreshError="1"/>
      <sheetData sheetId="4739" refreshError="1"/>
      <sheetData sheetId="4740" refreshError="1"/>
      <sheetData sheetId="4741" refreshError="1"/>
      <sheetData sheetId="4742" refreshError="1"/>
      <sheetData sheetId="4743" refreshError="1"/>
      <sheetData sheetId="4744" refreshError="1"/>
      <sheetData sheetId="4745" refreshError="1"/>
      <sheetData sheetId="4746" refreshError="1"/>
      <sheetData sheetId="4747" refreshError="1"/>
      <sheetData sheetId="4748" refreshError="1"/>
      <sheetData sheetId="4749" refreshError="1"/>
      <sheetData sheetId="4750" refreshError="1"/>
      <sheetData sheetId="4751" refreshError="1"/>
      <sheetData sheetId="4752" refreshError="1"/>
      <sheetData sheetId="4753" refreshError="1"/>
      <sheetData sheetId="4754" refreshError="1"/>
      <sheetData sheetId="4755"/>
      <sheetData sheetId="4756"/>
      <sheetData sheetId="4757" refreshError="1"/>
      <sheetData sheetId="4758"/>
      <sheetData sheetId="4759"/>
      <sheetData sheetId="4760"/>
      <sheetData sheetId="4761"/>
      <sheetData sheetId="4762" refreshError="1"/>
      <sheetData sheetId="4763" refreshError="1"/>
      <sheetData sheetId="4764"/>
      <sheetData sheetId="4765"/>
      <sheetData sheetId="4766" refreshError="1"/>
      <sheetData sheetId="4767" refreshError="1"/>
      <sheetData sheetId="4768" refreshError="1"/>
      <sheetData sheetId="4769" refreshError="1"/>
      <sheetData sheetId="4770" refreshError="1"/>
      <sheetData sheetId="4771" refreshError="1"/>
      <sheetData sheetId="4772" refreshError="1"/>
      <sheetData sheetId="4773" refreshError="1"/>
      <sheetData sheetId="4774" refreshError="1"/>
      <sheetData sheetId="4775" refreshError="1"/>
      <sheetData sheetId="4776" refreshError="1"/>
      <sheetData sheetId="4777" refreshError="1"/>
      <sheetData sheetId="4778" refreshError="1"/>
      <sheetData sheetId="4779" refreshError="1"/>
      <sheetData sheetId="4780" refreshError="1"/>
      <sheetData sheetId="4781" refreshError="1"/>
      <sheetData sheetId="4782" refreshError="1"/>
      <sheetData sheetId="4783" refreshError="1"/>
      <sheetData sheetId="4784" refreshError="1"/>
      <sheetData sheetId="4785" refreshError="1"/>
      <sheetData sheetId="4786" refreshError="1"/>
      <sheetData sheetId="4787" refreshError="1"/>
      <sheetData sheetId="4788" refreshError="1"/>
      <sheetData sheetId="4789" refreshError="1"/>
      <sheetData sheetId="4790" refreshError="1"/>
      <sheetData sheetId="4791" refreshError="1"/>
      <sheetData sheetId="4792" refreshError="1"/>
      <sheetData sheetId="4793" refreshError="1"/>
      <sheetData sheetId="4794" refreshError="1"/>
      <sheetData sheetId="4795" refreshError="1"/>
      <sheetData sheetId="4796" refreshError="1"/>
      <sheetData sheetId="4797" refreshError="1"/>
      <sheetData sheetId="4798" refreshError="1"/>
      <sheetData sheetId="4799" refreshError="1"/>
      <sheetData sheetId="4800" refreshError="1"/>
      <sheetData sheetId="4801" refreshError="1"/>
      <sheetData sheetId="4802" refreshError="1"/>
      <sheetData sheetId="4803"/>
      <sheetData sheetId="4804" refreshError="1"/>
      <sheetData sheetId="4805" refreshError="1"/>
      <sheetData sheetId="4806" refreshError="1"/>
      <sheetData sheetId="4807" refreshError="1"/>
      <sheetData sheetId="4808" refreshError="1"/>
      <sheetData sheetId="4809" refreshError="1"/>
      <sheetData sheetId="4810"/>
      <sheetData sheetId="4811" refreshError="1"/>
      <sheetData sheetId="4812" refreshError="1"/>
      <sheetData sheetId="4813" refreshError="1"/>
      <sheetData sheetId="4814" refreshError="1"/>
      <sheetData sheetId="4815" refreshError="1"/>
      <sheetData sheetId="4816" refreshError="1"/>
      <sheetData sheetId="4817" refreshError="1"/>
      <sheetData sheetId="4818" refreshError="1"/>
      <sheetData sheetId="4819" refreshError="1"/>
      <sheetData sheetId="4820" refreshError="1"/>
      <sheetData sheetId="4821" refreshError="1"/>
      <sheetData sheetId="4822" refreshError="1"/>
      <sheetData sheetId="4823" refreshError="1"/>
      <sheetData sheetId="4824" refreshError="1"/>
      <sheetData sheetId="4825" refreshError="1"/>
      <sheetData sheetId="4826" refreshError="1"/>
      <sheetData sheetId="4827"/>
      <sheetData sheetId="4828"/>
      <sheetData sheetId="4829"/>
      <sheetData sheetId="4830"/>
      <sheetData sheetId="4831"/>
      <sheetData sheetId="4832"/>
      <sheetData sheetId="4833"/>
      <sheetData sheetId="4834"/>
      <sheetData sheetId="4835"/>
      <sheetData sheetId="4836"/>
      <sheetData sheetId="4837"/>
      <sheetData sheetId="4838"/>
      <sheetData sheetId="4839"/>
      <sheetData sheetId="4840"/>
      <sheetData sheetId="4841"/>
      <sheetData sheetId="4842"/>
      <sheetData sheetId="4843"/>
      <sheetData sheetId="4844"/>
      <sheetData sheetId="4845"/>
      <sheetData sheetId="4846"/>
      <sheetData sheetId="4847"/>
      <sheetData sheetId="4848"/>
      <sheetData sheetId="4849"/>
      <sheetData sheetId="4850"/>
      <sheetData sheetId="4851"/>
      <sheetData sheetId="4852"/>
      <sheetData sheetId="4853"/>
      <sheetData sheetId="4854"/>
      <sheetData sheetId="4855" refreshError="1"/>
      <sheetData sheetId="4856" refreshError="1"/>
      <sheetData sheetId="4857" refreshError="1"/>
      <sheetData sheetId="4858" refreshError="1"/>
      <sheetData sheetId="4859" refreshError="1"/>
      <sheetData sheetId="4860" refreshError="1"/>
      <sheetData sheetId="4861" refreshError="1"/>
      <sheetData sheetId="4862" refreshError="1"/>
      <sheetData sheetId="4863" refreshError="1"/>
      <sheetData sheetId="4864" refreshError="1"/>
      <sheetData sheetId="4865" refreshError="1"/>
      <sheetData sheetId="4866" refreshError="1"/>
      <sheetData sheetId="4867" refreshError="1"/>
      <sheetData sheetId="4868" refreshError="1"/>
      <sheetData sheetId="4869" refreshError="1"/>
      <sheetData sheetId="4870" refreshError="1"/>
      <sheetData sheetId="4871" refreshError="1"/>
      <sheetData sheetId="4872" refreshError="1"/>
      <sheetData sheetId="4873" refreshError="1"/>
      <sheetData sheetId="4874" refreshError="1"/>
      <sheetData sheetId="4875" refreshError="1"/>
      <sheetData sheetId="4876" refreshError="1"/>
      <sheetData sheetId="4877" refreshError="1"/>
      <sheetData sheetId="4878" refreshError="1"/>
      <sheetData sheetId="4879" refreshError="1"/>
      <sheetData sheetId="4880" refreshError="1"/>
      <sheetData sheetId="4881" refreshError="1"/>
      <sheetData sheetId="4882" refreshError="1"/>
      <sheetData sheetId="4883" refreshError="1"/>
      <sheetData sheetId="4884" refreshError="1"/>
      <sheetData sheetId="4885" refreshError="1"/>
      <sheetData sheetId="4886" refreshError="1"/>
      <sheetData sheetId="4887" refreshError="1"/>
      <sheetData sheetId="4888" refreshError="1"/>
      <sheetData sheetId="4889" refreshError="1"/>
      <sheetData sheetId="4890" refreshError="1"/>
      <sheetData sheetId="4891" refreshError="1"/>
      <sheetData sheetId="4892" refreshError="1"/>
      <sheetData sheetId="4893" refreshError="1"/>
      <sheetData sheetId="4894" refreshError="1"/>
      <sheetData sheetId="4895" refreshError="1"/>
      <sheetData sheetId="4896" refreshError="1"/>
      <sheetData sheetId="4897"/>
      <sheetData sheetId="4898"/>
      <sheetData sheetId="4899"/>
      <sheetData sheetId="4900"/>
      <sheetData sheetId="4901"/>
      <sheetData sheetId="4902"/>
      <sheetData sheetId="4903"/>
      <sheetData sheetId="4904"/>
      <sheetData sheetId="4905"/>
      <sheetData sheetId="4906"/>
      <sheetData sheetId="4907"/>
      <sheetData sheetId="4908"/>
      <sheetData sheetId="4909"/>
      <sheetData sheetId="4910"/>
      <sheetData sheetId="4911"/>
      <sheetData sheetId="4912"/>
      <sheetData sheetId="4913"/>
      <sheetData sheetId="4914"/>
      <sheetData sheetId="4915"/>
      <sheetData sheetId="4916"/>
      <sheetData sheetId="4917"/>
      <sheetData sheetId="4918"/>
      <sheetData sheetId="4919"/>
      <sheetData sheetId="4920"/>
      <sheetData sheetId="4921"/>
      <sheetData sheetId="4922"/>
      <sheetData sheetId="4923"/>
      <sheetData sheetId="4924"/>
      <sheetData sheetId="4925"/>
      <sheetData sheetId="4926"/>
      <sheetData sheetId="4927"/>
      <sheetData sheetId="4928"/>
      <sheetData sheetId="4929"/>
      <sheetData sheetId="4930"/>
      <sheetData sheetId="4931"/>
      <sheetData sheetId="4932"/>
      <sheetData sheetId="4933"/>
      <sheetData sheetId="4934"/>
      <sheetData sheetId="4935"/>
      <sheetData sheetId="4936"/>
      <sheetData sheetId="4937"/>
      <sheetData sheetId="4938"/>
      <sheetData sheetId="4939"/>
      <sheetData sheetId="4940"/>
      <sheetData sheetId="4941"/>
      <sheetData sheetId="4942"/>
      <sheetData sheetId="4943"/>
      <sheetData sheetId="4944"/>
      <sheetData sheetId="4945"/>
      <sheetData sheetId="4946"/>
      <sheetData sheetId="4947"/>
      <sheetData sheetId="4948"/>
      <sheetData sheetId="4949"/>
      <sheetData sheetId="4950"/>
      <sheetData sheetId="4951"/>
      <sheetData sheetId="4952"/>
      <sheetData sheetId="4953"/>
      <sheetData sheetId="4954"/>
      <sheetData sheetId="4955"/>
      <sheetData sheetId="4956"/>
      <sheetData sheetId="4957"/>
      <sheetData sheetId="4958"/>
      <sheetData sheetId="4959"/>
      <sheetData sheetId="4960"/>
      <sheetData sheetId="4961"/>
      <sheetData sheetId="4962"/>
      <sheetData sheetId="4963"/>
      <sheetData sheetId="4964"/>
      <sheetData sheetId="4965"/>
      <sheetData sheetId="4966"/>
      <sheetData sheetId="4967"/>
      <sheetData sheetId="4968"/>
      <sheetData sheetId="4969"/>
      <sheetData sheetId="4970"/>
      <sheetData sheetId="4971"/>
      <sheetData sheetId="4972"/>
      <sheetData sheetId="4973"/>
      <sheetData sheetId="4974"/>
      <sheetData sheetId="4975"/>
      <sheetData sheetId="4976"/>
      <sheetData sheetId="4977"/>
      <sheetData sheetId="4978"/>
      <sheetData sheetId="4979"/>
      <sheetData sheetId="4980"/>
      <sheetData sheetId="4981"/>
      <sheetData sheetId="4982"/>
      <sheetData sheetId="4983"/>
      <sheetData sheetId="4984"/>
      <sheetData sheetId="4985"/>
      <sheetData sheetId="4986"/>
      <sheetData sheetId="4987"/>
      <sheetData sheetId="4988"/>
      <sheetData sheetId="4989"/>
      <sheetData sheetId="4990"/>
      <sheetData sheetId="4991"/>
      <sheetData sheetId="4992"/>
      <sheetData sheetId="4993"/>
      <sheetData sheetId="4994"/>
      <sheetData sheetId="4995"/>
      <sheetData sheetId="4996"/>
      <sheetData sheetId="4997"/>
      <sheetData sheetId="4998"/>
      <sheetData sheetId="4999"/>
      <sheetData sheetId="5000"/>
      <sheetData sheetId="5001"/>
      <sheetData sheetId="5002"/>
      <sheetData sheetId="5003"/>
      <sheetData sheetId="5004"/>
      <sheetData sheetId="5005"/>
      <sheetData sheetId="5006"/>
      <sheetData sheetId="5007"/>
      <sheetData sheetId="5008"/>
      <sheetData sheetId="5009"/>
      <sheetData sheetId="5010"/>
      <sheetData sheetId="5011"/>
      <sheetData sheetId="5012"/>
      <sheetData sheetId="5013"/>
      <sheetData sheetId="5014"/>
      <sheetData sheetId="5015"/>
      <sheetData sheetId="5016"/>
      <sheetData sheetId="5017"/>
      <sheetData sheetId="5018"/>
      <sheetData sheetId="5019"/>
      <sheetData sheetId="5020"/>
      <sheetData sheetId="5021"/>
      <sheetData sheetId="5022"/>
      <sheetData sheetId="5023"/>
      <sheetData sheetId="5024"/>
      <sheetData sheetId="5025"/>
      <sheetData sheetId="5026"/>
      <sheetData sheetId="5027"/>
      <sheetData sheetId="5028"/>
      <sheetData sheetId="5029"/>
      <sheetData sheetId="5030"/>
      <sheetData sheetId="5031"/>
      <sheetData sheetId="5032"/>
      <sheetData sheetId="5033"/>
      <sheetData sheetId="5034"/>
      <sheetData sheetId="5035"/>
      <sheetData sheetId="5036"/>
      <sheetData sheetId="5037"/>
      <sheetData sheetId="5038"/>
      <sheetData sheetId="5039"/>
      <sheetData sheetId="5040"/>
      <sheetData sheetId="5041"/>
      <sheetData sheetId="5042"/>
      <sheetData sheetId="5043"/>
      <sheetData sheetId="5044"/>
      <sheetData sheetId="5045"/>
      <sheetData sheetId="5046"/>
      <sheetData sheetId="5047"/>
      <sheetData sheetId="5048"/>
      <sheetData sheetId="5049"/>
      <sheetData sheetId="5050"/>
      <sheetData sheetId="5051"/>
      <sheetData sheetId="5052"/>
      <sheetData sheetId="5053"/>
      <sheetData sheetId="5054"/>
      <sheetData sheetId="5055"/>
      <sheetData sheetId="5056"/>
      <sheetData sheetId="5057"/>
      <sheetData sheetId="5058"/>
      <sheetData sheetId="5059"/>
      <sheetData sheetId="5060"/>
      <sheetData sheetId="5061"/>
      <sheetData sheetId="5062"/>
      <sheetData sheetId="5063"/>
      <sheetData sheetId="5064"/>
      <sheetData sheetId="5065"/>
      <sheetData sheetId="5066"/>
      <sheetData sheetId="5067"/>
      <sheetData sheetId="5068"/>
      <sheetData sheetId="5069"/>
      <sheetData sheetId="5070"/>
      <sheetData sheetId="5071"/>
      <sheetData sheetId="5072"/>
      <sheetData sheetId="5073"/>
      <sheetData sheetId="5074"/>
      <sheetData sheetId="5075"/>
      <sheetData sheetId="5076"/>
      <sheetData sheetId="5077"/>
      <sheetData sheetId="5078"/>
      <sheetData sheetId="5079"/>
      <sheetData sheetId="5080"/>
      <sheetData sheetId="5081"/>
      <sheetData sheetId="5082"/>
      <sheetData sheetId="5083"/>
      <sheetData sheetId="5084"/>
      <sheetData sheetId="5085"/>
      <sheetData sheetId="5086"/>
      <sheetData sheetId="5087"/>
      <sheetData sheetId="5088"/>
      <sheetData sheetId="5089"/>
      <sheetData sheetId="5090"/>
      <sheetData sheetId="5091"/>
      <sheetData sheetId="5092"/>
      <sheetData sheetId="5093"/>
      <sheetData sheetId="5094"/>
      <sheetData sheetId="5095"/>
      <sheetData sheetId="5096"/>
      <sheetData sheetId="5097"/>
      <sheetData sheetId="5098"/>
      <sheetData sheetId="5099"/>
      <sheetData sheetId="5100"/>
      <sheetData sheetId="5101"/>
      <sheetData sheetId="5102"/>
      <sheetData sheetId="5103"/>
      <sheetData sheetId="5104"/>
      <sheetData sheetId="5105"/>
      <sheetData sheetId="5106"/>
      <sheetData sheetId="5107"/>
      <sheetData sheetId="5108"/>
      <sheetData sheetId="5109"/>
      <sheetData sheetId="5110"/>
      <sheetData sheetId="5111"/>
      <sheetData sheetId="5112"/>
      <sheetData sheetId="5113"/>
      <sheetData sheetId="5114"/>
      <sheetData sheetId="5115"/>
      <sheetData sheetId="5116"/>
      <sheetData sheetId="5117"/>
      <sheetData sheetId="5118"/>
      <sheetData sheetId="5119"/>
      <sheetData sheetId="5120"/>
      <sheetData sheetId="5121"/>
      <sheetData sheetId="5122"/>
      <sheetData sheetId="5123"/>
      <sheetData sheetId="5124"/>
      <sheetData sheetId="5125"/>
      <sheetData sheetId="5126"/>
      <sheetData sheetId="5127"/>
      <sheetData sheetId="5128"/>
      <sheetData sheetId="5129"/>
      <sheetData sheetId="5130"/>
      <sheetData sheetId="5131"/>
      <sheetData sheetId="5132"/>
      <sheetData sheetId="5133"/>
      <sheetData sheetId="5134"/>
      <sheetData sheetId="5135"/>
      <sheetData sheetId="5136"/>
      <sheetData sheetId="5137"/>
      <sheetData sheetId="5138"/>
      <sheetData sheetId="5139"/>
      <sheetData sheetId="5140"/>
      <sheetData sheetId="5141"/>
      <sheetData sheetId="5142"/>
      <sheetData sheetId="5143"/>
      <sheetData sheetId="5144"/>
      <sheetData sheetId="5145"/>
      <sheetData sheetId="5146"/>
      <sheetData sheetId="5147"/>
      <sheetData sheetId="5148"/>
      <sheetData sheetId="5149"/>
      <sheetData sheetId="5150"/>
      <sheetData sheetId="5151"/>
      <sheetData sheetId="5152"/>
      <sheetData sheetId="5153"/>
      <sheetData sheetId="5154"/>
      <sheetData sheetId="5155"/>
      <sheetData sheetId="5156"/>
      <sheetData sheetId="5157"/>
      <sheetData sheetId="5158"/>
      <sheetData sheetId="5159"/>
      <sheetData sheetId="5160"/>
      <sheetData sheetId="5161"/>
      <sheetData sheetId="5162"/>
      <sheetData sheetId="5163"/>
      <sheetData sheetId="5164"/>
      <sheetData sheetId="5165"/>
      <sheetData sheetId="5166"/>
      <sheetData sheetId="5167"/>
      <sheetData sheetId="5168"/>
      <sheetData sheetId="5169"/>
      <sheetData sheetId="5170"/>
      <sheetData sheetId="5171"/>
      <sheetData sheetId="5172"/>
      <sheetData sheetId="5173"/>
      <sheetData sheetId="5174"/>
      <sheetData sheetId="5175"/>
      <sheetData sheetId="5176"/>
      <sheetData sheetId="5177"/>
      <sheetData sheetId="5178"/>
      <sheetData sheetId="5179"/>
      <sheetData sheetId="5180"/>
      <sheetData sheetId="5181"/>
      <sheetData sheetId="5182"/>
      <sheetData sheetId="5183"/>
      <sheetData sheetId="5184"/>
      <sheetData sheetId="5185"/>
      <sheetData sheetId="5186"/>
      <sheetData sheetId="5187"/>
      <sheetData sheetId="5188"/>
      <sheetData sheetId="5189"/>
      <sheetData sheetId="5190"/>
      <sheetData sheetId="5191"/>
      <sheetData sheetId="5192"/>
      <sheetData sheetId="5193"/>
      <sheetData sheetId="5194"/>
      <sheetData sheetId="5195"/>
      <sheetData sheetId="5196"/>
      <sheetData sheetId="5197"/>
      <sheetData sheetId="5198"/>
      <sheetData sheetId="5199"/>
      <sheetData sheetId="5200"/>
      <sheetData sheetId="5201"/>
      <sheetData sheetId="5202"/>
      <sheetData sheetId="5203"/>
      <sheetData sheetId="5204"/>
      <sheetData sheetId="5205"/>
      <sheetData sheetId="5206"/>
      <sheetData sheetId="5207"/>
      <sheetData sheetId="5208"/>
      <sheetData sheetId="5209"/>
      <sheetData sheetId="5210"/>
      <sheetData sheetId="5211"/>
      <sheetData sheetId="5212"/>
      <sheetData sheetId="5213"/>
      <sheetData sheetId="5214"/>
      <sheetData sheetId="5215"/>
      <sheetData sheetId="5216"/>
      <sheetData sheetId="5217"/>
      <sheetData sheetId="5218"/>
      <sheetData sheetId="5219"/>
      <sheetData sheetId="5220"/>
      <sheetData sheetId="5221"/>
      <sheetData sheetId="5222"/>
      <sheetData sheetId="5223"/>
      <sheetData sheetId="5224"/>
      <sheetData sheetId="5225"/>
      <sheetData sheetId="5226"/>
      <sheetData sheetId="5227"/>
      <sheetData sheetId="5228"/>
      <sheetData sheetId="5229"/>
      <sheetData sheetId="5230"/>
      <sheetData sheetId="5231"/>
      <sheetData sheetId="5232"/>
      <sheetData sheetId="5233"/>
      <sheetData sheetId="5234"/>
      <sheetData sheetId="5235"/>
      <sheetData sheetId="5236"/>
      <sheetData sheetId="5237"/>
      <sheetData sheetId="5238"/>
      <sheetData sheetId="5239"/>
      <sheetData sheetId="5240"/>
      <sheetData sheetId="5241"/>
      <sheetData sheetId="5242"/>
      <sheetData sheetId="5243"/>
      <sheetData sheetId="5244"/>
      <sheetData sheetId="5245"/>
      <sheetData sheetId="5246"/>
      <sheetData sheetId="5247"/>
      <sheetData sheetId="5248"/>
      <sheetData sheetId="5249"/>
      <sheetData sheetId="5250"/>
      <sheetData sheetId="5251"/>
      <sheetData sheetId="5252"/>
      <sheetData sheetId="5253"/>
      <sheetData sheetId="5254"/>
      <sheetData sheetId="5255"/>
      <sheetData sheetId="5256"/>
      <sheetData sheetId="5257"/>
      <sheetData sheetId="5258"/>
      <sheetData sheetId="5259"/>
      <sheetData sheetId="5260"/>
      <sheetData sheetId="5261"/>
      <sheetData sheetId="5262"/>
      <sheetData sheetId="5263"/>
      <sheetData sheetId="5264"/>
      <sheetData sheetId="5265"/>
      <sheetData sheetId="5266"/>
      <sheetData sheetId="5267"/>
      <sheetData sheetId="5268"/>
      <sheetData sheetId="5269"/>
      <sheetData sheetId="5270"/>
      <sheetData sheetId="5271"/>
      <sheetData sheetId="5272"/>
      <sheetData sheetId="5273"/>
      <sheetData sheetId="5274"/>
      <sheetData sheetId="5275"/>
      <sheetData sheetId="5276"/>
      <sheetData sheetId="5277"/>
      <sheetData sheetId="5278"/>
      <sheetData sheetId="5279"/>
      <sheetData sheetId="5280"/>
      <sheetData sheetId="5281"/>
      <sheetData sheetId="5282"/>
      <sheetData sheetId="5283"/>
      <sheetData sheetId="5284"/>
      <sheetData sheetId="5285"/>
      <sheetData sheetId="5286"/>
      <sheetData sheetId="5287"/>
      <sheetData sheetId="5288"/>
      <sheetData sheetId="5289"/>
      <sheetData sheetId="5290"/>
      <sheetData sheetId="5291"/>
      <sheetData sheetId="5292"/>
      <sheetData sheetId="5293"/>
      <sheetData sheetId="5294"/>
      <sheetData sheetId="5295" refreshError="1"/>
      <sheetData sheetId="5296"/>
      <sheetData sheetId="5297"/>
      <sheetData sheetId="5298"/>
      <sheetData sheetId="5299"/>
      <sheetData sheetId="5300"/>
      <sheetData sheetId="5301"/>
      <sheetData sheetId="5302"/>
      <sheetData sheetId="5303"/>
      <sheetData sheetId="5304"/>
      <sheetData sheetId="5305"/>
      <sheetData sheetId="5306"/>
      <sheetData sheetId="5307"/>
      <sheetData sheetId="5308"/>
      <sheetData sheetId="5309"/>
      <sheetData sheetId="5310"/>
      <sheetData sheetId="5311"/>
      <sheetData sheetId="5312"/>
      <sheetData sheetId="5313"/>
      <sheetData sheetId="5314"/>
      <sheetData sheetId="5315"/>
      <sheetData sheetId="5316"/>
      <sheetData sheetId="5317"/>
      <sheetData sheetId="5318"/>
      <sheetData sheetId="5319"/>
      <sheetData sheetId="5320"/>
      <sheetData sheetId="5321"/>
      <sheetData sheetId="5322"/>
      <sheetData sheetId="5323"/>
      <sheetData sheetId="5324"/>
      <sheetData sheetId="5325"/>
      <sheetData sheetId="5326"/>
      <sheetData sheetId="5327"/>
      <sheetData sheetId="5328"/>
      <sheetData sheetId="5329"/>
      <sheetData sheetId="5330"/>
      <sheetData sheetId="5331"/>
      <sheetData sheetId="5332"/>
      <sheetData sheetId="5333"/>
      <sheetData sheetId="5334"/>
      <sheetData sheetId="5335"/>
      <sheetData sheetId="5336"/>
      <sheetData sheetId="5337"/>
      <sheetData sheetId="5338"/>
      <sheetData sheetId="5339"/>
      <sheetData sheetId="5340"/>
      <sheetData sheetId="5341"/>
      <sheetData sheetId="5342"/>
      <sheetData sheetId="5343"/>
      <sheetData sheetId="5344"/>
      <sheetData sheetId="5345"/>
      <sheetData sheetId="5346"/>
      <sheetData sheetId="5347"/>
      <sheetData sheetId="5348"/>
      <sheetData sheetId="5349"/>
      <sheetData sheetId="5350"/>
      <sheetData sheetId="5351"/>
      <sheetData sheetId="5352"/>
      <sheetData sheetId="5353"/>
      <sheetData sheetId="5354"/>
      <sheetData sheetId="5355"/>
      <sheetData sheetId="5356"/>
      <sheetData sheetId="5357"/>
      <sheetData sheetId="5358"/>
      <sheetData sheetId="5359"/>
      <sheetData sheetId="5360"/>
      <sheetData sheetId="5361"/>
      <sheetData sheetId="5362"/>
      <sheetData sheetId="5363"/>
      <sheetData sheetId="5364"/>
      <sheetData sheetId="5365"/>
      <sheetData sheetId="5366"/>
      <sheetData sheetId="5367"/>
      <sheetData sheetId="5368"/>
      <sheetData sheetId="5369"/>
      <sheetData sheetId="5370"/>
      <sheetData sheetId="5371"/>
      <sheetData sheetId="5372"/>
      <sheetData sheetId="5373"/>
      <sheetData sheetId="5374"/>
      <sheetData sheetId="5375"/>
      <sheetData sheetId="5376" refreshError="1"/>
      <sheetData sheetId="5377" refreshError="1"/>
      <sheetData sheetId="5378" refreshError="1"/>
      <sheetData sheetId="5379" refreshError="1"/>
      <sheetData sheetId="5380" refreshError="1"/>
      <sheetData sheetId="5381" refreshError="1"/>
      <sheetData sheetId="5382" refreshError="1"/>
      <sheetData sheetId="5383" refreshError="1"/>
      <sheetData sheetId="5384" refreshError="1"/>
      <sheetData sheetId="5385" refreshError="1"/>
      <sheetData sheetId="5386" refreshError="1"/>
      <sheetData sheetId="5387"/>
      <sheetData sheetId="5388"/>
      <sheetData sheetId="5389"/>
      <sheetData sheetId="5390"/>
      <sheetData sheetId="5391"/>
      <sheetData sheetId="5392"/>
      <sheetData sheetId="5393"/>
      <sheetData sheetId="5394"/>
      <sheetData sheetId="5395"/>
      <sheetData sheetId="5396"/>
      <sheetData sheetId="5397"/>
      <sheetData sheetId="5398" refreshError="1"/>
      <sheetData sheetId="5399" refreshError="1"/>
      <sheetData sheetId="5400" refreshError="1"/>
      <sheetData sheetId="5401" refreshError="1"/>
      <sheetData sheetId="5402" refreshError="1"/>
      <sheetData sheetId="5403" refreshError="1"/>
      <sheetData sheetId="5404" refreshError="1"/>
      <sheetData sheetId="5405" refreshError="1"/>
      <sheetData sheetId="5406" refreshError="1"/>
      <sheetData sheetId="5407" refreshError="1"/>
      <sheetData sheetId="5408" refreshError="1"/>
      <sheetData sheetId="5409" refreshError="1"/>
      <sheetData sheetId="5410" refreshError="1"/>
      <sheetData sheetId="5411" refreshError="1"/>
      <sheetData sheetId="5412" refreshError="1"/>
      <sheetData sheetId="5413" refreshError="1"/>
      <sheetData sheetId="5414" refreshError="1"/>
      <sheetData sheetId="5415" refreshError="1"/>
      <sheetData sheetId="5416" refreshError="1"/>
      <sheetData sheetId="5417" refreshError="1"/>
      <sheetData sheetId="5418" refreshError="1"/>
      <sheetData sheetId="5419" refreshError="1"/>
      <sheetData sheetId="5420" refreshError="1"/>
      <sheetData sheetId="5421" refreshError="1"/>
      <sheetData sheetId="5422" refreshError="1"/>
      <sheetData sheetId="5423" refreshError="1"/>
      <sheetData sheetId="5424" refreshError="1"/>
      <sheetData sheetId="5425" refreshError="1"/>
      <sheetData sheetId="5426"/>
      <sheetData sheetId="5427"/>
      <sheetData sheetId="5428"/>
      <sheetData sheetId="5429"/>
      <sheetData sheetId="5430"/>
      <sheetData sheetId="5431"/>
      <sheetData sheetId="5432"/>
      <sheetData sheetId="5433"/>
      <sheetData sheetId="5434"/>
      <sheetData sheetId="5435"/>
      <sheetData sheetId="5436"/>
      <sheetData sheetId="5437"/>
      <sheetData sheetId="5438"/>
      <sheetData sheetId="5439" refreshError="1"/>
      <sheetData sheetId="5440" refreshError="1"/>
      <sheetData sheetId="5441" refreshError="1"/>
      <sheetData sheetId="5442" refreshError="1"/>
      <sheetData sheetId="5443"/>
      <sheetData sheetId="5444"/>
      <sheetData sheetId="5445"/>
      <sheetData sheetId="5446"/>
      <sheetData sheetId="5447"/>
      <sheetData sheetId="5448"/>
      <sheetData sheetId="5449"/>
      <sheetData sheetId="5450"/>
      <sheetData sheetId="5451"/>
      <sheetData sheetId="5452"/>
      <sheetData sheetId="5453"/>
      <sheetData sheetId="5454"/>
      <sheetData sheetId="5455"/>
      <sheetData sheetId="5456"/>
      <sheetData sheetId="5457"/>
      <sheetData sheetId="5458"/>
      <sheetData sheetId="5459"/>
      <sheetData sheetId="5460"/>
      <sheetData sheetId="5461" refreshError="1"/>
      <sheetData sheetId="5462" refreshError="1"/>
      <sheetData sheetId="5463" refreshError="1"/>
      <sheetData sheetId="5464" refreshError="1"/>
      <sheetData sheetId="5465" refreshError="1"/>
      <sheetData sheetId="5466"/>
      <sheetData sheetId="5467"/>
      <sheetData sheetId="5468"/>
      <sheetData sheetId="5469"/>
      <sheetData sheetId="5470"/>
      <sheetData sheetId="5471"/>
      <sheetData sheetId="5472"/>
      <sheetData sheetId="5473" refreshError="1"/>
      <sheetData sheetId="5474" refreshError="1"/>
      <sheetData sheetId="5475" refreshError="1"/>
      <sheetData sheetId="5476" refreshError="1"/>
      <sheetData sheetId="5477" refreshError="1"/>
      <sheetData sheetId="5478" refreshError="1"/>
      <sheetData sheetId="5479" refreshError="1"/>
      <sheetData sheetId="5480" refreshError="1"/>
      <sheetData sheetId="5481" refreshError="1"/>
      <sheetData sheetId="5482" refreshError="1"/>
      <sheetData sheetId="5483" refreshError="1"/>
      <sheetData sheetId="5484" refreshError="1"/>
      <sheetData sheetId="5485" refreshError="1"/>
      <sheetData sheetId="5486" refreshError="1"/>
      <sheetData sheetId="5487" refreshError="1"/>
      <sheetData sheetId="5488" refreshError="1"/>
      <sheetData sheetId="5489" refreshError="1"/>
      <sheetData sheetId="5490" refreshError="1"/>
      <sheetData sheetId="5491" refreshError="1"/>
      <sheetData sheetId="5492" refreshError="1"/>
      <sheetData sheetId="5493"/>
      <sheetData sheetId="5494"/>
      <sheetData sheetId="5495"/>
      <sheetData sheetId="5496"/>
      <sheetData sheetId="5497" refreshError="1"/>
      <sheetData sheetId="5498" refreshError="1"/>
      <sheetData sheetId="5499" refreshError="1"/>
      <sheetData sheetId="5500" refreshError="1"/>
      <sheetData sheetId="5501" refreshError="1"/>
      <sheetData sheetId="5502" refreshError="1"/>
      <sheetData sheetId="5503" refreshError="1"/>
      <sheetData sheetId="5504" refreshError="1"/>
      <sheetData sheetId="5505" refreshError="1"/>
      <sheetData sheetId="5506" refreshError="1"/>
      <sheetData sheetId="5507" refreshError="1"/>
      <sheetData sheetId="5508"/>
      <sheetData sheetId="5509"/>
      <sheetData sheetId="5510"/>
      <sheetData sheetId="5511"/>
      <sheetData sheetId="5512"/>
      <sheetData sheetId="5513"/>
      <sheetData sheetId="5514"/>
      <sheetData sheetId="5515"/>
      <sheetData sheetId="5516" refreshError="1"/>
      <sheetData sheetId="5517" refreshError="1"/>
      <sheetData sheetId="5518" refreshError="1"/>
      <sheetData sheetId="5519" refreshError="1"/>
      <sheetData sheetId="5520" refreshError="1"/>
      <sheetData sheetId="5521" refreshError="1"/>
      <sheetData sheetId="5522" refreshError="1"/>
      <sheetData sheetId="5523" refreshError="1"/>
      <sheetData sheetId="5524"/>
      <sheetData sheetId="5525"/>
      <sheetData sheetId="5526"/>
      <sheetData sheetId="5527"/>
      <sheetData sheetId="5528"/>
      <sheetData sheetId="5529"/>
      <sheetData sheetId="5530"/>
      <sheetData sheetId="5531"/>
      <sheetData sheetId="5532"/>
      <sheetData sheetId="5533"/>
      <sheetData sheetId="5534"/>
      <sheetData sheetId="5535"/>
      <sheetData sheetId="5536"/>
      <sheetData sheetId="5537"/>
      <sheetData sheetId="5538"/>
      <sheetData sheetId="5539" refreshError="1"/>
      <sheetData sheetId="5540" refreshError="1"/>
      <sheetData sheetId="5541" refreshError="1"/>
      <sheetData sheetId="5542" refreshError="1"/>
      <sheetData sheetId="5543" refreshError="1"/>
      <sheetData sheetId="5544" refreshError="1"/>
      <sheetData sheetId="5545" refreshError="1"/>
      <sheetData sheetId="5546" refreshError="1"/>
      <sheetData sheetId="5547" refreshError="1"/>
      <sheetData sheetId="5548" refreshError="1"/>
      <sheetData sheetId="5549"/>
      <sheetData sheetId="5550"/>
      <sheetData sheetId="5551"/>
      <sheetData sheetId="5552"/>
      <sheetData sheetId="5553"/>
      <sheetData sheetId="5554"/>
      <sheetData sheetId="5555" refreshError="1"/>
      <sheetData sheetId="5556" refreshError="1"/>
      <sheetData sheetId="5557" refreshError="1"/>
      <sheetData sheetId="5558"/>
      <sheetData sheetId="5559"/>
      <sheetData sheetId="5560" refreshError="1"/>
      <sheetData sheetId="5561" refreshError="1"/>
      <sheetData sheetId="5562" refreshError="1"/>
      <sheetData sheetId="5563" refreshError="1"/>
      <sheetData sheetId="5564" refreshError="1"/>
      <sheetData sheetId="5565" refreshError="1"/>
      <sheetData sheetId="5566" refreshError="1"/>
      <sheetData sheetId="5567" refreshError="1"/>
      <sheetData sheetId="5568" refreshError="1"/>
      <sheetData sheetId="5569" refreshError="1"/>
      <sheetData sheetId="5570" refreshError="1"/>
      <sheetData sheetId="5571" refreshError="1"/>
      <sheetData sheetId="5572" refreshError="1"/>
      <sheetData sheetId="5573" refreshError="1"/>
      <sheetData sheetId="5574" refreshError="1"/>
      <sheetData sheetId="5575" refreshError="1"/>
      <sheetData sheetId="5576" refreshError="1"/>
      <sheetData sheetId="5577" refreshError="1"/>
      <sheetData sheetId="5578" refreshError="1"/>
      <sheetData sheetId="5579" refreshError="1"/>
      <sheetData sheetId="5580" refreshError="1"/>
      <sheetData sheetId="5581" refreshError="1"/>
      <sheetData sheetId="5582" refreshError="1"/>
      <sheetData sheetId="5583" refreshError="1"/>
      <sheetData sheetId="5584" refreshError="1"/>
      <sheetData sheetId="5585" refreshError="1"/>
      <sheetData sheetId="5586" refreshError="1"/>
      <sheetData sheetId="5587" refreshError="1"/>
      <sheetData sheetId="5588" refreshError="1"/>
      <sheetData sheetId="5589" refreshError="1"/>
      <sheetData sheetId="5590" refreshError="1"/>
      <sheetData sheetId="5591" refreshError="1"/>
      <sheetData sheetId="5592" refreshError="1"/>
      <sheetData sheetId="5593" refreshError="1"/>
      <sheetData sheetId="5594" refreshError="1"/>
      <sheetData sheetId="5595" refreshError="1"/>
      <sheetData sheetId="5596" refreshError="1"/>
      <sheetData sheetId="5597" refreshError="1"/>
      <sheetData sheetId="5598" refreshError="1"/>
      <sheetData sheetId="5599" refreshError="1"/>
      <sheetData sheetId="5600" refreshError="1"/>
      <sheetData sheetId="5601" refreshError="1"/>
      <sheetData sheetId="5602" refreshError="1"/>
      <sheetData sheetId="5603" refreshError="1"/>
      <sheetData sheetId="5604" refreshError="1"/>
      <sheetData sheetId="5605"/>
      <sheetData sheetId="5606"/>
      <sheetData sheetId="5607"/>
      <sheetData sheetId="5608"/>
      <sheetData sheetId="5609"/>
      <sheetData sheetId="5610"/>
      <sheetData sheetId="5611" refreshError="1"/>
      <sheetData sheetId="5612" refreshError="1"/>
      <sheetData sheetId="5613"/>
      <sheetData sheetId="5614" refreshError="1"/>
      <sheetData sheetId="5615" refreshError="1"/>
      <sheetData sheetId="5616" refreshError="1"/>
      <sheetData sheetId="5617" refreshError="1"/>
      <sheetData sheetId="5618"/>
      <sheetData sheetId="5619"/>
      <sheetData sheetId="5620"/>
      <sheetData sheetId="5621"/>
      <sheetData sheetId="5622"/>
      <sheetData sheetId="5623"/>
      <sheetData sheetId="5624"/>
      <sheetData sheetId="5625"/>
      <sheetData sheetId="5626"/>
      <sheetData sheetId="5627"/>
      <sheetData sheetId="5628"/>
      <sheetData sheetId="5629"/>
      <sheetData sheetId="5630"/>
      <sheetData sheetId="5631"/>
      <sheetData sheetId="5632"/>
      <sheetData sheetId="5633"/>
      <sheetData sheetId="5634"/>
      <sheetData sheetId="5635"/>
      <sheetData sheetId="5636"/>
      <sheetData sheetId="5637"/>
      <sheetData sheetId="5638"/>
      <sheetData sheetId="5639"/>
      <sheetData sheetId="5640"/>
      <sheetData sheetId="5641"/>
      <sheetData sheetId="5642"/>
      <sheetData sheetId="5643"/>
      <sheetData sheetId="5644"/>
      <sheetData sheetId="5645"/>
      <sheetData sheetId="5646"/>
      <sheetData sheetId="5647"/>
      <sheetData sheetId="5648"/>
      <sheetData sheetId="5649"/>
      <sheetData sheetId="5650"/>
      <sheetData sheetId="5651"/>
      <sheetData sheetId="5652"/>
      <sheetData sheetId="5653"/>
      <sheetData sheetId="5654"/>
      <sheetData sheetId="5655"/>
      <sheetData sheetId="5656"/>
      <sheetData sheetId="5657"/>
      <sheetData sheetId="5658"/>
      <sheetData sheetId="5659"/>
      <sheetData sheetId="5660"/>
      <sheetData sheetId="5661"/>
      <sheetData sheetId="5662"/>
      <sheetData sheetId="5663"/>
      <sheetData sheetId="5664"/>
      <sheetData sheetId="5665"/>
      <sheetData sheetId="5666"/>
      <sheetData sheetId="5667"/>
      <sheetData sheetId="5668"/>
      <sheetData sheetId="5669"/>
      <sheetData sheetId="5670"/>
      <sheetData sheetId="5671"/>
      <sheetData sheetId="5672"/>
      <sheetData sheetId="5673"/>
      <sheetData sheetId="5674"/>
      <sheetData sheetId="5675"/>
      <sheetData sheetId="5676"/>
      <sheetData sheetId="5677"/>
      <sheetData sheetId="5678"/>
      <sheetData sheetId="5679"/>
      <sheetData sheetId="5680"/>
      <sheetData sheetId="5681"/>
      <sheetData sheetId="5682"/>
      <sheetData sheetId="5683"/>
      <sheetData sheetId="5684"/>
      <sheetData sheetId="5685"/>
      <sheetData sheetId="5686"/>
      <sheetData sheetId="5687"/>
      <sheetData sheetId="5688"/>
      <sheetData sheetId="5689"/>
      <sheetData sheetId="5690"/>
      <sheetData sheetId="5691"/>
      <sheetData sheetId="5692"/>
      <sheetData sheetId="5693"/>
      <sheetData sheetId="5694"/>
      <sheetData sheetId="5695"/>
      <sheetData sheetId="5696"/>
      <sheetData sheetId="5697"/>
      <sheetData sheetId="5698"/>
      <sheetData sheetId="5699"/>
      <sheetData sheetId="5700"/>
      <sheetData sheetId="5701"/>
      <sheetData sheetId="5702"/>
      <sheetData sheetId="5703"/>
      <sheetData sheetId="5704"/>
      <sheetData sheetId="5705"/>
      <sheetData sheetId="5706"/>
      <sheetData sheetId="5707"/>
      <sheetData sheetId="5708"/>
      <sheetData sheetId="5709"/>
      <sheetData sheetId="5710"/>
      <sheetData sheetId="5711"/>
      <sheetData sheetId="5712"/>
      <sheetData sheetId="5713"/>
      <sheetData sheetId="5714"/>
      <sheetData sheetId="5715"/>
      <sheetData sheetId="5716"/>
      <sheetData sheetId="5717"/>
      <sheetData sheetId="5718"/>
      <sheetData sheetId="5719"/>
      <sheetData sheetId="5720"/>
      <sheetData sheetId="5721"/>
      <sheetData sheetId="5722"/>
      <sheetData sheetId="5723"/>
      <sheetData sheetId="5724"/>
      <sheetData sheetId="5725"/>
      <sheetData sheetId="5726"/>
      <sheetData sheetId="5727"/>
      <sheetData sheetId="5728"/>
      <sheetData sheetId="5729"/>
      <sheetData sheetId="5730"/>
      <sheetData sheetId="5731"/>
      <sheetData sheetId="5732"/>
      <sheetData sheetId="5733"/>
      <sheetData sheetId="5734"/>
      <sheetData sheetId="5735"/>
      <sheetData sheetId="5736"/>
      <sheetData sheetId="5737"/>
      <sheetData sheetId="5738"/>
      <sheetData sheetId="5739"/>
      <sheetData sheetId="5740"/>
      <sheetData sheetId="5741"/>
      <sheetData sheetId="5742"/>
      <sheetData sheetId="5743"/>
      <sheetData sheetId="5744"/>
      <sheetData sheetId="5745"/>
      <sheetData sheetId="5746"/>
      <sheetData sheetId="5747"/>
      <sheetData sheetId="5748"/>
      <sheetData sheetId="5749"/>
      <sheetData sheetId="5750"/>
      <sheetData sheetId="5751"/>
      <sheetData sheetId="5752"/>
      <sheetData sheetId="5753"/>
      <sheetData sheetId="5754"/>
      <sheetData sheetId="5755"/>
      <sheetData sheetId="5756"/>
      <sheetData sheetId="5757"/>
      <sheetData sheetId="5758"/>
      <sheetData sheetId="5759"/>
      <sheetData sheetId="5760"/>
      <sheetData sheetId="5761"/>
      <sheetData sheetId="5762"/>
      <sheetData sheetId="5763"/>
      <sheetData sheetId="5764"/>
      <sheetData sheetId="5765"/>
      <sheetData sheetId="5766"/>
      <sheetData sheetId="5767"/>
      <sheetData sheetId="5768"/>
      <sheetData sheetId="5769"/>
      <sheetData sheetId="5770"/>
      <sheetData sheetId="5771"/>
      <sheetData sheetId="5772"/>
      <sheetData sheetId="5773"/>
      <sheetData sheetId="5774"/>
      <sheetData sheetId="5775"/>
      <sheetData sheetId="5776"/>
      <sheetData sheetId="5777"/>
      <sheetData sheetId="5778"/>
      <sheetData sheetId="5779"/>
      <sheetData sheetId="5780"/>
      <sheetData sheetId="5781"/>
      <sheetData sheetId="5782"/>
      <sheetData sheetId="5783"/>
      <sheetData sheetId="5784"/>
      <sheetData sheetId="5785"/>
      <sheetData sheetId="5786"/>
      <sheetData sheetId="5787"/>
      <sheetData sheetId="5788"/>
      <sheetData sheetId="5789"/>
      <sheetData sheetId="5790"/>
      <sheetData sheetId="5791"/>
      <sheetData sheetId="5792"/>
      <sheetData sheetId="5793"/>
      <sheetData sheetId="5794"/>
      <sheetData sheetId="5795"/>
      <sheetData sheetId="5796"/>
      <sheetData sheetId="5797"/>
      <sheetData sheetId="5798"/>
      <sheetData sheetId="5799"/>
      <sheetData sheetId="5800"/>
      <sheetData sheetId="5801"/>
      <sheetData sheetId="5802"/>
      <sheetData sheetId="5803"/>
      <sheetData sheetId="5804"/>
      <sheetData sheetId="5805"/>
      <sheetData sheetId="5806"/>
      <sheetData sheetId="5807"/>
      <sheetData sheetId="5808"/>
      <sheetData sheetId="5809"/>
      <sheetData sheetId="5810"/>
      <sheetData sheetId="5811"/>
      <sheetData sheetId="5812"/>
      <sheetData sheetId="5813"/>
      <sheetData sheetId="5814"/>
      <sheetData sheetId="5815"/>
      <sheetData sheetId="5816"/>
      <sheetData sheetId="5817"/>
      <sheetData sheetId="5818"/>
      <sheetData sheetId="5819"/>
      <sheetData sheetId="5820"/>
      <sheetData sheetId="5821"/>
      <sheetData sheetId="5822"/>
      <sheetData sheetId="5823"/>
      <sheetData sheetId="5824"/>
      <sheetData sheetId="5825"/>
      <sheetData sheetId="5826"/>
      <sheetData sheetId="5827"/>
      <sheetData sheetId="5828"/>
      <sheetData sheetId="5829"/>
      <sheetData sheetId="5830"/>
      <sheetData sheetId="5831"/>
      <sheetData sheetId="5832"/>
      <sheetData sheetId="5833"/>
      <sheetData sheetId="5834"/>
      <sheetData sheetId="5835"/>
      <sheetData sheetId="5836"/>
      <sheetData sheetId="5837"/>
      <sheetData sheetId="5838"/>
      <sheetData sheetId="5839"/>
      <sheetData sheetId="5840"/>
      <sheetData sheetId="5841"/>
      <sheetData sheetId="5842"/>
      <sheetData sheetId="5843"/>
      <sheetData sheetId="5844"/>
      <sheetData sheetId="5845"/>
      <sheetData sheetId="5846"/>
      <sheetData sheetId="5847"/>
      <sheetData sheetId="5848"/>
      <sheetData sheetId="5849"/>
      <sheetData sheetId="5850"/>
      <sheetData sheetId="5851"/>
      <sheetData sheetId="5852"/>
      <sheetData sheetId="5853"/>
      <sheetData sheetId="5854"/>
      <sheetData sheetId="5855"/>
      <sheetData sheetId="5856"/>
      <sheetData sheetId="5857"/>
      <sheetData sheetId="5858"/>
      <sheetData sheetId="5859"/>
      <sheetData sheetId="5860"/>
      <sheetData sheetId="5861"/>
      <sheetData sheetId="5862"/>
      <sheetData sheetId="5863"/>
      <sheetData sheetId="5864"/>
      <sheetData sheetId="5865"/>
      <sheetData sheetId="5866"/>
      <sheetData sheetId="5867"/>
      <sheetData sheetId="5868"/>
      <sheetData sheetId="5869"/>
      <sheetData sheetId="5870"/>
      <sheetData sheetId="5871"/>
      <sheetData sheetId="5872"/>
      <sheetData sheetId="5873"/>
      <sheetData sheetId="5874"/>
      <sheetData sheetId="5875"/>
      <sheetData sheetId="5876"/>
      <sheetData sheetId="5877"/>
      <sheetData sheetId="5878"/>
      <sheetData sheetId="5879"/>
      <sheetData sheetId="5880"/>
      <sheetData sheetId="5881"/>
      <sheetData sheetId="5882"/>
      <sheetData sheetId="5883"/>
      <sheetData sheetId="5884"/>
      <sheetData sheetId="5885"/>
      <sheetData sheetId="5886"/>
      <sheetData sheetId="5887"/>
      <sheetData sheetId="5888"/>
      <sheetData sheetId="5889" refreshError="1"/>
      <sheetData sheetId="5890"/>
      <sheetData sheetId="5891"/>
      <sheetData sheetId="5892"/>
      <sheetData sheetId="5893"/>
      <sheetData sheetId="5894"/>
      <sheetData sheetId="5895"/>
      <sheetData sheetId="5896"/>
      <sheetData sheetId="5897"/>
      <sheetData sheetId="5898"/>
      <sheetData sheetId="5899"/>
      <sheetData sheetId="5900"/>
      <sheetData sheetId="5901"/>
      <sheetData sheetId="5902"/>
      <sheetData sheetId="5903"/>
      <sheetData sheetId="5904"/>
      <sheetData sheetId="5905" refreshError="1"/>
      <sheetData sheetId="5906" refreshError="1"/>
      <sheetData sheetId="5907" refreshError="1"/>
      <sheetData sheetId="5908" refreshError="1"/>
      <sheetData sheetId="5909" refreshError="1"/>
      <sheetData sheetId="5910" refreshError="1"/>
      <sheetData sheetId="5911" refreshError="1"/>
      <sheetData sheetId="5912" refreshError="1"/>
      <sheetData sheetId="5913" refreshError="1"/>
      <sheetData sheetId="5914"/>
      <sheetData sheetId="5915"/>
      <sheetData sheetId="5916"/>
      <sheetData sheetId="5917"/>
      <sheetData sheetId="5918"/>
      <sheetData sheetId="5919"/>
      <sheetData sheetId="5920"/>
      <sheetData sheetId="5921"/>
      <sheetData sheetId="5922"/>
      <sheetData sheetId="5923"/>
      <sheetData sheetId="5924"/>
      <sheetData sheetId="5925"/>
      <sheetData sheetId="5926"/>
      <sheetData sheetId="5927" refreshError="1"/>
      <sheetData sheetId="5928" refreshError="1"/>
      <sheetData sheetId="5929" refreshError="1"/>
      <sheetData sheetId="5930" refreshError="1"/>
      <sheetData sheetId="5931" refreshError="1"/>
      <sheetData sheetId="5932" refreshError="1"/>
      <sheetData sheetId="5933" refreshError="1"/>
      <sheetData sheetId="5934" refreshError="1"/>
      <sheetData sheetId="5935" refreshError="1"/>
      <sheetData sheetId="5936" refreshError="1"/>
      <sheetData sheetId="5937" refreshError="1"/>
      <sheetData sheetId="5938" refreshError="1"/>
      <sheetData sheetId="5939" refreshError="1"/>
      <sheetData sheetId="5940" refreshError="1"/>
      <sheetData sheetId="5941"/>
      <sheetData sheetId="5942" refreshError="1"/>
      <sheetData sheetId="5943" refreshError="1"/>
      <sheetData sheetId="5944" refreshError="1"/>
      <sheetData sheetId="5945" refreshError="1"/>
      <sheetData sheetId="5946" refreshError="1"/>
      <sheetData sheetId="5947" refreshError="1"/>
      <sheetData sheetId="5948" refreshError="1"/>
      <sheetData sheetId="5949" refreshError="1"/>
      <sheetData sheetId="5950" refreshError="1"/>
      <sheetData sheetId="5951"/>
      <sheetData sheetId="5952" refreshError="1"/>
      <sheetData sheetId="5953" refreshError="1"/>
      <sheetData sheetId="5954" refreshError="1"/>
      <sheetData sheetId="5955"/>
      <sheetData sheetId="5956" refreshError="1"/>
      <sheetData sheetId="5957"/>
      <sheetData sheetId="5958"/>
      <sheetData sheetId="5959"/>
      <sheetData sheetId="5960"/>
      <sheetData sheetId="5961"/>
      <sheetData sheetId="5962"/>
      <sheetData sheetId="5963" refreshError="1"/>
      <sheetData sheetId="5964" refreshError="1"/>
      <sheetData sheetId="5965" refreshError="1"/>
      <sheetData sheetId="5966" refreshError="1"/>
      <sheetData sheetId="5967" refreshError="1"/>
      <sheetData sheetId="5968" refreshError="1"/>
      <sheetData sheetId="5969" refreshError="1"/>
      <sheetData sheetId="5970" refreshError="1"/>
      <sheetData sheetId="5971" refreshError="1"/>
      <sheetData sheetId="5972"/>
      <sheetData sheetId="5973"/>
      <sheetData sheetId="5974" refreshError="1"/>
      <sheetData sheetId="5975" refreshError="1"/>
      <sheetData sheetId="5976" refreshError="1"/>
      <sheetData sheetId="5977" refreshError="1"/>
      <sheetData sheetId="5978" refreshError="1"/>
      <sheetData sheetId="5979" refreshError="1"/>
      <sheetData sheetId="5980" refreshError="1"/>
      <sheetData sheetId="5981" refreshError="1"/>
      <sheetData sheetId="5982" refreshError="1"/>
      <sheetData sheetId="5983" refreshError="1"/>
      <sheetData sheetId="5984" refreshError="1"/>
      <sheetData sheetId="5985" refreshError="1"/>
      <sheetData sheetId="5986"/>
      <sheetData sheetId="5987" refreshError="1"/>
      <sheetData sheetId="5988" refreshError="1"/>
      <sheetData sheetId="5989" refreshError="1"/>
      <sheetData sheetId="5990" refreshError="1"/>
      <sheetData sheetId="5991" refreshError="1"/>
      <sheetData sheetId="5992" refreshError="1"/>
      <sheetData sheetId="5993" refreshError="1"/>
      <sheetData sheetId="5994" refreshError="1"/>
      <sheetData sheetId="5995" refreshError="1"/>
      <sheetData sheetId="5996" refreshError="1"/>
      <sheetData sheetId="5997" refreshError="1"/>
      <sheetData sheetId="5998" refreshError="1"/>
      <sheetData sheetId="5999" refreshError="1"/>
      <sheetData sheetId="6000" refreshError="1"/>
      <sheetData sheetId="6001" refreshError="1"/>
      <sheetData sheetId="6002" refreshError="1"/>
      <sheetData sheetId="6003" refreshError="1"/>
      <sheetData sheetId="6004" refreshError="1"/>
      <sheetData sheetId="6005" refreshError="1"/>
      <sheetData sheetId="6006" refreshError="1"/>
      <sheetData sheetId="6007" refreshError="1"/>
      <sheetData sheetId="6008" refreshError="1"/>
      <sheetData sheetId="6009" refreshError="1"/>
      <sheetData sheetId="6010" refreshError="1"/>
      <sheetData sheetId="6011" refreshError="1"/>
      <sheetData sheetId="6012" refreshError="1"/>
      <sheetData sheetId="6013" refreshError="1"/>
      <sheetData sheetId="6014" refreshError="1"/>
      <sheetData sheetId="6015" refreshError="1"/>
      <sheetData sheetId="6016" refreshError="1"/>
      <sheetData sheetId="6017" refreshError="1"/>
      <sheetData sheetId="6018" refreshError="1"/>
      <sheetData sheetId="6019" refreshError="1"/>
      <sheetData sheetId="6020" refreshError="1"/>
      <sheetData sheetId="6021" refreshError="1"/>
      <sheetData sheetId="6022" refreshError="1"/>
      <sheetData sheetId="6023" refreshError="1"/>
      <sheetData sheetId="6024" refreshError="1"/>
      <sheetData sheetId="6025" refreshError="1"/>
      <sheetData sheetId="6026" refreshError="1"/>
      <sheetData sheetId="6027" refreshError="1"/>
      <sheetData sheetId="6028" refreshError="1"/>
      <sheetData sheetId="6029" refreshError="1"/>
      <sheetData sheetId="6030" refreshError="1"/>
      <sheetData sheetId="6031" refreshError="1"/>
      <sheetData sheetId="6032" refreshError="1"/>
      <sheetData sheetId="6033" refreshError="1"/>
      <sheetData sheetId="6034" refreshError="1"/>
      <sheetData sheetId="6035" refreshError="1"/>
      <sheetData sheetId="6036" refreshError="1"/>
      <sheetData sheetId="6037" refreshError="1"/>
      <sheetData sheetId="6038" refreshError="1"/>
      <sheetData sheetId="6039" refreshError="1"/>
      <sheetData sheetId="6040" refreshError="1"/>
      <sheetData sheetId="6041" refreshError="1"/>
      <sheetData sheetId="6042" refreshError="1"/>
      <sheetData sheetId="6043" refreshError="1"/>
      <sheetData sheetId="6044" refreshError="1"/>
      <sheetData sheetId="6045" refreshError="1"/>
      <sheetData sheetId="6046" refreshError="1"/>
      <sheetData sheetId="6047" refreshError="1"/>
      <sheetData sheetId="6048" refreshError="1"/>
      <sheetData sheetId="6049" refreshError="1"/>
      <sheetData sheetId="6050" refreshError="1"/>
      <sheetData sheetId="6051"/>
      <sheetData sheetId="6052" refreshError="1"/>
      <sheetData sheetId="6053" refreshError="1"/>
      <sheetData sheetId="6054" refreshError="1"/>
      <sheetData sheetId="6055"/>
      <sheetData sheetId="6056"/>
      <sheetData sheetId="6057"/>
      <sheetData sheetId="6058"/>
      <sheetData sheetId="6059"/>
      <sheetData sheetId="6060"/>
      <sheetData sheetId="6061"/>
      <sheetData sheetId="6062"/>
      <sheetData sheetId="6063"/>
      <sheetData sheetId="6064"/>
      <sheetData sheetId="6065" refreshError="1"/>
      <sheetData sheetId="6066" refreshError="1"/>
      <sheetData sheetId="6067" refreshError="1"/>
      <sheetData sheetId="6068" refreshError="1"/>
      <sheetData sheetId="6069" refreshError="1"/>
      <sheetData sheetId="6070" refreshError="1"/>
      <sheetData sheetId="6071" refreshError="1"/>
      <sheetData sheetId="6072" refreshError="1"/>
      <sheetData sheetId="6073" refreshError="1"/>
      <sheetData sheetId="6074" refreshError="1"/>
      <sheetData sheetId="6075" refreshError="1"/>
      <sheetData sheetId="6076" refreshError="1"/>
      <sheetData sheetId="6077" refreshError="1"/>
      <sheetData sheetId="6078" refreshError="1"/>
      <sheetData sheetId="6079" refreshError="1"/>
      <sheetData sheetId="6080"/>
      <sheetData sheetId="6081"/>
      <sheetData sheetId="6082"/>
      <sheetData sheetId="6083" refreshError="1"/>
      <sheetData sheetId="6084"/>
      <sheetData sheetId="6085"/>
      <sheetData sheetId="6086"/>
      <sheetData sheetId="6087" refreshError="1"/>
      <sheetData sheetId="6088"/>
      <sheetData sheetId="6089"/>
      <sheetData sheetId="6090" refreshError="1"/>
      <sheetData sheetId="6091" refreshError="1"/>
      <sheetData sheetId="6092" refreshError="1"/>
      <sheetData sheetId="6093" refreshError="1"/>
      <sheetData sheetId="6094" refreshError="1"/>
      <sheetData sheetId="6095" refreshError="1"/>
      <sheetData sheetId="6096" refreshError="1"/>
      <sheetData sheetId="6097" refreshError="1"/>
      <sheetData sheetId="6098" refreshError="1"/>
      <sheetData sheetId="6099" refreshError="1"/>
      <sheetData sheetId="6100" refreshError="1"/>
      <sheetData sheetId="6101" refreshError="1"/>
      <sheetData sheetId="6102" refreshError="1"/>
      <sheetData sheetId="6103" refreshError="1"/>
      <sheetData sheetId="6104" refreshError="1"/>
      <sheetData sheetId="6105" refreshError="1"/>
      <sheetData sheetId="6106" refreshError="1"/>
      <sheetData sheetId="6107" refreshError="1"/>
      <sheetData sheetId="6108" refreshError="1"/>
      <sheetData sheetId="6109" refreshError="1"/>
      <sheetData sheetId="6110"/>
      <sheetData sheetId="6111"/>
      <sheetData sheetId="6112"/>
      <sheetData sheetId="6113" refreshError="1"/>
      <sheetData sheetId="6114" refreshError="1"/>
      <sheetData sheetId="6115"/>
      <sheetData sheetId="6116"/>
      <sheetData sheetId="6117"/>
      <sheetData sheetId="6118"/>
      <sheetData sheetId="6119"/>
      <sheetData sheetId="6120" refreshError="1"/>
      <sheetData sheetId="6121" refreshError="1"/>
      <sheetData sheetId="6122" refreshError="1"/>
      <sheetData sheetId="6123" refreshError="1"/>
      <sheetData sheetId="6124" refreshError="1"/>
      <sheetData sheetId="6125" refreshError="1"/>
      <sheetData sheetId="6126" refreshError="1"/>
      <sheetData sheetId="6127" refreshError="1"/>
      <sheetData sheetId="6128" refreshError="1"/>
      <sheetData sheetId="6129" refreshError="1"/>
      <sheetData sheetId="6130" refreshError="1"/>
      <sheetData sheetId="6131" refreshError="1"/>
      <sheetData sheetId="6132" refreshError="1"/>
      <sheetData sheetId="6133" refreshError="1"/>
      <sheetData sheetId="6134" refreshError="1"/>
      <sheetData sheetId="6135" refreshError="1"/>
      <sheetData sheetId="6136" refreshError="1"/>
      <sheetData sheetId="6137" refreshError="1"/>
      <sheetData sheetId="6138" refreshError="1"/>
      <sheetData sheetId="6139" refreshError="1"/>
      <sheetData sheetId="6140" refreshError="1"/>
      <sheetData sheetId="6141"/>
      <sheetData sheetId="6142" refreshError="1"/>
      <sheetData sheetId="6143" refreshError="1"/>
      <sheetData sheetId="6144" refreshError="1"/>
      <sheetData sheetId="6145" refreshError="1"/>
      <sheetData sheetId="6146" refreshError="1"/>
      <sheetData sheetId="6147" refreshError="1"/>
      <sheetData sheetId="6148" refreshError="1"/>
      <sheetData sheetId="6149" refreshError="1"/>
      <sheetData sheetId="6150" refreshError="1"/>
      <sheetData sheetId="6151" refreshError="1"/>
      <sheetData sheetId="6152" refreshError="1"/>
      <sheetData sheetId="6153" refreshError="1"/>
      <sheetData sheetId="6154" refreshError="1"/>
      <sheetData sheetId="6155" refreshError="1"/>
      <sheetData sheetId="6156"/>
      <sheetData sheetId="6157"/>
      <sheetData sheetId="6158"/>
      <sheetData sheetId="6159" refreshError="1"/>
      <sheetData sheetId="6160" refreshError="1"/>
      <sheetData sheetId="6161"/>
      <sheetData sheetId="6162"/>
      <sheetData sheetId="6163"/>
      <sheetData sheetId="6164" refreshError="1"/>
      <sheetData sheetId="6165"/>
      <sheetData sheetId="6166"/>
      <sheetData sheetId="6167" refreshError="1"/>
      <sheetData sheetId="6168" refreshError="1"/>
      <sheetData sheetId="6169" refreshError="1"/>
      <sheetData sheetId="6170"/>
      <sheetData sheetId="6171"/>
      <sheetData sheetId="6172" refreshError="1"/>
      <sheetData sheetId="6173" refreshError="1"/>
      <sheetData sheetId="6174" refreshError="1"/>
      <sheetData sheetId="6175"/>
      <sheetData sheetId="6176" refreshError="1"/>
      <sheetData sheetId="6177" refreshError="1"/>
      <sheetData sheetId="6178" refreshError="1"/>
      <sheetData sheetId="6179" refreshError="1"/>
      <sheetData sheetId="6180" refreshError="1"/>
      <sheetData sheetId="6181" refreshError="1"/>
      <sheetData sheetId="6182" refreshError="1"/>
      <sheetData sheetId="6183" refreshError="1"/>
      <sheetData sheetId="6184" refreshError="1"/>
      <sheetData sheetId="6185" refreshError="1"/>
      <sheetData sheetId="6186" refreshError="1"/>
      <sheetData sheetId="6187" refreshError="1"/>
      <sheetData sheetId="6188" refreshError="1"/>
      <sheetData sheetId="6189" refreshError="1"/>
      <sheetData sheetId="6190" refreshError="1"/>
      <sheetData sheetId="6191" refreshError="1"/>
      <sheetData sheetId="6192" refreshError="1"/>
      <sheetData sheetId="6193" refreshError="1"/>
      <sheetData sheetId="6194" refreshError="1"/>
      <sheetData sheetId="6195" refreshError="1"/>
      <sheetData sheetId="6196"/>
      <sheetData sheetId="6197"/>
      <sheetData sheetId="6198"/>
      <sheetData sheetId="6199"/>
      <sheetData sheetId="6200"/>
      <sheetData sheetId="6201"/>
      <sheetData sheetId="6202"/>
      <sheetData sheetId="6203"/>
      <sheetData sheetId="6204" refreshError="1"/>
      <sheetData sheetId="6205" refreshError="1"/>
      <sheetData sheetId="6206" refreshError="1"/>
      <sheetData sheetId="6207" refreshError="1"/>
      <sheetData sheetId="6208" refreshError="1"/>
      <sheetData sheetId="6209" refreshError="1"/>
      <sheetData sheetId="6210" refreshError="1"/>
      <sheetData sheetId="6211" refreshError="1"/>
      <sheetData sheetId="6212" refreshError="1"/>
      <sheetData sheetId="6213" refreshError="1"/>
      <sheetData sheetId="6214" refreshError="1"/>
      <sheetData sheetId="6215" refreshError="1"/>
      <sheetData sheetId="6216" refreshError="1"/>
      <sheetData sheetId="6217" refreshError="1"/>
      <sheetData sheetId="6218" refreshError="1"/>
      <sheetData sheetId="6219" refreshError="1"/>
      <sheetData sheetId="6220" refreshError="1"/>
      <sheetData sheetId="6221" refreshError="1"/>
      <sheetData sheetId="6222" refreshError="1"/>
      <sheetData sheetId="6223" refreshError="1"/>
      <sheetData sheetId="6224" refreshError="1"/>
      <sheetData sheetId="6225" refreshError="1"/>
      <sheetData sheetId="6226" refreshError="1"/>
      <sheetData sheetId="6227" refreshError="1"/>
      <sheetData sheetId="6228" refreshError="1"/>
      <sheetData sheetId="6229" refreshError="1"/>
      <sheetData sheetId="6230"/>
      <sheetData sheetId="6231"/>
      <sheetData sheetId="6232"/>
      <sheetData sheetId="6233" refreshError="1"/>
      <sheetData sheetId="6234" refreshError="1"/>
      <sheetData sheetId="6235" refreshError="1"/>
      <sheetData sheetId="6236" refreshError="1"/>
      <sheetData sheetId="6237" refreshError="1"/>
      <sheetData sheetId="6238" refreshError="1"/>
      <sheetData sheetId="6239" refreshError="1"/>
      <sheetData sheetId="6240"/>
      <sheetData sheetId="6241" refreshError="1"/>
      <sheetData sheetId="6242" refreshError="1"/>
      <sheetData sheetId="6243" refreshError="1"/>
      <sheetData sheetId="6244" refreshError="1"/>
      <sheetData sheetId="6245" refreshError="1"/>
      <sheetData sheetId="6246" refreshError="1"/>
      <sheetData sheetId="6247"/>
      <sheetData sheetId="6248" refreshError="1"/>
      <sheetData sheetId="6249" refreshError="1"/>
      <sheetData sheetId="6250"/>
      <sheetData sheetId="6251"/>
      <sheetData sheetId="6252"/>
      <sheetData sheetId="6253"/>
      <sheetData sheetId="6254" refreshError="1"/>
      <sheetData sheetId="6255" refreshError="1"/>
      <sheetData sheetId="6256" refreshError="1"/>
      <sheetData sheetId="6257" refreshError="1"/>
      <sheetData sheetId="6258" refreshError="1"/>
      <sheetData sheetId="6259" refreshError="1"/>
      <sheetData sheetId="6260"/>
      <sheetData sheetId="6261"/>
      <sheetData sheetId="6262"/>
      <sheetData sheetId="6263" refreshError="1"/>
      <sheetData sheetId="6264" refreshError="1"/>
      <sheetData sheetId="6265" refreshError="1"/>
      <sheetData sheetId="6266" refreshError="1"/>
      <sheetData sheetId="6267" refreshError="1"/>
      <sheetData sheetId="6268"/>
      <sheetData sheetId="6269"/>
      <sheetData sheetId="6270"/>
      <sheetData sheetId="627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h Branch(8K)(依前購)"/>
      <sheetName val="Exh Branch(8K)6&quot;成本"/>
      <sheetName val="Fab6 Tool List"/>
      <sheetName val="Price"/>
      <sheetName val="Mix"/>
      <sheetName val="DRY-CON"/>
      <sheetName val="comp-q1q2"/>
      <sheetName val="other"/>
      <sheetName val="Exh_Branch(8K)(依前購)"/>
      <sheetName val="Exh_Branch(8K)6&quot;成本"/>
      <sheetName val="Fab6_Tool_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h Branch(8K)(依前購)"/>
      <sheetName val="Exh Branch(8K)6&quot;成本"/>
      <sheetName val="Fab6 Tool List"/>
      <sheetName val="Price"/>
      <sheetName val="Mix"/>
      <sheetName val="DRY-CON"/>
      <sheetName val="comp-q1q2"/>
      <sheetName val="other"/>
      <sheetName val="Exh_Branch(8K)(依前購)"/>
      <sheetName val="Exh_Branch(8K)6&quot;成本"/>
      <sheetName val="Fab6_Tool_List"/>
      <sheetName val="演奏廳各期計價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1"/>
      <sheetName val="HOOK UP"/>
      <sheetName val="材料單價"/>
      <sheetName val="Piping Materials"/>
      <sheetName val="BG Cost brkdn"/>
      <sheetName val="SPG Cost brkdn"/>
      <sheetName val="COMPONENTS SPECIFICATION"/>
      <sheetName val="HOOK_UP"/>
      <sheetName val="Piping_Materials"/>
      <sheetName val="BG_Cost_brkdn"/>
      <sheetName val="SPG_Cost_brkdn"/>
      <sheetName val="COMPONENTS_SPECIFICATION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CW level B1"/>
      <sheetName val="MUA-T level 30"/>
      <sheetName val="PCW level 30"/>
      <sheetName val="MUA-C level 30"/>
      <sheetName val="MUA-C level 80"/>
      <sheetName val="EXH level 80"/>
      <sheetName val="MUA-L level 80"/>
      <sheetName val="GEX roof"/>
      <sheetName val="Motor Power List"/>
      <sheetName val="PCW_level_B1"/>
      <sheetName val="MUA-T_level_30"/>
      <sheetName val="PCW_level_30"/>
      <sheetName val="MUA-C_level_30"/>
      <sheetName val="MUA-C_level_80"/>
      <sheetName val="EXH_level_80"/>
      <sheetName val="MUA-L_level_80"/>
      <sheetName val="GEX_roof"/>
      <sheetName val="Motor_Power_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IP"/>
      <sheetName val="合成単価作成表-BLDG"/>
    </sheetNames>
    <sheetDataSet>
      <sheetData sheetId="0" refreshError="1"/>
      <sheetData sheetId="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PLANT"/>
      <sheetName val="SUM FSBLT"/>
      <sheetName val="VOLSUM"/>
      <sheetName val="WPSUM"/>
      <sheetName val="PCWBS_MAP"/>
      <sheetName val="WKFRM1"/>
      <sheetName val="WKFRM2"/>
      <sheetName val="SQNC-1"/>
      <sheetName val="SQNC-2"/>
      <sheetName val="SQNC-3"/>
      <sheetName val="MILSTN"/>
      <sheetName val="MASTSCH"/>
      <sheetName val="MOBALL"/>
      <sheetName val="BQMPALOC"/>
      <sheetName val="CRDIDX"/>
      <sheetName val="PROGALL"/>
      <sheetName val="2538M"/>
      <sheetName val="ORGZN"/>
      <sheetName val="STAFSCH"/>
      <sheetName val="SUB_Map"/>
      <sheetName val="PERFEVA"/>
      <sheetName val="PIPE50%A"/>
      <sheetName val="PIPE50%B"/>
      <sheetName val="STFMHANZ"/>
      <sheetName val="CMHANZ"/>
      <sheetName val="MPDATA1000"/>
      <sheetName val="MPDATA2000"/>
      <sheetName val="MPDATA3000"/>
      <sheetName val="MPDATA4000"/>
      <sheetName val="MPDATA5000"/>
      <sheetName val="MPDATA6000"/>
      <sheetName val="MPDATA7000"/>
      <sheetName val="MPDATA8000"/>
      <sheetName val="MPDATA9_A_B"/>
      <sheetName val="BQCONV"/>
      <sheetName val="SCINF1"/>
      <sheetName val="SCINF2"/>
      <sheetName val="KNOWHOW_MEMO"/>
      <sheetName val="EQUIPMOB"/>
      <sheetName val="TEMP_FAC"/>
      <sheetName val="7000(rev)"/>
      <sheetName val="SUMMARY"/>
      <sheetName val="3000-A"/>
      <sheetName val="5000-A"/>
      <sheetName val="6000-A"/>
      <sheetName val="9000-A"/>
      <sheetName val="管道资料"/>
      <sheetName val="9DATA"/>
      <sheetName val="A000-A"/>
      <sheetName val="0DATA"/>
      <sheetName val="9管道资料"/>
      <sheetName val="FWBS 9000"/>
      <sheetName val="Overall Project"/>
      <sheetName val="Overall Process"/>
      <sheetName val="Overall Utility"/>
      <sheetName val="1000"/>
      <sheetName val="FWBS 1000"/>
      <sheetName val="2000"/>
      <sheetName val="FWBS 2000"/>
      <sheetName val="3000"/>
      <sheetName val="FWBS 3000"/>
      <sheetName val="5000"/>
      <sheetName val="FWBS 5000"/>
      <sheetName val="6000"/>
      <sheetName val="FWBS 6000"/>
      <sheetName val="7000"/>
      <sheetName val="FWBS 7000"/>
      <sheetName val="8000"/>
      <sheetName val="FWBS 8000"/>
      <sheetName val="9000"/>
      <sheetName val="A000"/>
      <sheetName val="FWBS A000"/>
      <sheetName val="B000"/>
      <sheetName val="FWBS B000"/>
      <sheetName val="Z000"/>
      <sheetName val="FWBS Z000"/>
      <sheetName val="TYPE-A"/>
      <sheetName val="Final(1)summary"/>
      <sheetName val="12CGOU"/>
      <sheetName val="Chart"/>
      <sheetName val="B"/>
      <sheetName val="SALA-002"/>
      <sheetName val="COA-17"/>
      <sheetName val="C-18"/>
      <sheetName val="95신규호표"/>
      <sheetName val="SUM_FSBLT"/>
      <sheetName val="FWBS_9000"/>
      <sheetName val="Overall_Project"/>
      <sheetName val="Overall_Process"/>
      <sheetName val="Overall_Utility"/>
      <sheetName val="FWBS_1000"/>
      <sheetName val="FWBS_2000"/>
      <sheetName val="FWBS_3000"/>
      <sheetName val="FWBS_5000"/>
      <sheetName val="FWBS_6000"/>
      <sheetName val="FWBS_7000"/>
      <sheetName val="FWBS_8000"/>
      <sheetName val="FWBS_A000"/>
      <sheetName val="FWBS_B000"/>
      <sheetName val="FWBS_Z000"/>
      <sheetName val="A"/>
      <sheetName val="Cash2"/>
      <sheetName val="Z"/>
      <sheetName val="산근"/>
      <sheetName val="INVOICE_CERT EIV'S"/>
      <sheetName val="Planning&amp;reporting"/>
      <sheetName val="DRUM"/>
      <sheetName val="plan&amp;section of foundation"/>
      <sheetName val="design criteria"/>
      <sheetName val="CAL"/>
      <sheetName val="Onerous Terms"/>
      <sheetName val="PNTEXT"/>
      <sheetName val="EE-PROP"/>
      <sheetName val="0000"/>
      <sheetName val="집계표"/>
      <sheetName val="EQUIPMENT"/>
      <sheetName val="자금운영"/>
      <sheetName val="도"/>
      <sheetName val="Basic"/>
      <sheetName val="Building BD"/>
      <sheetName val="jobhist"/>
      <sheetName val=" Sum"/>
      <sheetName val="WIP"/>
      <sheetName val="REINF."/>
      <sheetName val="SKETCH"/>
      <sheetName val="INSTR"/>
      <sheetName val="TTL"/>
      <sheetName val="嗔5喸5"/>
      <sheetName val="MTP"/>
      <sheetName val="SOHAR(2nd)"/>
      <sheetName val="공사비 내역 (가)"/>
      <sheetName val="실제 도면출도"/>
      <sheetName val="표지"/>
      <sheetName val="D-623D"/>
      <sheetName val="33628-Rev. A"/>
      <sheetName val="ENE-CAL"/>
      <sheetName val="대비표"/>
      <sheetName val="#REF"/>
      <sheetName val="Progress Tab"/>
      <sheetName val="w't table"/>
      <sheetName val="BATCH"/>
      <sheetName val="DESCRIPTION"/>
      <sheetName val="BM DATA SHEET"/>
      <sheetName val="BQMP"/>
      <sheetName val="기계내역서"/>
      <sheetName val="Eq. Mobilization"/>
      <sheetName val="당초"/>
      <sheetName val="CASH"/>
      <sheetName val="Sheet1"/>
      <sheetName val="ORIGINAL"/>
      <sheetName val="具志川H社"/>
      <sheetName val="입찰내역 발주처 양식"/>
      <sheetName val="PRO_DCI"/>
      <sheetName val="INST_DCI"/>
      <sheetName val="HVAC_DCI"/>
      <sheetName val="PIPE_DCI"/>
      <sheetName val="집계표(OPTION)"/>
      <sheetName val=""/>
      <sheetName val="BM"/>
      <sheetName val="SUM_FSBLT1"/>
      <sheetName val="FWBS_90001"/>
      <sheetName val="Overall_Project1"/>
      <sheetName val="Overall_Process1"/>
      <sheetName val="Overall_Utility1"/>
      <sheetName val="FWBS_10001"/>
      <sheetName val="FWBS_20001"/>
      <sheetName val="FWBS_30001"/>
      <sheetName val="FWBS_50001"/>
      <sheetName val="FWBS_60001"/>
      <sheetName val="FWBS_70001"/>
      <sheetName val="FWBS_80001"/>
      <sheetName val="FWBS_A0001"/>
      <sheetName val="FWBS_B0001"/>
      <sheetName val="FWBS_Z0001"/>
      <sheetName val="LinerWt"/>
      <sheetName val="Sheet4"/>
      <sheetName val="M 11"/>
      <sheetName val="PIPING"/>
      <sheetName val="合成単価作成表-BLDG"/>
      <sheetName val="List"/>
      <sheetName val="Concept Offshore"/>
      <sheetName val="공사비SUM"/>
      <sheetName val="Sheet13"/>
      <sheetName val="Sheet14"/>
      <sheetName val="Kuan&amp;Har(PT)"/>
      <sheetName val="Alat"/>
      <sheetName val="AC"/>
      <sheetName val="PC CATCH PIT 1X1X1.2M"/>
      <sheetName val="PC CATCH PIT .6X.6X1.0M"/>
      <sheetName val="PC COVER 100MM THK .95x.3"/>
      <sheetName val="PC COVER 250MM THK 2.2x.3"/>
      <sheetName val="기성내역"/>
      <sheetName val="INVOICE_CERT_EIV'S"/>
      <sheetName val="Adjusted Bids"/>
      <sheetName val="7102"/>
      <sheetName val="Running compatibility check _x0000_A_x0000_"/>
      <sheetName val="상반기손익차2총괄"/>
      <sheetName val="기둥(원형)"/>
      <sheetName val="목표세부명세"/>
      <sheetName val="member design"/>
      <sheetName val="Chiet tinh dz35"/>
      <sheetName val="3. GROUNDING SYSTEM"/>
      <sheetName val="working load at the btm ft."/>
      <sheetName val="soil bearing check"/>
      <sheetName val="Hoja1"/>
      <sheetName val="Auxi"/>
      <sheetName val="SUM_FSBLT2"/>
      <sheetName val="FWBS_90002"/>
      <sheetName val="Overall_Project2"/>
      <sheetName val="Overall_Process2"/>
      <sheetName val="Overall_Utility2"/>
      <sheetName val="FWBS_10002"/>
      <sheetName val="FWBS_20002"/>
      <sheetName val="FWBS_30002"/>
      <sheetName val="FWBS_50002"/>
      <sheetName val="FWBS_60002"/>
      <sheetName val="FWBS_70002"/>
      <sheetName val="FWBS_80002"/>
      <sheetName val="FWBS_A0002"/>
      <sheetName val="FWBS_B0002"/>
      <sheetName val="FWBS_Z0002"/>
      <sheetName val="INVOICE_CERT_EIV'S1"/>
      <sheetName val="Onerous_Terms"/>
      <sheetName val="Building_BD"/>
      <sheetName val="_Sum"/>
      <sheetName val="실제_도면출도"/>
      <sheetName val="공사비_내역_(가)"/>
      <sheetName val="plan&amp;section_of_foundation"/>
      <sheetName val="design_criteria"/>
      <sheetName val="w't_table"/>
      <sheetName val="Eq__Mobilization"/>
      <sheetName val="BM_DATA_SHEET"/>
      <sheetName val="33628-Rev__A"/>
      <sheetName val="Progress_Tab"/>
      <sheetName val="입찰내역_발주처_양식"/>
      <sheetName val="M_11"/>
      <sheetName val="REINF_"/>
      <sheetName val="뜃맟뭁돽띿맟?-BLDG"/>
      <sheetName val="Running_compatibility_check_A"/>
      <sheetName val="3__GROUNDING_SYSTEM"/>
      <sheetName val="A(Rev.3)"/>
      <sheetName val="MCCSUM"/>
      <sheetName val="EQT-ESTN"/>
      <sheetName val="Running compatibility check "/>
      <sheetName val="Building_BD1"/>
      <sheetName val="Onerous_Terms1"/>
      <sheetName val="_Sum1"/>
      <sheetName val="공문"/>
      <sheetName val="설비"/>
      <sheetName val="SUM_FSBLT3"/>
      <sheetName val="FWBS_90003"/>
      <sheetName val="Overall_Project3"/>
      <sheetName val="Overall_Process3"/>
      <sheetName val="Overall_Utility3"/>
      <sheetName val="FWBS_10003"/>
      <sheetName val="FWBS_20003"/>
      <sheetName val="FWBS_30003"/>
      <sheetName val="FWBS_50003"/>
      <sheetName val="FWBS_60003"/>
      <sheetName val="FWBS_70003"/>
      <sheetName val="FWBS_80003"/>
      <sheetName val="FWBS_A0003"/>
      <sheetName val="FWBS_B0003"/>
      <sheetName val="FWBS_Z0003"/>
      <sheetName val="실제_도면출도1"/>
      <sheetName val="INVOICE_CERT_EIV'S2"/>
      <sheetName val="공사비_내역_(가)1"/>
      <sheetName val="plan&amp;section_of_foundation1"/>
      <sheetName val="design_criteria1"/>
      <sheetName val="w't_table1"/>
      <sheetName val="Eq__Mobilization1"/>
      <sheetName val="BM_DATA_SHEET1"/>
      <sheetName val="33628-Rev__A1"/>
      <sheetName val="Progress_Tab1"/>
      <sheetName val="입찰내역_발주처_양식1"/>
      <sheetName val="M_111"/>
      <sheetName val="REINF_1"/>
      <sheetName val="PC_CATCH_PIT_1X1X1_2M"/>
      <sheetName val="PC_CATCH_PIT__6X_6X1_0M"/>
      <sheetName val="PC_COVER_100MM_THK__95x_3"/>
      <sheetName val="PC_COVER_250MM_THK_2_2x_3"/>
      <sheetName val="Adjusted_Bids"/>
      <sheetName val="member_design"/>
      <sheetName val="Concept_Offshore"/>
      <sheetName val="working_load_at_the_btm_ft_"/>
      <sheetName val="soil_bearing_check"/>
      <sheetName val="Chiet_tinh_dz35"/>
      <sheetName val="基数"/>
      <sheetName val="산출내역서"/>
      <sheetName val="Proposal"/>
      <sheetName val="Breakdown-1"/>
      <sheetName val="Pipe"/>
      <sheetName val="Add"/>
      <sheetName val="Onerous_Terms2"/>
      <sheetName val="Building_BD2"/>
      <sheetName val="_Sum2"/>
      <sheetName val="실제_도면출도2"/>
      <sheetName val="공사비_내역_(가)2"/>
      <sheetName val="plan&amp;section_of_foundation2"/>
      <sheetName val="design_criteria2"/>
      <sheetName val="w't_table2"/>
      <sheetName val="BM_DATA_SHEET2"/>
      <sheetName val="Progress_Tab2"/>
      <sheetName val="Eq__Mobilization2"/>
      <sheetName val="33628-Rev__A2"/>
      <sheetName val="입찰내역_발주처_양식2"/>
      <sheetName val="M_112"/>
      <sheetName val="SUM_FSBLT4"/>
      <sheetName val="Overall_Project4"/>
      <sheetName val="Overall_Process4"/>
      <sheetName val="Overall_Utility4"/>
      <sheetName val="FWBS_10004"/>
      <sheetName val="FWBS_20004"/>
      <sheetName val="FWBS_30004"/>
      <sheetName val="FWBS_50004"/>
      <sheetName val="FWBS_60004"/>
      <sheetName val="FWBS_70004"/>
      <sheetName val="FWBS_80004"/>
      <sheetName val="FWBS_90004"/>
      <sheetName val="FWBS_A0004"/>
      <sheetName val="FWBS_B0004"/>
      <sheetName val="FWBS_Z0004"/>
      <sheetName val="INVOICE_CERT_EIV'S3"/>
      <sheetName val="Onerous_Terms3"/>
      <sheetName val="Building_BD3"/>
      <sheetName val="_Sum3"/>
      <sheetName val="실제_도면출도3"/>
      <sheetName val="공사비_내역_(가)3"/>
      <sheetName val="plan&amp;section_of_foundation3"/>
      <sheetName val="design_criteria3"/>
      <sheetName val="w't_table3"/>
      <sheetName val="BM_DATA_SHEET3"/>
      <sheetName val="Progress_Tab3"/>
      <sheetName val="Eq__Mobilization3"/>
      <sheetName val="33628-Rev__A3"/>
      <sheetName val="입찰내역_발주처_양식3"/>
      <sheetName val="M_113"/>
      <sheetName val="코드"/>
      <sheetName val="자바라1"/>
      <sheetName val="[Planning&amp;reporting.xlsM9000-A"/>
      <sheetName val="Running compatibility check _x0"/>
      <sheetName val="Structural Comp"/>
      <sheetName val="Structural_Comp"/>
      <sheetName val="RFP002"/>
      <sheetName val="FitOutConfCentre"/>
      <sheetName val="Cashflow Analysis"/>
      <sheetName val="Running compatibility check ?A?"/>
      <sheetName val="Running compatibility check _A_"/>
      <sheetName val="A (2)"/>
      <sheetName val="1100"/>
      <sheetName val="datasheet"/>
      <sheetName val="Direct Prices"/>
      <sheetName val="Лист1"/>
      <sheetName val="뜃맟뭁돽띿맟_-BLDG"/>
      <sheetName val="List of WorkPacks"/>
      <sheetName val="List of Dates"/>
      <sheetName val="Database"/>
      <sheetName val="Masterfile"/>
      <sheetName val="FWBS codes"/>
      <sheetName val="STANDARD DESCRIPTION"/>
      <sheetName val="STANDARD DESCRIPTION - 20150519"/>
      <sheetName val="Drawings Summary"/>
      <sheetName val="Instr Drawing List"/>
      <sheetName val="INDEX-Areas B000,C000,D000,E000"/>
      <sheetName val="STANDARD DESCRIPTION 20150715"/>
      <sheetName val="Sheet2"/>
      <sheetName val="DropDown Selections"/>
      <sheetName val="salary"/>
      <sheetName val="WORKSHEET CS"/>
      <sheetName val="_Planning&amp;reporting.xlsM9000-A"/>
      <sheetName val="C,E"/>
      <sheetName val="3__GROUNDING_SYSTEM1"/>
      <sheetName val="Running_compatibility_check_"/>
      <sheetName val="A(Rev_3)"/>
      <sheetName val="REINF_2"/>
      <sheetName val="3__GROUNDING_SYSTEM2"/>
      <sheetName val="member_design1"/>
      <sheetName val="Adjusted_Bids1"/>
      <sheetName val="PC_CATCH_PIT_1X1X1_2M1"/>
      <sheetName val="PC_CATCH_PIT__6X_6X1_0M1"/>
      <sheetName val="PC_COVER_100MM_THK__95x_31"/>
      <sheetName val="PC_COVER_250MM_THK_2_2x_31"/>
      <sheetName val="working_load_at_the_btm_ft_1"/>
      <sheetName val="soil_bearing_check1"/>
      <sheetName val="Concept_Offshore1"/>
      <sheetName val="Chiet_tinh_dz351"/>
      <sheetName val="Running_compatibility_check_1"/>
      <sheetName val="A(Rev_3)1"/>
      <sheetName val="SUM_FSBLT5"/>
      <sheetName val="Overall_Project5"/>
      <sheetName val="Overall_Process5"/>
      <sheetName val="Overall_Utility5"/>
      <sheetName val="FWBS_10005"/>
      <sheetName val="FWBS_20005"/>
      <sheetName val="FWBS_30005"/>
      <sheetName val="FWBS_50005"/>
      <sheetName val="FWBS_60005"/>
      <sheetName val="FWBS_70005"/>
      <sheetName val="FWBS_80005"/>
      <sheetName val="FWBS_90005"/>
      <sheetName val="FWBS_A0005"/>
      <sheetName val="FWBS_B0005"/>
      <sheetName val="FWBS_Z0005"/>
      <sheetName val="INVOICE_CERT_EIV'S4"/>
      <sheetName val="Onerous_Terms4"/>
      <sheetName val="Building_BD4"/>
      <sheetName val="_Sum4"/>
      <sheetName val="REINF_3"/>
      <sheetName val="3__GROUNDING_SYSTEM3"/>
      <sheetName val="member_design2"/>
      <sheetName val="Adjusted_Bids2"/>
      <sheetName val="PC_CATCH_PIT_1X1X1_2M2"/>
      <sheetName val="PC_CATCH_PIT__6X_6X1_0M2"/>
      <sheetName val="PC_COVER_100MM_THK__95x_32"/>
      <sheetName val="PC_COVER_250MM_THK_2_2x_32"/>
      <sheetName val="working_load_at_the_btm_ft_2"/>
      <sheetName val="soil_bearing_check2"/>
      <sheetName val="Concept_Offshore2"/>
      <sheetName val="Chiet_tinh_dz352"/>
      <sheetName val="Running_compatibility_check_2"/>
      <sheetName val="A(Rev_3)2"/>
      <sheetName val="SUM_FSBLT6"/>
      <sheetName val="Overall_Project6"/>
      <sheetName val="Overall_Process6"/>
      <sheetName val="Overall_Utility6"/>
      <sheetName val="FWBS_10006"/>
      <sheetName val="FWBS_20006"/>
      <sheetName val="FWBS_30006"/>
      <sheetName val="FWBS_50006"/>
      <sheetName val="FWBS_60006"/>
      <sheetName val="FWBS_70006"/>
      <sheetName val="FWBS_80006"/>
      <sheetName val="FWBS_90006"/>
      <sheetName val="FWBS_A0006"/>
      <sheetName val="FWBS_B0006"/>
      <sheetName val="FWBS_Z0006"/>
      <sheetName val="INVOICE_CERT_EIV'S5"/>
      <sheetName val="Onerous_Terms5"/>
      <sheetName val="Building_BD5"/>
      <sheetName val="_Sum5"/>
      <sheetName val="plan&amp;section_of_foundation4"/>
      <sheetName val="design_criteria4"/>
      <sheetName val="실제_도면출도4"/>
      <sheetName val="공사비_내역_(가)4"/>
      <sheetName val="BM_DATA_SHEET4"/>
      <sheetName val="Progress_Tab4"/>
      <sheetName val="w't_table4"/>
      <sheetName val="Eq__Mobilization4"/>
      <sheetName val="33628-Rev__A4"/>
      <sheetName val="입찰내역_발주처_양식4"/>
      <sheetName val="M_114"/>
      <sheetName val="REINF_4"/>
      <sheetName val="3__GROUNDING_SYSTEM4"/>
      <sheetName val="member_design3"/>
      <sheetName val="Adjusted_Bids3"/>
      <sheetName val="PC_CATCH_PIT_1X1X1_2M3"/>
      <sheetName val="PC_CATCH_PIT__6X_6X1_0M3"/>
      <sheetName val="PC_COVER_100MM_THK__95x_33"/>
      <sheetName val="PC_COVER_250MM_THK_2_2x_33"/>
      <sheetName val="working_load_at_the_btm_ft_3"/>
      <sheetName val="soil_bearing_check3"/>
      <sheetName val="Concept_Offshore3"/>
      <sheetName val="Chiet_tinh_dz353"/>
      <sheetName val="Running_compatibility_check_3"/>
      <sheetName val="A(Rev_3)3"/>
      <sheetName val="SUM_FSBLT7"/>
      <sheetName val="Overall_Project7"/>
      <sheetName val="Overall_Process7"/>
      <sheetName val="Overall_Utility7"/>
      <sheetName val="FWBS_10007"/>
      <sheetName val="FWBS_20007"/>
      <sheetName val="FWBS_30007"/>
      <sheetName val="FWBS_50007"/>
      <sheetName val="FWBS_60007"/>
      <sheetName val="FWBS_70007"/>
      <sheetName val="FWBS_80007"/>
      <sheetName val="FWBS_90007"/>
      <sheetName val="FWBS_A0007"/>
      <sheetName val="FWBS_B0007"/>
      <sheetName val="FWBS_Z0007"/>
      <sheetName val="INVOICE_CERT_EIV'S6"/>
      <sheetName val="Onerous_Terms6"/>
      <sheetName val="Building_BD6"/>
      <sheetName val="_Sum6"/>
      <sheetName val="plan&amp;section_of_foundation5"/>
      <sheetName val="design_criteria5"/>
      <sheetName val="실제_도면출도5"/>
      <sheetName val="공사비_내역_(가)5"/>
      <sheetName val="BM_DATA_SHEET5"/>
      <sheetName val="Progress_Tab5"/>
      <sheetName val="w't_table5"/>
      <sheetName val="Eq__Mobilization5"/>
      <sheetName val="33628-Rev__A5"/>
      <sheetName val="입찰내역_발주처_양식5"/>
      <sheetName val="M_115"/>
      <sheetName val="REINF_5"/>
      <sheetName val="3__GROUNDING_SYSTEM5"/>
      <sheetName val="member_design4"/>
      <sheetName val="Adjusted_Bids4"/>
      <sheetName val="PC_CATCH_PIT_1X1X1_2M4"/>
      <sheetName val="PC_CATCH_PIT__6X_6X1_0M4"/>
      <sheetName val="PC_COVER_100MM_THK__95x_34"/>
      <sheetName val="PC_COVER_250MM_THK_2_2x_34"/>
      <sheetName val="working_load_at_the_btm_ft_4"/>
      <sheetName val="soil_bearing_check4"/>
      <sheetName val="Concept_Offshore4"/>
      <sheetName val="Chiet_tinh_dz354"/>
      <sheetName val="Running_compatibility_check_4"/>
      <sheetName val="A(Rev_3)4"/>
      <sheetName val="설계내역서"/>
      <sheetName val="Petty"/>
      <sheetName val="J"/>
      <sheetName val="DATOS"/>
      <sheetName val="CALCULATION"/>
      <sheetName val="DATA"/>
      <sheetName val="Sheet"/>
      <sheetName val="CODE"/>
      <sheetName val="Backup"/>
      <sheetName val="MTO"/>
      <sheetName val="[Planning&amp;reporting_xlsM9000-A"/>
      <sheetName val="Cashflow_Analysis"/>
      <sheetName val="00-Summary Information-ABB"/>
      <sheetName val="FWBS_codes"/>
      <sheetName val="STANDARD_DESCRIPTION"/>
      <sheetName val="STANDARD_DESCRIPTION_-_20150519"/>
      <sheetName val="Drawings_Summary"/>
      <sheetName val="Instr_Drawing_List"/>
      <sheetName val="INDEX-Areas_B000,C000,D000,E000"/>
      <sheetName val="STANDARD_DESCRIPTION_20150715"/>
      <sheetName val="DropDown_Selections"/>
      <sheetName val="DO NOT DELETE"/>
      <sheetName val="Lists"/>
      <sheetName val="Time Rates "/>
      <sheetName val="SUM_FSBLT9"/>
      <sheetName val="Overall_Project9"/>
      <sheetName val="Overall_Process9"/>
      <sheetName val="Overall_Utility9"/>
      <sheetName val="FWBS_10009"/>
      <sheetName val="FWBS_20009"/>
      <sheetName val="FWBS_30009"/>
      <sheetName val="FWBS_50009"/>
      <sheetName val="FWBS_60009"/>
      <sheetName val="FWBS_70009"/>
      <sheetName val="FWBS_80009"/>
      <sheetName val="FWBS_90009"/>
      <sheetName val="FWBS_A0009"/>
      <sheetName val="FWBS_B0009"/>
      <sheetName val="FWBS_Z0009"/>
      <sheetName val="실제_도면출도7"/>
      <sheetName val="INVOICE_CERT_EIV'S8"/>
      <sheetName val="Building_BD8"/>
      <sheetName val="Onerous_Terms8"/>
      <sheetName val="_Sum8"/>
      <sheetName val="plan&amp;section_of_foundation7"/>
      <sheetName val="design_criteria7"/>
      <sheetName val="공사비_내역_(가)7"/>
      <sheetName val="33628-Rev__A7"/>
      <sheetName val="w't_table7"/>
      <sheetName val="BM_DATA_SHEET7"/>
      <sheetName val="Progress_Tab7"/>
      <sheetName val="Eq__Mobilization7"/>
      <sheetName val="입찰내역_발주처_양식7"/>
      <sheetName val="REINF_7"/>
      <sheetName val="M_117"/>
      <sheetName val="PC_CATCH_PIT_1X1X1_2M6"/>
      <sheetName val="PC_CATCH_PIT__6X_6X1_0M6"/>
      <sheetName val="PC_COVER_100MM_THK__95x_36"/>
      <sheetName val="PC_COVER_250MM_THK_2_2x_36"/>
      <sheetName val="Chiet_tinh_dz356"/>
      <sheetName val="member_design6"/>
      <sheetName val="working_load_at_the_btm_ft_6"/>
      <sheetName val="soil_bearing_check6"/>
      <sheetName val="3__GROUNDING_SYSTEM7"/>
      <sheetName val="Structural_Comp2"/>
      <sheetName val="Adjusted_Bids6"/>
      <sheetName val="Concept_Offshore6"/>
      <sheetName val="Running_compatibility_check_6"/>
      <sheetName val="List_of_WorkPacks1"/>
      <sheetName val="List_of_Dates1"/>
      <sheetName val="FWBS_codes2"/>
      <sheetName val="STANDARD_DESCRIPTION2"/>
      <sheetName val="STANDARD_DESCRIPTION_-_20150512"/>
      <sheetName val="Drawings_Summary2"/>
      <sheetName val="Instr_Drawing_List2"/>
      <sheetName val="INDEX-Areas_B000,C000,D000,E002"/>
      <sheetName val="STANDARD_DESCRIPTION_201507152"/>
      <sheetName val="DropDown_Selections2"/>
      <sheetName val="A(Rev_3)6"/>
      <sheetName val="[Planning&amp;reporting_xlsM9000-A2"/>
      <sheetName val="Running_compatibility_check__x1"/>
      <sheetName val="Cashflow_Analysis2"/>
      <sheetName val="Running_compatibility_check_?A1"/>
      <sheetName val="Running_compatibility_check__A1"/>
      <sheetName val="A_(2)1"/>
      <sheetName val="Direct_Prices1"/>
      <sheetName val="WORKSHEET_CS1"/>
      <sheetName val="_Planning&amp;reporting_xlsM9000-A1"/>
      <sheetName val="00-Summary_Information-ABB1"/>
      <sheetName val="DO_NOT_DELETE1"/>
      <sheetName val="Time_Rates_1"/>
      <sheetName val="SUM_FSBLT8"/>
      <sheetName val="Overall_Project8"/>
      <sheetName val="Overall_Process8"/>
      <sheetName val="Overall_Utility8"/>
      <sheetName val="FWBS_10008"/>
      <sheetName val="FWBS_20008"/>
      <sheetName val="FWBS_30008"/>
      <sheetName val="FWBS_50008"/>
      <sheetName val="FWBS_60008"/>
      <sheetName val="FWBS_70008"/>
      <sheetName val="FWBS_80008"/>
      <sheetName val="FWBS_90008"/>
      <sheetName val="FWBS_A0008"/>
      <sheetName val="FWBS_B0008"/>
      <sheetName val="FWBS_Z0008"/>
      <sheetName val="실제_도면출도6"/>
      <sheetName val="INVOICE_CERT_EIV'S7"/>
      <sheetName val="Building_BD7"/>
      <sheetName val="Onerous_Terms7"/>
      <sheetName val="_Sum7"/>
      <sheetName val="plan&amp;section_of_foundation6"/>
      <sheetName val="design_criteria6"/>
      <sheetName val="공사비_내역_(가)6"/>
      <sheetName val="33628-Rev__A6"/>
      <sheetName val="w't_table6"/>
      <sheetName val="BM_DATA_SHEET6"/>
      <sheetName val="Progress_Tab6"/>
      <sheetName val="Eq__Mobilization6"/>
      <sheetName val="입찰내역_발주처_양식6"/>
      <sheetName val="REINF_6"/>
      <sheetName val="M_116"/>
      <sheetName val="PC_CATCH_PIT_1X1X1_2M5"/>
      <sheetName val="PC_CATCH_PIT__6X_6X1_0M5"/>
      <sheetName val="PC_COVER_100MM_THK__95x_35"/>
      <sheetName val="PC_COVER_250MM_THK_2_2x_35"/>
      <sheetName val="Chiet_tinh_dz355"/>
      <sheetName val="member_design5"/>
      <sheetName val="working_load_at_the_btm_ft_5"/>
      <sheetName val="soil_bearing_check5"/>
      <sheetName val="3__GROUNDING_SYSTEM6"/>
      <sheetName val="Structural_Comp1"/>
      <sheetName val="Adjusted_Bids5"/>
      <sheetName val="Concept_Offshore5"/>
      <sheetName val="Running_compatibility_check_5"/>
      <sheetName val="List_of_WorkPacks"/>
      <sheetName val="List_of_Dates"/>
      <sheetName val="FWBS_codes1"/>
      <sheetName val="STANDARD_DESCRIPTION1"/>
      <sheetName val="STANDARD_DESCRIPTION_-_20150511"/>
      <sheetName val="Drawings_Summary1"/>
      <sheetName val="Instr_Drawing_List1"/>
      <sheetName val="INDEX-Areas_B000,C000,D000,E001"/>
      <sheetName val="STANDARD_DESCRIPTION_201507151"/>
      <sheetName val="DropDown_Selections1"/>
      <sheetName val="A(Rev_3)5"/>
      <sheetName val="[Planning&amp;reporting_xlsM9000-A1"/>
      <sheetName val="Running_compatibility_check__x0"/>
      <sheetName val="Cashflow_Analysis1"/>
      <sheetName val="Running_compatibility_check_?A?"/>
      <sheetName val="Running_compatibility_check__A_"/>
      <sheetName val="A_(2)"/>
      <sheetName val="Direct_Prices"/>
      <sheetName val="WORKSHEET_CS"/>
      <sheetName val="_Planning&amp;reporting_xlsM9000-A"/>
      <sheetName val="00-Summary_Information-ABB"/>
      <sheetName val="DO_NOT_DELETE"/>
      <sheetName val="Time_Rates_"/>
      <sheetName val="sum"/>
      <sheetName val="inter"/>
      <sheetName val="BAG-2"/>
      <sheetName val="page 6"/>
      <sheetName val="Notes"/>
      <sheetName val="0124"/>
      <sheetName val="P-Ins &amp; Bonds"/>
      <sheetName val="P-Site fac"/>
      <sheetName val="P-Clients fac"/>
      <sheetName val="P Staff fac"/>
      <sheetName val="factor "/>
      <sheetName val="CASHFLOWS"/>
      <sheetName val="Inert Balls"/>
      <sheetName val="vlookup - do not print"/>
      <sheetName val="BID"/>
      <sheetName val="차액보증"/>
      <sheetName val="19.05.2010"/>
      <sheetName val="Earthworks ERP"/>
      <sheetName val="24.06.2010"/>
      <sheetName val="Small Structures ERP"/>
      <sheetName val="Large Structures ERP"/>
      <sheetName val="Tunnelling ERP"/>
      <sheetName val="Calendar"/>
      <sheetName val="Rate Analysis"/>
      <sheetName val="Depreciation"/>
      <sheetName val="EmpList"/>
      <sheetName val="Personnel"/>
      <sheetName val="pg.4"/>
      <sheetName val="Subcon A"/>
      <sheetName val="갑지"/>
      <sheetName val="도급양식"/>
      <sheetName val="예산"/>
      <sheetName val="pg_4"/>
      <sheetName val="Subcon_A"/>
      <sheetName val="bill 2"/>
      <sheetName val="insulation"/>
      <sheetName val="MATERIAL'S PRICE"/>
      <sheetName val="pg_41"/>
      <sheetName val="Subcon_A1"/>
      <sheetName val="bill_2"/>
      <sheetName val="MATERIAL'S_PRICE"/>
      <sheetName val="Pricing Summary"/>
      <sheetName val="Net Cost - Final Base"/>
      <sheetName val="7.6Net Cost Agreed on Dec-04 R1"/>
      <sheetName val="Net Cost Agreed on Dec-04 Rev1"/>
      <sheetName val="7.6 Net Cost Agreed on Dec-04"/>
      <sheetName val="Net Cost Agreed on Dec-04"/>
      <sheetName val="Total for Check"/>
      <sheetName val="ITB COST"/>
      <sheetName val="Civil Weekly"/>
      <sheetName val="Orçamento"/>
      <sheetName val="COMPLEXALL"/>
      <sheetName val="예산M11A"/>
      <sheetName val="유림콘도"/>
      <sheetName val="page_6"/>
      <sheetName val=" N Finansal Eğri"/>
      <sheetName val="1"/>
      <sheetName val="손익차9월2"/>
      <sheetName val="MOS"/>
      <sheetName val="Cover"/>
      <sheetName val="Total Staff"/>
      <sheetName val="0. SUMMARY"/>
      <sheetName val="1. Engineering"/>
      <sheetName val="2. Check point"/>
      <sheetName val="II Changes 1"/>
      <sheetName val="III Changes 2"/>
      <sheetName val="Qty."/>
      <sheetName val="MP"/>
      <sheetName val="EQP"/>
      <sheetName val="OQC Summary"/>
      <sheetName val="6.Unit Rates"/>
      <sheetName val="0.0 Cover"/>
      <sheetName val="Hoja 3"/>
      <sheetName val="Cutoff"/>
      <sheetName val="Menu"/>
      <sheetName val="Drop Down"/>
      <sheetName val="Source Data"/>
      <sheetName val="CAPEX Categories"/>
      <sheetName val="Indirect"/>
      <sheetName val="Schedule "/>
      <sheetName val="Loading Struc"/>
      <sheetName val="Loading Pip"/>
      <sheetName val="Loading Overall (BASE Proposal)"/>
      <sheetName val="SCaffold"/>
      <sheetName val="Steel Structure"/>
      <sheetName val="UR"/>
      <sheetName val="Ref-Str"/>
      <sheetName val="PIPING AG-UG_NEW UNITS"/>
      <sheetName val="MEC_PIPING PREFABR"/>
      <sheetName val="Ref-Pip"/>
      <sheetName val="Working File-Pip"/>
      <sheetName val="Consumables"/>
      <sheetName val="NDT"/>
      <sheetName val="VALVES"/>
      <sheetName val="Supports"/>
      <sheetName val="Miscellaneous"/>
      <sheetName val="Equip_ISBL &amp; OSBL "/>
      <sheetName val="Painting"/>
      <sheetName val="INS-Piping"/>
      <sheetName val="INS-Equipment"/>
      <sheetName val="ELECTRICITY"/>
      <sheetName val="INSTRUMENTATION"/>
      <sheetName val="JK Price sheet"/>
      <sheetName val="TP Price sheet"/>
      <sheetName val="Phase 1 JK UTSE"/>
      <sheetName val="Phase 2 JK UTSE"/>
      <sheetName val="Phase 1 and 2 JK UTSE"/>
      <sheetName val="Phase 1 TP UTSE"/>
      <sheetName val="Phase 2 TP UTSE"/>
      <sheetName val="Phase 1 and 2 TP UTSE"/>
      <sheetName val="Cash Flow (BL)"/>
      <sheetName val="Cash Flow (UTSE)"/>
      <sheetName val="Estimation"/>
      <sheetName val="스케즐"/>
      <sheetName val="총괄"/>
      <sheetName val="견적서표지0204-2 (2)"/>
      <sheetName val="Piping Spool"/>
      <sheetName val="Cost Definition"/>
      <sheetName val="견적 원가 "/>
      <sheetName val="부산제일극장"/>
      <sheetName val="S3-Costing"/>
      <sheetName val="S4-Costing"/>
      <sheetName val="1.INV"/>
      <sheetName val="2.Calculation Sheet"/>
      <sheetName val="Price Sheet"/>
      <sheetName val="3. Progress"/>
      <sheetName val="4. EDR"/>
      <sheetName val="sheet6"/>
      <sheetName val="DATA-DEP.(13-17)"/>
      <sheetName val="DATA-KBPL(17-25)"/>
      <sheetName val="DATA-GCC(25-34.7)"/>
      <sheetName val="St.-Con(0-17)"/>
      <sheetName val="St.-Con.(17-34)"/>
      <sheetName val="PROGRAM"/>
      <sheetName val="CASHFLOW"/>
      <sheetName val="Summary (3)"/>
      <sheetName val="RRW Scaff"/>
      <sheetName val="RRW Oct-2019-1st Lot-13-10-19"/>
      <sheetName val="RRW Oct-2019-2st Lot-15-10-19"/>
      <sheetName val="Sheet16"/>
      <sheetName val="2.04"/>
      <sheetName val="2.05"/>
      <sheetName val="2.07 &amp; 2.08"/>
      <sheetName val="3.01"/>
      <sheetName val="3.02"/>
      <sheetName val="3.03"/>
      <sheetName val="ratios"/>
      <sheetName val="ecart Personnel"/>
      <sheetName val="Ecart Others"/>
      <sheetName val="Other costs"/>
      <sheetName val="3000 Steel str"/>
      <sheetName val="5000 Equipments"/>
      <sheetName val="6000 Piping"/>
      <sheetName val="7000 Instrumentation"/>
      <sheetName val="8000 Electrical"/>
      <sheetName val="per supplier"/>
      <sheetName val="Pivot ledger"/>
      <sheetName val="Ledger"/>
      <sheetName val="Pivot ENT"/>
      <sheetName val="ENT"/>
      <sheetName val="Pivot MAD"/>
      <sheetName val="MAD"/>
      <sheetName val="Prod"/>
      <sheetName val="유림골조"/>
      <sheetName val="FAB별"/>
      <sheetName val="Settings"/>
      <sheetName val="Finansal tamamlanma Eğrisi"/>
      <sheetName val="INDIRECT OH&amp;P "/>
      <sheetName val="Hoja2"/>
      <sheetName val="Horas"/>
      <sheetName val="ABBR"/>
      <sheetName val="Salary 2013"/>
      <sheetName val="RFP003_Building - B"/>
      <sheetName val="RFP005"/>
      <sheetName val="RFP006"/>
      <sheetName val="RFP012"/>
      <sheetName val="RFP009"/>
      <sheetName val="RFP004"/>
      <sheetName val="GRAPH_DATA"/>
      <sheetName val="PERHITUNGAN  KEEKONOMIAN"/>
      <sheetName val="SENSITIVITAS"/>
      <sheetName val="목록박스"/>
      <sheetName val="Specs"/>
      <sheetName val="PROJ_INFO"/>
      <sheetName val="FOREX"/>
      <sheetName val="AEROGEL CAL"/>
      <sheetName val="CRYG THKMM"/>
      <sheetName val="QUOTES"/>
      <sheetName val="PVBF"/>
      <sheetName val="SCAFF"/>
      <sheetName val="INDIRECTS"/>
      <sheetName val="LABBASIS"/>
      <sheetName val="MATBASIS"/>
      <sheetName val="TKOFF"/>
      <sheetName val="PSUM"/>
      <sheetName val="ANALYSIS"/>
      <sheetName val="ITB REVIEW"/>
      <sheetName val="SPCS SUMM."/>
      <sheetName val="ESTI. SUMM."/>
      <sheetName val="Price Summary"/>
      <sheetName val="BOQ_Insulation_Piping"/>
      <sheetName val="BOQ_Insulation_Equipment"/>
      <sheetName val="Acc Stock-INSUL"/>
      <sheetName val="97 사업추정(WEKI)"/>
      <sheetName val="Overall MTO - 20191001 (old)"/>
      <sheetName val="MTO for BMBQ"/>
      <sheetName val="PCWBS Map"/>
      <sheetName val="Paint&amp;Ins"/>
      <sheetName val="reff"/>
      <sheetName val="Valve"/>
      <sheetName val="BQ Reff"/>
      <sheetName val="Sum of Comparison-20191007"/>
      <sheetName val="NPS"/>
      <sheetName val="Joint No."/>
      <sheetName val="Unit Weight"/>
      <sheetName val="Detail PMC"/>
      <sheetName val="Detail PMC (for full desc)"/>
      <sheetName val="Bolt Size"/>
      <sheetName val="NDE Req"/>
      <sheetName val="DB-FILM"/>
      <sheetName val="DB-EQV"/>
      <sheetName val="S"/>
      <sheetName val="Tgh JGC-Inv I clp"/>
      <sheetName val="PCS "/>
      <sheetName val="Progress Statement-SI"/>
      <sheetName val="Progress Payment-3110"/>
      <sheetName val="Benchmark"/>
      <sheetName val="Cable Schedule"/>
      <sheetName val="EQUI"/>
      <sheetName val="회사99"/>
      <sheetName val="Report Wizard"/>
      <sheetName val="Initial Plan"/>
      <sheetName val="Progress"/>
      <sheetName val="BOM SUM"/>
      <sheetName val="Eng. Boq -1"/>
      <sheetName val="PFP,TIE COAT &amp; TOP FLG PAINTED"/>
      <sheetName val="Shop Modifications"/>
      <sheetName val="JI-2036 - Preservation"/>
      <sheetName val="Re-Application "/>
      <sheetName val="Sheet3"/>
      <sheetName val="L-FRAMES"/>
      <sheetName val="MM"/>
      <sheetName val="OLD (2)"/>
      <sheetName val="Sand"/>
      <sheetName val="Geotextile for geotube"/>
      <sheetName val="Geotube"/>
      <sheetName val="Hohlquader"/>
      <sheetName val="RD01"/>
      <sheetName val="배5월출고"/>
      <sheetName val="P-산#1-1(WOWA1)"/>
      <sheetName val="부하계산서"/>
      <sheetName val="MLCL"/>
      <sheetName val="DB-Weight"/>
      <sheetName val="DB-EQL"/>
      <sheetName val="DB-BOLT SIZE"/>
      <sheetName val="REQ LIST"/>
      <sheetName val="DESC NEW PMC"/>
      <sheetName val="MTO_2020.03.11"/>
      <sheetName val="BM_PIVOT"/>
      <sheetName val="BQ_2020.03.03"/>
      <sheetName val="MTO_2020.03.03 (VDR)"/>
      <sheetName val="BQ_2020.03.03 (VDR)"/>
      <sheetName val="WEIGHT &amp; PAINT"/>
      <sheetName val="FW JGC"/>
      <sheetName val="FW VENDOR"/>
      <sheetName val="BQ_2020.02.25"/>
      <sheetName val="BM_PIPE,FITTING&amp;FLG"/>
      <sheetName val="BM_GASKET"/>
      <sheetName val="BM_BOLT &amp; NUT"/>
      <sheetName val="RT TABLE"/>
      <sheetName val="BRANCH &amp; REDUCING TABLE"/>
      <sheetName val="DESC OLD PMC"/>
      <sheetName val="PMC-OLD"/>
      <sheetName val="PMC-MLCL"/>
      <sheetName val="SHORT CODE LIST"/>
      <sheetName val="7422CW00"/>
      <sheetName val="LOADDAT"/>
      <sheetName val="개시대사 (2)"/>
      <sheetName val="BLDG_DCI"/>
      <sheetName val="BLDG_MCI"/>
      <sheetName val="BQ-E20-02(Rp)"/>
      <sheetName val="DIV-03"/>
      <sheetName val="Sal"/>
      <sheetName val="Harsat"/>
      <sheetName val="Equiv.Length"/>
      <sheetName val="S-Curve (Weekly)"/>
      <sheetName val="Price Summary (1)"/>
      <sheetName val="Price Summary (2)"/>
      <sheetName val="DESBASTE"/>
      <sheetName val="Item#9.3"/>
      <sheetName val="Item#1.9"/>
      <sheetName val="Item#2.6"/>
      <sheetName val="Item#3.8"/>
      <sheetName val="Item#4.10"/>
      <sheetName val="Item#5.8"/>
      <sheetName val="Item#6.7"/>
      <sheetName val="Item#7.21"/>
      <sheetName val="Item#8.7"/>
      <sheetName val="8-31-98"/>
      <sheetName val="worksheet inchican"/>
      <sheetName val="REBAR"/>
      <sheetName val="Arch"/>
      <sheetName val="DESBAST"/>
      <sheetName val="チューブ仕様"/>
      <sheetName val="LLEGADA"/>
      <sheetName val="GAE8'97"/>
      <sheetName val="2.2 띠장의 설계"/>
      <sheetName val="2.223M_due to adj profit"/>
      <sheetName val="Land Dev't. Ph-1"/>
      <sheetName val="INTERIOR WALLS"/>
      <sheetName val="CPA_EQP"/>
      <sheetName val="S-Curve"/>
      <sheetName val="5-Digit"/>
      <sheetName val="CFA"/>
      <sheetName val="Material Price"/>
      <sheetName val="combined 9-30"/>
      <sheetName val="Ex-Rate"/>
      <sheetName val="Budget"/>
      <sheetName val="GESTION FICHE"/>
      <sheetName val="TRADUCTION LISTES"/>
      <sheetName val="BOQ LIST"/>
      <sheetName val="17安"/>
      <sheetName val="12 - MAT'L CLASSIFIC. FACTORS"/>
      <sheetName val="1 - PREFAB STR STEEL"/>
      <sheetName val="8 - SKIDS, VESSELS &amp; EQPT"/>
      <sheetName val="5 - STG PLANT - MISC  ITEMS"/>
      <sheetName val="14 - HEIGHT FACTORS"/>
      <sheetName val="10 - STEAM TURBINE PUMPS"/>
      <sheetName val="16 - ASTM CS PIPE ERECT"/>
      <sheetName val="15 - ASTM CS PIPE FAB"/>
      <sheetName val="7 - SAND BLAST &amp; PAINT"/>
      <sheetName val="Part"/>
      <sheetName val="Setup"/>
      <sheetName val="P-Ins_&amp;_Bonds"/>
      <sheetName val="P-Site_fac"/>
      <sheetName val="P-Clients_fac"/>
      <sheetName val="P_Staff_fac"/>
      <sheetName val="factor_"/>
      <sheetName val="vlookup_-_do_not_print"/>
      <sheetName val="19_05_2010"/>
      <sheetName val="Earthworks_ERP"/>
      <sheetName val="24_06_2010"/>
      <sheetName val="Small_Structures_ERP"/>
      <sheetName val="Large_Structures_ERP"/>
      <sheetName val="Tunnelling_ERP"/>
      <sheetName val="Pricing_Summary"/>
      <sheetName val="Net_Cost_-_Final_Base"/>
      <sheetName val="7_6Net_Cost_Agreed_on_Dec-04_R1"/>
      <sheetName val="Net_Cost_Agreed_on_Dec-04_Rev1"/>
      <sheetName val="7_6_Net_Cost_Agreed_on_Dec-04"/>
      <sheetName val="Net_Cost_Agreed_on_Dec-04"/>
      <sheetName val="Total_for_Check"/>
      <sheetName val="Rate_Analysis"/>
      <sheetName val="ITB_COST"/>
      <sheetName val="Civil_Weekly"/>
      <sheetName val="견적서표지0204-2_(2)"/>
      <sheetName val="Piping_Spool"/>
      <sheetName val="Cost_Definition"/>
      <sheetName val="견적_원가_"/>
      <sheetName val="pg_42"/>
      <sheetName val="Subcon_A2"/>
      <sheetName val="bill_21"/>
      <sheetName val="MATERIAL'S_PRICE1"/>
      <sheetName val="_N_Finansal_Eğri"/>
      <sheetName val="2_04"/>
      <sheetName val="2_05"/>
      <sheetName val="2_07_&amp;_2_08"/>
      <sheetName val="3_01"/>
      <sheetName val="3_02"/>
      <sheetName val="3_03"/>
      <sheetName val="ecart_Personnel"/>
      <sheetName val="Ecart_Others"/>
      <sheetName val="Other_costs"/>
      <sheetName val="3000_Steel_str"/>
      <sheetName val="5000_Equipments"/>
      <sheetName val="6000_Piping"/>
      <sheetName val="7000_Instrumentation"/>
      <sheetName val="8000_Electrical"/>
      <sheetName val="per_supplier"/>
      <sheetName val="Pivot_ledger"/>
      <sheetName val="Pivot_ENT"/>
      <sheetName val="Pivot_MAD"/>
      <sheetName val="Manpower List-1"/>
      <sheetName val="DAILY"/>
      <sheetName val="SUMMARY FOR DPR"/>
      <sheetName val="Index Daily Alloaction"/>
      <sheetName val="Manpower List"/>
      <sheetName val="A &amp; B"/>
      <sheetName val="INSULATION R1"/>
      <sheetName val="conta_rapor"/>
      <sheetName val="sonuç"/>
      <sheetName val="Follow-up"/>
      <sheetName val="Sayfa1"/>
      <sheetName val="Insulatıon_status"/>
      <sheetName val="L V Separator"/>
      <sheetName val="TACE"/>
      <sheetName val="MIBK원단위"/>
      <sheetName val="BAND(200)"/>
      <sheetName val="OUTER AREA(겹침없음)"/>
      <sheetName val="EG-09"/>
      <sheetName val="Fig 4-14"/>
      <sheetName val="Fig 5-17"/>
      <sheetName val="合成単価作成表_BLDG"/>
      <sheetName val="Prec.OTS"/>
      <sheetName val="PDS U-1400"/>
      <sheetName val="SPT vs PHI"/>
      <sheetName val="01-D.PERS"/>
      <sheetName val="breakdown"/>
      <sheetName val="SOS_PLC &amp; Panel"/>
      <sheetName val="2000년_#1_HB"/>
      <sheetName val="전체계좌"/>
      <sheetName val="8104"/>
      <sheetName val="1771"/>
      <sheetName val="APP-9"/>
      <sheetName val="MAPP"/>
      <sheetName val="rek det 1-3"/>
      <sheetName val="BP"/>
      <sheetName val="Comp equip"/>
      <sheetName val="Mach &amp; equip"/>
      <sheetName val="95삼성급(본사)"/>
      <sheetName val="CASH-FLOW"/>
      <sheetName val="Table_Rates Data"/>
      <sheetName val="COLUMNS"/>
      <sheetName val="VESSELS "/>
      <sheetName val="IMPULSE"/>
      <sheetName val="Drop_Down"/>
      <sheetName val="Source_Data"/>
      <sheetName val="Planilla CND"/>
      <sheetName val="Restricted"/>
      <sheetName val="GeneralFeedDevices_Labels"/>
      <sheetName val="CalmingSection_Labels"/>
      <sheetName val="Welcome"/>
      <sheetName val="tifico"/>
      <sheetName val="page_61"/>
      <sheetName val="0_0_Cover"/>
      <sheetName val="Hoja_3"/>
      <sheetName val="CAPEX_Categories"/>
      <sheetName val="RFP003_Building_-_B"/>
      <sheetName val="Schedule_"/>
      <sheetName val="Loading_Struc"/>
      <sheetName val="Loading_Pip"/>
      <sheetName val="Loading_Overall_(BASE_Proposal)"/>
      <sheetName val="Steel_Structure"/>
      <sheetName val="PIPING_AG-UG_NEW_UNITS"/>
      <sheetName val="MEC_PIPING_PREFABR"/>
      <sheetName val="Working_File-Pip"/>
      <sheetName val="Equip_ISBL_&amp;_OSBL_"/>
      <sheetName val="SUM_FSBLT10"/>
      <sheetName val="FWBS_900010"/>
      <sheetName val="Overall_Project10"/>
      <sheetName val="Overall_Process10"/>
      <sheetName val="Overall_Utility10"/>
      <sheetName val="FWBS_100010"/>
      <sheetName val="FWBS_200010"/>
      <sheetName val="FWBS_300010"/>
      <sheetName val="FWBS_500010"/>
      <sheetName val="FWBS_600010"/>
      <sheetName val="FWBS_700010"/>
      <sheetName val="FWBS_800010"/>
      <sheetName val="FWBS_A00010"/>
      <sheetName val="FWBS_B00010"/>
      <sheetName val="FWBS_Z00010"/>
      <sheetName val="INVOICE_CERT_EIV'S9"/>
      <sheetName val="Onerous_Terms9"/>
      <sheetName val="Building_BD9"/>
      <sheetName val="_Sum9"/>
      <sheetName val="실제_도면출도8"/>
      <sheetName val="공사비_내역_(가)8"/>
      <sheetName val="plan&amp;section_of_foundation8"/>
      <sheetName val="design_criteria8"/>
      <sheetName val="w't_table8"/>
      <sheetName val="33628-Rev__A8"/>
      <sheetName val="Progress_Tab8"/>
      <sheetName val="BM_DATA_SHEET8"/>
      <sheetName val="Eq__Mobilization8"/>
      <sheetName val="입찰내역_발주처_양식8"/>
      <sheetName val="M_118"/>
      <sheetName val="REINF_8"/>
      <sheetName val="PC_CATCH_PIT_1X1X1_2M7"/>
      <sheetName val="PC_CATCH_PIT__6X_6X1_0M7"/>
      <sheetName val="PC_COVER_100MM_THK__95x_37"/>
      <sheetName val="PC_COVER_250MM_THK_2_2x_37"/>
      <sheetName val="Chiet_tinh_dz357"/>
      <sheetName val="member_design7"/>
      <sheetName val="3__GROUNDING_SYSTEM8"/>
      <sheetName val="working_load_at_the_btm_ft_7"/>
      <sheetName val="soil_bearing_check7"/>
      <sheetName val="Adjusted_Bids7"/>
      <sheetName val="Concept_Offshore7"/>
      <sheetName val="A(Rev_3)7"/>
      <sheetName val="Running_compatibility_check_7"/>
      <sheetName val="Running_compatibility_check__x2"/>
      <sheetName val="Running_compatibility_check_?A2"/>
      <sheetName val="Running_compatibility_check__A2"/>
      <sheetName val="List_of_WorkPacks2"/>
      <sheetName val="List_of_Dates2"/>
      <sheetName val="A_(2)2"/>
      <sheetName val="WORKSHEET_CS2"/>
      <sheetName val="DO_NOT_Delete2"/>
      <sheetName val="00-Summary_Information-ABB2"/>
      <sheetName val="Direct_Prices2"/>
      <sheetName val="_Planning&amp;reporting_xlsM9000-A2"/>
      <sheetName val="page_62"/>
      <sheetName val="P-Ins_&amp;_Bonds1"/>
      <sheetName val="P-Site_fac1"/>
      <sheetName val="P-Clients_fac1"/>
      <sheetName val="P_Staff_fac1"/>
      <sheetName val="factor_1"/>
      <sheetName val="vlookup_-_do_not_print1"/>
      <sheetName val="Rate_Analysis1"/>
      <sheetName val="ITB_COST1"/>
      <sheetName val="19_05_20101"/>
      <sheetName val="Earthworks_ERP1"/>
      <sheetName val="24_06_20101"/>
      <sheetName val="Small_Structures_ERP1"/>
      <sheetName val="Large_Structures_ERP1"/>
      <sheetName val="Tunnelling_ERP1"/>
      <sheetName val="Civil_Weekly1"/>
      <sheetName val="Pricing_Summary1"/>
      <sheetName val="Net_Cost_-_Final_Base1"/>
      <sheetName val="7_6Net_Cost_Agreed_on_Dec-04_R2"/>
      <sheetName val="Net_Cost_Agreed_on_Dec-04_Rev11"/>
      <sheetName val="7_6_Net_Cost_Agreed_on_Dec-041"/>
      <sheetName val="Net_Cost_Agreed_on_Dec-041"/>
      <sheetName val="Total_for_Check1"/>
      <sheetName val="_N_Finansal_Eğri1"/>
      <sheetName val="0_0_Cover1"/>
      <sheetName val="Hoja_31"/>
      <sheetName val="Drop_Down1"/>
      <sheetName val="Source_Data1"/>
      <sheetName val="CAPEX_Categories1"/>
      <sheetName val="RFP003_Building_-_B1"/>
      <sheetName val="pg_43"/>
      <sheetName val="Subcon_A3"/>
      <sheetName val="bill_22"/>
      <sheetName val="MATERIAL'S_PRICE2"/>
      <sheetName val="Schedule_1"/>
      <sheetName val="Loading_Struc1"/>
      <sheetName val="Loading_Pip1"/>
      <sheetName val="Loading_Overall_(BASE_Proposal1"/>
      <sheetName val="Steel_Structure1"/>
      <sheetName val="PIPING_AG-UG_NEW_UNITS1"/>
      <sheetName val="MEC_PIPING_PREFABR1"/>
      <sheetName val="Working_File-Pip1"/>
      <sheetName val="Equip_ISBL_&amp;_OSBL_1"/>
      <sheetName val="견적서표지0204-2_(2)1"/>
      <sheetName val="Piping_Spool1"/>
      <sheetName val="Cost_Definition1"/>
      <sheetName val="견적_원가_1"/>
      <sheetName val="SUM_FSBLT11"/>
      <sheetName val="FWBS_900011"/>
      <sheetName val="Overall_Project11"/>
      <sheetName val="Overall_Process11"/>
      <sheetName val="Overall_Utility11"/>
      <sheetName val="FWBS_100011"/>
      <sheetName val="FWBS_200011"/>
      <sheetName val="FWBS_300011"/>
      <sheetName val="FWBS_500011"/>
      <sheetName val="FWBS_600011"/>
      <sheetName val="FWBS_700011"/>
      <sheetName val="FWBS_800011"/>
      <sheetName val="FWBS_A00011"/>
      <sheetName val="FWBS_B00011"/>
      <sheetName val="FWBS_Z00011"/>
      <sheetName val="INVOICE_CERT_EIV'S10"/>
      <sheetName val="Onerous_Terms10"/>
      <sheetName val="Building_BD10"/>
      <sheetName val="_Sum10"/>
      <sheetName val="실제_도면출도9"/>
      <sheetName val="공사비_내역_(가)9"/>
      <sheetName val="plan&amp;section_of_foundation9"/>
      <sheetName val="design_criteria9"/>
      <sheetName val="w't_table9"/>
      <sheetName val="33628-Rev__A9"/>
      <sheetName val="Progress_Tab9"/>
      <sheetName val="BM_DATA_SHEET9"/>
      <sheetName val="Eq__Mobilization9"/>
      <sheetName val="입찰내역_발주처_양식9"/>
      <sheetName val="M_119"/>
      <sheetName val="REINF_9"/>
      <sheetName val="PC_CATCH_PIT_1X1X1_2M8"/>
      <sheetName val="PC_CATCH_PIT__6X_6X1_0M8"/>
      <sheetName val="PC_COVER_100MM_THK__95x_38"/>
      <sheetName val="PC_COVER_250MM_THK_2_2x_38"/>
      <sheetName val="Chiet_tinh_dz358"/>
      <sheetName val="member_design8"/>
      <sheetName val="3__GROUNDING_SYSTEM9"/>
      <sheetName val="working_load_at_the_btm_ft_8"/>
      <sheetName val="soil_bearing_check8"/>
      <sheetName val="Adjusted_Bids8"/>
      <sheetName val="Concept_Offshore8"/>
      <sheetName val="A(Rev_3)8"/>
      <sheetName val="Running_compatibility_check_8"/>
      <sheetName val="[Planning&amp;reporting_xlsM9000-A3"/>
      <sheetName val="Cashflow_Analysis3"/>
      <sheetName val="Running_compatibility_check__x3"/>
      <sheetName val="Running_compatibility_check_?A3"/>
      <sheetName val="Running_compatibility_check__A3"/>
      <sheetName val="List_of_WorkPacks3"/>
      <sheetName val="List_of_Dates3"/>
      <sheetName val="FWBS_codes3"/>
      <sheetName val="STANDARD_DESCRIPTION3"/>
      <sheetName val="STANDARD_DESCRIPTION_-_20150513"/>
      <sheetName val="Drawings_Summary3"/>
      <sheetName val="Instr_Drawing_List3"/>
      <sheetName val="INDEX-Areas_B000,C000,D000,E003"/>
      <sheetName val="STANDARD_DESCRIPTION_201507153"/>
      <sheetName val="DropDown_Selections3"/>
      <sheetName val="A_(2)3"/>
      <sheetName val="WORKSHEET_CS3"/>
      <sheetName val="DO_NOT_Delete3"/>
      <sheetName val="00-Summary_Information-ABB3"/>
      <sheetName val="Direct_Prices3"/>
      <sheetName val="_Planning&amp;reporting_xlsM9000-A3"/>
      <sheetName val="page_63"/>
      <sheetName val="P-Ins_&amp;_Bonds2"/>
      <sheetName val="P-Site_fac2"/>
      <sheetName val="P-Clients_fac2"/>
      <sheetName val="P_Staff_fac2"/>
      <sheetName val="factor_2"/>
      <sheetName val="vlookup_-_do_not_print2"/>
      <sheetName val="Structural_Comp3"/>
      <sheetName val="Time_Rates_2"/>
      <sheetName val="Rate_Analysis2"/>
      <sheetName val="ITB_COST2"/>
      <sheetName val="19_05_20102"/>
      <sheetName val="Earthworks_ERP2"/>
      <sheetName val="24_06_20102"/>
      <sheetName val="Small_Structures_ERP2"/>
      <sheetName val="Large_Structures_ERP2"/>
      <sheetName val="Tunnelling_ERP2"/>
      <sheetName val="Civil_Weekly2"/>
      <sheetName val="Pricing_Summary2"/>
      <sheetName val="Net_Cost_-_Final_Base2"/>
      <sheetName val="7_6Net_Cost_Agreed_on_Dec-04_R3"/>
      <sheetName val="Net_Cost_Agreed_on_Dec-04_Rev12"/>
      <sheetName val="7_6_Net_Cost_Agreed_on_Dec-042"/>
      <sheetName val="Net_Cost_Agreed_on_Dec-042"/>
      <sheetName val="Total_for_Check2"/>
      <sheetName val="_N_Finansal_Eğri2"/>
      <sheetName val="0_0_Cover2"/>
      <sheetName val="Hoja_32"/>
      <sheetName val="Drop_Down2"/>
      <sheetName val="Source_Data2"/>
      <sheetName val="CAPEX_Categories2"/>
      <sheetName val="RFP003_Building_-_B2"/>
      <sheetName val="pg_44"/>
      <sheetName val="Subcon_A4"/>
      <sheetName val="bill_23"/>
      <sheetName val="MATERIAL'S_PRICE3"/>
      <sheetName val="Schedule_2"/>
      <sheetName val="Loading_Struc2"/>
      <sheetName val="Loading_Pip2"/>
      <sheetName val="Loading_Overall_(BASE_Proposal2"/>
      <sheetName val="Steel_Structure2"/>
      <sheetName val="PIPING_AG-UG_NEW_UNITS2"/>
      <sheetName val="MEC_PIPING_PREFABR2"/>
      <sheetName val="Working_File-Pip2"/>
      <sheetName val="Equip_ISBL_&amp;_OSBL_2"/>
      <sheetName val="견적서표지0204-2_(2)2"/>
      <sheetName val="Piping_Spool2"/>
      <sheetName val="Cost_Definition2"/>
      <sheetName val="견적_원가_2"/>
      <sheetName val="PERHITUNGAN__KEEKONOMIAN"/>
      <sheetName val="Total_Staff"/>
      <sheetName val="0__SUMMARY"/>
      <sheetName val="1__Engineering"/>
      <sheetName val="2__Check_point"/>
      <sheetName val="II_Changes_1"/>
      <sheetName val="III_Changes_2"/>
      <sheetName val="Qty_"/>
      <sheetName val="OQC_Summary"/>
      <sheetName val="6_Unit_Rates"/>
      <sheetName val="AEROGEL_CAL"/>
      <sheetName val="CRYG_THKMM"/>
      <sheetName val="ITB_REVIEW"/>
      <sheetName val="SPCS_SUMM_"/>
      <sheetName val="ESTI__SUMM_"/>
      <sheetName val="Price_Summary"/>
      <sheetName val="Acc_Stock-INSUL"/>
      <sheetName val="97_사업추정(WEKI)"/>
      <sheetName val="Overall_MTO_-_20191001_(old)"/>
      <sheetName val="MTO_for_BMBQ"/>
      <sheetName val="BQ_Reff"/>
      <sheetName val="Sum_of_Comparison-20191007"/>
      <sheetName val="Joint_No_"/>
      <sheetName val="Unit_Weight"/>
      <sheetName val="Detail_PMC"/>
      <sheetName val="Detail_PMC_(for_full_desc)"/>
      <sheetName val="Bolt_Size"/>
      <sheetName val="NDE_Req"/>
      <sheetName val="Tgh_JGC-Inv_I_clp"/>
      <sheetName val="PCS_"/>
      <sheetName val="Progress_Statement-SI"/>
      <sheetName val="Progress_Payment-3110"/>
      <sheetName val="JK_Price_sheet"/>
      <sheetName val="TP_Price_sheet"/>
      <sheetName val="Phase_1_JK_UTSE"/>
      <sheetName val="Phase_2_JK_UTSE"/>
      <sheetName val="Phase_1_and_2_JK_UTSE"/>
      <sheetName val="Phase_1_TP_UTSE"/>
      <sheetName val="Phase_2_TP_UTSE"/>
      <sheetName val="Phase_1_and_2_TP_UTSE"/>
      <sheetName val="Cash_Flow_(BL)"/>
      <sheetName val="Cash_Flow_(UTSE)"/>
      <sheetName val="INDIRECT_OH&amp;P_"/>
      <sheetName val="Salary_2013"/>
      <sheetName val="Summary_(3)"/>
      <sheetName val="RRW_Scaff"/>
      <sheetName val="RRW_Oct-2019-1st_Lot-13-10-19"/>
      <sheetName val="RRW_Oct-2019-2st_Lot-15-10-19"/>
      <sheetName val="Cable_Schedule"/>
      <sheetName val="Report_Wizard"/>
      <sheetName val="Initial_Plan"/>
      <sheetName val="SUM_FSBLT12"/>
      <sheetName val="FWBS_900012"/>
      <sheetName val="Overall_Project12"/>
      <sheetName val="Overall_Process12"/>
      <sheetName val="Overall_Utility12"/>
      <sheetName val="FWBS_100012"/>
      <sheetName val="FWBS_200012"/>
      <sheetName val="FWBS_300012"/>
      <sheetName val="FWBS_500012"/>
      <sheetName val="FWBS_600012"/>
      <sheetName val="FWBS_700012"/>
      <sheetName val="FWBS_800012"/>
      <sheetName val="FWBS_A00012"/>
      <sheetName val="FWBS_B00012"/>
      <sheetName val="FWBS_Z00012"/>
      <sheetName val="INVOICE_CERT_EIV'S11"/>
      <sheetName val="Onerous_Terms11"/>
      <sheetName val="Building_BD11"/>
      <sheetName val="_Sum11"/>
      <sheetName val="실제_도면출도10"/>
      <sheetName val="공사비_내역_(가)10"/>
      <sheetName val="plan&amp;section_of_foundation10"/>
      <sheetName val="design_criteria10"/>
      <sheetName val="w't_table10"/>
      <sheetName val="33628-Rev__A10"/>
      <sheetName val="Progress_Tab10"/>
      <sheetName val="BM_DATA_SHEET10"/>
      <sheetName val="Eq__Mobilization10"/>
      <sheetName val="입찰내역_발주처_양식10"/>
      <sheetName val="M_1110"/>
      <sheetName val="REINF_10"/>
      <sheetName val="PC_CATCH_PIT_1X1X1_2M9"/>
      <sheetName val="PC_CATCH_PIT__6X_6X1_0M9"/>
      <sheetName val="PC_COVER_100MM_THK__95x_39"/>
      <sheetName val="PC_COVER_250MM_THK_2_2x_39"/>
      <sheetName val="Chiet_tinh_dz359"/>
      <sheetName val="member_design9"/>
      <sheetName val="3__GROUNDING_SYSTEM10"/>
      <sheetName val="working_load_at_the_btm_ft_9"/>
      <sheetName val="soil_bearing_check9"/>
      <sheetName val="Adjusted_Bids9"/>
      <sheetName val="Concept_Offshore9"/>
      <sheetName val="A(Rev_3)9"/>
      <sheetName val="Running_compatibility_check_9"/>
      <sheetName val="[Planning&amp;reporting_xlsM9000-A4"/>
      <sheetName val="Cashflow_Analysis4"/>
      <sheetName val="Running_compatibility_check__x4"/>
      <sheetName val="Running_compatibility_check_?A4"/>
      <sheetName val="Running_compatibility_check__A4"/>
      <sheetName val="List_of_WorkPacks4"/>
      <sheetName val="List_of_Dates4"/>
      <sheetName val="FWBS_codes4"/>
      <sheetName val="STANDARD_DESCRIPTION4"/>
      <sheetName val="STANDARD_DESCRIPTION_-_20150514"/>
      <sheetName val="Drawings_Summary4"/>
      <sheetName val="Instr_Drawing_List4"/>
      <sheetName val="INDEX-Areas_B000,C000,D000,E004"/>
      <sheetName val="STANDARD_DESCRIPTION_201507154"/>
      <sheetName val="DropDown_Selections4"/>
      <sheetName val="A_(2)4"/>
      <sheetName val="WORKSHEET_CS4"/>
      <sheetName val="DO_NOT_Delete4"/>
      <sheetName val="00-Summary_Information-ABB4"/>
      <sheetName val="Direct_Prices4"/>
      <sheetName val="_Planning&amp;reporting_xlsM9000-A4"/>
      <sheetName val="page_64"/>
      <sheetName val="P-Ins_&amp;_Bonds3"/>
      <sheetName val="P-Site_fac3"/>
      <sheetName val="P-Clients_fac3"/>
      <sheetName val="P_Staff_fac3"/>
      <sheetName val="factor_3"/>
      <sheetName val="vlookup_-_do_not_print3"/>
      <sheetName val="Structural_Comp4"/>
      <sheetName val="Time_Rates_3"/>
      <sheetName val="Rate_Analysis3"/>
      <sheetName val="ITB_COST3"/>
      <sheetName val="19_05_20103"/>
      <sheetName val="Earthworks_ERP3"/>
      <sheetName val="24_06_20103"/>
      <sheetName val="Small_Structures_ERP3"/>
      <sheetName val="Large_Structures_ERP3"/>
      <sheetName val="Tunnelling_ERP3"/>
      <sheetName val="Civil_Weekly3"/>
      <sheetName val="Pricing_Summary3"/>
      <sheetName val="Net_Cost_-_Final_Base3"/>
      <sheetName val="7_6Net_Cost_Agreed_on_Dec-04_R4"/>
      <sheetName val="Net_Cost_Agreed_on_Dec-04_Rev13"/>
      <sheetName val="7_6_Net_Cost_Agreed_on_Dec-043"/>
      <sheetName val="Net_Cost_Agreed_on_Dec-043"/>
      <sheetName val="Total_for_Check3"/>
      <sheetName val="_N_Finansal_Eğri3"/>
      <sheetName val="0_0_Cover3"/>
      <sheetName val="Hoja_33"/>
      <sheetName val="Drop_Down3"/>
      <sheetName val="Source_Data3"/>
      <sheetName val="CAPEX_Categories3"/>
      <sheetName val="RFP003_Building_-_B3"/>
      <sheetName val="pg_45"/>
      <sheetName val="Subcon_A5"/>
      <sheetName val="bill_24"/>
      <sheetName val="MATERIAL'S_PRICE4"/>
      <sheetName val="Schedule_3"/>
      <sheetName val="Loading_Struc3"/>
      <sheetName val="Loading_Pip3"/>
      <sheetName val="Loading_Overall_(BASE_Proposal3"/>
      <sheetName val="Steel_Structure3"/>
      <sheetName val="PIPING_AG-UG_NEW_UNITS3"/>
      <sheetName val="MEC_PIPING_PREFABR3"/>
      <sheetName val="Working_File-Pip3"/>
      <sheetName val="Equip_ISBL_&amp;_OSBL_3"/>
      <sheetName val="견적서표지0204-2_(2)3"/>
      <sheetName val="Piping_Spool3"/>
      <sheetName val="Cost_Definition3"/>
      <sheetName val="견적_원가_3"/>
      <sheetName val="PERHITUNGAN__KEEKONOMIAN1"/>
      <sheetName val="Total_Staff1"/>
      <sheetName val="0__SUMMARY1"/>
      <sheetName val="1__Engineering1"/>
      <sheetName val="2__Check_point1"/>
      <sheetName val="II_Changes_11"/>
      <sheetName val="III_Changes_21"/>
      <sheetName val="Qty_1"/>
      <sheetName val="OQC_Summary1"/>
      <sheetName val="6_Unit_Rates1"/>
      <sheetName val="AEROGEL_CAL1"/>
      <sheetName val="CRYG_THKMM1"/>
      <sheetName val="ITB_REVIEW1"/>
      <sheetName val="SPCS_SUMM_1"/>
      <sheetName val="ESTI__SUMM_1"/>
      <sheetName val="Price_Summary1"/>
      <sheetName val="Acc_Stock-INSUL1"/>
      <sheetName val="97_사업추정(WEKI)1"/>
      <sheetName val="Overall_MTO_-_20191001_(old)1"/>
      <sheetName val="MTO_for_BMBQ1"/>
      <sheetName val="BQ_Reff1"/>
      <sheetName val="Sum_of_Comparison-201910071"/>
      <sheetName val="Joint_No_1"/>
      <sheetName val="Unit_Weight1"/>
      <sheetName val="Detail_PMC1"/>
      <sheetName val="Detail_PMC_(for_full_desc)1"/>
      <sheetName val="Bolt_Size1"/>
      <sheetName val="NDE_Req1"/>
      <sheetName val="Tgh_JGC-Inv_I_clp1"/>
      <sheetName val="PCS_1"/>
      <sheetName val="Progress_Statement-SI1"/>
      <sheetName val="Progress_Payment-31101"/>
      <sheetName val="2_041"/>
      <sheetName val="2_051"/>
      <sheetName val="2_07_&amp;_2_081"/>
      <sheetName val="3_011"/>
      <sheetName val="3_021"/>
      <sheetName val="3_031"/>
      <sheetName val="ecart_Personnel1"/>
      <sheetName val="Ecart_Others1"/>
      <sheetName val="Other_costs1"/>
      <sheetName val="3000_Steel_str1"/>
      <sheetName val="5000_Equipments1"/>
      <sheetName val="6000_Piping1"/>
      <sheetName val="7000_Instrumentation1"/>
      <sheetName val="8000_Electrical1"/>
      <sheetName val="per_supplier1"/>
      <sheetName val="Pivot_ledger1"/>
      <sheetName val="Pivot_ENT1"/>
      <sheetName val="Pivot_MAD1"/>
      <sheetName val="JK_Price_sheet1"/>
      <sheetName val="TP_Price_sheet1"/>
      <sheetName val="Phase_1_JK_UTSE1"/>
      <sheetName val="Phase_2_JK_UTSE1"/>
      <sheetName val="Phase_1_and_2_JK_UTSE1"/>
      <sheetName val="Phase_1_TP_UTSE1"/>
      <sheetName val="Phase_2_TP_UTSE1"/>
      <sheetName val="Phase_1_and_2_TP_UTSE1"/>
      <sheetName val="Cash_Flow_(BL)1"/>
      <sheetName val="Cash_Flow_(UTSE)1"/>
      <sheetName val="INDIRECT_OH&amp;P_1"/>
      <sheetName val="Salary_20131"/>
      <sheetName val="Summary_(3)1"/>
      <sheetName val="RRW_Scaff1"/>
      <sheetName val="RRW_Oct-2019-1st_Lot-13-10-191"/>
      <sheetName val="RRW_Oct-2019-2st_Lot-15-10-191"/>
      <sheetName val="Cable_Schedule1"/>
      <sheetName val="Report_Wizard1"/>
      <sheetName val="Initial_Plan1"/>
      <sheetName val="QMS Rev 3"/>
      <sheetName val="QMS Rev 2"/>
      <sheetName val="Rebar Assembly Progress"/>
      <sheetName val="GI Steps Progress Final"/>
      <sheetName val="QW Trench"/>
      <sheetName val="마감물량"/>
      <sheetName val="Substation Column"/>
      <sheetName val="laborrates"/>
      <sheetName val="100(4)"/>
      <sheetName val="RefG"/>
      <sheetName val="IRR sponsor"/>
      <sheetName val="SG"/>
      <sheetName val="BILL"/>
      <sheetName val="Prog-Chart"/>
      <sheetName val="Working Materials"/>
      <sheetName val="Working sheet"/>
      <sheetName val="pw&amp;shs"/>
      <sheetName val="주관사업"/>
      <sheetName val="SEX"/>
      <sheetName val="351BQMCN"/>
      <sheetName val="DAF-4"/>
      <sheetName val="Hrg Satuan"/>
      <sheetName val="analisa"/>
      <sheetName val="schbhn"/>
      <sheetName val="schalt"/>
      <sheetName val="schtng"/>
      <sheetName val="Bill rekap"/>
      <sheetName val="ESCON"/>
      <sheetName val="Div2"/>
      <sheetName val="ANALIS.2"/>
      <sheetName val="ANALIS.1"/>
      <sheetName val="Harga Satuan"/>
      <sheetName val="BHN"/>
      <sheetName val="ALT"/>
      <sheetName val="SUB"/>
      <sheetName val="UPH"/>
      <sheetName val="Aggr"/>
      <sheetName val="analis standar(8m)"/>
      <sheetName val="DAF-3"/>
      <sheetName val="REQDELTA"/>
      <sheetName val="bhn "/>
      <sheetName val="Testing"/>
      <sheetName val="BAG-III"/>
      <sheetName val="I_KAMAR"/>
      <sheetName val="D-3109"/>
      <sheetName val="Mall"/>
      <sheetName val="AHS"/>
      <sheetName val="STR"/>
      <sheetName val="NP"/>
      <sheetName val="Task Force Coding Abbreviations"/>
      <sheetName val="노임단가"/>
      <sheetName val="교량대비"/>
      <sheetName val="내역서"/>
      <sheetName val="DB-BOLT_SIZE"/>
      <sheetName val="REQ_LIST"/>
      <sheetName val="DESC_NEW_PMC"/>
      <sheetName val="MTO_2020_03_11"/>
      <sheetName val="BQ_2020_03_03"/>
      <sheetName val="MTO_2020_03_03_(VDR)"/>
      <sheetName val="BQ_2020_03_03_(VDR)"/>
      <sheetName val="WEIGHT_&amp;_PAINT"/>
      <sheetName val="FW_JGC"/>
      <sheetName val="FW_VENDOR"/>
      <sheetName val="BQ_2020_02_25"/>
      <sheetName val="BM_BOLT_&amp;_NUT"/>
      <sheetName val="RT_TABLE"/>
      <sheetName val="BRANCH_&amp;_REDUCING_TABLE"/>
      <sheetName val="DESC_OLD_PMC"/>
      <sheetName val="SHORT_CODE_LIST"/>
      <sheetName val="Geotextile_for_geotube"/>
      <sheetName val="Finansal_tamamlanma_Eğrisi"/>
      <sheetName val="1_INV"/>
      <sheetName val="2_Calculation_Sheet"/>
      <sheetName val="Price_Sheet"/>
      <sheetName val="3__Progress"/>
      <sheetName val="4__EDR"/>
      <sheetName val="BOM_SUM"/>
      <sheetName val="Eng__Boq_-1"/>
      <sheetName val="PFP,TIE_COAT_&amp;_TOP_FLG_PAINTED"/>
      <sheetName val="Shop_Modifications"/>
      <sheetName val="JI-2036_-_Preservation"/>
      <sheetName val="Re-Application_"/>
      <sheetName val="OLD_(2)"/>
      <sheetName val="DATA-DEP_(13-17)"/>
      <sheetName val="DATA-GCC(25-34_7)"/>
      <sheetName val="St_-Con(0-17)"/>
      <sheetName val="St_-Con_(17-34)"/>
      <sheetName val="개시대사_(2)"/>
      <sheetName val="Equiv_Length"/>
      <sheetName val="S-Curve_(Weekly)"/>
      <sheetName val="Price_Summary_(1)"/>
      <sheetName val="Price_Summary_(2)"/>
      <sheetName val="Item#9_3"/>
      <sheetName val="Item#1_9"/>
      <sheetName val="Item#2_6"/>
      <sheetName val="Item#3_8"/>
      <sheetName val="Item#4_10"/>
      <sheetName val="Item#5_8"/>
      <sheetName val="Item#6_7"/>
      <sheetName val="Item#7_21"/>
      <sheetName val="Item#8_7"/>
      <sheetName val="worksheet_inchican"/>
      <sheetName val="2_2_띠장의_설계"/>
      <sheetName val="2_223M_due_to_adj_profit"/>
      <sheetName val="Land_Dev't__Ph-1"/>
      <sheetName val="INTERIOR_WALLS"/>
      <sheetName val="Material_Price"/>
      <sheetName val="combined_9-30"/>
      <sheetName val="GESTION_FICHE"/>
      <sheetName val="TRADUCTION_LISTES"/>
      <sheetName val="Inert_Balls"/>
      <sheetName val="Prec_OTS"/>
      <sheetName val="INSULATION_R1"/>
      <sheetName val="PLSt 03  "/>
      <sheetName val="П 7 курс аванса"/>
      <sheetName val="견적의뢰"/>
      <sheetName val="OUTER_AREA(겹침없음)"/>
      <sheetName val="Vaccari  EST INQ-Stat. Summ "/>
      <sheetName val="Page 1"/>
      <sheetName val="뜃맟뭁돽띿맟_r_x0000_蠀擿㤁"/>
      <sheetName val="뜃맟뭁돽띿맟_r_x0000_蠀䛿㤂"/>
      <sheetName val="뜃맟뭁돽띿맟_㥲ꖄ쐀㬣ꠂ"/>
      <sheetName val="뜃맟뭁돽띿맟_衲裿㤁䲄쐀"/>
      <sheetName val="Komponen Upah"/>
      <sheetName val="Inkindo 2015"/>
      <sheetName val="노임이"/>
      <sheetName val="Estimate"/>
      <sheetName val="单价"/>
      <sheetName val="eqpmad2"/>
      <sheetName val="Financ. Overview"/>
      <sheetName val="Toolbox"/>
      <sheetName val="최적단면"/>
      <sheetName val="单价分析表2"/>
      <sheetName val="MECHANICAL（水处理厂2)"/>
      <sheetName val="XLR_NoRangeSheet"/>
      <sheetName val="内河船舶单价"/>
      <sheetName val="待摊费"/>
      <sheetName val="人工费"/>
      <sheetName val="quant"/>
      <sheetName val="材料"/>
      <sheetName val="4 代码列表"/>
      <sheetName val="人工SDP.2"/>
      <sheetName val="参数"/>
      <sheetName val="材料SDP.1"/>
      <sheetName val="SALES"/>
      <sheetName val="HRG BAHAN &amp; UPAH okk"/>
      <sheetName val="Analis Kusen okk"/>
      <sheetName val="Inputs_Sens"/>
      <sheetName val="IS_Sum_CM"/>
      <sheetName val="RAB"/>
      <sheetName val="Bahan"/>
      <sheetName val="BUL"/>
      <sheetName val="kalibrasi-Tank"/>
      <sheetName val="Process"/>
      <sheetName val="Manpower_List-1"/>
      <sheetName val="SUMMARY_FOR_DPR"/>
      <sheetName val="Index_Daily_Alloaction"/>
      <sheetName val="Manpower_List"/>
      <sheetName val="A_&amp;_B"/>
      <sheetName val="Manpower_List-11"/>
      <sheetName val="SUMMARY_FOR_DPR1"/>
      <sheetName val="Index_Daily_Alloaction1"/>
      <sheetName val="Manpower_List1"/>
      <sheetName val="A_&amp;_B1"/>
      <sheetName val="Riesgos y Oportunidades"/>
      <sheetName val="6PILE  (돌출)"/>
      <sheetName val="0.품의서(전체)"/>
      <sheetName val="LAST UPDATE"/>
      <sheetName val="TOTAL SCHEDULE"/>
      <sheetName val="Table"/>
      <sheetName val="CIM"/>
      <sheetName val="MC-1"/>
      <sheetName val="Retaining wall &amp; Top Up"/>
      <sheetName val="매립"/>
      <sheetName val="personnel loading"/>
      <sheetName val="MAY 00-Bobbins"/>
      <sheetName val="U_A Input"/>
      <sheetName val="Equipt Rental"/>
      <sheetName val="Activity(new)"/>
      <sheetName val="Total(new)"/>
      <sheetName val="UPA(Part C,D,E,G,H)"/>
      <sheetName val="UPA(Part F)"/>
      <sheetName val="Materials"/>
      <sheetName val="일위대가 (Part C,D,E,G,H)"/>
      <sheetName val="실행철강하도"/>
      <sheetName val="BOQ건축"/>
      <sheetName val="손익차총괄2"/>
      <sheetName val="AOP Summary-2"/>
      <sheetName val="Raw Data"/>
      <sheetName val="뜃맟뭁돽띿맟_r"/>
      <sheetName val="Table_Rates_Data"/>
      <sheetName val="Summary_(3)2"/>
      <sheetName val="RRW_Scaff2"/>
      <sheetName val="RRW_Oct-2019-1st_Lot-13-10-192"/>
      <sheetName val="RRW_Oct-2019-2st_Lot-15-10-192"/>
      <sheetName val="JK_Price_sheet2"/>
      <sheetName val="TP_Price_sheet2"/>
      <sheetName val="Phase_1_JK_UTSE2"/>
      <sheetName val="Phase_2_JK_UTSE2"/>
      <sheetName val="Phase_1_and_2_JK_UTSE2"/>
      <sheetName val="Phase_1_TP_UTSE2"/>
      <sheetName val="Phase_2_TP_UTSE2"/>
      <sheetName val="Phase_1_and_2_TP_UTSE2"/>
      <sheetName val="Cash_Flow_(BL)2"/>
      <sheetName val="Cash_Flow_(UTSE)2"/>
      <sheetName val="2_042"/>
      <sheetName val="2_052"/>
      <sheetName val="2_07_&amp;_2_082"/>
      <sheetName val="3_012"/>
      <sheetName val="3_022"/>
      <sheetName val="3_032"/>
      <sheetName val="ecart_Personnel2"/>
      <sheetName val="Ecart_Others2"/>
      <sheetName val="Other_costs2"/>
      <sheetName val="3000_Steel_str2"/>
      <sheetName val="5000_Equipments2"/>
      <sheetName val="6000_Piping2"/>
      <sheetName val="7000_Instrumentation2"/>
      <sheetName val="8000_Electrical2"/>
      <sheetName val="per_supplier2"/>
      <sheetName val="Pivot_ledger2"/>
      <sheetName val="Pivot_ENT2"/>
      <sheetName val="Pivot_MAD2"/>
      <sheetName val="PERHITUNGAN__KEEKONOMIAN2"/>
      <sheetName val="Total_Staff2"/>
      <sheetName val="0__SUMMARY2"/>
      <sheetName val="1__Engineering2"/>
      <sheetName val="2__Check_point2"/>
      <sheetName val="II_Changes_12"/>
      <sheetName val="III_Changes_22"/>
      <sheetName val="Qty_2"/>
      <sheetName val="OQC_Summary2"/>
      <sheetName val="6_Unit_Rates2"/>
      <sheetName val="AEROGEL_CAL2"/>
      <sheetName val="CRYG_THKMM2"/>
      <sheetName val="ITB_REVIEW2"/>
      <sheetName val="SPCS_SUMM_2"/>
      <sheetName val="ESTI__SUMM_2"/>
      <sheetName val="Price_Summary2"/>
      <sheetName val="Acc_Stock-INSUL2"/>
      <sheetName val="97_사업추정(WEKI)2"/>
      <sheetName val="Overall_MTO_-_20191001_(old)2"/>
      <sheetName val="MTO_for_BMBQ2"/>
      <sheetName val="BQ_Reff2"/>
      <sheetName val="Sum_of_Comparison-201910072"/>
      <sheetName val="Joint_No_2"/>
      <sheetName val="Unit_Weight2"/>
      <sheetName val="Detail_PMC2"/>
      <sheetName val="Detail_PMC_(for_full_desc)2"/>
      <sheetName val="Bolt_Size2"/>
      <sheetName val="NDE_Req2"/>
      <sheetName val="Tgh_JGC-Inv_I_clp2"/>
      <sheetName val="PCS_2"/>
      <sheetName val="Progress_Statement-SI2"/>
      <sheetName val="Progress_Payment-31102"/>
      <sheetName val="Manpower_List-12"/>
      <sheetName val="SUMMARY_FOR_DPR2"/>
      <sheetName val="Index_Daily_Alloaction2"/>
      <sheetName val="Manpower_List2"/>
      <sheetName val="A_&amp;_B2"/>
      <sheetName val="ANX3A65"/>
      <sheetName val="Rekapitulasi"/>
      <sheetName val="INFO UMUM"/>
      <sheetName val="DET 1"/>
      <sheetName val="DET 2"/>
      <sheetName val="BASIC PRICE"/>
      <sheetName val="QUARRY"/>
      <sheetName val=" GULF"/>
      <sheetName val="ENG-101"/>
      <sheetName val="DIV.1"/>
      <sheetName val="WKFRM"/>
      <sheetName val="Coversheet"/>
      <sheetName val="Sumption Summary"/>
      <sheetName val="Cost Summary"/>
      <sheetName val="A-1Construction Breakdown"/>
      <sheetName val="A-2 Equipment Breakdown"/>
      <sheetName val="1-HVAC Sumption"/>
      <sheetName val="2-Fire&amp; Plumb Sumption"/>
      <sheetName val="3-Utility Sumption"/>
      <sheetName val="4-Engineering Sumption"/>
      <sheetName val="B2 Project Mangement"/>
      <sheetName val="B8 Permitting"/>
      <sheetName val="(1)Internal Cost Report"/>
      <sheetName val="2007"/>
      <sheetName val="Parameters"/>
      <sheetName val="h-013211-2"/>
      <sheetName val="단면가정"/>
      <sheetName val="CABLE DATA"/>
      <sheetName val="설계조건"/>
      <sheetName val="Price Schedule"/>
      <sheetName val="301A"/>
      <sheetName val="301B"/>
      <sheetName val="301C"/>
      <sheetName val="VS P-Q"/>
      <sheetName val="VS curve"/>
      <sheetName val="CS P_Q"/>
      <sheetName val="ENE-SAV"/>
      <sheetName val="PAYBACK"/>
      <sheetName val="ga801abd"/>
      <sheetName val="절감"/>
      <sheetName val="효율표"/>
      <sheetName val="절감식"/>
      <sheetName val="페인트"/>
      <sheetName val="을"/>
      <sheetName val="Foglio_Lavoro"/>
      <sheetName val="4 Annex 1 Basic rate"/>
      <sheetName val="Intro"/>
      <sheetName val="운반"/>
      <sheetName val="Fig_4-14"/>
      <sheetName val="Fig_5-17"/>
      <sheetName val="石炭性状"/>
      <sheetName val="MEASURE LIST"/>
      <sheetName val="F1.4"/>
      <sheetName val="MAT&amp;LABOR"/>
      <sheetName val="Section_by_layers_old"/>
      <sheetName val="Iuran Nopember 2002"/>
      <sheetName val="H.Satuan"/>
      <sheetName val="ocean voyage"/>
      <sheetName val="SAT-BHN"/>
      <sheetName val="SAP"/>
      <sheetName val="Perm. Test"/>
      <sheetName val="Cash Flow bulanan"/>
      <sheetName val="VA_code"/>
      <sheetName val="7. Comparison of Asphalt etc"/>
      <sheetName val="Du_lieu"/>
      <sheetName val="Factor"/>
      <sheetName val="[Planning&amp;reporting_xlsM9000-A5"/>
      <sheetName val="Running_compatibility_check_?A5"/>
      <sheetName val="Running_compatibility_check__A5"/>
      <sheetName val="Running_compatibility_check__x5"/>
      <sheetName val="List_of_WorkPacks5"/>
      <sheetName val="List_of_Dates5"/>
      <sheetName val="FWBS_codes5"/>
      <sheetName val="STANDARD_DESCRIPTION5"/>
      <sheetName val="STANDARD_DESCRIPTION_-_20150515"/>
      <sheetName val="Drawings_Summary5"/>
      <sheetName val="Instr_Drawing_List5"/>
      <sheetName val="INDEX-Areas_B000,C000,D000,E005"/>
      <sheetName val="STANDARD_DESCRIPTION_201507155"/>
      <sheetName val="DropDown_Selections5"/>
      <sheetName val="A_(2)5"/>
      <sheetName val="Cashflow_Analysis5"/>
      <sheetName val="Structural_Comp5"/>
      <sheetName val="Time_Rates_4"/>
      <sheetName val="Summary_(3)3"/>
      <sheetName val="RRW_Scaff3"/>
      <sheetName val="RRW_Oct-2019-1st_Lot-13-10-193"/>
      <sheetName val="RRW_Oct-2019-2st_Lot-15-10-193"/>
      <sheetName val="JK_Price_sheet3"/>
      <sheetName val="TP_Price_sheet3"/>
      <sheetName val="Phase_1_JK_UTSE3"/>
      <sheetName val="Phase_2_JK_UTSE3"/>
      <sheetName val="Phase_1_and_2_JK_UTSE3"/>
      <sheetName val="Phase_1_TP_UTSE3"/>
      <sheetName val="Phase_2_TP_UTSE3"/>
      <sheetName val="Phase_1_and_2_TP_UTSE3"/>
      <sheetName val="Cash_Flow_(BL)3"/>
      <sheetName val="Cash_Flow_(UTSE)3"/>
      <sheetName val="2_043"/>
      <sheetName val="2_053"/>
      <sheetName val="2_07_&amp;_2_083"/>
      <sheetName val="3_013"/>
      <sheetName val="3_023"/>
      <sheetName val="3_033"/>
      <sheetName val="ecart_Personnel3"/>
      <sheetName val="Ecart_Others3"/>
      <sheetName val="Other_costs3"/>
      <sheetName val="3000_Steel_str3"/>
      <sheetName val="5000_Equipments3"/>
      <sheetName val="6000_Piping3"/>
      <sheetName val="7000_Instrumentation3"/>
      <sheetName val="8000_Electrical3"/>
      <sheetName val="per_supplier3"/>
      <sheetName val="Pivot_ledger3"/>
      <sheetName val="Pivot_ENT3"/>
      <sheetName val="Pivot_MAD3"/>
      <sheetName val="PERHITUNGAN__KEEKONOMIAN3"/>
      <sheetName val="Total_Staff3"/>
      <sheetName val="0__SUMMARY3"/>
      <sheetName val="1__Engineering3"/>
      <sheetName val="2__Check_point3"/>
      <sheetName val="II_Changes_13"/>
      <sheetName val="III_Changes_23"/>
      <sheetName val="Qty_3"/>
      <sheetName val="OQC_Summary3"/>
      <sheetName val="6_Unit_Rates3"/>
      <sheetName val="AEROGEL_CAL3"/>
      <sheetName val="CRYG_THKMM3"/>
      <sheetName val="ITB_REVIEW3"/>
      <sheetName val="SPCS_SUMM_3"/>
      <sheetName val="ESTI__SUMM_3"/>
      <sheetName val="Price_Summary3"/>
      <sheetName val="Acc_Stock-INSUL3"/>
      <sheetName val="97_사업추정(WEKI)3"/>
      <sheetName val="Overall_MTO_-_20191001_(old)3"/>
      <sheetName val="MTO_for_BMBQ3"/>
      <sheetName val="BQ_Reff3"/>
      <sheetName val="Sum_of_Comparison-201910073"/>
      <sheetName val="Joint_No_3"/>
      <sheetName val="Unit_Weight3"/>
      <sheetName val="Detail_PMC3"/>
      <sheetName val="Detail_PMC_(for_full_desc)3"/>
      <sheetName val="Bolt_Size3"/>
      <sheetName val="NDE_Req3"/>
      <sheetName val="Tgh_JGC-Inv_I_clp3"/>
      <sheetName val="PCS_3"/>
      <sheetName val="Progress_Statement-SI3"/>
      <sheetName val="Progress_Payment-31103"/>
      <sheetName val="Manpower_List-13"/>
      <sheetName val="SUMMARY_FOR_DPR3"/>
      <sheetName val="Index_Daily_Alloaction3"/>
      <sheetName val="Manpower_List3"/>
      <sheetName val="A_&amp;_B3"/>
      <sheetName val="Salary_20132"/>
      <sheetName val="INDIRECT_OH&amp;P_2"/>
      <sheetName val="Cable_Schedule2"/>
      <sheetName val="Report_Wizard2"/>
      <sheetName val="Initial_Plan2"/>
      <sheetName val="1_INV1"/>
      <sheetName val="2_Calculation_Sheet1"/>
      <sheetName val="Price_Sheet1"/>
      <sheetName val="3__Progress1"/>
      <sheetName val="4__EDR1"/>
      <sheetName val="DATA-DEP_(13-17)1"/>
      <sheetName val="DATA-GCC(25-34_7)1"/>
      <sheetName val="St_-Con(0-17)1"/>
      <sheetName val="St_-Con_(17-34)1"/>
      <sheetName val="Finansal_tamamlanma_Eğrisi1"/>
      <sheetName val="BOM_SUM1"/>
      <sheetName val="Eng__Boq_-11"/>
      <sheetName val="PFP,TIE_COAT_&amp;_TOP_FLG_PAINTED1"/>
      <sheetName val="Shop_Modifications1"/>
      <sheetName val="JI-2036_-_Preservation1"/>
      <sheetName val="Re-Application_1"/>
      <sheetName val="OLD_(2)1"/>
      <sheetName val="Geotextile_for_geotube1"/>
      <sheetName val="DB-BOLT_SIZE1"/>
      <sheetName val="REQ_LIST1"/>
      <sheetName val="DESC_NEW_PMC1"/>
      <sheetName val="MTO_2020_03_111"/>
      <sheetName val="BQ_2020_03_031"/>
      <sheetName val="MTO_2020_03_03_(VDR)1"/>
      <sheetName val="BQ_2020_03_03_(VDR)1"/>
      <sheetName val="WEIGHT_&amp;_PAINT1"/>
      <sheetName val="FW_JGC1"/>
      <sheetName val="FW_VENDOR1"/>
      <sheetName val="BQ_2020_02_251"/>
      <sheetName val="BM_BOLT_&amp;_NUT1"/>
      <sheetName val="RT_TABLE1"/>
      <sheetName val="BRANCH_&amp;_REDUCING_TABLE1"/>
      <sheetName val="DESC_OLD_PMC1"/>
      <sheetName val="SHORT_CODE_LIST1"/>
      <sheetName val="12_-_MAT'L_CLASSIFIC__FACTORS"/>
      <sheetName val="1_-_PREFAB_STR_STEEL"/>
      <sheetName val="8_-_SKIDS,_VESSELS_&amp;_EQPT"/>
      <sheetName val="5_-_STG_PLANT_-_MISC__ITEMS"/>
      <sheetName val="14_-_HEIGHT_FACTORS"/>
      <sheetName val="10_-_STEAM_TURBINE_PUMPS"/>
      <sheetName val="16_-_ASTM_CS_PIPE_ERECT"/>
      <sheetName val="15_-_ASTM_CS_PIPE_FAB"/>
      <sheetName val="7_-_SAND_BLAST_&amp;_PAINT"/>
      <sheetName val="BOQ_LIST"/>
      <sheetName val="SPT_vs_PHI"/>
      <sheetName val="01-D_PERS"/>
      <sheetName val="VESSELS_"/>
      <sheetName val="L_V_Separator"/>
      <sheetName val="SUM_FSBLT13"/>
      <sheetName val="Overall_Project13"/>
      <sheetName val="Overall_Process13"/>
      <sheetName val="Overall_Utility13"/>
      <sheetName val="FWBS_100013"/>
      <sheetName val="FWBS_200013"/>
      <sheetName val="FWBS_300013"/>
      <sheetName val="FWBS_500013"/>
      <sheetName val="FWBS_600013"/>
      <sheetName val="FWBS_700013"/>
      <sheetName val="FWBS_800013"/>
      <sheetName val="FWBS_900013"/>
      <sheetName val="FWBS_A00013"/>
      <sheetName val="FWBS_B00013"/>
      <sheetName val="FWBS_Z00013"/>
      <sheetName val="Onerous_Terms12"/>
      <sheetName val="INVOICE_CERT_EIV'S12"/>
      <sheetName val="Building_BD12"/>
      <sheetName val="_Sum12"/>
      <sheetName val="실제_도면출도11"/>
      <sheetName val="공사비_내역_(가)11"/>
      <sheetName val="33628-Rev__A11"/>
      <sheetName val="plan&amp;section_of_foundation11"/>
      <sheetName val="design_criteria11"/>
      <sheetName val="w't_table11"/>
      <sheetName val="Progress_Tab11"/>
      <sheetName val="BM_DATA_SHEET11"/>
      <sheetName val="Eq__Mobilization11"/>
      <sheetName val="입찰내역_발주처_양식11"/>
      <sheetName val="REINF_11"/>
      <sheetName val="M_1111"/>
      <sheetName val="PC_CATCH_PIT_1X1X1_2M10"/>
      <sheetName val="PC_CATCH_PIT__6X_6X1_0M10"/>
      <sheetName val="PC_COVER_100MM_THK__95x_310"/>
      <sheetName val="PC_COVER_250MM_THK_2_2x_310"/>
      <sheetName val="member_design10"/>
      <sheetName val="working_load_at_the_btm_ft_10"/>
      <sheetName val="soil_bearing_check10"/>
      <sheetName val="3__GROUNDING_SYSTEM11"/>
      <sheetName val="Concept_Offshore10"/>
      <sheetName val="Chiet_tinh_dz3510"/>
      <sheetName val="Adjusted_Bids10"/>
      <sheetName val="A(Rev_3)10"/>
      <sheetName val="Running_compatibility_check_10"/>
      <sheetName val="[Planning&amp;reporting_xlsM9000-A6"/>
      <sheetName val="Running_compatibility_check_?A6"/>
      <sheetName val="Running_compatibility_check__A6"/>
      <sheetName val="Running_compatibility_check__x6"/>
      <sheetName val="List_of_WorkPacks6"/>
      <sheetName val="List_of_Dates6"/>
      <sheetName val="FWBS_codes6"/>
      <sheetName val="STANDARD_DESCRIPTION6"/>
      <sheetName val="STANDARD_DESCRIPTION_-_20150516"/>
      <sheetName val="Drawings_Summary6"/>
      <sheetName val="Instr_Drawing_List6"/>
      <sheetName val="INDEX-Areas_B000,C000,D000,E006"/>
      <sheetName val="STANDARD_DESCRIPTION_201507156"/>
      <sheetName val="DropDown_Selections6"/>
      <sheetName val="A_(2)6"/>
      <sheetName val="Cashflow_Analysis6"/>
      <sheetName val="WORKSHEET_CS5"/>
      <sheetName val="00-Summary_Information-ABB5"/>
      <sheetName val="Direct_Prices5"/>
      <sheetName val="_Planning&amp;reporting_xlsM9000-A5"/>
      <sheetName val="page_65"/>
      <sheetName val="P-Ins_&amp;_Bonds4"/>
      <sheetName val="P-Site_fac4"/>
      <sheetName val="P-Clients_fac4"/>
      <sheetName val="P_Staff_fac4"/>
      <sheetName val="factor_4"/>
      <sheetName val="Structural_Comp6"/>
      <sheetName val="Rate_Analysis4"/>
      <sheetName val="ITB_COST4"/>
      <sheetName val="19_05_20104"/>
      <sheetName val="Earthworks_ERP4"/>
      <sheetName val="24_06_20104"/>
      <sheetName val="Small_Structures_ERP4"/>
      <sheetName val="Large_Structures_ERP4"/>
      <sheetName val="Tunnelling_ERP4"/>
      <sheetName val="vlookup_-_do_not_print4"/>
      <sheetName val="Civil_Weekly4"/>
      <sheetName val="Time_Rates_5"/>
      <sheetName val="_N_Finansal_Eğri4"/>
      <sheetName val="Pricing_Summary4"/>
      <sheetName val="Net_Cost_-_Final_Base4"/>
      <sheetName val="7_6Net_Cost_Agreed_on_Dec-04_R5"/>
      <sheetName val="Net_Cost_Agreed_on_Dec-04_Rev14"/>
      <sheetName val="7_6_Net_Cost_Agreed_on_Dec-044"/>
      <sheetName val="Net_Cost_Agreed_on_Dec-044"/>
      <sheetName val="Total_for_Check4"/>
      <sheetName val="0_0_Cover4"/>
      <sheetName val="Hoja_34"/>
      <sheetName val="Drop_Down4"/>
      <sheetName val="Source_Data4"/>
      <sheetName val="CAPEX_Categories4"/>
      <sheetName val="Summary_(3)4"/>
      <sheetName val="RRW_Scaff4"/>
      <sheetName val="RRW_Oct-2019-1st_Lot-13-10-194"/>
      <sheetName val="RRW_Oct-2019-2st_Lot-15-10-194"/>
      <sheetName val="Schedule_4"/>
      <sheetName val="Loading_Struc4"/>
      <sheetName val="Loading_Pip4"/>
      <sheetName val="Loading_Overall_(BASE_Proposal4"/>
      <sheetName val="Steel_Structure4"/>
      <sheetName val="PIPING_AG-UG_NEW_UNITS4"/>
      <sheetName val="MEC_PIPING_PREFABR4"/>
      <sheetName val="Working_File-Pip4"/>
      <sheetName val="Equip_ISBL_&amp;_OSBL_4"/>
      <sheetName val="pg_46"/>
      <sheetName val="Subcon_A6"/>
      <sheetName val="bill_25"/>
      <sheetName val="MATERIAL'S_PRICE5"/>
      <sheetName val="JK_Price_sheet4"/>
      <sheetName val="TP_Price_sheet4"/>
      <sheetName val="Phase_1_JK_UTSE4"/>
      <sheetName val="Phase_2_JK_UTSE4"/>
      <sheetName val="Phase_1_and_2_JK_UTSE4"/>
      <sheetName val="Phase_1_TP_UTSE4"/>
      <sheetName val="Phase_2_TP_UTSE4"/>
      <sheetName val="Phase_1_and_2_TP_UTSE4"/>
      <sheetName val="Cash_Flow_(BL)4"/>
      <sheetName val="Cash_Flow_(UTSE)4"/>
      <sheetName val="견적서표지0204-2_(2)4"/>
      <sheetName val="Piping_Spool4"/>
      <sheetName val="Cost_Definition4"/>
      <sheetName val="견적_원가_4"/>
      <sheetName val="2_044"/>
      <sheetName val="2_054"/>
      <sheetName val="2_07_&amp;_2_084"/>
      <sheetName val="3_014"/>
      <sheetName val="3_024"/>
      <sheetName val="3_034"/>
      <sheetName val="ecart_Personnel4"/>
      <sheetName val="Ecart_Others4"/>
      <sheetName val="Other_costs4"/>
      <sheetName val="3000_Steel_str4"/>
      <sheetName val="5000_Equipments4"/>
      <sheetName val="6000_Piping4"/>
      <sheetName val="7000_Instrumentation4"/>
      <sheetName val="8000_Electrical4"/>
      <sheetName val="per_supplier4"/>
      <sheetName val="Pivot_ledger4"/>
      <sheetName val="Pivot_ENT4"/>
      <sheetName val="Pivot_MAD4"/>
      <sheetName val="RFP003_Building_-_B4"/>
      <sheetName val="PERHITUNGAN__KEEKONOMIAN4"/>
      <sheetName val="Total_Staff4"/>
      <sheetName val="0__SUMMARY4"/>
      <sheetName val="1__Engineering4"/>
      <sheetName val="2__Check_point4"/>
      <sheetName val="II_Changes_14"/>
      <sheetName val="III_Changes_24"/>
      <sheetName val="Qty_4"/>
      <sheetName val="OQC_Summary4"/>
      <sheetName val="6_Unit_Rates4"/>
      <sheetName val="AEROGEL_CAL4"/>
      <sheetName val="CRYG_THKMM4"/>
      <sheetName val="ITB_REVIEW4"/>
      <sheetName val="SPCS_SUMM_4"/>
      <sheetName val="ESTI__SUMM_4"/>
      <sheetName val="Price_Summary4"/>
      <sheetName val="Acc_Stock-INSUL4"/>
      <sheetName val="97_사업추정(WEKI)4"/>
      <sheetName val="Overall_MTO_-_20191001_(old)4"/>
      <sheetName val="MTO_for_BMBQ4"/>
      <sheetName val="BQ_Reff4"/>
      <sheetName val="Sum_of_Comparison-201910074"/>
      <sheetName val="Joint_No_4"/>
      <sheetName val="Unit_Weight4"/>
      <sheetName val="Detail_PMC4"/>
      <sheetName val="Detail_PMC_(for_full_desc)4"/>
      <sheetName val="Bolt_Size4"/>
      <sheetName val="NDE_Req4"/>
      <sheetName val="Tgh_JGC-Inv_I_clp4"/>
      <sheetName val="PCS_4"/>
      <sheetName val="Progress_Statement-SI4"/>
      <sheetName val="Progress_Payment-31104"/>
      <sheetName val="Manpower_List-14"/>
      <sheetName val="SUMMARY_FOR_DPR4"/>
      <sheetName val="Index_Daily_Alloaction4"/>
      <sheetName val="Manpower_List4"/>
      <sheetName val="A_&amp;_B4"/>
      <sheetName val="Salary_20133"/>
      <sheetName val="INDIRECT_OH&amp;P_3"/>
      <sheetName val="Cable_Schedule3"/>
      <sheetName val="Report_Wizard3"/>
      <sheetName val="Initial_Plan3"/>
      <sheetName val="1_INV2"/>
      <sheetName val="2_Calculation_Sheet2"/>
      <sheetName val="Price_Sheet2"/>
      <sheetName val="3__Progress2"/>
      <sheetName val="4__EDR2"/>
      <sheetName val="DATA-DEP_(13-17)2"/>
      <sheetName val="DATA-GCC(25-34_7)2"/>
      <sheetName val="St_-Con(0-17)2"/>
      <sheetName val="St_-Con_(17-34)2"/>
      <sheetName val="Finansal_tamamlanma_Eğrisi2"/>
      <sheetName val="BOM_SUM2"/>
      <sheetName val="Eng__Boq_-12"/>
      <sheetName val="PFP,TIE_COAT_&amp;_TOP_FLG_PAINTED2"/>
      <sheetName val="Shop_Modifications2"/>
      <sheetName val="JI-2036_-_Preservation2"/>
      <sheetName val="Re-Application_2"/>
      <sheetName val="OLD_(2)2"/>
      <sheetName val="Geotextile_for_geotube2"/>
      <sheetName val="DB-BOLT_SIZE2"/>
      <sheetName val="REQ_LIST2"/>
      <sheetName val="DESC_NEW_PMC2"/>
      <sheetName val="MTO_2020_03_112"/>
      <sheetName val="BQ_2020_03_032"/>
      <sheetName val="MTO_2020_03_03_(VDR)2"/>
      <sheetName val="BQ_2020_03_03_(VDR)2"/>
      <sheetName val="WEIGHT_&amp;_PAINT2"/>
      <sheetName val="FW_JGC2"/>
      <sheetName val="FW_VENDOR2"/>
      <sheetName val="BQ_2020_02_252"/>
      <sheetName val="BM_BOLT_&amp;_NUT2"/>
      <sheetName val="RT_TABLE2"/>
      <sheetName val="BRANCH_&amp;_REDUCING_TABLE2"/>
      <sheetName val="DESC_OLD_PMC2"/>
      <sheetName val="SHORT_CODE_LIST2"/>
      <sheetName val="개시대사_(2)1"/>
      <sheetName val="Equiv_Length1"/>
      <sheetName val="S-Curve_(Weekly)1"/>
      <sheetName val="Price_Summary_(1)1"/>
      <sheetName val="Price_Summary_(2)1"/>
      <sheetName val="Item#9_31"/>
      <sheetName val="Item#1_91"/>
      <sheetName val="Item#2_61"/>
      <sheetName val="Item#3_81"/>
      <sheetName val="Item#4_101"/>
      <sheetName val="Item#5_81"/>
      <sheetName val="Item#6_71"/>
      <sheetName val="Item#7_211"/>
      <sheetName val="Item#8_71"/>
      <sheetName val="worksheet_inchican1"/>
      <sheetName val="2_2_띠장의_설계1"/>
      <sheetName val="2_223M_due_to_adj_profit1"/>
      <sheetName val="Land_Dev't__Ph-11"/>
      <sheetName val="INTERIOR_WALLS1"/>
      <sheetName val="Material_Price1"/>
      <sheetName val="combined_9-301"/>
      <sheetName val="GESTION_FICHE1"/>
      <sheetName val="TRADUCTION_LISTES1"/>
      <sheetName val="12_-_MAT'L_CLASSIFIC__FACTORS1"/>
      <sheetName val="1_-_PREFAB_STR_STEEL1"/>
      <sheetName val="8_-_SKIDS,_VESSELS_&amp;_EQPT1"/>
      <sheetName val="5_-_STG_PLANT_-_MISC__ITEMS1"/>
      <sheetName val="14_-_HEIGHT_FACTORS1"/>
      <sheetName val="10_-_STEAM_TURBINE_PUMPS1"/>
      <sheetName val="16_-_ASTM_CS_PIPE_ERECT1"/>
      <sheetName val="15_-_ASTM_CS_PIPE_FAB1"/>
      <sheetName val="7_-_SAND_BLAST_&amp;_PAINT1"/>
      <sheetName val="BOQ_LIST1"/>
      <sheetName val="INSULATION_R11"/>
      <sheetName val="SPT_vs_PHI1"/>
      <sheetName val="01-D_PERS1"/>
      <sheetName val="Fig_4-141"/>
      <sheetName val="Fig_5-171"/>
      <sheetName val="OUTER_AREA(겹침없음)1"/>
      <sheetName val="VESSELS_1"/>
      <sheetName val="Table_Rates_Data1"/>
      <sheetName val="L_V_Separator1"/>
      <sheetName val="Prec_OTS1"/>
      <sheetName val="Inert_Balls1"/>
      <sheetName val="Substation_Column"/>
      <sheetName val="IRR_sponsor"/>
      <sheetName val="SOS_PLC_&amp;_Panel"/>
      <sheetName val="Raw_Data"/>
      <sheetName val="Legen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/>
      <sheetData sheetId="246"/>
      <sheetData sheetId="247"/>
      <sheetData sheetId="248" refreshError="1"/>
      <sheetData sheetId="249" refreshError="1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/>
      <sheetData sheetId="351"/>
      <sheetData sheetId="352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 refreshError="1"/>
      <sheetData sheetId="370" refreshError="1"/>
      <sheetData sheetId="371" refreshError="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/>
      <sheetData sheetId="514" refreshError="1"/>
      <sheetData sheetId="515" refreshError="1"/>
      <sheetData sheetId="516"/>
      <sheetData sheetId="517" refreshError="1"/>
      <sheetData sheetId="518"/>
      <sheetData sheetId="519"/>
      <sheetData sheetId="520" refreshError="1"/>
      <sheetData sheetId="521" refreshError="1"/>
      <sheetData sheetId="522" refreshError="1"/>
      <sheetData sheetId="523"/>
      <sheetData sheetId="524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/>
      <sheetData sheetId="533" refreshError="1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 refreshError="1"/>
      <sheetData sheetId="646" refreshError="1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 refreshError="1"/>
      <sheetData sheetId="662"/>
      <sheetData sheetId="663"/>
      <sheetData sheetId="664"/>
      <sheetData sheetId="665"/>
      <sheetData sheetId="666"/>
      <sheetData sheetId="667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/>
      <sheetData sheetId="912"/>
      <sheetData sheetId="913"/>
      <sheetData sheetId="914"/>
      <sheetData sheetId="915"/>
      <sheetData sheetId="916"/>
      <sheetData sheetId="917" refreshError="1"/>
      <sheetData sheetId="918" refreshError="1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/>
      <sheetData sheetId="1079"/>
      <sheetData sheetId="1080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/>
      <sheetData sheetId="1094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/>
      <sheetData sheetId="1619"/>
      <sheetData sheetId="1620"/>
      <sheetData sheetId="1621"/>
      <sheetData sheetId="1622"/>
      <sheetData sheetId="1623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/>
      <sheetData sheetId="1633"/>
      <sheetData sheetId="1634"/>
      <sheetData sheetId="1635"/>
      <sheetData sheetId="1636"/>
      <sheetData sheetId="1637"/>
      <sheetData sheetId="1638"/>
      <sheetData sheetId="1639"/>
      <sheetData sheetId="1640"/>
      <sheetData sheetId="1641"/>
      <sheetData sheetId="1642"/>
      <sheetData sheetId="1643"/>
      <sheetData sheetId="1644"/>
      <sheetData sheetId="1645"/>
      <sheetData sheetId="1646"/>
      <sheetData sheetId="1647"/>
      <sheetData sheetId="1648"/>
      <sheetData sheetId="1649"/>
      <sheetData sheetId="1650"/>
      <sheetData sheetId="1651"/>
      <sheetData sheetId="1652"/>
      <sheetData sheetId="1653"/>
      <sheetData sheetId="1654"/>
      <sheetData sheetId="1655"/>
      <sheetData sheetId="1656"/>
      <sheetData sheetId="1657"/>
      <sheetData sheetId="1658"/>
      <sheetData sheetId="1659"/>
      <sheetData sheetId="1660"/>
      <sheetData sheetId="1661"/>
      <sheetData sheetId="1662"/>
      <sheetData sheetId="1663"/>
      <sheetData sheetId="1664"/>
      <sheetData sheetId="1665"/>
      <sheetData sheetId="1666"/>
      <sheetData sheetId="1667"/>
      <sheetData sheetId="1668"/>
      <sheetData sheetId="1669"/>
      <sheetData sheetId="1670"/>
      <sheetData sheetId="1671"/>
      <sheetData sheetId="1672"/>
      <sheetData sheetId="1673"/>
      <sheetData sheetId="1674"/>
      <sheetData sheetId="1675"/>
      <sheetData sheetId="1676"/>
      <sheetData sheetId="1677"/>
      <sheetData sheetId="1678" refreshError="1"/>
      <sheetData sheetId="1679" refreshError="1"/>
      <sheetData sheetId="1680" refreshError="1"/>
      <sheetData sheetId="1681"/>
      <sheetData sheetId="1682"/>
      <sheetData sheetId="1683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/>
      <sheetData sheetId="1711"/>
      <sheetData sheetId="1712"/>
      <sheetData sheetId="1713"/>
      <sheetData sheetId="1714"/>
      <sheetData sheetId="1715"/>
      <sheetData sheetId="1716"/>
      <sheetData sheetId="1717" refreshError="1"/>
      <sheetData sheetId="1718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/>
      <sheetData sheetId="1859" refreshError="1"/>
      <sheetData sheetId="1860" refreshError="1"/>
      <sheetData sheetId="1861" refreshError="1"/>
      <sheetData sheetId="1862"/>
      <sheetData sheetId="1863"/>
      <sheetData sheetId="1864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/>
      <sheetData sheetId="1871" refreshError="1"/>
      <sheetData sheetId="1872" refreshError="1"/>
      <sheetData sheetId="1873"/>
      <sheetData sheetId="1874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/>
      <sheetData sheetId="2032"/>
      <sheetData sheetId="2033"/>
      <sheetData sheetId="2034"/>
      <sheetData sheetId="2035"/>
      <sheetData sheetId="2036"/>
      <sheetData sheetId="2037"/>
      <sheetData sheetId="2038"/>
      <sheetData sheetId="2039"/>
      <sheetData sheetId="2040"/>
      <sheetData sheetId="2041"/>
      <sheetData sheetId="2042"/>
      <sheetData sheetId="2043"/>
      <sheetData sheetId="2044"/>
      <sheetData sheetId="2045"/>
      <sheetData sheetId="2046"/>
      <sheetData sheetId="2047"/>
      <sheetData sheetId="2048"/>
      <sheetData sheetId="2049"/>
      <sheetData sheetId="2050"/>
      <sheetData sheetId="2051"/>
      <sheetData sheetId="2052"/>
      <sheetData sheetId="2053"/>
      <sheetData sheetId="2054"/>
      <sheetData sheetId="2055"/>
      <sheetData sheetId="2056"/>
      <sheetData sheetId="2057"/>
      <sheetData sheetId="2058"/>
      <sheetData sheetId="2059"/>
      <sheetData sheetId="2060"/>
      <sheetData sheetId="2061"/>
      <sheetData sheetId="2062"/>
      <sheetData sheetId="2063"/>
      <sheetData sheetId="2064"/>
      <sheetData sheetId="2065"/>
      <sheetData sheetId="2066"/>
      <sheetData sheetId="2067"/>
      <sheetData sheetId="2068"/>
      <sheetData sheetId="2069"/>
      <sheetData sheetId="2070"/>
      <sheetData sheetId="2071"/>
      <sheetData sheetId="2072"/>
      <sheetData sheetId="2073"/>
      <sheetData sheetId="2074"/>
      <sheetData sheetId="2075"/>
      <sheetData sheetId="2076"/>
      <sheetData sheetId="2077"/>
      <sheetData sheetId="2078"/>
      <sheetData sheetId="2079"/>
      <sheetData sheetId="2080"/>
      <sheetData sheetId="2081"/>
      <sheetData sheetId="2082"/>
      <sheetData sheetId="2083"/>
      <sheetData sheetId="2084"/>
      <sheetData sheetId="2085"/>
      <sheetData sheetId="2086"/>
      <sheetData sheetId="2087"/>
      <sheetData sheetId="2088"/>
      <sheetData sheetId="2089"/>
      <sheetData sheetId="2090"/>
      <sheetData sheetId="2091"/>
      <sheetData sheetId="2092"/>
      <sheetData sheetId="2093"/>
      <sheetData sheetId="2094"/>
      <sheetData sheetId="2095"/>
      <sheetData sheetId="2096"/>
      <sheetData sheetId="2097"/>
      <sheetData sheetId="2098"/>
      <sheetData sheetId="2099"/>
      <sheetData sheetId="2100"/>
      <sheetData sheetId="2101"/>
      <sheetData sheetId="2102"/>
      <sheetData sheetId="2103"/>
      <sheetData sheetId="2104"/>
      <sheetData sheetId="2105"/>
      <sheetData sheetId="2106"/>
      <sheetData sheetId="2107"/>
      <sheetData sheetId="2108"/>
      <sheetData sheetId="2109"/>
      <sheetData sheetId="2110"/>
      <sheetData sheetId="2111"/>
      <sheetData sheetId="2112"/>
      <sheetData sheetId="2113"/>
      <sheetData sheetId="2114"/>
      <sheetData sheetId="2115"/>
      <sheetData sheetId="2116"/>
      <sheetData sheetId="2117"/>
      <sheetData sheetId="2118"/>
      <sheetData sheetId="2119"/>
      <sheetData sheetId="2120"/>
      <sheetData sheetId="2121"/>
      <sheetData sheetId="2122"/>
      <sheetData sheetId="2123"/>
      <sheetData sheetId="2124"/>
      <sheetData sheetId="2125"/>
      <sheetData sheetId="2126"/>
      <sheetData sheetId="2127"/>
      <sheetData sheetId="2128"/>
      <sheetData sheetId="2129"/>
      <sheetData sheetId="2130"/>
      <sheetData sheetId="2131"/>
      <sheetData sheetId="2132"/>
      <sheetData sheetId="2133"/>
      <sheetData sheetId="2134"/>
      <sheetData sheetId="2135"/>
      <sheetData sheetId="2136"/>
      <sheetData sheetId="2137"/>
      <sheetData sheetId="2138"/>
      <sheetData sheetId="2139"/>
      <sheetData sheetId="2140"/>
      <sheetData sheetId="2141"/>
      <sheetData sheetId="2142"/>
      <sheetData sheetId="2143"/>
      <sheetData sheetId="2144"/>
      <sheetData sheetId="2145"/>
      <sheetData sheetId="2146"/>
      <sheetData sheetId="2147"/>
      <sheetData sheetId="2148"/>
      <sheetData sheetId="2149"/>
      <sheetData sheetId="2150"/>
      <sheetData sheetId="2151"/>
      <sheetData sheetId="2152"/>
      <sheetData sheetId="2153"/>
      <sheetData sheetId="2154"/>
      <sheetData sheetId="2155"/>
      <sheetData sheetId="2156"/>
      <sheetData sheetId="2157"/>
      <sheetData sheetId="2158"/>
      <sheetData sheetId="2159"/>
      <sheetData sheetId="2160"/>
      <sheetData sheetId="2161"/>
      <sheetData sheetId="2162"/>
      <sheetData sheetId="2163"/>
      <sheetData sheetId="2164"/>
      <sheetData sheetId="2165"/>
      <sheetData sheetId="2166"/>
      <sheetData sheetId="2167"/>
      <sheetData sheetId="2168"/>
      <sheetData sheetId="2169"/>
      <sheetData sheetId="2170"/>
      <sheetData sheetId="2171"/>
      <sheetData sheetId="2172"/>
      <sheetData sheetId="2173"/>
      <sheetData sheetId="2174"/>
      <sheetData sheetId="2175"/>
      <sheetData sheetId="2176"/>
      <sheetData sheetId="2177"/>
      <sheetData sheetId="2178"/>
      <sheetData sheetId="2179"/>
      <sheetData sheetId="2180"/>
      <sheetData sheetId="2181"/>
      <sheetData sheetId="2182"/>
      <sheetData sheetId="2183"/>
      <sheetData sheetId="2184"/>
      <sheetData sheetId="2185"/>
      <sheetData sheetId="2186"/>
      <sheetData sheetId="2187"/>
      <sheetData sheetId="2188"/>
      <sheetData sheetId="2189"/>
      <sheetData sheetId="2190"/>
      <sheetData sheetId="2191"/>
      <sheetData sheetId="2192"/>
      <sheetData sheetId="2193"/>
      <sheetData sheetId="2194"/>
      <sheetData sheetId="2195"/>
      <sheetData sheetId="2196"/>
      <sheetData sheetId="2197"/>
      <sheetData sheetId="2198"/>
      <sheetData sheetId="2199"/>
      <sheetData sheetId="2200"/>
      <sheetData sheetId="2201"/>
      <sheetData sheetId="2202"/>
      <sheetData sheetId="2203"/>
      <sheetData sheetId="2204"/>
      <sheetData sheetId="2205"/>
      <sheetData sheetId="2206"/>
      <sheetData sheetId="2207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/>
      <sheetData sheetId="2226"/>
      <sheetData sheetId="2227"/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/>
      <sheetData sheetId="2238"/>
      <sheetData sheetId="2239"/>
      <sheetData sheetId="2240"/>
      <sheetData sheetId="2241"/>
      <sheetData sheetId="2242"/>
      <sheetData sheetId="2243"/>
      <sheetData sheetId="2244"/>
      <sheetData sheetId="2245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/>
      <sheetData sheetId="2258"/>
      <sheetData sheetId="2259"/>
      <sheetData sheetId="2260"/>
      <sheetData sheetId="2261"/>
      <sheetData sheetId="2262"/>
      <sheetData sheetId="2263"/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/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BM"/>
      <sheetName val="DRUM"/>
      <sheetName val="표지"/>
      <sheetName val="EQUIPMENT"/>
      <sheetName val="MAN-Sch"/>
      <sheetName val="HO ENG MH CAL"/>
      <sheetName val="고압수량(철거)"/>
      <sheetName val="h-013211-2"/>
      <sheetName val="INPUT DATA"/>
      <sheetName val="jobhist"/>
      <sheetName val="INSTR"/>
      <sheetName val="공문"/>
      <sheetName val="CAT_5"/>
      <sheetName val="Eq. Mobilization"/>
      <sheetName val="#REF"/>
      <sheetName val="산근"/>
      <sheetName val="DATA"/>
      <sheetName val="7.2세부 부하계산서"/>
      <sheetName val="PRC_BDWN-95"/>
      <sheetName val="Condition"/>
      <sheetName val="DHEQSUPT"/>
      <sheetName val="HO_ENG_MH_CAL"/>
      <sheetName val="7_2세부_부하계산서"/>
      <sheetName val="INPUT_DATA"/>
      <sheetName val="Sheet1"/>
      <sheetName val="parts-V2"/>
      <sheetName val="CASH"/>
      <sheetName val="집계표(OPTION)"/>
      <sheetName val="BQMPALOC"/>
      <sheetName val="대비표"/>
      <sheetName val="내역서"/>
      <sheetName val="Base_Data"/>
      <sheetName val="기계내역서"/>
      <sheetName val="Factor"/>
      <sheetName val=" 갑지"/>
      <sheetName val="운반"/>
      <sheetName val="TDIBM1"/>
      <sheetName val="ITB COST"/>
      <sheetName val="COVER-P"/>
      <sheetName val="CIVIL BOQ"/>
      <sheetName val="RAW COST SUMMARY"/>
      <sheetName val="BLDG BOQ"/>
      <sheetName val="rate analyses"/>
      <sheetName val="EQ Total"/>
      <sheetName val="목표세부명세"/>
      <sheetName val="UG_BOM"/>
      <sheetName val="PBS"/>
      <sheetName val="PRC-SUM"/>
      <sheetName val="costing_CV"/>
      <sheetName val="eq_data"/>
      <sheetName val="PUMP_SHT"/>
      <sheetName val="costing_ESDV"/>
      <sheetName val="costing_FE"/>
      <sheetName val="General_Data"/>
      <sheetName val="costing_Misc"/>
      <sheetName val="costing_MOV"/>
      <sheetName val="costing_Press"/>
      <sheetName val="3004-2"/>
      <sheetName val="_갑지1"/>
      <sheetName val="CAL"/>
      <sheetName val="REINF."/>
      <sheetName val="SKETCH"/>
      <sheetName val="BOQ"/>
      <sheetName val="Total"/>
      <sheetName val="KP1590_E"/>
      <sheetName val="Eq__Mobilization"/>
      <sheetName val="HO_ENG_MH_CAL1"/>
      <sheetName val="INPUT_DATA1"/>
      <sheetName val="Eq__Mobilization1"/>
      <sheetName val="노임 단가"/>
      <sheetName val="DB@Acess"/>
      <sheetName val="Civil"/>
      <sheetName val="TABLE"/>
      <sheetName val="Al-Suwaidi"/>
      <sheetName val="Price Detail"/>
      <sheetName val="M 11"/>
      <sheetName val="PIPING"/>
      <sheetName val="insulation"/>
      <sheetName val="Sheet4"/>
      <sheetName val="PIPE"/>
      <sheetName val="footing"/>
      <sheetName val="Settings"/>
      <sheetName val="DS Oil System"/>
      <sheetName val="7_2세부_부하계산서1"/>
      <sheetName val="LABCOST"/>
      <sheetName val="단가(자재)"/>
      <sheetName val="단가(노임)"/>
      <sheetName val="기초목록"/>
      <sheetName val="BLDG_DCI"/>
      <sheetName val="BLDG_MCI"/>
      <sheetName val="일위대가"/>
      <sheetName val="plan&amp;section of foundation"/>
      <sheetName val="pile bearing capa &amp; arrenge"/>
      <sheetName val="design load"/>
      <sheetName val="working load at the btm ft."/>
      <sheetName val="stability check"/>
      <sheetName val="design criteria"/>
      <sheetName val="갑지"/>
      <sheetName val="PIPE도장"/>
      <sheetName val="2.배관"/>
      <sheetName val="Pjt Data"/>
      <sheetName val="PROCURE"/>
      <sheetName val="PRO_DCI"/>
      <sheetName val="INST_DCI"/>
      <sheetName val="HVAC_DCI"/>
      <sheetName val="PIPE_DCI"/>
      <sheetName val="수량증감대비표"/>
      <sheetName val="수량산출1"/>
      <sheetName val="수량산출2"/>
      <sheetName val="수량산출3"/>
      <sheetName val="수량산출4"/>
      <sheetName val="PIPE (SG)-발수"/>
      <sheetName val="E45(SG)-발수"/>
      <sheetName val="E90(SG)-발수"/>
      <sheetName val="sum"/>
      <sheetName val="_갑지"/>
      <sheetName val="ITB_COST"/>
      <sheetName val="CIVIL_BOQ"/>
      <sheetName val="RAW_COST_SUMMARY"/>
      <sheetName val="BLDG_BOQ"/>
      <sheetName val="rate_analyses"/>
      <sheetName val="lookup"/>
      <sheetName val="calc"/>
      <sheetName val="부표총괄"/>
      <sheetName val="Proposal"/>
      <sheetName val="Code"/>
      <sheetName val="공사비증감"/>
      <sheetName val="AOP Summary-2"/>
      <sheetName val="B"/>
      <sheetName val="CABLE"/>
      <sheetName val="원본"/>
      <sheetName val="도"/>
      <sheetName val="BID"/>
      <sheetName val="cable-data"/>
      <sheetName val="뜃맟뭁돽띿맟?-BLDG"/>
      <sheetName val="금융비용"/>
      <sheetName val="TYPE-B 평균H"/>
      <sheetName val="D-623D"/>
      <sheetName val="TTL"/>
      <sheetName val="Default"/>
      <sheetName val="F4-F7"/>
      <sheetName val="DATA1"/>
      <sheetName val="ANA&amp;DESIGN&amp;REINF ."/>
      <sheetName val="PRIMARY LOAD"/>
      <sheetName val="DIMENSION"/>
      <sheetName val="EXT.CHECK"/>
      <sheetName val="SUMMARY"/>
      <sheetName val="월별"/>
      <sheetName val="Macro"/>
      <sheetName val="Taux"/>
      <sheetName val="공사비예산서(토목분)"/>
      <sheetName val="집계표"/>
      <sheetName val="할증 "/>
      <sheetName val="내역"/>
      <sheetName val="MAN-STD"/>
      <sheetName val="WBS"/>
      <sheetName val="Inst_Type"/>
      <sheetName val="Loop Type"/>
      <sheetName val="OIL SYST DATA SHTS"/>
      <sheetName val="Compressors"/>
      <sheetName val="Prioriry"/>
      <sheetName val="피벗테이블"/>
      <sheetName val="Cash2"/>
      <sheetName val="Z"/>
      <sheetName val="간접비 총괄표"/>
      <sheetName val="95삼성급(본사)"/>
      <sheetName val="연돌일위집계"/>
      <sheetName val="공사비 분석표"/>
      <sheetName val="인사자료총집계"/>
      <sheetName val="LENTH"/>
      <sheetName val="Resource table"/>
      <sheetName val="Invoice (Summary)"/>
      <sheetName val="Invoice (IBL)"/>
      <sheetName val="Invoice (OBL)"/>
      <sheetName val="HO_ENG_MH_CAL2"/>
      <sheetName val="7_2세부_부하계산서2"/>
      <sheetName val="INPUT_DATA2"/>
      <sheetName val="_갑지2"/>
      <sheetName val="EQ_Total"/>
      <sheetName val="CIVIL_BOQ1"/>
      <sheetName val="RAW_COST_SUMMARY1"/>
      <sheetName val="BLDG_BOQ1"/>
      <sheetName val="rate_analyses1"/>
      <sheetName val="Price_Detail"/>
      <sheetName val="DS_Oil_System"/>
      <sheetName val="ITB_COST1"/>
      <sheetName val="노임_단가"/>
      <sheetName val="AOP_Summary-2"/>
      <sheetName val="Pjt_Data"/>
      <sheetName val="plan&amp;section_of_foundation"/>
      <sheetName val="pile_bearing_capa_&amp;_arrenge"/>
      <sheetName val="design_load"/>
      <sheetName val="working_load_at_the_btm_ft_"/>
      <sheetName val="stability_check"/>
      <sheetName val="design_criteria"/>
      <sheetName val="2_배관"/>
      <sheetName val="Import"/>
      <sheetName val="IT-BAT"/>
      <sheetName val="trf(36%)"/>
      <sheetName val="SG"/>
      <sheetName val="MEXICO-C"/>
      <sheetName val="FitOutConfCentre"/>
      <sheetName val="기준"/>
      <sheetName val="금액내역서"/>
      <sheetName val="전기공사"/>
      <sheetName val="Food court "/>
      <sheetName val="무시"/>
      <sheetName val="상반기손익차2총괄"/>
      <sheetName val="9-1차이내역"/>
      <sheetName val="97 사업추정(WEKI)"/>
      <sheetName val="손익차9월2"/>
      <sheetName val="회사99"/>
      <sheetName val="주관사업"/>
      <sheetName val="A"/>
      <sheetName val="노원열병합  건축공사기성내역서"/>
      <sheetName val="K"/>
      <sheetName val="BACK DATA"/>
      <sheetName val="영업소실적"/>
      <sheetName val="TOEC"/>
      <sheetName val="을지"/>
      <sheetName val="세금자료"/>
      <sheetName val="사업부배부A"/>
      <sheetName val="직원동원계획"/>
      <sheetName val="인원계획"/>
      <sheetName val="요약배부"/>
      <sheetName val="수입"/>
      <sheetName val="[TDIBM1.X೺_x0000_ഈ_x0000__x0000__x0000__x0000__x0000_G_MH_CAL"/>
      <sheetName val="말뚝지지력산정"/>
      <sheetName val="골조시행"/>
      <sheetName val="March"/>
      <sheetName val="Inert Balls"/>
      <sheetName val="단면가정"/>
      <sheetName val="설계조건"/>
      <sheetName val="Sheet6"/>
      <sheetName val="inter"/>
      <sheetName val="HO_ENG_MH_CAL3"/>
      <sheetName val="INPUT_DATA3"/>
      <sheetName val="7_2세부_부하계산서3"/>
      <sheetName val="Eq__Mobilization2"/>
      <sheetName val="_갑지3"/>
      <sheetName val="EQ_Total1"/>
      <sheetName val="CIVIL_BOQ2"/>
      <sheetName val="RAW_COST_SUMMARY2"/>
      <sheetName val="BLDG_BOQ2"/>
      <sheetName val="rate_analyses2"/>
      <sheetName val="Price_Detail1"/>
      <sheetName val="ITB_COST2"/>
      <sheetName val="DS_Oil_System1"/>
      <sheetName val="노임_단가1"/>
      <sheetName val="AOP_Summary-21"/>
      <sheetName val="plan&amp;section_of_foundation1"/>
      <sheetName val="pile_bearing_capa_&amp;_arrenge1"/>
      <sheetName val="design_load1"/>
      <sheetName val="working_load_at_the_btm_ft_1"/>
      <sheetName val="stability_check1"/>
      <sheetName val="design_criteria1"/>
      <sheetName val="Pjt_Data1"/>
      <sheetName val="2_배관1"/>
      <sheetName val="M_11"/>
      <sheetName val="PIPE_(SG)-발수"/>
      <sheetName val="TYPE-B_평균H"/>
      <sheetName val="ANA&amp;DESIGN&amp;REINF__"/>
      <sheetName val="PRIMARY_LOAD"/>
      <sheetName val="EXT_CHECK"/>
      <sheetName val="할증_"/>
      <sheetName val="Invoice_(Summary)"/>
      <sheetName val="Invoice_(IBL)"/>
      <sheetName val="Invoice_(OBL)"/>
      <sheetName val="OIL_SYST_DATA_SHTS"/>
      <sheetName val="Loop_Type"/>
      <sheetName val="공사비_분석표"/>
      <sheetName val="Resource_table"/>
      <sheetName val="간접비_총괄표"/>
      <sheetName val="[TDIBM1_X೺ഈG_MH_CAL"/>
      <sheetName val="REINF_"/>
      <sheetName val="Food_court_"/>
      <sheetName val="97_사업추정(WEKI)"/>
      <sheetName val="노원열병합__건축공사기성내역서"/>
      <sheetName val="BACK_DATA"/>
      <sheetName val="SYS_DB"/>
      <sheetName val="실행(1)"/>
      <sheetName val="CB"/>
      <sheetName val="뜃맟뭁돽띿맟_-BLDG"/>
      <sheetName val="3.Breakdown Direct Instrument"/>
      <sheetName val="Inside building Summary"/>
      <sheetName val="BQMP"/>
      <sheetName val="sheet"/>
      <sheetName val="L V Separator"/>
      <sheetName val="intake"/>
      <sheetName val="LEGEND"/>
      <sheetName val="Rate Analysis"/>
      <sheetName val="12CGOU"/>
      <sheetName val="DATE"/>
      <sheetName val="총괄내역서"/>
      <sheetName val="_TDIBM1.X೺"/>
      <sheetName val="Vertical FDN-12"/>
      <sheetName val="Pump FDN-1"/>
      <sheetName val="Horizontal Vessel FDN-1"/>
      <sheetName val="상세내역"/>
      <sheetName val="시간별적산"/>
      <sheetName val="NO.3.PTA PLANT SD COST"/>
      <sheetName val="비교원RD-S"/>
      <sheetName val="9904"/>
      <sheetName val="9908"/>
      <sheetName val="9912"/>
      <sheetName val="9902"/>
      <sheetName val="9901"/>
      <sheetName val="9907"/>
      <sheetName val="9906"/>
      <sheetName val="9903"/>
      <sheetName val="9905"/>
      <sheetName val="9911"/>
      <sheetName val="9910"/>
      <sheetName val="9909"/>
      <sheetName val="STA &amp; SEC"/>
      <sheetName val="GRACE"/>
      <sheetName val="major"/>
      <sheetName val="창고"/>
      <sheetName val="양수장(기계)"/>
      <sheetName val="명판"/>
      <sheetName val="Valve List (Priced)"/>
      <sheetName val="_TDIBM1.X೺_x005f_x0000_ഈ_x005f_x0000__x0000"/>
      <sheetName val="_TDIBM1_X೺ഈG_MH_CAL"/>
      <sheetName val="DESIGN"/>
      <sheetName val="OCT.FDN"/>
      <sheetName val="Sheet2"/>
      <sheetName val="120"/>
      <sheetName val="130"/>
      <sheetName val="100"/>
      <sheetName val="101"/>
      <sheetName val="102"/>
      <sheetName val="103"/>
      <sheetName val="106"/>
      <sheetName val="108"/>
      <sheetName val="109"/>
      <sheetName val="131"/>
      <sheetName val="110"/>
      <sheetName val="111"/>
      <sheetName val="114"/>
      <sheetName val="116"/>
      <sheetName val="132"/>
      <sheetName val="140"/>
      <sheetName val="141"/>
      <sheetName val="142"/>
      <sheetName val="143"/>
      <sheetName val="144"/>
      <sheetName val="145"/>
      <sheetName val="146"/>
      <sheetName val="121"/>
      <sheetName val="147"/>
      <sheetName val="148"/>
      <sheetName val="160"/>
      <sheetName val="164"/>
      <sheetName val="Flaer Area"/>
      <sheetName val="123"/>
      <sheetName val="124"/>
      <sheetName val="125"/>
      <sheetName val="126"/>
      <sheetName val="127"/>
      <sheetName val="128"/>
      <sheetName val="129"/>
      <sheetName val="Tbl 1y 4"/>
      <sheetName val="BELİRLENECEKLER"/>
      <sheetName val="Database"/>
      <sheetName val="wagerate"/>
      <sheetName val="ENG_prog"/>
      <sheetName val="Resource summary"/>
      <sheetName val="bdown"/>
      <sheetName val="CostDB"/>
      <sheetName val="실행자재"/>
      <sheetName val="Resource"/>
      <sheetName val="Break Down"/>
      <sheetName val="BQ"/>
      <sheetName val="RFP002"/>
      <sheetName val="실행산출근거"/>
      <sheetName val="환율"/>
      <sheetName val="TC"/>
      <sheetName val="Overall Status"/>
      <sheetName val=""/>
      <sheetName val="_TDIBM1.X೺_x0000_ഈ_x0000__x0000__x0000__x0000__x0000_G_MH_CAL"/>
      <sheetName val="Kredi Risk Alt_Grup"/>
      <sheetName val="Banka"/>
      <sheetName val="Tür"/>
      <sheetName val="Ana Gruplar"/>
      <sheetName val="ÖdemeTahsilat"/>
      <sheetName val="Kullanıcı"/>
      <sheetName val="Attachment 1"/>
      <sheetName val="Ex Rate"/>
      <sheetName val="[TDIBM1.X೺_x005f_x0000_ഈ_x005f_x0000__x0000"/>
      <sheetName val="B.5_Control Valve"/>
      <sheetName val="코드"/>
      <sheetName val="내"/>
      <sheetName val="Rates"/>
      <sheetName val="A(Rev.3)"/>
      <sheetName val="[TDIBM1.X೺"/>
      <sheetName val="노임"/>
      <sheetName val="CDU (성창) Master"/>
      <sheetName val="activity"/>
      <sheetName val="PROGRESS"/>
      <sheetName val="Currency &amp; Other Cost"/>
      <sheetName val=" Sum"/>
      <sheetName val="_TDIBM1.X೺_x005f_x005f_x005f_x0000_ഈ_x005f_x005f_"/>
      <sheetName val="토목주소"/>
      <sheetName val="프랜트면허"/>
      <sheetName val="투찰"/>
      <sheetName val="HO_ENG_MH_CAL4"/>
      <sheetName val="7_2세부_부하계산서4"/>
      <sheetName val="INPUT_DATA4"/>
      <sheetName val="Eq__Mobilization3"/>
      <sheetName val="_갑지4"/>
      <sheetName val="EQ_Total2"/>
      <sheetName val="CIVIL_BOQ3"/>
      <sheetName val="RAW_COST_SUMMARY3"/>
      <sheetName val="BLDG_BOQ3"/>
      <sheetName val="rate_analyses3"/>
      <sheetName val="ITB_COST3"/>
      <sheetName val="DS_Oil_System2"/>
      <sheetName val="Price_Detail2"/>
      <sheetName val="노임_단가2"/>
      <sheetName val="Pjt_Data2"/>
      <sheetName val="M_111"/>
      <sheetName val="공사비_분석표1"/>
      <sheetName val="plan&amp;section_of_foundation2"/>
      <sheetName val="pile_bearing_capa_&amp;_arrenge2"/>
      <sheetName val="design_load2"/>
      <sheetName val="working_load_at_the_btm_ft_2"/>
      <sheetName val="stability_check2"/>
      <sheetName val="design_criteria2"/>
      <sheetName val="2_배관2"/>
      <sheetName val="AOP_Summary-22"/>
      <sheetName val="PIPE_(SG)-발수1"/>
      <sheetName val="TYPE-B_평균H1"/>
      <sheetName val="ANA&amp;DESIGN&amp;REINF__1"/>
      <sheetName val="PRIMARY_LOAD1"/>
      <sheetName val="EXT_CHECK1"/>
      <sheetName val="OIL_SYST_DATA_SHTS1"/>
      <sheetName val="할증_1"/>
      <sheetName val="Loop_Type1"/>
      <sheetName val="Resource_table1"/>
      <sheetName val="Invoice_(Summary)1"/>
      <sheetName val="Invoice_(IBL)1"/>
      <sheetName val="Invoice_(OBL)1"/>
      <sheetName val="간접비_총괄표1"/>
      <sheetName val="REINF_1"/>
      <sheetName val="Food_court_1"/>
      <sheetName val="97_사업추정(WEKI)1"/>
      <sheetName val="노원열병합__건축공사기성내역서1"/>
      <sheetName val="BACK_DATA1"/>
      <sheetName val=" "/>
      <sheetName val="자바라1"/>
      <sheetName val="해외 연수비용 계산-삭제"/>
      <sheetName val="해외 기술훈련비 (합계)"/>
      <sheetName val="노임단가"/>
      <sheetName val="cwork"/>
      <sheetName val="HO_ENG_MH_CAL5"/>
      <sheetName val="7_2세부_부하계산서5"/>
      <sheetName val="INPUT_DATA5"/>
      <sheetName val="Eq__Mobilization4"/>
      <sheetName val="_갑지5"/>
      <sheetName val="EQ_Total3"/>
      <sheetName val="CIVIL_BOQ4"/>
      <sheetName val="RAW_COST_SUMMARY4"/>
      <sheetName val="BLDG_BOQ4"/>
      <sheetName val="rate_analyses4"/>
      <sheetName val="ITB_COST4"/>
      <sheetName val="DS_Oil_System3"/>
      <sheetName val="Price_Detail3"/>
      <sheetName val="노임_단가3"/>
      <sheetName val="Pjt_Data3"/>
      <sheetName val="M_112"/>
      <sheetName val="공사비_분석표2"/>
      <sheetName val="plan&amp;section_of_foundation3"/>
      <sheetName val="pile_bearing_capa_&amp;_arrenge3"/>
      <sheetName val="design_load3"/>
      <sheetName val="working_load_at_the_btm_ft_3"/>
      <sheetName val="stability_check3"/>
      <sheetName val="design_criteria3"/>
      <sheetName val="2_배관3"/>
      <sheetName val="AOP_Summary-23"/>
      <sheetName val="PIPE_(SG)-발수2"/>
      <sheetName val="TYPE-B_평균H2"/>
      <sheetName val="ANA&amp;DESIGN&amp;REINF__2"/>
      <sheetName val="PRIMARY_LOAD2"/>
      <sheetName val="EXT_CHECK2"/>
      <sheetName val="OIL_SYST_DATA_SHTS2"/>
      <sheetName val="할증_2"/>
      <sheetName val="Loop_Type2"/>
      <sheetName val="Resource_table2"/>
      <sheetName val="Invoice_(Summary)2"/>
      <sheetName val="Invoice_(IBL)2"/>
      <sheetName val="Invoice_(OBL)2"/>
      <sheetName val="간접비_총괄표2"/>
      <sheetName val="REINF_2"/>
      <sheetName val="Food_court_2"/>
      <sheetName val="97_사업추정(WEKI)2"/>
      <sheetName val="노원열병합__건축공사기성내역서2"/>
      <sheetName val="BACK_DATA2"/>
      <sheetName val="노단"/>
      <sheetName val="36단가"/>
      <sheetName val="36수량"/>
      <sheetName val="Eng_Hrs (HO)"/>
      <sheetName val="LOB"/>
      <sheetName val="Rate_Analysis"/>
      <sheetName val="3_Breakdown_Direct_Instrument"/>
      <sheetName val="Inside_building_Summary"/>
      <sheetName val="L_V_Separator"/>
      <sheetName val="_TDIBM1_X೺"/>
      <sheetName val="Vertical_FDN-12"/>
      <sheetName val="Pump_FDN-1"/>
      <sheetName val="Horizontal_Vessel_FDN-1"/>
      <sheetName val="NO_3_PTA_PLANT_SD_COST"/>
      <sheetName val="STA_&amp;_SEC"/>
      <sheetName val="_TDIBM1_X೺_x005f_x0000_ഈ_x005f_x0000__x0000"/>
      <sheetName val="OCT_FDN"/>
      <sheetName val="Valve_List_(Priced)"/>
      <sheetName val="Flaer_Area"/>
      <sheetName val="Tbl_1y_4"/>
      <sheetName val="[TDIBM1_X೺"/>
      <sheetName val="Resource_summary"/>
      <sheetName val="Break_Down"/>
      <sheetName val="Inert_Balls"/>
      <sheetName val="CDU_(성창)_Master"/>
      <sheetName val="Overall_Status"/>
      <sheetName val="[TDIBM1_X೺_x005f_x0000_ഈ_x005f_x0000__x0000"/>
      <sheetName val="_TDIBM1_X೺_x005f_x005f_x005f_x0000_ഈ_x005f_x005f_"/>
      <sheetName val="Kredi_Risk_Alt_Grup"/>
      <sheetName val="Ana_Gruplar"/>
      <sheetName val="Attachment_1"/>
      <sheetName val="Ex_Rate"/>
      <sheetName val="B_5_Control_Valve"/>
      <sheetName val="해외_연수비용_계산-삭제"/>
      <sheetName val="해외_기술훈련비_(합계)"/>
      <sheetName val="A(Rev_3)"/>
      <sheetName val="토목 Utility Schedule (2)"/>
      <sheetName val="단중"/>
      <sheetName val="품셈표"/>
      <sheetName val="Consumables"/>
      <sheetName val="주행"/>
      <sheetName val="choose"/>
      <sheetName val="spc 배관견적"/>
      <sheetName val="받은드럼"/>
      <sheetName val="드럼확인 배출"/>
      <sheetName val="pulling"/>
      <sheetName val="NGLE_PLANT"/>
      <sheetName val="Sheet3"/>
      <sheetName val="편집"/>
      <sheetName val="JB 명판인쇄"/>
      <sheetName val="IDB루트"/>
      <sheetName val="덕트뱅크 (2)"/>
      <sheetName val="플링 갑지"/>
      <sheetName val="JB 명판"/>
      <sheetName val="케이블마킹"/>
      <sheetName val="마킹표"/>
      <sheetName val="Benchmark"/>
      <sheetName val="00-Summary Information-ABB"/>
      <sheetName val="현장관리비 산출내역"/>
      <sheetName val="Sheeta"/>
      <sheetName val="Units+rev"/>
      <sheetName val="드럼 확인용"/>
      <sheetName val="01 09 CODE"/>
      <sheetName val="유림콘도"/>
      <sheetName val="철거산출근거"/>
      <sheetName val="자재단가"/>
      <sheetName val="48일위"/>
      <sheetName val="48수량"/>
      <sheetName val="22수량"/>
      <sheetName val="49일위"/>
      <sheetName val="22일위"/>
      <sheetName val="49수량"/>
      <sheetName val="입찰안"/>
      <sheetName val="списки"/>
      <sheetName val="Лист2"/>
      <sheetName val="Quotation"/>
      <sheetName val="Plan Early Date"/>
      <sheetName val="Utility and Fire flange"/>
      <sheetName val="InstrumentType"/>
      <sheetName val="UnitNumber"/>
      <sheetName val="TypicalNo"/>
      <sheetName val="Misc"/>
      <sheetName val="SignalType"/>
      <sheetName val="IOType"/>
      <sheetName val="Qty"/>
      <sheetName val="Variable"/>
      <sheetName val="Status"/>
      <sheetName val="SystemType"/>
      <sheetName val="InstrumentLocation"/>
      <sheetName val="EE-PROP"/>
      <sheetName val="_TDIBM1.X೺_x0000_ഈ_x0000__x0000"/>
      <sheetName val="_TDIBM1.X೺_x005f_x0000_ഈ_"/>
      <sheetName val="_TDIBM1.X೺_x005f_x005f_x0"/>
      <sheetName val="영업2"/>
      <sheetName val="영업3"/>
      <sheetName val="입찰내역 발주처 양식"/>
      <sheetName val="토공"/>
      <sheetName val="Contents"/>
      <sheetName val="Table-Dont Delete"/>
      <sheetName val="SPT vs PHI"/>
      <sheetName val="J"/>
      <sheetName val="L"/>
      <sheetName val="토목_Utility_Schedule_(2)"/>
      <sheetName val="_"/>
      <sheetName val="Instrument 구분 체계"/>
      <sheetName val="取费表"/>
      <sheetName val="合成単価作成表-BLDG"/>
      <sheetName val="BSPL"/>
      <sheetName val="[TDIBM1.X೺_x005f_x005f_x005f_x0000_ഈ_x005f_x005f_"/>
      <sheetName val="_TDIBM1.X೺_x005f_x005f_x005f_x005f_x005f_x005f_x0"/>
      <sheetName val="견"/>
      <sheetName val="6"/>
      <sheetName val="X17-TOTAL"/>
      <sheetName val="LinerWt"/>
      <sheetName val="율적용"/>
      <sheetName val="6PILE  (돌출)"/>
      <sheetName val="BREAKDOWN(철거설치)"/>
      <sheetName val="HX"/>
      <sheetName val="HO_ENG_MH_CAL6"/>
      <sheetName val="7_2세부_부하계산서6"/>
      <sheetName val="INPUT_DATA6"/>
      <sheetName val="Eq__Mobilization5"/>
      <sheetName val="_갑지6"/>
      <sheetName val="EQ_Total4"/>
      <sheetName val="CIVIL_BOQ5"/>
      <sheetName val="RAW_COST_SUMMARY5"/>
      <sheetName val="BLDG_BOQ5"/>
      <sheetName val="rate_analyses5"/>
      <sheetName val="DS_Oil_System4"/>
      <sheetName val="ITB_COST5"/>
      <sheetName val="Price_Detail4"/>
      <sheetName val="노임_단가4"/>
      <sheetName val="Pjt_Data4"/>
      <sheetName val="plan&amp;section_of_foundation4"/>
      <sheetName val="pile_bearing_capa_&amp;_arrenge4"/>
      <sheetName val="design_load4"/>
      <sheetName val="working_load_at_the_btm_ft_4"/>
      <sheetName val="stability_check4"/>
      <sheetName val="design_criteria4"/>
      <sheetName val="AOP_Summary-24"/>
      <sheetName val="2_배관4"/>
      <sheetName val="M_113"/>
      <sheetName val="TYPE-B_평균H3"/>
      <sheetName val="PIPE_(SG)-발수3"/>
      <sheetName val="ANA&amp;DESIGN&amp;REINF__3"/>
      <sheetName val="PRIMARY_LOAD3"/>
      <sheetName val="EXT_CHECK3"/>
      <sheetName val="할증_3"/>
      <sheetName val="OIL_SYST_DATA_SHTS3"/>
      <sheetName val="Loop_Type3"/>
      <sheetName val="Invoice_(Summary)3"/>
      <sheetName val="Invoice_(IBL)3"/>
      <sheetName val="Invoice_(OBL)3"/>
      <sheetName val="Resource_table3"/>
      <sheetName val="공사비_분석표3"/>
      <sheetName val="간접비_총괄표3"/>
      <sheetName val="REINF_3"/>
      <sheetName val="Food_court_3"/>
      <sheetName val="97_사업추정(WEKI)3"/>
      <sheetName val="노원열병합__건축공사기성내역서3"/>
      <sheetName val="BACK_DATA3"/>
      <sheetName val="_TDIBM1_X೺1"/>
      <sheetName val="L_V_Separator1"/>
      <sheetName val="3_Breakdown_Direct_Instrument1"/>
      <sheetName val="Inside_building_Summary1"/>
      <sheetName val="Rate_Analysis1"/>
      <sheetName val="Vertical_FDN-121"/>
      <sheetName val="Pump_FDN-11"/>
      <sheetName val="Horizontal_Vessel_FDN-11"/>
      <sheetName val="NO_3_PTA_PLANT_SD_COST1"/>
      <sheetName val="STA_&amp;_SEC1"/>
      <sheetName val="Flaer_Area1"/>
      <sheetName val="Resource_summary1"/>
      <sheetName val="Break_Down1"/>
      <sheetName val="Overall_Status1"/>
      <sheetName val="Valve_List_(Priced)1"/>
      <sheetName val="_TDIBM1_X೺_x005f_x0000_ഈ_x005f_x0000__x0001"/>
      <sheetName val="OCT_FDN1"/>
      <sheetName val="Tbl_1y_41"/>
      <sheetName val="Inert_Balls1"/>
      <sheetName val="Kredi_Risk_Alt_Grup1"/>
      <sheetName val="Ana_Gruplar1"/>
      <sheetName val="Attachment_11"/>
      <sheetName val="Ex_Rate1"/>
      <sheetName val="[TDIBM1_X೺_x005f_x0000_ഈ_x005f_x0000__x0001"/>
      <sheetName val="B_5_Control_Valve1"/>
      <sheetName val="A(Rev_3)1"/>
      <sheetName val="[TDIBM1_X೺1"/>
      <sheetName val="CDU_(성창)_Master1"/>
      <sheetName val="_TDIBM1_X೺_x005f_x005f_x005f_x0000_ഈ_x005f1"/>
      <sheetName val="해외_연수비용_계산-삭제1"/>
      <sheetName val="해외_기술훈련비_(합계)1"/>
      <sheetName val="Eng_Hrs_(HO)"/>
      <sheetName val="[TDIBM1.X೺_x0000_ഈ_x0000__x0000"/>
      <sheetName val="_TDIBM1.X೺_x0000_ഈ_"/>
      <sheetName val="_TDIBM1.X೺_x0"/>
      <sheetName val="Currency_&amp;_Other_Cost"/>
      <sheetName val="_Sum"/>
      <sheetName val="CAT.1"/>
      <sheetName val="RFP003A"/>
      <sheetName val="RFP003B"/>
      <sheetName val="RFP003C"/>
      <sheetName val="RFP003E"/>
      <sheetName val="RFP003F"/>
      <sheetName val="SW-TEO"/>
      <sheetName val="spc_배관견적"/>
      <sheetName val="현장관리비_산출내역"/>
      <sheetName val="입찰내역_발주처_양식"/>
      <sheetName val="드럼확인_배출"/>
      <sheetName val="JB_명판인쇄"/>
      <sheetName val="덕트뱅크_(2)"/>
      <sheetName val="플링_갑지"/>
      <sheetName val="JB_명판"/>
      <sheetName val="드럼_확인용"/>
      <sheetName val="01_09_CODE"/>
      <sheetName val="DIAINCH"/>
      <sheetName val="SCH B"/>
      <sheetName val="세부내역"/>
      <sheetName val="RFP003D"/>
      <sheetName val="TRNS-C1"/>
      <sheetName val="UNIT 3"/>
      <sheetName val="表三甲"/>
      <sheetName val="공사비SUM"/>
      <sheetName val="PLAGCoct03"/>
      <sheetName val="2-1-1) Zone &amp; Margin"/>
      <sheetName val="2"/>
      <sheetName val="개시대사 (2)"/>
      <sheetName val="PRO_A"/>
      <sheetName val="ELEC_MCI"/>
      <sheetName val="Main"/>
      <sheetName val="INST_MCI"/>
      <sheetName val="MECH_MCI"/>
      <sheetName val="PRO"/>
      <sheetName val="표준작업"/>
      <sheetName val="직종"/>
      <sheetName val="DPT"/>
      <sheetName val="PERLITE"/>
      <sheetName val="MTO"/>
      <sheetName val="INNER TANK"/>
      <sheetName val="Codes,..."/>
      <sheetName val="DATA_DRAWING"/>
      <sheetName val="INNER TANK SEISMIC"/>
      <sheetName val="MATERIALS"/>
      <sheetName val="IPE"/>
      <sheetName val="GENERALITY"/>
      <sheetName val="Data_Sheet"/>
      <sheetName val="sh4"/>
      <sheetName val="_TDIBM1_X೺_x0000_ഈ_x0000__x0000"/>
      <sheetName val="[TDIBM1_X೺_x0000_ഈ_x0000__x0000"/>
      <sheetName val="_TDIBM1_X೺_x005f_x0000_ഈ_"/>
      <sheetName val="_TDIBM1_X೺_x0000_ഈ_"/>
      <sheetName val="3.공통공사대비"/>
      <sheetName val="건축내역"/>
      <sheetName val="토목내역"/>
      <sheetName val="실행"/>
      <sheetName val="IDC-Sum"/>
      <sheetName val="data2"/>
      <sheetName val="2. 전력간선공사"/>
      <sheetName val="bldg list"/>
      <sheetName val="MTP"/>
      <sheetName val="MTP1"/>
      <sheetName val="당진1,2호기전선관설치및접지4차공사내역서-을지"/>
      <sheetName val="Chiet tinh dz35"/>
      <sheetName val="CTEMCOST"/>
      <sheetName val="ESCON"/>
      <sheetName val="C_d"/>
      <sheetName val="차액보증"/>
      <sheetName val=" WWT 설비 Remote IO 추가건 (2013.02."/>
      <sheetName val="Cost"/>
      <sheetName val="e-GAP Summary"/>
      <sheetName val="간접비내역-1"/>
      <sheetName val="ANAL.BOW"/>
      <sheetName val="갑지 1회"/>
      <sheetName val="표지1회"/>
      <sheetName val="18.07"/>
      <sheetName val="갑지 2회"/>
      <sheetName val="표지2회"/>
      <sheetName val="18.08"/>
      <sheetName val="갑지 3회"/>
      <sheetName val="표지3회"/>
      <sheetName val="18.09"/>
      <sheetName val="갑지 4회"/>
      <sheetName val="표지4회"/>
      <sheetName val="18.10"/>
      <sheetName val="갑지 5회"/>
      <sheetName val="표지5회"/>
      <sheetName val="18.11"/>
      <sheetName val="갑지 6회"/>
      <sheetName val="표지6회"/>
      <sheetName val="18.12"/>
      <sheetName val="갑지 7회"/>
      <sheetName val="표지7회"/>
      <sheetName val="19.01"/>
      <sheetName val="갑지 8회"/>
      <sheetName val="표지8회"/>
      <sheetName val="19.02"/>
      <sheetName val="갑지 9회"/>
      <sheetName val="표지 9회"/>
      <sheetName val="19.03"/>
      <sheetName val="갑지 10회"/>
      <sheetName val="표지 10회"/>
      <sheetName val="19.04"/>
      <sheetName val="갑지 11회"/>
      <sheetName val="표지 11회"/>
      <sheetName val="19.05"/>
      <sheetName val="갑지 12회"/>
      <sheetName val="표지 12회"/>
      <sheetName val="19.06"/>
      <sheetName val="갑지 13회"/>
      <sheetName val="표지 13회"/>
      <sheetName val="19.07"/>
      <sheetName val="갑지 14회"/>
      <sheetName val="표지 14회"/>
      <sheetName val="19.08"/>
      <sheetName val="갑지 15회"/>
      <sheetName val="표지 15회"/>
      <sheetName val="19.09"/>
      <sheetName val="Submission - Price Summary"/>
      <sheetName val="Subb-Manpower &amp; Equiptment Plan"/>
      <sheetName val="Price Summary REF"/>
      <sheetName val="Working"/>
      <sheetName val="Optional Working"/>
      <sheetName val="Indirect"/>
      <sheetName val="Equip Cost"/>
      <sheetName val="E &amp; I Rates"/>
      <sheetName val="E&amp;I CC"/>
      <sheetName val="PPT Input"/>
      <sheetName val="Org Chart"/>
      <sheetName val="Indirect MP"/>
      <sheetName val="Direct MP"/>
      <sheetName val="Manpower cost"/>
      <sheetName val="Schedule"/>
      <sheetName val="Scafolding"/>
      <sheetName val="Register"/>
      <sheetName val="XZLC003_PART1"/>
      <sheetName val="[TDIBM1.X೺?ഈ?????G_MH_CAL"/>
      <sheetName val="_TDIBM1.X೺?ഈ?????G_MH_CAL"/>
      <sheetName val="CAL1"/>
      <sheetName val="Sheet9"/>
      <sheetName val="발전기"/>
      <sheetName val="간선"/>
      <sheetName val="Sheet10"/>
      <sheetName val="전기자료"/>
      <sheetName val="Sheet14"/>
      <sheetName val="Sheet13"/>
      <sheetName val="_TDIBM1_X೺_x005f_x005f_x0"/>
      <sheetName val="Currency Rate"/>
      <sheetName val="WEMS export"/>
      <sheetName val="PID DATA"/>
      <sheetName val="GeneralFeedDevices_Labels"/>
      <sheetName val="CalmingSection_Labels"/>
      <sheetName val="Welcome"/>
      <sheetName val="Addendum No.1 BILL 2"/>
      <sheetName val="품셈"/>
      <sheetName val="RefG"/>
      <sheetName val="IRR sponsor"/>
      <sheetName val="CIM"/>
      <sheetName val="0000"/>
      <sheetName val="EQ USED (CORRECTED)"/>
      <sheetName val="Curves"/>
      <sheetName val="Note"/>
      <sheetName val="Heads"/>
      <sheetName val="Dbase"/>
      <sheetName val="Tables"/>
      <sheetName val="Page 2"/>
      <sheetName val="4. Fuel Gas Consumption(201029)"/>
      <sheetName val="具志川H社"/>
      <sheetName val="입출재고현황 (2)"/>
      <sheetName val="검사조서"/>
      <sheetName val="제경비비교"/>
      <sheetName val="공사대금지급요청서"/>
      <sheetName val="지분별 기성금"/>
      <sheetName val="개산급(서울)"/>
      <sheetName val="시기"/>
      <sheetName val="분석"/>
      <sheetName val="총내"/>
      <sheetName val="총원"/>
      <sheetName val="건원"/>
      <sheetName val="건집"/>
      <sheetName val="건내"/>
      <sheetName val="타설현황"/>
      <sheetName val="레미콘"/>
      <sheetName val="방수"/>
      <sheetName val="견출"/>
      <sheetName val="갱폼,AL폼"/>
      <sheetName val="단열재(골조)"/>
      <sheetName val="단열재(수장)"/>
      <sheetName val="경량벽체"/>
      <sheetName val="천정"/>
      <sheetName val="조적"/>
      <sheetName val="도배 및 수장"/>
      <sheetName val="미장"/>
      <sheetName val="타일"/>
      <sheetName val="도장"/>
      <sheetName val="유리"/>
      <sheetName val="PL창호"/>
      <sheetName val="지붕"/>
      <sheetName val="발코니난간대"/>
      <sheetName val="목창호"/>
      <sheetName val="석공사"/>
      <sheetName val="금속창호"/>
      <sheetName val="시스템가구"/>
      <sheetName val="일반가구"/>
      <sheetName val="엘리베이터"/>
      <sheetName val="토원"/>
      <sheetName val="토집"/>
      <sheetName val="토내"/>
      <sheetName val="개산급적용내역"/>
      <sheetName val="방침결정내역"/>
      <sheetName val="오수집계표"/>
      <sheetName val="우수집계표"/>
      <sheetName val="자재반입현황"/>
      <sheetName val="기원"/>
      <sheetName val="기집"/>
      <sheetName val="기내"/>
      <sheetName val="증빙서류"/>
      <sheetName val="타설현황 및 이중관(03월)"/>
      <sheetName val="급수급탕,난방 입상배관(03월)"/>
      <sheetName val="급수급탕,난방 입상배관 보온(03월)"/>
      <sheetName val="상트랩설치(03월)"/>
      <sheetName val="급수 입상배관 열선(03월)"/>
      <sheetName val="양변기설치(03월)"/>
      <sheetName val="세면기설치(03월)"/>
      <sheetName val="샤워수전설치(03월)"/>
      <sheetName val="싱크수전설치(03월)"/>
      <sheetName val="절수기설치(03월)"/>
      <sheetName val="슬라이딩형수납장(03월)"/>
      <sheetName val="슬라이딩형수납장 도어(03월)"/>
      <sheetName val="가스쿡탑(03월)"/>
      <sheetName val="레인지후드(03월)"/>
      <sheetName val="악세사리설치(03월)"/>
      <sheetName val="냉온수계량기,감압밸브설치(03월)"/>
      <sheetName val="열량계,유량제어밸브설치(03월)"/>
      <sheetName val="세대발코니 입상(03월)"/>
      <sheetName val="화장실 배기휀설치(03월)"/>
      <sheetName val="욕조설치(03월)"/>
      <sheetName val="건식AD(03월)"/>
      <sheetName val="후렉시블(03월)"/>
      <sheetName val="화장실 방화댐퍼(03월)"/>
      <sheetName val="주방 방화댐퍼(03월)"/>
      <sheetName val="오배수입상(03월)"/>
      <sheetName val="주방 정풍량 댐퍼 및 덕트 설치(03월)"/>
      <sheetName val="세대오배수배관(03월)"/>
      <sheetName val="난방분배기(03월)"/>
      <sheetName val=" 난방코일(03월)"/>
      <sheetName val="동지하주철(03월)"/>
      <sheetName val="동지하위생(03월)"/>
      <sheetName val="세대SP(03월)"/>
      <sheetName val="소방입상(03월)"/>
      <sheetName val="소방입상보온(03월)"/>
      <sheetName val="소방입상배관 열선(03월)"/>
      <sheetName val="폴리우레탄호스(03월)"/>
      <sheetName val="제연댐퍼(03월)"/>
      <sheetName val="세대환기(03월)"/>
      <sheetName val="세대환기디퓨져(03월)"/>
      <sheetName val="세대환기후렉시블(03월)"/>
      <sheetName val="세대환기장비(03월)"/>
      <sheetName val="상.하부후레임(03월)"/>
      <sheetName val="건식PD 전면판(03월)"/>
      <sheetName val="1206-GMP-Data"/>
      <sheetName val="생산현황"/>
      <sheetName val="F-TOTAL"/>
      <sheetName val="실행철강하도"/>
      <sheetName val="결과"/>
      <sheetName val="Capa Ref GMP"/>
      <sheetName val="D 5243-ARAMCO"/>
      <sheetName val="D-4801 OXY"/>
      <sheetName val="EQUIP LIST"/>
      <sheetName val="VAT TU DIEN"/>
      <sheetName val="SILICATE"/>
      <sheetName val="Conduit_Size선정"/>
      <sheetName val="CT Thang Mo"/>
      <sheetName val="CT  PL"/>
      <sheetName val="Equipment Cost"/>
      <sheetName val="VS P-Q"/>
      <sheetName val="PAD TR보호대기초"/>
      <sheetName val="가로등기초"/>
      <sheetName val="HANDHOLE(2)"/>
      <sheetName val="1.자금요약"/>
      <sheetName val="2.실행비투입"/>
      <sheetName val="3.본사집계"/>
      <sheetName val="3-1.본사투입"/>
      <sheetName val="4.지사집계"/>
      <sheetName val="4-1.지사투입"/>
      <sheetName val="5.현장총집계"/>
      <sheetName val="5-1.현금집계"/>
      <sheetName val="5-2.현금출납"/>
      <sheetName val="5-3.외상집계"/>
      <sheetName val="5-4.외상투입"/>
      <sheetName val="6.미지급금"/>
      <sheetName val="5-5.기타공제집계"/>
      <sheetName val="5-6.기타공제"/>
      <sheetName val="7.기성현황(실)"/>
      <sheetName val="8.한국인수당"/>
      <sheetName val="8.한국인수당 (Master file)"/>
      <sheetName val="9.기타수입"/>
      <sheetName val="10.투입집계"/>
      <sheetName val="(참고)CashFlow"/>
      <sheetName val="(참고)기성대투입"/>
      <sheetName val="(참고)기타공제"/>
      <sheetName val="(참고)미지급금"/>
      <sheetName val="5-4.외상투입 (2)"/>
      <sheetName val="16.기성현황(예)"/>
      <sheetName val="17.자금요약2"/>
      <sheetName val="18.실행대비투입2"/>
      <sheetName val="설명서"/>
      <sheetName val="Malaysia incl. RET"/>
      <sheetName val="BW"/>
      <sheetName val="#¡REF"/>
      <sheetName val="Tag Equip Value"/>
      <sheetName val="October 2020"/>
      <sheetName val="공정집계_국별"/>
      <sheetName val="결과조달"/>
      <sheetName val="경상비"/>
      <sheetName val="WORK"/>
      <sheetName val="일반공사"/>
      <sheetName val="공사개요"/>
      <sheetName val="도급내역"/>
      <sheetName val="연결임시"/>
      <sheetName val="구조물공"/>
      <sheetName val="투찰추정"/>
      <sheetName val="부대공"/>
      <sheetName val="도급금액"/>
      <sheetName val="재노경"/>
      <sheetName val="배수공"/>
      <sheetName val="일위대가(1)"/>
      <sheetName val="원가계산서"/>
      <sheetName val="총공사내역서"/>
      <sheetName val="도급"/>
      <sheetName val="포장공"/>
      <sheetName val="AC포장수량"/>
      <sheetName val="9. 콘덴서"/>
      <sheetName val="HO_ENG_MH_CAL7"/>
      <sheetName val="INPUT_DATA7"/>
      <sheetName val="7_2세부_부하계산서7"/>
      <sheetName val="Eq__Mobilization6"/>
      <sheetName val="_갑지7"/>
      <sheetName val="EQ_Total5"/>
      <sheetName val="CIVIL_BOQ6"/>
      <sheetName val="RAW_COST_SUMMARY6"/>
      <sheetName val="BLDG_BOQ6"/>
      <sheetName val="rate_analyses6"/>
      <sheetName val="ITB_COST6"/>
      <sheetName val="Price_Detail5"/>
      <sheetName val="DS_Oil_System5"/>
      <sheetName val="노임_단가5"/>
      <sheetName val="plan&amp;section_of_foundation5"/>
      <sheetName val="pile_bearing_capa_&amp;_arrenge5"/>
      <sheetName val="design_load5"/>
      <sheetName val="working_load_at_the_btm_ft_5"/>
      <sheetName val="stability_check5"/>
      <sheetName val="design_criteria5"/>
      <sheetName val="2_배관5"/>
      <sheetName val="Pjt_Data5"/>
      <sheetName val="AOP_Summary-25"/>
      <sheetName val="M_114"/>
      <sheetName val="TYPE-B_평균H4"/>
      <sheetName val="PIPE_(SG)-발수4"/>
      <sheetName val="ANA&amp;DESIGN&amp;REINF__4"/>
      <sheetName val="PRIMARY_LOAD4"/>
      <sheetName val="EXT_CHECK4"/>
      <sheetName val="OIL_SYST_DATA_SHTS4"/>
      <sheetName val="할증_4"/>
      <sheetName val="Loop_Type4"/>
      <sheetName val="Resource_table4"/>
      <sheetName val="공사비_분석표4"/>
      <sheetName val="간접비_총괄표4"/>
      <sheetName val="REINF_4"/>
      <sheetName val="Invoice_(Summary)4"/>
      <sheetName val="Invoice_(IBL)4"/>
      <sheetName val="Invoice_(OBL)4"/>
      <sheetName val="Food_court_4"/>
      <sheetName val="97_사업추정(WEKI)4"/>
      <sheetName val="노원열병합__건축공사기성내역서4"/>
      <sheetName val="BACK_DATA4"/>
      <sheetName val="3_Breakdown_Direct_Instrument2"/>
      <sheetName val="Inside_building_Summary2"/>
      <sheetName val="Rate_Analysis2"/>
      <sheetName val="L_V_Separator2"/>
      <sheetName val="Kredi_Risk_Alt_Grup2"/>
      <sheetName val="Ana_Gruplar2"/>
      <sheetName val="Attachment_12"/>
      <sheetName val="Ex_Rate2"/>
      <sheetName val="[TDIBM1_X೺_x005f_x0000_ഈ_x005f_x0000__x0002"/>
      <sheetName val="Vertical_FDN-122"/>
      <sheetName val="Pump_FDN-12"/>
      <sheetName val="Horizontal_Vessel_FDN-12"/>
      <sheetName val="B_5_Control_Valve2"/>
      <sheetName val="Overall_Status2"/>
      <sheetName val="Resource_summary2"/>
      <sheetName val="Break_Down2"/>
      <sheetName val="_TDIBM1_X೺2"/>
      <sheetName val="NO_3_PTA_PLANT_SD_COST2"/>
      <sheetName val="STA_&amp;_SEC2"/>
      <sheetName val="_TDIBM1_X೺_x005f_x0000_ഈ_x005f_x0000__x0002"/>
      <sheetName val="OCT_FDN2"/>
      <sheetName val="Flaer_Area2"/>
      <sheetName val="Valve_List_(Priced)2"/>
      <sheetName val="Tbl_1y_42"/>
      <sheetName val="Inert_Balls2"/>
      <sheetName val="[TDIBM1_X೺2"/>
      <sheetName val="CDU_(성창)_Master2"/>
      <sheetName val="A(Rev_3)2"/>
      <sheetName val="_1"/>
      <sheetName val="_TDIBM1_X೺_x005f_x005f_x005f_x0000_ഈ_x005f2"/>
      <sheetName val="해외_연수비용_계산-삭제2"/>
      <sheetName val="해외_기술훈련비_(합계)2"/>
      <sheetName val="토목_Utility_Schedule_(2)1"/>
      <sheetName val="Eng_Hrs_(HO)1"/>
      <sheetName val="현장관리비_산출내역1"/>
      <sheetName val="Currency_&amp;_Other_Cost1"/>
      <sheetName val="_Sum1"/>
      <sheetName val="spc_배관견적1"/>
      <sheetName val="드럼확인_배출1"/>
      <sheetName val="JB_명판인쇄1"/>
      <sheetName val="덕트뱅크_(2)1"/>
      <sheetName val="플링_갑지1"/>
      <sheetName val="JB_명판1"/>
      <sheetName val="드럼_확인용1"/>
      <sheetName val="01_09_CODE1"/>
      <sheetName val="00-Summary_Information-ABB"/>
      <sheetName val="6PILE__(돌출)"/>
      <sheetName val="_TDIBM1_X೺ഈ_x00001"/>
      <sheetName val="_TDIBM1_X೺_x005f_x0000_ഈ_1"/>
      <sheetName val="_TDIBM1_X೺_x005f_x005f_x01"/>
      <sheetName val="2-1-1)_Zone_&amp;_Margin"/>
      <sheetName val="[TDIBM1_X೺_x005f_x005f_x005f_x0000_ഈ_x005f_x005f_"/>
      <sheetName val="_TDIBM1_X೺_x005f_x005f_x005f_x005f_x005f_x005f_x0"/>
      <sheetName val="Instrument_구분_체계"/>
      <sheetName val="CAT_1"/>
      <sheetName val="Table-Dont_Delete"/>
      <sheetName val="SPT_vs_PHI"/>
      <sheetName val="개시대사_(2)"/>
      <sheetName val="입찰내역_발주처_양식1"/>
      <sheetName val="SCH_B"/>
      <sheetName val="UNIT_3"/>
      <sheetName val="Plan_Early_Date"/>
      <sheetName val="_WWT_설비_Remote_IO_추가건_(2013_02_"/>
      <sheetName val="e-GAP_Summary"/>
      <sheetName val="_TDIBM1_X೺ഈ_1"/>
      <sheetName val="_TDIBM1_X೺_x0"/>
      <sheetName val="INNER_TANK"/>
      <sheetName val="Codes,___"/>
      <sheetName val="INNER_TANK_SEISMIC"/>
      <sheetName val="Utility_and_Fire_flange"/>
      <sheetName val="[TDIBM1_X೺ഈ_x00001"/>
      <sheetName val="bldg_list"/>
      <sheetName val="Chiet_tinh_dz35"/>
      <sheetName val="3_공통공사대비"/>
      <sheetName val="Submission_-_Price_Summary"/>
      <sheetName val="Subb-Manpower_&amp;_Equiptment_Plan"/>
      <sheetName val="Price_Summary_REF"/>
      <sheetName val="Optional_Working"/>
      <sheetName val="Equip_Cost"/>
      <sheetName val="E_&amp;_I_Rates"/>
      <sheetName val="E&amp;I_CC"/>
      <sheetName val="PPT_Input"/>
      <sheetName val="Org_Chart"/>
      <sheetName val="Indirect_MP"/>
      <sheetName val="Direct_MP"/>
      <sheetName val="Manpower_cost"/>
      <sheetName val="2__전력간선공사"/>
      <sheetName val="[TDIBM1_X೺?ഈ?????G_MH_CAL"/>
      <sheetName val="_TDIBM1_X೺?ഈ?????G_MH_CAL"/>
      <sheetName val="갑지_1회"/>
      <sheetName val="18_07"/>
      <sheetName val="갑지_2회"/>
      <sheetName val="18_08"/>
      <sheetName val="갑지_3회"/>
      <sheetName val="18_09"/>
      <sheetName val="갑지_4회"/>
      <sheetName val="18_10"/>
      <sheetName val="갑지_5회"/>
      <sheetName val="18_11"/>
      <sheetName val="갑지_6회"/>
      <sheetName val="18_12"/>
      <sheetName val="갑지_7회"/>
      <sheetName val="19_01"/>
      <sheetName val="갑지_8회"/>
      <sheetName val="19_02"/>
      <sheetName val="갑지_9회"/>
      <sheetName val="표지_9회"/>
      <sheetName val="19_03"/>
      <sheetName val="갑지_10회"/>
      <sheetName val="표지_10회"/>
      <sheetName val="19_04"/>
      <sheetName val="갑지_11회"/>
      <sheetName val="표지_11회"/>
      <sheetName val="19_05"/>
      <sheetName val="갑지_12회"/>
      <sheetName val="표지_12회"/>
      <sheetName val="19_06"/>
      <sheetName val="갑지_13회"/>
      <sheetName val="표지_13회"/>
      <sheetName val="19_07"/>
      <sheetName val="갑지_14회"/>
      <sheetName val="표지_14회"/>
      <sheetName val="19_08"/>
      <sheetName val="갑지_15회"/>
      <sheetName val="표지_15회"/>
      <sheetName val="19_09"/>
      <sheetName val="D_5243-ARAMCO"/>
      <sheetName val="D-4801_OXY"/>
      <sheetName val="General"/>
      <sheetName val="Menus"/>
      <sheetName val="Lookup Lists"/>
      <sheetName val="Параметры_i"/>
      <sheetName val="2.4.3. Civil WP3"/>
      <sheetName val="2.4.8. Building WP2"/>
      <sheetName val="2.4.9. Building WP3"/>
      <sheetName val="PLSt 03  "/>
      <sheetName val="П 7 курс аванса"/>
      <sheetName val="ACT_ALL IN"/>
      <sheetName val="PkRp"/>
      <sheetName val="Kuantitas &amp; Harga"/>
      <sheetName val="struktur tdk dipakai"/>
      <sheetName val="AC"/>
      <sheetName val="갑지(추정)"/>
      <sheetName val="progress(RM)"/>
      <sheetName val="manhour"/>
      <sheetName val="exp"/>
      <sheetName val="2.주요계수총괄"/>
      <sheetName val="CEQ_Master"/>
      <sheetName val="Man_Master"/>
      <sheetName val="GAEYO"/>
      <sheetName val="기성내역"/>
      <sheetName val="TOWER 10TON"/>
      <sheetName val="TOWER 12TON"/>
      <sheetName val="Lists"/>
      <sheetName val="Rekap"/>
      <sheetName val="Analisa"/>
      <sheetName val="Perm. Test"/>
      <sheetName val="Anal-SNI"/>
      <sheetName val="DAF.TUL"/>
      <sheetName val="Material"/>
      <sheetName val="daf-3(OK)"/>
      <sheetName val="daf-7(OK)"/>
      <sheetName val="21"/>
      <sheetName val="351BQMCN"/>
      <sheetName val="Bahan "/>
      <sheetName val="Upah"/>
      <sheetName val="Isolasi Luar Dalam"/>
      <sheetName val="Isolasi Luar"/>
      <sheetName val="Cash Flow bulanan"/>
      <sheetName val="rap rinci"/>
      <sheetName val="BQ-E20-02(Rp)"/>
      <sheetName val="HARGA ALAT"/>
      <sheetName val="DAF-4"/>
      <sheetName val="DAF-5"/>
      <sheetName val="iTEM hARSAT"/>
      <sheetName val="Bahan"/>
      <sheetName val="BUL"/>
      <sheetName val="H.Satuan"/>
      <sheetName val="PPC"/>
      <sheetName val="HB "/>
      <sheetName val="Galian 1"/>
      <sheetName val="Bill No 6 Koord &amp; Attendance"/>
      <sheetName val="DAF-1"/>
      <sheetName val="Public Area"/>
      <sheetName val="DAFTAR HARGA"/>
      <sheetName val="Informasi"/>
      <sheetName val="hsat-SD"/>
      <sheetName val="an-satuan"/>
      <sheetName val="Rekap-SD"/>
      <sheetName val="RAB"/>
      <sheetName val="PNTEXT"/>
      <sheetName val="ABBR"/>
      <sheetName val="PB10 REF 2009"/>
      <sheetName val="LIFTMETHOD"/>
      <sheetName val="WELLCOSTCATALOG"/>
      <sheetName val="tifico"/>
      <sheetName val="PE-F-33 Rev 02 Basic Proj.Info"/>
      <sheetName val="PE-F-31 Rev 01 Coversheet"/>
      <sheetName val="project"/>
      <sheetName val="Power &amp; control cables"/>
      <sheetName val="Earthing Cables "/>
      <sheetName val="Insulation_Utl_Off"/>
      <sheetName val="Note_Piping"/>
      <sheetName val="BQMPALOC1000"/>
      <sheetName val="Land Dev't. Ph-1"/>
      <sheetName val="4-Lane bridge"/>
      <sheetName val="Hac.Lots"/>
      <sheetName val="Res.Lots"/>
      <sheetName val="Spine Road"/>
      <sheetName val="derive"/>
      <sheetName val="DESBASTE"/>
      <sheetName val="2.223M_due to adj profit"/>
      <sheetName val="GAE8'97"/>
      <sheetName val="MATERIAL'S PRICE"/>
      <sheetName val="Div2"/>
      <sheetName val="Precios"/>
      <sheetName val="FILTER"/>
      <sheetName val="점수표"/>
      <sheetName val="지출결의서_0701"/>
      <sheetName val="상세내역_0701"/>
      <sheetName val="목록"/>
      <sheetName val="Material Standards"/>
      <sheetName val="Material Cost Standards"/>
      <sheetName val="现况"/>
      <sheetName val="정의"/>
      <sheetName val="_TDIBM1.X೺_ഈ_____G_MH_CAL"/>
      <sheetName val="[TDIBM1.X೺_x005f_x0000_ഈ_"/>
      <sheetName val="[TDIBM1.X೺_x0000_ഈ_"/>
      <sheetName val="WEMS_export"/>
      <sheetName val="Currency_Rate"/>
      <sheetName val="입출재고현황_(2)"/>
      <sheetName val="Capa_Ref_GMP"/>
      <sheetName val="Sheet 3"/>
      <sheetName val="11 BQMPALOC"/>
      <sheetName val="제출계산서"/>
      <sheetName val="budget summary"/>
      <sheetName val="1910"/>
      <sheetName val="CCTR wise cost BDGT VS ACT"/>
      <sheetName val="MACHIN HR"/>
      <sheetName val="DMPOWER"/>
      <sheetName val="본지점중"/>
      <sheetName val="Lvl1 V1"/>
      <sheetName val="전기공사 (삼전)"/>
      <sheetName val="BSD (2)"/>
      <sheetName val="para"/>
      <sheetName val="Template for itemized price"/>
      <sheetName val="Annex-RC-V"/>
      <sheetName val="정산표2"/>
      <sheetName val="Form MF - 2"/>
      <sheetName val="INS"/>
      <sheetName val="Activity(new)"/>
      <sheetName val="Backup"/>
      <sheetName val="Sheet5"/>
      <sheetName val="LMB Forecast plan"/>
      <sheetName val="뜃맟뭁돽띿맟-BLDG"/>
      <sheetName val="TDIBM1.X೺_x0000_ഈ_x0000__x0000__x0000__x0000__x0000_G_MH_CAL"/>
      <sheetName val="TDIBM1_X೺ഈG_MH_CAL"/>
      <sheetName val="TDIBM1.X೺_x005f_x0000_ഈ_x005f_x0000__x0000"/>
      <sheetName val="TDIBM1.X೺"/>
      <sheetName val="TDIBM1_X೺"/>
      <sheetName val="TDIBM1_X೺_x005f_x0000_ഈ_x005f_x0000__x0000"/>
      <sheetName val="TDIBM1.X೺_x005f_x005f_x005f_x0000_ഈ_x005f_x005f_"/>
      <sheetName val="TDIBM1_X೺1"/>
      <sheetName val="TDIBM1_X೺_x005f_x0000_ഈ_x005f_x0000__x0001"/>
      <sheetName val="TDIBM1.X೺_x0000_ഈ_x0000__x0000"/>
      <sheetName val="TDIBM1_X೺_x0000_ഈ_x0000__x00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 refreshError="1"/>
      <sheetData sheetId="499" refreshError="1"/>
      <sheetData sheetId="500" refreshError="1"/>
      <sheetData sheetId="501" refreshError="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 refreshError="1"/>
      <sheetData sheetId="529" refreshError="1"/>
      <sheetData sheetId="530" refreshError="1"/>
      <sheetData sheetId="531"/>
      <sheetData sheetId="532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 refreshError="1"/>
      <sheetData sheetId="555" refreshError="1"/>
      <sheetData sheetId="556" refreshError="1"/>
      <sheetData sheetId="557"/>
      <sheetData sheetId="558"/>
      <sheetData sheetId="559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/>
      <sheetData sheetId="60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/>
      <sheetData sheetId="609"/>
      <sheetData sheetId="610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/>
      <sheetData sheetId="695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 refreshError="1"/>
      <sheetData sheetId="714" refreshError="1"/>
      <sheetData sheetId="715" refreshError="1"/>
      <sheetData sheetId="716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/>
      <sheetData sheetId="746"/>
      <sheetData sheetId="747"/>
      <sheetData sheetId="748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/>
      <sheetData sheetId="970"/>
      <sheetData sheetId="971" refreshError="1"/>
      <sheetData sheetId="972" refreshError="1"/>
      <sheetData sheetId="973"/>
      <sheetData sheetId="974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/>
      <sheetData sheetId="1302"/>
      <sheetData sheetId="1303"/>
      <sheetData sheetId="1304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"/>
      <sheetName val="GENERAL"/>
      <sheetName val="Inner tank"/>
      <sheetName val="Outer tank"/>
      <sheetName val="Deck"/>
      <sheetName val="Insulation"/>
      <sheetName val="Nozzle"/>
      <sheetName val="FLANGE &amp; BOLT"/>
      <sheetName val="LADDER, WALKWAY&amp;OTHERS"/>
      <sheetName val="Valve"/>
      <sheetName val="Pipe Insulation"/>
      <sheetName val="Utility and Fire"/>
      <sheetName val="Utility and Fire flange"/>
      <sheetName val="WELDING&amp;INSPECTION"/>
      <sheetName val="OTHERS"/>
      <sheetName val="Cost"/>
      <sheetName val="Module1"/>
      <sheetName val="参-Nozzle list"/>
      <sheetName val="参-Pipe welding"/>
      <sheetName val="参-Flange"/>
      <sheetName val="Module2"/>
      <sheetName val="#REF"/>
      <sheetName val="BQ計算Tangguh-JGC"/>
      <sheetName val="TKOFF"/>
      <sheetName val="BOQ"/>
      <sheetName val="Evaluation"/>
      <sheetName val="EXCHRATES"/>
      <sheetName val="INDIRECTS"/>
      <sheetName val="General Data"/>
      <sheetName val="BQMPALOC"/>
      <sheetName val="DRUM"/>
      <sheetName val="CODE2"/>
      <sheetName val="COVER"/>
      <sheetName val="산근"/>
      <sheetName val="대비표"/>
      <sheetName val="Inert Balls"/>
      <sheetName val="Sheet2"/>
      <sheetName val="Sheet1"/>
      <sheetName val="Cashflow Analysis"/>
      <sheetName val="Wellhrs"/>
      <sheetName val="Quant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 refreshError="1"/>
      <sheetData sheetId="39" refreshError="1"/>
      <sheetData sheetId="4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T-BASE"/>
      <sheetName val="EX-RATE"/>
      <sheetName val="SCHEDULE"/>
      <sheetName val="SUM"/>
      <sheetName val="INDIR-LAB"/>
      <sheetName val="CONSTR-EQ"/>
      <sheetName val="DIR-LAB"/>
      <sheetName val="TEMP-FAC"/>
      <sheetName val="CASH"/>
      <sheetName val="POWER"/>
      <sheetName val="WATER"/>
      <sheetName val="PRECOM"/>
      <sheetName val="ENG"/>
      <sheetName val="BRE"/>
      <sheetName val="COPY"/>
      <sheetName val="DATA BOOK"/>
      <sheetName val="TRAVEL-EXP"/>
      <sheetName val="TRAVEL-EXP (TAIPEI)"/>
      <sheetName val="TRANSFER"/>
      <sheetName val="PAT"/>
      <sheetName val="MTO REV.2(ARMOR)"/>
      <sheetName val="Equipment"/>
      <sheetName val="costing_CV"/>
      <sheetName val="MTO REV.0"/>
      <sheetName val="대비표"/>
      <sheetName val="D-623D"/>
      <sheetName val="XBGM-STAGE1"/>
      <sheetName val="ASCEandUBC"/>
      <sheetName val="lookup"/>
      <sheetName val="Utility and Fire flange"/>
      <sheetName val="CAT_5"/>
      <sheetName val="TO GO ME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T-BASE"/>
      <sheetName val="EX-RATE"/>
      <sheetName val="SCHEDULE"/>
      <sheetName val="SUM"/>
      <sheetName val="INDIR-LAB"/>
      <sheetName val="CONSTR-EQ"/>
      <sheetName val="DIR-LAB"/>
      <sheetName val="TEMP-FAC"/>
      <sheetName val="CASH"/>
      <sheetName val="POWER"/>
      <sheetName val="WATER"/>
      <sheetName val="PRECOM"/>
      <sheetName val="ENG"/>
      <sheetName val="BRE"/>
      <sheetName val="COPY"/>
      <sheetName val="DATA BOOK"/>
      <sheetName val="TRAVEL-EXP"/>
      <sheetName val="TRAVEL-EXP (TAIPEI)"/>
      <sheetName val="TRANSFER"/>
      <sheetName val="PAT"/>
      <sheetName val="MTO REV.2(ARMOR)"/>
      <sheetName val="Equipment"/>
      <sheetName val="costing_CV"/>
      <sheetName val="MTO REV.0"/>
      <sheetName val="대비표"/>
      <sheetName val="D-623D"/>
      <sheetName val="XBGM-STAGE1"/>
      <sheetName val="ASCEandUBC"/>
      <sheetName val="lookup"/>
      <sheetName val="Utility and Fire flange"/>
      <sheetName val="CAT_5"/>
      <sheetName val="TO GO ME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FIT"/>
      <sheetName val="P-L"/>
      <sheetName val="BUDg"/>
      <sheetName val="예산"/>
      <sheetName val="FAS"/>
      <sheetName val="FCST"/>
      <sheetName val="M_H"/>
      <sheetName val="F_MONY"/>
      <sheetName val="환보고"/>
      <sheetName val="환자료"/>
      <sheetName val="inter"/>
      <sheetName val="노무비(MM)"/>
      <sheetName val="노무비(비용)"/>
      <sheetName val="공사비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odule1"/>
      <sheetName val="Module2"/>
      <sheetName val="Module3"/>
      <sheetName val="COA-17"/>
      <sheetName val="C-18"/>
      <sheetName val="별총"/>
      <sheetName val="갑지"/>
      <sheetName val="h-013211-2"/>
      <sheetName val="총괄표"/>
      <sheetName val="Plan"/>
      <sheetName val="POWER"/>
      <sheetName val="SG"/>
      <sheetName val="TTL"/>
      <sheetName val="CAT_5"/>
      <sheetName val="SHL"/>
      <sheetName val="도"/>
      <sheetName val="LinerWt"/>
      <sheetName val="일위대가"/>
      <sheetName val="기계내역서"/>
      <sheetName val="Summary Sheets"/>
      <sheetName val="산근"/>
      <sheetName val="인원계획"/>
      <sheetName val="INSTR"/>
      <sheetName val="DESIGN"/>
      <sheetName val="OCT.FDN"/>
      <sheetName val="12CGOU"/>
      <sheetName val="Input"/>
      <sheetName val="Activity"/>
      <sheetName val="Crew"/>
      <sheetName val="Piping"/>
      <sheetName val="Pipe Supports"/>
      <sheetName val="VXXXXX"/>
      <sheetName val="boq"/>
      <sheetName val="blk"/>
      <sheetName val="Sheet3"/>
      <sheetName val="3. GROUNDING SYSTEM"/>
      <sheetName val="EQUIP LIST"/>
      <sheetName val="CST_STAT"/>
      <sheetName val="Steel-Main Work"/>
      <sheetName val="기준"/>
      <sheetName val="SKETCH"/>
      <sheetName val="CALCULATION"/>
      <sheetName val="단가"/>
      <sheetName val="공조위생"/>
      <sheetName val="Cash2"/>
      <sheetName val="Z"/>
      <sheetName val="Process Piping"/>
      <sheetName val="FILTER"/>
      <sheetName val="노임9월"/>
      <sheetName val="일위대가표"/>
      <sheetName val="9_Material Rates"/>
      <sheetName val="1_References"/>
      <sheetName val="PRO_DCI"/>
      <sheetName val="INST_DCI"/>
      <sheetName val="HVAC_DCI"/>
      <sheetName val="PIPE_DCI"/>
      <sheetName val="WORK-VOL"/>
      <sheetName val="B"/>
      <sheetName val="EQT-ESTN"/>
      <sheetName val="당진1,2호기전선관설치및접지4차공사내역서-을지"/>
      <sheetName val="대비표"/>
      <sheetName val="실행내역"/>
      <sheetName val="rate"/>
      <sheetName val="Material and Manpower data"/>
      <sheetName val="Pricing Summary"/>
      <sheetName val="EQUIP"/>
      <sheetName val="MTO REV.2(ARMOR)"/>
      <sheetName val="#REF"/>
      <sheetName val="집계표"/>
      <sheetName val="Project-A"/>
      <sheetName val="Chart"/>
      <sheetName val="견"/>
      <sheetName val="보온자재단가표"/>
      <sheetName val="작성기준"/>
      <sheetName val="Alum."/>
      <sheetName val="Data"/>
      <sheetName val="Calc"/>
      <sheetName val="LEGEND"/>
      <sheetName val="look-up"/>
      <sheetName val="AILC004"/>
      <sheetName val="Fax"/>
      <sheetName val="P-HOT.XLS"/>
      <sheetName val="내역서"/>
      <sheetName val="2.2 STAFF Scedule"/>
      <sheetName val="환율"/>
      <sheetName val="PROCURE"/>
      <sheetName val="Code"/>
      <sheetName val="현장지지물물량"/>
      <sheetName val="갑지1"/>
      <sheetName val="금액내역서"/>
      <sheetName val="조명시설"/>
      <sheetName val="CONTENTS"/>
      <sheetName val="BQMPALOC"/>
      <sheetName val="steam table"/>
      <sheetName val="parts-V2"/>
      <sheetName val="WORK"/>
      <sheetName val="HORI. VESSEL"/>
      <sheetName val="BQ"/>
      <sheetName val="@PRICE1"/>
      <sheetName val="최종단가"/>
      <sheetName val="장비"/>
      <sheetName val="노무"/>
      <sheetName val="자재"/>
      <sheetName val="산근1"/>
      <sheetName val="입출재고현황 (2)"/>
      <sheetName val="AREA"/>
      <sheetName val="바닥판"/>
      <sheetName val="TYPE1"/>
      <sheetName val="철근량"/>
      <sheetName val="토목주소"/>
      <sheetName val="프랜트면허"/>
      <sheetName val="역T형"/>
      <sheetName val="PILE"/>
      <sheetName val="토목품셈"/>
      <sheetName val="Rate Analysis"/>
      <sheetName val="Inst Matl Table"/>
      <sheetName val="Inst_Type"/>
      <sheetName val="Loop Type"/>
      <sheetName val="Tracing"/>
      <sheetName val="Hookup"/>
      <sheetName val="WBS"/>
      <sheetName val="Engg-Exec-2"/>
      <sheetName val="Site-Precom-2"/>
      <sheetName val="Collab"/>
      <sheetName val="Transport"/>
      <sheetName val="Civil 1"/>
      <sheetName val="Civil 2"/>
      <sheetName val="Civil 3"/>
      <sheetName val="Site 1"/>
      <sheetName val="Site 2"/>
      <sheetName val="Site 3"/>
      <sheetName val="Site Faci"/>
      <sheetName val="Cont"/>
      <sheetName val="Engg-Exec-1"/>
      <sheetName val="Site-Precom-1"/>
      <sheetName val="Site-Precom-Vendor"/>
      <sheetName val="Risk-Anal"/>
      <sheetName val="Ranges"/>
      <sheetName val="User"/>
      <sheetName val="내역"/>
      <sheetName val="초기화면"/>
      <sheetName val="Quantity"/>
      <sheetName val="insulation"/>
      <sheetName val="Sheet5"/>
      <sheetName val="95삼성급(본사)"/>
      <sheetName val="Sheet1"/>
      <sheetName val="재료비"/>
      <sheetName val="97 사업추정(WEKI)"/>
      <sheetName val="GiaVL"/>
      <sheetName val="Code_Magics"/>
      <sheetName val="MP MOB"/>
      <sheetName val="Man Hole"/>
      <sheetName val="대로근거"/>
      <sheetName val="중로근거"/>
      <sheetName val="조건표"/>
      <sheetName val="내역표지"/>
      <sheetName val="산출2-기기동력"/>
      <sheetName val="40총괄"/>
      <sheetName val="40집계"/>
      <sheetName val="30신설일위대가"/>
      <sheetName val="30집계표"/>
      <sheetName val="NSCP견적물량"/>
      <sheetName val="경비"/>
      <sheetName val="찍기"/>
      <sheetName val="TABLES"/>
      <sheetName val="견적"/>
      <sheetName val="Civil"/>
      <sheetName val="DB@Acess"/>
      <sheetName val="1. 설계조건 2.단면가정 3. 하중계산"/>
      <sheetName val="DATA 입력란"/>
      <sheetName val="공사내역"/>
      <sheetName val="D-3109"/>
      <sheetName val="당초"/>
      <sheetName val="GROUNDING SYSTEM"/>
      <sheetName val="El(Increased)"/>
      <sheetName val="Car park lease"/>
      <sheetName val="C1"/>
      <sheetName val="철근단위중량"/>
      <sheetName val="공사비예산서(토목분)"/>
      <sheetName val="가격조사서"/>
      <sheetName val="연돌일위집계"/>
      <sheetName val="HANDHOLE(2)"/>
      <sheetName val="PAD TR보호대기초"/>
      <sheetName val="가로등기초"/>
      <sheetName val="배명(단가)"/>
      <sheetName val="TANK"/>
      <sheetName val="집계표(OPTION)"/>
      <sheetName val="Master_Data"/>
      <sheetName val="Utility and Fire flange"/>
      <sheetName val="단면가정"/>
      <sheetName val="설계조건"/>
      <sheetName val="LTR-2"/>
      <sheetName val="sum1 (2)"/>
      <sheetName val="s"/>
      <sheetName val="대비"/>
      <sheetName val="SILICATE"/>
      <sheetName val="General Data"/>
      <sheetName val="L V Separator"/>
      <sheetName val="PI"/>
      <sheetName val="Eq. Mobilization"/>
      <sheetName val="부하(성남)"/>
      <sheetName val="8.PILE  (돌출)"/>
      <sheetName val="CTEMCOST"/>
      <sheetName val="Default"/>
      <sheetName val="소화실적"/>
      <sheetName val="DRUM"/>
      <sheetName val="IBASE"/>
      <sheetName val="전기"/>
      <sheetName val="ABB"/>
      <sheetName val="SCHEDULE"/>
      <sheetName val="bldg list"/>
      <sheetName val="MK2-1"/>
      <sheetName val="노임단가"/>
      <sheetName val="Administrative Prices"/>
      <sheetName val="Summary"/>
      <sheetName val="C-301E~305E"/>
      <sheetName val="실행철강하도"/>
      <sheetName val="DATE"/>
      <sheetName val="계수시트"/>
      <sheetName val="D2old"/>
      <sheetName val="D2"/>
      <sheetName val="D1.1"/>
      <sheetName val="Library"/>
      <sheetName val="D1X"/>
      <sheetName val="D2X"/>
      <sheetName val="D2.1"/>
      <sheetName val="Checklist"/>
      <sheetName val="D4"/>
      <sheetName val="시가지우회도로공내역서"/>
      <sheetName val="jobhist"/>
      <sheetName val="TOTAL"/>
      <sheetName val="영업소실적"/>
      <sheetName val="Proj Cost Sumry"/>
      <sheetName val="Engineering"/>
      <sheetName val="2000년1차"/>
      <sheetName val="Bid Summary"/>
      <sheetName val="2-Conc"/>
      <sheetName val="Summary_Sheets"/>
      <sheetName val="OCT_FDN"/>
      <sheetName val="Pipe_Supports"/>
      <sheetName val="Process_Piping"/>
      <sheetName val="EQUIP_LIST"/>
      <sheetName val="9_Material_Rates"/>
      <sheetName val="3__GROUNDING_SYSTEM"/>
      <sheetName val="Material_and_Manpower_data"/>
      <sheetName val="Pricing_Summary"/>
      <sheetName val="Alum_"/>
      <sheetName val="P-HOT_XLS"/>
      <sheetName val="steam_table"/>
      <sheetName val="2_2_STAFF_Scedule"/>
      <sheetName val="Civil_1"/>
      <sheetName val="Civil_2"/>
      <sheetName val="Civil_3"/>
      <sheetName val="Site_1"/>
      <sheetName val="Site_2"/>
      <sheetName val="Site_3"/>
      <sheetName val="Site_Faci"/>
      <sheetName val="Rate_Analysis"/>
      <sheetName val="HORI__VESSEL"/>
      <sheetName val="입출재고현황_(2)"/>
      <sheetName val="Man_Hole"/>
      <sheetName val="MP_MOB"/>
      <sheetName val="GROUNDING_SYSTEM"/>
      <sheetName val="97_사업추정(WEKI)"/>
      <sheetName val="Inst_Matl_Table"/>
      <sheetName val="Loop_Type"/>
      <sheetName val="PAD_TR보호대기초"/>
      <sheetName val="1__설계조건_2_단면가정_3__하중계산"/>
      <sheetName val="DATA_입력란"/>
      <sheetName val="General_Data"/>
      <sheetName val="Car_park_lease"/>
      <sheetName val="Utility_and_Fire_flange"/>
      <sheetName val="sum1_(2)"/>
      <sheetName val="L_V_Separator"/>
      <sheetName val="Eq__Mobilization"/>
      <sheetName val="8_PILE__(돌출)"/>
      <sheetName val="bldg_list"/>
      <sheetName val="Wt of Mod."/>
      <sheetName val="BM"/>
      <sheetName val="Sheet4"/>
      <sheetName val="eq_data"/>
      <sheetName val="Insts"/>
      <sheetName val="초임연봉"/>
      <sheetName val="M3산출"/>
      <sheetName val="SM1-09"/>
      <sheetName val="SM2-09"/>
      <sheetName val="BAND(200)"/>
      <sheetName val="BD-09"/>
      <sheetName val="EL 표면적"/>
      <sheetName val="MT-09"/>
      <sheetName val="980731"/>
      <sheetName val="15100"/>
      <sheetName val="CASH"/>
      <sheetName val="EAS"/>
      <sheetName val="날개벽(좌,우=60도-4개)"/>
      <sheetName val="PriceSummary"/>
      <sheetName val="장비검사 사진"/>
      <sheetName val="토공정보"/>
      <sheetName val="두앙"/>
      <sheetName val="2"/>
      <sheetName val="IN"/>
      <sheetName val="SPEC"/>
      <sheetName val="골조시행"/>
      <sheetName val="dc1"/>
      <sheetName val="수입"/>
      <sheetName val="static.cal"/>
      <sheetName val="⑤항목별2"/>
      <sheetName val="SOS_PLC &amp; Panel"/>
      <sheetName val="95D"/>
      <sheetName val="94D"/>
      <sheetName val="p2-1"/>
      <sheetName val="#1유량조정조"/>
      <sheetName val="중간재 재공"/>
      <sheetName val="UTCA"/>
      <sheetName val="MEXICO-C"/>
      <sheetName val="HX"/>
      <sheetName val="백분율"/>
      <sheetName val="DHEQSUPT"/>
      <sheetName val="Ex-Rate"/>
      <sheetName val="Air Cooler-E"/>
      <sheetName val="1.설계조건"/>
      <sheetName val="Process_Piping1"/>
      <sheetName val="OCT_FDN1"/>
      <sheetName val="Summary_Sheets1"/>
      <sheetName val="Pipe_Supports1"/>
      <sheetName val="EQUIP_LIST1"/>
      <sheetName val="9_Material_Rates1"/>
      <sheetName val="3__GROUNDING_SYSTEM1"/>
      <sheetName val="P-HOT_XLS1"/>
      <sheetName val="Material_and_Manpower_data1"/>
      <sheetName val="Pricing_Summary1"/>
      <sheetName val="Alum_1"/>
      <sheetName val="steam_table1"/>
      <sheetName val="2_2_STAFF_Scedule1"/>
      <sheetName val="HORI__VESSEL1"/>
      <sheetName val="입출재고현황_(2)1"/>
      <sheetName val="Man_Hole1"/>
      <sheetName val="MP_MOB1"/>
      <sheetName val="Civil_11"/>
      <sheetName val="Civil_21"/>
      <sheetName val="Civil_31"/>
      <sheetName val="Site_11"/>
      <sheetName val="Site_21"/>
      <sheetName val="Site_31"/>
      <sheetName val="Site_Faci1"/>
      <sheetName val="Rate_Analysis1"/>
      <sheetName val="97_사업추정(WEKI)1"/>
      <sheetName val="Inst_Matl_Table1"/>
      <sheetName val="Loop_Type1"/>
      <sheetName val="1__설계조건_2_단면가정_3__하중계산1"/>
      <sheetName val="DATA_입력란1"/>
      <sheetName val="GROUNDING_SYSTEM1"/>
      <sheetName val="General_Data1"/>
      <sheetName val="PAD_TR보호대기초1"/>
      <sheetName val="Car_park_lease1"/>
      <sheetName val="Utility_and_Fire_flange1"/>
      <sheetName val="sum1_(2)1"/>
      <sheetName val="L_V_Separator1"/>
      <sheetName val="Eq__Mobilization1"/>
      <sheetName val="8_PILE__(돌출)1"/>
      <sheetName val="bldg_list1"/>
      <sheetName val="MTO_REV_2(ARMOR)"/>
      <sheetName val="Steel-Main_Work"/>
      <sheetName val="Proj_Cost_Sumry"/>
      <sheetName val="Administrative_Prices"/>
      <sheetName val="Wt_of_Mod_"/>
      <sheetName val="D1_1"/>
      <sheetName val="D2_1"/>
      <sheetName val="DB3"/>
      <sheetName val="기성내역"/>
      <sheetName val="CAUDIT"/>
      <sheetName val="본문"/>
      <sheetName val="EXT.CHECK"/>
      <sheetName val="KUNGDEVI"/>
      <sheetName val="부대공Ⅱ"/>
      <sheetName val="12월 수선비 사용실적"/>
      <sheetName val="Based Data_WACC"/>
      <sheetName val="일위(PN)"/>
      <sheetName val="PIPE(UG)내역"/>
      <sheetName val="PKG &quot;A&quot; Detail - 정풍"/>
      <sheetName val="118.세금과공과"/>
      <sheetName val="108.수선비"/>
      <sheetName val="업무분장"/>
      <sheetName val="Summary_Sheets2"/>
      <sheetName val="OCT_FDN2"/>
      <sheetName val="Pipe_Supports2"/>
      <sheetName val="Process_Piping2"/>
      <sheetName val="EQUIP_LIST2"/>
      <sheetName val="9_Material_Rates2"/>
      <sheetName val="3__GROUNDING_SYSTEM2"/>
      <sheetName val="Material_and_Manpower_data2"/>
      <sheetName val="Pricing_Summary2"/>
      <sheetName val="P-HOT_XLS2"/>
      <sheetName val="Alum_2"/>
      <sheetName val="steam_table2"/>
      <sheetName val="2_2_STAFF_Scedule2"/>
      <sheetName val="Civil_12"/>
      <sheetName val="Civil_22"/>
      <sheetName val="Civil_32"/>
      <sheetName val="Site_12"/>
      <sheetName val="Site_22"/>
      <sheetName val="Site_32"/>
      <sheetName val="Site_Faci2"/>
      <sheetName val="Rate_Analysis2"/>
      <sheetName val="HORI__VESSEL2"/>
      <sheetName val="입출재고현황_(2)2"/>
      <sheetName val="Man_Hole2"/>
      <sheetName val="Inst_Matl_Table2"/>
      <sheetName val="Loop_Type2"/>
      <sheetName val="MP_MOB2"/>
      <sheetName val="1__설계조건_2_단면가정_3__하중계산2"/>
      <sheetName val="DATA_입력란2"/>
      <sheetName val="GROUNDING_SYSTEM2"/>
      <sheetName val="General_Data2"/>
      <sheetName val="97_사업추정(WEKI)2"/>
      <sheetName val="Car_park_lease2"/>
      <sheetName val="sum1_(2)2"/>
      <sheetName val="PAD_TR보호대기초2"/>
      <sheetName val="Utility_and_Fire_flange2"/>
      <sheetName val="Summary_Sheets4"/>
      <sheetName val="OCT_FDN4"/>
      <sheetName val="Pipe_Supports4"/>
      <sheetName val="Process_Piping4"/>
      <sheetName val="EQUIP_LIST4"/>
      <sheetName val="9_Material_Rates4"/>
      <sheetName val="3__GROUNDING_SYSTEM4"/>
      <sheetName val="Material_and_Manpower_data4"/>
      <sheetName val="Pricing_Summary4"/>
      <sheetName val="P-HOT_XLS4"/>
      <sheetName val="Alum_4"/>
      <sheetName val="steam_table4"/>
      <sheetName val="2_2_STAFF_Scedule4"/>
      <sheetName val="Civil_14"/>
      <sheetName val="Civil_24"/>
      <sheetName val="Civil_34"/>
      <sheetName val="Site_14"/>
      <sheetName val="Site_24"/>
      <sheetName val="Site_34"/>
      <sheetName val="Site_Faci4"/>
      <sheetName val="Rate_Analysis4"/>
      <sheetName val="HORI__VESSEL4"/>
      <sheetName val="입출재고현황_(2)4"/>
      <sheetName val="Man_Hole4"/>
      <sheetName val="Inst_Matl_Table4"/>
      <sheetName val="Loop_Type4"/>
      <sheetName val="MP_MOB4"/>
      <sheetName val="1__설계조건_2_단면가정_3__하중계산4"/>
      <sheetName val="DATA_입력란4"/>
      <sheetName val="GROUNDING_SYSTEM4"/>
      <sheetName val="General_Data4"/>
      <sheetName val="97_사업추정(WEKI)4"/>
      <sheetName val="Car_park_lease4"/>
      <sheetName val="sum1_(2)4"/>
      <sheetName val="PAD_TR보호대기초4"/>
      <sheetName val="Utility_and_Fire_flange4"/>
      <sheetName val="8_PILE__(돌출)2"/>
      <sheetName val="Summary_Sheets3"/>
      <sheetName val="OCT_FDN3"/>
      <sheetName val="Pipe_Supports3"/>
      <sheetName val="Process_Piping3"/>
      <sheetName val="EQUIP_LIST3"/>
      <sheetName val="9_Material_Rates3"/>
      <sheetName val="3__GROUNDING_SYSTEM3"/>
      <sheetName val="Material_and_Manpower_data3"/>
      <sheetName val="Pricing_Summary3"/>
      <sheetName val="P-HOT_XLS3"/>
      <sheetName val="Alum_3"/>
      <sheetName val="steam_table3"/>
      <sheetName val="2_2_STAFF_Scedule3"/>
      <sheetName val="Civil_13"/>
      <sheetName val="Civil_23"/>
      <sheetName val="Civil_33"/>
      <sheetName val="Site_13"/>
      <sheetName val="Site_23"/>
      <sheetName val="Site_33"/>
      <sheetName val="Site_Faci3"/>
      <sheetName val="Rate_Analysis3"/>
      <sheetName val="HORI__VESSEL3"/>
      <sheetName val="입출재고현황_(2)3"/>
      <sheetName val="Man_Hole3"/>
      <sheetName val="Inst_Matl_Table3"/>
      <sheetName val="Loop_Type3"/>
      <sheetName val="MP_MOB3"/>
      <sheetName val="1__설계조건_2_단면가정_3__하중계산3"/>
      <sheetName val="DATA_입력란3"/>
      <sheetName val="GROUNDING_SYSTEM3"/>
      <sheetName val="General_Data3"/>
      <sheetName val="97_사업추정(WEKI)3"/>
      <sheetName val="Car_park_lease3"/>
      <sheetName val="sum1_(2)3"/>
      <sheetName val="PAD_TR보호대기초3"/>
      <sheetName val="Utility_and_Fire_flange3"/>
      <sheetName val="A"/>
      <sheetName val="ANALISA"/>
      <sheetName val="M 11"/>
      <sheetName val="terdistribusi"/>
      <sheetName val="영동(D)"/>
      <sheetName val="Benchmark"/>
      <sheetName val="CRITERIA"/>
      <sheetName val="근로자명부"/>
      <sheetName val="입찰안"/>
      <sheetName val="견적총괄표"/>
      <sheetName val="Readiness"/>
      <sheetName val="CBF-Boş"/>
      <sheetName val="PRICES"/>
      <sheetName val="nde_request"/>
      <sheetName val="공문"/>
      <sheetName val="h_013211_2"/>
      <sheetName val="sum3"/>
      <sheetName val="COVERSHEET"/>
      <sheetName val="EL_표면적"/>
      <sheetName val="Bid_Summary"/>
      <sheetName val="장비검사_사진"/>
      <sheetName val="backup"/>
      <sheetName val="Part A"/>
      <sheetName val="Part B"/>
      <sheetName val="Part C"/>
      <sheetName val="Valve Cl"/>
      <sheetName val="CODE-STR"/>
      <sheetName val="FLUID_INFO"/>
      <sheetName val="예산M11A"/>
      <sheetName val="부표총괄"/>
      <sheetName val="품셈1-26"/>
      <sheetName val="Attach 4-18"/>
      <sheetName val="주관사업"/>
      <sheetName val="요약배부"/>
      <sheetName val="교각계산"/>
      <sheetName val="Proposal"/>
      <sheetName val=" 표지"/>
      <sheetName val="날개벽"/>
      <sheetName val="1"/>
      <sheetName val="Param"/>
      <sheetName val="EQUIPMENT -2"/>
      <sheetName val="R01 p1"/>
      <sheetName val="Summary_Sheets5"/>
      <sheetName val="OCT_FDN5"/>
      <sheetName val="Pipe_Supports5"/>
      <sheetName val="Process_Piping5"/>
      <sheetName val="EQUIP_LIST5"/>
      <sheetName val="9_Material_Rates5"/>
      <sheetName val="3__GROUNDING_SYSTEM5"/>
      <sheetName val="Material_and_Manpower_data5"/>
      <sheetName val="Pricing_Summary5"/>
      <sheetName val="P-HOT_XLS5"/>
      <sheetName val="Alum_5"/>
      <sheetName val="steam_table5"/>
      <sheetName val="2_2_STAFF_Scedule5"/>
      <sheetName val="Civil_15"/>
      <sheetName val="Civil_25"/>
      <sheetName val="Civil_35"/>
      <sheetName val="Site_15"/>
      <sheetName val="Site_25"/>
      <sheetName val="Site_35"/>
      <sheetName val="Site_Faci5"/>
      <sheetName val="Rate_Analysis5"/>
      <sheetName val="HORI__VESSEL5"/>
      <sheetName val="입출재고현황_(2)5"/>
      <sheetName val="Man_Hole5"/>
      <sheetName val="Inst_Matl_Table5"/>
      <sheetName val="Loop_Type5"/>
      <sheetName val="MP_MOB5"/>
      <sheetName val="1__설계조건_2_단면가정_3__하중계산5"/>
      <sheetName val="DATA_입력란5"/>
      <sheetName val="GROUNDING_SYSTEM5"/>
      <sheetName val="General_Data5"/>
      <sheetName val="97_사업추정(WEKI)5"/>
      <sheetName val="Car_park_lease5"/>
      <sheetName val="sum1_(2)5"/>
      <sheetName val="PAD_TR보호대기초5"/>
      <sheetName val="Utility_and_Fire_flange5"/>
      <sheetName val="8_PILE__(돌출)3"/>
      <sheetName val="bldg_list2"/>
      <sheetName val="L_V_Separator2"/>
      <sheetName val="Eq__Mobilization2"/>
      <sheetName val="MTO_REV_2(ARMOR)1"/>
      <sheetName val="Steel-Main_Work1"/>
      <sheetName val="Proj_Cost_Sumry1"/>
      <sheetName val="Wt_of_Mod_1"/>
      <sheetName val="D1_11"/>
      <sheetName val="D2_11"/>
      <sheetName val="Administrative_Prices1"/>
      <sheetName val="Air_Cooler-E"/>
      <sheetName val="SOS_PLC_&amp;_Panel"/>
      <sheetName val="중간재_재공"/>
      <sheetName val="static_cal"/>
      <sheetName val="EXT_CHECK"/>
      <sheetName val="Page 2"/>
      <sheetName val="Coeff"/>
      <sheetName val="Subcon TR"/>
      <sheetName val="Material_TR"/>
      <sheetName val="PRO_A"/>
      <sheetName val="DWG"/>
      <sheetName val="ELEC_MCI"/>
      <sheetName val="MAIN"/>
      <sheetName val="INST_MCI"/>
      <sheetName val="MECH_MCI"/>
      <sheetName val="PRO"/>
      <sheetName val="상반기손익차2총괄"/>
      <sheetName val="Malaysia incl. RET"/>
      <sheetName val="pipeline-1"/>
      <sheetName val="Paint Mat Summ"/>
      <sheetName val="CSR"/>
      <sheetName val="G2설비도급"/>
      <sheetName val=""/>
      <sheetName val="Cover"/>
      <sheetName val="Total Staff"/>
      <sheetName val="0. SUMMARY"/>
      <sheetName val="1. Engineering"/>
      <sheetName val="2. Check point"/>
      <sheetName val="II Changes 1"/>
      <sheetName val="III Changes 2"/>
      <sheetName val="Qty."/>
      <sheetName val="MP"/>
      <sheetName val="EQP"/>
      <sheetName val="OQC Summary"/>
      <sheetName val="6.Unit Rates"/>
      <sheetName val="갑지(추정)"/>
      <sheetName val="FORM-0"/>
      <sheetName val="F4-F7"/>
      <sheetName val="HP"/>
      <sheetName val="石炭性状"/>
      <sheetName val="의왕"/>
      <sheetName val="118_세금과공과"/>
      <sheetName val="108_수선비"/>
      <sheetName val="12월_수선비_사용실적"/>
      <sheetName val="Based_Data_WACC"/>
      <sheetName val="1_설계조건"/>
      <sheetName val="M_11"/>
      <sheetName val="BID"/>
      <sheetName val="E"/>
      <sheetName val="SP10"/>
      <sheetName val="HOURS INDEX"/>
      <sheetName val="RATE INDEX"/>
      <sheetName val="7. Aeration Tanks (ATV)"/>
      <sheetName val="8. Aeration"/>
      <sheetName val="1. Project Base"/>
      <sheetName val="float&amp;bear"/>
      <sheetName val="Kfracture"/>
      <sheetName val="H.Satuan"/>
      <sheetName val="p9work"/>
      <sheetName val="Subcon A"/>
      <sheetName val="Subcon_A"/>
      <sheetName val="Land Dev't. Ph-1"/>
      <sheetName val="Hac.Lots"/>
      <sheetName val="4-Lane bridge"/>
      <sheetName val="Res.Lots"/>
      <sheetName val="Spine Road"/>
      <sheetName val="MANP"/>
      <sheetName val="Wind"/>
      <sheetName val="M-EQPT-Z"/>
      <sheetName val="salary"/>
      <sheetName val="XZLC003_PART1"/>
      <sheetName val="tabulation of deductions"/>
      <sheetName val="Insulation_Utl_Off"/>
      <sheetName val="Note_Piping"/>
      <sheetName val="DESBAST"/>
      <sheetName val="GAE8'97"/>
      <sheetName val="2.223M_due to adj profit"/>
      <sheetName val="Table"/>
      <sheetName val="co-no.2"/>
      <sheetName val="PipWT"/>
      <sheetName val="LLEGADA"/>
      <sheetName val="경비2내역"/>
      <sheetName val="EXRATE"/>
      <sheetName val="BOQ(검토용)"/>
      <sheetName val="UPA"/>
      <sheetName val="EQUI"/>
      <sheetName val="LABOR"/>
      <sheetName val="MATRI"/>
      <sheetName val="EQUIPT"/>
      <sheetName val="SCIC-GenReq"/>
      <sheetName val="Materials"/>
      <sheetName val="CPA_EQP"/>
      <sheetName val="Code 07"/>
      <sheetName val="eqpmt"/>
      <sheetName val="mat'ls"/>
      <sheetName val="hauling"/>
      <sheetName val="공사비SUM"/>
      <sheetName val="Assump (Time) - Project Co."/>
      <sheetName val="LabCost"/>
      <sheetName val="Code03"/>
      <sheetName val="UPA(Part C,D,E,G,H)"/>
      <sheetName val="UPA(Part F)"/>
      <sheetName val="일위대가 (Part C,D,E,G,H)"/>
      <sheetName val="ironmongery"/>
      <sheetName val="견적금액(2003.12.22)"/>
      <sheetName val="45,46"/>
      <sheetName val="ORIGN"/>
      <sheetName val="EL_표면적1"/>
      <sheetName val="Bid_Summary1"/>
      <sheetName val="장비검사_사진1"/>
      <sheetName val="12월_수선비_사용실적1"/>
      <sheetName val="Based_Data_WACC1"/>
      <sheetName val="BLR 1"/>
      <sheetName val="GEN"/>
      <sheetName val="GAS"/>
      <sheetName val="DEAE"/>
      <sheetName val="BLR2"/>
      <sheetName val="BLR3"/>
      <sheetName val="BLR4"/>
      <sheetName val="BLR5"/>
      <sheetName val="DEM"/>
      <sheetName val="SAM"/>
      <sheetName val="CHEM"/>
      <sheetName val="COP"/>
      <sheetName val="노임이"/>
      <sheetName val="Civ⁩l_24"/>
      <sheetName val="CRITERI⁁"/>
      <sheetName val="EST-1"/>
      <sheetName val="Factor"/>
      <sheetName val="Feuil3"/>
      <sheetName val="upah bahan"/>
      <sheetName val="ana"/>
      <sheetName val="SEX"/>
      <sheetName val="RefG"/>
      <sheetName val="IRR sponsor"/>
      <sheetName val="품셈TABLE"/>
      <sheetName val="LAST UPDATE"/>
      <sheetName val="Arch"/>
      <sheetName val="HRB"/>
      <sheetName val="sc"/>
      <sheetName val="worksheet"/>
      <sheetName val="Dir-Conc "/>
      <sheetName val="Derv"/>
      <sheetName val="BOQ-mdc"/>
      <sheetName val="EQ"/>
      <sheetName val="ﾄﾞﾊﾞｲFUEL GAS追見"/>
      <sheetName val="Forecast"/>
      <sheetName val="203 Eqpt r1"/>
      <sheetName val="project management"/>
      <sheetName val="1) COMMON FACILITIES"/>
      <sheetName val="PIPE"/>
      <sheetName val="FLANGE"/>
      <sheetName val="VALVE"/>
      <sheetName val="M"/>
      <sheetName val="4121"/>
      <sheetName val="BREAKDOWN(철거설치)"/>
      <sheetName val="TKOFF"/>
      <sheetName val="Exch Rates &amp; duties"/>
      <sheetName val="ANALYSIS"/>
      <sheetName val="Proj_Info"/>
      <sheetName val="Sheet2"/>
      <sheetName val="General_Data6"/>
      <sheetName val="OCT_FDN6"/>
      <sheetName val="Summary_Sheets6"/>
      <sheetName val="Pipe_Supports6"/>
      <sheetName val="EQUIP_LIST6"/>
      <sheetName val="P-HOT_XLS6"/>
      <sheetName val="Process_Piping6"/>
      <sheetName val="3__GROUNDING_SYSTEM6"/>
      <sheetName val="9_Material_Rates6"/>
      <sheetName val="Material_and_Manpower_data6"/>
      <sheetName val="Pricing_Summary6"/>
      <sheetName val="Alum_6"/>
      <sheetName val="2_2_STAFF_Scedule6"/>
      <sheetName val="HORI__VESSEL6"/>
      <sheetName val="steam_table6"/>
      <sheetName val="입출재고현황_(2)6"/>
      <sheetName val="Rate_Analysis6"/>
      <sheetName val="Civil_16"/>
      <sheetName val="Civil_26"/>
      <sheetName val="Civil_36"/>
      <sheetName val="Site_16"/>
      <sheetName val="Site_26"/>
      <sheetName val="Site_36"/>
      <sheetName val="Site_Faci6"/>
      <sheetName val="97_사업추정(WEKI)6"/>
      <sheetName val="MP_MOB6"/>
      <sheetName val="Inst_Matl_Table6"/>
      <sheetName val="Loop_Type6"/>
      <sheetName val="Man_Hole6"/>
      <sheetName val="GROUNDING_SYSTEM6"/>
      <sheetName val="1__설계조건_2_단면가정_3__하중계산6"/>
      <sheetName val="DATA_입력란6"/>
      <sheetName val="PAD_TR보호대기초6"/>
      <sheetName val="Car_park_lease6"/>
      <sheetName val="sum1_(2)6"/>
      <sheetName val="8_PILE__(돌출)4"/>
      <sheetName val="Utility_and_Fire_flange6"/>
      <sheetName val="bldg_list3"/>
      <sheetName val="L_V_Separator3"/>
      <sheetName val="Eq__Mobilization3"/>
      <sheetName val="MTO_REV_2(ARMOR)2"/>
      <sheetName val="Steel-Main_Work2"/>
      <sheetName val="D1_12"/>
      <sheetName val="D2_12"/>
      <sheetName val="Administrative_Prices2"/>
      <sheetName val="Proj_Cost_Sumry2"/>
      <sheetName val="Wt_of_Mod_2"/>
      <sheetName val="Air_Cooler-E1"/>
      <sheetName val="static_cal1"/>
      <sheetName val="SOS_PLC_&amp;_Panel1"/>
      <sheetName val="중간재_재공1"/>
      <sheetName val="118_세금과공과1"/>
      <sheetName val="108_수선비1"/>
      <sheetName val="EXT_CHECK1"/>
      <sheetName val="1_설계조건1"/>
      <sheetName val="M_111"/>
      <sheetName val="PKG_&quot;A&quot;_Detail_-_정풍"/>
      <sheetName val="Part_A"/>
      <sheetName val="Part_B"/>
      <sheetName val="Part_C"/>
      <sheetName val="_표지"/>
      <sheetName val="Valve_Cl"/>
      <sheetName val="Attach_4-18"/>
      <sheetName val="Page_2"/>
      <sheetName val="Subcon_TR"/>
      <sheetName val="Malaysia_incl__RET"/>
      <sheetName val="Paint_Mat_Summ"/>
      <sheetName val="EQUIPMENT_-2"/>
      <sheetName val="R01_p1"/>
      <sheetName val="Subcon_A1"/>
      <sheetName val="Land_Dev't__Ph-1"/>
      <sheetName val="Hac_Lots"/>
      <sheetName val="4-Lane_bridge"/>
      <sheetName val="Res_Lots"/>
      <sheetName val="Spine_Road"/>
      <sheetName val="7__Aeration_Tanks_(ATV)"/>
      <sheetName val="8__Aeration"/>
      <sheetName val="1__Project_Base"/>
      <sheetName val="Total_Staff"/>
      <sheetName val="0__SUMMARY"/>
      <sheetName val="1__Engineering"/>
      <sheetName val="2__Check_point"/>
      <sheetName val="II_Changes_1"/>
      <sheetName val="III_Changes_2"/>
      <sheetName val="Qty_"/>
      <sheetName val="OQC_Summary"/>
      <sheetName val="6_Unit_Rates"/>
      <sheetName val="tabulation_of_deductions"/>
      <sheetName val="2_223M_due_to_adj_profit"/>
      <sheetName val="co-no_2"/>
      <sheetName val="Code_07"/>
      <sheetName val="Assump_(Time)_-_Project_Co_"/>
      <sheetName val="UPA(Part_C,D,E,G,H)"/>
      <sheetName val="UPA(Part_F)"/>
      <sheetName val="일위대가_(Part_C,D,E,G,H)"/>
      <sheetName val="H_Satuan"/>
      <sheetName val="HOURS_INDEX"/>
      <sheetName val="RATE_INDEX"/>
      <sheetName val="Wind Calculation(cpi-0.4)"/>
      <sheetName val="cpvl"/>
      <sheetName val="CHITIET-DZ04"/>
      <sheetName val="OS"/>
      <sheetName val="Applications"/>
      <sheetName val="1.PPC Summary EN"/>
      <sheetName val="2.Price List"/>
      <sheetName val="3.Fireproofing"/>
      <sheetName val="FP List"/>
      <sheetName val="4.Equip. Insulation"/>
      <sheetName val="Insulation list"/>
      <sheetName val="5.Piping Insulation"/>
      <sheetName val="6.Painting"/>
      <sheetName val="7.RWEs"/>
      <sheetName val="8.CD&amp;VAT rbst"/>
      <sheetName val="detail vat and CD"/>
      <sheetName val="SQM"/>
      <sheetName val="G.R300경비"/>
      <sheetName val="A &amp; B"/>
      <sheetName val="Manpower List-1"/>
      <sheetName val="DAILY"/>
      <sheetName val="Index Daily Alloaction"/>
      <sheetName val="SUMMARY FOR DPR"/>
      <sheetName val="Manpower List"/>
      <sheetName val="CONCRETE"/>
      <sheetName val="직무명&amp;직무코드"/>
      <sheetName val="General"/>
      <sheetName val="Tubi"/>
      <sheetName val="final abstract"/>
      <sheetName val="Material "/>
      <sheetName val="Labour &amp; Plant"/>
      <sheetName val="Form 6"/>
      <sheetName val="PW3"/>
      <sheetName val="PW4"/>
      <sheetName val="SC1"/>
      <sheetName val="공사원가"/>
      <sheetName val="Curves"/>
      <sheetName val="Note"/>
      <sheetName val="Heads"/>
      <sheetName val="Dbase"/>
      <sheetName val="Project Brief"/>
      <sheetName val="Payment Certificate-1"/>
      <sheetName val="PCL-1"/>
      <sheetName val="Floor wet"/>
      <sheetName val="Floor Balcony"/>
      <sheetName val="Hard scape Floor"/>
      <sheetName val="P03 Skirting"/>
      <sheetName val="GF wall"/>
      <sheetName val="Kitchen Wall wet LIN-701"/>
      <sheetName val="Wall wet LIN-601 "/>
      <sheetName val="BOQ (2)"/>
      <sheetName val="Kitchen"/>
      <sheetName val="VO Schedule-1"/>
      <sheetName val="Fly-1"/>
      <sheetName val="HOLD AMOUNT"/>
      <sheetName val="Back Charge (2)"/>
      <sheetName val="Penalties-1"/>
      <sheetName val="Temporary Deductions-1 "/>
      <sheetName val="Contracharges Check list-1 "/>
      <sheetName val="PC 03"/>
      <sheetName val="Measurement sheet"/>
      <sheetName val="Material Only"/>
      <sheetName val="Man power supply"/>
      <sheetName val="Camp Deduction"/>
      <sheetName val="Material Standards"/>
      <sheetName val="Defn"/>
      <sheetName val="ALLOWANCE"/>
      <sheetName val="MH RATE"/>
      <sheetName val="man 150221"/>
      <sheetName val="Ummantelung"/>
      <sheetName val=" Armaflex "/>
      <sheetName val="Drahtnetzmatte"/>
      <sheetName val="   Basis-Kalk.   "/>
      <sheetName val="MW-Schale, alukasch."/>
      <sheetName val="UK, Kleinmaterial"/>
      <sheetName val="PUR, FOAMGLAS"/>
      <sheetName val="Cashflow Analysis"/>
      <sheetName val="beam-reinft-IIInd floor"/>
      <sheetName val="COLUMN"/>
      <sheetName val="Pipe Sizes"/>
      <sheetName val="EQUIVALENT LENGTH"/>
      <sheetName val="Estimate-Cold"/>
      <sheetName val="derive"/>
      <sheetName val="DESBASTE"/>
      <sheetName val="List Equip"/>
      <sheetName val="MatCost"/>
      <sheetName val="Process C (1-166)"/>
      <sheetName val="チューブ仕様"/>
      <sheetName val="예총"/>
      <sheetName val="Schedule S-Curve Revision#3"/>
      <sheetName val="TOSHIBA-Structure"/>
      <sheetName val="lookups"/>
      <sheetName val="ref"/>
      <sheetName val="Bach Dang"/>
      <sheetName val="Bill summary of cost"/>
      <sheetName val="THISWORKSHEET"/>
      <sheetName val="MATERIAL'S PRICE"/>
      <sheetName val="EqptRate (2)"/>
      <sheetName val="HSBC"/>
      <sheetName val="차액보증"/>
      <sheetName val="Activity(new)"/>
      <sheetName val="Total(new)"/>
      <sheetName val="BRICK"/>
      <sheetName val="ESCON"/>
      <sheetName val="Cash Flow bulanan"/>
      <sheetName val="6PILE  (돌출)"/>
      <sheetName val="RATES G-5"/>
      <sheetName val="RSB_RATIO"/>
      <sheetName val="Summary-In House"/>
      <sheetName val="factors"/>
      <sheetName val="UC"/>
      <sheetName val="BSD (2)"/>
      <sheetName val="PRICE-COMP"/>
      <sheetName val="an. struktur"/>
      <sheetName val="harsat"/>
      <sheetName val="Dashboard"/>
      <sheetName val="BP"/>
      <sheetName val="BOQ for HRSG &amp; BOP-mech."/>
      <sheetName val="Customize Your Invoi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 refreshError="1"/>
      <sheetData sheetId="642" refreshError="1"/>
      <sheetData sheetId="643"/>
      <sheetData sheetId="644" refreshError="1"/>
      <sheetData sheetId="645" refreshError="1"/>
      <sheetData sheetId="646" refreshError="1"/>
      <sheetData sheetId="647"/>
      <sheetData sheetId="648"/>
      <sheetData sheetId="649"/>
      <sheetData sheetId="650"/>
      <sheetData sheetId="651"/>
      <sheetData sheetId="652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/>
      <sheetData sheetId="884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系統_成本中心"/>
      <sheetName val="系統_成本中心_FINAL"/>
      <sheetName val="系統_科目名稱"/>
      <sheetName val="系統_資本支出類別"/>
      <sheetName val="主管名單"/>
      <sheetName val="作業面的會計科目分類"/>
      <sheetName val="1"/>
      <sheetName val="費用科目本文"/>
      <sheetName val="主管時間"/>
      <sheetName val="C10每月預估用量(箱)"/>
      <sheetName val="C10預估用量(pcs)"/>
      <sheetName val="儲存空間"/>
      <sheetName val="C1用量"/>
      <sheetName val="Sheet3"/>
      <sheetName val="進貨 schedule"/>
      <sheetName val="廠商&amp;單價"/>
      <sheetName val="for 庫房 schedule"/>
      <sheetName val="進貨_schedule"/>
      <sheetName val="for_庫房_schedule"/>
      <sheetName val="Motor_Power_List"/>
      <sheetName val="選單內容"/>
      <sheetName val="72HX"/>
      <sheetName val="75EX"/>
      <sheetName val="72HY"/>
      <sheetName val="75EY"/>
      <sheetName val="Capacity"/>
      <sheetName val="Fab Output Plan"/>
      <sheetName val="Fab Input Plan"/>
      <sheetName val="UPs"/>
      <sheetName val="PMD"/>
      <sheetName val="list (1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mach_out"/>
      <sheetName val="bn"/>
      <sheetName val="PDMIX"/>
      <sheetName val="PDMIX_SUMMARY"/>
      <sheetName val="DRY-CON"/>
      <sheetName val="COL-TI"/>
      <sheetName val="ALCU"/>
      <sheetName val="SPUTTER"/>
      <sheetName val="DRY_CON"/>
      <sheetName val="Macro1"/>
      <sheetName val="1998"/>
      <sheetName val="Data"/>
      <sheetName val="單價表STD"/>
      <sheetName val="報價結構"/>
      <sheetName val="HEAD_COVER"/>
      <sheetName val="_x0000_àL-TI"/>
      <sheetName val="?àL-TI"/>
      <sheetName val=""/>
      <sheetName val="_àL-TI"/>
      <sheetName val="Total pt-base"/>
      <sheetName val="List (1)"/>
      <sheetName val="PubVariable"/>
      <sheetName val="FAB별"/>
      <sheetName val="mach_out範本"/>
      <sheetName val="_x005f_x0000_àL-TI"/>
      <sheetName val="IS Data (2001)"/>
      <sheetName val="_x005f_x005f_x005f_x0000_àL-TI"/>
      <sheetName val="Ex. Rate"/>
      <sheetName val="Parameter"/>
      <sheetName val="SA1 起業計画案（新）"/>
      <sheetName val="7A"/>
      <sheetName val="Raw Data"/>
      <sheetName val="input"/>
      <sheetName val="1月維修費用"/>
      <sheetName val="S11"/>
      <sheetName val="二期"/>
      <sheetName val="lg13s70b0-2pf"/>
      <sheetName val="fcs4Q00-Rolling"/>
      <sheetName val="Book_H"/>
      <sheetName val="8&quot; Idle Tool List_V2.0"/>
      <sheetName val="Pub"/>
      <sheetName val="設定"/>
      <sheetName val="Valve"/>
      <sheetName val="PKG"/>
      <sheetName val="FOB발"/>
      <sheetName val="_x005f_x005f_x005f_x005f_x005f_x005f_x005f_x0000_àL-TI"/>
      <sheetName val="_x005f_x005f_x005f_x005f_x005f_x005f_x005f_x005f_x005f_x005f_"/>
      <sheetName val="COST"/>
      <sheetName val="BreakDowns_USD"/>
      <sheetName val="Fab Output Plan"/>
      <sheetName val="P4DBJ033"/>
      <sheetName val="Total_pt-base"/>
      <sheetName val="List_(1)"/>
      <sheetName val="IS_Data_(2001)"/>
      <sheetName val="Ex__Rate"/>
      <sheetName val="SA1_起業計画案（新）"/>
      <sheetName val="Raw_Data"/>
      <sheetName val="8&quot;_Idle_Tool_List_V2_0"/>
      <sheetName val="Fab_Output_Plan"/>
      <sheetName val="Total_pt-base1"/>
      <sheetName val="List_(1)1"/>
      <sheetName val="IS_Data_(2001)1"/>
      <sheetName val="Ex__Rate1"/>
      <sheetName val="SA1_起業計画案（新）1"/>
      <sheetName val="Raw_Data1"/>
      <sheetName val="8&quot;_Idle_Tool_List_V2_01"/>
      <sheetName val="Fab_Output_Plan1"/>
      <sheetName val="_x005f_x005f_x005f_x005f_"/>
      <sheetName val="KEYIN"/>
      <sheetName val="Hidden"/>
      <sheetName val="Tool Code"/>
      <sheetName val="Total_pt-base2"/>
      <sheetName val="List_(1)2"/>
      <sheetName val="IS_Data_(2001)2"/>
      <sheetName val="Ex__Rate2"/>
      <sheetName val="SA1_起業計画案（新）2"/>
      <sheetName val="Raw_Data2"/>
      <sheetName val="8&quot;_Idle_Tool_List_V2_02"/>
      <sheetName val="Fab_Output_Plan2"/>
      <sheetName val="Total_pt-base3"/>
      <sheetName val="List_(1)3"/>
      <sheetName val="IS_Data_(2001)3"/>
      <sheetName val="Ex__Rate3"/>
      <sheetName val="SA1_起業計画案（新）3"/>
      <sheetName val="Raw_Data3"/>
      <sheetName val="8&quot;_Idle_Tool_List_V2_03"/>
      <sheetName val="Fab_Output_Plan3"/>
      <sheetName val="_x005f_x005f_x005f_x005f_x005f_x005f_x005f_x005f_"/>
      <sheetName val="Total_pt-base4"/>
      <sheetName val="List_(1)4"/>
      <sheetName val="IS_Data_(2001)4"/>
      <sheetName val="Ex__Rate4"/>
      <sheetName val="SA1_起業計画案（新）4"/>
      <sheetName val="Raw_Data4"/>
      <sheetName val="8&quot;_Idle_Tool_List_V2_04"/>
      <sheetName val="Fab_Output_Plan4"/>
      <sheetName val="Tool_Code"/>
      <sheetName val="Motor_Power_List"/>
      <sheetName val="三新__QUO"/>
      <sheetName val="L20"/>
      <sheetName val="L30"/>
      <sheetName val="L40"/>
      <sheetName val="Other"/>
      <sheetName val="復原_Sheet7"/>
      <sheetName val="復原_Sheet8"/>
      <sheetName val="鳳農土"/>
      <sheetName val="_x005f_x005f_"/>
      <sheetName val="6월인원"/>
      <sheetName val="單價"/>
      <sheetName val="Rcp_mix"/>
      <sheetName val="PW"/>
      <sheetName val="CZ"/>
      <sheetName val="_x005f_x005f_x005F"/>
      <sheetName val="標單"/>
      <sheetName val="01FIX"/>
      <sheetName val="01VAR"/>
      <sheetName val=" Dep  Calcu."/>
      <sheetName val="_Dep__Calcu_"/>
      <sheetName val="Tool_Code1"/>
      <sheetName val="_Dep__Calcu_1"/>
      <sheetName val="Tool_Code2"/>
      <sheetName val="_Dep__Calcu_2"/>
      <sheetName val="Tool_Code3"/>
      <sheetName val="Tool_Code4"/>
      <sheetName val="Sheet4"/>
      <sheetName val="_"/>
      <sheetName val="_x005F"/>
      <sheetName val="三新盤2X"/>
      <sheetName val="基準在庫數"/>
      <sheetName val="8521"/>
      <sheetName val="ATC實驗室進度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4 (2)"/>
      <sheetName val="Sheet1 (2)"/>
      <sheetName val="MQC CT"/>
      <sheetName val="Sheet1"/>
      <sheetName val="Sheet2"/>
      <sheetName val="mqc time"/>
      <sheetName val="Sheet5"/>
      <sheetName val="MQC借機流程"/>
      <sheetName val="MQC訓練日程"/>
      <sheetName val="MQC機況彙整"/>
      <sheetName val="Sheet1 _2_"/>
      <sheetName val="Sheet4_(2)"/>
      <sheetName val="Sheet1_(2)"/>
      <sheetName val="MQC_CT"/>
      <sheetName val="mqc_time"/>
      <sheetName val="Sheet1__2_"/>
      <sheetName val="主管名單"/>
      <sheetName val="★Friends 핵심 Member 교육"/>
      <sheetName val="업체의 LPL소속정보"/>
      <sheetName val="MQC CT 0.5"/>
      <sheetName val="T315XW01 Final"/>
      <sheetName val="LingoIn"/>
      <sheetName val="Main_LCD"/>
      <sheetName val="Rampup"/>
      <sheetName val="LingoOut"/>
      <sheetName val="Lingo"/>
      <sheetName val="BP By Fab"/>
      <sheetName val="預算總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Material"/>
      <sheetName val="Basic"/>
      <sheetName val="Data"/>
      <sheetName val="UN2"/>
      <sheetName val="UCA"/>
      <sheetName val="CDA"/>
      <sheetName val="PCDA"/>
      <sheetName val="GN2"/>
      <sheetName val="PN2"/>
      <sheetName val="PAr"/>
      <sheetName val="PO2"/>
      <sheetName val="PHe"/>
      <sheetName val="Total Material"/>
      <sheetName val="Total_Material"/>
      <sheetName val="DRY-CON"/>
      <sheetName val="exh branch(8k)(依前購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M (總價)"/>
      <sheetName val="BOM(點數表)"/>
      <sheetName val="List (1)"/>
      <sheetName val="List (2)"/>
      <sheetName val="TYPE List"/>
      <sheetName val="A"/>
      <sheetName val="B"/>
      <sheetName val="C"/>
      <sheetName val="D"/>
      <sheetName val="E"/>
      <sheetName val="F"/>
      <sheetName val="F-1"/>
      <sheetName val="F-2"/>
      <sheetName val="G"/>
      <sheetName val="H"/>
      <sheetName val="Sheet2"/>
      <sheetName val="Sheet3"/>
      <sheetName val="BOM_(總價)"/>
      <sheetName val="List_(1)"/>
      <sheetName val="List_(2)"/>
      <sheetName val="TYPE_List"/>
      <sheetName val="Sheet1_(2)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CW level B1"/>
      <sheetName val="MUA-T level 30"/>
      <sheetName val="PCW level 30"/>
      <sheetName val="MUA-C level 30"/>
      <sheetName val="MUA-C level 80"/>
      <sheetName val="EXH level 80"/>
      <sheetName val="MUA-L level 80"/>
      <sheetName val="GEX roof"/>
      <sheetName val="Motor Power List"/>
      <sheetName val="PCW_level_B1"/>
      <sheetName val="MUA-T_level_30"/>
      <sheetName val="PCW_level_30"/>
      <sheetName val="MUA-C_level_30"/>
      <sheetName val="MUA-C_level_80"/>
      <sheetName val="EXH_level_80"/>
      <sheetName val="MUA-L_level_80"/>
      <sheetName val="GEX_roof"/>
      <sheetName val="Motor_Power_List"/>
      <sheetName val="Sheet1_(2)"/>
      <sheetName val="hook 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M"/>
      <sheetName val="Electric"/>
      <sheetName val="附件一"/>
      <sheetName val="Bulk gas"/>
      <sheetName val="Special gas"/>
      <sheetName val="Chemical"/>
      <sheetName val="Drain"/>
      <sheetName val="附件二"/>
      <sheetName val="Exhaust"/>
      <sheetName val="附件三"/>
      <sheetName val="VAC"/>
      <sheetName val="Water"/>
      <sheetName val="附件四"/>
      <sheetName val="special request"/>
      <sheetName val="附件五"/>
      <sheetName val="標準設置space"/>
      <sheetName val="Buffer space參考"/>
      <sheetName val="Moving corner參考"/>
      <sheetName val="Bulk_gas"/>
      <sheetName val="Special_gas"/>
      <sheetName val="special_request"/>
      <sheetName val="Buffer_space參考"/>
      <sheetName val="Moving_corner參考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假設工程"/>
      <sheetName val="標單"/>
      <sheetName val="投標標價呈核表"/>
      <sheetName val="開標結果"/>
      <sheetName val="E3"/>
      <sheetName val="1998"/>
      <sheetName val="Data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mp"/>
      <sheetName val="Cmp6"/>
      <sheetName val="Cmp8"/>
      <sheetName val="forF"/>
      <sheetName val="Max_Test (2)"/>
      <sheetName val="Warn"/>
      <sheetName val="Warn (2)"/>
      <sheetName val="Warn_1"/>
      <sheetName val="Warn_2"/>
      <sheetName val="1998"/>
      <sheetName val="1999"/>
      <sheetName val="Max_Test"/>
      <sheetName val="2000"/>
      <sheetName val="T99byQ"/>
      <sheetName val="Location"/>
      <sheetName val="標單"/>
      <sheetName val="Max_Test_(2)"/>
      <sheetName val="Warn_(2)"/>
      <sheetName val="Max_Test_(2)1"/>
      <sheetName val="Warn_(2)1"/>
      <sheetName val="DRY-CON"/>
      <sheetName val="Capacity__0302"/>
      <sheetName val="Sheet4"/>
      <sheetName val="Category"/>
      <sheetName val="F14 format"/>
      <sheetName val="Input"/>
      <sheetName val="AdjustAvail"/>
      <sheetName val="AdjustEff"/>
      <sheetName val="AdjustWPH"/>
      <sheetName val="D_Layer"/>
      <sheetName val="ToolQty"/>
      <sheetName val="提供Move加總"/>
      <sheetName val="Parameter"/>
      <sheetName val="SCM Capacity by Foundry Type"/>
      <sheetName val="Distri'n SCM Capacity by Tech"/>
      <sheetName val="Worksheet"/>
      <sheetName val="SCM_Capacity_by_Foundry_Type"/>
      <sheetName val="Distri'n_SCM_Capacity_by_Tech"/>
      <sheetName val="Audit  frequency"/>
      <sheetName val="Hidden"/>
      <sheetName val="工作表2"/>
      <sheetName val="配管進度"/>
      <sheetName val="PhaseII"/>
      <sheetName val="COST"/>
      <sheetName val="Pub"/>
      <sheetName val="BreakDowns_USD"/>
      <sheetName val="Max_Test_(2)2"/>
      <sheetName val="Exh Branch(8K)(依前購)"/>
      <sheetName val="主管名單"/>
      <sheetName val="8521"/>
      <sheetName val="#RE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ueryParam"/>
      <sheetName val="Data3"/>
      <sheetName val="Data2"/>
      <sheetName val="Data1"/>
      <sheetName val="FOM-2 DDE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ueryParam"/>
      <sheetName val="Data3"/>
      <sheetName val="Data2"/>
      <sheetName val="Data1"/>
      <sheetName val="FOM-2 DDE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ol Sum by Area"/>
      <sheetName val="Mix"/>
      <sheetName val="Model"/>
      <sheetName val="aggregated ata"/>
      <sheetName val="018, 015"/>
      <sheetName val="022, 025"/>
      <sheetName val="Tool_Sum_by_Area"/>
      <sheetName val="aggregated_ata"/>
      <sheetName val="018,_015"/>
      <sheetName val="022,_025"/>
      <sheetName val="DRY-C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CW level B1"/>
      <sheetName val="MUA-T level 30"/>
      <sheetName val="PCW level 30"/>
      <sheetName val="MUA-C level 30"/>
      <sheetName val="MUA-C level 80"/>
      <sheetName val="EXH level 80"/>
      <sheetName val="MUA-L level 80"/>
      <sheetName val="GEX roof"/>
      <sheetName val="Motor Power List"/>
      <sheetName val="PCW_level_B1"/>
      <sheetName val="MUA-T_level_30"/>
      <sheetName val="PCW_level_30"/>
      <sheetName val="MUA-C_level_30"/>
      <sheetName val="MUA-C_level_80"/>
      <sheetName val="EXH_level_80"/>
      <sheetName val="MUA-L_level_80"/>
      <sheetName val="GEX_roof"/>
      <sheetName val="Motor_Power_List"/>
      <sheetName val="Sheet1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 ECN"/>
      <sheetName val="L5C"/>
      <sheetName val="L7A"/>
      <sheetName val="L7A Capa"/>
      <sheetName val="L7A MI"/>
      <sheetName val="L7A Local. ENG"/>
      <sheetName val="L7A Local."/>
      <sheetName val="L5C EQ"/>
      <sheetName val="L5C From-To"/>
      <sheetName val="L5C EQ Calls"/>
      <sheetName val="Lifter"/>
      <sheetName val="窗口"/>
      <sheetName val="檔案位置"/>
      <sheetName val="Tasks"/>
      <sheetName val="L7A EQ"/>
      <sheetName val="ACANI200"/>
      <sheetName val="Part B Accomplishment"/>
      <sheetName val="Part C Goal Setting"/>
      <sheetName val="Part D Development Plan"/>
      <sheetName val="IE_ECN"/>
      <sheetName val="L7A_Capa"/>
      <sheetName val="L7A_MI"/>
      <sheetName val="L7A_Local__ENG"/>
      <sheetName val="L7A_Local_"/>
      <sheetName val="L5C_EQ"/>
      <sheetName val="L5C_From-To"/>
      <sheetName val="L5C_EQ_Calls"/>
      <sheetName val="L7A_EQ"/>
      <sheetName val="Part_B_Accomplishment"/>
      <sheetName val="Part_C_Goal_Setting"/>
      <sheetName val="Part_D_Development_Plan"/>
      <sheetName val="Motor_Power_Lis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tinerary"/>
      <sheetName val="Questionaire"/>
      <sheetName val="Contact information"/>
      <sheetName val="US Fab Index"/>
      <sheetName val="US Fab Index details"/>
      <sheetName val="工種與工資"/>
      <sheetName val="WaferTech"/>
      <sheetName val="Jacobs + Exyte"/>
      <sheetName val="Exyte"/>
      <sheetName val="Jacobs"/>
      <sheetName val="US Fab Pkg"/>
      <sheetName val="CTCI 0929 (2)"/>
      <sheetName val="TSMC &amp; CTCI 1005"/>
      <sheetName val="AZ Utility"/>
      <sheetName val="TSMC 0922"/>
      <sheetName val="CTCI 0929"/>
      <sheetName val="CTCI 0925"/>
      <sheetName val="TSMC 0921"/>
      <sheetName val="TSMC Package"/>
      <sheetName val="PO"/>
      <sheetName val="Floor Space"/>
      <sheetName val="2020 ENR"/>
      <sheetName val="ENR"/>
      <sheetName val="Top US Firm"/>
      <sheetName val="Top Design-firm"/>
      <sheetName val="Top Contractor"/>
      <sheetName val="Top Specialty Contractor"/>
      <sheetName val="Waste"/>
      <sheetName val="Trade code"/>
      <sheetName val="Intel"/>
      <sheetName val="Samsung"/>
      <sheetName val="US Fab 300mm"/>
      <sheetName val="Summay (US Fab) (2)"/>
      <sheetName val="Company Detail (US)"/>
      <sheetName val="Company Detail"/>
      <sheetName val="Project Spending"/>
      <sheetName val="Fabs Starting Construct"/>
      <sheetName val="Spending by Region"/>
      <sheetName val="Spending by Company"/>
      <sheetName val="Cap by CountryRegion"/>
      <sheetName val="Capacity by Company"/>
      <sheetName val="Cap by Foundries"/>
      <sheetName val="Cap by Wafsiz 2019"/>
      <sheetName val="Cap by Product Type 2019"/>
      <sheetName val="Graphs and Tables"/>
      <sheetName val="Cap by Geom 2019"/>
      <sheetName val="Definitions, Other Reports"/>
      <sheetName val="Fabs Starting Operation"/>
      <sheetName val="Summary 1"/>
      <sheetName val="DBDispla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M"/>
      <sheetName val="Electric"/>
      <sheetName val="Bulk gas"/>
      <sheetName val="Special gas"/>
      <sheetName val="Chemical"/>
      <sheetName val="Drain"/>
      <sheetName val="Exhaust"/>
      <sheetName val="VAC"/>
      <sheetName val="Water"/>
      <sheetName val="special request"/>
      <sheetName val="Bulk_gas"/>
      <sheetName val="Special_gas"/>
      <sheetName val="special_reque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單價分析"/>
      <sheetName val="Exh Branch(8K)(依前購)"/>
      <sheetName val="Fab6 Tool List"/>
      <sheetName val="Exh_Branch(8K)(依前購)"/>
      <sheetName val="Fab6_Tool_List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OK UP"/>
      <sheetName val="HOOK_UP"/>
    </sheetNames>
    <sheetDataSet>
      <sheetData sheetId="0"/>
      <sheetData sheetId="1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MB Utility"/>
      <sheetName val="Specialty Gas 6F"/>
      <sheetName val="GC Utility "/>
      <sheetName val="Specialty Gas (7F)"/>
      <sheetName val="지수"/>
      <sheetName val="Tool Code"/>
      <sheetName val="018l(14k)"/>
      <sheetName val="除外工時排序"/>
      <sheetName val="Exh Branch(8K)(依前購)"/>
      <sheetName val="監控"/>
      <sheetName val="Fab6 Tool List"/>
      <sheetName val="Price"/>
      <sheetName val="Y2KPR"/>
      <sheetName val="1998"/>
      <sheetName val="Sheet4"/>
      <sheetName val="Data"/>
      <sheetName val="报价单"/>
      <sheetName val="GN2-Piping-Material"/>
      <sheetName val="HOOK UP"/>
      <sheetName val="VMB_Utility"/>
      <sheetName val="Specialty_Gas_6F"/>
      <sheetName val="GC_Utility_"/>
      <sheetName val="Specialty_Gas_(7F)"/>
      <sheetName val="Tool_Code"/>
      <sheetName val="Exh_Branch(8K)(依前購)"/>
      <sheetName val="Fab6_Tool_List"/>
      <sheetName val="HOOK_UP"/>
      <sheetName val="Mix"/>
      <sheetName val="eqplist"/>
      <sheetName val="P6 tool control table_rolling"/>
      <sheetName val="FOB발"/>
      <sheetName val="預算總表"/>
      <sheetName val="P280297"/>
      <sheetName val="Seite_1"/>
      <sheetName val="Sheet1"/>
      <sheetName val="Toolbox"/>
      <sheetName val="프랜트면허"/>
      <sheetName val="토목주소"/>
      <sheetName val="Setup"/>
      <sheetName val="Labor-Matl Recap"/>
      <sheetName val="FEST &amp; Subcontracts"/>
      <sheetName val="Sheet2"/>
      <sheetName val="Material-rev2"/>
      <sheetName val="2.1 受電設備棟"/>
      <sheetName val="2.2 受・防火水槽"/>
      <sheetName val="2.3 排水処理設備棟"/>
      <sheetName val="2.4 倉庫棟"/>
      <sheetName val="2.5 守衛棟"/>
      <sheetName val="DETAILED DESIGN SHEETS DEC 01"/>
      <sheetName val="PhaseII"/>
      <sheetName val="保稅資料"/>
      <sheetName val="2012費用彙總"/>
      <sheetName val="금융비용"/>
      <sheetName val="#REF!"/>
      <sheetName val="Depreciation"/>
      <sheetName val="总价"/>
      <sheetName val="#REF"/>
      <sheetName val="预算"/>
      <sheetName val="參數設定"/>
      <sheetName val="基础数据表"/>
      <sheetName val="G.1R-Shou COP Gf"/>
      <sheetName val="EQT-ESTN"/>
      <sheetName val="2008年试用版"/>
      <sheetName val="Step 3 - Breakdown"/>
      <sheetName val="POWER ASSUMPTIONS"/>
      <sheetName val="一発シート"/>
      <sheetName val="抵抗4月"/>
      <sheetName val="SW-TEO"/>
      <sheetName val="Open"/>
      <sheetName val="Technology ID"/>
      <sheetName val="Valv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呈核表-東"/>
      <sheetName val="分析表-東"/>
      <sheetName val="東二廠"/>
      <sheetName val="分析表-青"/>
      <sheetName val="青年廠"/>
      <sheetName val="Tool Code"/>
      <sheetName val="018l(14k)"/>
      <sheetName val="Tool_Code"/>
      <sheetName val="VMB Utility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水土保持變更預算表"/>
      <sheetName val="水土保持變更合約"/>
      <sheetName val="水土保持變更標單"/>
      <sheetName val="單價分析表"/>
      <sheetName val="青年廠"/>
      <sheetName val="Tool Code"/>
      <sheetName val="Tool_Code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Ⅰ"/>
      <sheetName val="Ⅱ"/>
      <sheetName val="Ⅲ"/>
      <sheetName val="DIESEL"/>
      <sheetName val="補充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ping BQ for one turbine"/>
      <sheetName val="P-Labor"/>
      <sheetName val="산근"/>
      <sheetName val="Multi-currency"/>
      <sheetName val="معد .ث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施工申請清單"/>
      <sheetName val="施工種類"/>
      <sheetName val="施工區域"/>
      <sheetName val="施工申請人"/>
      <sheetName val="施工廠商"/>
      <sheetName val="施工人數"/>
      <sheetName val="名單"/>
      <sheetName val="施工申請一覽表930927~931003"/>
      <sheetName val="空調課設備系統別分類"/>
      <sheetName val="GN2-Piping-Material"/>
      <sheetName val="10_2_1"/>
      <sheetName val="Trouble Shooting"/>
      <sheetName val="初期値"/>
      <sheetName val="SA1 起業計画案（新）"/>
      <sheetName val="PhaseII"/>
      <sheetName val="Fab Output Plan"/>
      <sheetName val="有格線"/>
      <sheetName val="分類"/>
      <sheetName val="CellData"/>
      <sheetName val="Class mapping"/>
      <sheetName val="缺失類型"/>
      <sheetName val="Motor Power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缺失類型"/>
      <sheetName val="總表"/>
      <sheetName val="類型分佈"/>
      <sheetName val="缺失類型Chart"/>
      <sheetName val="廠商類型Chart"/>
      <sheetName val="各部門件數統計及類型重點分析"/>
      <sheetName val="BOM "/>
      <sheetName val="Motor Power List"/>
      <sheetName val="Sheet7"/>
      <sheetName val="Sheet1"/>
      <sheetName val="Sheet2"/>
      <sheetName val="Sheet8"/>
      <sheetName val="Sheet3"/>
      <sheetName val="Sheet4"/>
      <sheetName val="Sheet5"/>
      <sheetName val="主管名單"/>
      <sheetName val="電控個人完成率統計表"/>
      <sheetName val="TOP 10"/>
      <sheetName val="raw"/>
      <sheetName val="施工區域"/>
      <sheetName val="W17Weekly Audit Report"/>
      <sheetName val="Class mapping"/>
      <sheetName val="10_2_1"/>
      <sheetName val="大譽-2MA001"/>
      <sheetName val="CellData"/>
      <sheetName val="exhaust"/>
      <sheetName val="vac"/>
      <sheetName val="wa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View1" id="{57517657-DB8A-4A7E-A169-8AF868D547EE}">
    <nsvFilter filterId="{DEED55AB-C640-4F02-AEFA-389F65279AA8}" ref="A1:CT425" tableId="4">
      <columnFilter colId="7" id="{443302B8-8417-4C74-9862-AB9FA9D01447}">
        <filter colId="7">
          <x:filters>
            <x:filter val="4590002290"/>
            <x:filter val="(NonBlanks)"/>
          </x:filters>
        </filter>
      </columnFilter>
    </nsvFilter>
  </namedSheetView>
  <namedSheetView name="檢視1" id="{09FF52EC-08F7-4255-A52B-6ED15F633B09}">
    <nsvFilter filterId="{DEED55AB-C640-4F02-AEFA-389F65279AA8}" ref="A1:CT425" tableId="4">
      <columnFilter colId="0" id="{D5A6EBC6-6ED7-4277-BA2D-1F305F3EE43D}">
        <filter colId="0">
          <x:filters>
            <x:filter val="AMHS"/>
            <x:filter val="Base Build"/>
            <x:filter val="EBO"/>
            <x:filter val="FAB Requirement (FAC)"/>
            <x:filter val="Fab Work"/>
            <x:filter val="ISEP"/>
            <x:filter val="Module Interconnection"/>
            <x:filter val="O&amp;M"/>
            <x:filter val="Others"/>
          </x:filters>
        </filter>
      </columnFilter>
      <columnFilter colId="1" id="{B7B41BE9-2C63-4EB4-9B6F-349C70FAC987}">
        <filter colId="1">
          <x:filters blank="1">
            <x:filter val="AMHS"/>
            <x:filter val="EBO"/>
            <x:filter val="IPMD"/>
            <x:filter val="ISEP"/>
            <x:filter val="IT"/>
            <x:filter val="NFDD"/>
            <x:filter val="Operation"/>
            <x:filter val="設備"/>
            <x:filter val="新工"/>
            <x:filter val="製造"/>
          </x:filters>
        </filter>
      </columnFilter>
      <columnFilter colId="4" id="{426E6388-49B3-41E9-B1E7-3B9DBA594631}">
        <filter colId="4">
          <x:filters blank="1">
            <x:filter val="Andy Chen"/>
            <x:filter val="Chao Chia"/>
            <x:filter val="Chihhao"/>
            <x:filter val="David Nystorm"/>
            <x:filter val="David Nystrom"/>
            <x:filter val="Emon"/>
            <x:filter val="Emon Roy"/>
            <x:filter val="Henry Yang"/>
            <x:filter val="Jim"/>
            <x:filter val="Jim Chiang"/>
            <x:filter val="Jim/Andy Chen"/>
            <x:filter val="Johnny Wan"/>
            <x:filter val="Kate"/>
            <x:filter val="Kate Wu"/>
            <x:filter val="Kun An Liu"/>
            <x:filter val="Martin"/>
            <x:filter val="NA"/>
            <x:filter val="Paul Hsu"/>
            <x:filter val="Shannon"/>
            <x:filter val="Tylor"/>
          </x:filters>
        </filter>
      </columnFilter>
      <columnFilter colId="5" id="{04820A80-2F25-405D-8137-BEB8B79207BF}">
        <filter colId="5">
          <x:filters blank="1">
            <x:filter val="Arunas"/>
            <x:filter val="Chihhao"/>
            <x:filter val="Dahlia"/>
            <x:filter val="David Short"/>
            <x:filter val="Emon"/>
            <x:filter val="Emon/Chihhao"/>
            <x:filter val="Emon/Jack"/>
            <x:filter val="Grant"/>
            <x:filter val="Henry"/>
            <x:filter val="Henry Yang"/>
            <x:filter val="Herny"/>
            <x:filter val="Jack"/>
            <x:filter val="Jaivan"/>
            <x:filter val="Jeffrey"/>
            <x:filter val="Jim"/>
            <x:filter val="Johnny Wan"/>
            <x:filter val="Johnny Wan/Sun Ling"/>
            <x:filter val="Johnny Yang"/>
            <x:filter val="Kate"/>
            <x:filter val="Kate Wu"/>
            <x:filter val="Manuel"/>
            <x:filter val="Paul Hsu"/>
            <x:filter val="Shannon"/>
            <x:filter val="Shawn"/>
            <x:filter val="Shawn Liu"/>
            <x:filter val="Thomas"/>
            <x:filter val="Thomas/CH"/>
            <x:filter val="Thomas/Grant/Arunas"/>
            <x:filter val="TJ"/>
            <x:filter val="Tylor"/>
            <x:filter val="Wanchun"/>
            <x:filter val="Wan-chun"/>
          </x:filters>
        </filter>
      </columnFilter>
      <columnFilter colId="6" id="{1968AB80-C160-4D95-8AEA-23FD06148C55}">
        <filter colId="6">
          <x:filters>
            <x:filter val="MIC"/>
            <x:filter val="TSMC"/>
            <x:filter val="TSMC, A.C. Lee 黎安成 &lt;ACLEE@TSMC.COM&gt;"/>
            <x:filter val="TSMC, Amy"/>
            <x:filter val="TSMC, Analicia"/>
            <x:filter val="TSMC, Chih Ching Lin"/>
            <x:filter val="TSMC, Chin-Yu Wan/Jeremy Wan/115918/F21-AMHS/7713507"/>
            <x:filter val="TSMC, Chi-Wei"/>
            <x:filter val="TSMC, Chong-cheng"/>
            <x:filter val="TSMC, Chong-Cheng Su &lt;CCSUU@TSMC.COM&gt;"/>
            <x:filter val="TSMC, Chris Grider &lt;CGRIDER@TSMC.COM&gt;; SCKUOE@TSMC.COM"/>
            <x:filter val="TSMC, David C.C. Fu 傅至傑 &lt;CCFUC@TSMC.COM&gt;"/>
            <x:filter val="TSMC, Edward"/>
            <x:filter val="TSMC, Edwards"/>
            <x:filter val="TSMC, Fred/Chester"/>
            <x:filter val="TSMC, Grant"/>
            <x:filter val="TSMC, Grant Shih &lt;YUSHIH@TSMC.COM&gt;"/>
            <x:filter val="TSMC, H.H. Pan 潘信華 &lt;HHPAN@TSMC.COM&gt;"/>
            <x:filter val="TSMC, Han Deng/NFCD"/>
            <x:filter val="TSMC, HH"/>
            <x:filter val="TSMC, Jimmy Tang 湯仁義 &lt;jytang@TSMC.COM&gt;"/>
            <x:filter val="TSMC, Jonathan Kang"/>
            <x:filter val="TSMC, Jonathan Kang &lt;HSUANK@TSMC.COM&gt;"/>
            <x:filter val="TSMC, Jonathan Kang/Jonathan Kang/116191/F21-AMHS/7713514"/>
            <x:filter val="TSMC, Joy/得威"/>
            <x:filter val="TSMC, K.S TUNG 董冠昇 &lt;KSTUNG@TSMC.COM&gt;"/>
            <x:filter val="TSMC, Kevin Chou"/>
            <x:filter val="TSMC, LWWANG@TSMC.COM"/>
            <x:filter val="TSMC, Rosemarie BISQUERA@TSMC.COM"/>
            <x:filter val="TSMC, Sabrina Cervante"/>
            <x:filter val="TSMC, Sabrina Cervantes"/>
            <x:filter val="TSMC, Scott Smith/F21-ISEP"/>
            <x:filter val="TSMC, Stanley Chen"/>
            <x:filter val="TSMC, Stanley Chen 陳嘉宏 CHENCHZW@TSMC.COM/ David C.C. Fu 傅至傑 CCFUC@TSMC.COM"/>
            <x:filter val="TSMC, Vince"/>
            <x:filter val="TSMC, Vince Tsai &lt;TCTSAIJ@TSMC.COM&gt;"/>
            <x:filter val="TSMC, 王靖尊"/>
            <x:filter val="TSMC, 王鄧安"/>
            <x:filter val="TSMC, 吳光鈞"/>
            <x:filter val="TSMC, 吳宗諺/F21-PVD2"/>
            <x:filter val="TSMC, 吳宗諺/PVD"/>
            <x:filter val="TSMC, 吳曜安"/>
            <x:filter val="TSMC, 杜之雄"/>
            <x:filter val="TSMC, 林國聖/LITHO"/>
            <x:filter val="TSMC, 威昂"/>
            <x:filter val="TSMC, 昱安"/>
            <x:filter val="TSMC, 張盈淳"/>
            <x:filter val="TSMC, 得威"/>
            <x:filter val="TSMC, 敏宏"/>
            <x:filter val="TSMC, 莊鎧瑋"/>
            <x:filter val="TSMC, 連凱泓/ME"/>
            <x:filter val="TSMC, 陳嘉宏"/>
            <x:filter val="TSMC, 陳嘉宏/Stanley Chen/052598/F21-AMHS/7713511"/>
            <x:filter val="TSMC, 傅至傑"/>
            <x:filter val="TSMC, 黃士軒"/>
            <x:filter val="TSMC, 黃郁誠/ETC3"/>
            <x:filter val="TSMC, 楊子青"/>
            <x:filter val="TSMC, 劉啟生"/>
            <x:filter val="TSMC, 潘信華"/>
            <x:filter val="TSMC, 潘信華/H.H. Pan/077373/F21-LIT2/7712514"/>
            <x:filter val="TSMC, 鄧安"/>
            <x:filter val="TSMC, 鄭宇倢/Josie Cheng/108938/F21-AMHS/7713512"/>
            <x:filter val="TSMC, 戴宇平&lt;YPTAIA@tsmc.com&gt;"/>
            <x:filter val="TSMC, 曜安"/>
            <x:filter val="TSMC, 蘇明秋/Vince"/>
            <x:filter val="TSMC,Anson Lin 林國聖"/>
          </x:filters>
        </filter>
      </columnFilter>
    </nsvFilter>
  </namedSheetView>
</namedSheetViews>
</file>

<file path=xl/persons/person.xml><?xml version="1.0" encoding="utf-8"?>
<personList xmlns="http://schemas.microsoft.com/office/spreadsheetml/2018/threadedcomments" xmlns:x="http://schemas.openxmlformats.org/spreadsheetml/2006/main">
  <person displayName="Peter Chien" id="{9C53532F-038E-4C3A-B9A5-5DF54D9DD0CE}" userId="" providerId=""/>
  <person displayName="Peter Chien 錢嘉宏" id="{7042EF23-C5F4-4CB9-8DF1-8361EB5D9FC8}" userId="peterchien@us.micb2b.com" providerId="PeoplePicker"/>
  <person displayName="billing" id="{DEC9B9D1-C6E5-461D-8FCF-58721A971266}" userId="S::billing@us.micb2b.com::a41ab7e4-5b9f-4aad-bb9e-483e8d4df403" providerId="AD"/>
  <person displayName="Elaine Ma" id="{758BD334-C090-4D6C-A384-596530A97633}" userId="S::elainema@us.micb2b.com::b3f38f28-df1b-427f-a19a-419f3bdf4f64" providerId="AD"/>
  <person displayName="Zhang Yarui" id="{36656AB4-E6C5-4F1B-BEBD-EDE866811F2D}" userId="S::ZhangYarui@us.micb2b.com::3ef72eeb-9a6b-41c8-a571-34e527ed72b7" providerId="AD"/>
  <person displayName="Peter Chien 錢嘉宏" id="{CD8147DF-CE87-4417-AEA6-A7655347254F}" userId="S::peterchien@us.micb2b.com::ea04cd87-5d05-4105-98d8-6369b73673bb" providerId="AD"/>
  <person displayName="Sheng Xu Yan" id="{692FC4E7-7852-45C2-9CED-869045350691}" userId="S::shengxuyan@us.micb2b.com::f428253d-b8f8-44af-8de5-7190687f75a7" providerId="AD"/>
  <person displayName="Zhang Yarui" id="{141EBD83-0775-4DAB-AD79-18F480E94C9B}" userId="S::zhangyarui@us.micb2b.com::3ef72eeb-9a6b-41c8-a571-34e527ed72b7" providerId="AD"/>
  <person displayName="Chiahsuan Ho" id="{9D054FD1-4BB1-40BC-9197-C8A56C0FEA20}" userId="S::chiahsuanho@us.micb2b.com::30835bc6-74b8-44c1-98da-67af9bfe83b8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68.669226157406" createdVersion="8" refreshedVersion="8" minRefreshableVersion="3" recordCount="549" xr:uid="{CEAFB85C-46E2-4DA3-A6B7-B951B10D3F4C}">
  <cacheSource type="worksheet">
    <worksheetSource name="Table242"/>
  </cacheSource>
  <cacheFields count="73">
    <cacheField name="Engineer" numFmtId="0">
      <sharedItems containsBlank="1"/>
    </cacheField>
    <cacheField name="Client Name" numFmtId="0">
      <sharedItems count="23">
        <s v="Applied Materials"/>
        <s v="ASM"/>
        <s v="ASML-HMI"/>
        <s v="ATS"/>
        <s v="CT (Clean Tech)"/>
        <s v="Ebara"/>
        <s v="Edwards Vacuum"/>
        <s v="G2 Technology Corp"/>
        <s v="HITACHI"/>
        <s v="Holon"/>
        <s v="HPSP"/>
        <s v="HPSP CO., LTD"/>
        <s v="IPI"/>
        <s v="Kanken"/>
        <s v="KLA"/>
        <s v="Kokusai Semiconductor Equipment Corporation"/>
        <s v="Lam Research Corporation"/>
        <s v="Lasertec"/>
        <s v="Mattson"/>
        <s v="NOVA"/>
        <s v="Shibaura"/>
        <s v="Shinwa"/>
        <s v="ULVAC"/>
      </sharedItems>
    </cacheField>
    <cacheField name="Sponsor" numFmtId="0">
      <sharedItems containsBlank="1" containsMixedTypes="1" containsNumber="1" containsInteger="1" minValue="18618" maxValue="18618"/>
    </cacheField>
    <cacheField name="PO#" numFmtId="0">
      <sharedItems containsMixedTypes="1" containsNumber="1" containsInteger="1" minValue="5314" maxValue="20230712101"/>
    </cacheField>
    <cacheField name="Tool No." numFmtId="0">
      <sharedItems containsString="0" containsBlank="1" containsNumber="1" containsInteger="1" minValue="1" maxValue="164"/>
    </cacheField>
    <cacheField name="Project#" numFmtId="0">
      <sharedItems containsBlank="1"/>
    </cacheField>
    <cacheField name="Project Name" numFmtId="0">
      <sharedItems containsBlank="1"/>
    </cacheField>
    <cacheField name="Category" numFmtId="0">
      <sharedItems/>
    </cacheField>
    <cacheField name="Tool ID" numFmtId="0">
      <sharedItems containsBlank="1"/>
    </cacheField>
    <cacheField name="Tool Name" numFmtId="0">
      <sharedItems containsBlank="1"/>
    </cacheField>
    <cacheField name="Tool ID _x000a_Status" numFmtId="178">
      <sharedItems containsBlank="1"/>
    </cacheField>
    <cacheField name="Tool QTY" numFmtId="0">
      <sharedItems containsSemiMixedTypes="0" containsString="0" containsNumber="1" containsInteger="1" minValue="1" maxValue="1000"/>
    </cacheField>
    <cacheField name="Material Unit Price" numFmtId="178">
      <sharedItems containsString="0" containsBlank="1" containsNumber="1" minValue="89" maxValue="677000"/>
    </cacheField>
    <cacheField name="Labor Unit Price" numFmtId="178">
      <sharedItems containsString="0" containsBlank="1" containsNumber="1" minValue="355" maxValue="2662941.46"/>
    </cacheField>
    <cacheField name="Mechannical" numFmtId="178">
      <sharedItems containsNonDate="0" containsString="0" containsBlank="1"/>
    </cacheField>
    <cacheField name="Electrical" numFmtId="178">
      <sharedItems containsNonDate="0" containsString="0" containsBlank="1"/>
    </cacheField>
    <cacheField name="GC + Manage+ Insur" numFmtId="178">
      <sharedItems containsString="0" containsBlank="1" containsNumber="1" minValue="54" maxValue="8797.8904000000002"/>
    </cacheField>
    <cacheField name="Total Per Tool" numFmtId="178">
      <sharedItems containsSemiMixedTypes="0" containsString="0" containsNumber="1" minValue="0" maxValue="2662941.46"/>
    </cacheField>
    <cacheField name="PO Amount" numFmtId="178">
      <sharedItems containsSemiMixedTypes="0" containsString="0" containsNumber="1" minValue="0" maxValue="2662941.46"/>
    </cacheField>
    <cacheField name="Tax" numFmtId="178">
      <sharedItems containsString="0" containsBlank="1" containsNumber="1" minValue="46.59" maxValue="3588.88"/>
    </cacheField>
    <cacheField name="PO Date" numFmtId="14">
      <sharedItems containsNonDate="0" containsDate="1" containsBlank="1" containsMixedTypes="1" minDate="2022-11-10T00:00:00" maxDate="2024-06-25T00:00:00"/>
    </cacheField>
    <cacheField name="Tax Code" numFmtId="178">
      <sharedItems containsNonDate="0" containsString="0" containsBlank="1"/>
    </cacheField>
    <cacheField name="Payment Term" numFmtId="0">
      <sharedItems containsBlank="1"/>
    </cacheField>
    <cacheField name="Total AR (Received)" numFmtId="178">
      <sharedItems containsSemiMixedTypes="0" containsString="0" containsNumber="1" minValue="0" maxValue="2639418.6500000004"/>
    </cacheField>
    <cacheField name="AR %" numFmtId="9">
      <sharedItems containsMixedTypes="1" containsNumber="1" minValue="0" maxValue="1.0000006604941747"/>
    </cacheField>
    <cacheField name="Open Balance" numFmtId="178">
      <sharedItems containsSemiMixedTypes="0" containsString="0" containsNumber="1" minValue="-7.5999999990017386E-3" maxValue="953541.14"/>
    </cacheField>
    <cacheField name="Total M%" numFmtId="0">
      <sharedItems containsString="0" containsBlank="1" containsNumber="1" minValue="0" maxValue="1"/>
    </cacheField>
    <cacheField name="Total L %" numFmtId="0">
      <sharedItems containsString="0" containsBlank="1" containsNumber="1" minValue="0" maxValue="0.56328726430208498"/>
    </cacheField>
    <cacheField name="Other %" numFmtId="0">
      <sharedItems containsBlank="1" containsMixedTypes="1" containsNumber="1" minValue="0" maxValue="1"/>
    </cacheField>
    <cacheField name="Feb-23 draft" numFmtId="0">
      <sharedItems containsString="0" containsBlank="1" containsNumber="1" minValue="837.7091999999999" maxValue="190037"/>
    </cacheField>
    <cacheField name="Feb-23 Tax" numFmtId="0">
      <sharedItems containsNonDate="0" containsString="0" containsBlank="1"/>
    </cacheField>
    <cacheField name="23-Mar draft" numFmtId="0">
      <sharedItems containsNonDate="0" containsString="0" containsBlank="1"/>
    </cacheField>
    <cacheField name="Mar-23 Tax" numFmtId="0">
      <sharedItems containsNonDate="0" containsString="0" containsBlank="1"/>
    </cacheField>
    <cacheField name="23-Apr draft" numFmtId="0">
      <sharedItems containsNonDate="0" containsString="0" containsBlank="1"/>
    </cacheField>
    <cacheField name="Apr-23 Tax" numFmtId="0">
      <sharedItems containsNonDate="0" containsString="0" containsBlank="1"/>
    </cacheField>
    <cacheField name="23-May draft" numFmtId="0">
      <sharedItems containsString="0" containsBlank="1" containsNumber="1" minValue="104.96000000000001" maxValue="1500001.01"/>
    </cacheField>
    <cacheField name="May-23 Tax" numFmtId="0">
      <sharedItems containsNonDate="0" containsString="0" containsBlank="1"/>
    </cacheField>
    <cacheField name="23-June draft" numFmtId="0">
      <sharedItems containsString="0" containsBlank="1" containsNumber="1" minValue="64087.199999999997" maxValue="64087.199999999997"/>
    </cacheField>
    <cacheField name="23-Jun Tax" numFmtId="0">
      <sharedItems containsString="0" containsBlank="1" containsNumber="1" containsInteger="1" minValue="3589" maxValue="3589"/>
    </cacheField>
    <cacheField name="23-July draft" numFmtId="0">
      <sharedItems containsString="0" containsBlank="1" containsNumber="1" minValue="56750.02" maxValue="56750.02"/>
    </cacheField>
    <cacheField name="23-July Tax" numFmtId="0">
      <sharedItems containsNonDate="0" containsString="0" containsBlank="1"/>
    </cacheField>
    <cacheField name="23-Aug draft" numFmtId="0">
      <sharedItems containsString="0" containsBlank="1" containsNumber="1" minValue="14704.509999999998" maxValue="87701.08"/>
    </cacheField>
    <cacheField name="23-Aug Tax" numFmtId="0">
      <sharedItems containsNonDate="0" containsString="0" containsBlank="1"/>
    </cacheField>
    <cacheField name="23-Sep draft" numFmtId="0">
      <sharedItems containsString="0" containsBlank="1" containsNumber="1" minValue="1135" maxValue="59108.76"/>
    </cacheField>
    <cacheField name="23-Sep Tax" numFmtId="0">
      <sharedItems containsNonDate="0" containsString="0" containsBlank="1"/>
    </cacheField>
    <cacheField name="23-Oct" numFmtId="0">
      <sharedItems containsString="0" containsBlank="1" containsNumber="1" containsInteger="1" minValue="13454" maxValue="16555"/>
    </cacheField>
    <cacheField name="23-Oct Tax" numFmtId="0">
      <sharedItems containsNonDate="0" containsString="0" containsBlank="1"/>
    </cacheField>
    <cacheField name="23-Nov" numFmtId="0">
      <sharedItems containsString="0" containsBlank="1" containsNumber="1" minValue="592.9" maxValue="32298.491999999977"/>
    </cacheField>
    <cacheField name="23-Nov Tax" numFmtId="0">
      <sharedItems containsNonDate="0" containsString="0" containsBlank="1"/>
    </cacheField>
    <cacheField name="23-Dec" numFmtId="0">
      <sharedItems containsString="0" containsBlank="1" containsNumber="1" minValue="2379" maxValue="291459.15999999997"/>
    </cacheField>
    <cacheField name="23-Dec Tax" numFmtId="0">
      <sharedItems containsNonDate="0" containsString="0" containsBlank="1"/>
    </cacheField>
    <cacheField name="24-Jan" numFmtId="0">
      <sharedItems containsString="0" containsBlank="1" containsNumber="1" minValue="4473" maxValue="188416.69"/>
    </cacheField>
    <cacheField name="24-Jan Tax" numFmtId="0">
      <sharedItems containsNonDate="0" containsString="0" containsBlank="1"/>
    </cacheField>
    <cacheField name="24-Feb" numFmtId="0">
      <sharedItems containsString="0" containsBlank="1" containsNumber="1" minValue="231482.29" maxValue="231482.29"/>
    </cacheField>
    <cacheField name="24-Feb Tax" numFmtId="0">
      <sharedItems containsNonDate="0" containsString="0" containsBlank="1"/>
    </cacheField>
    <cacheField name="24-Mar" numFmtId="0">
      <sharedItems containsBlank="1" containsMixedTypes="1" containsNumber="1" minValue="760" maxValue="196108.49"/>
    </cacheField>
    <cacheField name="24-Mar Tax" numFmtId="0">
      <sharedItems containsNonDate="0" containsString="0" containsBlank="1"/>
    </cacheField>
    <cacheField name="24-Apr" numFmtId="0">
      <sharedItems containsString="0" containsBlank="1" containsNumber="1" minValue="0" maxValue="98189"/>
    </cacheField>
    <cacheField name="24-Apr tax" numFmtId="0">
      <sharedItems containsNonDate="0" containsString="0" containsBlank="1"/>
    </cacheField>
    <cacheField name="24-May" numFmtId="0">
      <sharedItems containsString="0" containsBlank="1" containsNumber="1" minValue="1135" maxValue="190037"/>
    </cacheField>
    <cacheField name="24-May tax" numFmtId="0">
      <sharedItems containsString="0" containsBlank="1" containsNumber="1" minValue="46.59" maxValue="46.59"/>
    </cacheField>
    <cacheField name="24-Jun" numFmtId="0">
      <sharedItems containsString="0" containsBlank="1" containsNumber="1" minValue="670" maxValue="250536"/>
    </cacheField>
    <cacheField name="24-Jun tax" numFmtId="0">
      <sharedItems containsNonDate="0" containsString="0" containsBlank="1"/>
    </cacheField>
    <cacheField name="24-Jul" numFmtId="0">
      <sharedItems containsString="0" containsBlank="1" containsNumber="1" minValue="1743.04" maxValue="596043.64"/>
    </cacheField>
    <cacheField name="24-July tax" numFmtId="0">
      <sharedItems containsString="0" containsBlank="1" containsNumber="1" containsInteger="1" minValue="15345" maxValue="15345"/>
    </cacheField>
    <cacheField name="24-Aug" numFmtId="0">
      <sharedItems containsNonDate="0" containsString="0" containsBlank="1"/>
    </cacheField>
    <cacheField name="24-Aug tax" numFmtId="0">
      <sharedItems containsNonDate="0" containsString="0" containsBlank="1"/>
    </cacheField>
    <cacheField name="24-Sep" numFmtId="0">
      <sharedItems containsString="0" containsBlank="1" containsNumber="1" minValue="670" maxValue="111115"/>
    </cacheField>
    <cacheField name="24-Sep tax" numFmtId="0">
      <sharedItems containsString="0" containsBlank="1" containsNumber="1" minValue="23832.52" maxValue="23832.52"/>
    </cacheField>
    <cacheField name="Total" numFmtId="0">
      <sharedItems containsSemiMixedTypes="0" containsString="0" containsNumber="1" minValue="0" maxValue="2611620.4000000004"/>
    </cacheField>
    <cacheField name="Status" numFmtId="0">
      <sharedItems containsNonDate="0" containsString="0" containsBlank="1"/>
    </cacheField>
    <cacheField name="invoice number" numFmtId="0">
      <sharedItems containsNonDate="0" containsString="0" containsBlank="1"/>
    </cacheField>
    <cacheField name="approved payment" numFmtId="0">
      <sharedItems containsString="0" containsBlank="1" containsNumber="1" minValue="0" maxValue="2611620.40000000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68.669226273145" createdVersion="8" refreshedVersion="8" minRefreshableVersion="3" recordCount="416" xr:uid="{E5E97C9E-C232-4F54-A483-048CEF5D7021}">
  <cacheSource type="worksheet">
    <worksheetSource name="AR_725"/>
  </cacheSource>
  <cacheFields count="98">
    <cacheField name="Type" numFmtId="0">
      <sharedItems containsBlank="1" count="18">
        <s v="Others"/>
        <s v="Base Build"/>
        <s v="FAB Requirement (FAC)"/>
        <s v="HK"/>
        <s v="AMHS"/>
        <s v="Fab Work"/>
        <s v="QR"/>
        <s v="EBO"/>
        <s v="Logistic"/>
        <s v="ISEP"/>
        <s v="Module Interconnection"/>
        <s v="Interconnection"/>
        <s v="O&amp;M"/>
        <s v="UPW" u="1"/>
        <s v="Main Tool Interconnection" u="1"/>
        <m u="1"/>
        <s v="FAC" u="1"/>
        <s v="`" u="1"/>
      </sharedItems>
    </cacheField>
    <cacheField name="TSMC Depart" numFmtId="0">
      <sharedItems containsBlank="1"/>
    </cacheField>
    <cacheField name="Type 2" numFmtId="0">
      <sharedItems containsBlank="1"/>
    </cacheField>
    <cacheField name="System" numFmtId="0">
      <sharedItems containsBlank="1"/>
    </cacheField>
    <cacheField name="PM" numFmtId="0">
      <sharedItems containsBlank="1"/>
    </cacheField>
    <cacheField name="Engineer" numFmtId="0">
      <sharedItems containsBlank="1"/>
    </cacheField>
    <cacheField name="Sponsor" numFmtId="0">
      <sharedItems containsBlank="1" count="158">
        <s v="宸沅國際股份有限公司"/>
        <s v="Fu Energy"/>
        <s v="TSMC"/>
        <s v="TSMC, 得威"/>
        <s v="TSMC, 敏宏"/>
        <s v="TSMC, Vince"/>
        <s v="TSMC, Grant Shih &lt;YUSHIH@TSMC.COM&gt;"/>
        <s v="Micron US"/>
        <s v="TSMC, Edward"/>
        <s v="TSMC, Michael Lin/Lim"/>
        <s v="TSMC, Michael Lin/Dennis"/>
        <s v="TSMC, Jonathan Kang &lt;HSUANK@TSMC.COM&gt;"/>
        <s v="TSMC, 威昂"/>
        <s v="TSMC, Kenneth Toliver"/>
        <s v="TSMC, 杜之雄"/>
        <s v="TSMC, 陳嘉宏/Stanley Chen/052598/F21-AMHS/7713511"/>
        <s v="TSMC, 曜安"/>
        <s v="TSMC, 蘇明秋/Vince"/>
        <s v="TSMC,Anson Lin 林國聖"/>
        <s v="TSMC, 吳光鈞"/>
        <s v="TSMC, 張盈淳"/>
        <s v="TSMC, 戴宇平&lt;YPTAIA@tsmc.com&gt;"/>
        <s v="TSMC, 傅至傑"/>
        <s v="TSMC, Chin-Yu Wan/Jeremy Wan/115918/F21-AMHS/7713507"/>
        <s v="TSMC, Joy/得威"/>
        <s v="TSMC, 賴易鋒"/>
        <s v="TSMC, Chien-Hao Hsu"/>
        <s v="TSMC, Fred/Chester"/>
        <s v="TSMC, Chih Ching Lin"/>
        <s v="TSMC, 鄭宇倢/Josie Cheng/108938/F21-AMHS/7713512"/>
        <s v="TSMC, Sabrina Cervante"/>
        <s v="TSMC, 黃士軒"/>
        <s v="TSMC, 崔紘瑞"/>
        <s v="TSMC, A.C. Lee 黎安成 &lt;ACLEE@TSMC.COM&gt;"/>
        <s v="TSMC, Grant"/>
        <s v="TSMC, Han Deng/NFCD"/>
        <s v="TSMC, Samuel"/>
        <s v="TSMC, 黎安成"/>
        <s v="TSMC, Chong-Cheng"/>
        <s v="TSMC, H.H. Pan 潘信華 &lt;HHPAN@TSMC.COM&gt;"/>
        <s v="TSMC, 黃國威/CVD"/>
        <s v="TSMC, 鄭宇智/DIF &lt;"/>
        <s v="TSMC, 劉宜鈞/WET"/>
        <s v="TSMC, 林國聖/LITHO &lt;kslinb@tsmc.com&gt;"/>
        <s v="TSMC, 連凱泓/ME"/>
        <s v="TSMC, 沈富群/DIF"/>
        <s v="TSMC, 業富文/ETC"/>
        <s v="TSMC, LWWANG@TSMC.COM"/>
        <s v="TSMC, 吳宗諺/PVD"/>
        <s v="TSMC, Rosemarie BISQUERA@TSMC.COM"/>
        <s v="TSMC, 劉啟生"/>
        <s v="TSMC, JJLUA  JJLUA@TSMC.COM"/>
        <s v="TSMC, FCSHEN@TSMC.COM"/>
        <s v="TSMC, Scott Smith/F21-ISEP"/>
        <s v="TSMC, 黃郁誠/ETC3"/>
        <s v="TSMC, Chi-Wei"/>
        <s v="TSMC, 王鄧安"/>
        <s v="TSMC, 莊鎧瑋"/>
        <s v="TSMC, 邱奕豪"/>
        <s v="TSMC, K.H. Pan"/>
        <s v="TSMC, 楊力潤 &lt;LJJONG@TSMC.COM&gt; "/>
        <s v="TSMC, Stanley Chen 陳嘉宏 CHENCHZW@TSMC.COM/ David C.C. Fu 傅至傑 CCFUC@TSMC.COM"/>
        <s v="TSMC, K.S TUNG 董冠昇 &lt;KSTUNG@TSMC.COM&gt;"/>
        <s v="TSMC, BC&lt;BCTSOU@TSMC.COM&gt;"/>
        <s v="TSMC, David C.C. Fu 傅至傑 &lt;CCFUC@TSMC.COM&gt; "/>
        <s v="TSMC, Michael Lin &lt;MLINL@TSMC.COM&gt;"/>
        <s v="TSMC, 潘信華"/>
        <s v="TSMC, 吳宗諺/F21-PVD2"/>
        <s v="TSMC, Kevin Liu"/>
        <s v="TSMC, 趙世安"/>
        <s v="TSMC, Kevin Chou"/>
        <s v="TSMC, 楊子青"/>
        <s v="TSMC, 潘信華/H.H. Pan/077373/F21-LIT2/7712514"/>
        <s v="TSMC, 陳嘉宏"/>
        <s v="TSMC, Y.F. Lai &lt;yflai@tsmc.com&gt;"/>
        <s v="TSMC, K.S TUNG 董冠昇 &lt;KSTUNG@TSMC.COM&gt; "/>
        <s v="TSMC, May"/>
        <s v="TSMC, 吳曜安"/>
        <s v="TSMC, Stanley Chen"/>
        <s v="TSMC, Analicia"/>
        <s v="TSMC, Michael Lin &lt;MLINL@TSMC.COM&gt; "/>
        <s v="TSMC, wchenm@tsmc.com"/>
        <s v="TSMC, Y.F. Lai 賴易鋒 &lt;YFLAI@TSMC.COM&gt; "/>
        <s v="TSMC, Luke Pan &lt;JTPAN@TSMC.COM&gt;"/>
        <s v="TSMC, 王靖尊"/>
        <s v="TSMC, Jimmy Tang 湯仁義 &lt;jytang@TSMC.COM&gt;"/>
        <s v="TSMC, Yeng-Chen Chang 張晏誠 &lt;YCCHANGZC@TSMC.COM&gt;"/>
        <s v="TSMC, Samuel Mokdad &lt;SAMUELM@TSMC.COM&gt;"/>
        <s v="TSMC, WENZHI(WENZHI@TSMC.COM"/>
        <s v="TSMC, Vince Tsai &lt;TCTSAIJ@TSMC.COM&gt;"/>
        <s v="TSMC, Pang Hsun Chu 朱邦巡 &lt;PHCHUF@TSMC.COM&gt; "/>
        <s v="TSMC, Marios Christofides &lt;MCHRISTO@TSMC.COM&gt; "/>
        <s v="TSMC, Kai Kao ckkaoc@tsmc.com"/>
        <s v="TSMC, Amy"/>
        <s v="TSMC, 鄧安"/>
        <s v="崇濬"/>
        <s v="Organo USA, Inc"/>
        <s v="Lumax"/>
        <s v="Kanken"/>
        <s v="MIC"/>
        <s v="JeouFwu"/>
        <s v="Lumax, 王錫文(Steven_Wang) &lt;Steven_Wang@elumax.com&gt; "/>
        <s v="TSMC, 昱安"/>
        <s v="TSMC, Jennifer"/>
        <s v="TSMC, Chris Grider &lt;CGRIDER@TSMC.COM&gt;; SCKUOE@TSMC.COM"/>
        <s v="TSMC, B.Y. Chang &lt;BYCHANG@TSMC.COM&gt;"/>
        <s v="Zinter"/>
        <s v="伊思艾股份有限公司"/>
        <s v="Organo USA, Fukawa, Jumpei (Jack) &lt;Jack.Fukawa@OrganoUSA.com&gt; "/>
        <s v="Organo, Allen Tsai &lt;allen-tsai@organo.com.tw&gt;"/>
        <s v="Organo, Fukawa, Jumpei (Jack) &lt;Jack.Fukawa@OrganoUSA.com&gt; "/>
        <s v="Organo USA"/>
        <s v="Okland"/>
        <s v="Murata(US)"/>
        <s v="Muratech-JP, T.Yashiro &lt;toru.yashiro@nan.muratec.co.jp&gt;"/>
        <s v="Ma-Tek"/>
        <s v="UIS"/>
        <s v="大同聯合建築師事務所"/>
        <s v="TSMC,  Robert Serrano &lt;SERRANOR@TSMC.COM&gt;"/>
        <s v="Micron"/>
        <s v="TSMC, David Fugiel &lt;DFUGIELA@TSMC.COM&gt;"/>
        <s v="TSMC, 得威/Joy"/>
        <s v="TSMC, Josie Cheng &lt;YJCHENGM@TSMC.COM&gt; "/>
        <s v="TSMC, Chang En Jiang 江長恩 &lt;CEJIANG@TSMC.COM&gt; "/>
        <s v="TSMC, Eric Chen 陳亮宇 &lt;LYCHENT@TSMC.COM&gt; "/>
        <s v="TSMC, &lt;Megan Elmore MELMORE@TSMC.COM"/>
        <s v="TSMC,  Joy"/>
        <s v="TSMC, Hung-Ruei Tsuei 崔紘瑞 &lt;hrtsuei@tsmc.com&gt;"/>
        <s v="TSMC, Wei Lin Yang &lt;wlyangf@tsmc.com&gt;"/>
        <s v="TSMC, Arthur Chen &lt;JSCHENZE@TSMC.COM&gt; "/>
        <s v="TSMC, 王正富 &lt;cfwangc@tsmc.com&gt;"/>
        <s v="TSMC, Edwards" u="1"/>
        <s v="TSMC, Jonathan Kang" u="1"/>
        <s v="TSMC, Jonathan Kang/Jonathan Kang/116191/F21-AMHS/7713514" u="1"/>
        <s v="TSMC, Sabrina Cervantes" u="1"/>
        <s v="TSMC, A.C. Lee" u="1"/>
        <s v="TSMC, Han Deng" u="1"/>
        <s v="TSMC, HH" u="1"/>
        <s v="TSMC, 鄭宇智/DIF" u="1"/>
        <s v="TSMC, 林國聖/LITHO" u="1"/>
        <s v="TSMC, HHPAN@TSMC.COM" u="1"/>
        <s v="TSMC, Chong-Cheng Su &lt;CCSUU@TSMC.COM&gt;" u="1"/>
        <s v="TSMC, H.H Pan 潘信華" u="1"/>
        <s v="TSMC, Jonathan Kang &lt;HSUANK@TSMC.COM&gt; " u="1"/>
        <s v="TSMC, AC Lee" u="1"/>
        <s v="Murata(Japan)" u="1"/>
        <s v="Muratech-JP" u="1"/>
        <s v="Fu Energy, allen@fu-energy.com" u="1"/>
        <s v="AMAT" u="1"/>
        <s v="TSMC, Josie" u="1"/>
        <s v="TSMC, 林國聖" u="1"/>
        <m u="1"/>
        <s v="HOLON" u="1"/>
        <s v="TSMC, Chin-Yu Wan" u="1"/>
        <s v="TSMC, Josie Cheng" u="1"/>
        <s v="TSMC, Rogan Wang / Charlie Yeh" u="1"/>
        <s v="TSMC,mhlium@tsmc.com" u="1"/>
        <s v="TSMC, Vince Tsai 蔡知鑑 TCTSAIJ@TSMC.COM" u="1"/>
      </sharedItems>
    </cacheField>
    <cacheField name="tsmc PO #" numFmtId="0">
      <sharedItems containsMixedTypes="1" containsNumber="1" containsInteger="1" minValue="330" maxValue="20230315002" count="425">
        <n v="330"/>
        <n v="2957"/>
        <n v="4370"/>
        <n v="4371"/>
        <n v="4503045358"/>
        <n v="4503243471"/>
        <n v="4503290109"/>
        <n v="4503312319"/>
        <n v="4503398624"/>
        <n v="4503423409"/>
        <n v="4503428513"/>
        <n v="4503432118"/>
        <n v="4503432152"/>
        <n v="4503441102"/>
        <n v="4503441308"/>
        <n v="4503448403"/>
        <n v="4503489979"/>
        <n v="4513455889"/>
        <n v="4513459035"/>
        <n v="4514041973"/>
        <n v="4514043525"/>
        <n v="4590000334"/>
        <n v="4590000425"/>
        <n v="4590000428"/>
        <n v="4590000539"/>
        <n v="4590000540"/>
        <n v="4590000624"/>
        <n v="4590000896"/>
        <n v="4590001034"/>
        <n v="4590001827"/>
        <n v="4590001828"/>
        <n v="4590002149"/>
        <n v="4590002290"/>
        <n v="4590002291"/>
        <n v="4590002292"/>
        <n v="4590002743"/>
        <n v="4590002744"/>
        <n v="4590002851"/>
        <n v="4590002960"/>
        <n v="4590002961"/>
        <n v="4590003431"/>
        <n v="4590003432"/>
        <n v="4590003763"/>
        <n v="4590003895"/>
        <n v="4590003912"/>
        <n v="4590003997"/>
        <n v="4590003998"/>
        <n v="4590004028"/>
        <n v="4590004029"/>
        <n v="4590004044"/>
        <n v="4590004117"/>
        <n v="4590004118"/>
        <n v="4590004119"/>
        <n v="4590004281"/>
        <n v="4590004606"/>
        <n v="4590004607"/>
        <n v="4590004608"/>
        <n v="4590004610"/>
        <n v="4590004636"/>
        <n v="4590004646"/>
        <n v="4590004647"/>
        <n v="4590004971"/>
        <n v="4590005093"/>
        <n v="4590005159"/>
        <n v="4590005167"/>
        <n v="4590005172"/>
        <n v="4590005240"/>
        <n v="4590006189"/>
        <n v="4590006293"/>
        <n v="4590006323"/>
        <n v="4590006628"/>
        <n v="4590006629"/>
        <n v="4590006707"/>
        <n v="4590006720"/>
        <n v="4590006743"/>
        <n v="4590006744"/>
        <n v="4590006750"/>
        <n v="4590006814"/>
        <n v="4590006871"/>
        <n v="4590007564"/>
        <n v="4590007599"/>
        <n v="4590007785"/>
        <n v="4590007798"/>
        <n v="4590008082"/>
        <n v="4590008087"/>
        <n v="4590008115"/>
        <n v="4590008116"/>
        <n v="4590008129"/>
        <n v="4590008147"/>
        <n v="4590008170"/>
        <n v="4590008191"/>
        <n v="4590008207"/>
        <n v="4590008240"/>
        <n v="4590008319"/>
        <n v="4590008486"/>
        <n v="4590008674"/>
        <n v="4590008827"/>
        <n v="4590009036"/>
        <n v="4590009148"/>
        <n v="4590009466"/>
        <n v="4590009735"/>
        <n v="4590009792"/>
        <n v="4590009808"/>
        <n v="4590009958"/>
        <n v="4590009963"/>
        <n v="4590010046"/>
        <n v="4590010362"/>
        <n v="4590010363"/>
        <n v="4590010393"/>
        <n v="4590010394"/>
        <n v="4590010395"/>
        <n v="4590010397"/>
        <n v="4590010398"/>
        <n v="4590010418"/>
        <n v="4590010419"/>
        <n v="4590010420"/>
        <n v="4590010557"/>
        <n v="4590010739"/>
        <n v="4590010774"/>
        <n v="4590010913"/>
        <n v="4590011081"/>
        <n v="4590011082"/>
        <n v="4590011083"/>
        <n v="4590011084"/>
        <n v="4590011098"/>
        <n v="4590011208"/>
        <n v="4590011215"/>
        <n v="4590011254"/>
        <n v="4590011320"/>
        <n v="4590011384"/>
        <n v="4590012221"/>
        <n v="4590012251"/>
        <n v="4590012280"/>
        <n v="4590012300"/>
        <n v="4590012310"/>
        <n v="4590012460"/>
        <n v="4590012467"/>
        <n v="4590012674"/>
        <n v="4590012687"/>
        <n v="4590012793"/>
        <n v="4590012802"/>
        <n v="4590012855"/>
        <n v="4590012872"/>
        <n v="4590012881"/>
        <n v="4590012923"/>
        <n v="4590012982"/>
        <n v="4590013010"/>
        <n v="4590013059"/>
        <n v="4590013060"/>
        <n v="4590013061"/>
        <n v="4590013062"/>
        <n v="4590013063"/>
        <n v="4590013089"/>
        <n v="4590013324"/>
        <n v="4590013345"/>
        <n v="4590013410"/>
        <n v="4590013412"/>
        <n v="4590013430"/>
        <n v="4590013431"/>
        <n v="4590013433"/>
        <n v="4590013462"/>
        <n v="4590013480"/>
        <n v="4590013481"/>
        <n v="4590013482"/>
        <n v="4590013485"/>
        <n v="4590013486"/>
        <n v="4590013495"/>
        <n v="4590013561"/>
        <n v="4590013563"/>
        <n v="4590013571"/>
        <n v="4590013572"/>
        <n v="4590013602"/>
        <n v="4590013603"/>
        <n v="4590013632"/>
        <n v="4590013633"/>
        <n v="4590013669"/>
        <n v="4590013675"/>
        <n v="4590013803"/>
        <n v="4590013804"/>
        <n v="4590013806"/>
        <n v="4590013807"/>
        <n v="4590013808"/>
        <n v="4590013809"/>
        <n v="4590013810"/>
        <n v="4590013811"/>
        <n v="4590013886"/>
        <n v="4590013928"/>
        <n v="4590013942"/>
        <n v="4590013944"/>
        <n v="4590014008"/>
        <n v="4590014062"/>
        <n v="4590014102"/>
        <n v="4590014161"/>
        <n v="4590014187"/>
        <n v="4590014284"/>
        <n v="4590014289"/>
        <n v="4590014401"/>
        <n v="4590014625"/>
        <n v="4590014629"/>
        <n v="4590014630"/>
        <n v="4590014651"/>
        <n v="4590014674"/>
        <n v="4590014675"/>
        <n v="4590014676"/>
        <n v="4590014805"/>
        <n v="4590014878"/>
        <n v="4590014879"/>
        <n v="4590014914"/>
        <n v="4590014960"/>
        <n v="4590014961"/>
        <n v="4590015038"/>
        <n v="4590015039"/>
        <n v="4590015058"/>
        <n v="4590015143"/>
        <n v="4590015164"/>
        <n v="4590015297"/>
        <n v="4590015309"/>
        <n v="4590015367"/>
        <n v="4590015373"/>
        <n v="4590015432"/>
        <n v="4590015533"/>
        <n v="4590015793"/>
        <n v="4590015828"/>
        <n v="4590015933"/>
        <n v="4590015934"/>
        <n v="4590015978"/>
        <n v="4590016125"/>
        <n v="4590016141"/>
        <n v="4590016142"/>
        <n v="4590016147"/>
        <n v="4590016257"/>
        <n v="4590016630"/>
        <n v="4590016715"/>
        <n v="4590016975"/>
        <n v="4590016977"/>
        <n v="4590017093"/>
        <n v="4590017205"/>
        <n v="4590017212"/>
        <n v="4590017354"/>
        <n v="4590017604"/>
        <n v="4590017765"/>
        <n v="4590017784"/>
        <n v="4590018032"/>
        <n v="4590018358"/>
        <n v="4590018645"/>
        <n v="4590018652"/>
        <n v="4590018678"/>
        <n v="4590018680"/>
        <n v="4590018877"/>
        <n v="4590019011"/>
        <n v="4590019069"/>
        <n v="4590019083"/>
        <n v="4590019372"/>
        <n v="4590019487"/>
        <n v="4590019488"/>
        <n v="4590019489"/>
        <n v="4590019490"/>
        <n v="4590019491"/>
        <n v="4590019492"/>
        <n v="4590019493"/>
        <n v="4590019495"/>
        <n v="4590019499"/>
        <n v="4590019500"/>
        <n v="4590019601"/>
        <n v="4590019688"/>
        <n v="4590019702"/>
        <n v="4590019730"/>
        <n v="4590019895"/>
        <n v="4590019922"/>
        <n v="4590019923"/>
        <n v="4590019924"/>
        <n v="4590019925"/>
        <n v="4590019926"/>
        <n v="4590019927"/>
        <n v="4590019928"/>
        <n v="4590019929"/>
        <n v="4590019947"/>
        <n v="4590020023"/>
        <n v="4590020154"/>
        <n v="4590020155"/>
        <n v="4590020156"/>
        <n v="4590020157"/>
        <n v="4590020158"/>
        <n v="4590020159"/>
        <n v="4590020160"/>
        <n v="4590020228"/>
        <n v="4590020230"/>
        <n v="4590020235"/>
        <n v="4590020236"/>
        <n v="4590020302"/>
        <n v="4590020303"/>
        <n v="4590020304"/>
        <n v="4590020305"/>
        <n v="4590020306"/>
        <n v="4590020568"/>
        <n v="4590020635"/>
        <n v="4590020779"/>
        <n v="4590020794"/>
        <n v="4590020844"/>
        <n v="4590020940"/>
        <n v="20230315002"/>
        <s v="0000000065"/>
        <s v="1MUQOC2312011"/>
        <s v="1MUQOC2401019"/>
        <s v="1MUQOC2403077"/>
        <s v="1MUQTR2205002"/>
        <s v="1MUQTR2211013"/>
        <s v="1MUQTR2301003"/>
        <s v="1MUQTR2301008"/>
        <s v="1MUQTR2310020"/>
        <s v="1MUQTR2312012"/>
        <s v="1MUQTS2308055_03"/>
        <s v="1MUQTS2407009"/>
        <s v="2958"/>
        <s v="408&amp;1939&amp;1958&amp;1239&amp;1256&amp;1486&amp;1619&amp;1639&amp;1719&amp;2117"/>
        <s v="4503446631_100"/>
        <s v="4503446631_200"/>
        <s v="4503448339_100"/>
        <s v="4503448339_200"/>
        <s v="4590001181_100"/>
        <s v="4590001181_200"/>
        <s v="4590004026_100"/>
        <s v="4590004026_200"/>
        <s v="4590004027_100"/>
        <s v="4590004027_200"/>
        <s v="4590004557_001"/>
        <s v="4590004557_002"/>
        <s v="4590006236_001"/>
        <s v="4590006236_002"/>
        <s v="4590007694_001"/>
        <s v="4590007694_002"/>
        <s v="4590007694_003"/>
        <s v="4590007694_004"/>
        <s v="4590007694_005"/>
        <s v="4590007694_006"/>
        <s v="4590007694_007"/>
        <s v="4590007694_008"/>
        <s v="4590007694_009"/>
        <s v="4590007694_010"/>
        <s v="4590007694_011"/>
        <s v="4590007694_012"/>
        <s v="4590007694_013"/>
        <s v="4590007694_014"/>
        <s v="4590007694_015"/>
        <s v="4590007694_016"/>
        <s v="4590007694_017"/>
        <s v="4590007694_018"/>
        <s v="4590007694_019"/>
        <s v="4590007694_020"/>
        <s v="4590008159_00100"/>
        <s v="4590008159_00200"/>
        <s v="4590008229_001"/>
        <s v="4590008229_002"/>
        <s v="4590009384_100"/>
        <s v="4590009384_200"/>
        <s v="4590015150_001"/>
        <s v="4590015150_002"/>
        <s v="4590016162_001"/>
        <s v="4590016162_002"/>
        <s v="4590017712_001"/>
        <s v="4590017712_002"/>
        <s v="4590018007_001"/>
        <s v="4590018007_002"/>
        <s v="4590018396_100"/>
        <s v="4590018396_200"/>
        <s v="53584 &amp; 53899"/>
        <s v="IMUQTS2206001-C"/>
        <s v="KTUS 20230321-1"/>
        <s v="KTUS232311_001"/>
        <s v="LH0110023"/>
        <s v="LH0170001"/>
        <s v="LH0300001"/>
        <s v="LH0310001"/>
        <s v="LH0370001"/>
        <s v="M4SB1912072A"/>
        <s v="M52209038A"/>
        <s v="M52212042A"/>
        <s v="NA"/>
        <s v="PO048876"/>
        <s v="TV2301206274-7"/>
        <s v="TV2301206274-8"/>
        <s v="TV2301206274-9"/>
        <s v="UB00_230424001"/>
        <s v="US100-O-0065"/>
        <s v="US120-Z-0064-A"/>
        <s v="USCCT2111001"/>
        <n v="4590021213"/>
        <n v="4590021215"/>
        <n v="4590021323"/>
        <n v="4590021332"/>
        <n v="4590021581"/>
        <n v="4590021580"/>
        <s v="4514231475"/>
        <n v="4590021791"/>
        <n v="4590021815"/>
        <n v="4590021643"/>
        <n v="4590021972"/>
        <n v="4590021934"/>
        <n v="4590021935"/>
        <n v="4590022059"/>
        <n v="4590022060"/>
        <n v="4590022061"/>
        <s v="4590021973"/>
        <n v="4590022052"/>
        <n v="4590022271"/>
        <n v="4590022278"/>
        <n v="4590022283"/>
        <n v="4590022284"/>
        <n v="4590022280"/>
        <n v="4590022346"/>
        <n v="4590022461"/>
        <n v="4590022549"/>
        <n v="4590022558"/>
        <n v="4590022800"/>
        <n v="4590022803"/>
        <s v="TV2301206274-10"/>
        <n v="2958" u="1"/>
        <n v="4400767535" u="1"/>
        <n v="4590006324" u="1"/>
        <n v="4590008146" u="1"/>
        <n v="4590010043" u="1"/>
        <n v="4590010102" u="1"/>
        <n v="4590013950" u="1"/>
        <n v="4590016044" u="1"/>
        <n v="6291501" u="1"/>
      </sharedItems>
    </cacheField>
    <cacheField name="Project #" numFmtId="0">
      <sharedItems containsBlank="1"/>
    </cacheField>
    <cacheField name="Project Name" numFmtId="0">
      <sharedItems/>
    </cacheField>
    <cacheField name="PO Amount" numFmtId="0">
      <sharedItems containsString="0" containsBlank="1" containsNumber="1" minValue="577.20000000000005" maxValue="161491923"/>
    </cacheField>
    <cacheField name="Tax" numFmtId="0">
      <sharedItems containsBlank="1"/>
    </cacheField>
    <cacheField name="PO Date" numFmtId="0">
      <sharedItems containsDate="1" containsBlank="1" containsMixedTypes="1" minDate="2021-01-29T00:00:00" maxDate="2024-09-20T00:00:00"/>
    </cacheField>
    <cacheField name="Tax Code" numFmtId="0">
      <sharedItems containsBlank="1"/>
    </cacheField>
    <cacheField name="Payment Term" numFmtId="0">
      <sharedItems containsBlank="1"/>
    </cacheField>
    <cacheField name="Total AR (Sent)" numFmtId="178">
      <sharedItems containsSemiMixedTypes="0" containsString="0" containsNumber="1" minValue="0" maxValue="140764153"/>
    </cacheField>
    <cacheField name="Total AR (till Mar" numFmtId="178">
      <sharedItems containsSemiMixedTypes="0" containsString="0" containsNumber="1" minValue="0" maxValue="123536555"/>
    </cacheField>
    <cacheField name="Total AR (Received)" numFmtId="178">
      <sharedItems containsSemiMixedTypes="0" containsString="0" containsNumber="1" minValue="0" maxValue="140764153"/>
    </cacheField>
    <cacheField name="AR %" numFmtId="10">
      <sharedItems containsSemiMixedTypes="0" containsString="0" containsNumber="1" minValue="0" maxValue="1.00003465003465"/>
    </cacheField>
    <cacheField name="Open Balance" numFmtId="178">
      <sharedItems containsSemiMixedTypes="0" containsString="0" containsNumber="1" minValue="-2116491.7600000002" maxValue="36850416.75"/>
    </cacheField>
    <cacheField name="Before Sep Real" numFmtId="0">
      <sharedItems containsString="0" containsBlank="1" containsNumber="1" minValue="12163.2" maxValue="69931.929999999993"/>
    </cacheField>
    <cacheField name="Before Sep Real Tax" numFmtId="0">
      <sharedItems containsString="0" containsBlank="1" containsNumber="1" minValue="2329.4" maxValue="2329.4"/>
    </cacheField>
    <cacheField name="21-Sep Real" numFmtId="0">
      <sharedItems containsString="0" containsBlank="1" containsNumber="1" minValue="0" maxValue="6276241"/>
    </cacheField>
    <cacheField name="21-Sep Real Tax" numFmtId="0">
      <sharedItems containsNonDate="0" containsString="0" containsBlank="1"/>
    </cacheField>
    <cacheField name="Oct-21 Real" numFmtId="0">
      <sharedItems containsString="0" containsBlank="1" containsNumber="1" minValue="6081.6" maxValue="487307"/>
    </cacheField>
    <cacheField name="Oct-22 tax" numFmtId="0">
      <sharedItems containsString="0" containsBlank="1" containsNumber="1" minValue="1178.51" maxValue="2355"/>
    </cacheField>
    <cacheField name="Nov-21 Real" numFmtId="0">
      <sharedItems containsString="0" containsBlank="1" containsNumber="1" minValue="2329.4" maxValue="6357154"/>
    </cacheField>
    <cacheField name="Nov-21 Tax" numFmtId="0">
      <sharedItems containsString="0" containsBlank="1" containsNumber="1" minValue="200.33" maxValue="3876"/>
    </cacheField>
    <cacheField name="Dec-21 Real" numFmtId="0">
      <sharedItems containsString="0" containsBlank="1" containsNumber="1" minValue="6081.6" maxValue="8267774"/>
    </cacheField>
    <cacheField name="Dec-21 Tax" numFmtId="0">
      <sharedItems containsString="0" containsBlank="1" containsNumber="1" containsInteger="1" minValue="12335" maxValue="82699"/>
    </cacheField>
    <cacheField name="Dec-21 Draft invoice (first time draft invoice-- 12/22/2021 submitted) Jan Formal Invoice" numFmtId="0">
      <sharedItems containsString="0" containsBlank="1" containsNumber="1" containsInteger="1" minValue="37098" maxValue="2546942"/>
    </cacheField>
    <cacheField name="Dec-21 Draft invoice Tax" numFmtId="0">
      <sharedItems containsNonDate="0" containsString="0" containsBlank="1"/>
    </cacheField>
    <cacheField name="Jan-22 Draft invoice Real" numFmtId="0">
      <sharedItems containsString="0" containsBlank="1" containsNumber="1" minValue="6081.6" maxValue="4036610"/>
    </cacheField>
    <cacheField name="Jan-22 Real Tax" numFmtId="0">
      <sharedItems containsString="0" containsBlank="1" containsNumber="1" containsInteger="1" minValue="3793" maxValue="3793"/>
    </cacheField>
    <cacheField name="Feb-22 Draft" numFmtId="0">
      <sharedItems containsString="0" containsBlank="1" containsNumber="1" minValue="6081.6" maxValue="3745119"/>
    </cacheField>
    <cacheField name="Feb-22 Draft Tax" numFmtId="0">
      <sharedItems containsNonDate="0" containsString="0" containsBlank="1"/>
    </cacheField>
    <cacheField name="Mar-22 Draft" numFmtId="0">
      <sharedItems containsString="0" containsBlank="1" containsNumber="1" minValue="6081.6" maxValue="6773215"/>
    </cacheField>
    <cacheField name="Mar-22 Draft Tax" numFmtId="0">
      <sharedItems containsString="0" containsBlank="1" containsNumber="1" containsInteger="1" minValue="9536" maxValue="9536"/>
    </cacheField>
    <cacheField name="Apr-22 Draft" numFmtId="0">
      <sharedItems containsString="0" containsBlank="1" containsNumber="1" minValue="6081.6" maxValue="7096144"/>
    </cacheField>
    <cacheField name="April-22 Draft Tax" numFmtId="0">
      <sharedItems containsString="0" containsBlank="1" containsNumber="1" containsInteger="1" minValue="7874" maxValue="7874"/>
    </cacheField>
    <cacheField name="May-22 Draft Plan" numFmtId="0">
      <sharedItems containsString="0" containsBlank="1" containsNumber="1" minValue="6081.6" maxValue="2987853"/>
    </cacheField>
    <cacheField name="May-22 Draft Tax" numFmtId="0">
      <sharedItems containsString="0" containsBlank="1" containsNumber="1" minValue="2440" maxValue="32890.777399999999"/>
    </cacheField>
    <cacheField name="Jun-22 Draft Plan" numFmtId="0">
      <sharedItems containsString="0" containsBlank="1" containsNumber="1" minValue="0" maxValue="7837545"/>
    </cacheField>
    <cacheField name="Jun-22 Draft Tax" numFmtId="0">
      <sharedItems containsString="0" containsBlank="1" containsNumber="1" containsInteger="1" minValue="12109" maxValue="48597"/>
    </cacheField>
    <cacheField name="Jul-22 Draft Plan" numFmtId="0">
      <sharedItems containsString="0" containsBlank="1" containsNumber="1" minValue="0" maxValue="4616732.9999999991"/>
    </cacheField>
    <cacheField name="Jul-22 Draft Tax" numFmtId="0">
      <sharedItems containsString="0" containsBlank="1" containsNumber="1" containsInteger="1" minValue="6048" maxValue="10913"/>
    </cacheField>
    <cacheField name="Aug-22 Draft Plan" numFmtId="0">
      <sharedItems containsString="0" containsBlank="1" containsNumber="1" minValue="0" maxValue="5550939.0000000009"/>
    </cacheField>
    <cacheField name="Aug-22 Draft Tax" numFmtId="0">
      <sharedItems containsNonDate="0" containsString="0" containsBlank="1"/>
    </cacheField>
    <cacheField name="Sep-22 Draft Plan" numFmtId="0">
      <sharedItems containsString="0" containsBlank="1" containsNumber="1" minValue="0" maxValue="8199264"/>
    </cacheField>
    <cacheField name="Sep-22 Draft Tax2" numFmtId="0">
      <sharedItems containsString="0" containsBlank="1" containsNumber="1" minValue="1758" maxValue="52075"/>
    </cacheField>
    <cacheField name="Oct-22 Draft Plan" numFmtId="0">
      <sharedItems containsString="0" containsBlank="1" containsNumber="1" minValue="6081.6" maxValue="14271658"/>
    </cacheField>
    <cacheField name="Oct-22 Draft Tax" numFmtId="0">
      <sharedItems containsString="0" containsBlank="1" containsNumber="1" minValue="5682" maxValue="74920.240000000005"/>
    </cacheField>
    <cacheField name="Nov-22 Draft Plan" numFmtId="0">
      <sharedItems containsString="0" containsBlank="1" containsNumber="1" minValue="0" maxValue="10918065"/>
    </cacheField>
    <cacheField name="Nov-22 Draft Tax" numFmtId="0">
      <sharedItems containsString="0" containsBlank="1" containsNumber="1" minValue="1273.07" maxValue="33927"/>
    </cacheField>
    <cacheField name="Dec-22 Draft Plan" numFmtId="0">
      <sharedItems containsString="0" containsBlank="1" containsNumber="1" minValue="0" maxValue="8936549"/>
    </cacheField>
    <cacheField name="Dec-22 Draft Tax2" numFmtId="0">
      <sharedItems containsString="0" containsBlank="1" containsNumber="1" containsInteger="1" minValue="8266" maxValue="25251"/>
    </cacheField>
    <cacheField name="Jan-23 Draft Plan" numFmtId="0">
      <sharedItems containsBlank="1" containsMixedTypes="1" containsNumber="1" minValue="0" maxValue="10066637"/>
    </cacheField>
    <cacheField name="Jan-23 Draft Tax" numFmtId="0">
      <sharedItems containsString="0" containsBlank="1" containsNumber="1" containsInteger="1" minValue="3179" maxValue="53264"/>
    </cacheField>
    <cacheField name="Feb-23 Draft Plan" numFmtId="0">
      <sharedItems containsString="0" containsBlank="1" containsNumber="1" minValue="0" maxValue="9959442"/>
    </cacheField>
    <cacheField name="Feb-23 Draft Tax" numFmtId="0">
      <sharedItems containsString="0" containsBlank="1" containsNumber="1" containsInteger="1" minValue="15267" maxValue="67580"/>
    </cacheField>
    <cacheField name="Mar-23 Draft Plan" numFmtId="0">
      <sharedItems containsString="0" containsBlank="1" containsNumber="1" minValue="0" maxValue="5295236.74"/>
    </cacheField>
    <cacheField name="Mar-23 Draft Tax" numFmtId="0">
      <sharedItems containsString="0" containsBlank="1" containsNumber="1" containsInteger="1" minValue="13023" maxValue="42735"/>
    </cacheField>
    <cacheField name="Apr-23 Draft Plan" numFmtId="0">
      <sharedItems containsString="0" containsBlank="1" containsNumber="1" minValue="0" maxValue="4810770.9999999991"/>
    </cacheField>
    <cacheField name="Apr-23 Draft Tax" numFmtId="0">
      <sharedItems containsString="0" containsBlank="1" containsNumber="1" containsInteger="1" minValue="32733" maxValue="40753"/>
    </cacheField>
    <cacheField name="May-23 Draft Plan" numFmtId="0">
      <sharedItems containsString="0" containsBlank="1" containsNumber="1" minValue="0" maxValue="7119456"/>
    </cacheField>
    <cacheField name="May-23 Draft Tax" numFmtId="0">
      <sharedItems containsString="0" containsBlank="1" containsNumber="1" containsInteger="1" minValue="26564" maxValue="34871"/>
    </cacheField>
    <cacheField name="Jun-23 Draft Plan" numFmtId="0">
      <sharedItems containsString="0" containsBlank="1" containsNumber="1" minValue="0" maxValue="4162068.28"/>
    </cacheField>
    <cacheField name="June-23 Draft Tax" numFmtId="0">
      <sharedItems containsString="0" containsBlank="1" containsNumber="1" minValue="5622" maxValue="13873"/>
    </cacheField>
    <cacheField name="July-23 Draft Plan" numFmtId="0">
      <sharedItems containsString="0" containsBlank="1" containsNumber="1" minValue="0" maxValue="11000000"/>
    </cacheField>
    <cacheField name="July-23 Draft Tax" numFmtId="0">
      <sharedItems containsString="0" containsBlank="1" containsNumber="1" minValue="712.72" maxValue="23779.79"/>
    </cacheField>
    <cacheField name="Aug-23 Draft Plan" numFmtId="0">
      <sharedItems containsString="0" containsBlank="1" containsNumber="1" minValue="0" maxValue="5709214.7480000006"/>
    </cacheField>
    <cacheField name="Aug-23 Draft Tax" numFmtId="0">
      <sharedItems containsString="0" containsBlank="1" containsNumber="1" containsInteger="1" minValue="0" maxValue="2749"/>
    </cacheField>
    <cacheField name="Sep-23 Draft Plan" numFmtId="0">
      <sharedItems containsString="0" containsBlank="1" containsNumber="1" minValue="0" maxValue="4122495.69"/>
    </cacheField>
    <cacheField name="Sep-23 Draft Tax" numFmtId="0">
      <sharedItems containsString="0" containsBlank="1" containsNumber="1" minValue="7988" maxValue="22473"/>
    </cacheField>
    <cacheField name="Oct-23 Draft Plan" numFmtId="0">
      <sharedItems containsString="0" containsBlank="1" containsNumber="1" minValue="0" maxValue="7083604.0199999996"/>
    </cacheField>
    <cacheField name="Oct-23 Draft Tax" numFmtId="0">
      <sharedItems containsString="0" containsBlank="1" containsNumber="1" minValue="0" maxValue="17840"/>
    </cacheField>
    <cacheField name="Nov-23 Draft Plan" numFmtId="0">
      <sharedItems containsString="0" containsBlank="1" containsNumber="1" minValue="0" maxValue="23431574.059999999"/>
    </cacheField>
    <cacheField name="Nov-23 Draft Tax" numFmtId="0">
      <sharedItems containsString="0" containsBlank="1" containsNumber="1" minValue="0" maxValue="12599"/>
    </cacheField>
    <cacheField name="Dec-23 Draft Plan" numFmtId="0">
      <sharedItems containsString="0" containsBlank="1" containsNumber="1" minValue="0" maxValue="10144748.939999999"/>
    </cacheField>
    <cacheField name="Dec-23 Draft Tax" numFmtId="0">
      <sharedItems containsString="0" containsBlank="1" containsNumber="1" minValue="964.43" maxValue="21199.81"/>
    </cacheField>
    <cacheField name="Jan-24 Draft Plan" numFmtId="0">
      <sharedItems containsString="0" containsBlank="1" containsNumber="1" minValue="0" maxValue="23025366.879999999"/>
    </cacheField>
    <cacheField name="Jan-24 Draft Tax" numFmtId="0">
      <sharedItems containsString="0" containsBlank="1" containsNumber="1" minValue="2359.3200000000002" maxValue="15762"/>
    </cacheField>
    <cacheField name="Feb-24 Draft Plan" numFmtId="0">
      <sharedItems containsBlank="1" containsMixedTypes="1" containsNumber="1" minValue="0" maxValue="12210895.4"/>
    </cacheField>
    <cacheField name="Feb-24 Draft Tax" numFmtId="0">
      <sharedItems containsString="0" containsBlank="1" containsNumber="1" minValue="561.24" maxValue="173262.36000000002"/>
    </cacheField>
    <cacheField name="Mar-24 Draft Plan" numFmtId="181">
      <sharedItems containsString="0" containsBlank="1" containsNumber="1" minValue="0" maxValue="9750000"/>
    </cacheField>
    <cacheField name="Mar-24 Draft Tax" numFmtId="0">
      <sharedItems containsBlank="1" containsMixedTypes="1" containsNumber="1" minValue="241.69" maxValue="27362.74"/>
    </cacheField>
    <cacheField name="Apr-24 Draft Plan" numFmtId="0">
      <sharedItems containsString="0" containsBlank="1" containsNumber="1" minValue="0" maxValue="10725019.359999999"/>
    </cacheField>
    <cacheField name="Apr-24 Draft Tax" numFmtId="0">
      <sharedItems containsString="0" containsBlank="1" containsNumber="1" minValue="647.54" maxValue="10168"/>
    </cacheField>
    <cacheField name="May-24 Draft Plan" numFmtId="181">
      <sharedItems containsString="0" containsBlank="1" containsNumber="1" minValue="0" maxValue="10560920"/>
    </cacheField>
    <cacheField name="May-24 Draft Tax" numFmtId="181">
      <sharedItems containsString="0" containsBlank="1" containsNumber="1" minValue="0" maxValue="21670"/>
    </cacheField>
    <cacheField name="Jun-24 Draft Plan" numFmtId="181">
      <sharedItems containsString="0" containsBlank="1" containsNumber="1" minValue="0" maxValue="24390056.25"/>
    </cacheField>
    <cacheField name="Jun-24 Draft Tax" numFmtId="181">
      <sharedItems containsString="0" containsBlank="1" containsNumber="1" minValue="0" maxValue="32737.33"/>
    </cacheField>
    <cacheField name="Jul-24 Draft Plan" numFmtId="0">
      <sharedItems containsString="0" containsBlank="1" containsNumber="1" minValue="0" maxValue="26821220.800000001"/>
    </cacheField>
    <cacheField name="Jul-24 Draft Tax" numFmtId="181">
      <sharedItems containsSemiMixedTypes="0" containsString="0" containsNumber="1" minValue="0" maxValue="36376.26"/>
    </cacheField>
    <cacheField name="Aug-24 Draft" numFmtId="178">
      <sharedItems containsSemiMixedTypes="0" containsString="0" containsNumber="1" minValue="0" maxValue="18203634.940000001"/>
    </cacheField>
    <cacheField name="Aug-24 Draft Tax" numFmtId="178">
      <sharedItems containsSemiMixedTypes="0" containsString="0" containsNumber="1" minValue="0" maxValue="30205.19"/>
    </cacheField>
    <cacheField name="Sep-24 Draft" numFmtId="178">
      <sharedItems containsSemiMixedTypes="0" containsString="0" containsNumber="1" minValue="0" maxValue="12270405"/>
    </cacheField>
    <cacheField name="Sep-24 Draft Tax" numFmtId="178">
      <sharedItems containsSemiMixedTypes="0" containsString="0" containsNumber="1" minValue="0" maxValue="33341.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9">
  <r>
    <m/>
    <x v="0"/>
    <m/>
    <n v="4400758378"/>
    <n v="1"/>
    <s v="USC23C036"/>
    <m/>
    <s v="Main Tool Interconnection"/>
    <m/>
    <s v="AMAT Engineering Pricing"/>
    <m/>
    <n v="1"/>
    <m/>
    <n v="85000"/>
    <m/>
    <m/>
    <m/>
    <n v="85000"/>
    <n v="85000"/>
    <m/>
    <d v="2023-03-21T00:00:00"/>
    <m/>
    <s v="Within 30 days Due net"/>
    <n v="85000"/>
    <n v="1"/>
    <n v="0"/>
    <m/>
    <m/>
    <n v="0"/>
    <m/>
    <m/>
    <m/>
    <m/>
    <m/>
    <m/>
    <n v="85000"/>
    <m/>
    <m/>
    <m/>
    <m/>
    <m/>
    <m/>
    <m/>
    <m/>
    <m/>
    <m/>
    <m/>
    <m/>
    <m/>
    <m/>
    <m/>
    <m/>
    <m/>
    <m/>
    <m/>
    <s v=""/>
    <m/>
    <n v="0"/>
    <m/>
    <m/>
    <m/>
    <m/>
    <m/>
    <m/>
    <m/>
    <m/>
    <m/>
    <m/>
    <m/>
    <n v="85000"/>
    <m/>
    <m/>
    <n v="85000"/>
  </r>
  <r>
    <m/>
    <x v="0"/>
    <m/>
    <n v="4400767535"/>
    <n v="1"/>
    <s v="USC23C036"/>
    <m/>
    <s v="Main Tool Interconnection"/>
    <m/>
    <s v="TSMC AZ Cable Componen"/>
    <m/>
    <n v="1"/>
    <n v="677000"/>
    <m/>
    <m/>
    <m/>
    <m/>
    <n v="677000"/>
    <n v="677000"/>
    <m/>
    <m/>
    <m/>
    <m/>
    <n v="677000"/>
    <n v="1"/>
    <n v="0"/>
    <n v="1"/>
    <n v="0"/>
    <n v="1"/>
    <m/>
    <m/>
    <m/>
    <m/>
    <m/>
    <m/>
    <n v="677000"/>
    <m/>
    <m/>
    <m/>
    <m/>
    <m/>
    <m/>
    <m/>
    <m/>
    <m/>
    <m/>
    <m/>
    <m/>
    <m/>
    <m/>
    <m/>
    <m/>
    <m/>
    <m/>
    <m/>
    <s v=""/>
    <m/>
    <n v="0"/>
    <m/>
    <m/>
    <m/>
    <m/>
    <m/>
    <m/>
    <m/>
    <m/>
    <m/>
    <m/>
    <m/>
    <n v="677000"/>
    <m/>
    <m/>
    <n v="677000"/>
  </r>
  <r>
    <m/>
    <x v="0"/>
    <m/>
    <n v="4400772471"/>
    <n v="1"/>
    <s v="USC23C036"/>
    <m/>
    <s v="Main Tool Interconnection"/>
    <s v="ZCENT-1"/>
    <s v="AMAT Tool Interconnect for TSMC Fab21 (labor)"/>
    <m/>
    <n v="1"/>
    <m/>
    <n v="2662941.46"/>
    <m/>
    <m/>
    <m/>
    <n v="2662941.46"/>
    <n v="2662941.46"/>
    <m/>
    <m/>
    <m/>
    <m/>
    <n v="2639418.6500000004"/>
    <n v="0.99116660641875332"/>
    <n v="23522.80999999959"/>
    <n v="0"/>
    <n v="0.56328726430208498"/>
    <n v="0.56328726430208498"/>
    <m/>
    <m/>
    <m/>
    <m/>
    <m/>
    <m/>
    <n v="1500001.01"/>
    <m/>
    <m/>
    <m/>
    <n v="56750.02"/>
    <m/>
    <n v="87701.08"/>
    <m/>
    <n v="59108.76"/>
    <m/>
    <m/>
    <m/>
    <n v="592.9"/>
    <m/>
    <n v="291459.15999999997"/>
    <m/>
    <n v="188416.69"/>
    <m/>
    <n v="231482.29"/>
    <m/>
    <n v="196108.49"/>
    <m/>
    <m/>
    <m/>
    <m/>
    <m/>
    <m/>
    <m/>
    <n v="27798.25"/>
    <m/>
    <m/>
    <m/>
    <m/>
    <m/>
    <n v="2611620.4000000004"/>
    <m/>
    <m/>
    <n v="2611620.4000000004"/>
  </r>
  <r>
    <m/>
    <x v="0"/>
    <m/>
    <n v="4400800335"/>
    <n v="1"/>
    <s v="USC23C036"/>
    <m/>
    <s v="Main Tool Interconnection"/>
    <s v="KSSBA3"/>
    <s v="Modifications of Cover Plates - B03210"/>
    <m/>
    <n v="1"/>
    <m/>
    <n v="1135"/>
    <m/>
    <m/>
    <m/>
    <n v="1135"/>
    <n v="1135"/>
    <m/>
    <m/>
    <m/>
    <s v="Within 30 days Due net"/>
    <n v="1135"/>
    <n v="1"/>
    <n v="0"/>
    <m/>
    <m/>
    <m/>
    <m/>
    <m/>
    <m/>
    <m/>
    <m/>
    <m/>
    <m/>
    <m/>
    <m/>
    <m/>
    <m/>
    <m/>
    <m/>
    <m/>
    <n v="1135"/>
    <m/>
    <m/>
    <m/>
    <m/>
    <m/>
    <m/>
    <m/>
    <m/>
    <m/>
    <m/>
    <m/>
    <s v=""/>
    <m/>
    <n v="0"/>
    <m/>
    <m/>
    <m/>
    <m/>
    <m/>
    <m/>
    <m/>
    <m/>
    <m/>
    <m/>
    <m/>
    <n v="1135"/>
    <m/>
    <m/>
    <m/>
  </r>
  <r>
    <m/>
    <x v="0"/>
    <m/>
    <n v="4400801046"/>
    <n v="1"/>
    <s v="USC23C036"/>
    <m/>
    <s v="Main Tool Interconnection"/>
    <s v="KCBDA1"/>
    <s v="KCBDA1 AC Box Cover Modification"/>
    <m/>
    <n v="1"/>
    <m/>
    <n v="1081"/>
    <m/>
    <m/>
    <n v="54"/>
    <n v="1135"/>
    <n v="1135"/>
    <m/>
    <m/>
    <m/>
    <m/>
    <n v="1135"/>
    <n v="1"/>
    <n v="0"/>
    <m/>
    <m/>
    <m/>
    <m/>
    <m/>
    <m/>
    <m/>
    <m/>
    <m/>
    <m/>
    <m/>
    <m/>
    <m/>
    <m/>
    <m/>
    <m/>
    <m/>
    <n v="1135"/>
    <m/>
    <m/>
    <m/>
    <m/>
    <m/>
    <m/>
    <m/>
    <m/>
    <m/>
    <m/>
    <m/>
    <s v=""/>
    <m/>
    <n v="0"/>
    <m/>
    <m/>
    <m/>
    <m/>
    <m/>
    <m/>
    <m/>
    <m/>
    <m/>
    <m/>
    <m/>
    <n v="1135"/>
    <m/>
    <m/>
    <m/>
  </r>
  <r>
    <m/>
    <x v="0"/>
    <m/>
    <n v="4400802557"/>
    <n v="1"/>
    <s v="USC23C036"/>
    <m/>
    <s v="Main Tool Interconnection"/>
    <s v="KCBDA10"/>
    <s v="KCBDA1 Under RMF Chamber Enclosure"/>
    <m/>
    <n v="1"/>
    <m/>
    <n v="3799.99"/>
    <m/>
    <m/>
    <m/>
    <n v="3799.99"/>
    <n v="3799.99"/>
    <m/>
    <m/>
    <m/>
    <s v="Within 30 days Due net"/>
    <n v="3799.99"/>
    <n v="1"/>
    <n v="0"/>
    <m/>
    <m/>
    <m/>
    <m/>
    <m/>
    <m/>
    <m/>
    <m/>
    <m/>
    <m/>
    <m/>
    <m/>
    <m/>
    <m/>
    <m/>
    <m/>
    <m/>
    <n v="3799.99"/>
    <m/>
    <m/>
    <m/>
    <m/>
    <m/>
    <m/>
    <m/>
    <m/>
    <m/>
    <m/>
    <m/>
    <s v=""/>
    <m/>
    <n v="0"/>
    <m/>
    <m/>
    <m/>
    <m/>
    <m/>
    <m/>
    <m/>
    <m/>
    <m/>
    <m/>
    <m/>
    <n v="3799.99"/>
    <m/>
    <m/>
    <m/>
  </r>
  <r>
    <m/>
    <x v="0"/>
    <m/>
    <n v="4400803577"/>
    <n v="1"/>
    <s v="USC23C036"/>
    <m/>
    <s v="Main Tool Interconnection"/>
    <s v="KESDA10"/>
    <s v="KESDA1 SIGNAL CABLE REWORK"/>
    <m/>
    <n v="1"/>
    <m/>
    <n v="3109"/>
    <m/>
    <m/>
    <n v="156"/>
    <n v="3265"/>
    <n v="3265"/>
    <m/>
    <m/>
    <m/>
    <m/>
    <n v="3265"/>
    <n v="1"/>
    <n v="0"/>
    <m/>
    <m/>
    <m/>
    <m/>
    <m/>
    <m/>
    <m/>
    <m/>
    <m/>
    <m/>
    <m/>
    <m/>
    <m/>
    <m/>
    <m/>
    <m/>
    <m/>
    <n v="3265"/>
    <m/>
    <m/>
    <m/>
    <m/>
    <m/>
    <m/>
    <m/>
    <m/>
    <m/>
    <m/>
    <m/>
    <s v=""/>
    <m/>
    <n v="0"/>
    <m/>
    <m/>
    <m/>
    <m/>
    <m/>
    <m/>
    <m/>
    <m/>
    <m/>
    <m/>
    <m/>
    <n v="3265"/>
    <m/>
    <m/>
    <m/>
  </r>
  <r>
    <m/>
    <x v="0"/>
    <m/>
    <n v="4400806736"/>
    <n v="1"/>
    <s v="USC23C036"/>
    <m/>
    <s v="Main Tool Interconnection"/>
    <s v="KSSBA3"/>
    <s v="CHANGE ORDER KSSBA3 Wire Demo and Repull "/>
    <m/>
    <n v="1"/>
    <m/>
    <n v="4921"/>
    <m/>
    <m/>
    <m/>
    <n v="4921"/>
    <n v="4921"/>
    <m/>
    <m/>
    <m/>
    <m/>
    <n v="4921"/>
    <n v="1"/>
    <n v="0"/>
    <m/>
    <m/>
    <m/>
    <m/>
    <m/>
    <m/>
    <m/>
    <m/>
    <m/>
    <m/>
    <m/>
    <m/>
    <m/>
    <m/>
    <m/>
    <m/>
    <m/>
    <m/>
    <m/>
    <m/>
    <m/>
    <m/>
    <m/>
    <m/>
    <m/>
    <n v="4921"/>
    <m/>
    <m/>
    <m/>
    <s v=""/>
    <m/>
    <n v="0"/>
    <m/>
    <m/>
    <m/>
    <m/>
    <m/>
    <m/>
    <m/>
    <m/>
    <m/>
    <m/>
    <m/>
    <n v="4921"/>
    <m/>
    <m/>
    <m/>
  </r>
  <r>
    <m/>
    <x v="0"/>
    <m/>
    <n v="4400810811"/>
    <n v="1"/>
    <s v="USC23C036"/>
    <m/>
    <s v="Main Tool Interconnection"/>
    <s v="KSSBA30"/>
    <s v="KSSBA3 Wire Demo and Repull"/>
    <m/>
    <n v="1"/>
    <m/>
    <n v="12813"/>
    <m/>
    <m/>
    <n v="641"/>
    <n v="13454"/>
    <n v="13454"/>
    <m/>
    <m/>
    <m/>
    <m/>
    <n v="13454"/>
    <n v="1"/>
    <n v="0"/>
    <m/>
    <m/>
    <m/>
    <m/>
    <m/>
    <m/>
    <m/>
    <m/>
    <m/>
    <m/>
    <m/>
    <m/>
    <m/>
    <m/>
    <m/>
    <m/>
    <m/>
    <m/>
    <m/>
    <n v="13454"/>
    <m/>
    <m/>
    <m/>
    <m/>
    <m/>
    <m/>
    <m/>
    <m/>
    <m/>
    <s v=""/>
    <m/>
    <n v="0"/>
    <m/>
    <m/>
    <m/>
    <m/>
    <m/>
    <m/>
    <m/>
    <m/>
    <m/>
    <m/>
    <m/>
    <n v="13454"/>
    <m/>
    <m/>
    <m/>
  </r>
  <r>
    <m/>
    <x v="0"/>
    <m/>
    <n v="4400811501"/>
    <n v="1"/>
    <s v="USC23C036"/>
    <m/>
    <s v="Main Tool Interconnection"/>
    <s v="KCBDA10"/>
    <s v="KCBDA1 Wire Demo and Repull"/>
    <m/>
    <n v="1"/>
    <m/>
    <n v="15766"/>
    <m/>
    <m/>
    <n v="789"/>
    <n v="16555"/>
    <n v="16555"/>
    <m/>
    <m/>
    <m/>
    <m/>
    <n v="16555"/>
    <n v="1"/>
    <n v="0"/>
    <m/>
    <m/>
    <m/>
    <m/>
    <m/>
    <m/>
    <m/>
    <m/>
    <m/>
    <m/>
    <m/>
    <m/>
    <m/>
    <m/>
    <m/>
    <m/>
    <m/>
    <m/>
    <m/>
    <n v="16555"/>
    <m/>
    <m/>
    <m/>
    <m/>
    <m/>
    <m/>
    <m/>
    <m/>
    <m/>
    <s v=""/>
    <m/>
    <n v="0"/>
    <m/>
    <m/>
    <m/>
    <m/>
    <m/>
    <m/>
    <m/>
    <m/>
    <m/>
    <m/>
    <m/>
    <n v="16555"/>
    <m/>
    <m/>
    <m/>
  </r>
  <r>
    <s v="John Gauci"/>
    <x v="0"/>
    <m/>
    <n v="4400811559"/>
    <n v="1"/>
    <s v="USC23C036"/>
    <s v="F21P1 AMAT Interconnection"/>
    <s v="Main Tool Interconnection"/>
    <s v="KECOA1"/>
    <s v="KECOA1 AC Box Cover Modification"/>
    <m/>
    <n v="1"/>
    <m/>
    <n v="1131"/>
    <m/>
    <m/>
    <m/>
    <n v="1131"/>
    <n v="1131"/>
    <m/>
    <s v="10/06/2023"/>
    <m/>
    <s v="Within 30 days Due net"/>
    <n v="1131"/>
    <n v="1"/>
    <n v="0"/>
    <m/>
    <m/>
    <m/>
    <n v="1131"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m/>
    <m/>
    <m/>
    <m/>
    <m/>
    <m/>
    <m/>
    <m/>
    <n v="1131"/>
    <m/>
    <m/>
    <m/>
  </r>
  <r>
    <s v="John Gauci"/>
    <x v="0"/>
    <m/>
    <n v="4400811568"/>
    <n v="1"/>
    <s v="USC23C036"/>
    <s v="F21P1 AMAT Interconnection"/>
    <s v="Main Tool Interconnection"/>
    <s v="KESDA1"/>
    <s v="KESDA1 AC Box Cover Modification"/>
    <m/>
    <n v="1"/>
    <m/>
    <n v="1131"/>
    <m/>
    <m/>
    <m/>
    <n v="1131"/>
    <n v="1131"/>
    <m/>
    <s v="10/06/2023"/>
    <m/>
    <s v="Within 30 days Due net"/>
    <n v="1131"/>
    <n v="1"/>
    <n v="0"/>
    <m/>
    <m/>
    <m/>
    <n v="1131"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m/>
    <m/>
    <m/>
    <m/>
    <m/>
    <m/>
    <m/>
    <m/>
    <n v="1131"/>
    <m/>
    <m/>
    <m/>
  </r>
  <r>
    <s v="John Gauci"/>
    <x v="0"/>
    <m/>
    <n v="4400816696"/>
    <n v="1"/>
    <s v="USC23C036"/>
    <m/>
    <s v="Main Tool Interconnection"/>
    <s v="KKSV02"/>
    <m/>
    <m/>
    <n v="1"/>
    <m/>
    <n v="2379"/>
    <m/>
    <m/>
    <m/>
    <n v="2379"/>
    <n v="2379"/>
    <m/>
    <m/>
    <m/>
    <m/>
    <n v="2379"/>
    <n v="1"/>
    <n v="0"/>
    <m/>
    <m/>
    <m/>
    <m/>
    <m/>
    <m/>
    <m/>
    <m/>
    <m/>
    <m/>
    <m/>
    <m/>
    <m/>
    <m/>
    <m/>
    <m/>
    <m/>
    <m/>
    <m/>
    <m/>
    <m/>
    <m/>
    <m/>
    <n v="2379"/>
    <m/>
    <m/>
    <m/>
    <m/>
    <m/>
    <s v=""/>
    <m/>
    <n v="0"/>
    <m/>
    <m/>
    <m/>
    <m/>
    <m/>
    <m/>
    <m/>
    <m/>
    <m/>
    <m/>
    <m/>
    <n v="2379"/>
    <m/>
    <m/>
    <m/>
  </r>
  <r>
    <m/>
    <x v="0"/>
    <m/>
    <n v="4400816699"/>
    <n v="1"/>
    <s v="USC23C036"/>
    <m/>
    <s v="Main Tool Interconnection"/>
    <m/>
    <s v="Exhaust flexible tube 10ea and Clamps 20"/>
    <m/>
    <n v="1"/>
    <m/>
    <n v="1296"/>
    <m/>
    <m/>
    <m/>
    <n v="1296"/>
    <n v="1296"/>
    <m/>
    <s v="10/24/2023"/>
    <m/>
    <s v="Within 30 days Due net"/>
    <n v="1296"/>
    <n v="1"/>
    <n v="0"/>
    <m/>
    <m/>
    <m/>
    <n v="1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6"/>
    <m/>
    <m/>
    <m/>
  </r>
  <r>
    <s v="John Gauci"/>
    <x v="0"/>
    <m/>
    <n v="4400819528"/>
    <n v="1"/>
    <s v="USC23C036"/>
    <m/>
    <s v="Main Tool Interconnection"/>
    <s v="KESDA2"/>
    <s v="KESDA2 AC Top Plate Mod"/>
    <m/>
    <n v="1"/>
    <m/>
    <n v="1135"/>
    <m/>
    <m/>
    <m/>
    <n v="1135"/>
    <n v="1135"/>
    <m/>
    <m/>
    <m/>
    <s v="Within 30 days Due net"/>
    <n v="113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1135"/>
    <m/>
    <n v="0"/>
    <m/>
    <m/>
    <m/>
    <m/>
    <m/>
    <m/>
    <m/>
    <m/>
    <m/>
    <m/>
    <m/>
    <n v="1135"/>
    <m/>
    <m/>
    <m/>
  </r>
  <r>
    <s v="John Gauci"/>
    <x v="0"/>
    <m/>
    <n v="4400819529"/>
    <n v="1"/>
    <s v="USC23C036"/>
    <m/>
    <s v="Main Tool Interconnection"/>
    <s v="KEMEA3"/>
    <s v="KEMEA3 AC Top Plate Mod"/>
    <m/>
    <n v="1"/>
    <m/>
    <n v="1135"/>
    <m/>
    <m/>
    <m/>
    <n v="1135"/>
    <n v="1135"/>
    <m/>
    <m/>
    <m/>
    <s v="Within 30 days Due net"/>
    <n v="113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1135"/>
    <m/>
    <n v="0"/>
    <m/>
    <m/>
    <m/>
    <m/>
    <m/>
    <m/>
    <m/>
    <m/>
    <m/>
    <m/>
    <m/>
    <n v="1135"/>
    <m/>
    <m/>
    <m/>
  </r>
  <r>
    <s v="John Gauci"/>
    <x v="0"/>
    <m/>
    <n v="4400819541"/>
    <n v="1"/>
    <s v="USC23C036"/>
    <s v="F21P1 AMAT Interconnection"/>
    <s v="Main Tool Interconnection"/>
    <s v="KEPOA2"/>
    <s v="KEPOA2 AC Top Plate Mod"/>
    <m/>
    <n v="1"/>
    <m/>
    <n v="1135"/>
    <m/>
    <m/>
    <m/>
    <n v="1135"/>
    <n v="1135"/>
    <m/>
    <s v="11/03/2023"/>
    <m/>
    <s v="Within 30 days Due net"/>
    <n v="1131"/>
    <n v="0.99647577092511008"/>
    <n v="4"/>
    <m/>
    <m/>
    <m/>
    <n v="1131"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m/>
    <m/>
    <m/>
    <m/>
    <m/>
    <m/>
    <m/>
    <m/>
    <n v="1131"/>
    <m/>
    <m/>
    <m/>
  </r>
  <r>
    <s v="John Gauci"/>
    <x v="0"/>
    <m/>
    <n v="4400819543"/>
    <n v="1"/>
    <s v="USC23C036"/>
    <s v="F21P1 AMAT Interconnection"/>
    <s v="Main Tool Interconnection"/>
    <s v="KEMEA5"/>
    <s v="KEMEA5 AC Top Plate Mod "/>
    <m/>
    <n v="1"/>
    <m/>
    <n v="1135"/>
    <m/>
    <m/>
    <m/>
    <n v="1135"/>
    <n v="1135"/>
    <m/>
    <s v="11/03/2023"/>
    <m/>
    <s v="Within 30 days Due net"/>
    <n v="1131"/>
    <n v="0.99647577092511008"/>
    <n v="4"/>
    <m/>
    <m/>
    <m/>
    <n v="1131"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m/>
    <m/>
    <m/>
    <m/>
    <m/>
    <m/>
    <m/>
    <m/>
    <n v="1131"/>
    <m/>
    <m/>
    <m/>
  </r>
  <r>
    <s v="John Gauci"/>
    <x v="0"/>
    <m/>
    <n v="4400819544"/>
    <n v="1"/>
    <s v="USC23C036"/>
    <s v="F21P1 AMAT Interconnection"/>
    <s v="Main Tool Interconnection"/>
    <s v="KDIGA3"/>
    <s v="KDIGA3 AC Top Plate Modification"/>
    <m/>
    <n v="1"/>
    <m/>
    <n v="1135"/>
    <m/>
    <m/>
    <m/>
    <n v="1135"/>
    <n v="1135"/>
    <m/>
    <s v="11/03/2023"/>
    <m/>
    <s v="Within 30 days Due net"/>
    <n v="1131"/>
    <n v="0.99647577092511008"/>
    <n v="4"/>
    <m/>
    <m/>
    <m/>
    <n v="1131"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m/>
    <m/>
    <m/>
    <m/>
    <m/>
    <m/>
    <m/>
    <m/>
    <n v="1131"/>
    <m/>
    <m/>
    <m/>
  </r>
  <r>
    <s v="John Gauci"/>
    <x v="0"/>
    <m/>
    <n v="4400819587"/>
    <n v="1"/>
    <s v="USC23C036"/>
    <s v="F21P1 AMAT Interconnection"/>
    <s v="Main Tool Interconnection"/>
    <s v="KCEPA1"/>
    <s v="KCEPA1 AC Top Plate Modification"/>
    <m/>
    <n v="1"/>
    <m/>
    <n v="1135"/>
    <m/>
    <m/>
    <m/>
    <n v="1135"/>
    <n v="1135"/>
    <m/>
    <s v="11/03/2023"/>
    <m/>
    <s v="Within 30 days Due net"/>
    <n v="1131"/>
    <n v="0.99647577092511008"/>
    <n v="4"/>
    <m/>
    <m/>
    <m/>
    <n v="1131"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m/>
    <m/>
    <m/>
    <m/>
    <m/>
    <m/>
    <m/>
    <m/>
    <n v="1131"/>
    <m/>
    <m/>
    <m/>
  </r>
  <r>
    <s v="John Gauci"/>
    <x v="0"/>
    <m/>
    <n v="4400819608"/>
    <n v="1"/>
    <s v="USC23C036"/>
    <s v="F21P1 AMAT Interconnection"/>
    <s v="Main Tool Interconnection"/>
    <s v="KCENA1"/>
    <s v="KCENA1 AC Top Plate Mod "/>
    <m/>
    <n v="1"/>
    <m/>
    <n v="1135"/>
    <m/>
    <m/>
    <m/>
    <n v="1135"/>
    <n v="1135"/>
    <m/>
    <s v="11/03/2023"/>
    <m/>
    <s v="Within 30 days Due net"/>
    <n v="1131"/>
    <n v="0.99647577092511008"/>
    <n v="4"/>
    <m/>
    <m/>
    <m/>
    <n v="1131"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m/>
    <m/>
    <m/>
    <m/>
    <m/>
    <m/>
    <m/>
    <m/>
    <n v="1131"/>
    <m/>
    <m/>
    <m/>
  </r>
  <r>
    <s v="John Gauci"/>
    <x v="0"/>
    <m/>
    <n v="4400819935"/>
    <n v="1"/>
    <s v="USC23C036"/>
    <m/>
    <s v="Main Tool Interconnection"/>
    <s v="KCBDA4"/>
    <s v=" KCBDA4 RMF AC Junction Box install"/>
    <m/>
    <n v="1"/>
    <m/>
    <n v="3799"/>
    <m/>
    <m/>
    <m/>
    <n v="3799"/>
    <n v="3799"/>
    <m/>
    <m/>
    <m/>
    <s v="Within 30 days Due net"/>
    <n v="379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799"/>
    <m/>
    <n v="0"/>
    <m/>
    <m/>
    <m/>
    <m/>
    <m/>
    <m/>
    <m/>
    <m/>
    <m/>
    <m/>
    <m/>
    <n v="3799"/>
    <m/>
    <m/>
    <m/>
  </r>
  <r>
    <s v="John Gauci"/>
    <x v="0"/>
    <m/>
    <n v="4400819974"/>
    <n v="1"/>
    <s v="USC23C036"/>
    <m/>
    <s v="Main Tool Interconnection"/>
    <s v="KCBDA4"/>
    <s v="KCBDA4 AC Top Plate Mod"/>
    <m/>
    <n v="1"/>
    <m/>
    <n v="1135"/>
    <m/>
    <m/>
    <m/>
    <n v="1135"/>
    <n v="1135"/>
    <m/>
    <m/>
    <m/>
    <s v="Within 30 days Due net"/>
    <n v="113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1135"/>
    <m/>
    <n v="0"/>
    <m/>
    <m/>
    <m/>
    <m/>
    <m/>
    <m/>
    <m/>
    <m/>
    <m/>
    <m/>
    <m/>
    <n v="1135"/>
    <m/>
    <m/>
    <m/>
  </r>
  <r>
    <s v="John Gauci"/>
    <x v="0"/>
    <m/>
    <n v="4400819975"/>
    <n v="1"/>
    <s v="USC23C036"/>
    <m/>
    <s v="Main Tool Interconnection"/>
    <s v="KCENA2"/>
    <s v="KCENA2 AC Top Plate Mod"/>
    <m/>
    <n v="1"/>
    <m/>
    <n v="1135"/>
    <m/>
    <m/>
    <m/>
    <n v="1135"/>
    <n v="1135"/>
    <m/>
    <m/>
    <m/>
    <s v="Within 30 days Due net"/>
    <n v="113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1135"/>
    <m/>
    <m/>
    <m/>
    <m/>
    <m/>
    <m/>
    <m/>
    <m/>
    <m/>
    <m/>
    <m/>
    <n v="1135"/>
    <m/>
    <m/>
    <m/>
  </r>
  <r>
    <s v="John Gauci"/>
    <x v="0"/>
    <m/>
    <n v="4400819976"/>
    <n v="1"/>
    <s v="USC23C036"/>
    <m/>
    <s v="Main Tool Interconnection"/>
    <s v="KESDA3"/>
    <s v="KESDA3 AC Top Plate Mod"/>
    <m/>
    <n v="1"/>
    <m/>
    <n v="1135"/>
    <m/>
    <m/>
    <m/>
    <n v="1135"/>
    <n v="1135"/>
    <m/>
    <m/>
    <m/>
    <s v="Within 30 days Due net"/>
    <n v="113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1135"/>
    <m/>
    <m/>
    <m/>
    <m/>
    <m/>
    <m/>
    <m/>
    <m/>
    <m/>
    <m/>
    <m/>
    <n v="1135"/>
    <m/>
    <m/>
    <m/>
  </r>
  <r>
    <s v="John Gauci"/>
    <x v="0"/>
    <m/>
    <n v="4400819977"/>
    <n v="1"/>
    <s v="USC23C036"/>
    <m/>
    <s v="Main Tool Interconnection"/>
    <s v="KEPOA1"/>
    <s v="KEPOA1 AC Top Plate Mod"/>
    <m/>
    <n v="1"/>
    <m/>
    <n v="1135"/>
    <m/>
    <m/>
    <m/>
    <n v="1135"/>
    <n v="1135"/>
    <m/>
    <m/>
    <m/>
    <s v="Within 30 days Due net"/>
    <n v="113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1135"/>
    <m/>
    <n v="0"/>
    <m/>
    <m/>
    <m/>
    <m/>
    <m/>
    <m/>
    <m/>
    <m/>
    <m/>
    <m/>
    <m/>
    <n v="1135"/>
    <m/>
    <m/>
    <m/>
  </r>
  <r>
    <s v="John Gauci"/>
    <x v="0"/>
    <m/>
    <n v="4400819978"/>
    <n v="1"/>
    <s v="USC23C036"/>
    <m/>
    <s v="Main Tool Interconnection"/>
    <s v="KEMEA4"/>
    <s v="KEMEA4 AC Top Plate Mod"/>
    <m/>
    <n v="1"/>
    <m/>
    <n v="1135"/>
    <m/>
    <m/>
    <m/>
    <n v="1135"/>
    <n v="1135"/>
    <m/>
    <m/>
    <m/>
    <s v="Within 30 days Due net"/>
    <n v="113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1135"/>
    <m/>
    <n v="0"/>
    <m/>
    <m/>
    <m/>
    <m/>
    <m/>
    <m/>
    <m/>
    <m/>
    <m/>
    <m/>
    <m/>
    <n v="1135"/>
    <m/>
    <m/>
    <m/>
  </r>
  <r>
    <s v="John Gauci"/>
    <x v="0"/>
    <m/>
    <n v="4400819979"/>
    <n v="1"/>
    <s v="USC23C036"/>
    <s v="F21P1 AMAT Interconnection"/>
    <s v="Main Tool Interconnection"/>
    <s v="KDPNA1"/>
    <s v="KDPNA1 AC Top Plate Mod"/>
    <m/>
    <n v="1"/>
    <m/>
    <n v="1135"/>
    <m/>
    <m/>
    <m/>
    <n v="1135"/>
    <n v="1135"/>
    <m/>
    <s v="11/03/2023"/>
    <m/>
    <s v="Within 30 days Due net"/>
    <n v="0"/>
    <n v="0"/>
    <n v="1135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m/>
    <m/>
    <m/>
    <m/>
    <m/>
    <m/>
    <m/>
    <m/>
    <n v="0"/>
    <m/>
    <m/>
    <m/>
  </r>
  <r>
    <s v="John Gauci"/>
    <x v="0"/>
    <m/>
    <n v="4400819986"/>
    <n v="1"/>
    <s v="USC23C036"/>
    <m/>
    <s v="Main Tool Interconnection"/>
    <s v="KCSMA2"/>
    <s v="KCSMA2 AC Top Plate Mod"/>
    <m/>
    <n v="1"/>
    <m/>
    <n v="1135"/>
    <m/>
    <m/>
    <m/>
    <n v="1135"/>
    <n v="1135"/>
    <m/>
    <m/>
    <m/>
    <s v="Within 30 days Due net"/>
    <n v="113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1135"/>
    <m/>
    <n v="0"/>
    <m/>
    <m/>
    <m/>
    <m/>
    <m/>
    <m/>
    <m/>
    <m/>
    <m/>
    <m/>
    <m/>
    <n v="1135"/>
    <m/>
    <m/>
    <m/>
  </r>
  <r>
    <s v="John Gauci"/>
    <x v="0"/>
    <m/>
    <n v="4400820281"/>
    <n v="1"/>
    <s v="USC23C036"/>
    <s v="F21P1 AMAT Interconnection"/>
    <s v="Main Tool Interconnection"/>
    <s v="KCUVA3"/>
    <s v="KCUVA3 RMF AC Junction Box Installation"/>
    <m/>
    <n v="1"/>
    <m/>
    <n v="3799"/>
    <m/>
    <m/>
    <m/>
    <n v="3799"/>
    <n v="3799"/>
    <m/>
    <s v="11/06/2023"/>
    <m/>
    <s v="Within 30 days Due net"/>
    <n v="379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3799"/>
    <m/>
    <m/>
    <m/>
    <m/>
    <m/>
    <m/>
    <m/>
    <m/>
    <m/>
    <m/>
    <m/>
    <n v="3799"/>
    <m/>
    <m/>
    <m/>
  </r>
  <r>
    <s v="John Gauci"/>
    <x v="0"/>
    <m/>
    <n v="4400820284"/>
    <n v="1"/>
    <s v="USC23C036"/>
    <m/>
    <s v="Main Tool Interconnection"/>
    <s v="KCSMA2"/>
    <s v="KCSMA2 RMF AC Junction Box Installation"/>
    <m/>
    <n v="1"/>
    <m/>
    <n v="3799"/>
    <m/>
    <m/>
    <m/>
    <n v="3799"/>
    <n v="3799"/>
    <m/>
    <m/>
    <m/>
    <s v="Within 30 days Due net"/>
    <n v="379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799"/>
    <m/>
    <n v="0"/>
    <m/>
    <m/>
    <m/>
    <m/>
    <m/>
    <m/>
    <m/>
    <m/>
    <m/>
    <m/>
    <m/>
    <n v="3799"/>
    <m/>
    <m/>
    <m/>
  </r>
  <r>
    <s v="John Gauci"/>
    <x v="0"/>
    <m/>
    <n v="4400820801"/>
    <n v="1"/>
    <s v="USC23C036"/>
    <s v="F21P1 AMAT Interconnection"/>
    <s v="Main Tool Interconnection"/>
    <s v="KPCD16"/>
    <s v="KPCD16 Additional Power Cable"/>
    <m/>
    <n v="1"/>
    <m/>
    <n v="3758"/>
    <m/>
    <m/>
    <m/>
    <n v="3758"/>
    <n v="3758"/>
    <m/>
    <s v="11/07/2023"/>
    <m/>
    <s v="Within 30 days Due net"/>
    <n v="3758"/>
    <n v="1"/>
    <n v="0"/>
    <m/>
    <m/>
    <m/>
    <n v="3758"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m/>
    <m/>
    <m/>
    <m/>
    <m/>
    <m/>
    <m/>
    <m/>
    <n v="3758"/>
    <m/>
    <m/>
    <m/>
  </r>
  <r>
    <s v="John Gauci"/>
    <x v="0"/>
    <m/>
    <n v="4400821520"/>
    <n v="1"/>
    <s v="USC23C036"/>
    <s v="F21P1 AMAT Interconnection"/>
    <s v="Main Tool Interconnection"/>
    <s v="KCUVA3"/>
    <s v="KCUVA3 AC Top Plate Mod"/>
    <m/>
    <n v="1"/>
    <m/>
    <n v="1135"/>
    <m/>
    <m/>
    <m/>
    <n v="1135"/>
    <n v="1135"/>
    <m/>
    <s v="11/09/2023"/>
    <m/>
    <s v="Within 30 days Due net"/>
    <n v="113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1135"/>
    <m/>
    <m/>
    <m/>
    <m/>
    <m/>
    <m/>
    <m/>
    <m/>
    <m/>
    <m/>
    <m/>
    <n v="1135"/>
    <m/>
    <m/>
    <m/>
  </r>
  <r>
    <s v="John Gauci"/>
    <x v="0"/>
    <m/>
    <n v="4400822498"/>
    <n v="1"/>
    <s v="USC23C036"/>
    <s v="F21P1 AMAT Interconnection"/>
    <s v="Main Tool Interconnection"/>
    <s v="KCUVA1"/>
    <s v="KCUVA1 AC Top Plate Mod"/>
    <m/>
    <n v="1"/>
    <m/>
    <n v="1135"/>
    <m/>
    <m/>
    <m/>
    <n v="1135"/>
    <n v="1135"/>
    <m/>
    <s v="11/14/2023"/>
    <m/>
    <s v="Within 30 days Due net"/>
    <n v="1135"/>
    <n v="1"/>
    <n v="0"/>
    <m/>
    <m/>
    <m/>
    <n v="1135"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m/>
    <m/>
    <m/>
    <m/>
    <m/>
    <m/>
    <m/>
    <m/>
    <n v="1135"/>
    <m/>
    <m/>
    <m/>
  </r>
  <r>
    <s v="John Gauci"/>
    <x v="0"/>
    <m/>
    <n v="4400822500"/>
    <n v="1"/>
    <s v="USC23C036"/>
    <s v="F21P1 AMAT Interconnection"/>
    <s v="Main Tool Interconnection"/>
    <s v="KCASA4"/>
    <s v="KCASA4 RMF AC Box Installation"/>
    <m/>
    <n v="1"/>
    <m/>
    <n v="3799"/>
    <m/>
    <m/>
    <m/>
    <n v="3799"/>
    <n v="3799"/>
    <m/>
    <s v="11/14/2023"/>
    <m/>
    <s v="Within 30 days Due net"/>
    <n v="0"/>
    <n v="0"/>
    <n v="3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n v="0"/>
    <m/>
    <m/>
    <m/>
  </r>
  <r>
    <s v="John Gauci"/>
    <x v="0"/>
    <m/>
    <n v="4400822504"/>
    <n v="1"/>
    <s v="USC23C036"/>
    <s v="F21P1 AMAT Interconnection"/>
    <s v="Main Tool Interconnection"/>
    <s v="KCASA4"/>
    <s v="KCASA4 AC Top Plate Mod "/>
    <m/>
    <n v="1"/>
    <m/>
    <n v="1135"/>
    <m/>
    <m/>
    <m/>
    <n v="1135"/>
    <n v="1135"/>
    <m/>
    <s v="11/14/2023"/>
    <m/>
    <s v="Within 30 days Due net"/>
    <n v="0"/>
    <n v="0"/>
    <n v="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n v="0"/>
    <m/>
    <m/>
    <m/>
  </r>
  <r>
    <s v="John Gauci"/>
    <x v="0"/>
    <m/>
    <n v="4400822509"/>
    <n v="1"/>
    <s v="USC23C036"/>
    <s v="F21P1 AMAT Interconnection"/>
    <s v="Main Tool Interconnection"/>
    <s v="KCENA1"/>
    <s v="KCENA1 Installation of Power Cables"/>
    <m/>
    <n v="1"/>
    <m/>
    <n v="8651"/>
    <m/>
    <m/>
    <m/>
    <n v="8651"/>
    <n v="8651"/>
    <m/>
    <s v="11/14/2023"/>
    <m/>
    <s v="Within 30 days Due net"/>
    <n v="8651"/>
    <n v="1"/>
    <n v="0"/>
    <m/>
    <m/>
    <m/>
    <n v="8651"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m/>
    <m/>
    <m/>
    <m/>
    <m/>
    <m/>
    <m/>
    <m/>
    <n v="8651"/>
    <m/>
    <m/>
    <m/>
  </r>
  <r>
    <s v="John Gauci"/>
    <x v="0"/>
    <m/>
    <n v="4400822580"/>
    <n v="1"/>
    <s v="USC23C036"/>
    <s v="F21P1 AMAT Interconnection"/>
    <s v="Main Tool Interconnection"/>
    <s v="KCSMA6"/>
    <s v="KCSMA6 AC Top Plate Mod"/>
    <m/>
    <n v="1"/>
    <m/>
    <n v="1135"/>
    <m/>
    <m/>
    <m/>
    <n v="1135"/>
    <n v="1135"/>
    <m/>
    <s v="11/14/2023"/>
    <m/>
    <s v="Within 30 days Due net"/>
    <n v="0"/>
    <n v="0"/>
    <n v="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n v="0"/>
    <m/>
    <m/>
    <m/>
  </r>
  <r>
    <s v="John Gauci"/>
    <x v="0"/>
    <m/>
    <n v="4400822585"/>
    <n v="1"/>
    <s v="USC23C036"/>
    <s v="F21P1 AMAT Interconnection"/>
    <s v="Main Tool Interconnection"/>
    <s v="KCSMA6"/>
    <s v=" KCSMA6 RMF AC BOX Installation"/>
    <m/>
    <n v="1"/>
    <m/>
    <n v="3799"/>
    <m/>
    <m/>
    <m/>
    <n v="3799"/>
    <n v="3799"/>
    <m/>
    <s v="11/14/2023"/>
    <m/>
    <s v="Within 30 days Due net"/>
    <n v="0"/>
    <n v="0"/>
    <n v="3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n v="0"/>
    <m/>
    <m/>
    <m/>
  </r>
  <r>
    <s v="John Gauci"/>
    <x v="0"/>
    <m/>
    <n v="4400822589"/>
    <n v="1"/>
    <s v="USC23C036"/>
    <s v="F21P1 AMAT Interconnection"/>
    <s v="Main Tool Interconnection"/>
    <s v="KCFLA1"/>
    <s v="KCFLA1 AC Top Plate Mod Quote"/>
    <m/>
    <n v="1"/>
    <m/>
    <n v="1135"/>
    <m/>
    <m/>
    <m/>
    <n v="1135"/>
    <n v="1135"/>
    <m/>
    <s v="11/14/2023"/>
    <m/>
    <s v="Within 30 days Due net"/>
    <n v="0"/>
    <n v="0"/>
    <n v="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n v="0"/>
    <m/>
    <m/>
    <m/>
  </r>
  <r>
    <s v="John Gauci"/>
    <x v="0"/>
    <m/>
    <n v="4400822631"/>
    <n v="1"/>
    <s v="USC23C036"/>
    <s v="F21P1 AMAT Interconnection"/>
    <s v="Main Tool Interconnection"/>
    <s v="KCFLA1"/>
    <s v="KCFLA1 RMF AC Box Installation "/>
    <m/>
    <n v="1"/>
    <m/>
    <n v="3799"/>
    <m/>
    <m/>
    <m/>
    <n v="3799"/>
    <n v="3799"/>
    <m/>
    <s v="11/14/2023"/>
    <m/>
    <s v="Within 30 days Due net"/>
    <n v="0"/>
    <n v="0"/>
    <n v="3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n v="0"/>
    <m/>
    <m/>
    <m/>
  </r>
  <r>
    <s v="John Gauci"/>
    <x v="0"/>
    <m/>
    <n v="4400824054"/>
    <n v="1"/>
    <s v="USC23C036"/>
    <s v="F21P1 AMAT Interconnection"/>
    <s v="Main Tool Interconnection"/>
    <s v="KCEPA2"/>
    <s v="KCEPA2 AC Top Plate Mod"/>
    <m/>
    <n v="1"/>
    <m/>
    <n v="1135"/>
    <m/>
    <m/>
    <m/>
    <n v="1135"/>
    <n v="1135"/>
    <m/>
    <s v="11/20/2023"/>
    <m/>
    <s v="Within 30 days Due net"/>
    <n v="113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"/>
    <m/>
    <m/>
    <m/>
    <m/>
    <m/>
    <m/>
    <m/>
    <m/>
    <m/>
    <m/>
    <m/>
    <n v="1135"/>
    <m/>
    <m/>
    <m/>
  </r>
  <r>
    <s v="John Gauci"/>
    <x v="0"/>
    <m/>
    <n v="4400824102"/>
    <n v="1"/>
    <s v="USC23C036"/>
    <s v="F21P1 AMAT Interconnection"/>
    <s v="Main Tool Interconnection"/>
    <s v="KKDB04"/>
    <s v="KKDB04 EPDU Box_Signal Cables"/>
    <m/>
    <n v="1"/>
    <m/>
    <n v="4250"/>
    <m/>
    <m/>
    <m/>
    <n v="4250"/>
    <n v="4250"/>
    <m/>
    <s v="11/20/2023"/>
    <m/>
    <s v="Within 30 days Due net"/>
    <n v="4249.2"/>
    <n v="0.99981176470588229"/>
    <n v="0.8000000000001819"/>
    <m/>
    <m/>
    <m/>
    <n v="4249.2"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m/>
    <m/>
    <m/>
    <m/>
    <m/>
    <m/>
    <m/>
    <m/>
    <n v="4249.2"/>
    <m/>
    <m/>
    <m/>
  </r>
  <r>
    <s v="John Gauci"/>
    <x v="0"/>
    <m/>
    <n v="4400824141"/>
    <n v="1"/>
    <s v="USC23C036"/>
    <s v="F21P1 AMAT Interconnection"/>
    <s v="Main Tool Interconnection"/>
    <s v="KDCBA1"/>
    <s v="KDCBA1 AC Top Plate Mod"/>
    <m/>
    <n v="1"/>
    <m/>
    <n v="1135"/>
    <m/>
    <m/>
    <m/>
    <n v="1135"/>
    <n v="1135"/>
    <m/>
    <s v="11/20/2023"/>
    <m/>
    <s v="Within 30 days Due net"/>
    <n v="0"/>
    <n v="0"/>
    <n v="1135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m/>
    <m/>
    <m/>
    <m/>
    <m/>
    <m/>
    <m/>
    <m/>
    <n v="0"/>
    <m/>
    <m/>
    <m/>
  </r>
  <r>
    <s v="John Gauci"/>
    <x v="0"/>
    <m/>
    <n v="4400824143"/>
    <n v="1"/>
    <s v="USC23C036"/>
    <s v="F21P1 AMAT Interconnection"/>
    <s v="Main Tool Interconnection"/>
    <s v="KDIGA2"/>
    <s v="KDIGA2 AC Top Plate Mod"/>
    <m/>
    <n v="1"/>
    <m/>
    <n v="1135"/>
    <m/>
    <m/>
    <m/>
    <n v="1135"/>
    <n v="1135"/>
    <m/>
    <s v="11/20/2023"/>
    <m/>
    <s v="Within 30 days Due net"/>
    <n v="0"/>
    <n v="0"/>
    <n v="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n v="0"/>
    <m/>
    <m/>
    <m/>
  </r>
  <r>
    <s v="John Gauci"/>
    <x v="0"/>
    <m/>
    <n v="4400824144"/>
    <n v="1"/>
    <s v="USC23C036"/>
    <s v="F21P1 AMAT Interconnection"/>
    <s v="Main Tool Interconnection"/>
    <m/>
    <s v="KCEPA1 AC Rack Mod &amp; Clamps"/>
    <m/>
    <n v="1"/>
    <m/>
    <n v="2600"/>
    <m/>
    <m/>
    <m/>
    <n v="2600"/>
    <n v="2600"/>
    <m/>
    <s v="11/20/2023"/>
    <m/>
    <s v="Within 30 days Due net"/>
    <n v="2600"/>
    <n v="1"/>
    <n v="0"/>
    <m/>
    <m/>
    <m/>
    <n v="2600"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m/>
    <m/>
    <m/>
    <m/>
    <m/>
    <m/>
    <m/>
    <m/>
    <n v="2600"/>
    <m/>
    <m/>
    <m/>
  </r>
  <r>
    <s v="John Gauci"/>
    <x v="0"/>
    <m/>
    <n v="4400824162"/>
    <n v="1"/>
    <s v="USC23C036"/>
    <s v="F21P1 AMAT Interconnection"/>
    <s v="Main Tool Interconnection"/>
    <s v="KDRNA1"/>
    <s v=" KDRNA1 AC Top Plate Mod"/>
    <m/>
    <n v="1"/>
    <m/>
    <n v="1135"/>
    <m/>
    <m/>
    <m/>
    <n v="1135"/>
    <n v="1135"/>
    <m/>
    <s v="11/20/2023"/>
    <m/>
    <s v="Within 30 days Due net"/>
    <n v="113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1135"/>
    <m/>
    <m/>
    <m/>
    <m/>
    <m/>
    <m/>
    <m/>
    <m/>
    <m/>
    <m/>
    <m/>
    <n v="1135"/>
    <m/>
    <m/>
    <m/>
  </r>
  <r>
    <s v="John Gauci"/>
    <x v="0"/>
    <m/>
    <n v="4400824164"/>
    <n v="1"/>
    <s v="USC23C036"/>
    <s v="F21P1 AMAT Interconnection"/>
    <s v="Main Tool Interconnection"/>
    <s v="KSSWA1"/>
    <s v="KSSWA1 AC Top Plate Mod"/>
    <m/>
    <n v="1"/>
    <m/>
    <n v="1135"/>
    <m/>
    <m/>
    <m/>
    <n v="1135"/>
    <n v="1135"/>
    <m/>
    <s v="11/20/2023"/>
    <m/>
    <s v="Within 30 days Due net"/>
    <n v="113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1135"/>
    <m/>
    <m/>
    <m/>
    <m/>
    <m/>
    <m/>
    <m/>
    <m/>
    <m/>
    <m/>
    <m/>
    <n v="1135"/>
    <m/>
    <m/>
    <m/>
  </r>
  <r>
    <s v="John Gauci"/>
    <x v="0"/>
    <m/>
    <n v="4400824165"/>
    <n v="1"/>
    <s v="USC23C036"/>
    <s v="F21P1 AMAT Interconnection"/>
    <s v="Main Tool Interconnection"/>
    <s v="KSSWA2"/>
    <s v="KSSWA2 AC Top Plate Mod"/>
    <m/>
    <n v="1"/>
    <m/>
    <n v="1135"/>
    <m/>
    <m/>
    <m/>
    <n v="1135"/>
    <n v="1135"/>
    <m/>
    <s v="11/20/2023"/>
    <m/>
    <s v="Within 30 days Due net"/>
    <n v="113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1135"/>
    <m/>
    <m/>
    <m/>
    <m/>
    <m/>
    <m/>
    <m/>
    <m/>
    <m/>
    <m/>
    <m/>
    <n v="1135"/>
    <m/>
    <m/>
    <m/>
  </r>
  <r>
    <s v="John Gauci"/>
    <x v="0"/>
    <m/>
    <n v="4400824167"/>
    <n v="1"/>
    <s v="USC23C036"/>
    <s v="F21P1 AMAT Interconnection"/>
    <s v="Main Tool Interconnection"/>
    <s v="KSSBA9"/>
    <s v="KSSBA9 AC Top Plate Mod"/>
    <m/>
    <n v="1"/>
    <m/>
    <n v="1135"/>
    <m/>
    <m/>
    <m/>
    <n v="1135"/>
    <n v="1135"/>
    <m/>
    <s v="11/20/2023"/>
    <m/>
    <s v="Within 30 days Due net"/>
    <n v="113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1135"/>
    <m/>
    <m/>
    <m/>
    <m/>
    <m/>
    <m/>
    <m/>
    <m/>
    <m/>
    <m/>
    <m/>
    <n v="1135"/>
    <m/>
    <m/>
    <m/>
  </r>
  <r>
    <s v="John Gauci"/>
    <x v="0"/>
    <m/>
    <n v="4400824169"/>
    <n v="1"/>
    <s v="USC23C036"/>
    <s v="F21P1 AMAT Interconnection"/>
    <s v="Main Tool Interconnection"/>
    <s v="KSSBA2"/>
    <s v="KSSBA2 AC Top Plate Mod"/>
    <m/>
    <n v="1"/>
    <m/>
    <n v="1135"/>
    <m/>
    <m/>
    <m/>
    <n v="1135"/>
    <n v="1135"/>
    <m/>
    <s v="11/20/2023"/>
    <m/>
    <s v="Within 30 days Due net"/>
    <n v="1135"/>
    <n v="1"/>
    <n v="0"/>
    <m/>
    <m/>
    <m/>
    <n v="1135"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m/>
    <m/>
    <m/>
    <m/>
    <m/>
    <m/>
    <m/>
    <m/>
    <n v="1135"/>
    <m/>
    <m/>
    <m/>
  </r>
  <r>
    <s v="John Gauci"/>
    <x v="0"/>
    <m/>
    <n v="4400824191"/>
    <n v="1"/>
    <s v="USC23C036"/>
    <s v="F21P1 AMAT Interconnection"/>
    <s v="Main Tool Interconnection"/>
    <s v="KSWGA1"/>
    <s v="KSWGA1 AC Top Plate Mod"/>
    <m/>
    <n v="1"/>
    <m/>
    <n v="1135"/>
    <m/>
    <m/>
    <m/>
    <n v="1135"/>
    <n v="1135"/>
    <m/>
    <s v="11/20/2023"/>
    <m/>
    <s v="Within 30 days Due net"/>
    <n v="113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1135"/>
    <m/>
    <m/>
    <m/>
    <m/>
    <m/>
    <m/>
    <m/>
    <m/>
    <m/>
    <m/>
    <m/>
    <n v="1135"/>
    <m/>
    <m/>
    <m/>
  </r>
  <r>
    <s v="John Gauci"/>
    <x v="0"/>
    <m/>
    <n v="4400826923"/>
    <n v="1"/>
    <s v="USC23C036"/>
    <m/>
    <s v="Main Tool Interconnection"/>
    <s v="KKSV02"/>
    <s v=" PDC tool T92060 KKBD04 Power cable termi"/>
    <m/>
    <n v="1"/>
    <m/>
    <n v="2393"/>
    <m/>
    <m/>
    <m/>
    <n v="2393"/>
    <n v="2393"/>
    <m/>
    <m/>
    <m/>
    <m/>
    <n v="2393"/>
    <n v="1"/>
    <n v="0"/>
    <m/>
    <m/>
    <m/>
    <m/>
    <m/>
    <m/>
    <m/>
    <m/>
    <m/>
    <m/>
    <m/>
    <m/>
    <m/>
    <m/>
    <m/>
    <m/>
    <m/>
    <m/>
    <m/>
    <m/>
    <m/>
    <m/>
    <m/>
    <n v="2393"/>
    <m/>
    <m/>
    <m/>
    <m/>
    <m/>
    <s v=""/>
    <m/>
    <n v="0"/>
    <m/>
    <m/>
    <m/>
    <m/>
    <m/>
    <m/>
    <m/>
    <m/>
    <m/>
    <m/>
    <m/>
    <n v="2393"/>
    <m/>
    <m/>
    <m/>
  </r>
  <r>
    <s v="John Gauci"/>
    <x v="0"/>
    <m/>
    <n v="4400828868"/>
    <n v="1"/>
    <s v="USC23C036"/>
    <s v="F21P1 AMAT Interconnection"/>
    <s v="Main Tool Interconnection"/>
    <s v="KKDB04"/>
    <s v=" PDC tool T92060 KKBD04 Power cable termi"/>
    <m/>
    <n v="1"/>
    <m/>
    <n v="995.71"/>
    <m/>
    <m/>
    <m/>
    <n v="995.71"/>
    <n v="995.71"/>
    <m/>
    <s v="12/9/2023"/>
    <m/>
    <s v="Within 30 days Due net"/>
    <n v="995.71"/>
    <n v="1"/>
    <n v="0"/>
    <m/>
    <m/>
    <m/>
    <n v="995.71"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m/>
    <m/>
    <m/>
    <m/>
    <m/>
    <m/>
    <m/>
    <m/>
    <n v="995.71"/>
    <m/>
    <m/>
    <m/>
  </r>
  <r>
    <s v="John Gauci"/>
    <x v="0"/>
    <m/>
    <n v="4400830144"/>
    <n v="1"/>
    <s v="USC23C036"/>
    <s v="F21P1 AMAT Interconnection"/>
    <s v="Main Tool Interconnection"/>
    <s v="KMPOA2-C"/>
    <s v="KMPOA2_C_Power Cabel Demo ) Rerouting."/>
    <m/>
    <n v="1"/>
    <m/>
    <n v="3698"/>
    <m/>
    <m/>
    <m/>
    <n v="3698"/>
    <n v="3698"/>
    <m/>
    <s v="12/13/2023"/>
    <m/>
    <s v="Within 30 days Due net"/>
    <n v="3698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n v="3698"/>
    <m/>
    <m/>
    <m/>
    <m/>
    <m/>
    <m/>
    <m/>
    <n v="0"/>
    <m/>
    <m/>
    <m/>
  </r>
  <r>
    <s v="John Gauci"/>
    <x v="0"/>
    <m/>
    <n v="4400830150"/>
    <m/>
    <s v="USC23C036"/>
    <s v="F21P1 AMAT Interconnection"/>
    <s v="Main Tool Interconnection"/>
    <s v="KKSV02"/>
    <s v="KKCVO2 Terminate 3 power cable"/>
    <m/>
    <n v="1"/>
    <m/>
    <n v="2357"/>
    <m/>
    <m/>
    <m/>
    <n v="2357"/>
    <n v="2357"/>
    <m/>
    <s v="12/13/2023"/>
    <m/>
    <s v="Within 30 days Due net"/>
    <n v="2357"/>
    <n v="1"/>
    <n v="0"/>
    <m/>
    <m/>
    <m/>
    <n v="2357"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m/>
    <m/>
    <m/>
    <m/>
    <m/>
    <m/>
    <m/>
    <m/>
    <n v="2357"/>
    <m/>
    <m/>
    <m/>
  </r>
  <r>
    <s v="John Gauci"/>
    <x v="0"/>
    <m/>
    <n v="4400830518"/>
    <m/>
    <s v="USC23C036"/>
    <s v="F21P1 AMAT Interconnection"/>
    <s v="Main Tool Interconnection"/>
    <s v="KEPOA2"/>
    <s v="KEPOA2 Under RMF Junction Box"/>
    <m/>
    <n v="1"/>
    <m/>
    <n v="6081"/>
    <m/>
    <m/>
    <m/>
    <n v="6081"/>
    <n v="6081"/>
    <m/>
    <s v="12/14/2023"/>
    <m/>
    <s v="Within 30 days Due net"/>
    <n v="6081"/>
    <n v="1"/>
    <n v="0"/>
    <m/>
    <m/>
    <m/>
    <n v="6081"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m/>
    <m/>
    <m/>
    <m/>
    <m/>
    <m/>
    <m/>
    <m/>
    <n v="6081"/>
    <m/>
    <m/>
    <m/>
  </r>
  <r>
    <s v="John Gauci"/>
    <x v="0"/>
    <m/>
    <n v="4400830748"/>
    <m/>
    <s v="USC23C036"/>
    <s v="F21P1 AMAT Interconnection"/>
    <s v="Main Tool Interconnection"/>
    <s v="KEMEA5"/>
    <s v=" KEMEA5 AC RAck CB Change"/>
    <m/>
    <n v="1"/>
    <m/>
    <n v="1800"/>
    <m/>
    <m/>
    <m/>
    <n v="1800"/>
    <n v="1800"/>
    <m/>
    <s v="12/15/2023"/>
    <m/>
    <s v="Within 30 days Due net"/>
    <n v="1800"/>
    <n v="1"/>
    <n v="0"/>
    <m/>
    <m/>
    <m/>
    <n v="1800"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m/>
    <m/>
    <m/>
    <m/>
    <m/>
    <m/>
    <m/>
    <m/>
    <n v="1800"/>
    <m/>
    <m/>
    <m/>
  </r>
  <r>
    <s v="John Gauci"/>
    <x v="0"/>
    <m/>
    <n v="4400833162"/>
    <n v="1"/>
    <s v="USC23C036"/>
    <s v="F21P1 AMAT Interconnection"/>
    <s v="Main Tool Interconnection"/>
    <s v="KKSV01"/>
    <s v=" KKSV01 EPDU Box Installation &amp; WIre Term"/>
    <m/>
    <n v="1"/>
    <m/>
    <n v="3572"/>
    <m/>
    <m/>
    <m/>
    <n v="3572"/>
    <n v="3572"/>
    <m/>
    <s v="12/27/2023"/>
    <m/>
    <s v="Within 30 days Due net"/>
    <n v="3572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3572"/>
    <m/>
    <m/>
    <m/>
    <m/>
    <m/>
    <m/>
    <m/>
    <m/>
    <m/>
    <m/>
    <m/>
    <n v="3572"/>
    <m/>
    <m/>
    <m/>
  </r>
  <r>
    <s v="John Gauci"/>
    <x v="0"/>
    <m/>
    <n v="4400834416"/>
    <n v="1"/>
    <s v="USC23C036"/>
    <s v="F21P1 AMAT Interconnection"/>
    <s v="Main Tool Interconnection"/>
    <s v="KDIGA3"/>
    <s v=" KDIGA3 Install Unistrut"/>
    <m/>
    <n v="1"/>
    <m/>
    <n v="2850"/>
    <m/>
    <m/>
    <m/>
    <n v="2850"/>
    <n v="2850"/>
    <m/>
    <s v="1/5/2024"/>
    <m/>
    <s v="Within 30 days Due net"/>
    <n v="285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2850"/>
    <m/>
    <n v="0"/>
    <m/>
    <m/>
    <m/>
    <m/>
    <m/>
    <m/>
    <m/>
    <m/>
    <m/>
    <m/>
    <m/>
    <n v="2850"/>
    <m/>
    <m/>
    <m/>
  </r>
  <r>
    <s v="Javier Arroyo"/>
    <x v="0"/>
    <m/>
    <n v="4400834624"/>
    <n v="1"/>
    <s v="USC23C036"/>
    <s v="F21P1 AMAT Interconnection"/>
    <s v="Main Tool Interconnection"/>
    <s v="KDIGA3"/>
    <s v=" KDIGA3 Install NEC Required Ground WIre"/>
    <m/>
    <n v="1"/>
    <m/>
    <n v="2399"/>
    <m/>
    <m/>
    <m/>
    <n v="2399"/>
    <n v="2399"/>
    <m/>
    <s v="01/05/2024"/>
    <m/>
    <s v="Within 30 days Due net"/>
    <n v="239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2399"/>
    <m/>
    <n v="0"/>
    <m/>
    <m/>
    <m/>
    <m/>
    <m/>
    <m/>
    <m/>
    <m/>
    <m/>
    <m/>
    <m/>
    <n v="2399"/>
    <m/>
    <m/>
    <m/>
  </r>
  <r>
    <s v="Javier Arroyo"/>
    <x v="0"/>
    <m/>
    <n v="4400837502"/>
    <m/>
    <s v="USC23C036"/>
    <s v="F21P1 AMAT Interconnection"/>
    <s v="Main Tool Interconnection"/>
    <s v="KDPNA1"/>
    <s v="KDPNA1 Interconnect Quote"/>
    <m/>
    <n v="1"/>
    <m/>
    <n v="39604"/>
    <m/>
    <m/>
    <m/>
    <n v="39604"/>
    <n v="39604"/>
    <m/>
    <s v="01/18/2024"/>
    <m/>
    <s v="Within 30 days Due net"/>
    <n v="39604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9604"/>
    <m/>
    <n v="0"/>
    <m/>
    <m/>
    <m/>
    <m/>
    <m/>
    <m/>
    <m/>
    <m/>
    <m/>
    <m/>
    <m/>
    <n v="39604"/>
    <m/>
    <m/>
    <m/>
  </r>
  <r>
    <s v="Javier Arroyo"/>
    <x v="0"/>
    <m/>
    <n v="4400837507"/>
    <m/>
    <s v="USC23C036"/>
    <s v="F21P1 AMAT Interconnection"/>
    <s v="Main Tool Interconnection"/>
    <s v="KDCBA1"/>
    <s v="KDCBA1 Interconnect"/>
    <m/>
    <n v="1"/>
    <m/>
    <n v="39604"/>
    <m/>
    <m/>
    <m/>
    <n v="39604"/>
    <n v="39604"/>
    <m/>
    <s v="01/18/2024"/>
    <m/>
    <s v="Within 30 days Due net"/>
    <n v="39604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9604"/>
    <m/>
    <n v="0"/>
    <m/>
    <m/>
    <m/>
    <m/>
    <m/>
    <m/>
    <m/>
    <m/>
    <m/>
    <m/>
    <m/>
    <n v="39604"/>
    <m/>
    <m/>
    <m/>
  </r>
  <r>
    <s v="Javier Arroyo"/>
    <x v="0"/>
    <m/>
    <n v="4400837508"/>
    <m/>
    <s v="USC23C036"/>
    <s v="F21P1 AMAT Interconnection"/>
    <s v="Main Tool Interconnection"/>
    <s v="KIHIT5"/>
    <s v="KIHIT5 Interconnect Work Quote"/>
    <m/>
    <n v="1"/>
    <m/>
    <n v="38469"/>
    <m/>
    <m/>
    <m/>
    <n v="38469"/>
    <n v="38469"/>
    <m/>
    <s v="01/18/2024"/>
    <m/>
    <s v="Within 30 days Due net"/>
    <n v="38469"/>
    <n v="1"/>
    <n v="0"/>
    <m/>
    <m/>
    <m/>
    <m/>
    <m/>
    <m/>
    <m/>
    <m/>
    <m/>
    <m/>
    <m/>
    <m/>
    <m/>
    <m/>
    <m/>
    <m/>
    <m/>
    <m/>
    <m/>
    <m/>
    <m/>
    <m/>
    <m/>
    <m/>
    <m/>
    <n v="38469"/>
    <m/>
    <m/>
    <m/>
    <s v=""/>
    <m/>
    <n v="0"/>
    <m/>
    <m/>
    <m/>
    <m/>
    <m/>
    <m/>
    <m/>
    <m/>
    <m/>
    <m/>
    <m/>
    <n v="38469"/>
    <m/>
    <m/>
    <m/>
  </r>
  <r>
    <s v="Javier Arroyo"/>
    <x v="0"/>
    <m/>
    <n v="4400837524"/>
    <m/>
    <s v="USC23C036"/>
    <s v="F21P1 AMAT Interconnection"/>
    <s v="Main Tool Interconnection"/>
    <s v="KCSMA6"/>
    <s v="KCSMA6 Interconnect work quote"/>
    <m/>
    <n v="1"/>
    <m/>
    <n v="75453"/>
    <m/>
    <m/>
    <m/>
    <n v="75453"/>
    <n v="75453"/>
    <m/>
    <s v="01/18/2024"/>
    <m/>
    <s v="Within 30 days Due net"/>
    <n v="75453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75453"/>
    <m/>
    <n v="0"/>
    <m/>
    <m/>
    <m/>
    <m/>
    <m/>
    <m/>
    <m/>
    <m/>
    <m/>
    <m/>
    <m/>
    <n v="75453"/>
    <m/>
    <m/>
    <m/>
  </r>
  <r>
    <s v="Javier Arroyo"/>
    <x v="0"/>
    <m/>
    <n v="4400837525"/>
    <m/>
    <s v="USC23C036"/>
    <s v="F21P1 AMAT Interconnection"/>
    <s v="Main Tool Interconnection"/>
    <s v="KCHPA1"/>
    <s v="KCHPA1 Interconnect work quote"/>
    <m/>
    <n v="1"/>
    <m/>
    <n v="75453"/>
    <m/>
    <m/>
    <m/>
    <n v="75453"/>
    <n v="75453"/>
    <m/>
    <s v="01/18/2024"/>
    <m/>
    <s v="Within 30 days Due net"/>
    <n v="75453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75453"/>
    <m/>
    <m/>
    <m/>
    <m/>
    <m/>
    <m/>
    <m/>
    <m/>
    <m/>
    <m/>
    <m/>
    <n v="75453"/>
    <m/>
    <m/>
    <m/>
  </r>
  <r>
    <s v="Javier Arroyo"/>
    <x v="0"/>
    <m/>
    <n v="4400837526"/>
    <m/>
    <s v="USC23C036"/>
    <s v="F21P1 AMAT Interconnection"/>
    <s v="Main Tool Interconnection"/>
    <s v="KCSMA5"/>
    <s v="KCSMA5 Interconnect work quote"/>
    <m/>
    <n v="1"/>
    <m/>
    <n v="75453"/>
    <m/>
    <m/>
    <m/>
    <n v="75453"/>
    <n v="75453"/>
    <m/>
    <s v="01/18/2024"/>
    <m/>
    <s v="Within 30 days Due net"/>
    <n v="75453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75453"/>
    <m/>
    <m/>
    <m/>
    <m/>
    <m/>
    <m/>
    <m/>
    <m/>
    <m/>
    <m/>
    <m/>
    <n v="75453"/>
    <m/>
    <m/>
    <m/>
  </r>
  <r>
    <s v="Javier Arroyo"/>
    <x v="0"/>
    <m/>
    <n v="4400837527"/>
    <m/>
    <s v="USC23C036"/>
    <s v="F21P1 AMAT Interconnection"/>
    <s v="Main Tool Interconnection"/>
    <s v="KCFLA1"/>
    <s v="KCFLA1 Interconnect work quote"/>
    <m/>
    <n v="1"/>
    <m/>
    <n v="75453"/>
    <m/>
    <m/>
    <m/>
    <n v="75453"/>
    <n v="75453"/>
    <m/>
    <s v="01/18/2024"/>
    <m/>
    <s v="Within 30 days Due net"/>
    <n v="75453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75453"/>
    <m/>
    <n v="0"/>
    <m/>
    <m/>
    <m/>
    <m/>
    <m/>
    <m/>
    <m/>
    <m/>
    <m/>
    <m/>
    <m/>
    <n v="75453"/>
    <m/>
    <m/>
    <m/>
  </r>
  <r>
    <s v="Javier Arroyo"/>
    <x v="0"/>
    <m/>
    <n v="4400837529"/>
    <m/>
    <s v="USC23C036"/>
    <s v="F21P1 AMAT Interconnection"/>
    <s v="Main Tool Interconnection"/>
    <s v="KCASA4"/>
    <s v="KCASA4 Tool Interconnection "/>
    <m/>
    <n v="1"/>
    <m/>
    <n v="75453"/>
    <m/>
    <m/>
    <m/>
    <n v="75453"/>
    <n v="75453"/>
    <m/>
    <s v="01/18/2024"/>
    <m/>
    <s v="Within 30 days Due net"/>
    <n v="75453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75453"/>
    <m/>
    <n v="0"/>
    <m/>
    <m/>
    <m/>
    <m/>
    <m/>
    <m/>
    <m/>
    <m/>
    <m/>
    <m/>
    <m/>
    <n v="75453"/>
    <m/>
    <m/>
    <m/>
  </r>
  <r>
    <s v="Javier Arroyo"/>
    <x v="0"/>
    <m/>
    <n v="4400837542"/>
    <m/>
    <s v="USC23C036"/>
    <s v="F21P1 AMAT Interconnection"/>
    <s v="Main Tool Interconnection"/>
    <s v="KCFLA2"/>
    <s v="KCFLA2 Tool Interconnection "/>
    <m/>
    <n v="1"/>
    <m/>
    <n v="75453"/>
    <m/>
    <m/>
    <m/>
    <n v="75453"/>
    <n v="75453"/>
    <m/>
    <s v="01/18/2024"/>
    <m/>
    <s v="Within 30 days Due net"/>
    <n v="75453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75453"/>
    <m/>
    <n v="0"/>
    <m/>
    <m/>
    <m/>
    <m/>
    <m/>
    <m/>
    <m/>
    <m/>
    <m/>
    <m/>
    <m/>
    <n v="75453"/>
    <m/>
    <m/>
    <m/>
  </r>
  <r>
    <s v="Javier Arroyo"/>
    <x v="0"/>
    <m/>
    <n v="4400837575"/>
    <n v="1"/>
    <s v="USC23C036"/>
    <m/>
    <s v="Main Tool Interconnection"/>
    <s v="KDIGA3"/>
    <s v="KDIGA3 Install 6 SCR Flex Conduit"/>
    <m/>
    <n v="1"/>
    <m/>
    <n v="25371"/>
    <m/>
    <m/>
    <m/>
    <n v="25371"/>
    <n v="25371"/>
    <m/>
    <s v="01/17/2024"/>
    <m/>
    <m/>
    <n v="25371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25371"/>
    <m/>
    <m/>
    <m/>
    <m/>
    <m/>
    <m/>
    <m/>
    <m/>
    <m/>
    <m/>
    <m/>
    <n v="25371"/>
    <m/>
    <m/>
    <m/>
  </r>
  <r>
    <s v="Javier Arroyo"/>
    <x v="0"/>
    <m/>
    <n v="4400842132"/>
    <m/>
    <s v="USC23C036"/>
    <m/>
    <s v="Main Tool Interconnection"/>
    <s v="KSSBA1"/>
    <s v="KSSBA1 AC Top Plate Mod"/>
    <m/>
    <n v="1"/>
    <m/>
    <n v="1135"/>
    <m/>
    <m/>
    <m/>
    <n v="1135"/>
    <n v="1135"/>
    <m/>
    <s v="02/06/2024"/>
    <m/>
    <m/>
    <n v="113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n v="1135"/>
    <m/>
    <m/>
    <m/>
    <m/>
    <m/>
    <m/>
    <m/>
    <m/>
    <m/>
    <n v="1135"/>
    <m/>
    <m/>
    <m/>
  </r>
  <r>
    <s v="Javier Arroyo"/>
    <x v="0"/>
    <m/>
    <n v="4400842335"/>
    <m/>
    <s v="USC23C036"/>
    <m/>
    <s v="Main Tool Interconnection"/>
    <s v="KMOPA3-C"/>
    <s v="KMOPA3-C Interconnect Work"/>
    <m/>
    <n v="1"/>
    <m/>
    <n v="760"/>
    <m/>
    <m/>
    <m/>
    <n v="760"/>
    <n v="760"/>
    <m/>
    <s v="02/05/2024"/>
    <m/>
    <m/>
    <n v="76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760"/>
    <m/>
    <n v="0"/>
    <m/>
    <m/>
    <m/>
    <m/>
    <m/>
    <m/>
    <m/>
    <m/>
    <m/>
    <m/>
    <m/>
    <n v="760"/>
    <m/>
    <m/>
    <m/>
  </r>
  <r>
    <s v="Javier Arroyo"/>
    <x v="0"/>
    <m/>
    <n v="4400842745"/>
    <m/>
    <s v="USC23C036"/>
    <m/>
    <s v="Main Tool Interconnection"/>
    <s v="KCSMA4"/>
    <s v="KCSMA4 Main Tool Interconnect"/>
    <m/>
    <n v="1"/>
    <m/>
    <n v="75453"/>
    <m/>
    <m/>
    <m/>
    <n v="75453"/>
    <n v="75453"/>
    <m/>
    <s v="02/05/2024"/>
    <m/>
    <m/>
    <n v="75453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75453"/>
    <m/>
    <m/>
    <m/>
    <m/>
    <m/>
    <m/>
    <m/>
    <m/>
    <m/>
    <m/>
    <m/>
    <n v="75453"/>
    <m/>
    <m/>
    <m/>
  </r>
  <r>
    <s v="Javier Arroyo"/>
    <x v="0"/>
    <m/>
    <n v="4400842747"/>
    <m/>
    <s v="USC23C036"/>
    <m/>
    <s v="Main Tool Interconnection"/>
    <s v="KCSMA1"/>
    <s v="KCSMA1 Main Tool Interconnect"/>
    <m/>
    <n v="1"/>
    <m/>
    <n v="75453"/>
    <m/>
    <m/>
    <m/>
    <n v="75453"/>
    <n v="75453"/>
    <m/>
    <s v="02/05/2024"/>
    <m/>
    <m/>
    <n v="75453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75453"/>
    <m/>
    <m/>
    <m/>
    <m/>
    <m/>
    <m/>
    <m/>
    <m/>
    <m/>
    <m/>
    <m/>
    <n v="75453"/>
    <m/>
    <m/>
    <m/>
  </r>
  <r>
    <s v="Javier Arroyo"/>
    <x v="0"/>
    <m/>
    <n v="4400842757"/>
    <m/>
    <s v="USC23C036"/>
    <m/>
    <s v="Main Tool Interconnection"/>
    <s v="KCASA3"/>
    <s v="KCASA3 Main Interconnet Work "/>
    <m/>
    <n v="1"/>
    <m/>
    <n v="75453"/>
    <m/>
    <m/>
    <m/>
    <n v="75453"/>
    <n v="75453"/>
    <m/>
    <s v="02/05/2024"/>
    <m/>
    <m/>
    <n v="75453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75453"/>
    <m/>
    <m/>
    <m/>
    <m/>
    <m/>
    <m/>
    <m/>
    <m/>
    <m/>
    <m/>
    <m/>
    <n v="75453"/>
    <m/>
    <m/>
    <m/>
  </r>
  <r>
    <s v="Javier Arroyo"/>
    <x v="0"/>
    <m/>
    <n v="4400842761"/>
    <m/>
    <s v="USC23C036"/>
    <m/>
    <s v="Main Tool Interconnection"/>
    <s v="KCASA2"/>
    <s v="KCASA2 Main Tool Interconnect"/>
    <m/>
    <n v="1"/>
    <m/>
    <n v="75453"/>
    <m/>
    <m/>
    <m/>
    <n v="75453"/>
    <n v="75453"/>
    <m/>
    <s v="02/05/2024"/>
    <m/>
    <m/>
    <n v="75453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75453"/>
    <m/>
    <m/>
    <m/>
    <m/>
    <m/>
    <m/>
    <m/>
    <m/>
    <m/>
    <m/>
    <m/>
    <n v="75453"/>
    <m/>
    <m/>
    <m/>
  </r>
  <r>
    <s v="Javier Arroyo"/>
    <x v="0"/>
    <m/>
    <n v="4400842788"/>
    <m/>
    <s v="USC23C036"/>
    <m/>
    <s v="Main Tool Interconnection"/>
    <s v="KCOLA1"/>
    <s v="KCOLA1 Main Tool INterconnec"/>
    <m/>
    <n v="1"/>
    <m/>
    <n v="70646"/>
    <m/>
    <m/>
    <m/>
    <n v="70646"/>
    <n v="70646"/>
    <m/>
    <s v="02/05/2024"/>
    <m/>
    <m/>
    <n v="70646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70646"/>
    <m/>
    <m/>
    <m/>
    <m/>
    <m/>
    <m/>
    <m/>
    <m/>
    <m/>
    <m/>
    <m/>
    <n v="70646"/>
    <m/>
    <m/>
    <m/>
  </r>
  <r>
    <s v="Javier Arroyo"/>
    <x v="0"/>
    <m/>
    <n v="4400842850"/>
    <m/>
    <s v="USC23C036"/>
    <m/>
    <s v="Main Tool Interconnection"/>
    <s v="KCFLA3"/>
    <s v="KCFLA3 Main Tool Interconnect"/>
    <m/>
    <n v="1"/>
    <m/>
    <n v="75453"/>
    <m/>
    <m/>
    <m/>
    <n v="75453"/>
    <n v="75453"/>
    <m/>
    <s v="02/05/2024"/>
    <m/>
    <m/>
    <n v="75453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75453"/>
    <m/>
    <m/>
    <m/>
    <m/>
    <m/>
    <m/>
    <m/>
    <m/>
    <m/>
    <m/>
    <m/>
    <n v="75453"/>
    <m/>
    <m/>
    <m/>
  </r>
  <r>
    <s v="Javier Arroyo"/>
    <x v="0"/>
    <m/>
    <n v="4400842932"/>
    <n v="1"/>
    <s v="USC23C036"/>
    <m/>
    <s v="Main Tool Interconnection"/>
    <s v="KDIGA3"/>
    <s v="KDIGA3 COnnect SCR cable and Cut Excess"/>
    <m/>
    <n v="1"/>
    <m/>
    <n v="12096"/>
    <m/>
    <m/>
    <m/>
    <n v="12096"/>
    <n v="12096"/>
    <m/>
    <s v="02/05/2024"/>
    <m/>
    <m/>
    <n v="12096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12096"/>
    <m/>
    <n v="0"/>
    <m/>
    <m/>
    <m/>
    <m/>
    <m/>
    <m/>
    <m/>
    <m/>
    <m/>
    <m/>
    <m/>
    <n v="12096"/>
    <m/>
    <m/>
    <m/>
  </r>
  <r>
    <s v="Javier Arroyo"/>
    <x v="0"/>
    <m/>
    <n v="4400843694"/>
    <m/>
    <s v="USC23C036"/>
    <m/>
    <s v="Main Tool Interconnection"/>
    <s v="KCBDA3"/>
    <s v="KCBDA3 Main Tool Interconnect "/>
    <m/>
    <n v="1"/>
    <m/>
    <n v="75453"/>
    <m/>
    <m/>
    <m/>
    <n v="75453"/>
    <n v="75453"/>
    <m/>
    <s v="02/07/2024"/>
    <m/>
    <m/>
    <n v="75453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n v="75453"/>
    <m/>
    <m/>
    <m/>
    <m/>
    <m/>
    <m/>
    <m/>
    <m/>
    <m/>
    <n v="75453"/>
    <m/>
    <m/>
    <m/>
  </r>
  <r>
    <s v="Javier Arroyo"/>
    <x v="0"/>
    <m/>
    <n v="4400843732"/>
    <m/>
    <s v="USC23C036"/>
    <m/>
    <s v="Main Tool Interconnection"/>
    <s v="KSMGA1"/>
    <s v="KSMGA1 Main Tool Interconnect"/>
    <m/>
    <n v="1"/>
    <m/>
    <n v="98189"/>
    <m/>
    <m/>
    <m/>
    <n v="98189"/>
    <n v="98189"/>
    <m/>
    <s v="02/07/2024"/>
    <m/>
    <m/>
    <n v="9818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n v="98189"/>
    <m/>
    <m/>
    <m/>
    <m/>
    <m/>
    <m/>
    <m/>
    <m/>
    <m/>
    <n v="98189"/>
    <m/>
    <m/>
    <m/>
  </r>
  <r>
    <s v="Javier Arroyo"/>
    <x v="0"/>
    <m/>
    <n v="4400843734"/>
    <m/>
    <s v="USC23C036"/>
    <m/>
    <s v="Main Tool Interconnection"/>
    <s v="KSCPA1"/>
    <s v="KSCPA1 Main Tool Interconnect "/>
    <m/>
    <n v="1"/>
    <m/>
    <n v="98189"/>
    <m/>
    <m/>
    <m/>
    <n v="98189"/>
    <n v="98189"/>
    <m/>
    <s v="02/07/2024"/>
    <m/>
    <m/>
    <n v="9818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n v="98189"/>
    <m/>
    <m/>
    <m/>
    <m/>
    <m/>
    <m/>
    <m/>
    <m/>
    <m/>
    <n v="98189"/>
    <m/>
    <m/>
    <m/>
  </r>
  <r>
    <s v="Javier Arroyo"/>
    <x v="0"/>
    <m/>
    <n v="4400843754"/>
    <m/>
    <s v="USC23C036"/>
    <m/>
    <s v="Main Tool Interconnection"/>
    <s v="KCWPA1"/>
    <s v="KCWPA1 Main Tool Interconnect"/>
    <m/>
    <n v="1"/>
    <m/>
    <n v="98189"/>
    <m/>
    <m/>
    <m/>
    <n v="98189"/>
    <n v="98189"/>
    <m/>
    <s v="02/07/2024"/>
    <m/>
    <m/>
    <n v="9818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98189"/>
    <m/>
    <m/>
    <m/>
    <m/>
    <m/>
    <m/>
    <m/>
    <m/>
    <m/>
    <m/>
    <m/>
    <n v="98189"/>
    <m/>
    <m/>
    <m/>
  </r>
  <r>
    <s v="Javier Arroyo"/>
    <x v="0"/>
    <m/>
    <n v="4400843757"/>
    <m/>
    <s v="USC23C036"/>
    <m/>
    <s v="Main Tool Interconnection"/>
    <s v="KSSBA4"/>
    <s v="KSSBA4 Main Tool Interconnect "/>
    <m/>
    <n v="1"/>
    <m/>
    <n v="98189"/>
    <m/>
    <m/>
    <m/>
    <n v="98189"/>
    <n v="98189"/>
    <m/>
    <s v="02/07/2024"/>
    <m/>
    <m/>
    <n v="9818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n v="98189"/>
    <m/>
    <m/>
    <m/>
    <m/>
    <m/>
    <m/>
    <m/>
    <n v="0"/>
    <m/>
    <m/>
    <m/>
  </r>
  <r>
    <s v="Javier Arroyo"/>
    <x v="0"/>
    <m/>
    <n v="4400843806"/>
    <m/>
    <s v="USC23C036"/>
    <m/>
    <s v="Main Tool Interconnection"/>
    <s v="KSSBA5"/>
    <s v="KSSBA5 Main Tool Interconnect"/>
    <m/>
    <n v="1"/>
    <m/>
    <n v="98189"/>
    <m/>
    <m/>
    <m/>
    <n v="98189"/>
    <n v="98189"/>
    <m/>
    <s v="02/07/2024"/>
    <m/>
    <m/>
    <n v="9818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n v="98189"/>
    <m/>
    <m/>
    <m/>
    <m/>
    <m/>
    <m/>
    <m/>
    <m/>
    <m/>
    <n v="98189"/>
    <m/>
    <m/>
    <m/>
  </r>
  <r>
    <s v="Javier Arroyo"/>
    <x v="0"/>
    <m/>
    <n v="4400843808"/>
    <m/>
    <s v="USC23C036"/>
    <m/>
    <s v="Main Tool Interconnection"/>
    <s v="KSCCA1"/>
    <s v="KSCCA1 Main Tool Interconnect"/>
    <m/>
    <n v="1"/>
    <m/>
    <n v="98189"/>
    <m/>
    <m/>
    <m/>
    <n v="98189"/>
    <n v="98189"/>
    <m/>
    <s v="02/07/2024"/>
    <m/>
    <m/>
    <n v="9818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n v="98189"/>
    <m/>
    <m/>
    <m/>
    <m/>
    <m/>
    <m/>
    <m/>
    <m/>
    <m/>
    <n v="98189"/>
    <m/>
    <m/>
    <m/>
  </r>
  <r>
    <s v="Javier Arroyo"/>
    <x v="0"/>
    <m/>
    <n v="4400843809"/>
    <m/>
    <s v="USC23C036"/>
    <m/>
    <s v="Main Tool Interconnection"/>
    <s v="KSCCA3"/>
    <s v="KSCCA3 Main Tool Interconnect"/>
    <m/>
    <n v="1"/>
    <m/>
    <n v="98189"/>
    <m/>
    <m/>
    <m/>
    <n v="98189"/>
    <n v="98189"/>
    <m/>
    <s v="02/07/2024"/>
    <m/>
    <m/>
    <n v="9818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n v="98189"/>
    <m/>
    <m/>
    <m/>
    <m/>
    <m/>
    <m/>
    <m/>
    <n v="0"/>
    <m/>
    <m/>
    <m/>
  </r>
  <r>
    <s v="Javier Arroyo"/>
    <x v="0"/>
    <m/>
    <n v="4400843814"/>
    <m/>
    <s v="USC23C036"/>
    <m/>
    <s v="Main Tool Interconnection"/>
    <s v="KSHMA2"/>
    <s v="KSHAM2 Main Tool Interconnect"/>
    <m/>
    <n v="1"/>
    <m/>
    <n v="98189"/>
    <m/>
    <m/>
    <m/>
    <n v="98189"/>
    <n v="98189"/>
    <m/>
    <s v="02/07/2024"/>
    <m/>
    <m/>
    <n v="9818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n v="98189"/>
    <m/>
    <m/>
    <m/>
    <m/>
    <m/>
    <m/>
    <m/>
    <m/>
    <m/>
    <n v="98189"/>
    <m/>
    <m/>
    <m/>
  </r>
  <r>
    <s v="Javier Arroyo"/>
    <x v="0"/>
    <m/>
    <n v="4400843868"/>
    <m/>
    <s v="USC23C036"/>
    <m/>
    <s v="Main Tool Interconnection"/>
    <s v="KCWPA2"/>
    <s v="KCWPA2 Main Tool Interconnect"/>
    <m/>
    <n v="1"/>
    <m/>
    <n v="98189"/>
    <m/>
    <m/>
    <m/>
    <n v="98189"/>
    <n v="98189"/>
    <m/>
    <s v="02/08/2024"/>
    <m/>
    <m/>
    <n v="9818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98189"/>
    <m/>
    <m/>
    <m/>
    <m/>
    <m/>
    <m/>
    <m/>
    <m/>
    <m/>
    <m/>
    <m/>
    <n v="98189"/>
    <m/>
    <m/>
    <m/>
  </r>
  <r>
    <s v="Javier Arroyo"/>
    <x v="0"/>
    <m/>
    <n v="4400843869"/>
    <m/>
    <s v="USC23C036"/>
    <m/>
    <s v="Main Tool Interconnection"/>
    <s v="KEPAA1"/>
    <s v="KEPAA1 Main Tool Interconnect"/>
    <m/>
    <n v="1"/>
    <m/>
    <n v="69307"/>
    <m/>
    <m/>
    <m/>
    <n v="69307"/>
    <n v="69307"/>
    <m/>
    <s v="02/08/2024"/>
    <m/>
    <m/>
    <n v="69307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m/>
    <m/>
    <n v="69307"/>
    <m/>
    <m/>
    <m/>
    <m/>
    <m/>
    <n v="0"/>
    <m/>
    <m/>
    <m/>
  </r>
  <r>
    <s v="Javier Arroyo"/>
    <x v="0"/>
    <m/>
    <n v="4400843881"/>
    <m/>
    <s v="USC23C036"/>
    <m/>
    <s v="Main Tool Interconnection"/>
    <s v="KEEBA2"/>
    <s v="KEEBA2 Main Tool Interconnect"/>
    <m/>
    <n v="1"/>
    <m/>
    <n v="69307"/>
    <m/>
    <m/>
    <m/>
    <n v="69307"/>
    <n v="69307"/>
    <m/>
    <s v="02/08/2024"/>
    <m/>
    <m/>
    <n v="69307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69307"/>
    <m/>
    <m/>
    <m/>
    <m/>
    <m/>
    <m/>
    <m/>
    <m/>
    <m/>
    <m/>
    <m/>
    <n v="69307"/>
    <m/>
    <m/>
    <m/>
  </r>
  <r>
    <s v="Javier Arroyo"/>
    <x v="0"/>
    <m/>
    <n v="4400843882"/>
    <m/>
    <s v="USC23C036"/>
    <m/>
    <s v="Main Tool Interconnection"/>
    <s v="KEPAA2"/>
    <s v="KEPAA2 Main Tool Interconnect"/>
    <m/>
    <n v="1"/>
    <m/>
    <n v="69307"/>
    <m/>
    <m/>
    <m/>
    <n v="69307"/>
    <n v="69307"/>
    <m/>
    <s v="02/08/2024"/>
    <m/>
    <m/>
    <n v="69307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69307"/>
    <m/>
    <m/>
    <m/>
    <m/>
    <m/>
    <m/>
    <m/>
    <m/>
    <m/>
    <m/>
    <m/>
    <n v="69307"/>
    <m/>
    <m/>
    <m/>
  </r>
  <r>
    <s v="Javier Arroyo"/>
    <x v="0"/>
    <m/>
    <n v="4400843883"/>
    <m/>
    <s v="USC23C036"/>
    <m/>
    <s v="Main Tool Interconnection"/>
    <s v="KEMEA1"/>
    <s v="KEMEA1 Main Tool Interconnect "/>
    <m/>
    <n v="1"/>
    <m/>
    <n v="69307"/>
    <m/>
    <m/>
    <m/>
    <n v="69307"/>
    <n v="69307"/>
    <m/>
    <s v="02/08/2024"/>
    <m/>
    <m/>
    <n v="69307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69307"/>
    <m/>
    <m/>
    <m/>
    <m/>
    <m/>
    <m/>
    <m/>
    <m/>
    <m/>
    <m/>
    <m/>
    <n v="69307"/>
    <m/>
    <m/>
    <m/>
  </r>
  <r>
    <s v="Javier Arroyo"/>
    <x v="0"/>
    <m/>
    <n v="4400843902"/>
    <m/>
    <s v="USC23C036"/>
    <m/>
    <s v="Main Tool Interconnection"/>
    <s v="KSTSA1"/>
    <s v="KSTSA1 Main Tool Interconnect"/>
    <m/>
    <n v="1"/>
    <m/>
    <n v="97054"/>
    <m/>
    <m/>
    <m/>
    <n v="97054"/>
    <n v="97054"/>
    <m/>
    <s v="02/08/2024"/>
    <m/>
    <m/>
    <n v="97054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n v="97054"/>
    <m/>
    <m/>
    <m/>
    <m/>
    <m/>
    <m/>
    <m/>
    <n v="0"/>
    <m/>
    <m/>
    <m/>
  </r>
  <r>
    <s v="Javier Arroyo"/>
    <x v="0"/>
    <m/>
    <n v="4400843953"/>
    <m/>
    <s v="USC23C036"/>
    <m/>
    <s v="Main Tool Interconnection"/>
    <s v="KSANA1"/>
    <s v=" KSANA1 Main Tool Interconnect"/>
    <m/>
    <n v="1"/>
    <m/>
    <n v="98189"/>
    <m/>
    <m/>
    <m/>
    <n v="98189"/>
    <n v="98189"/>
    <m/>
    <s v="02/08/2024"/>
    <m/>
    <m/>
    <n v="9818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n v="98189"/>
    <m/>
    <m/>
    <m/>
    <m/>
    <m/>
    <m/>
    <m/>
    <m/>
    <m/>
    <n v="98189"/>
    <m/>
    <m/>
    <m/>
  </r>
  <r>
    <s v="Javier Arroyo"/>
    <x v="0"/>
    <m/>
    <n v="4400844277"/>
    <m/>
    <s v="USC23C036"/>
    <m/>
    <s v="Main Tool Interconnection"/>
    <s v="KDDAA1"/>
    <s v="KDDAA1 Main Tool Interconnect"/>
    <m/>
    <n v="1"/>
    <m/>
    <n v="38469"/>
    <m/>
    <m/>
    <m/>
    <n v="38469"/>
    <n v="38469"/>
    <m/>
    <s v="02/12/2024"/>
    <m/>
    <m/>
    <n v="3846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8469"/>
    <m/>
    <n v="0"/>
    <m/>
    <m/>
    <m/>
    <m/>
    <m/>
    <m/>
    <m/>
    <m/>
    <m/>
    <m/>
    <m/>
    <n v="38469"/>
    <m/>
    <m/>
    <m/>
  </r>
  <r>
    <s v="Javier Arroyo"/>
    <x v="0"/>
    <m/>
    <n v="4400844859"/>
    <n v="1"/>
    <s v="USC23C036"/>
    <m/>
    <s v="Main Tool Interconnection"/>
    <s v="KDIGA3"/>
    <s v="KDIGA3 Drill Holes in transformer"/>
    <m/>
    <n v="1"/>
    <m/>
    <n v="3800"/>
    <m/>
    <m/>
    <m/>
    <n v="3800"/>
    <n v="3800"/>
    <m/>
    <s v="02/13/2024"/>
    <m/>
    <s v="Within 30 days Due net"/>
    <n v="380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800"/>
    <m/>
    <n v="0"/>
    <m/>
    <m/>
    <m/>
    <m/>
    <m/>
    <m/>
    <m/>
    <m/>
    <m/>
    <m/>
    <m/>
    <n v="3800"/>
    <m/>
    <m/>
    <m/>
  </r>
  <r>
    <s v="Javier Arroyo"/>
    <x v="0"/>
    <m/>
    <n v="4400845491"/>
    <m/>
    <s v="USC23C036"/>
    <m/>
    <s v="Main Tool Interconnection"/>
    <s v="KSTSA1"/>
    <s v="KSTSA1 AC Top Plate Mod"/>
    <m/>
    <n v="1"/>
    <m/>
    <n v="1135"/>
    <m/>
    <m/>
    <m/>
    <n v="1135"/>
    <n v="1135"/>
    <m/>
    <s v="02/15/2024"/>
    <m/>
    <m/>
    <n v="1135"/>
    <n v="1"/>
    <n v="0"/>
    <m/>
    <m/>
    <m/>
    <n v="1135"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m/>
    <m/>
    <m/>
    <m/>
    <m/>
    <m/>
    <m/>
    <m/>
    <n v="1135"/>
    <m/>
    <m/>
    <m/>
  </r>
  <r>
    <s v="Javier Arroyo"/>
    <x v="0"/>
    <m/>
    <n v="4400847883"/>
    <m/>
    <s v="USC23C036"/>
    <m/>
    <s v="Main Tool Interconnection"/>
    <s v="KDRNA1"/>
    <s v="KDRNA1 Main Tool Interconnect"/>
    <m/>
    <n v="1"/>
    <m/>
    <n v="78412"/>
    <m/>
    <m/>
    <m/>
    <n v="78412"/>
    <n v="78412"/>
    <m/>
    <s v="02/23/2024"/>
    <m/>
    <s v="Within 30 days Due net"/>
    <n v="78412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78412"/>
    <m/>
    <m/>
    <m/>
    <m/>
    <m/>
    <m/>
    <m/>
    <m/>
    <m/>
    <m/>
    <m/>
    <n v="78412"/>
    <m/>
    <m/>
    <m/>
  </r>
  <r>
    <s v="Javier Arroyo"/>
    <x v="0"/>
    <m/>
    <n v="4400847885"/>
    <m/>
    <s v="USC23C036"/>
    <m/>
    <s v="Main Tool Interconnection"/>
    <s v="KDIGA1"/>
    <s v="KDIGA1 Main Tool Interconnect"/>
    <m/>
    <n v="1"/>
    <m/>
    <n v="76550"/>
    <m/>
    <m/>
    <m/>
    <n v="76550"/>
    <n v="76550"/>
    <m/>
    <s v="02/23/2024"/>
    <m/>
    <s v="Within 30 days Due net"/>
    <n v="7655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76550"/>
    <m/>
    <m/>
    <m/>
    <m/>
    <m/>
    <m/>
    <m/>
    <m/>
    <m/>
    <m/>
    <m/>
    <n v="76550"/>
    <m/>
    <m/>
    <m/>
  </r>
  <r>
    <s v="Javier Arroyo"/>
    <x v="0"/>
    <m/>
    <n v="4400847886"/>
    <m/>
    <s v="USC23C036"/>
    <m/>
    <s v="Main Tool Interconnection"/>
    <s v="KCBDA5"/>
    <s v="KCBDA5 Main Tool Interconnect"/>
    <m/>
    <n v="1"/>
    <m/>
    <n v="75453"/>
    <m/>
    <m/>
    <m/>
    <n v="75453"/>
    <n v="75453"/>
    <m/>
    <s v="02/23/2024"/>
    <m/>
    <s v="Within 30 days Due net"/>
    <n v="75453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n v="75453"/>
    <m/>
    <m/>
    <m/>
    <m/>
    <m/>
    <m/>
    <m/>
    <m/>
    <m/>
    <n v="75453"/>
    <m/>
    <m/>
    <m/>
  </r>
  <r>
    <s v="Javier Arroyo"/>
    <x v="0"/>
    <m/>
    <n v="4400847889"/>
    <n v="1"/>
    <s v="USC23C036"/>
    <m/>
    <s v="Main Tool Interconnection"/>
    <m/>
    <s v="KDIGA2 Main Tool Interconnect "/>
    <m/>
    <n v="1"/>
    <m/>
    <n v="76550"/>
    <m/>
    <m/>
    <m/>
    <n v="76550"/>
    <n v="76550"/>
    <m/>
    <s v="02/26/2024"/>
    <m/>
    <s v="Within 30 days Due net"/>
    <n v="7655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76550"/>
    <m/>
    <n v="0"/>
    <m/>
    <m/>
    <m/>
    <m/>
    <m/>
    <m/>
    <m/>
    <m/>
    <m/>
    <m/>
    <m/>
    <n v="76550"/>
    <m/>
    <m/>
    <m/>
  </r>
  <r>
    <s v="Javier Arroyo"/>
    <x v="0"/>
    <m/>
    <n v="4400847920"/>
    <n v="1"/>
    <s v="USC23C036"/>
    <m/>
    <s v="Main Tool Interconnection"/>
    <m/>
    <s v="KCASA1 Main Interconnect"/>
    <m/>
    <n v="1"/>
    <m/>
    <n v="75453"/>
    <m/>
    <m/>
    <m/>
    <n v="75453"/>
    <n v="75453"/>
    <m/>
    <s v="02/26/2024"/>
    <m/>
    <s v="Within 30 days Due net"/>
    <n v="75453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75453"/>
    <m/>
    <m/>
    <m/>
    <m/>
    <m/>
    <m/>
    <m/>
    <m/>
    <m/>
    <m/>
    <m/>
    <n v="75453"/>
    <m/>
    <m/>
    <m/>
  </r>
  <r>
    <s v="Javier Arroyo"/>
    <x v="0"/>
    <m/>
    <n v="4400847923"/>
    <n v="1"/>
    <s v="USC23C036"/>
    <m/>
    <s v="Main Tool Interconnection"/>
    <m/>
    <s v="KCOXA1 Main Tool Interconnect"/>
    <m/>
    <n v="1"/>
    <m/>
    <n v="75453"/>
    <m/>
    <m/>
    <m/>
    <n v="75453"/>
    <n v="75453"/>
    <m/>
    <s v="02/26/2024"/>
    <m/>
    <s v="Within 30 days Due net"/>
    <n v="75453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75453"/>
    <m/>
    <m/>
    <m/>
    <m/>
    <m/>
    <m/>
    <m/>
    <m/>
    <m/>
    <m/>
    <m/>
    <n v="75453"/>
    <m/>
    <m/>
    <m/>
  </r>
  <r>
    <s v="Javier Arroyo"/>
    <x v="0"/>
    <m/>
    <n v="4400850638"/>
    <n v="1"/>
    <s v="USC23C036"/>
    <m/>
    <s v="Main Tool Interconnection"/>
    <m/>
    <s v="KDIGA4 Transformer and Change replacment"/>
    <m/>
    <n v="1"/>
    <m/>
    <n v="3160"/>
    <m/>
    <m/>
    <m/>
    <n v="3160"/>
    <n v="3160"/>
    <m/>
    <s v="03/06/2024"/>
    <m/>
    <s v="Within 30 days Due net"/>
    <n v="316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160"/>
    <m/>
    <n v="0"/>
    <m/>
    <m/>
    <m/>
    <m/>
    <m/>
    <m/>
    <m/>
    <m/>
    <m/>
    <m/>
    <m/>
    <n v="3160"/>
    <m/>
    <m/>
    <m/>
  </r>
  <r>
    <s v="Javier Arroyo"/>
    <x v="0"/>
    <m/>
    <n v="4400850639"/>
    <n v="1"/>
    <s v="USC23C036"/>
    <m/>
    <s v="Main Tool Interconnection"/>
    <m/>
    <s v="KDIGA2 Transformer Replacment "/>
    <m/>
    <n v="1"/>
    <m/>
    <n v="3160"/>
    <m/>
    <m/>
    <m/>
    <n v="3160"/>
    <n v="3160"/>
    <m/>
    <s v="03/06/2024"/>
    <m/>
    <s v="Within 30 days Due net"/>
    <n v="316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3160"/>
    <m/>
    <m/>
    <m/>
    <m/>
    <m/>
    <m/>
    <m/>
    <m/>
    <m/>
    <m/>
    <m/>
    <n v="3160"/>
    <m/>
    <m/>
    <m/>
  </r>
  <r>
    <s v="Javier Arroyo"/>
    <x v="0"/>
    <m/>
    <n v="4400851510"/>
    <n v="1"/>
    <s v="USC23C036"/>
    <m/>
    <s v="Main Tool Interconnection"/>
    <m/>
    <s v="KMWPA1 Interconnect Work"/>
    <m/>
    <n v="1"/>
    <m/>
    <n v="760"/>
    <m/>
    <m/>
    <m/>
    <n v="760"/>
    <n v="760"/>
    <m/>
    <s v="03/08/2024"/>
    <m/>
    <s v="Within 30 days Due net"/>
    <n v="76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760"/>
    <m/>
    <n v="0"/>
    <m/>
    <m/>
    <m/>
    <m/>
    <m/>
    <m/>
    <m/>
    <m/>
    <m/>
    <m/>
    <m/>
    <n v="760"/>
    <m/>
    <m/>
    <m/>
  </r>
  <r>
    <s v="Javier Arroyo"/>
    <x v="0"/>
    <m/>
    <n v="4400851516"/>
    <n v="1"/>
    <s v="USC23C036"/>
    <m/>
    <s v="Main Tool Interconnection"/>
    <m/>
    <s v="KMOPA1 Mina Tool Interconnect"/>
    <m/>
    <n v="1"/>
    <m/>
    <n v="760"/>
    <m/>
    <m/>
    <m/>
    <n v="760"/>
    <n v="760"/>
    <m/>
    <s v="03/08/2024"/>
    <m/>
    <s v="Within 30 days Due net"/>
    <n v="76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760"/>
    <m/>
    <m/>
    <m/>
    <m/>
    <m/>
    <m/>
    <m/>
    <m/>
    <m/>
    <m/>
    <m/>
    <n v="760"/>
    <m/>
    <m/>
    <m/>
  </r>
  <r>
    <s v="Javier Arroyo"/>
    <x v="0"/>
    <m/>
    <n v="4400853946"/>
    <n v="1"/>
    <s v="USC23C036"/>
    <m/>
    <s v="Main Tool Interconnection"/>
    <m/>
    <s v="KPCD16 EPDU Install and Termination"/>
    <m/>
    <n v="1"/>
    <m/>
    <n v="3799"/>
    <m/>
    <m/>
    <m/>
    <n v="3799"/>
    <n v="3799"/>
    <m/>
    <s v="03/15/2024"/>
    <m/>
    <s v="Within 30 days Due net"/>
    <n v="379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3799"/>
    <m/>
    <m/>
    <m/>
    <m/>
    <m/>
    <m/>
    <m/>
    <m/>
    <m/>
    <m/>
    <m/>
    <n v="3799"/>
    <m/>
    <m/>
    <m/>
  </r>
  <r>
    <s v="Javier Arroyo"/>
    <x v="0"/>
    <m/>
    <n v="4400853964"/>
    <n v="1"/>
    <s v="USC23C036"/>
    <m/>
    <s v="Main Tool Interconnection"/>
    <m/>
    <s v="KCEPA3 Main Tool Interconnect"/>
    <m/>
    <n v="1"/>
    <m/>
    <n v="190037"/>
    <m/>
    <m/>
    <m/>
    <n v="190037"/>
    <n v="190037"/>
    <m/>
    <s v="03/15/2024"/>
    <m/>
    <s v="Within 30 days Due net"/>
    <n v="190037"/>
    <n v="1"/>
    <n v="0"/>
    <m/>
    <m/>
    <m/>
    <n v="190037"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m/>
    <m/>
    <m/>
    <m/>
    <m/>
    <m/>
    <m/>
    <m/>
    <n v="190037"/>
    <m/>
    <m/>
    <m/>
  </r>
  <r>
    <s v="Javier Arroyo"/>
    <x v="0"/>
    <m/>
    <n v="4400854059"/>
    <n v="1"/>
    <s v="USC23C036"/>
    <m/>
    <s v="Main Tool Interconnection"/>
    <m/>
    <s v="KSHMA1 AC Top Plate Mod"/>
    <m/>
    <n v="1"/>
    <m/>
    <n v="1135"/>
    <m/>
    <m/>
    <m/>
    <n v="1135"/>
    <n v="1135"/>
    <m/>
    <s v="03/15/2024"/>
    <m/>
    <s v="Within 30 days Due net"/>
    <n v="113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1135"/>
    <m/>
    <m/>
    <m/>
    <m/>
    <m/>
    <m/>
    <m/>
    <m/>
    <m/>
    <m/>
    <m/>
    <n v="1135"/>
    <m/>
    <m/>
    <m/>
  </r>
  <r>
    <s v="Javier Arroyo"/>
    <x v="0"/>
    <m/>
    <n v="4400854358"/>
    <n v="1"/>
    <s v="USC23C036"/>
    <m/>
    <s v="Main Tool Interconnection"/>
    <m/>
    <s v="KKSV03 Main tool interconnect"/>
    <m/>
    <n v="1"/>
    <m/>
    <n v="29720"/>
    <m/>
    <m/>
    <m/>
    <n v="29720"/>
    <n v="29720"/>
    <m/>
    <s v="03/18/2024"/>
    <m/>
    <s v="Within 30 days Due net"/>
    <n v="2972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29720"/>
    <m/>
    <m/>
    <m/>
    <m/>
    <m/>
    <m/>
    <m/>
    <m/>
    <m/>
    <m/>
    <m/>
    <n v="29720"/>
    <m/>
    <m/>
    <m/>
  </r>
  <r>
    <s v="Javier Arroyo"/>
    <x v="0"/>
    <m/>
    <n v="4400854359"/>
    <n v="1"/>
    <s v="USC23C036"/>
    <m/>
    <s v="Main Tool Interconnection"/>
    <m/>
    <s v="KKDD03 Main tool interconnect"/>
    <m/>
    <n v="1"/>
    <m/>
    <n v="29941"/>
    <m/>
    <m/>
    <m/>
    <n v="29941"/>
    <n v="29941"/>
    <m/>
    <s v="03/18/2024"/>
    <m/>
    <s v="Within 30 days Due net"/>
    <n v="29941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n v="29941"/>
    <m/>
    <m/>
    <m/>
    <m/>
    <m/>
    <m/>
    <m/>
    <m/>
    <m/>
    <n v="29941"/>
    <m/>
    <m/>
    <m/>
  </r>
  <r>
    <s v="Javier Arroyo"/>
    <x v="0"/>
    <m/>
    <n v="4400854379"/>
    <n v="1"/>
    <s v="USC23C036"/>
    <m/>
    <s v="Main Tool Interconnection"/>
    <m/>
    <s v="KKDB05 Main Tool Interconnection"/>
    <m/>
    <n v="1"/>
    <m/>
    <n v="29941"/>
    <m/>
    <m/>
    <m/>
    <n v="29941"/>
    <n v="29941"/>
    <m/>
    <s v="03/18/2024"/>
    <m/>
    <s v="Within 30 days Due net"/>
    <n v="29941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29941"/>
    <m/>
    <m/>
    <m/>
    <m/>
    <m/>
    <m/>
    <m/>
    <m/>
    <m/>
    <m/>
    <m/>
    <n v="29941"/>
    <m/>
    <m/>
    <m/>
  </r>
  <r>
    <s v="Javier Arroyo"/>
    <x v="0"/>
    <m/>
    <n v="4400854401"/>
    <n v="1"/>
    <s v="USC23C036"/>
    <m/>
    <s v="Main Tool Interconnection"/>
    <m/>
    <s v="KSSBA6 Main Tool Interconnetion"/>
    <m/>
    <n v="1"/>
    <m/>
    <n v="98189"/>
    <m/>
    <m/>
    <m/>
    <n v="98189"/>
    <n v="98189"/>
    <m/>
    <s v="03/18/2024"/>
    <m/>
    <s v="Within 30 days Due net"/>
    <n v="9818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n v="98189"/>
    <m/>
    <m/>
    <m/>
    <m/>
    <m/>
    <m/>
    <m/>
    <n v="0"/>
    <m/>
    <m/>
    <m/>
  </r>
  <r>
    <s v="Javier Arroyo"/>
    <x v="0"/>
    <m/>
    <n v="4400854402"/>
    <n v="1"/>
    <s v="USC23C036"/>
    <m/>
    <s v="Main Tool Interconnection"/>
    <m/>
    <s v="KSSBA7 Main Tool Interconnection "/>
    <m/>
    <n v="1"/>
    <m/>
    <n v="98189"/>
    <m/>
    <m/>
    <m/>
    <n v="98189"/>
    <n v="98189"/>
    <m/>
    <s v="03/18/2024"/>
    <m/>
    <s v="Within 30 days Due net"/>
    <n v="9818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n v="98189"/>
    <m/>
    <m/>
    <m/>
    <m/>
    <m/>
    <m/>
    <m/>
    <n v="0"/>
    <m/>
    <m/>
    <m/>
  </r>
  <r>
    <s v="Javier Arroyo"/>
    <x v="0"/>
    <m/>
    <n v="4400854404"/>
    <n v="1"/>
    <s v="USC23C036"/>
    <m/>
    <s v="Main Tool Interconnection"/>
    <m/>
    <s v="KSSBA8 Main Tool Interconnection"/>
    <m/>
    <n v="1"/>
    <m/>
    <n v="98189"/>
    <m/>
    <m/>
    <m/>
    <n v="98189"/>
    <n v="98189"/>
    <m/>
    <s v="03/18/2024"/>
    <m/>
    <s v="Within 30 days Due net"/>
    <n v="9818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n v="98189"/>
    <m/>
    <m/>
    <m/>
    <m/>
    <m/>
    <m/>
    <m/>
    <n v="0"/>
    <m/>
    <m/>
    <m/>
  </r>
  <r>
    <s v="Javier Arroyo"/>
    <x v="0"/>
    <m/>
    <n v="4400854408"/>
    <n v="1"/>
    <s v="USC23C036"/>
    <m/>
    <s v="Main Tool Interconnection"/>
    <m/>
    <s v="KCENA3 Main Tool Interconnect"/>
    <m/>
    <n v="1"/>
    <m/>
    <n v="190037"/>
    <m/>
    <m/>
    <m/>
    <n v="190037"/>
    <n v="190037"/>
    <m/>
    <s v="03/18/2024"/>
    <m/>
    <s v="Within 30 days Due net"/>
    <n v="190037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n v="190037"/>
    <m/>
    <m/>
    <m/>
    <m/>
    <m/>
    <m/>
    <m/>
    <m/>
    <m/>
    <n v="190037"/>
    <m/>
    <m/>
    <m/>
  </r>
  <r>
    <s v="Javier Arroyo"/>
    <x v="0"/>
    <m/>
    <n v="4400854441"/>
    <n v="1"/>
    <s v="USC23C036"/>
    <m/>
    <s v="Main Tool Interconnection"/>
    <s v="KDIGA4"/>
    <s v="KDIGA4 Main Tool Interconnect"/>
    <m/>
    <n v="1"/>
    <m/>
    <n v="76550"/>
    <m/>
    <m/>
    <m/>
    <n v="76550"/>
    <n v="76550"/>
    <m/>
    <s v="03/18/2024"/>
    <m/>
    <s v="Within 30 days Due net"/>
    <n v="7655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76550"/>
    <m/>
    <n v="0"/>
    <m/>
    <m/>
    <m/>
    <m/>
    <m/>
    <m/>
    <m/>
    <m/>
    <m/>
    <m/>
    <m/>
    <n v="76550"/>
    <m/>
    <m/>
    <m/>
  </r>
  <r>
    <s v="Javier Arroyo"/>
    <x v="0"/>
    <m/>
    <n v="4400854468"/>
    <n v="1"/>
    <s v="USC23C036"/>
    <m/>
    <s v="Main Tool Interconnection"/>
    <m/>
    <s v="KCBDA6 Main Tool Interconnection"/>
    <m/>
    <n v="1"/>
    <m/>
    <n v="75453"/>
    <m/>
    <m/>
    <m/>
    <n v="75453"/>
    <n v="75453"/>
    <m/>
    <s v="03/18/2024"/>
    <m/>
    <s v="Within 30 days Due net"/>
    <n v="75453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n v="75453"/>
    <m/>
    <m/>
    <m/>
    <m/>
    <m/>
    <m/>
    <m/>
    <n v="0"/>
    <m/>
    <m/>
    <m/>
  </r>
  <r>
    <s v="Javier Arroyo"/>
    <x v="0"/>
    <m/>
    <n v="4400854535"/>
    <n v="1"/>
    <s v="USC23C036"/>
    <m/>
    <s v="Main Tool Interconnection"/>
    <m/>
    <s v="KSANA2 Main Tool Interconnection"/>
    <m/>
    <n v="1"/>
    <m/>
    <n v="98189"/>
    <m/>
    <m/>
    <m/>
    <n v="98189"/>
    <n v="98189"/>
    <m/>
    <s v="03/19/2024"/>
    <m/>
    <s v="Within 30 days Due net"/>
    <n v="9818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n v="98189"/>
    <m/>
    <m/>
    <m/>
    <m/>
    <m/>
    <m/>
    <m/>
    <n v="0"/>
    <m/>
    <m/>
    <m/>
  </r>
  <r>
    <s v="Javier Arroyo"/>
    <x v="0"/>
    <m/>
    <n v="4400854537"/>
    <n v="1"/>
    <s v="USC23C036"/>
    <m/>
    <s v="Main Tool Interconnection"/>
    <m/>
    <s v="KSAPA1 Main Tool Interconnection"/>
    <m/>
    <n v="1"/>
    <m/>
    <n v="98189"/>
    <m/>
    <m/>
    <m/>
    <n v="98189"/>
    <n v="98189"/>
    <m/>
    <s v="03/19/2024"/>
    <m/>
    <s v="Within 30 days Due net"/>
    <n v="9818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n v="98189"/>
    <m/>
    <m/>
    <m/>
    <m/>
    <m/>
    <m/>
    <m/>
    <n v="0"/>
    <m/>
    <m/>
    <m/>
  </r>
  <r>
    <s v="Javier Arroyo"/>
    <x v="0"/>
    <m/>
    <n v="4400854538"/>
    <n v="1"/>
    <s v="USC23C036"/>
    <m/>
    <s v="Main Tool Interconnection"/>
    <m/>
    <s v="KCSSA2 Main Tool Interconnection "/>
    <m/>
    <n v="1"/>
    <m/>
    <n v="98189"/>
    <m/>
    <m/>
    <m/>
    <n v="98189"/>
    <n v="98189"/>
    <m/>
    <s v="03/19/2024"/>
    <m/>
    <s v="Within 30 days Due net"/>
    <n v="9818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n v="98189"/>
    <m/>
    <m/>
    <m/>
    <m/>
    <m/>
    <m/>
    <m/>
    <n v="0"/>
    <m/>
    <m/>
    <m/>
  </r>
  <r>
    <s v="Javier Arroyo"/>
    <x v="0"/>
    <m/>
    <n v="4400854539"/>
    <n v="1"/>
    <s v="USC23C036"/>
    <m/>
    <s v="Main Tool Interconnection"/>
    <m/>
    <s v="KSHRA1 Main Tool Interconnection"/>
    <m/>
    <n v="1"/>
    <m/>
    <n v="98189"/>
    <m/>
    <m/>
    <m/>
    <n v="98189"/>
    <n v="98189"/>
    <m/>
    <s v="03/19/2024"/>
    <m/>
    <s v="Within 30 days Due net"/>
    <n v="9818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n v="98189"/>
    <m/>
    <m/>
    <m/>
    <m/>
    <m/>
    <m/>
    <m/>
    <n v="0"/>
    <m/>
    <m/>
    <m/>
  </r>
  <r>
    <s v="Javier Arroyo"/>
    <x v="0"/>
    <m/>
    <n v="4400854560"/>
    <n v="1"/>
    <s v="USC23C036"/>
    <m/>
    <s v="Main Tool Interconnection"/>
    <m/>
    <s v="KCSMA3 Main Tool Interconnection"/>
    <m/>
    <n v="1"/>
    <m/>
    <n v="75453"/>
    <m/>
    <m/>
    <m/>
    <n v="75453"/>
    <n v="75453"/>
    <m/>
    <s v="03/19/2024"/>
    <m/>
    <s v="Within 30 days Due net"/>
    <n v="75453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n v="75453"/>
    <m/>
    <m/>
    <m/>
    <m/>
    <m/>
    <m/>
    <m/>
    <m/>
    <m/>
    <n v="75453"/>
    <m/>
    <m/>
    <m/>
  </r>
  <r>
    <s v="Javier Arroyo"/>
    <x v="0"/>
    <m/>
    <n v="4400854562"/>
    <n v="1"/>
    <s v="USC23C036"/>
    <m/>
    <s v="Main Tool Interconnection"/>
    <m/>
    <s v="KCUVA2 Main Tool Interconnection"/>
    <m/>
    <n v="1"/>
    <m/>
    <n v="75453"/>
    <m/>
    <m/>
    <m/>
    <n v="75453"/>
    <n v="75453"/>
    <m/>
    <s v="03/19/2024"/>
    <m/>
    <s v="Within 30 days Due net"/>
    <n v="75453"/>
    <n v="1"/>
    <n v="0"/>
    <m/>
    <m/>
    <m/>
    <n v="75453"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m/>
    <m/>
    <m/>
    <m/>
    <m/>
    <m/>
    <m/>
    <m/>
    <n v="75453"/>
    <m/>
    <m/>
    <m/>
  </r>
  <r>
    <s v="Javier Arroyo"/>
    <x v="0"/>
    <m/>
    <n v="4400854563"/>
    <n v="1"/>
    <s v="USC23C036"/>
    <m/>
    <s v="Main Tool Interconnection"/>
    <m/>
    <s v="KCUVA7 Main Tool Interconnection "/>
    <m/>
    <n v="1"/>
    <m/>
    <n v="75453"/>
    <m/>
    <m/>
    <m/>
    <n v="75453"/>
    <n v="75453"/>
    <m/>
    <s v="03/19/2024"/>
    <m/>
    <s v="Within 30 days Due net"/>
    <n v="75453"/>
    <n v="1"/>
    <n v="0"/>
    <m/>
    <m/>
    <m/>
    <n v="75453"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m/>
    <m/>
    <m/>
    <m/>
    <m/>
    <m/>
    <m/>
    <m/>
    <n v="75453"/>
    <m/>
    <m/>
    <m/>
  </r>
  <r>
    <s v="Javier Arroyo"/>
    <x v="0"/>
    <m/>
    <n v="4400854565"/>
    <n v="1"/>
    <s v="USC23C036"/>
    <m/>
    <s v="Main Tool Interconnection"/>
    <m/>
    <s v="KCOLA3 Main Tool Interconnection"/>
    <m/>
    <n v="1"/>
    <m/>
    <n v="70646"/>
    <m/>
    <m/>
    <m/>
    <n v="70646"/>
    <n v="70646"/>
    <m/>
    <s v="03/19/2024"/>
    <m/>
    <s v="Within 30 days Due net"/>
    <n v="70646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n v="70646"/>
    <m/>
    <m/>
    <m/>
    <m/>
    <m/>
    <m/>
    <m/>
    <m/>
    <m/>
    <n v="70646"/>
    <m/>
    <m/>
    <m/>
  </r>
  <r>
    <s v="Javier Arroyo"/>
    <x v="0"/>
    <m/>
    <n v="4400854791"/>
    <n v="1"/>
    <s v="USC23C036"/>
    <m/>
    <s v="Main Tool Interconnection"/>
    <m/>
    <s v="KCENA6 Main Tool Interconnect"/>
    <m/>
    <n v="1"/>
    <m/>
    <n v="190037"/>
    <m/>
    <m/>
    <m/>
    <n v="190037"/>
    <n v="190037"/>
    <m/>
    <s v="03/19/2024"/>
    <m/>
    <s v="Within 30 days Due net"/>
    <n v="190037"/>
    <n v="1"/>
    <n v="0"/>
    <m/>
    <m/>
    <m/>
    <n v="190037"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m/>
    <m/>
    <m/>
    <m/>
    <m/>
    <m/>
    <m/>
    <m/>
    <n v="190037"/>
    <m/>
    <m/>
    <m/>
  </r>
  <r>
    <s v="Javier Arroyo"/>
    <x v="0"/>
    <m/>
    <n v="4400854982"/>
    <n v="1"/>
    <s v="USC23C036"/>
    <m/>
    <s v="Main Tool Interconnection"/>
    <m/>
    <s v="KECENA4 Main Tool Interconnect"/>
    <m/>
    <n v="1"/>
    <m/>
    <n v="190037"/>
    <m/>
    <m/>
    <m/>
    <n v="190037"/>
    <n v="190037"/>
    <m/>
    <s v="03/19/2024"/>
    <m/>
    <s v="Within 30 days Due net"/>
    <n v="190037"/>
    <n v="1"/>
    <n v="0"/>
    <m/>
    <m/>
    <m/>
    <n v="190037"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m/>
    <m/>
    <m/>
    <m/>
    <m/>
    <m/>
    <m/>
    <m/>
    <n v="190037"/>
    <m/>
    <m/>
    <m/>
  </r>
  <r>
    <s v="Javier Arroyo"/>
    <x v="0"/>
    <m/>
    <n v="4400855190"/>
    <n v="1"/>
    <s v="USC23C036"/>
    <m/>
    <s v="Main Tool Interconnection"/>
    <m/>
    <s v="KEMEA2 Main Tool Interconnect "/>
    <m/>
    <n v="1"/>
    <m/>
    <n v="69307"/>
    <m/>
    <m/>
    <m/>
    <n v="69307"/>
    <n v="69307"/>
    <m/>
    <s v="03/20/2024"/>
    <m/>
    <s v="Within 30 days Due net"/>
    <n v="69307"/>
    <n v="1"/>
    <n v="0"/>
    <m/>
    <m/>
    <m/>
    <n v="69307"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m/>
    <m/>
    <m/>
    <m/>
    <m/>
    <m/>
    <m/>
    <m/>
    <n v="69307"/>
    <m/>
    <m/>
    <m/>
  </r>
  <r>
    <s v="Javier Arroyo"/>
    <x v="0"/>
    <m/>
    <n v="4400855192"/>
    <n v="1"/>
    <s v="USC23C036"/>
    <m/>
    <s v="Main Tool Interconnection"/>
    <m/>
    <s v="KELIA1 Main Tool Interconnect "/>
    <m/>
    <n v="1"/>
    <m/>
    <n v="69307"/>
    <m/>
    <m/>
    <m/>
    <n v="69307"/>
    <n v="69307"/>
    <m/>
    <s v="03/20/2024"/>
    <m/>
    <s v="Within 30 days Due net"/>
    <n v="69307"/>
    <n v="1"/>
    <n v="0"/>
    <m/>
    <m/>
    <m/>
    <n v="69307"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m/>
    <m/>
    <m/>
    <m/>
    <m/>
    <m/>
    <m/>
    <m/>
    <n v="69307"/>
    <m/>
    <m/>
    <m/>
  </r>
  <r>
    <s v="Javier Arroyo"/>
    <x v="0"/>
    <m/>
    <n v="4400855293"/>
    <n v="1"/>
    <s v="USC23C036"/>
    <m/>
    <s v="Main Tool Interconnection"/>
    <m/>
    <s v="KEARA1 Main Tool Interconnect"/>
    <m/>
    <n v="1"/>
    <m/>
    <n v="69307"/>
    <m/>
    <m/>
    <m/>
    <n v="69307"/>
    <n v="69307"/>
    <m/>
    <s v="03/20/2024"/>
    <m/>
    <s v="Within 30 days Due net"/>
    <n v="69307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m/>
    <m/>
    <n v="69307"/>
    <m/>
    <m/>
    <m/>
    <m/>
    <m/>
    <n v="0"/>
    <m/>
    <m/>
    <m/>
  </r>
  <r>
    <m/>
    <x v="0"/>
    <m/>
    <n v="4400855530"/>
    <n v="1"/>
    <s v="USC23C036"/>
    <m/>
    <s v="Main Tool Interconnection"/>
    <m/>
    <s v="KMOPA9-C Main tool Interconnect"/>
    <m/>
    <n v="1"/>
    <m/>
    <n v="1895"/>
    <m/>
    <m/>
    <m/>
    <n v="1895"/>
    <n v="1895"/>
    <m/>
    <s v="03/21/2024"/>
    <m/>
    <s v="Within 30 days Due net"/>
    <n v="1895"/>
    <n v="1"/>
    <n v="0"/>
    <m/>
    <m/>
    <m/>
    <n v="1895"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m/>
    <m/>
    <m/>
    <m/>
    <m/>
    <m/>
    <m/>
    <m/>
    <n v="1895"/>
    <m/>
    <m/>
    <m/>
  </r>
  <r>
    <m/>
    <x v="0"/>
    <m/>
    <n v="4400855532"/>
    <n v="1"/>
    <s v="USC23C036"/>
    <m/>
    <s v="Main Tool Interconnection"/>
    <m/>
    <s v="KMWPA2-C Main Tool Interconnect"/>
    <m/>
    <n v="1"/>
    <m/>
    <n v="1895"/>
    <m/>
    <m/>
    <m/>
    <n v="1895"/>
    <n v="1895"/>
    <m/>
    <s v="03/21/2024"/>
    <m/>
    <s v="Within 30 days Due net"/>
    <n v="189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n v="1895"/>
    <m/>
    <m/>
    <m/>
    <m/>
    <m/>
    <m/>
    <m/>
    <m/>
    <m/>
    <n v="1895"/>
    <m/>
    <m/>
    <m/>
  </r>
  <r>
    <m/>
    <x v="0"/>
    <m/>
    <n v="4400855534"/>
    <n v="1"/>
    <s v="USC23C036"/>
    <m/>
    <s v="Main Tool Interconnection"/>
    <m/>
    <s v="KMOPA5-C Main Tool Interconnect"/>
    <m/>
    <n v="1"/>
    <m/>
    <n v="1895"/>
    <m/>
    <m/>
    <m/>
    <n v="1895"/>
    <n v="1895"/>
    <m/>
    <s v="03/21/2024"/>
    <m/>
    <s v="Within 30 days Due net"/>
    <n v="189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1895"/>
    <m/>
    <m/>
    <m/>
    <m/>
    <m/>
    <m/>
    <m/>
    <m/>
    <m/>
    <m/>
    <m/>
    <n v="1895"/>
    <m/>
    <m/>
    <m/>
  </r>
  <r>
    <m/>
    <x v="0"/>
    <m/>
    <n v="4400855536"/>
    <n v="1"/>
    <s v="USC23C036"/>
    <m/>
    <s v="Main Tool Interconnection"/>
    <m/>
    <s v="KMOPA8-C Main Tool Interconnect"/>
    <m/>
    <n v="1"/>
    <m/>
    <n v="1895"/>
    <m/>
    <m/>
    <m/>
    <n v="1895"/>
    <n v="1895"/>
    <m/>
    <s v="03/21/2024"/>
    <m/>
    <s v="Within 30 days Due net"/>
    <n v="189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1895"/>
    <m/>
    <m/>
    <m/>
    <m/>
    <m/>
    <m/>
    <m/>
    <m/>
    <m/>
    <m/>
    <m/>
    <n v="1895"/>
    <m/>
    <m/>
    <m/>
  </r>
  <r>
    <m/>
    <x v="0"/>
    <m/>
    <n v="4400855666"/>
    <n v="1"/>
    <s v="USC23C036"/>
    <m/>
    <s v="Main Tool Interconnection"/>
    <m/>
    <s v="KCBDA2 Interconnect work quote"/>
    <m/>
    <n v="1"/>
    <m/>
    <n v="75453"/>
    <m/>
    <m/>
    <m/>
    <n v="75453"/>
    <n v="75453"/>
    <m/>
    <s v="03/22/2024"/>
    <m/>
    <m/>
    <n v="75453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75453"/>
    <m/>
    <m/>
    <m/>
    <m/>
    <m/>
    <m/>
    <m/>
    <m/>
    <m/>
    <m/>
    <m/>
    <n v="75453"/>
    <m/>
    <m/>
    <m/>
  </r>
  <r>
    <m/>
    <x v="0"/>
    <m/>
    <n v="4400855669"/>
    <n v="1"/>
    <s v="USC23C036"/>
    <m/>
    <s v="Main Tool Interconnection"/>
    <m/>
    <s v="KKDD04 Main Tool Interconnect "/>
    <m/>
    <n v="1"/>
    <m/>
    <n v="19457"/>
    <m/>
    <m/>
    <m/>
    <n v="19457"/>
    <n v="19457"/>
    <m/>
    <s v="03/21/2024"/>
    <m/>
    <s v="Within 30 days Due net"/>
    <n v="19457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n v="19457"/>
    <m/>
    <m/>
    <m/>
    <m/>
    <m/>
    <m/>
    <m/>
    <m/>
    <m/>
    <n v="19457"/>
    <m/>
    <m/>
    <m/>
  </r>
  <r>
    <m/>
    <x v="0"/>
    <m/>
    <n v="4400855672"/>
    <n v="1"/>
    <s v="USC23C036"/>
    <m/>
    <s v="Main Tool Interconnection"/>
    <m/>
    <s v="KKSV05 Main Tool Interconnect"/>
    <m/>
    <n v="1"/>
    <m/>
    <n v="19457"/>
    <m/>
    <m/>
    <m/>
    <n v="19457"/>
    <n v="19457"/>
    <m/>
    <s v="03/21/2024"/>
    <m/>
    <s v="Within 30 days Due net"/>
    <n v="19457"/>
    <n v="1"/>
    <n v="0"/>
    <m/>
    <m/>
    <m/>
    <n v="19457"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m/>
    <m/>
    <m/>
    <m/>
    <m/>
    <m/>
    <m/>
    <m/>
    <m/>
    <m/>
    <n v="19457"/>
    <m/>
    <m/>
    <m/>
  </r>
  <r>
    <m/>
    <x v="0"/>
    <m/>
    <n v="4400855674"/>
    <n v="1"/>
    <s v="USC23C036"/>
    <m/>
    <s v="Main Tool Interconnection"/>
    <m/>
    <s v="KPCD21 Main Tool Interconnect"/>
    <m/>
    <n v="1"/>
    <m/>
    <n v="19457"/>
    <m/>
    <m/>
    <m/>
    <n v="19457"/>
    <n v="19457"/>
    <m/>
    <s v="03/21/2024"/>
    <m/>
    <s v="Within 30 days Due net"/>
    <n v="19457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n v="19457"/>
    <m/>
    <m/>
    <m/>
    <m/>
    <m/>
    <m/>
    <m/>
    <m/>
    <m/>
    <n v="19457"/>
    <m/>
    <m/>
    <m/>
  </r>
  <r>
    <m/>
    <x v="0"/>
    <m/>
    <n v="4400855676"/>
    <n v="1"/>
    <s v="USC23C036"/>
    <m/>
    <s v="Main Tool Interconnection"/>
    <m/>
    <s v="KPCD22 Main Tool Interconnect"/>
    <m/>
    <n v="1"/>
    <m/>
    <n v="19457"/>
    <m/>
    <m/>
    <m/>
    <n v="19457"/>
    <n v="19457"/>
    <m/>
    <s v="03/21/2024"/>
    <m/>
    <s v="Within 30 days Due net"/>
    <n v="19457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0"/>
    <m/>
    <n v="19457"/>
    <m/>
    <m/>
    <m/>
    <m/>
    <m/>
    <m/>
    <m/>
    <m/>
    <m/>
    <n v="19457"/>
    <m/>
    <m/>
    <m/>
  </r>
  <r>
    <s v="Javier Arroyo"/>
    <x v="0"/>
    <m/>
    <n v="4400858927"/>
    <n v="1"/>
    <s v="USC23C036"/>
    <m/>
    <s v="Main Tool Interconnection"/>
    <m/>
    <s v="KDRNA1 SCR Cable cat and crimp"/>
    <m/>
    <n v="1"/>
    <m/>
    <n v="27216"/>
    <m/>
    <m/>
    <m/>
    <n v="27216"/>
    <n v="27216"/>
    <m/>
    <s v="04/03/2024"/>
    <m/>
    <s v=" Within 30 days Due net "/>
    <n v="27216"/>
    <n v="1"/>
    <n v="0"/>
    <m/>
    <m/>
    <m/>
    <n v="27216"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27216"/>
    <m/>
    <m/>
    <m/>
  </r>
  <r>
    <s v="Javier Arroyo"/>
    <x v="0"/>
    <m/>
    <n v="4400859143"/>
    <n v="1"/>
    <s v="USC23C036"/>
    <m/>
    <s v="Main Tool Interconnection"/>
    <m/>
    <s v="KDIGA1 SCR Cable Cut and Crimp"/>
    <m/>
    <n v="1"/>
    <m/>
    <n v="27216"/>
    <m/>
    <m/>
    <m/>
    <n v="27216"/>
    <n v="27216"/>
    <m/>
    <s v="04/04/2024"/>
    <m/>
    <s v=" Within 30 days Due net "/>
    <n v="27216"/>
    <n v="1"/>
    <n v="0"/>
    <m/>
    <m/>
    <m/>
    <n v="27216"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27216"/>
    <m/>
    <m/>
    <m/>
  </r>
  <r>
    <s v="Javier Arroyo"/>
    <x v="0"/>
    <m/>
    <n v="4400859144"/>
    <n v="1"/>
    <s v="USC23C036"/>
    <m/>
    <s v="Main Tool Interconnection"/>
    <m/>
    <s v="KDIGA4 SCR Cable Cut and Crimp"/>
    <m/>
    <n v="1"/>
    <m/>
    <n v="27216"/>
    <m/>
    <m/>
    <m/>
    <n v="27216"/>
    <n v="27216"/>
    <m/>
    <s v="04/04/2024"/>
    <m/>
    <s v=" Within 30 days Due net "/>
    <n v="27216"/>
    <n v="1"/>
    <n v="0"/>
    <m/>
    <m/>
    <m/>
    <n v="27216"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27216"/>
    <m/>
    <m/>
    <m/>
  </r>
  <r>
    <s v="Javier Arroyo"/>
    <x v="0"/>
    <m/>
    <n v="4400861580"/>
    <m/>
    <s v="USC23C036"/>
    <m/>
    <s v="Main Tool Interconnection"/>
    <m/>
    <s v="KEEBA1 AC Top Plate Mod"/>
    <m/>
    <n v="1"/>
    <m/>
    <n v="1135"/>
    <m/>
    <m/>
    <m/>
    <n v="1135"/>
    <n v="1135"/>
    <m/>
    <s v="04/12/2024"/>
    <m/>
    <s v=" Within 30 days Due net "/>
    <n v="113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1135"/>
    <m/>
    <m/>
    <m/>
    <m/>
    <m/>
    <m/>
    <m/>
    <m/>
    <m/>
    <m/>
    <m/>
    <n v="1135"/>
    <m/>
    <m/>
    <m/>
  </r>
  <r>
    <s v="Janson Van Shaar"/>
    <x v="0"/>
    <s v=" john_j_smith@amat.com "/>
    <n v="4400870244"/>
    <n v="1"/>
    <s v="USC23C036"/>
    <m/>
    <s v="Main Tool Interconnection"/>
    <s v="KDIGA2"/>
    <s v="KDIGA2 ChC Power Supply Reconnect Work"/>
    <m/>
    <n v="1"/>
    <m/>
    <n v="1980"/>
    <m/>
    <m/>
    <m/>
    <n v="1980"/>
    <n v="1980"/>
    <m/>
    <d v="2024-05-15T00:00:00"/>
    <m/>
    <s v="Within 30 days Due net"/>
    <n v="198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"/>
    <m/>
    <m/>
    <m/>
    <m/>
    <m/>
    <m/>
    <m/>
    <n v="0"/>
    <m/>
    <m/>
    <m/>
  </r>
  <r>
    <m/>
    <x v="0"/>
    <m/>
    <n v="4400871904"/>
    <n v="1"/>
    <s v="USC23C036"/>
    <m/>
    <s v="Main Tool Interconnection"/>
    <m/>
    <s v="AMAT-TSMC F21P1B FIRST 18 TOOLS"/>
    <m/>
    <n v="1"/>
    <m/>
    <n v="1398428.04"/>
    <m/>
    <m/>
    <m/>
    <n v="1398428.04"/>
    <n v="1398428.04"/>
    <m/>
    <s v="05/21/2024"/>
    <m/>
    <s v="Within 30 days Due net"/>
    <n v="537907.96"/>
    <n v="0.38465186953774178"/>
    <n v="860520.08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907.96"/>
    <m/>
    <m/>
    <m/>
    <n v="91089.61"/>
    <m/>
    <n v="0"/>
    <m/>
    <m/>
    <m/>
  </r>
  <r>
    <m/>
    <x v="1"/>
    <s v="Stephen Abate &lt;Stephen.Abate@asm.com&gt; "/>
    <n v="4900167522"/>
    <n v="1"/>
    <s v="USC23C028"/>
    <s v="F21P1 ASM Interconnection"/>
    <s v="Main Tool Interconnection"/>
    <s v="KDALS2"/>
    <s v="Synergis MX Interconnect_10FE.2635.03.01"/>
    <m/>
    <n v="1"/>
    <m/>
    <m/>
    <m/>
    <m/>
    <m/>
    <n v="0"/>
    <n v="0"/>
    <m/>
    <d v="2023-01-11T00:00:00"/>
    <m/>
    <m/>
    <n v="0"/>
    <e v="#DIV/0!"/>
    <n v="0"/>
    <m/>
    <m/>
    <e v="#DIV/0!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"/>
    <s v="Stephen Abate &lt;Stephen.Abate@asm.com&gt; "/>
    <n v="4900167753"/>
    <n v="1"/>
    <s v="USC23C028"/>
    <s v="F21P1 ASM Interconnection"/>
    <s v="Main Tool Interconnection"/>
    <s v="KCEPS1"/>
    <s v="Intrepid XP Pre-Clean Interconnect_10FE.2631.03.01"/>
    <s v="Finished"/>
    <n v="1"/>
    <n v="1363.33"/>
    <n v="25552.079999999984"/>
    <m/>
    <m/>
    <n v="5383.0819999999967"/>
    <n v="32298.491999999977"/>
    <n v="32298.491999999977"/>
    <m/>
    <d v="2023-01-13T00:00:00"/>
    <m/>
    <m/>
    <n v="32298.491999999977"/>
    <n v="1"/>
    <n v="0"/>
    <m/>
    <m/>
    <n v="0"/>
    <m/>
    <m/>
    <m/>
    <m/>
    <m/>
    <m/>
    <m/>
    <m/>
    <m/>
    <m/>
    <m/>
    <m/>
    <m/>
    <m/>
    <m/>
    <m/>
    <m/>
    <m/>
    <n v="32298.491999999977"/>
    <m/>
    <m/>
    <m/>
    <m/>
    <m/>
    <m/>
    <m/>
    <s v=""/>
    <m/>
    <m/>
    <m/>
    <m/>
    <m/>
    <m/>
    <m/>
    <m/>
    <m/>
    <m/>
    <m/>
    <m/>
    <m/>
    <n v="32298.491999999977"/>
    <m/>
    <m/>
    <m/>
  </r>
  <r>
    <m/>
    <x v="1"/>
    <s v="Stephen Abate &lt;Stephen.Abate@asm.com&gt; "/>
    <n v="4900167878"/>
    <n v="1"/>
    <s v="USC23C028"/>
    <s v="F21P1 ASM Interconnection"/>
    <s v="Main Tool Interconnection"/>
    <s v="KCSOA2"/>
    <s v="XP8 DCM Interconnect_30FE.3979.03.01"/>
    <m/>
    <n v="1"/>
    <m/>
    <n v="15480.000000000007"/>
    <m/>
    <m/>
    <n v="3096.0000000000018"/>
    <n v="18576.000000000007"/>
    <n v="18576.000000000007"/>
    <m/>
    <d v="2023-01-17T00:00:00"/>
    <m/>
    <m/>
    <n v="0"/>
    <n v="0"/>
    <n v="18576.000000000007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"/>
    <s v="Stephen Abate &lt;Stephen.Abate@asm.com&gt; "/>
    <n v="4900167879"/>
    <n v="1"/>
    <s v="USC23C028"/>
    <s v="F21P1 ASM Interconnection"/>
    <s v="Main Tool Interconnection"/>
    <s v="KCSOA4"/>
    <s v="XP* DCM Interconnect_30FE.3980.03.01"/>
    <m/>
    <n v="1"/>
    <m/>
    <n v="15480.000000000007"/>
    <m/>
    <m/>
    <n v="3096.0000000000018"/>
    <n v="18576.000000000007"/>
    <n v="18576.000000000007"/>
    <m/>
    <d v="2023-01-17T00:00:00"/>
    <m/>
    <m/>
    <n v="18576"/>
    <n v="0.99999999999999956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18576"/>
    <m/>
    <m/>
    <m/>
    <m/>
    <m/>
    <m/>
    <m/>
    <m/>
    <m/>
    <m/>
    <m/>
    <n v="18576"/>
    <m/>
    <m/>
    <m/>
  </r>
  <r>
    <m/>
    <x v="1"/>
    <s v="Stephen Abate &lt;Stephen.Abate@asm.com&gt; "/>
    <n v="4900167880"/>
    <n v="1"/>
    <s v="USC23C028"/>
    <s v="F21P1 ASM Interconnection"/>
    <s v="Main Tool Interconnection"/>
    <s v="KCSNA1"/>
    <s v="XP8 QCM Interconnect_30FE.3925.03.01"/>
    <m/>
    <n v="1"/>
    <m/>
    <n v="18229.500000000004"/>
    <m/>
    <m/>
    <n v="3645.900000000001"/>
    <n v="21875.400000000005"/>
    <n v="21875.400000000005"/>
    <m/>
    <d v="2023-01-17T00:00:00"/>
    <m/>
    <m/>
    <n v="21875.4"/>
    <n v="0.99999999999999989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21875.4"/>
    <m/>
    <m/>
    <m/>
    <m/>
    <m/>
    <m/>
    <m/>
    <m/>
    <m/>
    <m/>
    <m/>
    <n v="21875.4"/>
    <m/>
    <m/>
    <m/>
  </r>
  <r>
    <m/>
    <x v="1"/>
    <s v="Stephen Abate &lt;Stephen.Abate@asm.com&gt; "/>
    <n v="4900167881"/>
    <n v="1"/>
    <s v="USC23C028"/>
    <s v="F21P1 ASM Interconnection"/>
    <s v="Main Tool Interconnection"/>
    <s v="KDALS1"/>
    <s v="Synergis MX Interconnect_10FE.2668.03.01"/>
    <s v="Finished"/>
    <n v="1"/>
    <n v="6296.0099999999993"/>
    <n v="7996.260000000002"/>
    <m/>
    <m/>
    <n v="2858.4540000000002"/>
    <n v="17150.724000000002"/>
    <n v="17150.724000000002"/>
    <m/>
    <d v="2023-01-17T00:00:00"/>
    <m/>
    <m/>
    <n v="17150.724000000002"/>
    <n v="1"/>
    <n v="0"/>
    <m/>
    <m/>
    <n v="0"/>
    <m/>
    <m/>
    <m/>
    <m/>
    <m/>
    <m/>
    <m/>
    <m/>
    <m/>
    <m/>
    <m/>
    <m/>
    <m/>
    <m/>
    <m/>
    <m/>
    <m/>
    <m/>
    <n v="17150.724000000002"/>
    <m/>
    <m/>
    <m/>
    <m/>
    <m/>
    <m/>
    <m/>
    <s v=""/>
    <m/>
    <m/>
    <m/>
    <m/>
    <m/>
    <m/>
    <m/>
    <m/>
    <m/>
    <m/>
    <m/>
    <m/>
    <m/>
    <n v="17150.724000000002"/>
    <m/>
    <m/>
    <m/>
  </r>
  <r>
    <m/>
    <x v="1"/>
    <s v="Stephen Abate &lt;Stephen.Abate@asm.com&gt; "/>
    <n v="4900167882"/>
    <n v="1"/>
    <s v="USC23C028"/>
    <s v="F21P1 ASM Interconnection"/>
    <s v="Main Tool Interconnection"/>
    <s v="KDHKS3"/>
    <s v="Pulsar XP4 Interconnect_10FE.2754.03.01"/>
    <m/>
    <n v="1"/>
    <m/>
    <m/>
    <m/>
    <m/>
    <m/>
    <n v="0"/>
    <n v="0"/>
    <m/>
    <d v="2023-01-18T00:00:00"/>
    <m/>
    <m/>
    <n v="0"/>
    <e v="#DIV/0!"/>
    <n v="0"/>
    <m/>
    <m/>
    <e v="#DIV/0!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"/>
    <s v="Stephen Abate &lt;Stephen.Abate@asm.com&gt; "/>
    <n v="4900167883"/>
    <n v="1"/>
    <s v="USC23C028"/>
    <s v="F21P1 ASM Interconnection"/>
    <s v="Main Tool Interconnection"/>
    <s v="KCEPS2"/>
    <s v="Intrepid XP Pre-Clean Interconnect_10FE.2659.03.01"/>
    <m/>
    <n v="1"/>
    <m/>
    <m/>
    <m/>
    <m/>
    <m/>
    <n v="0"/>
    <n v="0"/>
    <m/>
    <d v="2023-01-17T00:00:00"/>
    <m/>
    <m/>
    <n v="0"/>
    <e v="#DIV/0!"/>
    <n v="0"/>
    <m/>
    <m/>
    <e v="#DIV/0!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"/>
    <s v="Stephen Abate &lt;Stephen.Abate@asm.com&gt; "/>
    <n v="4900167884"/>
    <n v="1"/>
    <s v="USC23C028"/>
    <s v="F21P1 ASM Interconnection"/>
    <s v="Main Tool Interconnection"/>
    <s v="KSMGS1"/>
    <s v="Synergis NT Interconnect_10FE.2657.03.01"/>
    <s v="Finished"/>
    <n v="1"/>
    <n v="6742.69"/>
    <n v="9493.14"/>
    <m/>
    <m/>
    <n v="3247.1659999999997"/>
    <n v="19482.995999999999"/>
    <n v="19482.995999999999"/>
    <m/>
    <d v="2023-01-17T00:00:00"/>
    <m/>
    <m/>
    <n v="19482.995999999999"/>
    <n v="1"/>
    <n v="0"/>
    <m/>
    <m/>
    <n v="0"/>
    <m/>
    <m/>
    <m/>
    <m/>
    <m/>
    <m/>
    <m/>
    <m/>
    <m/>
    <m/>
    <m/>
    <m/>
    <m/>
    <m/>
    <m/>
    <m/>
    <m/>
    <m/>
    <n v="19482.995999999999"/>
    <m/>
    <m/>
    <m/>
    <m/>
    <m/>
    <m/>
    <m/>
    <s v=""/>
    <m/>
    <m/>
    <m/>
    <m/>
    <m/>
    <m/>
    <m/>
    <m/>
    <m/>
    <m/>
    <m/>
    <m/>
    <m/>
    <n v="19482.995999999999"/>
    <m/>
    <m/>
    <m/>
  </r>
  <r>
    <m/>
    <x v="1"/>
    <s v="Stephen Abate &lt;Stephen.Abate@asm.com&gt; "/>
    <n v="4900167885"/>
    <n v="1"/>
    <s v="USC23C028"/>
    <s v="F21P1 ASM Interconnection"/>
    <s v="Main Tool Interconnection"/>
    <s v="KCEPS3 "/>
    <s v="Intrepid MX Interconnect_10FE.2632.03.01"/>
    <m/>
    <n v="1"/>
    <n v="723.69"/>
    <n v="25775.999999999982"/>
    <m/>
    <m/>
    <n v="5299.9379999999965"/>
    <n v="31799.627999999975"/>
    <n v="31799.627999999975"/>
    <m/>
    <d v="2023-01-17T00:00:00"/>
    <m/>
    <m/>
    <n v="31799.63"/>
    <n v="1.0000000628938184"/>
    <n v="-2.0000000258733053E-3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n v="31799.63"/>
    <m/>
    <m/>
    <m/>
    <m/>
    <m/>
    <m/>
    <m/>
    <m/>
    <m/>
    <n v="31799.63"/>
    <m/>
    <m/>
    <m/>
  </r>
  <r>
    <m/>
    <x v="1"/>
    <s v="Stephen Abate &lt;Stephen.Abate@asm.com&gt; "/>
    <n v="4900168010"/>
    <n v="1"/>
    <s v="USC23C028"/>
    <s v="F21P1 ASM Interconnection"/>
    <s v="Main Tool Interconnection"/>
    <s v="KCEPS3"/>
    <s v="Intrepid MX Interconnect_10FE.2686.03.01"/>
    <m/>
    <n v="1"/>
    <m/>
    <m/>
    <m/>
    <m/>
    <m/>
    <n v="0"/>
    <n v="0"/>
    <m/>
    <d v="2023-01-18T00:00:00"/>
    <m/>
    <m/>
    <n v="0"/>
    <e v="#DIV/0!"/>
    <n v="0"/>
    <m/>
    <m/>
    <e v="#DIV/0!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"/>
    <s v="Stephen Abate &lt;Stephen.Abate@asm.com&gt; "/>
    <n v="4900168011"/>
    <n v="1"/>
    <s v="USC23C028"/>
    <s v="F21P1 ASM Interconnection"/>
    <s v="Main Tool Interconnection"/>
    <s v="KCTOA1"/>
    <s v="XP8 DCM Interconnect_30FE.3974.03.01"/>
    <m/>
    <n v="1"/>
    <m/>
    <n v="15480.000000000007"/>
    <m/>
    <m/>
    <n v="3096.0000000000018"/>
    <n v="18576.000000000007"/>
    <n v="18576.000000000007"/>
    <m/>
    <d v="2023-01-18T00:00:00"/>
    <m/>
    <m/>
    <n v="18576"/>
    <n v="0.99999999999999956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n v="18576"/>
    <m/>
    <m/>
    <m/>
    <m/>
    <m/>
    <m/>
    <m/>
    <m/>
    <m/>
    <n v="18576"/>
    <m/>
    <m/>
    <m/>
  </r>
  <r>
    <m/>
    <x v="1"/>
    <s v="Stephen Abate &lt;Stephen.Abate@asm.com&gt; "/>
    <n v="4900168012"/>
    <n v="1"/>
    <s v="USC23C028"/>
    <s v="F21P1 ASM Interconnection"/>
    <s v="Main Tool Interconnection"/>
    <s v="KSMGS2"/>
    <s v="Synergis NT Interconnect_10FE.2765.03.01"/>
    <m/>
    <n v="1"/>
    <m/>
    <m/>
    <m/>
    <m/>
    <m/>
    <n v="0"/>
    <n v="0"/>
    <m/>
    <d v="2023-01-18T00:00:00"/>
    <m/>
    <m/>
    <n v="0"/>
    <e v="#DIV/0!"/>
    <n v="0"/>
    <m/>
    <m/>
    <e v="#DIV/0!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"/>
    <s v="Stephen Abate &lt;Stephen.Abate@asm.com&gt; "/>
    <n v="4900168013"/>
    <n v="1"/>
    <s v="USC23C028"/>
    <s v="F21P1 ASM Interconnection"/>
    <s v="Main Tool Interconnection"/>
    <s v="KDALS3"/>
    <s v="Synergis MX Interconnect_10FE.2714.03.01"/>
    <m/>
    <n v="1"/>
    <m/>
    <m/>
    <m/>
    <m/>
    <m/>
    <n v="0"/>
    <n v="0"/>
    <m/>
    <d v="2023-01-18T00:00:00"/>
    <m/>
    <m/>
    <n v="0"/>
    <e v="#DIV/0!"/>
    <n v="0"/>
    <m/>
    <m/>
    <e v="#DIV/0!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"/>
    <s v="Stephen Abate &lt;Stephen.Abate@asm.com&gt; "/>
    <n v="4900168014"/>
    <n v="1"/>
    <s v="USC23C028"/>
    <s v="F21P1 ASM Interconnection"/>
    <s v="Main Tool Interconnection"/>
    <s v="KDALS4"/>
    <s v="Synergis MX Interconnect_10FE.2768.03.01"/>
    <m/>
    <n v="1"/>
    <m/>
    <m/>
    <m/>
    <m/>
    <m/>
    <n v="0"/>
    <n v="0"/>
    <m/>
    <d v="2023-01-18T00:00:00"/>
    <m/>
    <m/>
    <n v="0"/>
    <e v="#DIV/0!"/>
    <n v="0"/>
    <m/>
    <m/>
    <e v="#DIV/0!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"/>
    <s v="Stephen Abate &lt;Stephen.Abate@asm.com&gt; "/>
    <n v="4900168015"/>
    <n v="1"/>
    <s v="USC23C028"/>
    <s v="F21P1 ASM Interconnection"/>
    <s v="Main Tool Interconnection"/>
    <s v="KCSOA6"/>
    <s v="XP8 DCM Install Interconnect_30FE.3893.03.01"/>
    <m/>
    <n v="1"/>
    <m/>
    <n v="18576"/>
    <m/>
    <m/>
    <m/>
    <n v="18576"/>
    <n v="18576"/>
    <m/>
    <d v="2023-01-18T00:00:00"/>
    <m/>
    <m/>
    <n v="18576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n v="18576"/>
    <m/>
    <m/>
    <m/>
    <m/>
    <m/>
    <n v="0"/>
    <m/>
    <m/>
    <m/>
  </r>
  <r>
    <m/>
    <x v="1"/>
    <s v="Stephen Abate &lt;Stephen.Abate@asm.com&gt; "/>
    <n v="4900168023"/>
    <n v="1"/>
    <s v="USC23C028"/>
    <s v="F21P1 ASM Interconnection"/>
    <s v="Main Tool Interconnection"/>
    <s v="KCEPS4"/>
    <s v="Intrepid XP Pre-Clean Interconnect_10FE.2687.03.01"/>
    <m/>
    <n v="1"/>
    <m/>
    <m/>
    <m/>
    <m/>
    <m/>
    <n v="0"/>
    <n v="0"/>
    <m/>
    <d v="2023-01-18T00:00:00"/>
    <m/>
    <m/>
    <n v="0"/>
    <e v="#DIV/0!"/>
    <n v="0"/>
    <m/>
    <m/>
    <e v="#DIV/0!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"/>
    <s v="Stephen Abate &lt;Stephen.Abate@asm.com&gt; "/>
    <n v="4900168024"/>
    <n v="1"/>
    <s v="USC23C028"/>
    <s v="F21P1 ASM Interconnection"/>
    <s v="Main Tool Interconnection"/>
    <s v="KCSOA1"/>
    <s v="XP8 DCM Interconnect_30FE.3894.03.01"/>
    <m/>
    <n v="1"/>
    <m/>
    <n v="15480.000000000007"/>
    <m/>
    <m/>
    <n v="3096.0000000000018"/>
    <n v="18576.000000000007"/>
    <n v="18576.000000000007"/>
    <m/>
    <d v="2023-01-18T00:00:00"/>
    <m/>
    <m/>
    <n v="18576"/>
    <n v="0.99999999999999956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18576"/>
    <m/>
    <m/>
    <m/>
    <m/>
    <m/>
    <m/>
    <m/>
    <m/>
    <m/>
    <m/>
    <m/>
    <n v="18576"/>
    <m/>
    <m/>
    <m/>
  </r>
  <r>
    <m/>
    <x v="1"/>
    <s v="Stephen Abate &lt;Stephen.Abate@asm.com&gt; "/>
    <n v="4900168025"/>
    <n v="1"/>
    <s v="USC23C028"/>
    <s v="F21P1 ASM Interconnection"/>
    <s v="Main Tool Interconnection"/>
    <s v="KCSOA5"/>
    <s v="XP8 DCM Interconnect_30FE.3926.03.01"/>
    <m/>
    <n v="1"/>
    <m/>
    <n v="15480.000000000007"/>
    <m/>
    <m/>
    <n v="3096.0000000000018"/>
    <n v="18576.000000000007"/>
    <n v="18576.000000000007"/>
    <m/>
    <d v="2023-01-18T00:00:00"/>
    <m/>
    <m/>
    <n v="18576"/>
    <n v="0.99999999999999956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n v="18576"/>
    <m/>
    <m/>
    <m/>
    <m/>
    <m/>
    <m/>
    <m/>
    <m/>
    <m/>
    <n v="18576"/>
    <m/>
    <m/>
    <m/>
  </r>
  <r>
    <m/>
    <x v="1"/>
    <s v="Stephen Abate &lt;Stephen.Abate@asm.com&gt; "/>
    <n v="4900168026"/>
    <n v="1"/>
    <s v="USC23C028"/>
    <s v="F21P1 ASM Interconnection"/>
    <s v="Main Tool Interconnection"/>
    <s v="KCSOA3"/>
    <s v="XP8 DCM Interconnect_30FE.3992.03.01"/>
    <m/>
    <n v="1"/>
    <m/>
    <n v="15480.000000000007"/>
    <m/>
    <m/>
    <n v="3096.0000000000018"/>
    <n v="18576.000000000007"/>
    <n v="18576.000000000007"/>
    <m/>
    <d v="2023-01-18T00:00:00"/>
    <m/>
    <m/>
    <n v="18576"/>
    <n v="0.99999999999999956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n v="18576"/>
    <m/>
    <m/>
    <m/>
    <m/>
    <m/>
    <m/>
    <m/>
    <m/>
    <m/>
    <n v="18576"/>
    <m/>
    <m/>
    <m/>
  </r>
  <r>
    <m/>
    <x v="1"/>
    <s v="Stephen Abate &lt;Stephen.Abate@asm.com&gt; "/>
    <n v="4900168027"/>
    <n v="1"/>
    <s v="USC23C028"/>
    <s v="F21P1 ASM Interconnection"/>
    <s v="Main Tool Interconnection"/>
    <s v="KCTOA2"/>
    <s v="XP8 DCM Interconnect_30FE.3993.03.01"/>
    <m/>
    <n v="1"/>
    <m/>
    <n v="15480.000000000007"/>
    <m/>
    <m/>
    <n v="3096.0000000000018"/>
    <n v="18576.000000000007"/>
    <n v="18576.000000000007"/>
    <m/>
    <d v="2023-01-18T00:00:00"/>
    <m/>
    <m/>
    <n v="18576"/>
    <n v="0.99999999999999956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n v="18576"/>
    <m/>
    <m/>
    <m/>
    <m/>
    <m/>
    <n v="0"/>
    <m/>
    <m/>
    <m/>
  </r>
  <r>
    <m/>
    <x v="1"/>
    <s v="Stephen Abate &lt;Stephen.Abate@asm.com&gt; "/>
    <n v="4900168028"/>
    <n v="1"/>
    <s v="USC23C028"/>
    <s v="F21P1 ASM Interconnection"/>
    <s v="Main Tool Interconnection"/>
    <s v="KCSOA7"/>
    <s v="XP8 DCM Interconnect_30FE.4001.03.01"/>
    <m/>
    <n v="1"/>
    <m/>
    <n v="15480.000000000007"/>
    <m/>
    <m/>
    <n v="3096.0000000000018"/>
    <n v="18576.000000000007"/>
    <n v="18576.000000000007"/>
    <m/>
    <d v="2023-01-18T00:00:00"/>
    <m/>
    <m/>
    <n v="0"/>
    <n v="0"/>
    <n v="18576.000000000007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"/>
    <s v="Stephen Abate &lt;Stephen.Abate@asm.com&gt; "/>
    <n v="4900168030"/>
    <n v="1"/>
    <s v="USC23C028"/>
    <s v="F21P1 ASM Interconnection"/>
    <s v="Main Tool Interconnection"/>
    <s v="KCSOA9"/>
    <s v="XP8 DCM Interconnect_30FE.4015.03.01"/>
    <m/>
    <n v="1"/>
    <m/>
    <n v="15480.000000000007"/>
    <m/>
    <m/>
    <n v="3096.0000000000018"/>
    <n v="18576.000000000007"/>
    <n v="18576.000000000007"/>
    <m/>
    <d v="2023-01-18T00:00:00"/>
    <m/>
    <m/>
    <n v="0"/>
    <n v="0"/>
    <n v="18576.000000000007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"/>
    <s v="Stephen Abate &lt;Stephen.Abate@asm.com&gt; "/>
    <n v="4900168031"/>
    <n v="1"/>
    <s v="USC23C028"/>
    <s v="F21P1 ASM Interconnection"/>
    <s v="Main Tool Interconnection"/>
    <s v="KCSOAA"/>
    <s v="XP8 DCM Interconnect_30FE.4039.03.01"/>
    <m/>
    <n v="1"/>
    <m/>
    <n v="15480.000000000007"/>
    <m/>
    <m/>
    <n v="3096.0000000000018"/>
    <n v="18576.000000000007"/>
    <n v="18576.000000000007"/>
    <m/>
    <d v="2023-01-18T00:00:00"/>
    <m/>
    <m/>
    <n v="0"/>
    <n v="0"/>
    <n v="18576.000000000007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"/>
    <s v="Stephen Abate &lt;Stephen.Abate@asm.com&gt; "/>
    <n v="4900168034"/>
    <n v="1"/>
    <s v="USC23C028"/>
    <s v="F21P1 ASM Interconnection"/>
    <s v="Main Tool Interconnection"/>
    <s v="KCSOA8"/>
    <s v="XP8 DCM Interconnect_30FE.4052.03.01"/>
    <m/>
    <n v="1"/>
    <m/>
    <n v="15480.000000000007"/>
    <m/>
    <m/>
    <n v="3096.0000000000018"/>
    <n v="18576.000000000007"/>
    <n v="18576.000000000007"/>
    <m/>
    <d v="2023-01-18T00:00:00"/>
    <m/>
    <m/>
    <n v="0"/>
    <n v="0"/>
    <n v="18576.000000000007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"/>
    <s v="Stephen Abate &lt;Stephen.Abate@asm.com&gt; "/>
    <n v="4900168036"/>
    <n v="1"/>
    <s v="USC23C028"/>
    <s v="F21P1 ASM Interconnection"/>
    <s v="Main Tool Interconnection"/>
    <s v="KCTOA3"/>
    <s v="XP8 DCM Interconnect_30FE.4055.03.01"/>
    <m/>
    <n v="1"/>
    <m/>
    <n v="15480.000000000007"/>
    <m/>
    <m/>
    <n v="3096.0000000000018"/>
    <n v="18576.000000000007"/>
    <n v="18576.000000000007"/>
    <m/>
    <d v="2023-01-18T00:00:00"/>
    <m/>
    <m/>
    <n v="0"/>
    <n v="0"/>
    <n v="18576.000000000007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"/>
    <s v="Stephen Abate &lt;Stephen.Abate@asm.com&gt; "/>
    <n v="4900168038"/>
    <n v="1"/>
    <s v="USC23C028"/>
    <s v="F21P1 ASM Interconnection"/>
    <s v="Main Tool Interconnection"/>
    <s v="KCTOA4"/>
    <s v="XP8 DCM Interconnect_30FE.4056.03.01"/>
    <m/>
    <n v="1"/>
    <m/>
    <n v="15480.000000000007"/>
    <m/>
    <m/>
    <n v="3096.0000000000018"/>
    <n v="18576.000000000007"/>
    <n v="18576.000000000007"/>
    <m/>
    <d v="2023-01-18T00:00:00"/>
    <m/>
    <m/>
    <n v="0"/>
    <n v="0"/>
    <n v="18576.000000000007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"/>
    <s v="Stephen Abate &lt;Stephen.Abate@asm.com&gt; "/>
    <n v="4900168040"/>
    <n v="1"/>
    <s v="USC23C028"/>
    <s v="F21P1 ASM Interconnection"/>
    <s v="Main Tool Interconnection"/>
    <s v="KCSNA2"/>
    <s v="XP8 QCM Interconnect_30FE.3947.03.01"/>
    <m/>
    <n v="1"/>
    <m/>
    <n v="18229.500000000004"/>
    <m/>
    <m/>
    <n v="3645.900000000001"/>
    <n v="21875.400000000005"/>
    <n v="21875.400000000005"/>
    <m/>
    <d v="2023-01-18T00:00:00"/>
    <m/>
    <m/>
    <n v="0"/>
    <n v="0"/>
    <n v="21875.400000000005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"/>
    <s v="Stephen Abate &lt;Stephen.Abate@asm.com&gt; "/>
    <n v="4900168138"/>
    <n v="1"/>
    <s v="USC23C028"/>
    <s v="F21P1 ASM Interconnection"/>
    <s v="Main Tool Interconnection"/>
    <s v="KSMGS3"/>
    <s v="Synergis NT Interconnect_10FE.2776.03.01"/>
    <m/>
    <n v="1"/>
    <m/>
    <m/>
    <m/>
    <m/>
    <m/>
    <n v="0"/>
    <n v="0"/>
    <m/>
    <d v="2023-01-19T00:00:00"/>
    <m/>
    <m/>
    <n v="0"/>
    <e v="#DIV/0!"/>
    <n v="0"/>
    <m/>
    <m/>
    <e v="#DIV/0!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"/>
    <s v="Stephen Abate &lt;Stephen.Abate@asm.com&gt; "/>
    <n v="4900168139"/>
    <n v="1"/>
    <s v="USC23C028"/>
    <s v="F21P1 ASM Interconnection"/>
    <s v="Main Tool Interconnection"/>
    <s v="KCSNA4"/>
    <s v="XP8 QCM Interconnect_30FE.4016.03.01"/>
    <m/>
    <n v="1"/>
    <m/>
    <n v="18229.500000000004"/>
    <m/>
    <m/>
    <n v="3645.900000000001"/>
    <n v="21875.400000000005"/>
    <n v="21875.400000000005"/>
    <m/>
    <d v="2023-01-19T00:00:00"/>
    <m/>
    <m/>
    <n v="0"/>
    <n v="0"/>
    <n v="21875.400000000005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"/>
    <s v="Stephen Abate &lt;Stephen.Abate@asm.com&gt; "/>
    <n v="4900168141"/>
    <n v="1"/>
    <s v="USC23C028"/>
    <s v="F21P1 ASM Interconnection"/>
    <s v="Main Tool Interconnection"/>
    <s v="KCSNA3"/>
    <s v="XP8 QCM Interconnect_30FE.4038.03.01"/>
    <m/>
    <n v="1"/>
    <m/>
    <n v="18229.500000000004"/>
    <m/>
    <m/>
    <n v="3645.5000000000009"/>
    <n v="21875.000000000004"/>
    <n v="21875.000000000004"/>
    <m/>
    <d v="2023-01-19T00:00:00"/>
    <m/>
    <m/>
    <n v="0"/>
    <n v="0"/>
    <n v="21875.000000000004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"/>
    <s v="Stephen Abate &lt;Stephen.Abate@asm.com&gt; "/>
    <n v="4900168142"/>
    <n v="1"/>
    <s v="USC23C028"/>
    <s v="F21P1 ASM Interconnection"/>
    <s v="Main Tool Interconnection"/>
    <s v="KDHKS2"/>
    <s v="Eagle XP4 (Pulsar 3000_AXIS*4)_10FE.2694.03.01"/>
    <m/>
    <n v="1"/>
    <m/>
    <m/>
    <m/>
    <m/>
    <m/>
    <n v="0"/>
    <n v="0"/>
    <m/>
    <d v="2023-01-19T00:00:00"/>
    <m/>
    <m/>
    <n v="0"/>
    <e v="#DIV/0!"/>
    <n v="0"/>
    <m/>
    <m/>
    <e v="#DIV/0!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"/>
    <s v="Stephen Abate &lt;Stephen.Abate@asm.com&gt; "/>
    <n v="4900168143"/>
    <n v="1"/>
    <s v="USC23C028"/>
    <s v="F21P1 ASM Interconnection"/>
    <s v="Main Tool Interconnection"/>
    <s v="KDHKS1"/>
    <s v="Eagle XP4 (Pulsar 3000_AXIS*4)_10FE.2695.03.01"/>
    <m/>
    <n v="1"/>
    <m/>
    <m/>
    <m/>
    <m/>
    <m/>
    <n v="0"/>
    <n v="0"/>
    <m/>
    <d v="2023-01-19T00:00:00"/>
    <m/>
    <m/>
    <n v="0"/>
    <e v="#DIV/0!"/>
    <n v="0"/>
    <m/>
    <m/>
    <e v="#DIV/0!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"/>
    <s v="Stephen Abate &lt;Stephen.Abate@asm.com&gt; "/>
    <n v="4900168144"/>
    <n v="1"/>
    <s v="USC23C028"/>
    <s v="F21P1 ASM Interconnection"/>
    <s v="Main Tool Interconnection"/>
    <s v="KDHKS4"/>
    <s v="Eagle XP4 (Pulsar 3000_AXIS*4)_10FE.2696.03.01"/>
    <m/>
    <n v="1"/>
    <m/>
    <m/>
    <m/>
    <m/>
    <m/>
    <n v="0"/>
    <n v="0"/>
    <m/>
    <d v="2023-01-19T00:00:00"/>
    <m/>
    <m/>
    <n v="0"/>
    <e v="#DIV/0!"/>
    <n v="0"/>
    <m/>
    <m/>
    <e v="#DIV/0!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"/>
    <s v="Stephen Abate &lt;Stephen.Abate@asm.com&gt; "/>
    <n v="4900168145"/>
    <n v="1"/>
    <s v="USC23C028"/>
    <s v="F21P1 ASM Interconnection"/>
    <s v="Main Tool Interconnection"/>
    <s v="KDHKS6"/>
    <s v="Eagle XP4 (Pulsar 3000_AXIS*4)_10FE.2782.03.01"/>
    <m/>
    <n v="1"/>
    <m/>
    <m/>
    <m/>
    <m/>
    <m/>
    <n v="0"/>
    <n v="0"/>
    <m/>
    <d v="2023-01-19T00:00:00"/>
    <m/>
    <m/>
    <n v="0"/>
    <e v="#DIV/0!"/>
    <n v="0"/>
    <m/>
    <m/>
    <e v="#DIV/0!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"/>
    <s v="Stephen Abate &lt;Stephen.Abate@asm.com&gt; "/>
    <n v="4900168146"/>
    <n v="1"/>
    <s v="USC23C028"/>
    <s v="F21P1 ASM Interconnection"/>
    <s v="Main Tool Interconnection"/>
    <s v="KDHKS5"/>
    <s v="Eagle XP4 (Pulsar 3000_AXIS*4)_10FE.2783.03.01"/>
    <m/>
    <n v="1"/>
    <m/>
    <m/>
    <m/>
    <m/>
    <m/>
    <n v="0"/>
    <n v="0"/>
    <m/>
    <d v="2023-01-19T00:00:00"/>
    <m/>
    <m/>
    <n v="0"/>
    <e v="#DIV/0!"/>
    <n v="0"/>
    <m/>
    <m/>
    <e v="#DIV/0!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"/>
    <s v="Stephen Abate &lt;Stephen.Abate@asm.com&gt; "/>
    <n v="4900168147"/>
    <n v="1"/>
    <s v="USC23C028"/>
    <s v="F21P1 ASM Interconnection"/>
    <s v="Main Tool Interconnection"/>
    <s v="KDHKS7"/>
    <s v="Eagle XP4 (Pulsar 3000_AXIS*4)_10FE.2859.03.01"/>
    <m/>
    <n v="1"/>
    <m/>
    <m/>
    <m/>
    <m/>
    <m/>
    <n v="0"/>
    <n v="0"/>
    <m/>
    <d v="2023-01-19T00:00:00"/>
    <m/>
    <m/>
    <n v="0"/>
    <e v="#DIV/0!"/>
    <n v="0"/>
    <m/>
    <m/>
    <e v="#DIV/0!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s v="Travis"/>
    <x v="2"/>
    <m/>
    <n v="2310543888"/>
    <n v="1"/>
    <s v="USC23C017"/>
    <s v="F21P1 ASML Interconnection"/>
    <s v="Main Tool Interconnection"/>
    <s v="KKSS01"/>
    <s v="ASML-HMI Tool Interconnection "/>
    <m/>
    <n v="1"/>
    <m/>
    <n v="4786.5599999999995"/>
    <m/>
    <m/>
    <m/>
    <n v="4786.5599999999995"/>
    <n v="4786.5599999999995"/>
    <m/>
    <m/>
    <m/>
    <m/>
    <n v="4786.5599999999995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n v="4786.5599999999995"/>
    <m/>
    <m/>
    <m/>
    <m/>
    <m/>
    <m/>
    <m/>
    <m/>
    <m/>
    <n v="4786.5599999999995"/>
    <m/>
    <m/>
    <m/>
  </r>
  <r>
    <s v="Travis"/>
    <x v="2"/>
    <m/>
    <n v="2310543888"/>
    <n v="2"/>
    <s v="USC23C017"/>
    <s v="F21P1 ASML Interconnection"/>
    <s v="Main Tool Interconnection"/>
    <s v="KKSS02"/>
    <s v="ASML-HMI Tool Interconnection "/>
    <m/>
    <n v="1"/>
    <m/>
    <n v="4786.5599999999995"/>
    <m/>
    <m/>
    <m/>
    <n v="4786.5599999999995"/>
    <n v="4786.5599999999995"/>
    <m/>
    <m/>
    <m/>
    <m/>
    <n v="4786.5599999999995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n v="4786.5599999999995"/>
    <m/>
    <m/>
    <m/>
    <m/>
    <m/>
    <m/>
    <m/>
    <m/>
    <m/>
    <n v="4786.5599999999995"/>
    <m/>
    <m/>
    <m/>
  </r>
  <r>
    <s v="Travis Hand"/>
    <x v="2"/>
    <s v="Johnson Tseng &lt;johnson.tseng@asml.com&gt;"/>
    <s v="2310468048_001"/>
    <n v="1"/>
    <s v="USC23C017"/>
    <s v="F21P1 ASML Interconnection"/>
    <s v="Main Tool Interconnection"/>
    <m/>
    <s v="ASML-HMI Tool Interconnection "/>
    <m/>
    <n v="1"/>
    <m/>
    <n v="4786.5600000000004"/>
    <m/>
    <m/>
    <m/>
    <n v="4786.5600000000004"/>
    <n v="4786.5600000000004"/>
    <m/>
    <s v="2/1/2023"/>
    <m/>
    <s v="Payment due in 30 days"/>
    <n v="0"/>
    <n v="0"/>
    <n v="4786.56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</r>
  <r>
    <s v="Travis Hand"/>
    <x v="2"/>
    <s v="Johnson Tseng &lt;johnson.tseng@asml.com&gt;"/>
    <s v="2310468048_002"/>
    <n v="2"/>
    <s v="USC23C017"/>
    <s v="F21P1 ASML Interconnection"/>
    <s v="Main Tool Interconnection"/>
    <m/>
    <s v="ASML-HMI Tool Interconnection "/>
    <m/>
    <n v="1"/>
    <m/>
    <n v="4786.5600000000004"/>
    <m/>
    <m/>
    <m/>
    <n v="4786.5600000000004"/>
    <n v="4786.5600000000004"/>
    <m/>
    <s v="2/1/2023"/>
    <m/>
    <s v="Payment due in 30 days"/>
    <n v="0"/>
    <n v="0"/>
    <n v="4786.56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</r>
  <r>
    <m/>
    <x v="3"/>
    <m/>
    <n v="2919921"/>
    <n v="1"/>
    <s v="USC23C046"/>
    <m/>
    <s v="Main Tool Interconnection"/>
    <m/>
    <s v="CHILLER HOSE PIPING"/>
    <m/>
    <n v="1"/>
    <m/>
    <n v="1039907.48"/>
    <m/>
    <m/>
    <m/>
    <n v="501072"/>
    <n v="501072"/>
    <m/>
    <d v="2023-05-17T00:00:00"/>
    <m/>
    <s v="Net 45"/>
    <n v="250536"/>
    <n v="0.5"/>
    <n v="250536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n v="250536"/>
    <m/>
    <m/>
    <m/>
    <m/>
    <m/>
    <m/>
    <m/>
    <n v="0"/>
    <m/>
    <m/>
    <m/>
  </r>
  <r>
    <s v="Alex Yu"/>
    <x v="4"/>
    <s v="tony.oh@clean.co.jp"/>
    <n v="16865"/>
    <n v="1"/>
    <s v="USC23C060"/>
    <m/>
    <s v="Main Tool Interconnection"/>
    <m/>
    <s v="CT Local Scrubber Interconnection"/>
    <m/>
    <n v="1"/>
    <m/>
    <n v="85459"/>
    <m/>
    <m/>
    <m/>
    <n v="85459"/>
    <n v="85459"/>
    <m/>
    <d v="2023-08-01T00:00:00"/>
    <m/>
    <s v="Materials: 40% by PO issued to subcontractor, 60% upon confirmed delivery to MICU Warehouse"/>
    <n v="8545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n v="85459"/>
    <m/>
    <m/>
    <m/>
    <m/>
    <m/>
    <m/>
    <m/>
    <m/>
    <m/>
    <m/>
    <m/>
    <n v="85459"/>
    <m/>
    <m/>
    <m/>
  </r>
  <r>
    <s v="Travis Hand"/>
    <x v="4"/>
    <s v="tony.oh@clean.co.jp"/>
    <s v="1MUQOC2404040_01"/>
    <m/>
    <s v="USC23C060"/>
    <m/>
    <s v="Main Tool Interconnection"/>
    <m/>
    <s v="CT Local Scrubber Interconnection for 15 cables"/>
    <m/>
    <n v="1"/>
    <m/>
    <n v="59478"/>
    <m/>
    <m/>
    <m/>
    <n v="59478"/>
    <n v="59478"/>
    <m/>
    <s v="4/25/2024"/>
    <m/>
    <s v=" Materials: 40% by PO issued to subcontractor, 60% upon confirmed delivery to MICU Warehouse_x000a_Labor: 40% by PO issued to subcontractor, 60% by completion of each tool. "/>
    <n v="59478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78"/>
    <m/>
    <m/>
    <m/>
    <m/>
    <m/>
    <m/>
    <m/>
    <m/>
    <m/>
    <m/>
    <m/>
    <n v="59478"/>
    <m/>
    <m/>
    <m/>
  </r>
  <r>
    <m/>
    <x v="5"/>
    <m/>
    <s v="S1056770"/>
    <n v="1"/>
    <s v="USC23C033"/>
    <m/>
    <s v="Main Tool Interconnection"/>
    <m/>
    <s v="TOOL INTERCONNECTION AND TOOL HOOKUP CM PROJECT"/>
    <m/>
    <n v="1000"/>
    <m/>
    <n v="355"/>
    <m/>
    <m/>
    <m/>
    <n v="355"/>
    <n v="355000"/>
    <m/>
    <m/>
    <m/>
    <m/>
    <n v="37985"/>
    <n v="0.107"/>
    <n v="317015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n v="22720"/>
    <m/>
    <m/>
    <m/>
    <n v="15265"/>
    <m/>
    <m/>
    <m/>
    <n v="111115"/>
    <m/>
    <n v="22720"/>
    <m/>
    <m/>
    <m/>
  </r>
  <r>
    <m/>
    <x v="6"/>
    <m/>
    <n v="7018590319"/>
    <n v="1"/>
    <s v="USC23C033"/>
    <m/>
    <s v="Main Tool Interconnection"/>
    <m/>
    <s v="Cables- Power and Signal"/>
    <m/>
    <n v="1"/>
    <m/>
    <n v="180504"/>
    <m/>
    <m/>
    <m/>
    <n v="180504"/>
    <n v="180504"/>
    <m/>
    <m/>
    <m/>
    <m/>
    <n v="0"/>
    <n v="0"/>
    <n v="180504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7"/>
    <m/>
    <s v="GPO/M00001/08/23"/>
    <n v="1"/>
    <m/>
    <m/>
    <s v="Main Tool Interconnection"/>
    <m/>
    <s v="G2 Technology Corp Interconnection"/>
    <m/>
    <n v="1"/>
    <m/>
    <m/>
    <m/>
    <m/>
    <m/>
    <n v="0"/>
    <n v="0"/>
    <m/>
    <m/>
    <m/>
    <s v="40% by PO issued to subcontractor, 60% by completion of each tool. Net 30 days"/>
    <n v="0"/>
    <e v="#DIV/0!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8"/>
    <m/>
    <n v="4600000721"/>
    <n v="2"/>
    <s v="USC23C019"/>
    <s v="F21P1 Hitach Interconnection"/>
    <s v="Main Tool Interconnection"/>
    <s v="KEPCH2"/>
    <s v="J-9012NX#2"/>
    <m/>
    <n v="1"/>
    <m/>
    <n v="36547.199999999997"/>
    <m/>
    <m/>
    <n v="7309.44"/>
    <n v="43856.639999999999"/>
    <n v="43856.639999999999"/>
    <m/>
    <m/>
    <m/>
    <m/>
    <n v="43856.644"/>
    <n v="1.0000000912062574"/>
    <n v="-4.0000000008149073E-3"/>
    <n v="0.3"/>
    <n v="0.1"/>
    <n v="0.1"/>
    <n v="4385.6639999999998"/>
    <m/>
    <m/>
    <m/>
    <m/>
    <m/>
    <m/>
    <m/>
    <m/>
    <m/>
    <m/>
    <m/>
    <m/>
    <m/>
    <m/>
    <m/>
    <m/>
    <m/>
    <m/>
    <m/>
    <m/>
    <m/>
    <m/>
    <m/>
    <m/>
    <m/>
    <s v=""/>
    <m/>
    <n v="39470.980000000003"/>
    <m/>
    <m/>
    <m/>
    <m/>
    <m/>
    <m/>
    <m/>
    <m/>
    <m/>
    <m/>
    <m/>
    <n v="43856.644"/>
    <m/>
    <m/>
    <n v="43856.644"/>
  </r>
  <r>
    <m/>
    <x v="8"/>
    <m/>
    <n v="4600000721"/>
    <n v="1"/>
    <s v="USC23C019"/>
    <s v="F21P1 Hitach Interconnection"/>
    <s v="Main Tool Interconnection"/>
    <s v="KEPCH1"/>
    <s v="J-9012NX#1"/>
    <m/>
    <n v="1"/>
    <m/>
    <n v="36547.199999999997"/>
    <m/>
    <m/>
    <n v="7309.44"/>
    <n v="43856.639999999999"/>
    <n v="43856.639999999999"/>
    <m/>
    <m/>
    <m/>
    <m/>
    <n v="43856.639999999999"/>
    <n v="1"/>
    <n v="0"/>
    <n v="0.3"/>
    <n v="0.1"/>
    <n v="0.1"/>
    <n v="4385.6639999999998"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n v="39470.976000000002"/>
    <m/>
    <m/>
    <m/>
    <m/>
    <m/>
    <m/>
    <m/>
    <n v="4385.6639999999998"/>
    <m/>
    <m/>
    <n v="4385.6639999999998"/>
  </r>
  <r>
    <m/>
    <x v="8"/>
    <m/>
    <n v="4600000721"/>
    <n v="4"/>
    <s v="USC23C019"/>
    <s v="F21P1 Hitach Interconnection"/>
    <s v="Main Tool Interconnection"/>
    <s v="KEMGH2"/>
    <s v="J-9011NX#2"/>
    <m/>
    <n v="1"/>
    <m/>
    <n v="36702.720000000001"/>
    <m/>
    <m/>
    <n v="7340.55"/>
    <n v="44043.270000000004"/>
    <n v="44043.270000000004"/>
    <m/>
    <m/>
    <m/>
    <m/>
    <n v="44043.2664"/>
    <n v="0.99999991826219981"/>
    <n v="3.6000000036437996E-3"/>
    <n v="0.3"/>
    <n v="0.1"/>
    <n v="0.1"/>
    <n v="4404.3264000000008"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n v="39638.94"/>
    <m/>
    <m/>
    <m/>
    <m/>
    <m/>
    <m/>
    <m/>
    <n v="4404.3264000000008"/>
    <m/>
    <m/>
    <n v="4404.3264000000008"/>
  </r>
  <r>
    <m/>
    <x v="8"/>
    <m/>
    <n v="4600000721"/>
    <n v="3"/>
    <s v="USC23C019"/>
    <s v="F21P1 Hitach Interconnection"/>
    <s v="Main Tool Interconnection"/>
    <s v="KEMGH1"/>
    <s v="J-9011NX#1"/>
    <m/>
    <n v="1"/>
    <m/>
    <n v="36702.720000000001"/>
    <m/>
    <m/>
    <n v="7340.55"/>
    <n v="44043.270000000004"/>
    <n v="44043.270000000004"/>
    <m/>
    <m/>
    <m/>
    <m/>
    <n v="44043.2664"/>
    <n v="0.99999991826219981"/>
    <n v="3.6000000036437996E-3"/>
    <n v="0.3"/>
    <n v="0.1"/>
    <n v="0.1"/>
    <n v="4404.3264000000008"/>
    <m/>
    <m/>
    <m/>
    <m/>
    <m/>
    <m/>
    <m/>
    <m/>
    <m/>
    <m/>
    <m/>
    <m/>
    <m/>
    <m/>
    <m/>
    <m/>
    <m/>
    <m/>
    <m/>
    <m/>
    <m/>
    <m/>
    <m/>
    <m/>
    <m/>
    <s v=""/>
    <m/>
    <n v="39638.94"/>
    <m/>
    <m/>
    <m/>
    <m/>
    <m/>
    <m/>
    <m/>
    <m/>
    <m/>
    <m/>
    <m/>
    <n v="44043.2664"/>
    <m/>
    <m/>
    <n v="44043.2664"/>
  </r>
  <r>
    <m/>
    <x v="8"/>
    <m/>
    <n v="4600000757"/>
    <n v="1"/>
    <s v="USC23C019"/>
    <s v="F21P1 Hitach Interconnection"/>
    <s v="Main Tool Interconnection"/>
    <s v="KPCD26"/>
    <s v="TSMC CG-4100 F21-P0124"/>
    <m/>
    <n v="1"/>
    <n v="909.10999999999967"/>
    <n v="4253.58"/>
    <m/>
    <m/>
    <n v="1032.538"/>
    <n v="6195.2279999999992"/>
    <n v="6195.2279999999992"/>
    <m/>
    <m/>
    <m/>
    <m/>
    <n v="6195.2292000000007"/>
    <n v="1.0000001936974718"/>
    <n v="-1.2000000015177648E-3"/>
    <n v="0.3"/>
    <n v="0.1"/>
    <n v="0.1352184616934195"/>
    <n v="837.7091999999999"/>
    <m/>
    <m/>
    <m/>
    <m/>
    <m/>
    <m/>
    <m/>
    <m/>
    <m/>
    <m/>
    <m/>
    <m/>
    <m/>
    <m/>
    <m/>
    <m/>
    <m/>
    <m/>
    <m/>
    <m/>
    <m/>
    <m/>
    <m/>
    <m/>
    <m/>
    <s v=""/>
    <m/>
    <m/>
    <m/>
    <n v="5357.52"/>
    <m/>
    <m/>
    <m/>
    <m/>
    <m/>
    <m/>
    <m/>
    <m/>
    <m/>
    <n v="6195.2292000000007"/>
    <m/>
    <m/>
    <n v="6195.2292000000007"/>
  </r>
  <r>
    <m/>
    <x v="8"/>
    <m/>
    <n v="4600000757"/>
    <n v="2"/>
    <s v="USC23C019"/>
    <s v="F21P1 Hitach Interconnection"/>
    <s v="Main Tool Interconnection"/>
    <s v="KPCD04"/>
    <s v="TSMC CG-5000 F21-P0092"/>
    <m/>
    <n v="1"/>
    <n v="909.10999999999967"/>
    <n v="4253.58"/>
    <m/>
    <m/>
    <n v="1032.538"/>
    <n v="6195.2279999999992"/>
    <n v="6195.2279999999992"/>
    <m/>
    <m/>
    <m/>
    <m/>
    <n v="6195.2292000000007"/>
    <n v="1.0000001936974718"/>
    <n v="-1.2000000015177648E-3"/>
    <n v="0.3"/>
    <n v="0.1"/>
    <n v="0.1352184616934195"/>
    <n v="837.7091999999999"/>
    <m/>
    <m/>
    <m/>
    <m/>
    <m/>
    <m/>
    <m/>
    <m/>
    <m/>
    <m/>
    <m/>
    <m/>
    <m/>
    <m/>
    <m/>
    <m/>
    <m/>
    <m/>
    <m/>
    <m/>
    <m/>
    <m/>
    <m/>
    <m/>
    <m/>
    <s v=""/>
    <m/>
    <m/>
    <m/>
    <n v="5357.52"/>
    <m/>
    <m/>
    <m/>
    <m/>
    <m/>
    <m/>
    <m/>
    <m/>
    <m/>
    <n v="6195.2292000000007"/>
    <m/>
    <m/>
    <n v="6195.2292000000007"/>
  </r>
  <r>
    <m/>
    <x v="8"/>
    <m/>
    <n v="4600000757"/>
    <n v="3"/>
    <s v="USC23C019"/>
    <s v="F21P1 Hitach Interconnection"/>
    <s v="Main Tool Interconnection"/>
    <s v="KPCD05"/>
    <s v="TSMC CG-5000 F21-P0093"/>
    <m/>
    <n v="1"/>
    <n v="909.10999999999967"/>
    <n v="4253.58"/>
    <m/>
    <m/>
    <n v="1032.538"/>
    <n v="6195.2279999999992"/>
    <n v="6195.2279999999992"/>
    <m/>
    <m/>
    <m/>
    <m/>
    <n v="6195.2292000000007"/>
    <n v="1.0000001936974718"/>
    <n v="-1.2000000015177648E-3"/>
    <n v="0.3"/>
    <n v="0.1"/>
    <n v="0.1352184616934195"/>
    <n v="837.7091999999999"/>
    <m/>
    <m/>
    <m/>
    <m/>
    <m/>
    <m/>
    <m/>
    <m/>
    <m/>
    <m/>
    <m/>
    <m/>
    <m/>
    <m/>
    <m/>
    <m/>
    <m/>
    <m/>
    <m/>
    <m/>
    <m/>
    <m/>
    <m/>
    <m/>
    <m/>
    <s v=""/>
    <m/>
    <m/>
    <m/>
    <n v="5357.52"/>
    <m/>
    <m/>
    <m/>
    <m/>
    <m/>
    <m/>
    <m/>
    <m/>
    <m/>
    <n v="6195.2292000000007"/>
    <m/>
    <m/>
    <n v="6195.2292000000007"/>
  </r>
  <r>
    <m/>
    <x v="8"/>
    <m/>
    <n v="4600000757"/>
    <n v="4"/>
    <s v="USC23C019"/>
    <s v="F21P1 Hitach Interconnection"/>
    <s v="Main Tool Interconnection"/>
    <s v="KPCD02"/>
    <s v="TSMC CG-5000 F21-P0100"/>
    <m/>
    <n v="1"/>
    <n v="909.10999999999967"/>
    <n v="4253.58"/>
    <m/>
    <m/>
    <n v="1032.538"/>
    <n v="6195.2279999999992"/>
    <n v="6195.2279999999992"/>
    <m/>
    <m/>
    <m/>
    <m/>
    <n v="6195.2292000000007"/>
    <n v="1.0000001936974718"/>
    <n v="-1.2000000015177648E-3"/>
    <n v="0.3"/>
    <n v="0.1"/>
    <n v="0.1352184616934195"/>
    <n v="837.7091999999999"/>
    <m/>
    <m/>
    <m/>
    <m/>
    <m/>
    <m/>
    <m/>
    <m/>
    <m/>
    <m/>
    <m/>
    <m/>
    <m/>
    <m/>
    <m/>
    <m/>
    <m/>
    <m/>
    <m/>
    <m/>
    <m/>
    <m/>
    <m/>
    <m/>
    <m/>
    <s v=""/>
    <m/>
    <m/>
    <m/>
    <n v="5357.52"/>
    <m/>
    <m/>
    <m/>
    <m/>
    <m/>
    <m/>
    <m/>
    <m/>
    <m/>
    <n v="6195.2292000000007"/>
    <m/>
    <m/>
    <n v="6195.2292000000007"/>
  </r>
  <r>
    <m/>
    <x v="8"/>
    <m/>
    <n v="4600000757"/>
    <n v="5"/>
    <s v="USC23C019"/>
    <s v="F21P1 Hitach Interconnection"/>
    <s v="Main Tool Interconnection"/>
    <s v="KPCD03"/>
    <s v="TSMC CG-5000 F21-P0101"/>
    <m/>
    <n v="1"/>
    <n v="909.10999999999967"/>
    <n v="4253.58"/>
    <m/>
    <m/>
    <n v="1032.538"/>
    <n v="6195.2279999999992"/>
    <n v="6195.2279999999992"/>
    <m/>
    <m/>
    <m/>
    <m/>
    <n v="6195.2292000000007"/>
    <n v="1.0000001936974718"/>
    <n v="-1.2000000015177648E-3"/>
    <n v="0.3"/>
    <n v="0.1"/>
    <n v="0.1352184616934195"/>
    <n v="837.7091999999999"/>
    <m/>
    <m/>
    <m/>
    <m/>
    <m/>
    <m/>
    <m/>
    <m/>
    <m/>
    <m/>
    <m/>
    <m/>
    <m/>
    <m/>
    <m/>
    <m/>
    <m/>
    <m/>
    <m/>
    <m/>
    <m/>
    <m/>
    <m/>
    <m/>
    <m/>
    <s v=""/>
    <m/>
    <m/>
    <m/>
    <n v="5357.52"/>
    <m/>
    <m/>
    <m/>
    <m/>
    <m/>
    <m/>
    <m/>
    <m/>
    <m/>
    <n v="6195.2292000000007"/>
    <m/>
    <m/>
    <n v="6195.2292000000007"/>
  </r>
  <r>
    <m/>
    <x v="8"/>
    <m/>
    <n v="4600000757"/>
    <n v="6"/>
    <s v="USC23C019"/>
    <s v="F21P1 Hitach Interconnection"/>
    <s v="Main Tool Interconnection"/>
    <s v="KPCD24"/>
    <s v="TSMC CG-5000 F21-P0102"/>
    <m/>
    <n v="1"/>
    <n v="909.10999999999967"/>
    <n v="4253.58"/>
    <m/>
    <m/>
    <n v="1032.538"/>
    <n v="6195.2279999999992"/>
    <n v="6195.2279999999992"/>
    <m/>
    <m/>
    <m/>
    <m/>
    <n v="837.7091999999999"/>
    <n v="0.13521846169341953"/>
    <n v="5357.5187999999989"/>
    <n v="0.3"/>
    <n v="0.1"/>
    <n v="0.1352184616934195"/>
    <n v="837.7091999999999"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837.7091999999999"/>
    <m/>
    <m/>
    <n v="837.7091999999999"/>
  </r>
  <r>
    <m/>
    <x v="8"/>
    <m/>
    <n v="4600000810"/>
    <n v="15"/>
    <s v="USC23C019"/>
    <s v="F21P1 Hitach Interconnection"/>
    <s v="Main Tool Interconnection"/>
    <s v="KPCD01"/>
    <s v="TSMC CG-7300 F21-P0118"/>
    <m/>
    <n v="1"/>
    <n v="2638.5730359712243"/>
    <n v="7623.1800000000021"/>
    <m/>
    <m/>
    <n v="2052.3506071942452"/>
    <n v="12314.10364316547"/>
    <n v="12314.10364316547"/>
    <m/>
    <m/>
    <m/>
    <m/>
    <n v="12314.097892949641"/>
    <n v="0.99999953303821409"/>
    <n v="5.7502158288116334E-3"/>
    <n v="0.3"/>
    <n v="0.1"/>
    <n v="0.15142538563775709"/>
    <n v="1864.6678929496411"/>
    <m/>
    <m/>
    <m/>
    <m/>
    <m/>
    <m/>
    <m/>
    <m/>
    <m/>
    <m/>
    <m/>
    <m/>
    <m/>
    <m/>
    <m/>
    <m/>
    <m/>
    <m/>
    <m/>
    <m/>
    <m/>
    <m/>
    <m/>
    <m/>
    <m/>
    <s v=""/>
    <m/>
    <m/>
    <m/>
    <n v="10449.43"/>
    <m/>
    <m/>
    <m/>
    <m/>
    <m/>
    <m/>
    <m/>
    <m/>
    <m/>
    <n v="12314.097892949641"/>
    <m/>
    <m/>
    <n v="12314.097892949641"/>
  </r>
  <r>
    <m/>
    <x v="8"/>
    <m/>
    <n v="4600000810"/>
    <n v="7"/>
    <s v="USC23C019"/>
    <s v="F21P1 Hitach Interconnection"/>
    <s v="Main Tool Interconnection"/>
    <s v="KPCD06"/>
    <s v="TSMC CG-6300 F21-P0106"/>
    <m/>
    <n v="1"/>
    <m/>
    <n v="9588.7800000000007"/>
    <m/>
    <m/>
    <n v="1917.7560000000003"/>
    <n v="11506.536"/>
    <n v="11506.536"/>
    <m/>
    <m/>
    <m/>
    <m/>
    <n v="11506.543599999999"/>
    <n v="1.0000006604941747"/>
    <n v="-7.5999999990017386E-3"/>
    <n v="0.3"/>
    <n v="0.1"/>
    <n v="0.1"/>
    <n v="1150.6536000000001"/>
    <m/>
    <m/>
    <m/>
    <m/>
    <m/>
    <m/>
    <m/>
    <m/>
    <m/>
    <m/>
    <m/>
    <m/>
    <m/>
    <m/>
    <m/>
    <m/>
    <m/>
    <m/>
    <m/>
    <m/>
    <m/>
    <m/>
    <m/>
    <m/>
    <m/>
    <s v=""/>
    <m/>
    <m/>
    <m/>
    <n v="10355.89"/>
    <m/>
    <m/>
    <m/>
    <m/>
    <m/>
    <m/>
    <m/>
    <m/>
    <m/>
    <n v="11506.543599999999"/>
    <m/>
    <m/>
    <n v="11506.543599999999"/>
  </r>
  <r>
    <m/>
    <x v="8"/>
    <m/>
    <n v="4600000810"/>
    <n v="2"/>
    <s v="USC23C019"/>
    <s v="F21P1 Hitach Interconnection"/>
    <s v="Main Tool Interconnection"/>
    <s v="KPCD07"/>
    <s v="TSMC CG-6300 F21-P0096"/>
    <m/>
    <n v="1"/>
    <m/>
    <n v="9588.7800000000007"/>
    <m/>
    <m/>
    <n v="1917.7560000000003"/>
    <n v="11506.536"/>
    <n v="11506.536"/>
    <m/>
    <m/>
    <m/>
    <m/>
    <n v="11506.543599999999"/>
    <n v="1.0000006604941747"/>
    <n v="-7.5999999990017386E-3"/>
    <n v="0.3"/>
    <n v="0.1"/>
    <n v="0.1"/>
    <n v="1150.6536000000001"/>
    <m/>
    <m/>
    <m/>
    <m/>
    <m/>
    <m/>
    <m/>
    <m/>
    <m/>
    <m/>
    <m/>
    <m/>
    <m/>
    <m/>
    <m/>
    <m/>
    <m/>
    <m/>
    <m/>
    <m/>
    <m/>
    <m/>
    <m/>
    <m/>
    <m/>
    <s v=""/>
    <m/>
    <n v="10355.89"/>
    <m/>
    <m/>
    <m/>
    <m/>
    <m/>
    <m/>
    <m/>
    <m/>
    <m/>
    <m/>
    <m/>
    <n v="11506.543599999999"/>
    <m/>
    <m/>
    <n v="11506.543599999999"/>
  </r>
  <r>
    <m/>
    <x v="8"/>
    <m/>
    <n v="4600000810"/>
    <n v="1"/>
    <s v="USC23C019"/>
    <s v="F21P1 Hitach Interconnection"/>
    <s v="Main Tool Interconnection"/>
    <s v="KPCD08"/>
    <s v="TSMC CG-6300 F21-P0095"/>
    <m/>
    <n v="1"/>
    <m/>
    <n v="9588.7800000000007"/>
    <m/>
    <m/>
    <n v="1917.7560000000003"/>
    <n v="11506.536"/>
    <n v="11506.536"/>
    <m/>
    <m/>
    <m/>
    <m/>
    <n v="11506.543599999999"/>
    <n v="1.0000006604941747"/>
    <n v="-7.5999999990017386E-3"/>
    <n v="0.3"/>
    <n v="0.1"/>
    <n v="0.1"/>
    <n v="1150.6536000000001"/>
    <m/>
    <m/>
    <m/>
    <m/>
    <m/>
    <m/>
    <m/>
    <m/>
    <m/>
    <m/>
    <m/>
    <m/>
    <m/>
    <m/>
    <m/>
    <m/>
    <m/>
    <m/>
    <m/>
    <m/>
    <m/>
    <m/>
    <m/>
    <m/>
    <m/>
    <s v=""/>
    <m/>
    <m/>
    <m/>
    <n v="10355.89"/>
    <m/>
    <m/>
    <m/>
    <m/>
    <m/>
    <m/>
    <m/>
    <m/>
    <m/>
    <n v="11506.543599999999"/>
    <m/>
    <m/>
    <n v="11506.543599999999"/>
  </r>
  <r>
    <m/>
    <x v="8"/>
    <m/>
    <n v="4600000810"/>
    <n v="16"/>
    <s v="USC23C019"/>
    <s v="F21P1 Hitach Interconnection"/>
    <s v="Main Tool Interconnection"/>
    <s v="KPCD09"/>
    <s v="TSMC CG-7300 F21-P0120"/>
    <m/>
    <n v="1"/>
    <n v="2638.5730359712243"/>
    <n v="7623.1800000000021"/>
    <m/>
    <m/>
    <n v="2052.3506071942452"/>
    <n v="12314.10364316547"/>
    <n v="12314.10364316547"/>
    <m/>
    <m/>
    <m/>
    <m/>
    <n v="12314.097892949641"/>
    <n v="0.99999953303821409"/>
    <n v="5.7502158288116334E-3"/>
    <n v="0.3"/>
    <n v="0.1"/>
    <n v="0.15142538563775709"/>
    <n v="1864.6678929496411"/>
    <m/>
    <m/>
    <m/>
    <m/>
    <m/>
    <m/>
    <m/>
    <m/>
    <m/>
    <m/>
    <m/>
    <m/>
    <m/>
    <m/>
    <m/>
    <m/>
    <m/>
    <m/>
    <m/>
    <m/>
    <m/>
    <m/>
    <m/>
    <m/>
    <m/>
    <s v=""/>
    <m/>
    <m/>
    <m/>
    <n v="10449.43"/>
    <m/>
    <m/>
    <m/>
    <m/>
    <m/>
    <m/>
    <m/>
    <m/>
    <m/>
    <n v="12314.097892949641"/>
    <m/>
    <m/>
    <n v="12314.097892949641"/>
  </r>
  <r>
    <m/>
    <x v="8"/>
    <m/>
    <n v="4600000810"/>
    <n v="5"/>
    <s v="USC23C019"/>
    <s v="F21P1 Hitach Interconnection"/>
    <s v="Main Tool Interconnection"/>
    <s v="KPCD10"/>
    <s v="TSMC CG-6300 F21-P0104"/>
    <m/>
    <n v="1"/>
    <m/>
    <n v="9588.7800000000007"/>
    <m/>
    <m/>
    <n v="1917.7560000000003"/>
    <n v="11506.536"/>
    <n v="11506.536"/>
    <m/>
    <m/>
    <m/>
    <m/>
    <n v="11506.543599999999"/>
    <n v="1.0000006604941747"/>
    <n v="-7.5999999990017386E-3"/>
    <n v="0.3"/>
    <n v="0.1"/>
    <n v="0.1"/>
    <n v="1150.6536000000001"/>
    <m/>
    <m/>
    <m/>
    <m/>
    <m/>
    <m/>
    <m/>
    <m/>
    <m/>
    <m/>
    <m/>
    <m/>
    <m/>
    <m/>
    <m/>
    <m/>
    <m/>
    <m/>
    <m/>
    <m/>
    <m/>
    <m/>
    <m/>
    <m/>
    <m/>
    <s v=""/>
    <m/>
    <m/>
    <m/>
    <n v="10355.89"/>
    <m/>
    <m/>
    <m/>
    <m/>
    <m/>
    <m/>
    <m/>
    <m/>
    <m/>
    <n v="11506.543599999999"/>
    <m/>
    <m/>
    <n v="11506.543599999999"/>
  </r>
  <r>
    <m/>
    <x v="8"/>
    <m/>
    <n v="4600000810"/>
    <n v="3"/>
    <s v="USC23C019"/>
    <s v="F21P1 Hitach Interconnection"/>
    <s v="Main Tool Interconnection"/>
    <s v="KPCD11"/>
    <s v="TSMC CG-6300 F21-P0097"/>
    <m/>
    <n v="1"/>
    <m/>
    <n v="9588.7800000000007"/>
    <m/>
    <m/>
    <n v="1917.7560000000003"/>
    <n v="11506.536"/>
    <n v="11506.536"/>
    <m/>
    <m/>
    <m/>
    <m/>
    <n v="11506.543599999999"/>
    <n v="1.0000006604941747"/>
    <n v="-7.5999999990017386E-3"/>
    <n v="0.3"/>
    <n v="0.1"/>
    <n v="0.1"/>
    <n v="1150.6536000000001"/>
    <m/>
    <m/>
    <m/>
    <m/>
    <m/>
    <m/>
    <m/>
    <m/>
    <m/>
    <m/>
    <m/>
    <m/>
    <m/>
    <m/>
    <m/>
    <m/>
    <m/>
    <m/>
    <m/>
    <m/>
    <m/>
    <m/>
    <m/>
    <m/>
    <m/>
    <s v=""/>
    <m/>
    <m/>
    <m/>
    <n v="10355.89"/>
    <m/>
    <m/>
    <m/>
    <m/>
    <m/>
    <m/>
    <m/>
    <m/>
    <m/>
    <n v="11506.543599999999"/>
    <m/>
    <m/>
    <n v="11506.543599999999"/>
  </r>
  <r>
    <m/>
    <x v="8"/>
    <m/>
    <n v="4600000810"/>
    <n v="4"/>
    <s v="USC23C019"/>
    <s v="F21P1 Hitach Interconnection"/>
    <s v="Main Tool Interconnection"/>
    <s v="KPCD12"/>
    <s v="TSMC CG-6300 F21-P0103"/>
    <m/>
    <n v="1"/>
    <m/>
    <n v="9588.7800000000007"/>
    <m/>
    <m/>
    <n v="1917.7560000000003"/>
    <n v="11506.536"/>
    <n v="11506.536"/>
    <m/>
    <m/>
    <m/>
    <m/>
    <n v="11506.543599999999"/>
    <n v="1.0000006604941747"/>
    <n v="-7.5999999990017386E-3"/>
    <n v="0.3"/>
    <n v="0.1"/>
    <n v="0.1"/>
    <n v="1150.6536000000001"/>
    <m/>
    <m/>
    <m/>
    <m/>
    <m/>
    <m/>
    <m/>
    <m/>
    <m/>
    <m/>
    <m/>
    <m/>
    <m/>
    <m/>
    <m/>
    <m/>
    <m/>
    <m/>
    <m/>
    <m/>
    <m/>
    <m/>
    <m/>
    <m/>
    <m/>
    <s v=""/>
    <m/>
    <m/>
    <m/>
    <n v="10355.89"/>
    <m/>
    <m/>
    <m/>
    <m/>
    <m/>
    <m/>
    <m/>
    <m/>
    <m/>
    <n v="11506.543599999999"/>
    <m/>
    <m/>
    <n v="11506.543599999999"/>
  </r>
  <r>
    <m/>
    <x v="8"/>
    <m/>
    <n v="4600000810"/>
    <n v="6"/>
    <s v="USC23C019"/>
    <s v="F21P1 Hitach Interconnection"/>
    <s v="Main Tool Interconnection"/>
    <s v="KPCD13"/>
    <s v="TSMC CG-6300 F21-P0105"/>
    <m/>
    <n v="1"/>
    <m/>
    <n v="9588.7800000000007"/>
    <m/>
    <m/>
    <n v="1917.7560000000003"/>
    <n v="11506.536"/>
    <n v="11506.536"/>
    <m/>
    <m/>
    <m/>
    <m/>
    <n v="11506.543599999999"/>
    <n v="1.0000006604941747"/>
    <n v="-7.5999999990017386E-3"/>
    <n v="0.3"/>
    <n v="0.1"/>
    <n v="0.1"/>
    <n v="1150.6536000000001"/>
    <m/>
    <m/>
    <m/>
    <m/>
    <m/>
    <m/>
    <m/>
    <m/>
    <m/>
    <m/>
    <m/>
    <m/>
    <m/>
    <m/>
    <m/>
    <m/>
    <m/>
    <m/>
    <m/>
    <m/>
    <m/>
    <m/>
    <m/>
    <m/>
    <m/>
    <s v=""/>
    <m/>
    <m/>
    <m/>
    <n v="10355.89"/>
    <m/>
    <m/>
    <m/>
    <m/>
    <m/>
    <m/>
    <m/>
    <m/>
    <m/>
    <n v="11506.543599999999"/>
    <m/>
    <m/>
    <n v="11506.543599999999"/>
  </r>
  <r>
    <m/>
    <x v="8"/>
    <m/>
    <n v="4600000810"/>
    <n v="18"/>
    <s v="USC23C019"/>
    <s v="F21P1 Hitach Interconnection"/>
    <s v="Main Tool Interconnection"/>
    <s v="KPCD14"/>
    <s v="TSMC CG-7300 F21-P0122"/>
    <m/>
    <n v="1"/>
    <n v="2638.5730359712243"/>
    <n v="7623.1800000000021"/>
    <m/>
    <m/>
    <n v="2052.3506071942452"/>
    <n v="12314.10364316547"/>
    <n v="12314.10364316547"/>
    <m/>
    <m/>
    <m/>
    <m/>
    <n v="1864.6678929496411"/>
    <n v="0.15142538563775712"/>
    <n v="10449.435750215829"/>
    <n v="0.3"/>
    <n v="0.1"/>
    <n v="0.15142538563775709"/>
    <n v="1864.6678929496411"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1864.6678929496411"/>
    <m/>
    <m/>
    <n v="1864.6678929496411"/>
  </r>
  <r>
    <m/>
    <x v="8"/>
    <m/>
    <n v="4600000810"/>
    <n v="19"/>
    <s v="USC23C019"/>
    <s v="F21P1 Hitach Interconnection"/>
    <s v="Main Tool Interconnection"/>
    <s v="KPCD15"/>
    <s v="TSMC CG-7300 F21-P0119"/>
    <m/>
    <n v="1"/>
    <n v="2638.5730359712243"/>
    <n v="7623.1800000000021"/>
    <m/>
    <m/>
    <n v="2052.3506071942452"/>
    <n v="12314.10364316547"/>
    <n v="12314.10364316547"/>
    <m/>
    <m/>
    <m/>
    <m/>
    <n v="12314.097892949641"/>
    <n v="0.99999953303821409"/>
    <n v="5.7502158288116334E-3"/>
    <n v="0.3"/>
    <n v="0.1"/>
    <n v="0.15142538563775709"/>
    <n v="1864.6678929496411"/>
    <m/>
    <m/>
    <m/>
    <m/>
    <m/>
    <m/>
    <m/>
    <m/>
    <m/>
    <m/>
    <m/>
    <m/>
    <m/>
    <m/>
    <m/>
    <m/>
    <m/>
    <m/>
    <m/>
    <m/>
    <m/>
    <m/>
    <m/>
    <m/>
    <m/>
    <s v=""/>
    <m/>
    <m/>
    <m/>
    <n v="10449.43"/>
    <m/>
    <m/>
    <m/>
    <m/>
    <m/>
    <m/>
    <m/>
    <m/>
    <m/>
    <n v="12314.097892949641"/>
    <m/>
    <m/>
    <n v="12314.097892949641"/>
  </r>
  <r>
    <m/>
    <x v="8"/>
    <m/>
    <n v="4600000810"/>
    <n v="8"/>
    <s v="USC23C019"/>
    <s v="F21P1 Hitach Interconnection"/>
    <s v="Main Tool Interconnection"/>
    <s v="KPCD17"/>
    <s v="TSMC CG-6300 F21-P0107"/>
    <m/>
    <n v="1"/>
    <m/>
    <n v="9588.7800000000007"/>
    <m/>
    <m/>
    <n v="1917.7560000000003"/>
    <n v="11506.536"/>
    <n v="11506.536"/>
    <m/>
    <m/>
    <m/>
    <m/>
    <n v="11506.543599999999"/>
    <n v="1.0000006604941747"/>
    <n v="-7.5999999990017386E-3"/>
    <n v="0.3"/>
    <n v="0.1"/>
    <n v="0.1"/>
    <n v="1150.6536000000001"/>
    <m/>
    <m/>
    <m/>
    <m/>
    <m/>
    <m/>
    <m/>
    <m/>
    <m/>
    <m/>
    <m/>
    <m/>
    <m/>
    <m/>
    <m/>
    <m/>
    <m/>
    <m/>
    <m/>
    <m/>
    <m/>
    <m/>
    <m/>
    <m/>
    <m/>
    <s v=""/>
    <m/>
    <m/>
    <m/>
    <n v="10355.89"/>
    <m/>
    <m/>
    <m/>
    <m/>
    <m/>
    <m/>
    <m/>
    <m/>
    <m/>
    <n v="11506.543599999999"/>
    <m/>
    <m/>
    <n v="11506.543599999999"/>
  </r>
  <r>
    <m/>
    <x v="8"/>
    <m/>
    <n v="4600000810"/>
    <n v="9"/>
    <s v="USC23C019"/>
    <s v="F21P1 Hitach Interconnection"/>
    <s v="Main Tool Interconnection"/>
    <s v="KPCD18"/>
    <s v="TSMC CG-6300 F21-P0108"/>
    <m/>
    <n v="1"/>
    <m/>
    <n v="9588.7800000000007"/>
    <m/>
    <m/>
    <n v="1917.7560000000003"/>
    <n v="11506.536"/>
    <n v="11506.536"/>
    <m/>
    <m/>
    <m/>
    <m/>
    <n v="11506.543599999999"/>
    <n v="1.0000006604941747"/>
    <n v="-7.5999999990017386E-3"/>
    <n v="0.3"/>
    <n v="0.1"/>
    <n v="0.1"/>
    <n v="1150.6536000000001"/>
    <m/>
    <m/>
    <m/>
    <m/>
    <m/>
    <m/>
    <m/>
    <m/>
    <m/>
    <m/>
    <m/>
    <m/>
    <m/>
    <m/>
    <m/>
    <m/>
    <m/>
    <m/>
    <m/>
    <m/>
    <m/>
    <m/>
    <m/>
    <m/>
    <m/>
    <s v=""/>
    <m/>
    <m/>
    <m/>
    <n v="10355.89"/>
    <m/>
    <m/>
    <m/>
    <m/>
    <m/>
    <m/>
    <m/>
    <m/>
    <m/>
    <n v="11506.543599999999"/>
    <m/>
    <m/>
    <n v="11506.543599999999"/>
  </r>
  <r>
    <m/>
    <x v="8"/>
    <m/>
    <n v="4600000810"/>
    <n v="17"/>
    <s v="USC23C019"/>
    <s v="F21P1 Hitach Interconnection"/>
    <s v="Main Tool Interconnection"/>
    <s v="KPCD19"/>
    <s v="TSMC CG-7300 F21-P0121"/>
    <m/>
    <n v="1"/>
    <n v="2638.5730359712243"/>
    <n v="7623.1800000000021"/>
    <m/>
    <m/>
    <n v="2052.3506071942452"/>
    <n v="12314.10364316547"/>
    <n v="12314.10364316547"/>
    <m/>
    <m/>
    <m/>
    <m/>
    <n v="12314.097892949641"/>
    <n v="0.99999953303821409"/>
    <n v="5.7502158288116334E-3"/>
    <n v="0.3"/>
    <n v="0.1"/>
    <n v="0.15142538563775709"/>
    <n v="1864.6678929496411"/>
    <m/>
    <m/>
    <m/>
    <m/>
    <m/>
    <m/>
    <m/>
    <m/>
    <m/>
    <m/>
    <m/>
    <m/>
    <m/>
    <m/>
    <m/>
    <m/>
    <m/>
    <m/>
    <m/>
    <m/>
    <m/>
    <m/>
    <m/>
    <m/>
    <m/>
    <s v=""/>
    <m/>
    <m/>
    <m/>
    <n v="10449.43"/>
    <m/>
    <m/>
    <m/>
    <m/>
    <m/>
    <m/>
    <m/>
    <m/>
    <m/>
    <n v="12314.097892949641"/>
    <m/>
    <m/>
    <n v="12314.097892949641"/>
  </r>
  <r>
    <m/>
    <x v="8"/>
    <m/>
    <n v="4600000810"/>
    <n v="14"/>
    <s v="USC23C019"/>
    <s v="F21P1 Hitach Interconnection"/>
    <s v="Main Tool Interconnection"/>
    <s v="KPCD20"/>
    <s v="TSMC CG-7300 F21-P0117"/>
    <m/>
    <n v="1"/>
    <n v="2638.5730359712243"/>
    <n v="7623.1800000000021"/>
    <m/>
    <m/>
    <n v="2052.3506071942452"/>
    <n v="12314.10364316547"/>
    <n v="12314.10364316547"/>
    <m/>
    <m/>
    <m/>
    <m/>
    <n v="12314.097892949641"/>
    <n v="0.99999953303821409"/>
    <n v="5.7502158288116334E-3"/>
    <n v="0.3"/>
    <n v="0.1"/>
    <n v="0.15142538563775709"/>
    <n v="1864.6678929496411"/>
    <m/>
    <m/>
    <m/>
    <m/>
    <m/>
    <m/>
    <m/>
    <m/>
    <m/>
    <m/>
    <m/>
    <m/>
    <m/>
    <m/>
    <m/>
    <m/>
    <m/>
    <m/>
    <m/>
    <m/>
    <m/>
    <m/>
    <m/>
    <m/>
    <m/>
    <s v=""/>
    <m/>
    <n v="10449.43"/>
    <m/>
    <m/>
    <m/>
    <m/>
    <m/>
    <m/>
    <m/>
    <m/>
    <m/>
    <m/>
    <m/>
    <n v="12314.097892949641"/>
    <m/>
    <m/>
    <n v="12314.097892949641"/>
  </r>
  <r>
    <m/>
    <x v="8"/>
    <m/>
    <n v="4600000810"/>
    <n v="21"/>
    <s v="USC23C019"/>
    <s v="F21P1 Hitach Interconnection"/>
    <s v="Main Tool Interconnection"/>
    <s v="KPCD25"/>
    <s v="TSMC CG-7300 F21-P0098"/>
    <m/>
    <n v="1"/>
    <n v="2638.5730359712243"/>
    <n v="7623.1800000000021"/>
    <m/>
    <m/>
    <n v="2052.3506071942452"/>
    <n v="12314.10364316547"/>
    <n v="12314.10364316547"/>
    <m/>
    <m/>
    <m/>
    <m/>
    <n v="1864.6678929496411"/>
    <n v="0.15142538563775712"/>
    <n v="10449.435750215829"/>
    <n v="0.3"/>
    <n v="0.1"/>
    <n v="0.15142538563775709"/>
    <n v="1864.6678929496411"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1864.6678929496411"/>
    <m/>
    <m/>
    <n v="1864.6678929496411"/>
  </r>
  <r>
    <m/>
    <x v="8"/>
    <m/>
    <n v="4600000810"/>
    <n v="12"/>
    <s v="USC23C019"/>
    <s v="F21P1 Hitach Interconnection"/>
    <s v="Main Tool Interconnection"/>
    <s v="KPCD27"/>
    <s v="TSMC CG-6300 F21-P0112"/>
    <m/>
    <n v="1"/>
    <m/>
    <n v="9588.7800000000007"/>
    <m/>
    <m/>
    <n v="1917.7560000000003"/>
    <n v="11506.536"/>
    <n v="11506.536"/>
    <m/>
    <m/>
    <m/>
    <m/>
    <n v="1150.6536000000001"/>
    <n v="0.1"/>
    <n v="10355.8824"/>
    <n v="0.3"/>
    <n v="0.1"/>
    <n v="0.1"/>
    <n v="1150.6536000000001"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1150.6536000000001"/>
    <m/>
    <m/>
    <n v="1150.6536000000001"/>
  </r>
  <r>
    <m/>
    <x v="8"/>
    <m/>
    <n v="4600000810"/>
    <n v="20"/>
    <s v="USC23C019"/>
    <s v="F21P1 Hitach Interconnection"/>
    <s v="Main Tool Interconnection"/>
    <s v="KPCD28"/>
    <s v="TSMC CG-7300 F21-P0123"/>
    <m/>
    <n v="1"/>
    <n v="2638.5730359712243"/>
    <n v="7623.1800000000021"/>
    <m/>
    <m/>
    <n v="2052.3506071942452"/>
    <n v="12314.10364316547"/>
    <n v="12314.10364316547"/>
    <m/>
    <m/>
    <m/>
    <m/>
    <n v="1864.6678929496411"/>
    <n v="0.15142538563775712"/>
    <n v="10449.435750215829"/>
    <n v="0.3"/>
    <n v="0.1"/>
    <n v="0.15142538563775709"/>
    <n v="1864.6678929496411"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1864.6678929496411"/>
    <m/>
    <m/>
    <n v="1864.6678929496411"/>
  </r>
  <r>
    <m/>
    <x v="8"/>
    <m/>
    <n v="4600000810"/>
    <n v="10"/>
    <s v="USC23C019"/>
    <s v="F21P1 Hitach Interconnection"/>
    <s v="Main Tool Interconnection"/>
    <s v="KPCD29"/>
    <s v="TSMC CG-6300 F21-P0109"/>
    <m/>
    <n v="1"/>
    <m/>
    <n v="9588.7800000000007"/>
    <m/>
    <m/>
    <n v="1917.7560000000003"/>
    <n v="11506.536"/>
    <n v="11506.536"/>
    <m/>
    <m/>
    <m/>
    <m/>
    <n v="1150.6536000000001"/>
    <n v="0.1"/>
    <n v="10355.8824"/>
    <n v="0.3"/>
    <n v="0.1"/>
    <n v="0.1"/>
    <n v="1150.6536000000001"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1150.6536000000001"/>
    <m/>
    <m/>
    <n v="1150.6536000000001"/>
  </r>
  <r>
    <m/>
    <x v="8"/>
    <m/>
    <n v="4600000810"/>
    <n v="11"/>
    <s v="USC23C019"/>
    <s v="F21P1 Hitach Interconnection"/>
    <s v="Main Tool Interconnection"/>
    <s v="KPCD30"/>
    <s v="TSMC CG-6300 F21-P0110"/>
    <m/>
    <n v="1"/>
    <m/>
    <n v="9588.7800000000007"/>
    <m/>
    <m/>
    <n v="1917.7560000000003"/>
    <n v="11506.536"/>
    <n v="11506.536"/>
    <m/>
    <m/>
    <m/>
    <m/>
    <n v="1150.6536000000001"/>
    <n v="0.1"/>
    <n v="10355.8824"/>
    <n v="0.3"/>
    <n v="0.1"/>
    <n v="0.1"/>
    <n v="1150.6536000000001"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1150.6536000000001"/>
    <m/>
    <m/>
    <n v="1150.6536000000001"/>
  </r>
  <r>
    <m/>
    <x v="8"/>
    <m/>
    <n v="4600000810"/>
    <n v="22"/>
    <s v="USC23C019"/>
    <s v="F21P1 Hitach Interconnection"/>
    <s v="Main Tool Interconnection"/>
    <s v="KPCD31"/>
    <s v="TSMC CG-7300 F21-P0099"/>
    <m/>
    <n v="1"/>
    <n v="2638.5730359712243"/>
    <n v="7623.1800000000021"/>
    <m/>
    <m/>
    <n v="2052.3506071942452"/>
    <n v="12314.10364316547"/>
    <n v="12314.10364316547"/>
    <m/>
    <m/>
    <m/>
    <m/>
    <n v="1864.6678929496411"/>
    <n v="0.15142538563775712"/>
    <n v="10449.435750215829"/>
    <n v="0.3"/>
    <n v="0.1"/>
    <n v="0.15142538563775709"/>
    <n v="1864.6678929496411"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1864.6678929496411"/>
    <m/>
    <m/>
    <n v="1864.6678929496411"/>
  </r>
  <r>
    <m/>
    <x v="8"/>
    <m/>
    <n v="4600000810"/>
    <n v="13"/>
    <s v="USC23C019"/>
    <s v="F21P1 Hitach Interconnection"/>
    <s v="Main Tool Interconnection"/>
    <s v="KPCD32"/>
    <s v="TSMC CG-6300"/>
    <m/>
    <n v="1"/>
    <m/>
    <n v="9588.7800000000007"/>
    <m/>
    <m/>
    <n v="1917.7560000000003"/>
    <n v="11506.536"/>
    <n v="11506.536"/>
    <m/>
    <m/>
    <m/>
    <m/>
    <n v="0"/>
    <n v="0"/>
    <n v="11506.536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n v="0"/>
  </r>
  <r>
    <m/>
    <x v="8"/>
    <m/>
    <n v="4600000810"/>
    <n v="23"/>
    <s v="USC23C019"/>
    <s v="F21P1 Hitach Interconnection"/>
    <s v="Main Tool Interconnection"/>
    <s v="KPCD33"/>
    <s v="TSMC CG-7300 "/>
    <m/>
    <n v="1"/>
    <n v="2638.5730359712243"/>
    <n v="7623.1800000000021"/>
    <m/>
    <m/>
    <n v="2052.3506071942452"/>
    <n v="12314.10364316547"/>
    <n v="12314.10364316547"/>
    <m/>
    <m/>
    <m/>
    <m/>
    <n v="0"/>
    <n v="0"/>
    <n v="12314.10364316547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8"/>
    <m/>
    <n v="4600000853"/>
    <n v="1"/>
    <s v="USC23C019"/>
    <s v="F21P1 Hitach Interconnection"/>
    <s v="Main Tool Interconnection"/>
    <s v="KEPCH3"/>
    <s v="J-9012NX#3"/>
    <m/>
    <n v="1"/>
    <m/>
    <n v="29484.720000000001"/>
    <m/>
    <m/>
    <n v="5896.95"/>
    <n v="35381.67"/>
    <n v="35381.67"/>
    <m/>
    <m/>
    <m/>
    <m/>
    <n v="0"/>
    <n v="0"/>
    <n v="35381.67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8"/>
    <m/>
    <n v="4600000853"/>
    <n v="2"/>
    <s v="USC23C019"/>
    <s v="F21P1 Hitach Interconnection"/>
    <s v="Main Tool Interconnection"/>
    <s v="KEPCH4"/>
    <s v="J-9012NX#4"/>
    <m/>
    <n v="1"/>
    <m/>
    <n v="29484.720000000001"/>
    <m/>
    <m/>
    <n v="5896.95"/>
    <n v="35381.67"/>
    <n v="35381.67"/>
    <m/>
    <m/>
    <m/>
    <m/>
    <n v="0"/>
    <n v="0"/>
    <n v="35381.67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8"/>
    <m/>
    <n v="4600000853"/>
    <n v="3"/>
    <s v="USC23C019"/>
    <s v="F21P1 Hitach Interconnection"/>
    <s v="Main Tool Interconnection"/>
    <s v="KEPCH5"/>
    <s v="J-9012NX#5"/>
    <m/>
    <n v="1"/>
    <m/>
    <n v="29484.720000000001"/>
    <m/>
    <m/>
    <n v="5896.95"/>
    <n v="35381.67"/>
    <n v="35381.67"/>
    <m/>
    <m/>
    <m/>
    <m/>
    <n v="0"/>
    <n v="0"/>
    <n v="35381.67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8"/>
    <m/>
    <n v="4600000853"/>
    <n v="4"/>
    <s v="USC23C019"/>
    <s v="F21P1 Hitach Interconnection"/>
    <s v="Main Tool Interconnection"/>
    <s v="KEMGH3"/>
    <s v="J-9011NX#3"/>
    <m/>
    <n v="1"/>
    <m/>
    <n v="29556.720000000001"/>
    <m/>
    <m/>
    <n v="5911.35"/>
    <n v="35468.07"/>
    <n v="35468.07"/>
    <m/>
    <m/>
    <m/>
    <m/>
    <n v="0"/>
    <n v="0"/>
    <n v="35468.07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8"/>
    <m/>
    <n v="4600000853"/>
    <n v="5"/>
    <s v="USC23C019"/>
    <s v="F21P1 Hitach Interconnection"/>
    <s v="Main Tool Interconnection"/>
    <s v="KEMGH4"/>
    <s v="J-9011NX#4"/>
    <m/>
    <n v="1"/>
    <m/>
    <n v="29556.720000000001"/>
    <m/>
    <m/>
    <n v="5911.35"/>
    <n v="35468.07"/>
    <n v="35468.07"/>
    <m/>
    <m/>
    <m/>
    <m/>
    <n v="0"/>
    <n v="0"/>
    <n v="35468.07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8"/>
    <m/>
    <n v="4600000853"/>
    <n v="6"/>
    <s v="USC23C019"/>
    <s v="F21P1 Hitach Interconnection"/>
    <s v="Main Tool Interconnection"/>
    <s v="KEMGH5"/>
    <s v="J-9011NX#5"/>
    <m/>
    <n v="1"/>
    <m/>
    <n v="29556.720000000001"/>
    <m/>
    <m/>
    <n v="5911.35"/>
    <n v="35468.07"/>
    <n v="35468.07"/>
    <m/>
    <m/>
    <m/>
    <m/>
    <n v="0"/>
    <n v="0"/>
    <n v="35468.07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8"/>
    <m/>
    <n v="4600000853"/>
    <n v="7"/>
    <s v="USC23C019"/>
    <s v="F21P1 Hitach Interconnection"/>
    <s v="Main Tool Interconnection"/>
    <s v="KEMGH6"/>
    <s v="J-9011NX#6"/>
    <m/>
    <n v="1"/>
    <m/>
    <n v="29556.720000000001"/>
    <m/>
    <m/>
    <n v="5911.35"/>
    <n v="35468.07"/>
    <n v="35468.07"/>
    <m/>
    <m/>
    <m/>
    <m/>
    <n v="0"/>
    <n v="0"/>
    <n v="35468.07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8"/>
    <m/>
    <n v="4600000939"/>
    <n v="1"/>
    <s v="USC23C019"/>
    <m/>
    <s v="Main Tool Interconnection"/>
    <s v="KPSP11"/>
    <s v="LS9600 Blower Connection"/>
    <m/>
    <n v="1"/>
    <m/>
    <n v="16309"/>
    <m/>
    <m/>
    <m/>
    <n v="16309"/>
    <n v="16309"/>
    <m/>
    <m/>
    <m/>
    <s v="Net 30"/>
    <n v="11901"/>
    <n v="0.72971978662088421"/>
    <n v="4408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n v="11901"/>
    <m/>
    <m/>
    <m/>
    <m/>
    <m/>
    <m/>
    <m/>
    <m/>
    <m/>
    <n v="11901"/>
    <m/>
    <m/>
    <m/>
  </r>
  <r>
    <s v="Tony L/ Kurt/ Justin/ Kevin"/>
    <x v="9"/>
    <m/>
    <s v="H-342356"/>
    <n v="1"/>
    <s v="USC23C027"/>
    <m/>
    <s v="Main Tool Interconnection"/>
    <m/>
    <s v="Holon ZX Tool Interconnection"/>
    <m/>
    <n v="1"/>
    <m/>
    <n v="14004"/>
    <m/>
    <m/>
    <m/>
    <n v="14004"/>
    <n v="14004"/>
    <m/>
    <m/>
    <m/>
    <m/>
    <n v="0"/>
    <n v="0"/>
    <n v="14004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s v="Tony L/ Kurt/ Justin/ Kevin"/>
    <x v="9"/>
    <m/>
    <s v="H-342357"/>
    <n v="1"/>
    <s v="USC23C027"/>
    <m/>
    <s v="Main Tool Interconnection"/>
    <m/>
    <s v="Holon LEXa-20 Tool Interconnection"/>
    <m/>
    <n v="1"/>
    <m/>
    <n v="14522.4"/>
    <m/>
    <m/>
    <m/>
    <n v="14522.4"/>
    <n v="14522.4"/>
    <m/>
    <m/>
    <m/>
    <m/>
    <n v="0"/>
    <n v="0"/>
    <n v="14522.4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s v="Travis Hand"/>
    <x v="9"/>
    <m/>
    <n v="6291501"/>
    <n v="1"/>
    <s v="USC23C010 "/>
    <m/>
    <s v="Main Tool Interconnection"/>
    <m/>
    <s v="Mitsubishi Breaker"/>
    <m/>
    <n v="1"/>
    <m/>
    <n v="8635.9"/>
    <m/>
    <m/>
    <m/>
    <n v="8635.9"/>
    <n v="8635.9"/>
    <m/>
    <s v="12/2/2022"/>
    <m/>
    <s v=" 100% by shipment, T/T 30 days. "/>
    <n v="0"/>
    <n v="0"/>
    <n v="863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</r>
  <r>
    <m/>
    <x v="10"/>
    <m/>
    <n v="6530"/>
    <n v="1"/>
    <s v="USC23C018"/>
    <m/>
    <s v="Main Tool Interconnection"/>
    <m/>
    <s v="Furnace cable connection #3 &amp; #4 "/>
    <m/>
    <n v="1"/>
    <m/>
    <n v="17984.580000000002"/>
    <m/>
    <m/>
    <m/>
    <n v="17984.580000000002"/>
    <n v="17984.580000000002"/>
    <m/>
    <d v="2023-05-24T00:00:00"/>
    <m/>
    <s v="Net 30"/>
    <n v="0"/>
    <n v="0"/>
    <n v="17984.58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1"/>
    <s v="Jessica Kuo, Ryan Reyes &lt;jessica.kuo@scientech.com.tw&gt;, &lt;rreyes@thehpsp.com&gt;"/>
    <n v="6369"/>
    <n v="1"/>
    <s v="USC23C018"/>
    <s v="F21P1 HPSP Interconnection"/>
    <s v="Main Tool Interconnection"/>
    <s v="KDIPP1"/>
    <s v="Furnace cable connection"/>
    <m/>
    <n v="1"/>
    <m/>
    <n v="7416.96"/>
    <m/>
    <m/>
    <n v="1038.3800000000001"/>
    <n v="8455.34"/>
    <n v="8455.34"/>
    <m/>
    <d v="2022-12-02T00:00:00"/>
    <m/>
    <m/>
    <n v="8455.34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n v="8455.34"/>
    <m/>
    <m/>
    <m/>
    <m/>
    <m/>
    <m/>
    <m/>
    <n v="0"/>
    <m/>
    <m/>
    <m/>
  </r>
  <r>
    <m/>
    <x v="11"/>
    <s v="Jessica Kuo, Ryan Reyes &lt;jessica.kuo@scientech.com.tw&gt;, &lt;rreyes@thehpsp.com&gt;"/>
    <n v="6369"/>
    <n v="2"/>
    <s v="USC23C018"/>
    <s v="F21P1 HPSP Interconnection"/>
    <s v="Main Tool Interconnection"/>
    <s v="KDIPP2"/>
    <s v="Furnace cable connection"/>
    <m/>
    <n v="1"/>
    <m/>
    <n v="7416.96"/>
    <m/>
    <m/>
    <n v="1038.3800000000001"/>
    <n v="8455.34"/>
    <n v="8455.34"/>
    <m/>
    <d v="2022-12-02T00:00:00"/>
    <m/>
    <m/>
    <n v="8455.34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n v="8455.34"/>
    <m/>
    <m/>
    <m/>
    <m/>
    <m/>
    <m/>
    <m/>
    <n v="0"/>
    <m/>
    <m/>
    <m/>
  </r>
  <r>
    <s v="Alex Yu"/>
    <x v="12"/>
    <m/>
    <n v="20230712101"/>
    <n v="1"/>
    <m/>
    <m/>
    <s v="Main Tool Interconnection"/>
    <m/>
    <s v="IPI Tool Interconnection-Bilingual Project Manager"/>
    <m/>
    <n v="1"/>
    <m/>
    <m/>
    <m/>
    <m/>
    <m/>
    <n v="0"/>
    <n v="0"/>
    <m/>
    <d v="2023-07-05T00:00:00"/>
    <m/>
    <s v="100% invoice monthly. Net 30 days"/>
    <n v="0"/>
    <e v="#DIV/0!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s v="Joel Chen"/>
    <x v="13"/>
    <m/>
    <s v="KTUS202307_001"/>
    <n v="1"/>
    <s v="USC23C061"/>
    <m/>
    <s v="Main Tool Interconnection"/>
    <m/>
    <s v="Kanken Tool Interconnection (labor)"/>
    <m/>
    <n v="1"/>
    <m/>
    <n v="58878.189599999998"/>
    <m/>
    <m/>
    <n v="8797.8904000000002"/>
    <n v="67676.08"/>
    <n v="67676.08"/>
    <n v="3588.88"/>
    <d v="2023-07-10T00:00:00"/>
    <m/>
    <m/>
    <n v="64087.199999999997"/>
    <n v="0.94696974174627124"/>
    <n v="3588.8800000000047"/>
    <m/>
    <m/>
    <m/>
    <m/>
    <m/>
    <m/>
    <m/>
    <m/>
    <m/>
    <m/>
    <m/>
    <n v="64087.199999999997"/>
    <n v="3589"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67676.2"/>
    <m/>
    <m/>
    <m/>
  </r>
  <r>
    <m/>
    <x v="14"/>
    <s v="Chen, Frady (Wen-Ching) &lt;Wen.Ching.Chen@kla.com&gt;"/>
    <n v="21740541"/>
    <n v="1"/>
    <s v="USC23C021"/>
    <s v="F21P1 KLA Interconnection"/>
    <s v="Main Tool Interconnection"/>
    <s v="KKSV04"/>
    <s v="7380(Ebean)"/>
    <m/>
    <n v="1"/>
    <n v="1386.0990000000002"/>
    <n v="5382.7544999999991"/>
    <m/>
    <m/>
    <n v="1354.5207"/>
    <n v="8123.3741999999993"/>
    <n v="8123"/>
    <m/>
    <d v="2022-12-08T00:00:00"/>
    <m/>
    <m/>
    <n v="8122.9970999999996"/>
    <n v="0.99999964298904342"/>
    <n v="2.9000000004089088E-3"/>
    <n v="1"/>
    <n v="0"/>
    <n v="0.20477603777360529"/>
    <m/>
    <m/>
    <m/>
    <m/>
    <m/>
    <m/>
    <m/>
    <m/>
    <m/>
    <m/>
    <m/>
    <m/>
    <m/>
    <m/>
    <n v="4061.6870999999996"/>
    <m/>
    <m/>
    <m/>
    <m/>
    <m/>
    <m/>
    <m/>
    <m/>
    <m/>
    <m/>
    <m/>
    <s v=""/>
    <m/>
    <m/>
    <m/>
    <n v="4061.31"/>
    <m/>
    <m/>
    <m/>
    <m/>
    <m/>
    <m/>
    <m/>
    <m/>
    <m/>
    <n v="8122.9970999999996"/>
    <m/>
    <m/>
    <m/>
  </r>
  <r>
    <m/>
    <x v="14"/>
    <s v="Chen, Frady (Wen-Ching) &lt;Wen.Ching.Chen@kla.com&gt;"/>
    <n v="21740541"/>
    <n v="2"/>
    <s v="USC23C021"/>
    <s v="F21P1 KLA Interconnection"/>
    <s v="Main Tool Interconnection"/>
    <s v="KKSV06"/>
    <s v="7380(Ebean)"/>
    <m/>
    <n v="1"/>
    <n v="1386.0990000000002"/>
    <n v="5382.7544999999991"/>
    <m/>
    <m/>
    <n v="1353.7707"/>
    <n v="8122.6241999999993"/>
    <n v="8123"/>
    <m/>
    <m/>
    <m/>
    <m/>
    <n v="4061.3120999999996"/>
    <n v="0.49997686815216047"/>
    <n v="4061.6879000000004"/>
    <n v="1"/>
    <n v="0"/>
    <n v="0.20477603777360529"/>
    <m/>
    <m/>
    <m/>
    <m/>
    <m/>
    <m/>
    <m/>
    <m/>
    <m/>
    <m/>
    <m/>
    <m/>
    <m/>
    <m/>
    <n v="4061.3120999999996"/>
    <m/>
    <m/>
    <m/>
    <m/>
    <m/>
    <m/>
    <m/>
    <m/>
    <m/>
    <m/>
    <m/>
    <s v=""/>
    <m/>
    <m/>
    <m/>
    <m/>
    <m/>
    <m/>
    <m/>
    <m/>
    <m/>
    <m/>
    <m/>
    <m/>
    <m/>
    <n v="4061.3120999999996"/>
    <m/>
    <m/>
    <m/>
  </r>
  <r>
    <m/>
    <x v="14"/>
    <s v="Chen, Frady (Wen-Ching) &lt;Wen.Ching.Chen@kla.com&gt;"/>
    <n v="21740542"/>
    <n v="1"/>
    <s v="USC23C021"/>
    <s v="F21P1 KLA Interconnection"/>
    <s v="Main Tool Interconnection"/>
    <m/>
    <s v="640(Rapid)"/>
    <m/>
    <n v="1"/>
    <m/>
    <m/>
    <m/>
    <m/>
    <m/>
    <n v="0"/>
    <n v="0"/>
    <m/>
    <d v="2022-12-08T00:00:00"/>
    <m/>
    <m/>
    <n v="0"/>
    <e v="#DIV/0!"/>
    <n v="0"/>
    <m/>
    <m/>
    <e v="#DIV/0!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4"/>
    <s v="Chen, Frady (Wen-Ching) &lt;Wen.Ching.Chen@kla.com&gt;"/>
    <n v="21740542"/>
    <n v="4"/>
    <s v="USC23C021"/>
    <s v="F21P1 KLA Interconnection"/>
    <s v="Main Tool Interconnection"/>
    <m/>
    <s v="670E(Rapid)"/>
    <m/>
    <n v="1"/>
    <m/>
    <m/>
    <m/>
    <m/>
    <m/>
    <n v="0"/>
    <n v="0"/>
    <m/>
    <d v="2022-12-08T00:00:00"/>
    <m/>
    <m/>
    <n v="0"/>
    <e v="#DIV/0!"/>
    <n v="0"/>
    <m/>
    <m/>
    <e v="#DIV/0!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4"/>
    <s v="Chen, Frady (Wen-Ching) &lt;Wen.Ching.Chen@kla.com&gt;"/>
    <n v="21740542"/>
    <n v="5"/>
    <s v="USC23C021"/>
    <s v="F21P1 KLA Interconnection"/>
    <s v="Main Tool Interconnection"/>
    <s v="KPMI02"/>
    <s v="670E(Rapid)"/>
    <m/>
    <n v="1"/>
    <m/>
    <m/>
    <m/>
    <m/>
    <m/>
    <n v="0"/>
    <n v="0"/>
    <m/>
    <m/>
    <m/>
    <m/>
    <n v="0"/>
    <e v="#DIV/0!"/>
    <n v="0"/>
    <m/>
    <m/>
    <e v="#DIV/0!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4"/>
    <s v="Chen, Frady (Wen-Ching) &lt;Wen.Ching.Chen@kla.com&gt;"/>
    <n v="21740542"/>
    <n v="6"/>
    <s v="USC23C021"/>
    <s v="F21P1 KLA Interconnection"/>
    <s v="Main Tool Interconnection"/>
    <s v="ZKTFS-1"/>
    <s v="Flashscan(Rapid)"/>
    <m/>
    <n v="1"/>
    <m/>
    <m/>
    <m/>
    <m/>
    <m/>
    <n v="0"/>
    <n v="0"/>
    <m/>
    <d v="2022-12-08T00:00:00"/>
    <m/>
    <m/>
    <n v="0"/>
    <e v="#DIV/0!"/>
    <n v="0"/>
    <m/>
    <m/>
    <e v="#DIV/0!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4"/>
    <s v="Chen, Frady (Wen-Ching) &lt;Wen.Ching.Chen@kla.com&gt;"/>
    <n v="21740542"/>
    <n v="8"/>
    <s v="USC23C021"/>
    <s v="F21P1 KLA Interconnection"/>
    <s v="Main Tool Interconnection"/>
    <m/>
    <s v="IPRO7(Rapid)"/>
    <m/>
    <n v="1"/>
    <m/>
    <m/>
    <m/>
    <m/>
    <m/>
    <n v="0"/>
    <n v="0"/>
    <m/>
    <m/>
    <m/>
    <m/>
    <n v="0"/>
    <e v="#DIV/0!"/>
    <n v="0"/>
    <m/>
    <m/>
    <e v="#DIV/0!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4"/>
    <s v="Chen, Frady (Wen-Ching) &lt;Wen.Ching.Chen@kla.com&gt;"/>
    <n v="21740604"/>
    <n v="2"/>
    <s v="USC23C021"/>
    <s v="F21P1 KLA Interconnection"/>
    <s v="Main Tool Interconnection"/>
    <s v="KPOV15"/>
    <s v="ALT100(OMD)"/>
    <m/>
    <n v="1"/>
    <m/>
    <n v="3717"/>
    <m/>
    <m/>
    <n v="743.40000000000009"/>
    <n v="4460.3999999999996"/>
    <n v="4460.3999999999996"/>
    <m/>
    <m/>
    <m/>
    <m/>
    <n v="4460.3999999999996"/>
    <n v="1"/>
    <n v="0"/>
    <m/>
    <m/>
    <n v="0"/>
    <m/>
    <m/>
    <m/>
    <m/>
    <m/>
    <m/>
    <m/>
    <m/>
    <m/>
    <m/>
    <m/>
    <m/>
    <m/>
    <m/>
    <n v="2230.1999999999998"/>
    <m/>
    <m/>
    <m/>
    <m/>
    <m/>
    <m/>
    <m/>
    <m/>
    <m/>
    <m/>
    <m/>
    <s v=""/>
    <m/>
    <m/>
    <m/>
    <n v="2230.1999999999998"/>
    <m/>
    <m/>
    <m/>
    <m/>
    <m/>
    <m/>
    <m/>
    <m/>
    <m/>
    <n v="4460.3999999999996"/>
    <m/>
    <m/>
    <m/>
  </r>
  <r>
    <m/>
    <x v="14"/>
    <s v="Chen, Frady (Wen-Ching) &lt;Wen.Ching.Chen@kla.com&gt;"/>
    <n v="21740604"/>
    <n v="3"/>
    <s v="USC23C021"/>
    <s v="F21P1 KLA Interconnection"/>
    <s v="Main Tool Interconnection"/>
    <s v="KPOV16"/>
    <s v="ALT100(OMD)"/>
    <m/>
    <n v="1"/>
    <m/>
    <n v="3717"/>
    <m/>
    <m/>
    <n v="743.40000000000009"/>
    <n v="4460.3999999999996"/>
    <n v="4460.3999999999996"/>
    <m/>
    <m/>
    <m/>
    <m/>
    <n v="4460.3999999999996"/>
    <n v="1"/>
    <n v="0"/>
    <m/>
    <m/>
    <n v="0"/>
    <m/>
    <m/>
    <m/>
    <m/>
    <m/>
    <m/>
    <m/>
    <m/>
    <m/>
    <m/>
    <m/>
    <m/>
    <m/>
    <m/>
    <n v="2230.1999999999998"/>
    <m/>
    <m/>
    <m/>
    <m/>
    <m/>
    <m/>
    <m/>
    <m/>
    <m/>
    <m/>
    <m/>
    <s v=""/>
    <m/>
    <m/>
    <m/>
    <n v="2230.1999999999998"/>
    <m/>
    <m/>
    <m/>
    <m/>
    <m/>
    <m/>
    <m/>
    <m/>
    <m/>
    <n v="4460.3999999999996"/>
    <m/>
    <m/>
    <m/>
  </r>
  <r>
    <m/>
    <x v="14"/>
    <s v="Chen, Frady (Wen-Ching) &lt;Wen.Ching.Chen@kla.com&gt;"/>
    <n v="21740604"/>
    <n v="4"/>
    <s v="USC23C021"/>
    <s v="F21P1 KLA Interconnection"/>
    <s v="Main Tool Interconnection"/>
    <s v="KPOV21"/>
    <s v="ALT100(OMD)"/>
    <m/>
    <n v="1"/>
    <m/>
    <n v="3717"/>
    <m/>
    <m/>
    <n v="743.40000000000009"/>
    <n v="4460.3999999999996"/>
    <n v="4460.3999999999996"/>
    <m/>
    <m/>
    <m/>
    <m/>
    <n v="2230.1999999999998"/>
    <n v="0.5"/>
    <n v="2230.1999999999998"/>
    <m/>
    <m/>
    <n v="0"/>
    <m/>
    <m/>
    <m/>
    <m/>
    <m/>
    <m/>
    <m/>
    <m/>
    <m/>
    <m/>
    <m/>
    <m/>
    <m/>
    <m/>
    <n v="2230.1999999999998"/>
    <m/>
    <m/>
    <m/>
    <m/>
    <m/>
    <m/>
    <m/>
    <m/>
    <m/>
    <m/>
    <m/>
    <s v=""/>
    <m/>
    <m/>
    <m/>
    <m/>
    <m/>
    <m/>
    <m/>
    <m/>
    <m/>
    <m/>
    <m/>
    <m/>
    <m/>
    <n v="2230.1999999999998"/>
    <m/>
    <m/>
    <m/>
  </r>
  <r>
    <m/>
    <x v="14"/>
    <s v="Chen, Frady (Wen-Ching) &lt;Wen.Ching.Chen@kla.com&gt;"/>
    <n v="21740604"/>
    <n v="5"/>
    <s v="USC23C021"/>
    <s v="F21P1 KLA Interconnection"/>
    <s v="Main Tool Interconnection"/>
    <s v="KPOV22"/>
    <s v="ALT100(OMD)"/>
    <m/>
    <n v="1"/>
    <m/>
    <n v="3717"/>
    <m/>
    <m/>
    <n v="743.40000000000009"/>
    <n v="4460.3999999999996"/>
    <n v="4460.3999999999996"/>
    <m/>
    <m/>
    <m/>
    <m/>
    <n v="2230.1999999999998"/>
    <n v="0.5"/>
    <n v="2230.1999999999998"/>
    <m/>
    <m/>
    <n v="0"/>
    <m/>
    <m/>
    <m/>
    <m/>
    <m/>
    <m/>
    <m/>
    <m/>
    <m/>
    <m/>
    <m/>
    <m/>
    <m/>
    <m/>
    <n v="2230.1999999999998"/>
    <m/>
    <m/>
    <m/>
    <m/>
    <m/>
    <m/>
    <m/>
    <m/>
    <m/>
    <m/>
    <m/>
    <s v=""/>
    <m/>
    <m/>
    <m/>
    <m/>
    <m/>
    <m/>
    <m/>
    <m/>
    <m/>
    <m/>
    <m/>
    <m/>
    <m/>
    <n v="2230.1999999999998"/>
    <m/>
    <m/>
    <m/>
  </r>
  <r>
    <m/>
    <x v="14"/>
    <s v="Chen, Frady (Wen-Ching) &lt;Wen.Ching.Chen@kla.com&gt;"/>
    <n v="21740604"/>
    <n v="6"/>
    <s v="USC23C021"/>
    <s v="F21P1 KLA Interconnection"/>
    <s v="Main Tool Interconnection"/>
    <s v="KPOV23"/>
    <s v="ALT100(OMD)"/>
    <m/>
    <n v="1"/>
    <m/>
    <n v="3717"/>
    <m/>
    <m/>
    <n v="743.40000000000009"/>
    <n v="4460.3999999999996"/>
    <n v="4460.3999999999996"/>
    <m/>
    <m/>
    <m/>
    <m/>
    <n v="2230.1999999999998"/>
    <n v="0.5"/>
    <n v="2230.1999999999998"/>
    <m/>
    <m/>
    <n v="0"/>
    <m/>
    <m/>
    <m/>
    <m/>
    <m/>
    <m/>
    <m/>
    <m/>
    <m/>
    <m/>
    <m/>
    <m/>
    <m/>
    <m/>
    <n v="2230.1999999999998"/>
    <m/>
    <m/>
    <m/>
    <m/>
    <m/>
    <m/>
    <m/>
    <m/>
    <m/>
    <m/>
    <m/>
    <s v=""/>
    <m/>
    <m/>
    <m/>
    <m/>
    <m/>
    <m/>
    <m/>
    <m/>
    <m/>
    <m/>
    <m/>
    <m/>
    <m/>
    <n v="2230.1999999999998"/>
    <m/>
    <m/>
    <m/>
  </r>
  <r>
    <m/>
    <x v="14"/>
    <s v="Chen, Frady (Wen-Ching) &lt;Wen.Ching.Chen@kla.com&gt;"/>
    <n v="21740604"/>
    <n v="7"/>
    <s v="USC23C021"/>
    <s v="F21P1 KLA Interconnection"/>
    <s v="Main Tool Interconnection"/>
    <s v="KPOV33"/>
    <s v="ALT100(OMD)"/>
    <m/>
    <n v="1"/>
    <m/>
    <n v="3717"/>
    <m/>
    <m/>
    <n v="743.40000000000009"/>
    <n v="4460.3999999999996"/>
    <n v="4460.3999999999996"/>
    <m/>
    <m/>
    <m/>
    <m/>
    <n v="2230.1999999999998"/>
    <n v="0.5"/>
    <n v="2230.1999999999998"/>
    <m/>
    <m/>
    <n v="0"/>
    <m/>
    <m/>
    <m/>
    <m/>
    <m/>
    <m/>
    <m/>
    <m/>
    <m/>
    <m/>
    <m/>
    <m/>
    <m/>
    <m/>
    <n v="2230.1999999999998"/>
    <m/>
    <m/>
    <m/>
    <m/>
    <m/>
    <m/>
    <m/>
    <m/>
    <m/>
    <m/>
    <m/>
    <s v=""/>
    <m/>
    <m/>
    <m/>
    <m/>
    <m/>
    <m/>
    <m/>
    <m/>
    <m/>
    <m/>
    <m/>
    <m/>
    <m/>
    <n v="2230.1999999999998"/>
    <m/>
    <m/>
    <m/>
  </r>
  <r>
    <m/>
    <x v="14"/>
    <s v="Chen, Frady (Wen-Ching) &lt;Wen.Ching.Chen@kla.com&gt;"/>
    <n v="21740604"/>
    <n v="1"/>
    <s v="USC23C021"/>
    <s v="F21P1 KLA Interconnection"/>
    <s v="Main Tool Interconnection"/>
    <s v="KPOV14"/>
    <s v="ALT100(OMD)"/>
    <m/>
    <n v="1"/>
    <m/>
    <n v="3717"/>
    <m/>
    <m/>
    <n v="743.40000000000009"/>
    <n v="4460.3999999999996"/>
    <n v="4460.3999999999996"/>
    <m/>
    <d v="2022-12-08T00:00:00"/>
    <m/>
    <m/>
    <n v="4460.3999999999996"/>
    <n v="1"/>
    <n v="0"/>
    <m/>
    <m/>
    <n v="0"/>
    <m/>
    <m/>
    <m/>
    <m/>
    <m/>
    <m/>
    <m/>
    <m/>
    <m/>
    <m/>
    <m/>
    <m/>
    <m/>
    <m/>
    <n v="2230.1999999999998"/>
    <m/>
    <m/>
    <m/>
    <m/>
    <m/>
    <m/>
    <m/>
    <m/>
    <m/>
    <m/>
    <m/>
    <s v=""/>
    <m/>
    <n v="2230.1999999999998"/>
    <m/>
    <m/>
    <m/>
    <m/>
    <m/>
    <m/>
    <m/>
    <m/>
    <m/>
    <m/>
    <m/>
    <n v="4460.3999999999996"/>
    <m/>
    <m/>
    <m/>
  </r>
  <r>
    <m/>
    <x v="14"/>
    <s v="Chen, Frady (Wen-Ching) &lt;Wen.Ching.Chen@kla.com&gt;"/>
    <n v="21740606"/>
    <n v="1"/>
    <s v="USC23C021"/>
    <s v="F21P1 KLA Interconnection"/>
    <s v="Main Tool Interconnection"/>
    <s v="KKDB02"/>
    <s v="2965(BBP)"/>
    <m/>
    <n v="1"/>
    <n v="1386.0990000000002"/>
    <n v="17298.754499999999"/>
    <m/>
    <m/>
    <n v="3738.0706999999998"/>
    <n v="22422.924199999998"/>
    <n v="22422.924199999998"/>
    <m/>
    <d v="2022-12-08T00:00:00"/>
    <m/>
    <m/>
    <n v="22422.922099999996"/>
    <n v="0.99999990634584579"/>
    <n v="2.1000000015192199E-3"/>
    <n v="1"/>
    <n v="0"/>
    <n v="7.4183027445197808E-2"/>
    <m/>
    <m/>
    <m/>
    <m/>
    <m/>
    <m/>
    <m/>
    <m/>
    <m/>
    <m/>
    <m/>
    <m/>
    <m/>
    <m/>
    <n v="11211.462099999999"/>
    <m/>
    <m/>
    <m/>
    <m/>
    <m/>
    <m/>
    <m/>
    <m/>
    <m/>
    <m/>
    <m/>
    <s v=""/>
    <m/>
    <m/>
    <m/>
    <n v="11211.46"/>
    <m/>
    <m/>
    <m/>
    <m/>
    <m/>
    <m/>
    <m/>
    <m/>
    <m/>
    <n v="22422.922099999996"/>
    <m/>
    <m/>
    <m/>
  </r>
  <r>
    <m/>
    <x v="14"/>
    <s v="Chen, Frady (Wen-Ching) &lt;Wen.Ching.Chen@kla.com&gt;"/>
    <n v="21740606"/>
    <n v="2"/>
    <s v="USC23C021"/>
    <s v="F21P1 KLA Interconnection"/>
    <s v="Main Tool Interconnection"/>
    <s v="KKDB06"/>
    <s v="2965(BBP)"/>
    <m/>
    <n v="1"/>
    <n v="1386.0990000000002"/>
    <n v="17298.754499999999"/>
    <m/>
    <m/>
    <n v="3736.9706999999999"/>
    <n v="22421.824199999995"/>
    <n v="22421.824199999995"/>
    <m/>
    <m/>
    <m/>
    <m/>
    <n v="22421.822099999998"/>
    <n v="0.99999990634125135"/>
    <n v="2.0999999978812411E-3"/>
    <n v="1"/>
    <n v="0"/>
    <n v="7.4183027445197808E-2"/>
    <m/>
    <m/>
    <m/>
    <m/>
    <m/>
    <m/>
    <m/>
    <m/>
    <m/>
    <m/>
    <m/>
    <m/>
    <m/>
    <m/>
    <n v="11210.912099999998"/>
    <m/>
    <m/>
    <m/>
    <m/>
    <m/>
    <m/>
    <m/>
    <m/>
    <m/>
    <m/>
    <m/>
    <s v=""/>
    <m/>
    <m/>
    <m/>
    <n v="11210.91"/>
    <m/>
    <m/>
    <m/>
    <m/>
    <m/>
    <m/>
    <m/>
    <m/>
    <m/>
    <n v="22421.822099999998"/>
    <m/>
    <m/>
    <m/>
  </r>
  <r>
    <m/>
    <x v="14"/>
    <s v="Chen, Frady (Wen-Ching) &lt;Wen.Ching.Chen@kla.com&gt;"/>
    <n v="21740606"/>
    <n v="3"/>
    <s v="USC23C021"/>
    <s v="F21P1 KLA Interconnection"/>
    <s v="Main Tool Interconnection"/>
    <s v="KKDB01"/>
    <s v="3935(BBP)"/>
    <m/>
    <n v="1"/>
    <n v="1386.0990000000002"/>
    <n v="20502.754499999999"/>
    <m/>
    <m/>
    <n v="4377.7707"/>
    <n v="26266.624199999998"/>
    <n v="26266.624199999998"/>
    <m/>
    <d v="2022-12-08T00:00:00"/>
    <m/>
    <m/>
    <n v="26266.622100000001"/>
    <n v="0.99999992005063221"/>
    <n v="2.0999999978812411E-3"/>
    <n v="1"/>
    <n v="0"/>
    <n v="6.3324422176794251E-2"/>
    <m/>
    <m/>
    <m/>
    <m/>
    <m/>
    <m/>
    <m/>
    <m/>
    <m/>
    <m/>
    <m/>
    <m/>
    <m/>
    <m/>
    <n v="13133.312099999999"/>
    <m/>
    <m/>
    <m/>
    <m/>
    <m/>
    <m/>
    <m/>
    <m/>
    <m/>
    <m/>
    <m/>
    <s v=""/>
    <m/>
    <m/>
    <m/>
    <n v="13133.31"/>
    <m/>
    <m/>
    <m/>
    <m/>
    <m/>
    <m/>
    <m/>
    <m/>
    <m/>
    <n v="26266.622100000001"/>
    <m/>
    <m/>
    <m/>
  </r>
  <r>
    <m/>
    <x v="14"/>
    <s v="Chen, Frady (Wen-Ching) &lt;Wen.Ching.Chen@kla.com&gt;"/>
    <n v="21740606"/>
    <n v="4"/>
    <s v="USC23C021"/>
    <s v="F21P1 KLA Interconnection"/>
    <s v="Main Tool Interconnection"/>
    <s v="KKDB03"/>
    <s v="3935(BBP)"/>
    <m/>
    <n v="1"/>
    <n v="1386.0990000000002"/>
    <n v="20502.754499999999"/>
    <m/>
    <m/>
    <n v="4377.7707"/>
    <n v="26266.624199999998"/>
    <n v="26266.624199999998"/>
    <m/>
    <m/>
    <m/>
    <m/>
    <n v="26266.622100000001"/>
    <n v="0.99999992005063221"/>
    <n v="2.0999999978812411E-3"/>
    <n v="1"/>
    <n v="0"/>
    <n v="6.3324422176794251E-2"/>
    <m/>
    <m/>
    <m/>
    <m/>
    <m/>
    <m/>
    <m/>
    <m/>
    <m/>
    <m/>
    <m/>
    <m/>
    <m/>
    <m/>
    <n v="13133.312099999999"/>
    <m/>
    <m/>
    <m/>
    <m/>
    <m/>
    <m/>
    <m/>
    <m/>
    <m/>
    <m/>
    <m/>
    <s v=""/>
    <m/>
    <m/>
    <m/>
    <n v="13133.31"/>
    <m/>
    <m/>
    <m/>
    <m/>
    <m/>
    <m/>
    <m/>
    <m/>
    <m/>
    <n v="26266.622100000001"/>
    <m/>
    <m/>
    <m/>
  </r>
  <r>
    <m/>
    <x v="14"/>
    <s v="Chen, Frady (Wen-Ching) &lt;Wen.Ching.Chen@kla.com&gt;"/>
    <n v="21740607"/>
    <n v="9"/>
    <s v="USC23C021"/>
    <s v="F21P1 KLA Interconnection"/>
    <s v="Main Tool Interconnection"/>
    <s v="KPSP07"/>
    <s v="SP7XP Lite(SFS)"/>
    <m/>
    <n v="1"/>
    <n v="2483.7800000000002"/>
    <n v="12071.189999999999"/>
    <m/>
    <m/>
    <n v="2910.9940000000001"/>
    <n v="17465.964"/>
    <n v="17465.964"/>
    <m/>
    <m/>
    <m/>
    <m/>
    <n v="17465.962"/>
    <n v="0.99999988549157659"/>
    <n v="2.0000000004074536E-3"/>
    <n v="1"/>
    <n v="0"/>
    <n v="0.17064823905511314"/>
    <m/>
    <m/>
    <m/>
    <m/>
    <m/>
    <m/>
    <m/>
    <m/>
    <m/>
    <m/>
    <m/>
    <m/>
    <m/>
    <m/>
    <n v="8732.982"/>
    <m/>
    <m/>
    <m/>
    <m/>
    <m/>
    <m/>
    <m/>
    <m/>
    <m/>
    <m/>
    <m/>
    <s v=""/>
    <m/>
    <n v="8732.98"/>
    <m/>
    <m/>
    <m/>
    <m/>
    <m/>
    <m/>
    <m/>
    <m/>
    <m/>
    <m/>
    <m/>
    <n v="17465.962"/>
    <m/>
    <m/>
    <m/>
  </r>
  <r>
    <m/>
    <x v="14"/>
    <s v="Chen, Frady (Wen-Ching) &lt;Wen.Ching.Chen@kla.com&gt;"/>
    <n v="21740607"/>
    <n v="1"/>
    <s v="USC23C021"/>
    <s v="F21P1 KLA Interconnection"/>
    <s v="Main Tool Interconnection"/>
    <s v="KPSP01"/>
    <s v="SP5XP EH(SFS)"/>
    <s v="Billed"/>
    <n v="1"/>
    <n v="1568.5800000000002"/>
    <n v="6253.46"/>
    <m/>
    <m/>
    <n v="1564.4080000000001"/>
    <n v="9386.4480000000003"/>
    <n v="9386.4480000000003"/>
    <m/>
    <d v="2022-12-08T00:00:00"/>
    <m/>
    <m/>
    <n v="9386.4480000000003"/>
    <n v="1"/>
    <n v="0"/>
    <n v="1"/>
    <n v="0"/>
    <n v="0.20053336469770036"/>
    <m/>
    <m/>
    <m/>
    <m/>
    <m/>
    <m/>
    <m/>
    <m/>
    <m/>
    <m/>
    <m/>
    <m/>
    <m/>
    <m/>
    <n v="9386.4480000000003"/>
    <m/>
    <m/>
    <m/>
    <m/>
    <m/>
    <m/>
    <m/>
    <m/>
    <m/>
    <m/>
    <m/>
    <s v=""/>
    <m/>
    <m/>
    <m/>
    <m/>
    <m/>
    <m/>
    <m/>
    <m/>
    <m/>
    <m/>
    <m/>
    <m/>
    <m/>
    <n v="9386.4480000000003"/>
    <m/>
    <m/>
    <m/>
  </r>
  <r>
    <m/>
    <x v="14"/>
    <s v="Chen, Frady (Wen-Ching) &lt;Wen.Ching.Chen@kla.com&gt;"/>
    <n v="21740607"/>
    <n v="3"/>
    <s v="USC23C021"/>
    <s v="F21P1 KLA Interconnection"/>
    <s v="Main Tool Interconnection"/>
    <s v="KPSP05"/>
    <s v="SP5XP VH(SFS)"/>
    <s v="Billed"/>
    <n v="1"/>
    <n v="1568.5800000000002"/>
    <n v="6253.46"/>
    <m/>
    <m/>
    <n v="1564.4080000000001"/>
    <n v="9386.4480000000003"/>
    <n v="9386.4480000000003"/>
    <m/>
    <d v="2022-12-08T00:00:00"/>
    <m/>
    <m/>
    <n v="9386.4480000000003"/>
    <n v="1"/>
    <n v="0"/>
    <n v="1"/>
    <n v="0"/>
    <n v="0.20053336469770036"/>
    <m/>
    <m/>
    <m/>
    <m/>
    <m/>
    <m/>
    <m/>
    <m/>
    <m/>
    <m/>
    <m/>
    <m/>
    <m/>
    <m/>
    <n v="9386.4480000000003"/>
    <m/>
    <m/>
    <m/>
    <m/>
    <m/>
    <m/>
    <m/>
    <m/>
    <m/>
    <m/>
    <m/>
    <s v=""/>
    <m/>
    <m/>
    <m/>
    <m/>
    <m/>
    <m/>
    <m/>
    <m/>
    <m/>
    <m/>
    <m/>
    <m/>
    <m/>
    <n v="9386.4480000000003"/>
    <m/>
    <m/>
    <m/>
  </r>
  <r>
    <m/>
    <x v="14"/>
    <s v="Chen, Frady (Wen-Ching) &lt;Wen.Ching.Chen@kla.com&gt;"/>
    <n v="21740607"/>
    <n v="4"/>
    <s v="USC23C021"/>
    <s v="F21P1 KLA Interconnection"/>
    <s v="Main Tool Interconnection"/>
    <s v="KPSP02"/>
    <s v="SP5XP VH(SFS)"/>
    <s v="Billed"/>
    <n v="1"/>
    <n v="1568.5800000000002"/>
    <n v="6253.46"/>
    <m/>
    <m/>
    <n v="1564.4080000000001"/>
    <n v="9386.4480000000003"/>
    <n v="9386.4480000000003"/>
    <m/>
    <m/>
    <m/>
    <m/>
    <n v="9386.4480000000003"/>
    <n v="1"/>
    <n v="0"/>
    <n v="1"/>
    <n v="0"/>
    <n v="0.20053336469770036"/>
    <m/>
    <m/>
    <m/>
    <m/>
    <m/>
    <m/>
    <m/>
    <m/>
    <m/>
    <m/>
    <m/>
    <m/>
    <m/>
    <m/>
    <n v="9386.4480000000003"/>
    <m/>
    <m/>
    <m/>
    <m/>
    <m/>
    <m/>
    <m/>
    <m/>
    <m/>
    <m/>
    <m/>
    <s v=""/>
    <m/>
    <m/>
    <m/>
    <m/>
    <m/>
    <m/>
    <m/>
    <m/>
    <m/>
    <m/>
    <m/>
    <m/>
    <m/>
    <n v="9386.4480000000003"/>
    <m/>
    <m/>
    <m/>
  </r>
  <r>
    <m/>
    <x v="14"/>
    <s v="Chen, Frady (Wen-Ching) &lt;Wen.Ching.Chen@kla.com&gt;"/>
    <n v="21740607"/>
    <n v="5"/>
    <s v="USC23C021"/>
    <s v="F21P1 KLA Interconnection"/>
    <s v="Main Tool Interconnection"/>
    <s v="KPSP10"/>
    <s v="SP5XP VH(SFS)"/>
    <m/>
    <n v="1"/>
    <n v="1568.5800000000002"/>
    <n v="6253.46"/>
    <m/>
    <m/>
    <n v="1564.4080000000001"/>
    <n v="9386.4480000000003"/>
    <n v="9386.4480000000003"/>
    <m/>
    <m/>
    <m/>
    <m/>
    <n v="9386.4539999999997"/>
    <n v="1.0000006392194363"/>
    <n v="-5.9999999994033715E-3"/>
    <n v="1"/>
    <n v="0"/>
    <n v="0.20053336469770036"/>
    <m/>
    <m/>
    <m/>
    <m/>
    <m/>
    <m/>
    <m/>
    <m/>
    <m/>
    <m/>
    <m/>
    <m/>
    <m/>
    <m/>
    <n v="4693.2240000000002"/>
    <m/>
    <m/>
    <m/>
    <m/>
    <m/>
    <m/>
    <m/>
    <m/>
    <m/>
    <m/>
    <m/>
    <s v=""/>
    <m/>
    <m/>
    <m/>
    <n v="4693.2299999999996"/>
    <m/>
    <m/>
    <m/>
    <m/>
    <m/>
    <m/>
    <m/>
    <m/>
    <m/>
    <n v="9386.4539999999997"/>
    <m/>
    <m/>
    <m/>
  </r>
  <r>
    <m/>
    <x v="14"/>
    <s v="Chen, Frady (Wen-Ching) &lt;Wen.Ching.Chen@kla.com&gt;"/>
    <n v="21740607"/>
    <n v="6"/>
    <s v="USC23C021"/>
    <s v="F21P1 KLA Interconnection"/>
    <s v="Main Tool Interconnection"/>
    <s v="KPSP08"/>
    <s v="SP5XP VH(SFS)"/>
    <m/>
    <n v="1"/>
    <n v="1568.5800000000002"/>
    <n v="6253.46"/>
    <m/>
    <m/>
    <n v="1564.4080000000001"/>
    <n v="9386.4480000000003"/>
    <n v="9386.4480000000003"/>
    <m/>
    <m/>
    <m/>
    <m/>
    <n v="9386.4539999999997"/>
    <n v="1.0000006392194363"/>
    <n v="-5.9999999994033715E-3"/>
    <n v="1"/>
    <n v="0"/>
    <n v="0.20053336469770036"/>
    <m/>
    <m/>
    <m/>
    <m/>
    <m/>
    <m/>
    <m/>
    <m/>
    <m/>
    <m/>
    <m/>
    <m/>
    <m/>
    <m/>
    <n v="4693.2240000000002"/>
    <m/>
    <m/>
    <m/>
    <m/>
    <m/>
    <m/>
    <m/>
    <m/>
    <m/>
    <m/>
    <m/>
    <s v=""/>
    <m/>
    <m/>
    <m/>
    <n v="4693.2299999999996"/>
    <m/>
    <m/>
    <m/>
    <m/>
    <m/>
    <m/>
    <m/>
    <m/>
    <m/>
    <n v="9386.4539999999997"/>
    <m/>
    <m/>
    <m/>
  </r>
  <r>
    <m/>
    <x v="14"/>
    <s v="Chen, Frady (Wen-Ching) &lt;Wen.Ching.Chen@kla.com&gt;"/>
    <n v="21740607"/>
    <n v="7"/>
    <s v="USC23C021"/>
    <s v="F21P1 KLA Interconnection"/>
    <s v="Main Tool Interconnection"/>
    <s v="KPSP06"/>
    <s v="SP7(SFS)"/>
    <s v="Billed"/>
    <n v="1"/>
    <n v="2483.7800000000002"/>
    <n v="12071.189999999999"/>
    <m/>
    <m/>
    <n v="2910.4839999999999"/>
    <n v="17465.453999999998"/>
    <n v="17465.453999999998"/>
    <m/>
    <d v="2022-12-08T00:00:00"/>
    <m/>
    <m/>
    <n v="17465.453999999998"/>
    <n v="1"/>
    <n v="0"/>
    <n v="1"/>
    <n v="0"/>
    <n v="0.17064823905511314"/>
    <m/>
    <m/>
    <m/>
    <m/>
    <m/>
    <m/>
    <m/>
    <m/>
    <m/>
    <m/>
    <m/>
    <m/>
    <m/>
    <m/>
    <n v="17465.453999999998"/>
    <m/>
    <m/>
    <m/>
    <m/>
    <m/>
    <m/>
    <m/>
    <m/>
    <m/>
    <m/>
    <m/>
    <s v=""/>
    <m/>
    <m/>
    <m/>
    <m/>
    <m/>
    <m/>
    <m/>
    <m/>
    <m/>
    <m/>
    <m/>
    <m/>
    <m/>
    <n v="17465.453999999998"/>
    <m/>
    <m/>
    <m/>
  </r>
  <r>
    <m/>
    <x v="14"/>
    <s v="Chen, Frady (Wen-Ching) &lt;Wen.Ching.Chen@kla.com&gt;"/>
    <n v="21740607"/>
    <n v="8"/>
    <s v="USC23C021"/>
    <s v="F21P1 KLA Interconnection"/>
    <s v="Main Tool Interconnection"/>
    <s v="KPSP03"/>
    <s v="SP7XP Lite(SFS)"/>
    <s v="Billed"/>
    <n v="1"/>
    <n v="2483.7800000000002"/>
    <n v="12071.189999999999"/>
    <m/>
    <m/>
    <n v="2910.9940000000001"/>
    <n v="17465.964"/>
    <n v="17465.964"/>
    <m/>
    <d v="2022-12-08T00:00:00"/>
    <m/>
    <m/>
    <n v="17465.964"/>
    <n v="1"/>
    <n v="0"/>
    <n v="1"/>
    <n v="0"/>
    <n v="0.17064823905511314"/>
    <m/>
    <m/>
    <m/>
    <m/>
    <m/>
    <m/>
    <m/>
    <m/>
    <m/>
    <m/>
    <m/>
    <m/>
    <m/>
    <m/>
    <n v="17465.964"/>
    <m/>
    <m/>
    <m/>
    <m/>
    <m/>
    <m/>
    <m/>
    <m/>
    <m/>
    <m/>
    <m/>
    <s v=""/>
    <m/>
    <m/>
    <m/>
    <m/>
    <m/>
    <m/>
    <m/>
    <m/>
    <m/>
    <m/>
    <m/>
    <m/>
    <m/>
    <n v="17465.964"/>
    <m/>
    <m/>
    <m/>
  </r>
  <r>
    <m/>
    <x v="14"/>
    <s v="Chen, Frady (Wen-Ching) &lt;Wen.Ching.Chen@kla.com&gt;"/>
    <n v="21740607"/>
    <n v="10"/>
    <s v="USC23C021"/>
    <s v="F21P1 KLA Interconnection"/>
    <s v="Main Tool Interconnection"/>
    <s v="KPSP12"/>
    <s v="SP7XP(SFS)"/>
    <m/>
    <n v="1"/>
    <n v="2483.7800000000002"/>
    <n v="12071.189999999999"/>
    <m/>
    <m/>
    <n v="2910.9940000000001"/>
    <n v="17465.964"/>
    <n v="17465.964"/>
    <m/>
    <d v="2022-12-08T00:00:00"/>
    <m/>
    <m/>
    <n v="8732.982"/>
    <n v="0.5"/>
    <n v="8732.982"/>
    <n v="1"/>
    <n v="0"/>
    <n v="0.17064823905511314"/>
    <m/>
    <m/>
    <m/>
    <m/>
    <m/>
    <m/>
    <m/>
    <m/>
    <m/>
    <m/>
    <m/>
    <m/>
    <m/>
    <m/>
    <n v="8732.982"/>
    <m/>
    <m/>
    <m/>
    <m/>
    <m/>
    <m/>
    <m/>
    <m/>
    <m/>
    <m/>
    <m/>
    <s v=""/>
    <m/>
    <m/>
    <m/>
    <m/>
    <m/>
    <m/>
    <m/>
    <m/>
    <m/>
    <m/>
    <m/>
    <m/>
    <m/>
    <n v="8732.982"/>
    <m/>
    <m/>
    <m/>
  </r>
  <r>
    <m/>
    <x v="14"/>
    <s v="Chen, Frady (Wen-Ching) &lt;Wen.Ching.Chen@kla.com&gt;"/>
    <n v="21740607"/>
    <n v="11"/>
    <s v="USC23C021"/>
    <s v="F21P1 KLA Interconnection"/>
    <s v="Main Tool Interconnection"/>
    <s v="KPSP13"/>
    <s v="SP7XP(SFS)"/>
    <m/>
    <n v="1"/>
    <n v="2483.7800000000002"/>
    <n v="12071.189999999999"/>
    <m/>
    <m/>
    <n v="2910.9940000000001"/>
    <n v="17465.964"/>
    <n v="17465.964"/>
    <m/>
    <m/>
    <m/>
    <m/>
    <n v="8732.982"/>
    <n v="0.5"/>
    <n v="8732.982"/>
    <n v="1"/>
    <n v="0"/>
    <n v="0.17064823905511314"/>
    <m/>
    <m/>
    <m/>
    <m/>
    <m/>
    <m/>
    <m/>
    <m/>
    <m/>
    <m/>
    <m/>
    <m/>
    <m/>
    <m/>
    <n v="8732.982"/>
    <m/>
    <m/>
    <m/>
    <m/>
    <m/>
    <m/>
    <m/>
    <m/>
    <m/>
    <m/>
    <m/>
    <s v=""/>
    <m/>
    <m/>
    <m/>
    <m/>
    <m/>
    <m/>
    <m/>
    <m/>
    <m/>
    <m/>
    <m/>
    <m/>
    <m/>
    <n v="8732.982"/>
    <m/>
    <m/>
    <m/>
  </r>
  <r>
    <m/>
    <x v="14"/>
    <s v="Chen, Frady (Wen-Ching) &lt;Wen.Ching.Chen@kla.com&gt;"/>
    <n v="21740607"/>
    <n v="2"/>
    <s v="USC23C021"/>
    <s v="F21P1 KLA Interconnection"/>
    <s v="Main Tool Interconnection"/>
    <s v="KPSP04"/>
    <s v="SP5XP EH(SFS)"/>
    <s v="In Progress"/>
    <n v="1"/>
    <n v="1568.5800000000002"/>
    <n v="6253.46"/>
    <m/>
    <m/>
    <n v="1564.4080000000001"/>
    <n v="9386.4480000000003"/>
    <n v="9386.4480000000003"/>
    <m/>
    <m/>
    <m/>
    <m/>
    <n v="9386.4539999999997"/>
    <n v="1.0000006392194363"/>
    <n v="-5.9999999994033715E-3"/>
    <n v="1"/>
    <n v="0"/>
    <n v="0.20053336469770036"/>
    <m/>
    <m/>
    <m/>
    <m/>
    <m/>
    <m/>
    <m/>
    <m/>
    <m/>
    <m/>
    <m/>
    <m/>
    <m/>
    <m/>
    <n v="4693.2240000000002"/>
    <m/>
    <m/>
    <m/>
    <m/>
    <m/>
    <m/>
    <m/>
    <m/>
    <m/>
    <m/>
    <m/>
    <s v=""/>
    <m/>
    <m/>
    <m/>
    <n v="4693.2299999999996"/>
    <m/>
    <m/>
    <m/>
    <m/>
    <m/>
    <m/>
    <m/>
    <m/>
    <m/>
    <n v="9386.4539999999997"/>
    <m/>
    <m/>
    <m/>
  </r>
  <r>
    <m/>
    <x v="14"/>
    <s v="Chen, Frady (Wen-Ching) &lt;Wen.Ching.Chen@kla.com&gt;"/>
    <n v="21740610"/>
    <n v="1"/>
    <s v="USC23C021"/>
    <s v="F21P1 KLA Interconnection"/>
    <s v="Main Tool Interconnection"/>
    <s v="KPIN01"/>
    <s v="Voya 1015 lite(LS)"/>
    <m/>
    <n v="1"/>
    <n v="1510.0800000000002"/>
    <n v="14184.754499999999"/>
    <m/>
    <m/>
    <n v="3139.7568999999999"/>
    <n v="18834.591399999998"/>
    <n v="18834.591399999998"/>
    <m/>
    <d v="2022-12-08T00:00:00"/>
    <m/>
    <m/>
    <n v="18834.5857"/>
    <n v="0.99999969736534888"/>
    <n v="5.6999999978870619E-3"/>
    <n v="1"/>
    <n v="0"/>
    <n v="9.6215095482529628E-2"/>
    <m/>
    <m/>
    <m/>
    <m/>
    <m/>
    <m/>
    <m/>
    <m/>
    <m/>
    <m/>
    <m/>
    <m/>
    <m/>
    <m/>
    <n v="9417.2956999999988"/>
    <m/>
    <m/>
    <m/>
    <m/>
    <m/>
    <m/>
    <m/>
    <m/>
    <m/>
    <m/>
    <m/>
    <s v=""/>
    <m/>
    <m/>
    <m/>
    <n v="9417.2900000000009"/>
    <m/>
    <m/>
    <m/>
    <m/>
    <m/>
    <m/>
    <m/>
    <m/>
    <m/>
    <n v="18834.5857"/>
    <m/>
    <m/>
    <m/>
  </r>
  <r>
    <m/>
    <x v="14"/>
    <s v="Chen, Frady (Wen-Ching) &lt;Wen.Ching.Chen@kla.com&gt;"/>
    <n v="21740610"/>
    <n v="2"/>
    <s v="USC23C021"/>
    <s v="F21P1 KLA Interconnection"/>
    <s v="Main Tool Interconnection"/>
    <s v="KPIN02"/>
    <s v="Voya 1015 lite(LS)"/>
    <m/>
    <n v="1"/>
    <n v="1510.0800000000002"/>
    <n v="14184.754499999999"/>
    <m/>
    <m/>
    <n v="3138.9668999999999"/>
    <n v="18833.8014"/>
    <n v="18833.8014"/>
    <m/>
    <m/>
    <m/>
    <m/>
    <n v="9416.9007000000001"/>
    <n v="0.5"/>
    <n v="9416.9007000000001"/>
    <n v="1"/>
    <n v="0"/>
    <n v="9.6215095482529628E-2"/>
    <m/>
    <m/>
    <m/>
    <m/>
    <m/>
    <m/>
    <m/>
    <m/>
    <m/>
    <m/>
    <m/>
    <m/>
    <m/>
    <m/>
    <n v="9416.9007000000001"/>
    <m/>
    <m/>
    <m/>
    <m/>
    <m/>
    <m/>
    <m/>
    <m/>
    <m/>
    <m/>
    <m/>
    <s v=""/>
    <m/>
    <m/>
    <m/>
    <m/>
    <m/>
    <m/>
    <m/>
    <m/>
    <m/>
    <m/>
    <m/>
    <m/>
    <m/>
    <n v="9416.9007000000001"/>
    <m/>
    <m/>
    <m/>
  </r>
  <r>
    <m/>
    <x v="14"/>
    <s v="Chen, Frady (Wen-Ching) &lt;Wen.Ching.Chen@kla.com&gt;"/>
    <n v="21740610"/>
    <n v="3"/>
    <s v="USC23C021"/>
    <s v="F21P1 KLA Interconnection"/>
    <s v="Main Tool Interconnection"/>
    <s v="KKDD02"/>
    <s v="Voya 1015(LS)"/>
    <m/>
    <n v="1"/>
    <n v="1510.0800000000002"/>
    <n v="14184.754499999999"/>
    <m/>
    <m/>
    <n v="3138.9668999999999"/>
    <n v="18833.8014"/>
    <n v="18833.8014"/>
    <m/>
    <d v="2022-12-08T00:00:00"/>
    <m/>
    <m/>
    <n v="18833.8007"/>
    <n v="0.99999996283278214"/>
    <n v="7.0000000050640665E-4"/>
    <n v="1"/>
    <n v="0"/>
    <n v="9.6215095482529628E-2"/>
    <m/>
    <m/>
    <m/>
    <m/>
    <m/>
    <m/>
    <m/>
    <m/>
    <m/>
    <m/>
    <m/>
    <m/>
    <m/>
    <m/>
    <n v="9416.9007000000001"/>
    <m/>
    <m/>
    <m/>
    <m/>
    <m/>
    <m/>
    <m/>
    <m/>
    <m/>
    <m/>
    <m/>
    <s v=""/>
    <m/>
    <m/>
    <m/>
    <n v="9416.9"/>
    <m/>
    <m/>
    <m/>
    <m/>
    <m/>
    <m/>
    <m/>
    <m/>
    <m/>
    <n v="18833.8007"/>
    <m/>
    <m/>
    <m/>
  </r>
  <r>
    <m/>
    <x v="14"/>
    <s v="Chen, Frady (Wen-Ching) &lt;Wen.Ching.Chen@kla.com&gt;"/>
    <n v="21740610"/>
    <n v="4"/>
    <s v="USC23C021"/>
    <s v="F21P1 KLA Interconnection"/>
    <s v="Main Tool Interconnection"/>
    <s v="KKDD03"/>
    <s v="Voya 1015(LS)"/>
    <m/>
    <n v="1"/>
    <n v="1510.0800000000002"/>
    <n v="14184.754499999999"/>
    <m/>
    <m/>
    <n v="3138.9668999999999"/>
    <n v="18833.8014"/>
    <n v="18833.8014"/>
    <m/>
    <m/>
    <m/>
    <m/>
    <n v="9416.9007000000001"/>
    <n v="0.5"/>
    <n v="9416.9007000000001"/>
    <n v="1"/>
    <n v="0"/>
    <n v="9.6215095482529628E-2"/>
    <m/>
    <m/>
    <m/>
    <m/>
    <m/>
    <m/>
    <m/>
    <m/>
    <m/>
    <m/>
    <m/>
    <m/>
    <m/>
    <m/>
    <n v="9416.9007000000001"/>
    <m/>
    <m/>
    <m/>
    <m/>
    <m/>
    <m/>
    <m/>
    <m/>
    <m/>
    <m/>
    <m/>
    <s v=""/>
    <m/>
    <m/>
    <m/>
    <m/>
    <m/>
    <m/>
    <m/>
    <m/>
    <m/>
    <m/>
    <m/>
    <m/>
    <m/>
    <n v="9416.9007000000001"/>
    <m/>
    <m/>
    <m/>
  </r>
  <r>
    <m/>
    <x v="14"/>
    <m/>
    <n v="21772870"/>
    <n v="1"/>
    <s v="USC23C021"/>
    <s v="F21P1 KLA Interconnection"/>
    <s v="Main Tool Interconnection"/>
    <s v="KPSP09"/>
    <s v="SP3"/>
    <m/>
    <n v="1"/>
    <m/>
    <n v="7336"/>
    <m/>
    <m/>
    <n v="1522"/>
    <n v="8858"/>
    <n v="8858"/>
    <m/>
    <m/>
    <m/>
    <m/>
    <n v="8858"/>
    <n v="1"/>
    <n v="0"/>
    <m/>
    <m/>
    <n v="0"/>
    <m/>
    <m/>
    <m/>
    <m/>
    <m/>
    <m/>
    <m/>
    <m/>
    <m/>
    <m/>
    <m/>
    <m/>
    <m/>
    <m/>
    <n v="4429"/>
    <m/>
    <m/>
    <m/>
    <m/>
    <m/>
    <m/>
    <m/>
    <m/>
    <m/>
    <m/>
    <m/>
    <s v=""/>
    <m/>
    <n v="4429"/>
    <m/>
    <m/>
    <m/>
    <m/>
    <m/>
    <m/>
    <m/>
    <m/>
    <m/>
    <m/>
    <m/>
    <n v="8858"/>
    <m/>
    <m/>
    <m/>
  </r>
  <r>
    <m/>
    <x v="14"/>
    <m/>
    <n v="21784625"/>
    <n v="1"/>
    <s v="USC23C021"/>
    <s v="F21P1 KLA Interconnection"/>
    <s v="Main Tool Interconnection"/>
    <s v="KPOV13"/>
    <s v="ATL"/>
    <m/>
    <n v="1"/>
    <m/>
    <n v="3717"/>
    <m/>
    <m/>
    <n v="743.4"/>
    <n v="4460.3999999999996"/>
    <n v="4460.3999999999996"/>
    <m/>
    <m/>
    <m/>
    <m/>
    <n v="4460.3999999999996"/>
    <n v="1"/>
    <n v="0"/>
    <m/>
    <m/>
    <n v="0"/>
    <m/>
    <m/>
    <m/>
    <m/>
    <m/>
    <m/>
    <m/>
    <m/>
    <m/>
    <m/>
    <m/>
    <m/>
    <m/>
    <m/>
    <n v="2230.1999999999998"/>
    <m/>
    <m/>
    <m/>
    <m/>
    <m/>
    <m/>
    <m/>
    <m/>
    <m/>
    <m/>
    <m/>
    <s v=""/>
    <m/>
    <n v="2230.1999999999998"/>
    <m/>
    <m/>
    <m/>
    <m/>
    <m/>
    <m/>
    <m/>
    <m/>
    <m/>
    <m/>
    <m/>
    <n v="4460.3999999999996"/>
    <m/>
    <m/>
    <m/>
  </r>
  <r>
    <m/>
    <x v="14"/>
    <m/>
    <n v="21883931"/>
    <n v="1"/>
    <s v="USC23C021"/>
    <s v="F21P1 KLA Interconnection"/>
    <s v="Main Tool Interconnection"/>
    <s v="KPMI01/KPMI02/ZLMS-1/ZKT6-1/ZKT6-2"/>
    <s v=" F21 Rapid interconnection"/>
    <m/>
    <n v="1"/>
    <m/>
    <n v="18212"/>
    <m/>
    <m/>
    <m/>
    <n v="18212"/>
    <n v="18212"/>
    <m/>
    <m/>
    <m/>
    <m/>
    <n v="18212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n v="18212"/>
    <m/>
    <m/>
    <m/>
    <m/>
    <m/>
    <m/>
    <m/>
    <m/>
    <m/>
    <n v="18212"/>
    <m/>
    <m/>
    <m/>
  </r>
  <r>
    <m/>
    <x v="15"/>
    <s v="Huang HuangChun / 黃煌竣 &lt;jerry.huang@kokusai-electric.com&gt;"/>
    <n v="18612"/>
    <n v="1"/>
    <s v="USC23C020"/>
    <s v="F21P1 Kokusai Interconnection"/>
    <s v="Main Tool Interconnection"/>
    <s v="KDSAK1"/>
    <s v="AP (QHT2-ILD) INTERCONNECTS"/>
    <s v="Billed"/>
    <n v="1"/>
    <n v="2500.6999999999998"/>
    <n v="9753.06"/>
    <m/>
    <m/>
    <n v="2450.75"/>
    <n v="14704.509999999998"/>
    <n v="14704.509999999998"/>
    <m/>
    <d v="2022-12-20T00:00:00"/>
    <m/>
    <s v="30 days net"/>
    <n v="14704.509999999998"/>
    <n v="1"/>
    <n v="0"/>
    <m/>
    <m/>
    <n v="0"/>
    <m/>
    <m/>
    <m/>
    <m/>
    <m/>
    <m/>
    <m/>
    <m/>
    <m/>
    <m/>
    <m/>
    <m/>
    <n v="14704.509999999998"/>
    <m/>
    <m/>
    <m/>
    <m/>
    <m/>
    <m/>
    <m/>
    <m/>
    <m/>
    <m/>
    <m/>
    <m/>
    <m/>
    <s v=""/>
    <m/>
    <m/>
    <m/>
    <m/>
    <m/>
    <m/>
    <m/>
    <m/>
    <m/>
    <m/>
    <m/>
    <m/>
    <m/>
    <n v="14704.509999999998"/>
    <m/>
    <m/>
    <m/>
  </r>
  <r>
    <m/>
    <x v="15"/>
    <s v="Huang HuangChun / 黃煌竣 &lt;jerry.huang@kokusai-electric.com&gt;"/>
    <n v="18612"/>
    <n v="2"/>
    <s v="USC23C020"/>
    <s v="F21P1 Kokusai Interconnection"/>
    <s v="Main Tool Interconnection"/>
    <s v="KDSAK2"/>
    <s v="AP (QHT2-ILD) INTERCONNECTS"/>
    <m/>
    <n v="1"/>
    <n v="2500.6999999999998"/>
    <n v="9753.06"/>
    <m/>
    <m/>
    <n v="2450.75"/>
    <n v="14704.509999999998"/>
    <n v="14704.509999999998"/>
    <m/>
    <m/>
    <m/>
    <m/>
    <n v="14704.51"/>
    <n v="1.0000000000000002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14704.51"/>
    <m/>
    <m/>
    <m/>
    <m/>
    <m/>
    <m/>
    <m/>
    <m/>
    <m/>
    <m/>
    <m/>
    <n v="14704.51"/>
    <m/>
    <m/>
    <m/>
  </r>
  <r>
    <m/>
    <x v="15"/>
    <s v="Huang HuangChun / 黃煌竣 &lt;jerry.huang@kokusai-electric.com&gt;"/>
    <n v="18612"/>
    <n v="3"/>
    <s v="USC23C020"/>
    <s v="F21P1 Kokusai Interconnection"/>
    <s v="Main Tool Interconnection"/>
    <s v="KDAPK1"/>
    <s v="AP (QHT2-ILD) INTERCONNECTS"/>
    <s v="Billed"/>
    <n v="1"/>
    <n v="2500.6999999999998"/>
    <n v="9753.06"/>
    <m/>
    <m/>
    <n v="2450.75"/>
    <n v="14704.509999999998"/>
    <n v="14704.509999999998"/>
    <m/>
    <m/>
    <m/>
    <m/>
    <n v="14704.509999999998"/>
    <n v="1"/>
    <n v="0"/>
    <m/>
    <m/>
    <n v="0"/>
    <m/>
    <m/>
    <m/>
    <m/>
    <m/>
    <m/>
    <m/>
    <m/>
    <m/>
    <m/>
    <m/>
    <m/>
    <n v="14704.509999999998"/>
    <m/>
    <m/>
    <m/>
    <m/>
    <m/>
    <m/>
    <m/>
    <m/>
    <m/>
    <m/>
    <m/>
    <m/>
    <m/>
    <s v=""/>
    <m/>
    <m/>
    <m/>
    <m/>
    <m/>
    <m/>
    <m/>
    <m/>
    <m/>
    <m/>
    <m/>
    <m/>
    <m/>
    <n v="14704.509999999998"/>
    <m/>
    <m/>
    <m/>
  </r>
  <r>
    <m/>
    <x v="15"/>
    <s v="Huang HuangChun / 黃煌竣 &lt;jerry.huang@kokusai-electric.com&gt;"/>
    <n v="18612"/>
    <n v="4"/>
    <s v="USC23C020"/>
    <s v="F21P1 Kokusai Interconnection"/>
    <s v="Main Tool Interconnection"/>
    <s v="KDAPK2"/>
    <s v="AP (QHT2-ILD) INTERCONNECTS"/>
    <s v="Billed"/>
    <n v="1"/>
    <n v="2500.6999999999998"/>
    <n v="9753.06"/>
    <m/>
    <m/>
    <n v="2450.75"/>
    <n v="14704.509999999998"/>
    <n v="14704.509999999998"/>
    <m/>
    <m/>
    <m/>
    <m/>
    <n v="14704.509999999998"/>
    <n v="1"/>
    <n v="0"/>
    <m/>
    <m/>
    <n v="0"/>
    <m/>
    <m/>
    <m/>
    <m/>
    <m/>
    <m/>
    <m/>
    <m/>
    <m/>
    <m/>
    <m/>
    <m/>
    <n v="14704.509999999998"/>
    <m/>
    <m/>
    <m/>
    <m/>
    <m/>
    <m/>
    <m/>
    <m/>
    <m/>
    <m/>
    <m/>
    <m/>
    <m/>
    <s v=""/>
    <m/>
    <m/>
    <m/>
    <m/>
    <m/>
    <m/>
    <m/>
    <m/>
    <m/>
    <m/>
    <m/>
    <m/>
    <m/>
    <n v="14704.509999999998"/>
    <m/>
    <m/>
    <m/>
  </r>
  <r>
    <m/>
    <x v="15"/>
    <s v="Huang HuangChun / 黃煌竣 &lt;jerry.huang@kokusai-electric.com&gt;"/>
    <n v="18612"/>
    <n v="5"/>
    <s v="USC23C020"/>
    <s v="F21P1 Kokusai Interconnection"/>
    <s v="Main Tool Interconnection"/>
    <s v="KDAPK5"/>
    <s v="AP (QHT2-ILD) INTERCONNECTS"/>
    <m/>
    <n v="1"/>
    <n v="2500.6999999999998"/>
    <n v="9753.06"/>
    <m/>
    <m/>
    <n v="2450.75"/>
    <n v="14704.509999999998"/>
    <n v="14704.509999999998"/>
    <m/>
    <m/>
    <m/>
    <m/>
    <n v="14704.51"/>
    <n v="1.0000000000000002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14704.51"/>
    <m/>
    <m/>
    <m/>
    <m/>
    <m/>
    <m/>
    <m/>
    <m/>
    <m/>
    <m/>
    <m/>
    <n v="14704.51"/>
    <m/>
    <m/>
    <m/>
  </r>
  <r>
    <m/>
    <x v="15"/>
    <s v="Huang HuangChun / 黃煌竣 &lt;jerry.huang@kokusai-electric.com&gt;"/>
    <n v="18612"/>
    <n v="6"/>
    <s v="USC23C020"/>
    <s v="F21P1 Kokusai Interconnection"/>
    <s v="Main Tool Interconnection"/>
    <s v="KDAPK3"/>
    <s v="AP (QHT2-ILD) INTERCONNECTS"/>
    <m/>
    <n v="1"/>
    <n v="2500.6999999999998"/>
    <n v="9753.06"/>
    <m/>
    <m/>
    <n v="2450.75"/>
    <n v="14704.509999999998"/>
    <n v="14704.509999999998"/>
    <m/>
    <m/>
    <m/>
    <m/>
    <n v="14704.51"/>
    <n v="1.0000000000000002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14704.51"/>
    <m/>
    <m/>
    <m/>
    <m/>
    <m/>
    <m/>
    <m/>
    <m/>
    <m/>
    <m/>
    <m/>
    <n v="14704.51"/>
    <m/>
    <m/>
    <m/>
  </r>
  <r>
    <m/>
    <x v="15"/>
    <s v="Huang HuangChun / 黃煌竣 &lt;jerry.huang@kokusai-electric.com&gt;"/>
    <n v="18612"/>
    <n v="7"/>
    <s v="USC23C020"/>
    <s v="F21P1 Kokusai Interconnection"/>
    <s v="Main Tool Interconnection"/>
    <s v="KDAPK4"/>
    <s v="AP (QHT2-ILD) INTERCONNECTS"/>
    <m/>
    <n v="1"/>
    <n v="2500.6999999999998"/>
    <n v="9753.06"/>
    <m/>
    <m/>
    <n v="2450.75"/>
    <n v="14704.509999999998"/>
    <n v="14704.509999999998"/>
    <m/>
    <m/>
    <m/>
    <m/>
    <n v="14704.51"/>
    <n v="1.0000000000000002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14704.51"/>
    <m/>
    <m/>
    <m/>
    <m/>
    <m/>
    <m/>
    <m/>
    <m/>
    <m/>
    <m/>
    <m/>
    <n v="14704.51"/>
    <m/>
    <m/>
    <m/>
  </r>
  <r>
    <m/>
    <x v="15"/>
    <s v="Huang HuangChun / 黃煌竣 &lt;jerry.huang@kokusai-electric.com&gt;"/>
    <n v="18612"/>
    <n v="8"/>
    <s v="USC23C020"/>
    <s v="F21P1 Kokusai Interconnection"/>
    <s v="Main Tool Interconnection"/>
    <s v="KDAPK7"/>
    <s v="AP (QHT2-ILD) INTERCONNECTS"/>
    <m/>
    <n v="1"/>
    <n v="2500.6999999999998"/>
    <n v="9753.06"/>
    <m/>
    <m/>
    <n v="2450.75"/>
    <n v="14704.509999999998"/>
    <n v="14704.509999999998"/>
    <m/>
    <m/>
    <m/>
    <m/>
    <n v="0"/>
    <n v="0"/>
    <n v="14704.509999999998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5"/>
    <s v="Huang HuangChun / 黃煌竣 &lt;jerry.huang@kokusai-electric.com&gt;"/>
    <n v="18612"/>
    <n v="9"/>
    <s v="USC23C020"/>
    <s v="F21P1 Kokusai Interconnection"/>
    <s v="Main Tool Interconnection"/>
    <s v="KDAPK6"/>
    <s v="AP (QHT2-ILD) INTERCONNECTS"/>
    <m/>
    <n v="1"/>
    <n v="2500.6999999999998"/>
    <n v="9753.06"/>
    <m/>
    <m/>
    <n v="2450.75"/>
    <n v="14704.509999999998"/>
    <n v="14704.509999999998"/>
    <m/>
    <m/>
    <m/>
    <m/>
    <n v="0"/>
    <n v="0"/>
    <n v="14704.509999999998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5"/>
    <s v="Huang HuangChun / 黃煌竣 &lt;jerry.huang@kokusai-electric.com&gt;"/>
    <n v="18612"/>
    <n v="10"/>
    <s v="USC23C020"/>
    <s v="F21P1 Kokusai Interconnection"/>
    <s v="Main Tool Interconnection"/>
    <s v="KDSAK3"/>
    <s v="AP (QHT2-ILD) INTERCONNECTS"/>
    <m/>
    <n v="1"/>
    <n v="2500.6999999999998"/>
    <n v="9753.06"/>
    <m/>
    <m/>
    <n v="2450.75"/>
    <n v="14704.509999999998"/>
    <n v="14704.509999999998"/>
    <m/>
    <m/>
    <m/>
    <m/>
    <n v="14704.51"/>
    <n v="1.0000000000000002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n v="14704.51"/>
    <m/>
    <m/>
    <m/>
    <m/>
    <m/>
    <m/>
    <m/>
    <n v="0"/>
    <m/>
    <m/>
    <m/>
  </r>
  <r>
    <m/>
    <x v="15"/>
    <s v="Huang HuangChun / 黃煌竣 &lt;jerry.huang@kokusai-electric.com&gt;"/>
    <n v="18612"/>
    <n v="11"/>
    <s v="USC23C020"/>
    <s v="F21P1 Kokusai Interconnection"/>
    <s v="Main Tool Interconnection"/>
    <s v="KDSAK6"/>
    <s v="AP (QHT2-ILD) INTERCONNECTS"/>
    <m/>
    <n v="1"/>
    <n v="2500.6999999999998"/>
    <n v="9753.06"/>
    <m/>
    <m/>
    <n v="2450.75"/>
    <n v="14704.509999999998"/>
    <n v="14704.509999999998"/>
    <m/>
    <m/>
    <m/>
    <m/>
    <n v="0"/>
    <n v="0"/>
    <n v="14704.509999999998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5"/>
    <s v="Huang HuangChun / 黃煌竣 &lt;jerry.huang@kokusai-electric.com&gt;"/>
    <n v="18612"/>
    <n v="12"/>
    <s v="USC23C020"/>
    <s v="F21P1 Kokusai Interconnection"/>
    <s v="Main Tool Interconnection"/>
    <s v="KDSAK5"/>
    <s v="AP (QHT2-ILD) INTERCONNECTS"/>
    <m/>
    <n v="1"/>
    <n v="2500.6999999999998"/>
    <n v="9753.06"/>
    <m/>
    <m/>
    <n v="2450.75"/>
    <n v="14704.509999999998"/>
    <n v="14704.509999999998"/>
    <m/>
    <m/>
    <m/>
    <m/>
    <n v="0"/>
    <n v="0"/>
    <n v="14704.509999999998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5"/>
    <s v="Huang HuangChun / 黃煌竣 &lt;jerry.huang@kokusai-electric.com&gt;"/>
    <n v="18613"/>
    <n v="1"/>
    <s v="USC23C020"/>
    <s v="F21P1 Kokusai Interconnection"/>
    <s v="Main Tool Interconnection"/>
    <s v="KDCUK1"/>
    <s v="CUK-PIQ (QL) INTERCONNECTS"/>
    <m/>
    <n v="1"/>
    <n v="2261.6999999999998"/>
    <n v="8337.06"/>
    <m/>
    <m/>
    <n v="2119.75"/>
    <n v="12718.509999999998"/>
    <n v="12718.509999999998"/>
    <m/>
    <d v="2022-12-20T00:00:00"/>
    <m/>
    <s v="30 days net"/>
    <n v="12718.51"/>
    <n v="1.0000000000000002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n v="12718.51"/>
    <m/>
    <m/>
    <m/>
    <m/>
    <m/>
    <m/>
    <m/>
    <n v="0"/>
    <m/>
    <m/>
    <m/>
  </r>
  <r>
    <m/>
    <x v="15"/>
    <m/>
    <n v="18613"/>
    <n v="2"/>
    <s v="USC23C020"/>
    <s v="F21P1 Kokusai Interconnection"/>
    <s v="Main Tool Interconnection"/>
    <s v="KDCUK2"/>
    <s v="CUK-PIQ (QL) INTERCONNECTS"/>
    <m/>
    <n v="1"/>
    <n v="2261.6999999999998"/>
    <n v="8337.06"/>
    <m/>
    <m/>
    <n v="2119.75"/>
    <n v="12718.509999999998"/>
    <n v="12718.509999999998"/>
    <m/>
    <m/>
    <m/>
    <m/>
    <n v="12718.51"/>
    <n v="1.0000000000000002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n v="12718.51"/>
    <m/>
    <m/>
    <m/>
    <m/>
    <m/>
    <n v="0"/>
    <m/>
    <m/>
    <m/>
  </r>
  <r>
    <m/>
    <x v="15"/>
    <m/>
    <n v="18613"/>
    <n v="3"/>
    <s v="USC23C020"/>
    <s v="F21P1 Kokusai Interconnection"/>
    <s v="Main Tool Interconnection"/>
    <s v="KDCUK3"/>
    <s v="CUK-PIQ (QL) INTERCONNECTS"/>
    <m/>
    <n v="1"/>
    <n v="2261.6999999999998"/>
    <n v="8337.06"/>
    <m/>
    <m/>
    <n v="2119.75"/>
    <n v="12718.509999999998"/>
    <n v="12718.509999999998"/>
    <m/>
    <m/>
    <m/>
    <m/>
    <n v="12718.51"/>
    <n v="1.0000000000000002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n v="12718.51"/>
    <m/>
    <m/>
    <m/>
    <m/>
    <m/>
    <n v="0"/>
    <m/>
    <m/>
    <m/>
  </r>
  <r>
    <m/>
    <x v="15"/>
    <m/>
    <n v="18613"/>
    <n v="4"/>
    <s v="USC23C020"/>
    <s v="F21P1 Kokusai Interconnection"/>
    <s v="Main Tool Interconnection"/>
    <s v="KDCUK4"/>
    <s v="CUK-PIQ (QL) INTERCONNECTS"/>
    <m/>
    <n v="1"/>
    <n v="2261.6999999999998"/>
    <n v="8337.06"/>
    <m/>
    <m/>
    <n v="2119.75"/>
    <n v="12718.509999999998"/>
    <n v="12718.509999999998"/>
    <m/>
    <m/>
    <m/>
    <m/>
    <n v="0"/>
    <n v="0"/>
    <n v="12718.509999999998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5"/>
    <s v="Huang HuangChun / 黃煌竣 &lt;jerry.huang@kokusai-electric.com&gt;"/>
    <n v="18614"/>
    <n v="2"/>
    <s v="USC23C020"/>
    <s v="F21P1 Kokusai Interconnection"/>
    <s v="Main Tool Interconnection"/>
    <s v="KDSRK2"/>
    <s v="SRK-SiOC(Q2L) INTERCONNECT"/>
    <m/>
    <n v="1"/>
    <n v="7131.44"/>
    <n v="26046.720000000001"/>
    <m/>
    <m/>
    <n v="6635.63"/>
    <n v="39813.79"/>
    <n v="39813.79"/>
    <m/>
    <m/>
    <m/>
    <m/>
    <n v="39813.79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n v="39813.79"/>
    <m/>
    <m/>
    <m/>
    <m/>
    <m/>
    <m/>
    <m/>
    <n v="0"/>
    <m/>
    <m/>
    <m/>
  </r>
  <r>
    <m/>
    <x v="15"/>
    <s v="Huang HuangChun / 黃煌竣 &lt;jerry.huang@kokusai-electric.com&gt;"/>
    <n v="18614"/>
    <n v="4"/>
    <s v="USC23C020"/>
    <s v="F21P1 Kokusai Interconnection"/>
    <s v="Main Tool Interconnection"/>
    <s v="KDSRK4"/>
    <s v="SRK-SiOC(Q2L) INTERCONNECT"/>
    <m/>
    <n v="1"/>
    <n v="7131.44"/>
    <n v="26046.720000000001"/>
    <m/>
    <m/>
    <n v="6635.63"/>
    <n v="39813.79"/>
    <n v="39813.79"/>
    <m/>
    <m/>
    <m/>
    <m/>
    <n v="39813.79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n v="39813.79"/>
    <m/>
    <m/>
    <m/>
    <m/>
    <m/>
    <m/>
    <m/>
    <n v="0"/>
    <m/>
    <m/>
    <m/>
  </r>
  <r>
    <m/>
    <x v="15"/>
    <s v="Huang HuangChun / 黃煌竣 &lt;jerry.huang@kokusai-electric.com&gt;"/>
    <n v="18614"/>
    <n v="6"/>
    <s v="USC23C020"/>
    <s v="F21P1 Kokusai Interconnection"/>
    <s v="Main Tool Interconnection"/>
    <s v="KDSRK6"/>
    <s v="SRK-SiOC(Q2L) INTERCONNECT"/>
    <m/>
    <n v="1"/>
    <n v="7131.44"/>
    <n v="26046.720000000001"/>
    <m/>
    <m/>
    <n v="6635.63"/>
    <n v="39813.79"/>
    <n v="39813.79"/>
    <m/>
    <m/>
    <m/>
    <m/>
    <n v="39813.79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n v="39813.79"/>
    <m/>
    <m/>
    <m/>
    <m/>
    <m/>
    <m/>
    <m/>
    <n v="0"/>
    <m/>
    <m/>
    <m/>
  </r>
  <r>
    <m/>
    <x v="15"/>
    <s v="Huang HuangChun / 黃煌竣 &lt;jerry.huang@kokusai-electric.com&gt;"/>
    <n v="18614"/>
    <n v="7"/>
    <s v="USC23C020"/>
    <s v="F21P1 Kokusai Interconnection"/>
    <s v="Main Tool Interconnection"/>
    <m/>
    <s v="SRK-SiOC(Q2L) INTERCONNECT"/>
    <m/>
    <n v="1"/>
    <n v="7131.44"/>
    <n v="26046.720000000001"/>
    <m/>
    <m/>
    <n v="6635.63"/>
    <n v="39813.79"/>
    <n v="39813.79"/>
    <m/>
    <m/>
    <m/>
    <m/>
    <n v="0"/>
    <n v="0"/>
    <n v="39813.79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5"/>
    <s v="Huang HuangChun / 黃煌竣 &lt;jerry.huang@kokusai-electric.com&gt;"/>
    <n v="18614"/>
    <n v="8"/>
    <s v="USC23C020"/>
    <s v="F21P1 Kokusai Interconnection"/>
    <s v="Main Tool Interconnection"/>
    <m/>
    <s v="SRK-SiOC(Q2L) INTERCONNECT"/>
    <m/>
    <n v="1"/>
    <n v="7131.44"/>
    <n v="26046.720000000001"/>
    <m/>
    <m/>
    <n v="6635.63"/>
    <n v="39813.79"/>
    <n v="39813.79"/>
    <m/>
    <m/>
    <m/>
    <m/>
    <n v="0"/>
    <n v="0"/>
    <n v="39813.79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5"/>
    <s v="Huang HuangChun / 黃煌竣 &lt;jerry.huang@kokusai-electric.com&gt;"/>
    <n v="18614"/>
    <n v="9"/>
    <s v="USC23C020"/>
    <s v="F21P1 Kokusai Interconnection"/>
    <s v="Main Tool Interconnection"/>
    <m/>
    <s v="SRK-SiOC(Q2L) INTERCONNECT"/>
    <m/>
    <n v="1"/>
    <n v="7131.44"/>
    <n v="26046.720000000001"/>
    <m/>
    <m/>
    <n v="6635.63"/>
    <n v="39813.79"/>
    <n v="39813.79"/>
    <m/>
    <m/>
    <m/>
    <m/>
    <n v="0"/>
    <n v="0"/>
    <n v="39813.79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5"/>
    <s v="Huang HuangChun / 黃煌竣 &lt;jerry.huang@kokusai-electric.com&gt;"/>
    <n v="18614"/>
    <n v="10"/>
    <s v="USC23C020"/>
    <s v="F21P1 Kokusai Interconnection"/>
    <s v="Main Tool Interconnection"/>
    <m/>
    <s v="SRK-SiOC(Q2L) INTERCONNECT"/>
    <m/>
    <n v="1"/>
    <n v="7131.44"/>
    <n v="26046.720000000001"/>
    <m/>
    <m/>
    <n v="6635.63"/>
    <n v="39813.79"/>
    <n v="39813.79"/>
    <m/>
    <m/>
    <m/>
    <m/>
    <n v="0"/>
    <n v="0"/>
    <n v="39813.79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5"/>
    <s v="Huang HuangChun / 黃煌竣 &lt;jerry.huang@kokusai-electric.com&gt;"/>
    <n v="18614"/>
    <n v="11"/>
    <s v="USC23C020"/>
    <s v="F21P1 Kokusai Interconnection"/>
    <s v="Main Tool Interconnection"/>
    <m/>
    <s v="SRK-SiOC(Q2L) INTERCONNECT"/>
    <m/>
    <n v="1"/>
    <n v="7131.44"/>
    <n v="26046.720000000001"/>
    <m/>
    <m/>
    <n v="6635.63"/>
    <n v="39813.79"/>
    <n v="39813.79"/>
    <m/>
    <m/>
    <m/>
    <m/>
    <n v="0"/>
    <n v="0"/>
    <n v="39813.79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5"/>
    <s v="Huang HuangChun / 黃煌竣 &lt;jerry.huang@kokusai-electric.com&gt;"/>
    <n v="18614"/>
    <n v="12"/>
    <s v="USC23C020"/>
    <s v="F21P1 Kokusai Interconnection"/>
    <s v="Main Tool Interconnection"/>
    <m/>
    <s v="SRK-SiOC(Q2L) INTERCONNECT"/>
    <m/>
    <n v="1"/>
    <n v="7131.44"/>
    <n v="26046.720000000001"/>
    <m/>
    <m/>
    <n v="6635.63"/>
    <n v="39813.79"/>
    <n v="39813.79"/>
    <m/>
    <m/>
    <m/>
    <m/>
    <n v="0"/>
    <n v="0"/>
    <n v="39813.79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5"/>
    <s v="Huang HuangChun / 黃煌竣 &lt;jerry.huang@kokusai-electric.com&gt;"/>
    <n v="18614"/>
    <n v="13"/>
    <s v="USC23C020"/>
    <s v="F21P1 Kokusai Interconnection"/>
    <s v="Main Tool Interconnection"/>
    <m/>
    <s v="SRK-SiOC(Q2L) INTERCONNECT"/>
    <m/>
    <n v="1"/>
    <n v="7131.44"/>
    <n v="26046.720000000001"/>
    <m/>
    <m/>
    <n v="6635.63"/>
    <n v="39813.79"/>
    <n v="39813.79"/>
    <m/>
    <m/>
    <m/>
    <m/>
    <n v="0"/>
    <n v="0"/>
    <n v="39813.79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5"/>
    <s v="Huang HuangChun / 黃煌竣 &lt;jerry.huang@kokusai-electric.com&gt;"/>
    <n v="18615"/>
    <n v="2"/>
    <s v="USC23C020"/>
    <s v="F21P1 Kokusai Interconnection"/>
    <s v="Main Tool Interconnection"/>
    <s v="KDTNK3"/>
    <s v="TNK-PE-SiN, MT-TiN(Q2L) INTERCONNECTS"/>
    <m/>
    <n v="1"/>
    <n v="7131.44"/>
    <n v="25326.720000000001"/>
    <m/>
    <m/>
    <n v="6491.63"/>
    <n v="38949.79"/>
    <n v="38949.79"/>
    <m/>
    <m/>
    <m/>
    <m/>
    <n v="0"/>
    <n v="0"/>
    <n v="38949.79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5"/>
    <s v="Huang HuangChun / 黃煌竣 &lt;jerry.huang@kokusai-electric.com&gt;"/>
    <n v="18615"/>
    <n v="3"/>
    <s v="USC23C020"/>
    <s v="F21P1 Kokusai Interconnection"/>
    <s v="Main Tool Interconnection"/>
    <s v="KDTNK2"/>
    <s v="TNK-PE-SiN, MT-TiN(Q2L) INTERCONNECTS"/>
    <m/>
    <n v="1"/>
    <n v="7131.44"/>
    <n v="25326.720000000001"/>
    <m/>
    <m/>
    <n v="6491.63"/>
    <n v="38949.79"/>
    <n v="38949.79"/>
    <m/>
    <m/>
    <m/>
    <m/>
    <n v="38949.79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n v="38949.79"/>
    <m/>
    <m/>
    <m/>
    <m/>
    <m/>
    <n v="0"/>
    <m/>
    <m/>
    <m/>
  </r>
  <r>
    <m/>
    <x v="15"/>
    <s v="Huang HuangChun / 黃煌竣 &lt;jerry.huang@kokusai-electric.com&gt;"/>
    <n v="18616"/>
    <n v="2"/>
    <s v="USC23C020"/>
    <s v="F21P1 Kokusai Interconnection"/>
    <s v="Main Tool Interconnection"/>
    <s v="KDLNK2"/>
    <s v="LNK-PLASMA(Q2L) INTERCONNECTS"/>
    <m/>
    <n v="1"/>
    <n v="7131.44"/>
    <n v="25623.72"/>
    <m/>
    <m/>
    <n v="6551.03"/>
    <n v="39306.19"/>
    <n v="39306.19"/>
    <m/>
    <m/>
    <m/>
    <m/>
    <n v="39306.19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n v="39306.19"/>
    <m/>
    <m/>
    <m/>
    <m/>
    <m/>
    <n v="0"/>
    <m/>
    <m/>
    <m/>
  </r>
  <r>
    <m/>
    <x v="15"/>
    <s v="Huang HuangChun / 黃煌竣 &lt;jerry.huang@kokusai-electric.com&gt;"/>
    <n v="18616"/>
    <n v="3"/>
    <s v="USC23C020"/>
    <s v="F21P1 Kokusai Interconnection"/>
    <s v="Main Tool Interconnection"/>
    <s v="KDLNK3"/>
    <s v="LNK-PLASMA(Q2L) INTERCONNECTS"/>
    <m/>
    <n v="1"/>
    <n v="7131.44"/>
    <n v="25623.72"/>
    <m/>
    <m/>
    <n v="6551.03"/>
    <n v="39306.19"/>
    <n v="39306.19"/>
    <m/>
    <m/>
    <m/>
    <m/>
    <n v="0"/>
    <n v="0"/>
    <n v="39306.19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5"/>
    <s v="Huang HuangChun / 黃煌竣 &lt;jerry.huang@kokusai-electric.com&gt;"/>
    <n v="18616"/>
    <n v="4"/>
    <s v="USC23C020"/>
    <s v="F21P1 Kokusai Interconnection"/>
    <s v="Main Tool Interconnection"/>
    <s v="KDLNK4"/>
    <s v="LNK-PLASMA(Q2L) INTERCONNECTS"/>
    <m/>
    <n v="1"/>
    <n v="7131.44"/>
    <n v="25623.72"/>
    <m/>
    <m/>
    <n v="6551.03"/>
    <n v="39306.19"/>
    <n v="39306.19"/>
    <m/>
    <m/>
    <m/>
    <m/>
    <n v="0"/>
    <n v="0"/>
    <n v="39306.19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5"/>
    <s v="Huang HuangChun / 黃煌竣 &lt;jerry.huang@kokusai-electric.com&gt;"/>
    <n v="18616"/>
    <n v="5"/>
    <s v="USC23C020"/>
    <s v="F21P1 Kokusai Interconnection"/>
    <s v="Main Tool Interconnection"/>
    <s v="KDLNK5"/>
    <s v="LNK-PLASMA(Q2L) INTERCONNECTS"/>
    <m/>
    <n v="1"/>
    <n v="7131.44"/>
    <n v="25623.72"/>
    <m/>
    <m/>
    <n v="6551.03"/>
    <n v="39306.19"/>
    <n v="39306.19"/>
    <m/>
    <m/>
    <m/>
    <m/>
    <n v="0"/>
    <n v="0"/>
    <n v="39306.19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5"/>
    <s v="Huang HuangChun / 黃煌竣 &lt;jerry.huang@kokusai-electric.com&gt;"/>
    <n v="18617"/>
    <n v="1"/>
    <s v="USC23C020"/>
    <s v="F21P1 Kokusai Interconnection"/>
    <s v="Main Tool Interconnection"/>
    <s v="KSCBHD"/>
    <s v="DG4150 W/LAMP (TNDM) INTERCONNECTS"/>
    <m/>
    <n v="1"/>
    <m/>
    <n v="6460.4400000000005"/>
    <m/>
    <m/>
    <n v="1292.0899999999999"/>
    <n v="7752.5300000000007"/>
    <n v="7752.5300000000007"/>
    <m/>
    <d v="2022-11-10T00:00:00"/>
    <m/>
    <s v="30 days net"/>
    <n v="0"/>
    <n v="0"/>
    <n v="7752.5300000000007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5"/>
    <s v="Huang HuangChun / 黃煌竣 &lt;jerry.huang@kokusai-electric.com&gt;"/>
    <n v="18617"/>
    <n v="2"/>
    <s v="USC23C020"/>
    <s v="F21P1 Kokusai Interconnection"/>
    <s v="Main Tool Interconnection"/>
    <s v="KSCBHE"/>
    <s v="DG4150 W/LAMP (TNDM) INTERCONNECTS"/>
    <m/>
    <n v="1"/>
    <m/>
    <n v="6460.4400000000005"/>
    <m/>
    <m/>
    <n v="1292.0899999999999"/>
    <n v="7752.5300000000007"/>
    <n v="7752.5300000000007"/>
    <m/>
    <m/>
    <m/>
    <m/>
    <n v="0"/>
    <n v="0"/>
    <n v="7752.5300000000007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5"/>
    <s v="Huang HuangChun / 黃煌竣 &lt;jerry.huang@kokusai-electric.com&gt;"/>
    <n v="18617"/>
    <n v="3"/>
    <s v="USC23C020"/>
    <s v="F21P1 Kokusai Interconnection"/>
    <s v="Main Tool Interconnection"/>
    <s v="KSCBHF"/>
    <s v="DG4150 W/LAMP (TNDM) INTERCONNECTS"/>
    <m/>
    <n v="1"/>
    <m/>
    <n v="6460.4400000000005"/>
    <m/>
    <m/>
    <n v="1292.0899999999999"/>
    <n v="7752.5300000000007"/>
    <n v="7752.5300000000007"/>
    <m/>
    <m/>
    <m/>
    <m/>
    <n v="0"/>
    <n v="0"/>
    <n v="7752.5300000000007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5"/>
    <s v="Huang HuangChun / 黃煌竣 &lt;jerry.huang@kokusai-electric.com&gt;"/>
    <n v="18617"/>
    <n v="4"/>
    <s v="USC23C020"/>
    <s v="F21P1 Kokusai Interconnection"/>
    <s v="Main Tool Interconnection"/>
    <s v="KSCBHK"/>
    <s v="DG4150 W/LAMP (TNDM) INTERCONNECTS"/>
    <m/>
    <n v="1"/>
    <m/>
    <n v="6460.4400000000005"/>
    <m/>
    <m/>
    <n v="1292.0899999999999"/>
    <n v="7752.5300000000007"/>
    <n v="7752.5300000000007"/>
    <m/>
    <m/>
    <m/>
    <m/>
    <n v="0"/>
    <n v="0"/>
    <n v="7752.5300000000007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5"/>
    <s v="Huang HuangChun / 黃煌竣 &lt;jerry.huang@kokusai-electric.com&gt;"/>
    <n v="18617"/>
    <n v="5"/>
    <s v="USC23C020"/>
    <s v="F21P1 Kokusai Interconnection"/>
    <s v="Main Tool Interconnection"/>
    <s v="KSCBHJ"/>
    <s v="DG4150 W/LAMP (TNDM) INTERCONNECTS"/>
    <m/>
    <n v="1"/>
    <m/>
    <n v="6460.4400000000005"/>
    <m/>
    <m/>
    <n v="1292.0899999999999"/>
    <n v="7752.5300000000007"/>
    <n v="7752.5300000000007"/>
    <m/>
    <m/>
    <m/>
    <m/>
    <n v="0"/>
    <n v="0"/>
    <n v="7752.5300000000007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5"/>
    <m/>
    <n v="18617"/>
    <n v="7"/>
    <s v="USC23C020"/>
    <s v="F21P1 Kokusai Interconnection"/>
    <s v="Main Tool Interconnection"/>
    <s v="KSCBH5"/>
    <s v="DG4150 W/LAMP (TNDM) INTERCONNECTS"/>
    <m/>
    <n v="1"/>
    <m/>
    <n v="6460.4400000000005"/>
    <m/>
    <m/>
    <n v="1292.0899999999999"/>
    <n v="7752.5300000000007"/>
    <n v="7752.5300000000007"/>
    <m/>
    <m/>
    <m/>
    <m/>
    <n v="7752.53"/>
    <n v="0.99999999999999989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n v="7752.53"/>
    <m/>
    <m/>
    <m/>
    <m/>
    <m/>
    <n v="0"/>
    <m/>
    <m/>
    <m/>
  </r>
  <r>
    <m/>
    <x v="15"/>
    <m/>
    <n v="18617"/>
    <n v="8"/>
    <s v="USC23C020"/>
    <s v="F21P1 Kokusai Interconnection"/>
    <s v="Main Tool Interconnection"/>
    <s v="KSCBH6"/>
    <s v="DG4150 W/LAMP (TNDM) INTERCONNECTS"/>
    <m/>
    <n v="1"/>
    <m/>
    <n v="6460.4400000000005"/>
    <m/>
    <m/>
    <n v="1292.0899999999999"/>
    <n v="7752.5300000000007"/>
    <n v="7752.5300000000007"/>
    <m/>
    <m/>
    <m/>
    <m/>
    <n v="7752.53"/>
    <n v="0.99999999999999989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n v="7752.53"/>
    <m/>
    <m/>
    <m/>
    <m/>
    <m/>
    <n v="0"/>
    <m/>
    <m/>
    <m/>
  </r>
  <r>
    <m/>
    <x v="15"/>
    <m/>
    <n v="18617"/>
    <n v="9"/>
    <s v="USC23C020"/>
    <s v="F21P1 Kokusai Interconnection"/>
    <s v="Main Tool Interconnection"/>
    <s v="KSCBH7"/>
    <s v="DG4150 W/LAMP (TNDM) INTERCONNECTS"/>
    <m/>
    <n v="1"/>
    <m/>
    <n v="6460.4400000000005"/>
    <m/>
    <m/>
    <n v="1292.0899999999999"/>
    <n v="7752.5300000000007"/>
    <n v="7752.5300000000007"/>
    <m/>
    <m/>
    <m/>
    <m/>
    <n v="7752.53"/>
    <n v="0.99999999999999989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n v="7752.53"/>
    <m/>
    <m/>
    <m/>
    <m/>
    <m/>
    <n v="0"/>
    <m/>
    <m/>
    <m/>
  </r>
  <r>
    <m/>
    <x v="15"/>
    <m/>
    <n v="18617"/>
    <n v="10"/>
    <s v="USC23C020"/>
    <s v="F21P1 Kokusai Interconnection"/>
    <s v="Main Tool Interconnection"/>
    <s v="KSCBH8"/>
    <s v="DG4150 W/LAMP (TNDM) INTERCONNECTS"/>
    <m/>
    <n v="1"/>
    <m/>
    <n v="6460.4400000000005"/>
    <m/>
    <m/>
    <n v="1292.0899999999999"/>
    <n v="7752.5300000000007"/>
    <n v="7752.5300000000007"/>
    <m/>
    <m/>
    <m/>
    <m/>
    <n v="7752.53"/>
    <n v="0.99999999999999989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n v="7752.53"/>
    <m/>
    <m/>
    <m/>
    <m/>
    <m/>
    <n v="0"/>
    <m/>
    <m/>
    <m/>
  </r>
  <r>
    <m/>
    <x v="15"/>
    <m/>
    <n v="18617"/>
    <n v="11"/>
    <s v="USC23C020"/>
    <s v="F21P1 Kokusai Interconnection"/>
    <s v="Main Tool Interconnection"/>
    <s v="KSCBHA"/>
    <s v="DG4150 W/LAMP (TNDM) INTERCONNECTS"/>
    <m/>
    <n v="1"/>
    <m/>
    <n v="6460.4400000000005"/>
    <m/>
    <m/>
    <n v="1292.0899999999999"/>
    <n v="7752.5300000000007"/>
    <n v="7752.5300000000007"/>
    <m/>
    <m/>
    <m/>
    <m/>
    <n v="0"/>
    <n v="0"/>
    <n v="7752.5300000000007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5"/>
    <m/>
    <n v="18617"/>
    <n v="12"/>
    <s v="USC23C020"/>
    <s v="F21P1 Kokusai Interconnection"/>
    <s v="Main Tool Interconnection"/>
    <s v="KSCBHC"/>
    <s v="DG4150 W/LAMP (TNDM) INTERCONNECTS"/>
    <m/>
    <n v="1"/>
    <m/>
    <n v="6460.4400000000005"/>
    <m/>
    <m/>
    <n v="1292.0899999999999"/>
    <n v="7752.5300000000007"/>
    <n v="7752.5300000000007"/>
    <m/>
    <m/>
    <m/>
    <m/>
    <n v="0"/>
    <n v="0"/>
    <n v="7752.5300000000007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5"/>
    <s v="Huang HuangChun / 黃煌竣 &lt;jerry.huang@kokusai-electric.com&gt;"/>
    <n v="18618"/>
    <n v="1"/>
    <s v="USC23C020"/>
    <s v="F21P1 Kokusai Interconnection"/>
    <s v="Main Tool Interconnection"/>
    <s v="KSCBHG"/>
    <s v="DG4150 (TNDM) INTERCONNECTS"/>
    <m/>
    <n v="1"/>
    <m/>
    <n v="2884.44"/>
    <m/>
    <m/>
    <n v="576.89"/>
    <n v="3461.33"/>
    <n v="3461.33"/>
    <m/>
    <d v="2022-11-10T00:00:00"/>
    <m/>
    <s v="30 days net"/>
    <n v="0"/>
    <n v="0"/>
    <n v="3461.33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5"/>
    <s v="Huang HuangChun / 黃煌竣 &lt;jerry.huang@kokusai-electric.com&gt;"/>
    <n v="18618"/>
    <n v="2"/>
    <s v="USC23C020"/>
    <s v="F21P1 Kokusai Interconnection"/>
    <s v="Main Tool Interconnection"/>
    <s v="KSCBHH"/>
    <s v="DG4150 (TNDM) INTERCONNECTS"/>
    <m/>
    <n v="1"/>
    <m/>
    <n v="2884.44"/>
    <m/>
    <m/>
    <n v="576.89"/>
    <n v="3461.33"/>
    <n v="3461.33"/>
    <m/>
    <m/>
    <m/>
    <m/>
    <n v="0"/>
    <n v="0"/>
    <n v="3461.33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5"/>
    <s v="Huang HuangChun / 黃煌竣 &lt;jerry.huang@kokusai-electric.com&gt;"/>
    <n v="18618"/>
    <n v="3"/>
    <s v="USC23C020"/>
    <s v="F21P1 Kokusai Interconnection"/>
    <s v="Main Tool Interconnection"/>
    <m/>
    <s v="DG4150 (TNDM) INTERCONNECTS"/>
    <m/>
    <n v="1"/>
    <m/>
    <n v="2884.44"/>
    <m/>
    <m/>
    <n v="576.89"/>
    <n v="3461.33"/>
    <n v="3461.33"/>
    <m/>
    <m/>
    <m/>
    <m/>
    <n v="0"/>
    <n v="0"/>
    <n v="3461.33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5"/>
    <m/>
    <n v="18618"/>
    <n v="7"/>
    <s v="USC23C020"/>
    <s v="F21P1 Kokusai Interconnection"/>
    <s v="Main Tool Interconnection"/>
    <s v="KSCBH9"/>
    <s v="DG4150 (TNDM) INTERCONNECTS"/>
    <m/>
    <n v="1"/>
    <m/>
    <n v="2884.44"/>
    <m/>
    <m/>
    <n v="576.89"/>
    <n v="3461.33"/>
    <n v="3461.33"/>
    <m/>
    <m/>
    <m/>
    <m/>
    <n v="0"/>
    <n v="0"/>
    <n v="3461.33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5"/>
    <m/>
    <n v="18618"/>
    <n v="8"/>
    <s v="USC23C020"/>
    <s v="F21P1 Kokusai Interconnection"/>
    <s v="Main Tool Interconnection"/>
    <s v="KSCBHB"/>
    <s v="DG4150 (TNDM) INTERCONNECTS"/>
    <m/>
    <n v="1"/>
    <m/>
    <n v="2884.44"/>
    <m/>
    <m/>
    <n v="576.89"/>
    <n v="3461.33"/>
    <n v="3461.33"/>
    <m/>
    <m/>
    <m/>
    <m/>
    <n v="0"/>
    <n v="0"/>
    <n v="3461.33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5"/>
    <s v="Huang HuangChun / 黃煌竣 &lt;jerry.huang@kokusai-electric.com&gt;"/>
    <n v="18612"/>
    <n v="13"/>
    <s v="USC23C020"/>
    <s v="F21P1 Kokusai Interconnection"/>
    <s v="Main Tool Interconnection"/>
    <s v="KDSAK4"/>
    <s v="AP (QHT2-ILD) INTERCONNECTS"/>
    <m/>
    <n v="1"/>
    <n v="2500.6999999999998"/>
    <n v="9753.06"/>
    <m/>
    <m/>
    <n v="2450.75"/>
    <n v="14704.509999999998"/>
    <n v="14704.509999999998"/>
    <m/>
    <m/>
    <m/>
    <m/>
    <n v="0"/>
    <n v="0"/>
    <n v="14704.509999999998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5"/>
    <s v="Huang HuangChun / 黃煌竣 &lt;jerry.huang@kokusai-electric.com&gt;"/>
    <n v="18612"/>
    <n v="14"/>
    <s v="USC23C020"/>
    <s v="F21P1 Kokusai Interconnection"/>
    <s v="Main Tool Interconnection"/>
    <s v="KDAPK9"/>
    <s v="AP (QHT2-ILD) INTERCONNECTS"/>
    <m/>
    <n v="1"/>
    <n v="2500.6999999999998"/>
    <n v="9753.06"/>
    <m/>
    <m/>
    <n v="2450.75"/>
    <n v="14704.509999999998"/>
    <n v="14704.509999999998"/>
    <m/>
    <m/>
    <m/>
    <m/>
    <n v="0"/>
    <n v="0"/>
    <n v="14704.509999999998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5"/>
    <s v="Huang HuangChun / 黃煌竣 &lt;jerry.huang@kokusai-electric.com&gt;"/>
    <n v="18612"/>
    <n v="15"/>
    <s v="USC23C020"/>
    <s v="F21P1 Kokusai Interconnection"/>
    <s v="Main Tool Interconnection"/>
    <s v="KDAPKB"/>
    <s v="AP (QHT2-ILD) INTERCONNECTS"/>
    <m/>
    <n v="1"/>
    <n v="2500.6999999999998"/>
    <n v="9753.06"/>
    <m/>
    <m/>
    <n v="2450.75"/>
    <n v="14704.509999999998"/>
    <n v="14704.509999999998"/>
    <m/>
    <m/>
    <m/>
    <m/>
    <n v="0"/>
    <n v="0"/>
    <n v="14704.509999999998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5"/>
    <s v="Huang HuangChun / 黃煌竣 &lt;jerry.huang@kokusai-electric.com&gt;"/>
    <n v="18612"/>
    <n v="16"/>
    <s v="USC23C020"/>
    <s v="F21P1 Kokusai Interconnection"/>
    <s v="Main Tool Interconnection"/>
    <s v="KDAPK8"/>
    <s v="AP (QHT2-ILD) INTERCONNECTS"/>
    <m/>
    <n v="1"/>
    <n v="2500.6999999999998"/>
    <n v="9753.06"/>
    <m/>
    <m/>
    <n v="2450.75"/>
    <n v="14704.509999999998"/>
    <n v="14704.509999999998"/>
    <m/>
    <m/>
    <m/>
    <m/>
    <n v="0"/>
    <n v="0"/>
    <n v="14704.509999999998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5"/>
    <s v="Huang HuangChun / 黃煌竣 &lt;jerry.huang@kokusai-electric.com&gt;"/>
    <n v="18612"/>
    <n v="17"/>
    <s v="USC23C020"/>
    <s v="F21P1 Kokusai Interconnection"/>
    <s v="Main Tool Interconnection"/>
    <s v="KDAPKA"/>
    <s v="AP (QHT2-ILD) INTERCONNECTS"/>
    <m/>
    <n v="1"/>
    <n v="2500.6999999999998"/>
    <n v="9753.06"/>
    <m/>
    <m/>
    <n v="2450.75"/>
    <n v="14704.509999999998"/>
    <n v="14704.509999999998"/>
    <m/>
    <m/>
    <m/>
    <m/>
    <n v="0"/>
    <n v="0"/>
    <n v="14704.509999999998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5"/>
    <s v="Huang HuangChun / 黃煌竣 &lt;jerry.huang@kokusai-electric.com&gt;"/>
    <n v="18612"/>
    <n v="18"/>
    <s v="USC23C020"/>
    <s v="F21P1 Kokusai Interconnection"/>
    <s v="Main Tool Interconnection"/>
    <s v="KDSAK7"/>
    <s v="AP (QHT2-ILD) INTERCONNECTS"/>
    <m/>
    <n v="1"/>
    <n v="2500.6999999999998"/>
    <n v="9753.06"/>
    <m/>
    <m/>
    <n v="2450.75"/>
    <n v="14704.509999999998"/>
    <n v="14704.509999999998"/>
    <m/>
    <m/>
    <m/>
    <m/>
    <n v="0"/>
    <n v="0"/>
    <n v="14704.509999999998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5"/>
    <s v="Huang HuangChun / 黃煌竣 &lt;jerry.huang@kokusai-electric.com&gt;"/>
    <n v="18614"/>
    <n v="1"/>
    <s v="USC23C020"/>
    <s v="F21P1 Kokusai Interconnection"/>
    <s v="Main Tool Interconnection"/>
    <s v="KDSRK1"/>
    <s v="SRK-SiOC(Q2L) INTERCONNECT"/>
    <m/>
    <n v="1"/>
    <n v="7131.44"/>
    <n v="26046.720000000001"/>
    <m/>
    <m/>
    <n v="6635.63"/>
    <n v="39813.79"/>
    <n v="39813.79"/>
    <m/>
    <d v="2022-12-20T00:00:00"/>
    <m/>
    <s v="30 days net"/>
    <n v="39813.79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39813.79"/>
    <m/>
    <m/>
    <m/>
    <m/>
    <m/>
    <m/>
    <m/>
    <m/>
    <m/>
    <m/>
    <m/>
    <n v="39813.79"/>
    <m/>
    <m/>
    <m/>
  </r>
  <r>
    <m/>
    <x v="15"/>
    <s v="Huang HuangChun / 黃煌竣 &lt;jerry.huang@kokusai-electric.com&gt;"/>
    <n v="18614"/>
    <n v="3"/>
    <s v="USC23C020"/>
    <s v="F21P1 Kokusai Interconnection"/>
    <s v="Main Tool Interconnection"/>
    <s v="KDSRK3"/>
    <s v="SRK-SiOC(Q2L) INTERCONNECT"/>
    <m/>
    <n v="1"/>
    <n v="7131.44"/>
    <n v="26046.720000000001"/>
    <m/>
    <m/>
    <n v="6635.63"/>
    <n v="39813.79"/>
    <n v="39813.79"/>
    <m/>
    <m/>
    <m/>
    <m/>
    <n v="39813.79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39813.79"/>
    <m/>
    <m/>
    <m/>
    <m/>
    <m/>
    <m/>
    <m/>
    <m/>
    <m/>
    <m/>
    <m/>
    <n v="39813.79"/>
    <m/>
    <m/>
    <m/>
  </r>
  <r>
    <m/>
    <x v="15"/>
    <s v="Huang HuangChun / 黃煌竣 &lt;jerry.huang@kokusai-electric.com&gt;"/>
    <n v="18614"/>
    <n v="5"/>
    <s v="USC23C020"/>
    <s v="F21P1 Kokusai Interconnection"/>
    <s v="Main Tool Interconnection"/>
    <s v="KDSRK5"/>
    <s v="SRK-SiOC(Q2L) INTERCONNECT"/>
    <m/>
    <n v="1"/>
    <n v="7131.44"/>
    <n v="26046.720000000001"/>
    <m/>
    <m/>
    <n v="6635.63"/>
    <n v="39813.79"/>
    <n v="39813.79"/>
    <m/>
    <m/>
    <m/>
    <m/>
    <n v="39813.79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39813.79"/>
    <m/>
    <m/>
    <m/>
    <m/>
    <m/>
    <m/>
    <m/>
    <m/>
    <m/>
    <m/>
    <m/>
    <n v="39813.79"/>
    <m/>
    <m/>
    <m/>
  </r>
  <r>
    <m/>
    <x v="15"/>
    <s v="Huang HuangChun / 黃煌竣 &lt;jerry.huang@kokusai-electric.com&gt;"/>
    <n v="18615"/>
    <n v="1"/>
    <s v="USC23C020"/>
    <s v="F21P1 Kokusai Interconnection"/>
    <s v="Main Tool Interconnection"/>
    <s v="KDTNK1"/>
    <s v="TNK-PE-SiN, MT-TiN(Q2L) INTERCONNECTS"/>
    <m/>
    <n v="1"/>
    <n v="7131.44"/>
    <n v="25326.720000000001"/>
    <m/>
    <m/>
    <n v="6491.63"/>
    <n v="38949.79"/>
    <n v="38949.79"/>
    <m/>
    <d v="2022-12-20T00:00:00"/>
    <m/>
    <s v="30 days net"/>
    <n v="38949.79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38949.79"/>
    <m/>
    <m/>
    <m/>
    <m/>
    <m/>
    <m/>
    <m/>
    <m/>
    <m/>
    <m/>
    <m/>
    <n v="38949.79"/>
    <m/>
    <m/>
    <m/>
  </r>
  <r>
    <m/>
    <x v="15"/>
    <s v="Huang HuangChun / 黃煌竣 &lt;jerry.huang@kokusai-electric.com&gt;"/>
    <n v="18612"/>
    <n v="19"/>
    <s v="USC23C020"/>
    <s v="F21P1 Kokusai Interconnection"/>
    <s v="Main Tool Interconnection"/>
    <s v="KDAPKC"/>
    <s v="AP (QHT2-ILD) INTERCONNECTS"/>
    <m/>
    <n v="1"/>
    <n v="2500.6999999999998"/>
    <n v="9753.06"/>
    <m/>
    <m/>
    <n v="2450.75"/>
    <n v="14704.509999999998"/>
    <n v="14704.509999999998"/>
    <m/>
    <m/>
    <m/>
    <m/>
    <n v="0"/>
    <n v="0"/>
    <n v="14704.509999999998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5"/>
    <s v="Huang HuangChun / 黃煌竣 &lt;jerry.huang@kokusai-electric.com&gt;"/>
    <n v="18616"/>
    <n v="1"/>
    <s v="USC23C020"/>
    <s v="F21P1 Kokusai Interconnection"/>
    <s v="Main Tool Interconnection"/>
    <s v="KDLNK1"/>
    <s v="LNK-PLASMA(Q2L) INTERCONNECTS"/>
    <m/>
    <n v="1"/>
    <n v="7131.44"/>
    <n v="25623.72"/>
    <m/>
    <m/>
    <n v="6551.03"/>
    <n v="39306.19"/>
    <n v="39306.19"/>
    <m/>
    <d v="2022-12-20T00:00:00"/>
    <m/>
    <s v="30 days net"/>
    <n v="39306.19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39306.19"/>
    <m/>
    <m/>
    <m/>
    <m/>
    <m/>
    <m/>
    <m/>
    <m/>
    <m/>
    <m/>
    <m/>
    <n v="39306.19"/>
    <m/>
    <m/>
    <m/>
  </r>
  <r>
    <m/>
    <x v="15"/>
    <m/>
    <n v="18617"/>
    <n v="6"/>
    <s v="USC23C020"/>
    <s v="F21P1 Kokusai Interconnection"/>
    <s v="Main Tool Interconnection"/>
    <s v="KSCBH4"/>
    <s v="DG4150 W/LAMP (TNDM) INTERCONNECTS"/>
    <m/>
    <n v="1"/>
    <m/>
    <n v="6460.4400000000005"/>
    <m/>
    <m/>
    <n v="1292.0899999999999"/>
    <n v="7752.5300000000007"/>
    <n v="7752.5300000000007"/>
    <m/>
    <m/>
    <m/>
    <m/>
    <n v="7752.53"/>
    <n v="0.99999999999999989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7752.53"/>
    <m/>
    <m/>
    <m/>
    <m/>
    <m/>
    <m/>
    <m/>
    <m/>
    <m/>
    <m/>
    <m/>
    <n v="7752.53"/>
    <m/>
    <m/>
    <m/>
  </r>
  <r>
    <m/>
    <x v="15"/>
    <n v="18618"/>
    <n v="18618"/>
    <n v="4"/>
    <s v="USC23C020"/>
    <s v="F21P1 Kokusai Interconnection"/>
    <s v="Main Tool Interconnection"/>
    <s v="KSCBH2"/>
    <s v="DG4150 (TNDM) INTERCONNECTS"/>
    <m/>
    <n v="1"/>
    <m/>
    <n v="2884.44"/>
    <m/>
    <m/>
    <n v="576.89"/>
    <n v="3461.33"/>
    <n v="3461.33"/>
    <m/>
    <m/>
    <m/>
    <m/>
    <n v="3461.33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3461.33"/>
    <m/>
    <m/>
    <m/>
    <m/>
    <m/>
    <m/>
    <m/>
    <m/>
    <m/>
    <m/>
    <m/>
    <n v="3461.33"/>
    <m/>
    <m/>
    <m/>
  </r>
  <r>
    <m/>
    <x v="15"/>
    <m/>
    <n v="18618"/>
    <n v="5"/>
    <s v="USC23C020"/>
    <s v="F21P1 Kokusai Interconnection"/>
    <s v="Main Tool Interconnection"/>
    <s v="KSCBH1"/>
    <s v="DG4150 (TNDM) INTERCONNECTS"/>
    <m/>
    <n v="1"/>
    <m/>
    <n v="2884.44"/>
    <m/>
    <m/>
    <n v="576.89"/>
    <n v="3461.33"/>
    <n v="3461.33"/>
    <m/>
    <m/>
    <m/>
    <m/>
    <n v="3461.33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3461.33"/>
    <m/>
    <m/>
    <m/>
    <m/>
    <m/>
    <m/>
    <m/>
    <m/>
    <m/>
    <m/>
    <m/>
    <n v="3461.33"/>
    <m/>
    <m/>
    <m/>
  </r>
  <r>
    <m/>
    <x v="15"/>
    <m/>
    <n v="18618"/>
    <n v="6"/>
    <s v="USC23C020"/>
    <s v="F21P1 Kokusai Interconnection"/>
    <s v="Main Tool Interconnection"/>
    <s v="KSCBH3"/>
    <s v="DG4150 (TNDM) INTERCONNECTS"/>
    <m/>
    <n v="1"/>
    <m/>
    <n v="2884.44"/>
    <m/>
    <m/>
    <n v="576.89"/>
    <n v="3461.33"/>
    <n v="3461.33"/>
    <m/>
    <m/>
    <m/>
    <m/>
    <n v="3461.33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3461.33"/>
    <m/>
    <m/>
    <m/>
    <m/>
    <m/>
    <m/>
    <m/>
    <m/>
    <m/>
    <m/>
    <m/>
    <n v="3461.33"/>
    <m/>
    <m/>
    <m/>
  </r>
  <r>
    <m/>
    <x v="16"/>
    <s v="Wu, Alex &lt;Alex.Wu@lamresearch.com&gt; "/>
    <s v="4800104873_025"/>
    <n v="25"/>
    <s v="USC23C025"/>
    <s v="MICU Lam Interconnection"/>
    <s v="Main Tool Interconnection"/>
    <s v="KESTL1"/>
    <s v="Etch 2300E4 platform_Kiyo*3PM"/>
    <m/>
    <n v="1"/>
    <m/>
    <n v="3795"/>
    <m/>
    <m/>
    <n v="678"/>
    <n v="4473"/>
    <n v="4473"/>
    <m/>
    <m/>
    <m/>
    <m/>
    <n v="4473"/>
    <n v="1"/>
    <n v="0"/>
    <m/>
    <m/>
    <n v="0"/>
    <m/>
    <m/>
    <m/>
    <m/>
    <m/>
    <m/>
    <m/>
    <m/>
    <m/>
    <m/>
    <m/>
    <m/>
    <m/>
    <m/>
    <m/>
    <m/>
    <m/>
    <m/>
    <m/>
    <m/>
    <m/>
    <m/>
    <n v="4473"/>
    <m/>
    <m/>
    <m/>
    <s v=""/>
    <m/>
    <m/>
    <m/>
    <m/>
    <m/>
    <m/>
    <m/>
    <m/>
    <m/>
    <m/>
    <m/>
    <m/>
    <m/>
    <n v="4473"/>
    <m/>
    <m/>
    <m/>
  </r>
  <r>
    <m/>
    <x v="16"/>
    <s v="Wu, Alex &lt;Alex.Wu@lamresearch.com&gt; "/>
    <s v="4800104873_055"/>
    <n v="55"/>
    <s v="USC23C025"/>
    <s v="MICU Lam Interconnection"/>
    <s v="Main Tool Interconnection"/>
    <s v="KEMGL1"/>
    <s v="Etch 2300E6 platform_Metal-M*4PM"/>
    <m/>
    <n v="1"/>
    <m/>
    <n v="4989"/>
    <m/>
    <m/>
    <n v="891"/>
    <n v="5880"/>
    <n v="5880"/>
    <m/>
    <m/>
    <m/>
    <m/>
    <n v="5880"/>
    <n v="1"/>
    <n v="0"/>
    <m/>
    <m/>
    <n v="0"/>
    <m/>
    <m/>
    <m/>
    <m/>
    <m/>
    <m/>
    <m/>
    <m/>
    <m/>
    <m/>
    <m/>
    <m/>
    <m/>
    <m/>
    <m/>
    <m/>
    <m/>
    <m/>
    <m/>
    <m/>
    <m/>
    <m/>
    <n v="5880"/>
    <m/>
    <m/>
    <m/>
    <s v=""/>
    <m/>
    <m/>
    <m/>
    <m/>
    <m/>
    <m/>
    <m/>
    <m/>
    <m/>
    <m/>
    <m/>
    <m/>
    <m/>
    <n v="5880"/>
    <m/>
    <m/>
    <m/>
  </r>
  <r>
    <m/>
    <x v="16"/>
    <s v="Wu, Alex &lt;Alex.Wu@lamresearch.com&gt; "/>
    <s v="4800104873_065"/>
    <n v="65"/>
    <s v="USC23C025"/>
    <s v="MICU Lam Interconnection"/>
    <s v="Main Tool Interconnection"/>
    <s v="KECOL4"/>
    <s v="Etch 2300 platform_Flex FL*5PM"/>
    <m/>
    <n v="1"/>
    <m/>
    <n v="9025"/>
    <m/>
    <m/>
    <n v="1613"/>
    <n v="10638"/>
    <n v="10638"/>
    <m/>
    <d v="2022-11-30T00:00:00"/>
    <m/>
    <s v="30 days net"/>
    <n v="10638"/>
    <n v="1"/>
    <n v="0"/>
    <m/>
    <m/>
    <n v="0"/>
    <m/>
    <m/>
    <m/>
    <m/>
    <m/>
    <m/>
    <m/>
    <m/>
    <m/>
    <m/>
    <m/>
    <m/>
    <m/>
    <m/>
    <m/>
    <m/>
    <m/>
    <m/>
    <m/>
    <m/>
    <m/>
    <m/>
    <n v="10638"/>
    <m/>
    <m/>
    <m/>
    <s v=""/>
    <m/>
    <m/>
    <m/>
    <m/>
    <m/>
    <m/>
    <m/>
    <m/>
    <m/>
    <m/>
    <m/>
    <m/>
    <m/>
    <n v="10638"/>
    <m/>
    <m/>
    <m/>
  </r>
  <r>
    <m/>
    <x v="16"/>
    <s v="Wu, Alex &lt;Alex.Wu@lamresearch.com&gt; "/>
    <s v="4800104873_074"/>
    <n v="74"/>
    <s v="USC23C025"/>
    <s v="MICU Lam Interconnection"/>
    <s v="Main Tool Interconnection"/>
    <s v="KEPRL6"/>
    <s v="Etch_Gamma"/>
    <s v="Billed"/>
    <n v="1"/>
    <n v="4039"/>
    <n v="9821"/>
    <m/>
    <m/>
    <n v="2477"/>
    <n v="16337"/>
    <n v="16337"/>
    <m/>
    <d v="2022-11-30T00:00:00"/>
    <m/>
    <s v="30 days net"/>
    <n v="16337"/>
    <n v="1"/>
    <n v="0"/>
    <n v="1"/>
    <n v="0"/>
    <n v="0.2914141414141414"/>
    <m/>
    <m/>
    <m/>
    <m/>
    <m/>
    <m/>
    <n v="4760.84"/>
    <m/>
    <m/>
    <m/>
    <m/>
    <m/>
    <m/>
    <m/>
    <n v="11576.16"/>
    <m/>
    <m/>
    <m/>
    <m/>
    <m/>
    <m/>
    <m/>
    <m/>
    <m/>
    <m/>
    <m/>
    <s v=""/>
    <m/>
    <m/>
    <m/>
    <m/>
    <m/>
    <m/>
    <m/>
    <m/>
    <m/>
    <m/>
    <m/>
    <m/>
    <m/>
    <n v="16337"/>
    <m/>
    <m/>
    <n v="16337"/>
  </r>
  <r>
    <m/>
    <x v="16"/>
    <s v="Wu, Alex &lt;Alex.Wu@lamresearch.com&gt; "/>
    <s v="4800104873_085"/>
    <n v="85"/>
    <s v="USC23C025"/>
    <s v="MICU Lam Interconnection"/>
    <s v="Main Tool Interconnection"/>
    <s v="KEPRL7"/>
    <s v="Etch_Argos *3PM"/>
    <m/>
    <n v="1"/>
    <n v="2534"/>
    <n v="4164"/>
    <m/>
    <m/>
    <n v="1197"/>
    <n v="7895"/>
    <n v="7895"/>
    <m/>
    <m/>
    <m/>
    <m/>
    <n v="7895"/>
    <n v="1"/>
    <n v="0"/>
    <n v="1"/>
    <n v="0"/>
    <n v="0.3783218871304867"/>
    <m/>
    <m/>
    <m/>
    <m/>
    <m/>
    <m/>
    <n v="2986.61"/>
    <m/>
    <m/>
    <m/>
    <m/>
    <m/>
    <m/>
    <m/>
    <m/>
    <m/>
    <m/>
    <m/>
    <m/>
    <m/>
    <m/>
    <m/>
    <n v="4908.3899999999994"/>
    <m/>
    <m/>
    <m/>
    <s v=""/>
    <m/>
    <m/>
    <m/>
    <m/>
    <m/>
    <m/>
    <m/>
    <m/>
    <m/>
    <m/>
    <m/>
    <m/>
    <m/>
    <n v="7895"/>
    <m/>
    <m/>
    <m/>
  </r>
  <r>
    <m/>
    <x v="16"/>
    <s v="Wu, Alex &lt;Alex.Wu@lamresearch.com&gt; "/>
    <s v="4800104873_088"/>
    <n v="88"/>
    <s v="USC23C025"/>
    <s v="MICU Lam Interconnection"/>
    <s v="Main Tool Interconnection"/>
    <s v="KCANN1"/>
    <s v="CVD_EMMA"/>
    <s v="Billed"/>
    <n v="1"/>
    <n v="1400"/>
    <n v="15236"/>
    <m/>
    <m/>
    <n v="2974"/>
    <n v="19610"/>
    <n v="19610"/>
    <m/>
    <d v="2022-11-30T00:00:00"/>
    <m/>
    <s v="30 days net"/>
    <n v="19610"/>
    <n v="1"/>
    <n v="0"/>
    <n v="1"/>
    <n v="0"/>
    <n v="8.4154844914642937E-2"/>
    <m/>
    <m/>
    <m/>
    <m/>
    <m/>
    <m/>
    <n v="1650.25"/>
    <m/>
    <m/>
    <m/>
    <m/>
    <m/>
    <m/>
    <m/>
    <n v="17959.75"/>
    <m/>
    <m/>
    <m/>
    <m/>
    <m/>
    <m/>
    <m/>
    <m/>
    <m/>
    <m/>
    <m/>
    <s v=""/>
    <m/>
    <m/>
    <m/>
    <m/>
    <m/>
    <m/>
    <m/>
    <m/>
    <m/>
    <m/>
    <m/>
    <m/>
    <m/>
    <n v="19610"/>
    <m/>
    <m/>
    <n v="19610"/>
  </r>
  <r>
    <m/>
    <x v="16"/>
    <s v="Wu, Alex &lt;Alex.Wu@lamresearch.com&gt; "/>
    <s v="4800104873_092"/>
    <n v="92"/>
    <s v="USC23C025"/>
    <s v="MICU Lam Interconnection"/>
    <s v="Main Tool Interconnection"/>
    <s v="KCANN2"/>
    <s v="CVD_Mithril"/>
    <s v="Billed"/>
    <n v="1"/>
    <n v="6230"/>
    <n v="10461"/>
    <m/>
    <m/>
    <n v="2983"/>
    <n v="19674"/>
    <n v="19674"/>
    <m/>
    <d v="2022-11-30T00:00:00"/>
    <m/>
    <s v="30 days net"/>
    <n v="19674"/>
    <n v="1"/>
    <n v="0"/>
    <n v="1"/>
    <n v="0"/>
    <n v="0.37325504763045952"/>
    <m/>
    <m/>
    <m/>
    <m/>
    <m/>
    <m/>
    <n v="7343.42"/>
    <m/>
    <m/>
    <m/>
    <m/>
    <m/>
    <m/>
    <m/>
    <n v="12330.58"/>
    <m/>
    <m/>
    <m/>
    <m/>
    <m/>
    <m/>
    <m/>
    <m/>
    <m/>
    <m/>
    <m/>
    <s v=""/>
    <m/>
    <m/>
    <m/>
    <m/>
    <m/>
    <m/>
    <m/>
    <m/>
    <m/>
    <m/>
    <m/>
    <m/>
    <m/>
    <n v="19674"/>
    <m/>
    <m/>
    <n v="19674"/>
  </r>
  <r>
    <m/>
    <x v="16"/>
    <s v="Wu, Alex &lt;Alex.Wu@lamresearch.com&gt; "/>
    <s v="4800104873_001"/>
    <n v="1"/>
    <s v="USC23C025"/>
    <s v="MICU Lam Interconnection"/>
    <s v="Main Tool Interconnection"/>
    <s v="KEMEL1"/>
    <s v="Etch 2300E6 platform_Metal-NXP*6PM"/>
    <m/>
    <n v="1"/>
    <m/>
    <n v="7376"/>
    <m/>
    <m/>
    <n v="1319"/>
    <n v="8695"/>
    <n v="8695"/>
    <m/>
    <d v="2022-11-30T00:00:00"/>
    <m/>
    <s v="30 days net"/>
    <n v="8695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n v="8695"/>
    <m/>
    <m/>
    <m/>
    <m/>
    <m/>
    <m/>
    <m/>
    <n v="0"/>
    <m/>
    <m/>
    <m/>
  </r>
  <r>
    <m/>
    <x v="16"/>
    <s v="Wu, Alex &lt;Alex.Wu@lamresearch.com&gt; "/>
    <s v="4800104873_002"/>
    <n v="2"/>
    <s v="USC23C025"/>
    <s v="MICU Lam Interconnection"/>
    <s v="Main Tool Interconnection"/>
    <s v="KEMEL8"/>
    <s v="Etch 2300E6 platform_Metal-NXP*6PM"/>
    <m/>
    <n v="1"/>
    <m/>
    <n v="7376"/>
    <m/>
    <m/>
    <n v="1319"/>
    <n v="8695"/>
    <n v="8695"/>
    <m/>
    <m/>
    <m/>
    <m/>
    <n v="8695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n v="8695"/>
    <m/>
    <m/>
    <m/>
    <m/>
    <m/>
    <m/>
    <m/>
    <n v="0"/>
    <m/>
    <m/>
    <m/>
  </r>
  <r>
    <m/>
    <x v="16"/>
    <s v="Wu, Alex &lt;Alex.Wu@lamresearch.com&gt; "/>
    <s v="4800104873_005"/>
    <n v="5"/>
    <s v="USC23C025"/>
    <s v="MICU Lam Interconnection"/>
    <s v="Main Tool Interconnection"/>
    <s v="KEMEL9"/>
    <s v="Etch 2300E6 platform_Metal-NXP*6PM"/>
    <m/>
    <n v="1"/>
    <m/>
    <n v="7376"/>
    <m/>
    <m/>
    <n v="1319"/>
    <n v="8695"/>
    <n v="8695"/>
    <m/>
    <m/>
    <m/>
    <m/>
    <n v="8695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n v="8695"/>
    <m/>
    <m/>
    <m/>
    <m/>
    <m/>
    <m/>
    <m/>
    <n v="0"/>
    <m/>
    <m/>
    <m/>
  </r>
  <r>
    <m/>
    <x v="16"/>
    <s v="Wu, Alex &lt;Alex.Wu@lamresearch.com&gt; "/>
    <s v="4800104873_006"/>
    <n v="6"/>
    <s v="USC23C025"/>
    <s v="MICU Lam Interconnection"/>
    <s v="Main Tool Interconnection"/>
    <s v="KEMELE"/>
    <s v="Etch 2300E6 platform_Metal-NXP*6PM"/>
    <m/>
    <n v="1"/>
    <m/>
    <n v="7376"/>
    <m/>
    <m/>
    <n v="1319"/>
    <n v="8695"/>
    <n v="8695"/>
    <m/>
    <m/>
    <m/>
    <m/>
    <n v="0"/>
    <n v="0"/>
    <n v="8695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007"/>
    <n v="7"/>
    <s v="USC23C025"/>
    <s v="MICU Lam Interconnection"/>
    <s v="Main Tool Interconnection"/>
    <s v="KEMELC"/>
    <s v="Etch 2300E6 platform_Metal-NXP*2PM"/>
    <m/>
    <n v="1"/>
    <m/>
    <n v="2601"/>
    <m/>
    <m/>
    <n v="465"/>
    <n v="3066"/>
    <n v="3066"/>
    <m/>
    <m/>
    <m/>
    <m/>
    <n v="0"/>
    <n v="0"/>
    <n v="3066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008"/>
    <n v="8"/>
    <s v="USC23C025"/>
    <s v="MICU Lam Interconnection"/>
    <s v="Main Tool Interconnection"/>
    <s v="KEBEL1"/>
    <s v="Etch 2300E4 platform_Coronus/HP*2PM"/>
    <m/>
    <n v="1"/>
    <m/>
    <n v="2601"/>
    <m/>
    <m/>
    <n v="465"/>
    <n v="3066"/>
    <n v="3066"/>
    <m/>
    <d v="2022-11-30T00:00:00"/>
    <m/>
    <s v="30 days net"/>
    <n v="3066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n v="3066"/>
    <m/>
    <m/>
    <m/>
    <m/>
    <m/>
    <m/>
    <m/>
    <n v="0"/>
    <m/>
    <m/>
    <m/>
  </r>
  <r>
    <m/>
    <x v="16"/>
    <s v="Wu, Alex &lt;Alex.Wu@lamresearch.com&gt; "/>
    <s v="4800104873_010"/>
    <n v="10"/>
    <s v="USC23C025"/>
    <s v="MICU Lam Interconnection"/>
    <s v="Main Tool Interconnection"/>
    <s v="KEBEL4"/>
    <s v="Etch 2300E4 platform_Coronus*2PM"/>
    <m/>
    <n v="1"/>
    <m/>
    <n v="782"/>
    <m/>
    <m/>
    <n v="139"/>
    <n v="921"/>
    <n v="921"/>
    <m/>
    <m/>
    <m/>
    <m/>
    <n v="0"/>
    <n v="0"/>
    <n v="921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n v="921"/>
    <m/>
    <n v="0"/>
    <m/>
    <m/>
    <m/>
  </r>
  <r>
    <m/>
    <x v="16"/>
    <s v="Wu, Alex &lt;Alex.Wu@lamresearch.com&gt; "/>
    <s v="4800104873_011"/>
    <n v="11"/>
    <s v="USC23C025"/>
    <s v="MICU Lam Interconnection"/>
    <s v="Main Tool Interconnection"/>
    <s v="KEBEL5"/>
    <s v="Etch 2300E4 platform_Coronus*2PM"/>
    <m/>
    <n v="1"/>
    <m/>
    <n v="782"/>
    <m/>
    <m/>
    <n v="139"/>
    <n v="921"/>
    <n v="921"/>
    <m/>
    <m/>
    <m/>
    <m/>
    <n v="0"/>
    <n v="0"/>
    <n v="921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012"/>
    <n v="12"/>
    <s v="USC23C025"/>
    <s v="MICU Lam Interconnection"/>
    <s v="Main Tool Interconnection"/>
    <s v="KEBEL3"/>
    <s v="Etch 2300E4 platform_Coronus HP*1PM"/>
    <m/>
    <n v="1"/>
    <m/>
    <n v="1407"/>
    <m/>
    <m/>
    <n v="252"/>
    <n v="1659"/>
    <n v="1659"/>
    <m/>
    <m/>
    <m/>
    <m/>
    <n v="0"/>
    <n v="0"/>
    <n v="1659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013"/>
    <n v="13"/>
    <s v="USC23C025"/>
    <s v="MICU Lam Interconnection"/>
    <s v="Main Tool Interconnection"/>
    <s v="KESTL4"/>
    <s v="Etch 2300E4 platform_Kiyo*3PM"/>
    <m/>
    <n v="1"/>
    <m/>
    <n v="3795"/>
    <m/>
    <m/>
    <n v="678"/>
    <n v="4473"/>
    <n v="4473"/>
    <m/>
    <d v="2022-11-30T00:00:00"/>
    <m/>
    <s v="30 days net"/>
    <n v="4473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4473"/>
    <m/>
    <m/>
    <m/>
    <m/>
    <m/>
    <m/>
    <m/>
    <m/>
    <m/>
    <m/>
    <m/>
    <n v="4473"/>
    <m/>
    <m/>
    <m/>
  </r>
  <r>
    <m/>
    <x v="16"/>
    <s v="Wu, Alex &lt;Alex.Wu@lamresearch.com&gt; "/>
    <s v="4800104873_016"/>
    <n v="16"/>
    <s v="USC23C025"/>
    <s v="MICU Lam Interconnection"/>
    <s v="Main Tool Interconnection"/>
    <s v="KESTL7"/>
    <s v="Etch 2300E4 platform_Kiyo*3PM"/>
    <m/>
    <n v="1"/>
    <m/>
    <n v="3795"/>
    <m/>
    <m/>
    <n v="678"/>
    <n v="4473"/>
    <n v="4473"/>
    <m/>
    <m/>
    <m/>
    <m/>
    <n v="4473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4473"/>
    <m/>
    <m/>
    <m/>
    <m/>
    <m/>
    <m/>
    <m/>
    <m/>
    <m/>
    <m/>
    <m/>
    <n v="4473"/>
    <m/>
    <m/>
    <m/>
  </r>
  <r>
    <m/>
    <x v="16"/>
    <s v="Wu, Alex &lt;Alex.Wu@lamresearch.com&gt; "/>
    <s v="4800104873_019"/>
    <n v="19"/>
    <s v="USC23C025"/>
    <s v="MICU Lam Interconnection"/>
    <s v="Main Tool Interconnection"/>
    <s v="KEPOL4"/>
    <s v="Etch 2300E4 platform_Kiyo*3PM"/>
    <m/>
    <n v="1"/>
    <m/>
    <n v="3795"/>
    <m/>
    <m/>
    <n v="678"/>
    <n v="4473"/>
    <n v="4473"/>
    <m/>
    <m/>
    <m/>
    <m/>
    <n v="4473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4473"/>
    <m/>
    <m/>
    <m/>
    <m/>
    <m/>
    <m/>
    <m/>
    <m/>
    <m/>
    <m/>
    <m/>
    <n v="4473"/>
    <m/>
    <m/>
    <m/>
  </r>
  <r>
    <m/>
    <x v="16"/>
    <s v="Wu, Alex &lt;Alex.Wu@lamresearch.com&gt; "/>
    <s v="4800104873_020"/>
    <n v="20"/>
    <s v="USC23C025"/>
    <s v="MICU Lam Interconnection"/>
    <s v="Main Tool Interconnection"/>
    <s v="KEPOLB"/>
    <s v="Etch 2300E4 platform_Kiyo*3PM"/>
    <m/>
    <n v="1"/>
    <m/>
    <n v="3795"/>
    <m/>
    <m/>
    <n v="678"/>
    <n v="4473"/>
    <n v="4473"/>
    <m/>
    <m/>
    <m/>
    <m/>
    <n v="0"/>
    <n v="0"/>
    <n v="4473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134"/>
    <n v="134"/>
    <s v="USC23C025"/>
    <s v="MICU Lam Interconnection"/>
    <s v="Main Tool Interconnection"/>
    <s v="KCWCN1"/>
    <s v="CVD_WDC"/>
    <m/>
    <n v="1"/>
    <n v="6607"/>
    <n v="10773"/>
    <m/>
    <m/>
    <n v="3106"/>
    <n v="20486"/>
    <n v="20486"/>
    <m/>
    <d v="2022-11-30T00:00:00"/>
    <m/>
    <s v="30 days net"/>
    <n v="20486"/>
    <n v="1"/>
    <n v="0"/>
    <n v="1"/>
    <n v="0"/>
    <n v="0.38014959723820485"/>
    <m/>
    <m/>
    <m/>
    <m/>
    <m/>
    <m/>
    <n v="7787.75"/>
    <m/>
    <m/>
    <m/>
    <m/>
    <m/>
    <m/>
    <m/>
    <m/>
    <m/>
    <m/>
    <m/>
    <m/>
    <m/>
    <m/>
    <m/>
    <n v="12698.25"/>
    <m/>
    <m/>
    <m/>
    <s v=""/>
    <m/>
    <m/>
    <m/>
    <m/>
    <m/>
    <m/>
    <m/>
    <m/>
    <m/>
    <m/>
    <m/>
    <m/>
    <m/>
    <n v="20486"/>
    <m/>
    <m/>
    <m/>
  </r>
  <r>
    <m/>
    <x v="16"/>
    <s v="Wu, Alex &lt;Alex.Wu@lamresearch.com&gt; "/>
    <s v="4800104873_026"/>
    <n v="26"/>
    <s v="USC23C025"/>
    <s v="MICU Lam Interconnection"/>
    <s v="Main Tool Interconnection"/>
    <s v="KESTL2"/>
    <s v="Etch 2300E4 platform_Kiyo*3PM"/>
    <m/>
    <n v="1"/>
    <m/>
    <n v="3795"/>
    <m/>
    <m/>
    <n v="678"/>
    <n v="4473"/>
    <n v="4473"/>
    <m/>
    <m/>
    <m/>
    <m/>
    <n v="4473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4473"/>
    <m/>
    <m/>
    <m/>
    <m/>
    <m/>
    <m/>
    <m/>
    <m/>
    <m/>
    <m/>
    <m/>
    <n v="4473"/>
    <m/>
    <m/>
    <m/>
  </r>
  <r>
    <m/>
    <x v="16"/>
    <s v="Wu, Alex &lt;Alex.Wu@lamresearch.com&gt; "/>
    <s v="4800104873_029"/>
    <n v="29"/>
    <s v="USC23C025"/>
    <s v="MICU Lam Interconnection"/>
    <s v="Main Tool Interconnection"/>
    <s v="KESDL1"/>
    <s v="Etch 2300E4 platform_Kiyo*3PM"/>
    <m/>
    <n v="1"/>
    <m/>
    <n v="3795"/>
    <m/>
    <m/>
    <n v="678"/>
    <n v="4473"/>
    <n v="4473"/>
    <m/>
    <m/>
    <m/>
    <m/>
    <n v="4473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4473"/>
    <m/>
    <m/>
    <m/>
    <m/>
    <m/>
    <m/>
    <m/>
    <m/>
    <m/>
    <m/>
    <m/>
    <n v="4473"/>
    <m/>
    <m/>
    <m/>
  </r>
  <r>
    <m/>
    <x v="16"/>
    <s v="Wu, Alex &lt;Alex.Wu@lamresearch.com&gt; "/>
    <s v="4800104873_031"/>
    <n v="31"/>
    <s v="USC23C025"/>
    <s v="MICU Lam Interconnection"/>
    <s v="Main Tool Interconnection"/>
    <s v="KESTL8"/>
    <s v="Etch 2300E4 platform_Kiyo*3PM"/>
    <m/>
    <n v="1"/>
    <m/>
    <n v="3795"/>
    <m/>
    <m/>
    <n v="678"/>
    <n v="4473"/>
    <n v="4473"/>
    <m/>
    <m/>
    <m/>
    <m/>
    <n v="0"/>
    <n v="0"/>
    <n v="4473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032"/>
    <n v="32"/>
    <s v="USC23C025"/>
    <s v="MICU Lam Interconnection"/>
    <s v="Main Tool Interconnection"/>
    <s v="KEPOLC"/>
    <s v="Etch 2300E4 platform_Kiyo*3PM"/>
    <m/>
    <n v="1"/>
    <m/>
    <n v="3795"/>
    <m/>
    <m/>
    <n v="678"/>
    <n v="4473"/>
    <n v="4473"/>
    <m/>
    <m/>
    <m/>
    <m/>
    <n v="0"/>
    <n v="0"/>
    <n v="4473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033"/>
    <n v="33"/>
    <s v="USC23C025"/>
    <s v="MICU Lam Interconnection"/>
    <s v="Main Tool Interconnection"/>
    <s v="KEPOLA"/>
    <s v="Etch 2300E4 platform_Kiyo*3PM"/>
    <m/>
    <n v="1"/>
    <m/>
    <n v="3795"/>
    <m/>
    <m/>
    <n v="678"/>
    <n v="4473"/>
    <n v="4473"/>
    <m/>
    <m/>
    <m/>
    <m/>
    <n v="0"/>
    <n v="0"/>
    <n v="4473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034"/>
    <n v="34"/>
    <s v="USC23C025"/>
    <s v="MICU Lam Interconnection"/>
    <s v="Main Tool Interconnection"/>
    <s v="KESTLA"/>
    <s v="Etch 2300E4 platform_Kiyo*3PM"/>
    <m/>
    <n v="1"/>
    <m/>
    <n v="3795"/>
    <m/>
    <m/>
    <n v="678"/>
    <n v="4473"/>
    <n v="4473"/>
    <m/>
    <m/>
    <m/>
    <m/>
    <n v="0"/>
    <n v="0"/>
    <n v="4473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035"/>
    <n v="35"/>
    <s v="USC23C025"/>
    <s v="MICU Lam Interconnection"/>
    <s v="Main Tool Interconnection"/>
    <s v="KEPOLD"/>
    <s v="Etch 2300E4 platform_Kiyo*3PM"/>
    <m/>
    <n v="1"/>
    <m/>
    <n v="3795"/>
    <m/>
    <m/>
    <n v="678"/>
    <n v="4473"/>
    <n v="4473"/>
    <m/>
    <m/>
    <m/>
    <m/>
    <n v="0"/>
    <n v="0"/>
    <n v="4473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n v="4473"/>
    <m/>
    <n v="0"/>
    <m/>
    <m/>
    <m/>
  </r>
  <r>
    <m/>
    <x v="16"/>
    <s v="Wu, Alex &lt;Alex.Wu@lamresearch.com&gt; "/>
    <s v="4800104873_036"/>
    <n v="36"/>
    <s v="USC23C025"/>
    <s v="MICU Lam Interconnection"/>
    <s v="Main Tool Interconnection"/>
    <s v="KESDL3"/>
    <s v="Etch 2300E4 platform_Kiyo*3PM"/>
    <m/>
    <n v="1"/>
    <m/>
    <n v="3795"/>
    <m/>
    <m/>
    <n v="678"/>
    <n v="4473"/>
    <n v="4473"/>
    <m/>
    <m/>
    <m/>
    <m/>
    <n v="0"/>
    <n v="0"/>
    <n v="4473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037"/>
    <n v="37"/>
    <s v="USC23C025"/>
    <s v="MICU Lam Interconnection"/>
    <s v="Main Tool Interconnection"/>
    <s v="KESDL4"/>
    <s v="Etch 2300E4 platform_Kiyo*3PM"/>
    <m/>
    <n v="1"/>
    <m/>
    <n v="3795"/>
    <m/>
    <m/>
    <n v="678"/>
    <n v="4473"/>
    <n v="4473"/>
    <m/>
    <m/>
    <m/>
    <m/>
    <n v="0"/>
    <n v="0"/>
    <n v="4473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n v="4473"/>
    <m/>
    <n v="0"/>
    <m/>
    <m/>
    <m/>
  </r>
  <r>
    <m/>
    <x v="16"/>
    <s v="Wu, Alex &lt;Alex.Wu@lamresearch.com&gt; "/>
    <s v="4800104873_038"/>
    <n v="38"/>
    <s v="USC23C025"/>
    <s v="MICU Lam Interconnection"/>
    <s v="Main Tool Interconnection"/>
    <s v="KESDL5"/>
    <s v="Etch 2300E4 platform_Kiyo*3PM"/>
    <m/>
    <n v="1"/>
    <m/>
    <n v="3795"/>
    <m/>
    <m/>
    <n v="678"/>
    <n v="4473"/>
    <n v="4473"/>
    <m/>
    <m/>
    <m/>
    <m/>
    <n v="0"/>
    <n v="0"/>
    <n v="4473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039"/>
    <n v="39"/>
    <s v="USC23C025"/>
    <s v="MICU Lam Interconnection"/>
    <s v="Main Tool Interconnection"/>
    <s v="KEPOLF"/>
    <s v="Etch 2300E4 platform_Kiyo*3PM"/>
    <m/>
    <n v="1"/>
    <m/>
    <n v="3795"/>
    <m/>
    <m/>
    <n v="678"/>
    <n v="4473"/>
    <n v="4473"/>
    <m/>
    <m/>
    <m/>
    <m/>
    <n v="0"/>
    <n v="0"/>
    <n v="4473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040"/>
    <n v="40"/>
    <s v="USC23C025"/>
    <s v="MICU Lam Interconnection"/>
    <s v="Main Tool Interconnection"/>
    <s v="KEPOLE"/>
    <s v="Etch 2300E4 platform_Kiyo*3PM"/>
    <m/>
    <n v="1"/>
    <m/>
    <n v="3795"/>
    <m/>
    <m/>
    <n v="678"/>
    <n v="4473"/>
    <n v="4473"/>
    <m/>
    <m/>
    <m/>
    <m/>
    <n v="0"/>
    <n v="0"/>
    <n v="4473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041"/>
    <n v="41"/>
    <s v="USC23C025"/>
    <s v="MICU Lam Interconnection"/>
    <s v="Main Tool Interconnection"/>
    <s v="KESDL6"/>
    <s v="Etch 2300E4 platform_Kiyo*3PM"/>
    <m/>
    <n v="1"/>
    <m/>
    <n v="3795"/>
    <m/>
    <m/>
    <n v="678"/>
    <n v="4473"/>
    <n v="4473"/>
    <m/>
    <m/>
    <m/>
    <m/>
    <n v="0"/>
    <n v="0"/>
    <n v="4473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042"/>
    <n v="42"/>
    <s v="USC23C025"/>
    <s v="MICU Lam Interconnection"/>
    <s v="Main Tool Interconnection"/>
    <s v="KESTLD"/>
    <s v="Etch 2300E4 platform_Kiyo*3PM"/>
    <m/>
    <n v="1"/>
    <m/>
    <n v="3795"/>
    <m/>
    <m/>
    <n v="678"/>
    <n v="4473"/>
    <n v="4473"/>
    <m/>
    <m/>
    <m/>
    <m/>
    <n v="0"/>
    <n v="0"/>
    <n v="4473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043"/>
    <n v="43"/>
    <s v="USC23C025"/>
    <s v="MICU Lam Interconnection"/>
    <s v="Main Tool Interconnection"/>
    <s v="KESTLB"/>
    <s v="Etch 2300E4 platform_Kiyo*2PM"/>
    <m/>
    <n v="1"/>
    <m/>
    <n v="2601"/>
    <m/>
    <m/>
    <n v="465"/>
    <n v="3066"/>
    <n v="3066"/>
    <m/>
    <m/>
    <m/>
    <m/>
    <n v="0"/>
    <n v="0"/>
    <n v="3066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044"/>
    <n v="44"/>
    <s v="USC23C025"/>
    <s v="MICU Lam Interconnection"/>
    <s v="Main Tool Interconnection"/>
    <s v="KEPOL9"/>
    <s v="Etch 2300E4 platform_Kiyo*3PM"/>
    <m/>
    <n v="1"/>
    <m/>
    <n v="2601"/>
    <m/>
    <m/>
    <n v="465"/>
    <n v="3066"/>
    <n v="3066"/>
    <m/>
    <m/>
    <m/>
    <m/>
    <n v="0"/>
    <n v="0"/>
    <n v="3066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045"/>
    <n v="45"/>
    <s v="USC23C025"/>
    <s v="MICU Lam Interconnection"/>
    <s v="Main Tool Interconnection"/>
    <s v="KESTL9"/>
    <s v="Etch 2300E4 platform_Kiyo*3PM"/>
    <m/>
    <n v="1"/>
    <m/>
    <n v="2601"/>
    <m/>
    <m/>
    <n v="465"/>
    <n v="3066"/>
    <n v="3066"/>
    <m/>
    <m/>
    <m/>
    <m/>
    <n v="0"/>
    <n v="0"/>
    <n v="3066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046"/>
    <n v="46"/>
    <s v="USC23C025"/>
    <s v="MICU Lam Interconnection"/>
    <s v="Main Tool Interconnection"/>
    <s v="KESTLC"/>
    <s v="Etch 2300E4 platform_Kiyo*1PM"/>
    <m/>
    <n v="1"/>
    <m/>
    <n v="1407"/>
    <m/>
    <m/>
    <n v="252"/>
    <n v="1659"/>
    <n v="1659"/>
    <m/>
    <m/>
    <m/>
    <m/>
    <n v="0"/>
    <n v="0"/>
    <n v="1659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047"/>
    <n v="47"/>
    <s v="USC23C025"/>
    <s v="MICU Lam Interconnection"/>
    <s v="Main Tool Interconnection"/>
    <s v="KEMEL3"/>
    <s v="Etch 2300E6 platform_Metal-M*4PM"/>
    <m/>
    <n v="1"/>
    <m/>
    <n v="4989"/>
    <m/>
    <m/>
    <n v="891"/>
    <n v="5880"/>
    <n v="5880"/>
    <m/>
    <d v="2022-11-30T00:00:00"/>
    <m/>
    <s v="30 days net"/>
    <n v="5880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n v="5880"/>
    <m/>
    <m/>
    <m/>
    <m/>
    <m/>
    <m/>
    <m/>
    <n v="0"/>
    <m/>
    <m/>
    <m/>
  </r>
  <r>
    <m/>
    <x v="16"/>
    <s v="Wu, Alex &lt;Alex.Wu@lamresearch.com&gt; "/>
    <s v="4800104873_048"/>
    <n v="48"/>
    <s v="USC23C025"/>
    <s v="MICU Lam Interconnection"/>
    <s v="Main Tool Interconnection"/>
    <s v="KEMEL4"/>
    <s v="Etch 2300E6 platform_Metal-M*4PM"/>
    <m/>
    <n v="1"/>
    <m/>
    <n v="4989"/>
    <m/>
    <m/>
    <n v="891"/>
    <n v="5880"/>
    <n v="5880"/>
    <m/>
    <m/>
    <m/>
    <m/>
    <n v="5880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n v="5880"/>
    <m/>
    <m/>
    <m/>
    <m/>
    <m/>
    <m/>
    <m/>
    <n v="0"/>
    <m/>
    <m/>
    <m/>
  </r>
  <r>
    <m/>
    <x v="16"/>
    <s v="Wu, Alex &lt;Alex.Wu@lamresearch.com&gt; "/>
    <s v="4800104873_050"/>
    <n v="50"/>
    <s v="USC23C025"/>
    <s v="MICU Lam Interconnection"/>
    <s v="Main Tool Interconnection"/>
    <s v="KEMEL6"/>
    <s v="Etch 2300E6 platform_Metal-M*4PM"/>
    <m/>
    <n v="1"/>
    <m/>
    <n v="4989"/>
    <m/>
    <m/>
    <n v="891"/>
    <n v="5880"/>
    <n v="5880"/>
    <m/>
    <m/>
    <m/>
    <m/>
    <n v="5880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5880"/>
    <m/>
    <m/>
    <m/>
    <m/>
    <m/>
    <m/>
    <m/>
    <m/>
    <m/>
    <m/>
    <m/>
    <n v="5880"/>
    <m/>
    <m/>
    <m/>
  </r>
  <r>
    <m/>
    <x v="16"/>
    <s v="Wu, Alex &lt;Alex.Wu@lamresearch.com&gt; "/>
    <s v="4800104873_051"/>
    <n v="51"/>
    <s v="USC23C025"/>
    <s v="MICU Lam Interconnection"/>
    <s v="Main Tool Interconnection"/>
    <s v="KEMELB"/>
    <s v="Etch 2300E6 platform_Metal-M*4PM"/>
    <m/>
    <n v="1"/>
    <m/>
    <n v="4989"/>
    <m/>
    <m/>
    <n v="891"/>
    <n v="5880"/>
    <n v="5880"/>
    <m/>
    <m/>
    <m/>
    <m/>
    <n v="0"/>
    <n v="0"/>
    <n v="588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052"/>
    <n v="52"/>
    <s v="USC23C025"/>
    <s v="MICU Lam Interconnection"/>
    <s v="Main Tool Interconnection"/>
    <s v="KEMELD"/>
    <s v="Etch 2300E6 platform_Metal-M*4PM"/>
    <m/>
    <n v="1"/>
    <m/>
    <n v="4989"/>
    <m/>
    <m/>
    <n v="891"/>
    <n v="5880"/>
    <n v="5880"/>
    <m/>
    <m/>
    <m/>
    <m/>
    <n v="0"/>
    <n v="0"/>
    <n v="588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053"/>
    <n v="53"/>
    <s v="USC23C025"/>
    <s v="MICU Lam Interconnection"/>
    <s v="Main Tool Interconnection"/>
    <s v="KEMELF"/>
    <s v="Etch 2300E6 platform_Metal-M*4PM"/>
    <m/>
    <n v="1"/>
    <m/>
    <n v="4989"/>
    <m/>
    <m/>
    <n v="891"/>
    <n v="5880"/>
    <n v="5880"/>
    <m/>
    <m/>
    <m/>
    <m/>
    <n v="0"/>
    <n v="0"/>
    <n v="588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054"/>
    <n v="54"/>
    <s v="USC23C025"/>
    <s v="MICU Lam Interconnection"/>
    <s v="Main Tool Interconnection"/>
    <s v="KEMELG"/>
    <s v="Etch 2300E6 platform_Metal-M*4PM"/>
    <m/>
    <n v="1"/>
    <m/>
    <n v="4989"/>
    <m/>
    <m/>
    <n v="891"/>
    <n v="5880"/>
    <n v="5880"/>
    <m/>
    <m/>
    <m/>
    <m/>
    <n v="0"/>
    <n v="0"/>
    <n v="588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003"/>
    <n v="3"/>
    <s v="USC23C025"/>
    <s v="MICU Lam Interconnection"/>
    <s v="Main Tool Interconnection"/>
    <s v="KEMEL7"/>
    <s v="Etch 2300E6 platform_Metal-NXP*6PM"/>
    <m/>
    <n v="1"/>
    <m/>
    <n v="7376"/>
    <m/>
    <m/>
    <n v="1319"/>
    <n v="8695"/>
    <n v="8695"/>
    <m/>
    <m/>
    <m/>
    <m/>
    <n v="8695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8695"/>
    <m/>
    <m/>
    <m/>
    <m/>
    <m/>
    <m/>
    <m/>
    <m/>
    <m/>
    <m/>
    <m/>
    <n v="8695"/>
    <m/>
    <m/>
    <m/>
  </r>
  <r>
    <m/>
    <x v="16"/>
    <s v="Wu, Alex &lt;Alex.Wu@lamresearch.com&gt; "/>
    <s v="4800104873_058"/>
    <n v="58"/>
    <s v="USC23C025"/>
    <s v="MICU Lam Interconnection"/>
    <s v="Main Tool Interconnection"/>
    <s v="KEMGL7"/>
    <s v="Etch 2300E6 platform_Metal-M*4PM"/>
    <m/>
    <n v="1"/>
    <m/>
    <n v="4989"/>
    <m/>
    <m/>
    <n v="891"/>
    <n v="5880"/>
    <n v="5880"/>
    <m/>
    <m/>
    <m/>
    <m/>
    <n v="0"/>
    <n v="0"/>
    <n v="588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059"/>
    <n v="59"/>
    <s v="USC23C025"/>
    <s v="MICU Lam Interconnection"/>
    <s v="Main Tool Interconnection"/>
    <s v="KEMGL4"/>
    <s v="Etch 2300E6 platform_Metal-M*4PM"/>
    <m/>
    <n v="1"/>
    <m/>
    <n v="4989"/>
    <m/>
    <m/>
    <n v="891"/>
    <n v="5880"/>
    <n v="5880"/>
    <m/>
    <m/>
    <m/>
    <m/>
    <n v="0"/>
    <n v="0"/>
    <n v="588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060"/>
    <n v="60"/>
    <s v="USC23C025"/>
    <s v="MICU Lam Interconnection"/>
    <s v="Main Tool Interconnection"/>
    <s v="KEMGL5"/>
    <s v="Etch 2300E6 platform_Metal-M*4PM"/>
    <m/>
    <n v="1"/>
    <m/>
    <n v="4989"/>
    <m/>
    <m/>
    <n v="891"/>
    <n v="5880"/>
    <n v="5880"/>
    <m/>
    <m/>
    <m/>
    <m/>
    <n v="0"/>
    <n v="0"/>
    <n v="588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m/>
    <s v="4800104873_061"/>
    <n v="61"/>
    <s v="USC23C025"/>
    <m/>
    <s v="Main Tool Interconnection"/>
    <s v="KEMGL6"/>
    <s v="Etch 2300E6 platform_Metal-M*4PM"/>
    <m/>
    <n v="1"/>
    <m/>
    <n v="4989"/>
    <m/>
    <m/>
    <n v="891"/>
    <n v="5880"/>
    <n v="5880"/>
    <m/>
    <m/>
    <m/>
    <m/>
    <n v="0"/>
    <n v="0"/>
    <n v="588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m/>
    <s v="4800104873_062"/>
    <n v="62"/>
    <s v="USC23C025"/>
    <m/>
    <s v="Main Tool Interconnection"/>
    <s v="KEMGL8"/>
    <s v="Etch 2300E6 platform_Metal-M*4PM"/>
    <m/>
    <n v="1"/>
    <m/>
    <n v="4989"/>
    <m/>
    <m/>
    <n v="891"/>
    <n v="5880"/>
    <n v="5880"/>
    <m/>
    <m/>
    <m/>
    <m/>
    <n v="0"/>
    <n v="0"/>
    <n v="588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063"/>
    <n v="63"/>
    <s v="USC23C025"/>
    <s v="MICU Lam Interconnection"/>
    <s v="Main Tool Interconnection"/>
    <s v="KEVIL1"/>
    <s v="Etch 2300 platform_Flex45*4PM"/>
    <m/>
    <n v="1"/>
    <m/>
    <n v="9253"/>
    <m/>
    <m/>
    <n v="1653"/>
    <n v="10906"/>
    <n v="10906"/>
    <m/>
    <d v="2022-11-30T00:00:00"/>
    <m/>
    <s v="30 days net"/>
    <n v="10906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n v="10906"/>
    <m/>
    <m/>
    <m/>
    <m/>
    <m/>
    <m/>
    <m/>
    <n v="0"/>
    <m/>
    <m/>
    <m/>
  </r>
  <r>
    <m/>
    <x v="16"/>
    <s v="Wu, Alex &lt;Alex.Wu@lamresearch.com&gt; "/>
    <s v="4800104873_064"/>
    <n v="64"/>
    <s v="USC23C025"/>
    <s v="MICU Lam Interconnection"/>
    <s v="Main Tool Interconnection"/>
    <s v="KEVIL2"/>
    <s v="Etch 2300 platform_Flex45*4PM"/>
    <m/>
    <n v="1"/>
    <m/>
    <n v="9253"/>
    <m/>
    <m/>
    <n v="1653"/>
    <n v="10906"/>
    <n v="10906"/>
    <m/>
    <m/>
    <m/>
    <m/>
    <n v="0"/>
    <n v="0"/>
    <n v="10906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004"/>
    <n v="4"/>
    <s v="USC23C025"/>
    <s v="MICU Lam Interconnection"/>
    <s v="Main Tool Interconnection"/>
    <s v="KECOL3"/>
    <s v="Etch 2300E6 platform_Metal-NXP*6PM"/>
    <m/>
    <n v="1"/>
    <m/>
    <n v="7376"/>
    <m/>
    <m/>
    <n v="1319"/>
    <n v="8695"/>
    <n v="8695"/>
    <m/>
    <m/>
    <m/>
    <m/>
    <n v="8695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8695"/>
    <m/>
    <m/>
    <m/>
    <m/>
    <m/>
    <m/>
    <m/>
    <m/>
    <m/>
    <m/>
    <m/>
    <n v="8695"/>
    <m/>
    <m/>
    <m/>
  </r>
  <r>
    <m/>
    <x v="16"/>
    <s v="Wu, Alex &lt;Alex.Wu@lamresearch.com&gt; "/>
    <s v="4800104873_009"/>
    <n v="9"/>
    <s v="USC23C025"/>
    <s v="MICU Lam Interconnection"/>
    <s v="Main Tool Interconnection"/>
    <s v="KEBEL2"/>
    <s v="Etch 2300E4 platform_Coronus*2PM"/>
    <m/>
    <n v="1"/>
    <m/>
    <n v="782"/>
    <m/>
    <m/>
    <n v="139"/>
    <n v="921"/>
    <n v="921"/>
    <m/>
    <m/>
    <m/>
    <m/>
    <n v="921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921"/>
    <m/>
    <m/>
    <m/>
    <m/>
    <m/>
    <m/>
    <m/>
    <m/>
    <m/>
    <m/>
    <m/>
    <n v="921"/>
    <m/>
    <m/>
    <m/>
  </r>
  <r>
    <m/>
    <x v="16"/>
    <s v="Wu, Alex &lt;Alex.Wu@lamresearch.com&gt; "/>
    <s v="4800104873_068"/>
    <n v="68"/>
    <s v="USC23C025"/>
    <s v="MICU Lam Interconnection"/>
    <s v="Main Tool Interconnection"/>
    <s v="KECOL5"/>
    <s v="Etch 2300 platform_Flex FL*5PM"/>
    <m/>
    <n v="1"/>
    <m/>
    <n v="9025"/>
    <m/>
    <m/>
    <n v="1613"/>
    <n v="10638"/>
    <n v="10638"/>
    <m/>
    <m/>
    <m/>
    <m/>
    <n v="0"/>
    <n v="0"/>
    <n v="10638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069"/>
    <n v="69"/>
    <s v="USC23C025"/>
    <s v="MICU Lam Interconnection"/>
    <s v="Main Tool Interconnection"/>
    <s v="KECOL6"/>
    <s v="Etch 2300 platform_Flex FL*5PM"/>
    <m/>
    <n v="1"/>
    <m/>
    <n v="9025"/>
    <m/>
    <m/>
    <n v="1613"/>
    <n v="10638"/>
    <n v="10638"/>
    <m/>
    <m/>
    <m/>
    <m/>
    <n v="0"/>
    <n v="0"/>
    <n v="10638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070"/>
    <n v="70"/>
    <s v="USC23C025"/>
    <s v="MICU Lam Interconnection"/>
    <s v="Main Tool Interconnection"/>
    <s v="KECOL9"/>
    <s v="Etch 2300 platform_Flex FL*5PM"/>
    <m/>
    <n v="1"/>
    <m/>
    <n v="9025"/>
    <m/>
    <m/>
    <n v="1613"/>
    <n v="10638"/>
    <n v="10638"/>
    <m/>
    <m/>
    <m/>
    <m/>
    <n v="0"/>
    <n v="0"/>
    <n v="10638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071"/>
    <n v="71"/>
    <s v="USC23C025"/>
    <s v="MICU Lam Interconnection"/>
    <s v="Main Tool Interconnection"/>
    <s v="KECOL8"/>
    <s v="Etch 2300 platform_Flex FL*2PM"/>
    <m/>
    <n v="1"/>
    <m/>
    <n v="3738"/>
    <m/>
    <m/>
    <n v="668"/>
    <n v="4406"/>
    <n v="4406"/>
    <m/>
    <m/>
    <m/>
    <m/>
    <n v="0"/>
    <n v="0"/>
    <n v="4406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072"/>
    <n v="72"/>
    <s v="USC23C025"/>
    <s v="MICU Lam Interconnection"/>
    <s v="Main Tool Interconnection"/>
    <s v="KEMEL2"/>
    <s v="Etch 2300 platform_Versys metal+Strip *5PM"/>
    <m/>
    <n v="1"/>
    <m/>
    <n v="8670"/>
    <m/>
    <m/>
    <n v="1549"/>
    <n v="10219"/>
    <n v="10219"/>
    <m/>
    <d v="2022-11-30T00:00:00"/>
    <m/>
    <s v="30 days net"/>
    <n v="10219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n v="10219"/>
    <m/>
    <m/>
    <m/>
    <m/>
    <m/>
    <m/>
    <m/>
    <n v="0"/>
    <m/>
    <m/>
    <m/>
  </r>
  <r>
    <m/>
    <x v="16"/>
    <s v="Wu, Alex &lt;Alex.Wu@lamresearch.com&gt; "/>
    <s v="4800104873_073"/>
    <n v="73"/>
    <s v="USC23C025"/>
    <s v="MICU Lam Interconnection"/>
    <s v="Main Tool Interconnection"/>
    <s v="KEMELA"/>
    <s v="Etch 2300 platform_Versys metal+Strip *5PM"/>
    <m/>
    <n v="1"/>
    <m/>
    <n v="8670"/>
    <m/>
    <m/>
    <n v="1549"/>
    <n v="10219"/>
    <n v="10219"/>
    <m/>
    <m/>
    <m/>
    <m/>
    <n v="0"/>
    <n v="0"/>
    <n v="10219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014"/>
    <n v="14"/>
    <s v="USC23C025"/>
    <s v="MICU Lam Interconnection"/>
    <s v="Main Tool Interconnection"/>
    <s v="KESTL5"/>
    <s v="Etch 2300E4 platform_Kiyo*3PM"/>
    <m/>
    <n v="1"/>
    <m/>
    <n v="3795"/>
    <m/>
    <m/>
    <n v="678"/>
    <n v="4473"/>
    <n v="4473"/>
    <m/>
    <m/>
    <m/>
    <m/>
    <n v="4473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4473"/>
    <m/>
    <m/>
    <m/>
    <m/>
    <m/>
    <m/>
    <m/>
    <m/>
    <m/>
    <m/>
    <m/>
    <n v="4473"/>
    <m/>
    <m/>
    <m/>
  </r>
  <r>
    <m/>
    <x v="16"/>
    <s v="Wu, Alex &lt;Alex.Wu@lamresearch.com&gt; "/>
    <s v="4800104873_015"/>
    <n v="15"/>
    <s v="USC23C025"/>
    <s v="MICU Lam Interconnection"/>
    <s v="Main Tool Interconnection"/>
    <s v="KESTL3"/>
    <s v="Etch 2300E4 platform_Kiyo*3PM"/>
    <m/>
    <n v="1"/>
    <m/>
    <n v="3795"/>
    <m/>
    <m/>
    <n v="678"/>
    <n v="4473"/>
    <n v="4473"/>
    <m/>
    <m/>
    <m/>
    <m/>
    <n v="4473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4473"/>
    <m/>
    <m/>
    <m/>
    <m/>
    <m/>
    <m/>
    <m/>
    <m/>
    <m/>
    <m/>
    <m/>
    <n v="4473"/>
    <m/>
    <m/>
    <m/>
  </r>
  <r>
    <m/>
    <x v="16"/>
    <s v="Wu, Alex &lt;Alex.Wu@lamresearch.com&gt; "/>
    <s v="4800104873_017"/>
    <n v="17"/>
    <s v="USC23C025"/>
    <s v="MICU Lam Interconnection"/>
    <s v="Main Tool Interconnection"/>
    <s v="KEPOL6"/>
    <s v="Etch 2300E4 platform_Kiyo*3PM"/>
    <m/>
    <n v="1"/>
    <m/>
    <n v="3795"/>
    <m/>
    <m/>
    <n v="678"/>
    <n v="4473"/>
    <n v="4473"/>
    <m/>
    <m/>
    <m/>
    <m/>
    <n v="4473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4473"/>
    <m/>
    <m/>
    <m/>
    <m/>
    <m/>
    <m/>
    <m/>
    <m/>
    <m/>
    <m/>
    <m/>
    <n v="4473"/>
    <m/>
    <m/>
    <m/>
  </r>
  <r>
    <m/>
    <x v="16"/>
    <s v="Wu, Alex &lt;Alex.Wu@lamresearch.com&gt; "/>
    <s v="4800104873_018"/>
    <n v="18"/>
    <s v="USC23C025"/>
    <s v="MICU Lam Interconnection"/>
    <s v="Main Tool Interconnection"/>
    <s v="KEPOL7"/>
    <s v="Etch 2300E4 platform_Kiyo*3PM"/>
    <m/>
    <n v="1"/>
    <m/>
    <n v="3795"/>
    <m/>
    <m/>
    <n v="678"/>
    <n v="4473"/>
    <n v="4473"/>
    <m/>
    <m/>
    <m/>
    <m/>
    <n v="4473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4473"/>
    <m/>
    <m/>
    <m/>
    <m/>
    <m/>
    <m/>
    <m/>
    <m/>
    <m/>
    <m/>
    <m/>
    <n v="4473"/>
    <m/>
    <m/>
    <m/>
  </r>
  <r>
    <m/>
    <x v="16"/>
    <s v="Wu, Alex &lt;Alex.Wu@lamresearch.com&gt; "/>
    <s v="4800104873_079"/>
    <n v="79"/>
    <s v="USC23C025"/>
    <s v="MICU Lam Interconnection"/>
    <s v="Main Tool Interconnection"/>
    <s v="KEPRL8"/>
    <s v="Etch_Gamma"/>
    <m/>
    <n v="1"/>
    <n v="4039"/>
    <n v="9821"/>
    <m/>
    <m/>
    <n v="2477"/>
    <n v="16337"/>
    <n v="16337"/>
    <m/>
    <m/>
    <m/>
    <m/>
    <n v="4760.84"/>
    <n v="0.29141458040031831"/>
    <n v="11576.16"/>
    <n v="1"/>
    <n v="0"/>
    <n v="0.2914141414141414"/>
    <m/>
    <m/>
    <m/>
    <m/>
    <m/>
    <m/>
    <n v="4760.84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n v="11576.16"/>
    <m/>
    <n v="4760.84"/>
    <m/>
    <m/>
    <m/>
  </r>
  <r>
    <m/>
    <x v="16"/>
    <s v="Wu, Alex &lt;Alex.Wu@lamresearch.com&gt; "/>
    <s v="4800104873_080"/>
    <n v="80"/>
    <s v="USC23C025"/>
    <s v="MICU Lam Interconnection"/>
    <s v="Main Tool Interconnection"/>
    <s v="KEPRL9"/>
    <s v="Etch_Gamma"/>
    <m/>
    <n v="1"/>
    <n v="4039"/>
    <n v="9821"/>
    <m/>
    <m/>
    <n v="2477"/>
    <n v="16337"/>
    <n v="16337"/>
    <m/>
    <m/>
    <m/>
    <m/>
    <n v="4760.84"/>
    <n v="0.29141458040031831"/>
    <n v="11576.16"/>
    <n v="1"/>
    <n v="0"/>
    <n v="0.2914141414141414"/>
    <m/>
    <m/>
    <m/>
    <m/>
    <m/>
    <m/>
    <n v="4760.84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4760.84"/>
    <m/>
    <m/>
    <m/>
  </r>
  <r>
    <m/>
    <x v="16"/>
    <s v="Wu, Alex &lt;Alex.Wu@lamresearch.com&gt; "/>
    <s v="4800104873_081"/>
    <n v="81"/>
    <s v="USC23C025"/>
    <s v="MICU Lam Interconnection"/>
    <s v="Main Tool Interconnection"/>
    <s v="KEPRLD"/>
    <s v="Etch_Gamma"/>
    <m/>
    <n v="1"/>
    <n v="4039"/>
    <n v="9821"/>
    <m/>
    <m/>
    <n v="2477"/>
    <n v="16337"/>
    <n v="16337"/>
    <m/>
    <m/>
    <m/>
    <m/>
    <n v="4760.84"/>
    <n v="0.29141458040031831"/>
    <n v="11576.16"/>
    <n v="1"/>
    <n v="0"/>
    <n v="0.2914141414141414"/>
    <m/>
    <m/>
    <m/>
    <m/>
    <m/>
    <m/>
    <n v="4760.84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n v="11576.16"/>
    <m/>
    <n v="4760.84"/>
    <m/>
    <m/>
    <m/>
  </r>
  <r>
    <m/>
    <x v="16"/>
    <s v="Wu, Alex &lt;Alex.Wu@lamresearch.com&gt; "/>
    <s v="4800104873_082"/>
    <n v="82"/>
    <s v="USC23C025"/>
    <s v="MICU Lam Interconnection"/>
    <s v="Main Tool Interconnection"/>
    <s v="KEPRLE"/>
    <s v="Etch_Gamma"/>
    <m/>
    <n v="1"/>
    <n v="4039"/>
    <n v="9821"/>
    <m/>
    <m/>
    <n v="2477"/>
    <n v="16337"/>
    <n v="16337"/>
    <m/>
    <m/>
    <m/>
    <m/>
    <n v="4760.84"/>
    <n v="0.29141458040031831"/>
    <n v="11576.16"/>
    <n v="1"/>
    <n v="0"/>
    <n v="0.2914141414141414"/>
    <m/>
    <m/>
    <m/>
    <m/>
    <m/>
    <m/>
    <n v="4760.84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4760.84"/>
    <m/>
    <m/>
    <m/>
  </r>
  <r>
    <m/>
    <x v="16"/>
    <s v="Wu, Alex &lt;Alex.Wu@lamresearch.com&gt; "/>
    <s v="4800104873_021"/>
    <n v="21"/>
    <s v="USC23C025"/>
    <s v="MICU Lam Interconnection"/>
    <s v="Main Tool Interconnection"/>
    <s v="KEPOL1"/>
    <s v="Etch 2300E4 platform_Kiyo*3PM"/>
    <m/>
    <n v="1"/>
    <m/>
    <n v="3795"/>
    <m/>
    <m/>
    <n v="678"/>
    <n v="4473"/>
    <n v="4473"/>
    <m/>
    <m/>
    <m/>
    <m/>
    <n v="4473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4473"/>
    <m/>
    <m/>
    <m/>
    <m/>
    <m/>
    <m/>
    <m/>
    <m/>
    <m/>
    <m/>
    <m/>
    <n v="4473"/>
    <m/>
    <m/>
    <m/>
  </r>
  <r>
    <m/>
    <x v="16"/>
    <s v="Wu, Alex &lt;Alex.Wu@lamresearch.com&gt; "/>
    <s v="4800104873_084"/>
    <n v="84"/>
    <s v="USC23C025"/>
    <s v="MICU Lam Interconnection"/>
    <s v="Main Tool Interconnection"/>
    <s v="KEPRLA"/>
    <s v="Etch_Argos *3PM"/>
    <m/>
    <n v="1"/>
    <n v="2534"/>
    <n v="4164"/>
    <m/>
    <m/>
    <n v="1197"/>
    <n v="7895"/>
    <n v="7895"/>
    <m/>
    <m/>
    <m/>
    <m/>
    <n v="2986.61"/>
    <n v="0.37829132362254592"/>
    <n v="4908.3899999999994"/>
    <n v="1"/>
    <n v="0"/>
    <n v="0.3783218871304867"/>
    <m/>
    <m/>
    <m/>
    <m/>
    <m/>
    <m/>
    <n v="2986.61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2986.61"/>
    <m/>
    <m/>
    <m/>
  </r>
  <r>
    <m/>
    <x v="16"/>
    <s v="Wu, Alex &lt;Alex.Wu@lamresearch.com&gt; "/>
    <s v="4800104873_086"/>
    <n v="86"/>
    <s v="USC23C025"/>
    <s v="MICU Lam Interconnection"/>
    <s v="Main Tool Interconnection"/>
    <s v="KEPRLC"/>
    <s v="Etch_Argos *3PM"/>
    <m/>
    <n v="1"/>
    <n v="2534"/>
    <n v="4164"/>
    <m/>
    <m/>
    <n v="1197"/>
    <n v="7895"/>
    <n v="7895"/>
    <m/>
    <m/>
    <m/>
    <m/>
    <n v="2986.61"/>
    <n v="0.37829132362254592"/>
    <n v="4908.3899999999994"/>
    <n v="1"/>
    <n v="0"/>
    <n v="0.3783218871304867"/>
    <m/>
    <m/>
    <m/>
    <m/>
    <m/>
    <m/>
    <n v="2986.61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2986.61"/>
    <m/>
    <m/>
    <m/>
  </r>
  <r>
    <m/>
    <x v="16"/>
    <s v="Wu, Alex &lt;Alex.Wu@lamresearch.com&gt; "/>
    <s v="4800104873_087"/>
    <n v="87"/>
    <s v="USC23C025"/>
    <s v="MICU Lam Interconnection"/>
    <s v="Main Tool Interconnection"/>
    <s v="KEPRLB"/>
    <s v="Etch_Argos *1PM"/>
    <m/>
    <n v="1"/>
    <m/>
    <n v="782"/>
    <m/>
    <m/>
    <n v="139"/>
    <n v="921"/>
    <n v="921"/>
    <m/>
    <m/>
    <m/>
    <m/>
    <n v="0"/>
    <n v="0"/>
    <n v="921"/>
    <n v="1"/>
    <n v="0"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022"/>
    <n v="22"/>
    <s v="USC23C025"/>
    <s v="MICU Lam Interconnection"/>
    <s v="Main Tool Interconnection"/>
    <s v="KEPOL5"/>
    <s v="Etch 2300E4 platform_Kiyo*3PM"/>
    <m/>
    <n v="1"/>
    <m/>
    <n v="3795"/>
    <m/>
    <m/>
    <n v="678"/>
    <n v="4473"/>
    <n v="4473"/>
    <m/>
    <m/>
    <m/>
    <m/>
    <n v="4473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4473"/>
    <m/>
    <m/>
    <m/>
    <m/>
    <m/>
    <m/>
    <m/>
    <m/>
    <m/>
    <m/>
    <m/>
    <n v="4473"/>
    <m/>
    <m/>
    <m/>
  </r>
  <r>
    <m/>
    <x v="16"/>
    <s v="Wu, Alex &lt;Alex.Wu@lamresearch.com&gt; "/>
    <s v="4800104873_090"/>
    <n v="90"/>
    <s v="USC23C025"/>
    <s v="MICU Lam Interconnection"/>
    <s v="Main Tool Interconnection"/>
    <s v="KCANN4"/>
    <s v="CVD_EMMA"/>
    <m/>
    <n v="1"/>
    <n v="1400"/>
    <n v="15236"/>
    <m/>
    <m/>
    <n v="2974"/>
    <n v="19610"/>
    <n v="19610"/>
    <m/>
    <m/>
    <m/>
    <m/>
    <n v="1650.25"/>
    <n v="8.4153493115757261E-2"/>
    <n v="17959.75"/>
    <n v="1"/>
    <n v="0"/>
    <n v="8.4154844914642937E-2"/>
    <m/>
    <m/>
    <m/>
    <m/>
    <m/>
    <m/>
    <n v="1650.25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1650.25"/>
    <m/>
    <m/>
    <m/>
  </r>
  <r>
    <m/>
    <x v="16"/>
    <s v="Wu, Alex &lt;Alex.Wu@lamresearch.com&gt; "/>
    <s v="4800104873_091"/>
    <n v="91"/>
    <s v="USC23C025"/>
    <s v="MICU Lam Interconnection"/>
    <s v="Main Tool Interconnection"/>
    <s v="KCANN7"/>
    <s v="CVD_EMMA"/>
    <m/>
    <n v="1"/>
    <n v="1400"/>
    <n v="15236"/>
    <m/>
    <m/>
    <n v="2974"/>
    <n v="19610"/>
    <n v="19610"/>
    <m/>
    <m/>
    <m/>
    <m/>
    <n v="1650.25"/>
    <n v="8.4153493115757261E-2"/>
    <n v="17959.75"/>
    <n v="1"/>
    <n v="0"/>
    <n v="8.4154844914642937E-2"/>
    <m/>
    <m/>
    <m/>
    <m/>
    <m/>
    <m/>
    <n v="1650.25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1650.25"/>
    <m/>
    <m/>
    <m/>
  </r>
  <r>
    <m/>
    <x v="16"/>
    <s v="Wu, Alex &lt;Alex.Wu@lamresearch.com&gt; "/>
    <s v="4800104873_093"/>
    <n v="93"/>
    <s v="USC23C025"/>
    <s v="MICU Lam Interconnection"/>
    <s v="Main Tool Interconnection"/>
    <s v="KCANN5"/>
    <s v="CVD_Mithril"/>
    <m/>
    <n v="1"/>
    <n v="6230"/>
    <n v="10461"/>
    <m/>
    <m/>
    <n v="2983"/>
    <n v="19674"/>
    <n v="19674"/>
    <m/>
    <m/>
    <m/>
    <m/>
    <n v="7343.42"/>
    <n v="0.37325505743621024"/>
    <n v="12330.58"/>
    <n v="1"/>
    <n v="0"/>
    <n v="0.37325504763045952"/>
    <m/>
    <m/>
    <m/>
    <m/>
    <m/>
    <m/>
    <n v="7343.42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7343.42"/>
    <m/>
    <m/>
    <m/>
  </r>
  <r>
    <m/>
    <x v="16"/>
    <s v="Wu, Alex &lt;Alex.Wu@lamresearch.com&gt; "/>
    <s v="4800104873_094"/>
    <n v="94"/>
    <s v="USC23C025"/>
    <s v="MICU Lam Interconnection"/>
    <s v="Main Tool Interconnection"/>
    <s v="KCANN6"/>
    <s v="CVD_Mithril"/>
    <m/>
    <n v="1"/>
    <n v="6230"/>
    <n v="10461"/>
    <m/>
    <m/>
    <n v="2983"/>
    <n v="19674"/>
    <n v="19674"/>
    <m/>
    <m/>
    <m/>
    <m/>
    <n v="7343.42"/>
    <n v="0.37325505743621024"/>
    <n v="12330.58"/>
    <n v="1"/>
    <n v="0"/>
    <n v="0.37325504763045952"/>
    <m/>
    <m/>
    <m/>
    <m/>
    <m/>
    <m/>
    <n v="7343.42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7343.42"/>
    <m/>
    <m/>
    <m/>
  </r>
  <r>
    <m/>
    <x v="16"/>
    <s v="Wu, Alex &lt;Alex.Wu@lamresearch.com&gt; "/>
    <s v="4800104873_023"/>
    <n v="23"/>
    <s v="USC23C025"/>
    <s v="MICU Lam Interconnection"/>
    <s v="Main Tool Interconnection"/>
    <s v="KEPOL2"/>
    <s v="Etch 2300E4 platform_Kiyo*3PM"/>
    <m/>
    <n v="1"/>
    <m/>
    <n v="3795"/>
    <m/>
    <m/>
    <n v="678"/>
    <n v="4473"/>
    <n v="4473"/>
    <m/>
    <m/>
    <m/>
    <m/>
    <n v="4473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4473"/>
    <m/>
    <m/>
    <m/>
    <m/>
    <m/>
    <m/>
    <m/>
    <m/>
    <m/>
    <m/>
    <m/>
    <n v="4473"/>
    <m/>
    <m/>
    <m/>
  </r>
  <r>
    <m/>
    <x v="16"/>
    <s v="Wu, Alex &lt;Alex.Wu@lamresearch.com&gt; "/>
    <s v="4800104873_096"/>
    <n v="96"/>
    <s v="USC23C025"/>
    <s v="MICU Lam Interconnection"/>
    <s v="Main Tool Interconnection"/>
    <s v="KCSCN3"/>
    <s v="CVD_Vector Excel_VXL"/>
    <m/>
    <n v="1"/>
    <n v="1400"/>
    <n v="9551"/>
    <m/>
    <m/>
    <n v="1957"/>
    <n v="12908"/>
    <n v="12908"/>
    <m/>
    <m/>
    <m/>
    <m/>
    <n v="12908"/>
    <n v="1"/>
    <n v="0"/>
    <n v="1"/>
    <n v="0"/>
    <n v="0.12784220619121542"/>
    <m/>
    <m/>
    <m/>
    <m/>
    <m/>
    <m/>
    <n v="1650.19"/>
    <m/>
    <m/>
    <m/>
    <m/>
    <m/>
    <m/>
    <m/>
    <m/>
    <m/>
    <m/>
    <m/>
    <m/>
    <m/>
    <m/>
    <m/>
    <m/>
    <m/>
    <m/>
    <m/>
    <s v=""/>
    <m/>
    <m/>
    <m/>
    <m/>
    <m/>
    <m/>
    <m/>
    <n v="11257.81"/>
    <m/>
    <m/>
    <m/>
    <m/>
    <m/>
    <n v="1650.19"/>
    <m/>
    <m/>
    <m/>
  </r>
  <r>
    <m/>
    <x v="16"/>
    <s v="Wu, Alex &lt;Alex.Wu@lamresearch.com&gt; "/>
    <s v="4800104873_097"/>
    <n v="97"/>
    <s v="USC23C025"/>
    <s v="MICU Lam Interconnection"/>
    <s v="Main Tool Interconnection"/>
    <s v="KCSCN4"/>
    <s v="CVD_Vector Excel_VXL"/>
    <m/>
    <n v="1"/>
    <n v="1400"/>
    <n v="9551"/>
    <m/>
    <m/>
    <n v="1957"/>
    <n v="12908"/>
    <n v="12908"/>
    <m/>
    <m/>
    <m/>
    <m/>
    <n v="12908"/>
    <n v="1"/>
    <n v="0"/>
    <n v="1"/>
    <n v="0"/>
    <n v="0.12784220619121542"/>
    <m/>
    <m/>
    <m/>
    <m/>
    <m/>
    <m/>
    <n v="1650.19"/>
    <m/>
    <m/>
    <m/>
    <m/>
    <m/>
    <m/>
    <m/>
    <m/>
    <m/>
    <m/>
    <m/>
    <m/>
    <m/>
    <m/>
    <m/>
    <m/>
    <m/>
    <m/>
    <m/>
    <s v=""/>
    <m/>
    <m/>
    <m/>
    <m/>
    <m/>
    <m/>
    <m/>
    <n v="11257.81"/>
    <m/>
    <m/>
    <m/>
    <m/>
    <m/>
    <n v="1650.19"/>
    <m/>
    <m/>
    <m/>
  </r>
  <r>
    <m/>
    <x v="16"/>
    <s v="Wu, Alex &lt;Alex.Wu@lamresearch.com&gt; "/>
    <s v="4800104873_098"/>
    <n v="98"/>
    <s v="USC23C025"/>
    <s v="MICU Lam Interconnection"/>
    <s v="Main Tool Interconnection"/>
    <s v="KCSCN6"/>
    <s v="CVD_Vector Excel_VXL"/>
    <m/>
    <n v="1"/>
    <n v="1400"/>
    <n v="9551"/>
    <m/>
    <m/>
    <n v="1957"/>
    <n v="12908"/>
    <n v="12908"/>
    <m/>
    <m/>
    <m/>
    <m/>
    <n v="1650.19"/>
    <n v="0.12784242330337775"/>
    <n v="11257.81"/>
    <n v="1"/>
    <n v="0"/>
    <n v="0.12784220619121542"/>
    <m/>
    <m/>
    <m/>
    <m/>
    <m/>
    <m/>
    <n v="1650.19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1650.19"/>
    <m/>
    <m/>
    <m/>
  </r>
  <r>
    <m/>
    <x v="16"/>
    <s v="Wu, Alex &lt;Alex.Wu@lamresearch.com&gt; "/>
    <s v="4800104873_099"/>
    <n v="99"/>
    <s v="USC23C025"/>
    <s v="MICU Lam Interconnection"/>
    <s v="Main Tool Interconnection"/>
    <s v="KCSCNB"/>
    <s v="CVD_Vector Excel_VXL"/>
    <m/>
    <n v="1"/>
    <n v="1400"/>
    <n v="9551"/>
    <m/>
    <m/>
    <n v="1957"/>
    <n v="12908"/>
    <n v="12908"/>
    <m/>
    <m/>
    <m/>
    <m/>
    <n v="1650.19"/>
    <n v="0.12784242330337775"/>
    <n v="11257.81"/>
    <n v="1"/>
    <n v="0"/>
    <n v="0.12784220619121542"/>
    <m/>
    <m/>
    <m/>
    <m/>
    <m/>
    <m/>
    <n v="1650.19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1650.19"/>
    <m/>
    <m/>
    <m/>
  </r>
  <r>
    <m/>
    <x v="16"/>
    <s v="Wu, Alex &lt;Alex.Wu@lamresearch.com&gt; "/>
    <s v="4800104873_100"/>
    <n v="100"/>
    <s v="USC23C025"/>
    <s v="MICU Lam Interconnection"/>
    <s v="Main Tool Interconnection"/>
    <s v="KCSCN7"/>
    <s v="CVD_Vector Excel_VXL"/>
    <m/>
    <n v="1"/>
    <n v="1400"/>
    <n v="9551"/>
    <m/>
    <m/>
    <n v="1957"/>
    <n v="12908"/>
    <n v="12908"/>
    <m/>
    <m/>
    <m/>
    <m/>
    <n v="1650.19"/>
    <n v="0.12784242330337775"/>
    <n v="11257.81"/>
    <n v="1"/>
    <n v="0"/>
    <n v="0.12784220619121542"/>
    <m/>
    <m/>
    <m/>
    <m/>
    <m/>
    <m/>
    <n v="1650.19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1650.19"/>
    <m/>
    <m/>
    <m/>
  </r>
  <r>
    <m/>
    <x v="16"/>
    <s v="Wu, Alex &lt;Alex.Wu@lamresearch.com&gt; "/>
    <s v="4800104873_101"/>
    <n v="101"/>
    <s v="USC23C025"/>
    <s v="MICU Lam Interconnection"/>
    <s v="Main Tool Interconnection"/>
    <s v="KCSCNA"/>
    <s v="CVD_Vector Excel_VXL"/>
    <m/>
    <n v="1"/>
    <n v="1400"/>
    <n v="9551"/>
    <m/>
    <m/>
    <n v="1957"/>
    <n v="12908"/>
    <n v="12908"/>
    <m/>
    <m/>
    <m/>
    <m/>
    <n v="1650.19"/>
    <n v="0.12784242330337775"/>
    <n v="11257.81"/>
    <n v="1"/>
    <n v="0"/>
    <n v="0.12784220619121542"/>
    <m/>
    <m/>
    <m/>
    <m/>
    <m/>
    <m/>
    <n v="1650.19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1650.19"/>
    <m/>
    <m/>
    <m/>
  </r>
  <r>
    <m/>
    <x v="16"/>
    <s v="Wu, Alex &lt;Alex.Wu@lamresearch.com&gt; "/>
    <s v="4800104873_102"/>
    <n v="102"/>
    <s v="USC23C025"/>
    <s v="MICU Lam Interconnection"/>
    <s v="Main Tool Interconnection"/>
    <s v="KCOXN7"/>
    <s v="CVD_Vector Extreme_VXT-Core"/>
    <m/>
    <n v="1"/>
    <n v="6607"/>
    <n v="6339"/>
    <m/>
    <m/>
    <n v="2314"/>
    <n v="15260"/>
    <n v="15260"/>
    <m/>
    <d v="2022-11-30T00:00:00"/>
    <m/>
    <s v="30 days net"/>
    <n v="15260"/>
    <n v="1"/>
    <n v="0"/>
    <n v="1"/>
    <n v="0"/>
    <n v="0.51035068747103352"/>
    <m/>
    <m/>
    <m/>
    <m/>
    <m/>
    <m/>
    <n v="7787.96"/>
    <m/>
    <m/>
    <m/>
    <m/>
    <m/>
    <m/>
    <m/>
    <m/>
    <m/>
    <m/>
    <m/>
    <m/>
    <m/>
    <m/>
    <m/>
    <m/>
    <m/>
    <m/>
    <m/>
    <s v=""/>
    <m/>
    <m/>
    <m/>
    <m/>
    <m/>
    <n v="7472.04"/>
    <m/>
    <m/>
    <m/>
    <m/>
    <m/>
    <m/>
    <m/>
    <n v="7787.96"/>
    <m/>
    <m/>
    <m/>
  </r>
  <r>
    <m/>
    <x v="16"/>
    <s v="Wu, Alex &lt;Alex.Wu@lamresearch.com&gt; "/>
    <s v="4800104873_103"/>
    <n v="103"/>
    <s v="USC23C025"/>
    <s v="MICU Lam Interconnection"/>
    <s v="Main Tool Interconnection"/>
    <s v="KCOXND"/>
    <s v="CVD_Vector Extreme_VXT-Core"/>
    <m/>
    <n v="1"/>
    <n v="6607"/>
    <n v="6339"/>
    <m/>
    <m/>
    <n v="2314"/>
    <n v="15260"/>
    <n v="15260"/>
    <m/>
    <m/>
    <m/>
    <m/>
    <n v="7787.96"/>
    <n v="0.51035124508519003"/>
    <n v="7472.04"/>
    <n v="1"/>
    <n v="0"/>
    <n v="0.51035068747103352"/>
    <m/>
    <m/>
    <m/>
    <m/>
    <m/>
    <m/>
    <n v="7787.96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7787.96"/>
    <m/>
    <m/>
    <m/>
  </r>
  <r>
    <m/>
    <x v="16"/>
    <s v="Wu, Alex &lt;Alex.Wu@lamresearch.com&gt; "/>
    <s v="4800104873_104"/>
    <n v="104"/>
    <s v="USC23C025"/>
    <s v="MICU Lam Interconnection"/>
    <s v="Main Tool Interconnection"/>
    <s v="KCOCN1"/>
    <s v="CVD_Vector Extreme_VXT-Core"/>
    <m/>
    <n v="1"/>
    <n v="6607"/>
    <n v="6339"/>
    <m/>
    <m/>
    <n v="2314"/>
    <n v="15260"/>
    <n v="15260"/>
    <m/>
    <m/>
    <m/>
    <m/>
    <n v="15260"/>
    <n v="1"/>
    <n v="0"/>
    <n v="1"/>
    <n v="0"/>
    <n v="0.51035068747103352"/>
    <m/>
    <m/>
    <m/>
    <m/>
    <m/>
    <m/>
    <n v="7787.96"/>
    <m/>
    <m/>
    <m/>
    <m/>
    <m/>
    <m/>
    <m/>
    <m/>
    <m/>
    <m/>
    <m/>
    <m/>
    <m/>
    <m/>
    <m/>
    <m/>
    <m/>
    <m/>
    <m/>
    <s v=""/>
    <m/>
    <m/>
    <m/>
    <m/>
    <m/>
    <n v="7472.04"/>
    <m/>
    <m/>
    <m/>
    <m/>
    <m/>
    <m/>
    <m/>
    <n v="7787.96"/>
    <m/>
    <m/>
    <m/>
  </r>
  <r>
    <m/>
    <x v="16"/>
    <s v="Wu, Alex &lt;Alex.Wu@lamresearch.com&gt; "/>
    <s v="4800104873_105"/>
    <n v="105"/>
    <s v="USC23C025"/>
    <s v="MICU Lam Interconnection"/>
    <s v="Main Tool Interconnection"/>
    <s v="KCOXN8"/>
    <s v="CVD_Vector Extreme_VXT-Core"/>
    <m/>
    <n v="1"/>
    <n v="6607"/>
    <n v="6339"/>
    <m/>
    <m/>
    <n v="2314"/>
    <n v="15260"/>
    <n v="15260"/>
    <m/>
    <m/>
    <m/>
    <m/>
    <n v="15260"/>
    <n v="1"/>
    <n v="0"/>
    <n v="1"/>
    <n v="0"/>
    <n v="0.51035068747103352"/>
    <m/>
    <m/>
    <m/>
    <m/>
    <m/>
    <m/>
    <n v="7787.96"/>
    <m/>
    <m/>
    <m/>
    <m/>
    <m/>
    <m/>
    <m/>
    <m/>
    <m/>
    <m/>
    <m/>
    <m/>
    <m/>
    <m/>
    <m/>
    <m/>
    <m/>
    <m/>
    <m/>
    <s v=""/>
    <m/>
    <m/>
    <m/>
    <m/>
    <m/>
    <n v="7472.04"/>
    <m/>
    <m/>
    <m/>
    <m/>
    <m/>
    <m/>
    <m/>
    <n v="7787.96"/>
    <m/>
    <m/>
    <m/>
  </r>
  <r>
    <m/>
    <x v="16"/>
    <s v="Wu, Alex &lt;Alex.Wu@lamresearch.com&gt; "/>
    <s v="4800104873_106"/>
    <n v="106"/>
    <s v="USC23C025"/>
    <s v="MICU Lam Interconnection"/>
    <s v="Main Tool Interconnection"/>
    <s v="KCOCN2"/>
    <s v="CVD_Vector Extreme_VXT-Core"/>
    <m/>
    <n v="1"/>
    <n v="6607"/>
    <n v="6339"/>
    <m/>
    <m/>
    <n v="2314"/>
    <n v="15260"/>
    <n v="15260"/>
    <m/>
    <m/>
    <m/>
    <m/>
    <n v="7787.96"/>
    <n v="0.51035124508519003"/>
    <n v="7472.04"/>
    <n v="1"/>
    <n v="0"/>
    <n v="0.51035068747103352"/>
    <m/>
    <m/>
    <m/>
    <m/>
    <m/>
    <m/>
    <n v="7787.96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7787.96"/>
    <m/>
    <m/>
    <m/>
  </r>
  <r>
    <m/>
    <x v="16"/>
    <s v="Wu, Alex &lt;Alex.Wu@lamresearch.com&gt; "/>
    <s v="4800104873_107"/>
    <n v="107"/>
    <s v="USC23C025"/>
    <s v="MICU Lam Interconnection"/>
    <s v="Main Tool Interconnection"/>
    <s v="KCOXNH"/>
    <s v="CVD_Vector Extreme_VXT-Core"/>
    <m/>
    <n v="1"/>
    <n v="6607"/>
    <n v="6339"/>
    <m/>
    <m/>
    <n v="2314"/>
    <n v="15260"/>
    <n v="15260"/>
    <m/>
    <m/>
    <m/>
    <m/>
    <n v="7787.96"/>
    <n v="0.51035124508519003"/>
    <n v="7472.04"/>
    <n v="1"/>
    <n v="0"/>
    <n v="0.51035068747103352"/>
    <m/>
    <m/>
    <m/>
    <m/>
    <m/>
    <m/>
    <n v="7787.96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7787.96"/>
    <m/>
    <m/>
    <m/>
  </r>
  <r>
    <m/>
    <x v="16"/>
    <s v="Wu, Alex &lt;Alex.Wu@lamresearch.com&gt; "/>
    <s v="4800104873_108"/>
    <n v="108"/>
    <s v="USC23C025"/>
    <s v="MICU Lam Interconnection"/>
    <s v="Main Tool Interconnection"/>
    <s v="KCOCN3"/>
    <s v="CVD_Vector Extreme_VXT-Core"/>
    <m/>
    <n v="1"/>
    <n v="6607"/>
    <n v="6339"/>
    <m/>
    <m/>
    <n v="2314"/>
    <n v="15260"/>
    <n v="15260"/>
    <m/>
    <m/>
    <m/>
    <m/>
    <n v="7787.96"/>
    <n v="0.51035124508519003"/>
    <n v="7472.04"/>
    <n v="1"/>
    <n v="0"/>
    <n v="0.51035068747103352"/>
    <m/>
    <m/>
    <m/>
    <m/>
    <m/>
    <m/>
    <n v="7787.96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7787.96"/>
    <m/>
    <m/>
    <m/>
  </r>
  <r>
    <m/>
    <x v="16"/>
    <s v="Wu, Alex &lt;Alex.Wu@lamresearch.com&gt; "/>
    <s v="4800104873_109"/>
    <n v="109"/>
    <s v="USC23C025"/>
    <s v="MICU Lam Interconnection"/>
    <s v="Main Tool Interconnection"/>
    <s v="KCTEN1"/>
    <s v="CVD_Vector Extreme_VXT-TEOS"/>
    <m/>
    <n v="1"/>
    <n v="6697"/>
    <n v="8158"/>
    <m/>
    <m/>
    <n v="2654"/>
    <n v="17509"/>
    <n v="17509"/>
    <m/>
    <d v="2022-11-30T00:00:00"/>
    <m/>
    <s v="30 days net"/>
    <n v="17509"/>
    <n v="1"/>
    <n v="0"/>
    <n v="1"/>
    <n v="0"/>
    <n v="0.45082463816896667"/>
    <m/>
    <m/>
    <m/>
    <m/>
    <m/>
    <m/>
    <n v="7893.49"/>
    <m/>
    <m/>
    <m/>
    <m/>
    <m/>
    <m/>
    <m/>
    <m/>
    <m/>
    <m/>
    <m/>
    <m/>
    <m/>
    <m/>
    <m/>
    <m/>
    <m/>
    <m/>
    <m/>
    <s v=""/>
    <m/>
    <m/>
    <m/>
    <m/>
    <m/>
    <m/>
    <m/>
    <n v="9615.51"/>
    <m/>
    <m/>
    <m/>
    <m/>
    <m/>
    <n v="7893.49"/>
    <m/>
    <m/>
    <m/>
  </r>
  <r>
    <m/>
    <x v="16"/>
    <s v="Wu, Alex &lt;Alex.Wu@lamresearch.com&gt; "/>
    <s v="4800104873_110"/>
    <n v="110"/>
    <s v="USC23C025"/>
    <s v="MICU Lam Interconnection"/>
    <s v="Main Tool Interconnection"/>
    <s v="KCTEN2"/>
    <s v="CVD_Vector Extreme_VXT-TEOS"/>
    <m/>
    <n v="1"/>
    <n v="6697"/>
    <n v="8158"/>
    <m/>
    <m/>
    <n v="2654"/>
    <n v="17509"/>
    <n v="17509"/>
    <m/>
    <m/>
    <m/>
    <m/>
    <n v="17509"/>
    <n v="1"/>
    <n v="0"/>
    <n v="1"/>
    <n v="0"/>
    <n v="0.45082463816896667"/>
    <m/>
    <m/>
    <m/>
    <m/>
    <m/>
    <m/>
    <n v="7893.49"/>
    <m/>
    <m/>
    <m/>
    <m/>
    <m/>
    <m/>
    <m/>
    <m/>
    <m/>
    <m/>
    <m/>
    <m/>
    <m/>
    <m/>
    <m/>
    <m/>
    <m/>
    <m/>
    <m/>
    <s v=""/>
    <m/>
    <m/>
    <m/>
    <m/>
    <m/>
    <m/>
    <m/>
    <n v="9615.51"/>
    <m/>
    <m/>
    <m/>
    <m/>
    <m/>
    <n v="7893.49"/>
    <m/>
    <m/>
    <m/>
  </r>
  <r>
    <m/>
    <x v="16"/>
    <s v="Wu, Alex &lt;Alex.Wu@lamresearch.com&gt; "/>
    <s v="4800104873_111"/>
    <n v="111"/>
    <s v="USC23C025"/>
    <s v="MICU Lam Interconnection"/>
    <s v="Main Tool Interconnection"/>
    <s v="KCTEN3"/>
    <s v="CVD_Vector Extreme_VXT-TEOS"/>
    <m/>
    <n v="1"/>
    <n v="6697"/>
    <n v="8158"/>
    <m/>
    <m/>
    <n v="2654"/>
    <n v="17509"/>
    <n v="17509"/>
    <m/>
    <m/>
    <m/>
    <m/>
    <n v="7893.49"/>
    <n v="0.45082471871608887"/>
    <n v="9615.51"/>
    <n v="1"/>
    <n v="0"/>
    <n v="0.45082463816896667"/>
    <m/>
    <m/>
    <m/>
    <m/>
    <m/>
    <m/>
    <n v="7893.49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7893.49"/>
    <m/>
    <m/>
    <m/>
  </r>
  <r>
    <m/>
    <x v="16"/>
    <s v="Wu, Alex &lt;Alex.Wu@lamresearch.com&gt; "/>
    <s v="4800104873_024"/>
    <n v="24"/>
    <s v="USC23C025"/>
    <s v="MICU Lam Interconnection"/>
    <s v="Main Tool Interconnection"/>
    <s v="KESTL6"/>
    <s v="Etch 2300E4 platform_Kiyo*3PM"/>
    <m/>
    <n v="1"/>
    <m/>
    <n v="3795"/>
    <m/>
    <m/>
    <n v="678"/>
    <n v="4473"/>
    <n v="4473"/>
    <m/>
    <m/>
    <m/>
    <m/>
    <n v="4473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4473"/>
    <m/>
    <m/>
    <m/>
    <m/>
    <m/>
    <m/>
    <m/>
    <m/>
    <m/>
    <m/>
    <m/>
    <n v="4473"/>
    <m/>
    <m/>
    <m/>
  </r>
  <r>
    <m/>
    <x v="16"/>
    <s v="Wu, Alex &lt;Alex.Wu@lamresearch.com&gt; "/>
    <s v="4800104873_027"/>
    <n v="27"/>
    <s v="USC23C025"/>
    <s v="MICU Lam Interconnection"/>
    <s v="Main Tool Interconnection"/>
    <s v="KEPOL3"/>
    <s v="Etch 2300E4 platform_Kiyo*3PM"/>
    <m/>
    <n v="1"/>
    <m/>
    <n v="3795"/>
    <m/>
    <m/>
    <n v="678"/>
    <n v="4473"/>
    <n v="4473"/>
    <m/>
    <m/>
    <m/>
    <m/>
    <n v="4473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4473"/>
    <m/>
    <m/>
    <m/>
    <m/>
    <m/>
    <m/>
    <m/>
    <m/>
    <m/>
    <m/>
    <m/>
    <n v="4473"/>
    <m/>
    <m/>
    <m/>
  </r>
  <r>
    <m/>
    <x v="16"/>
    <s v="Wu, Alex &lt;Alex.Wu@lamresearch.com&gt; "/>
    <s v="4800104873_114"/>
    <n v="114"/>
    <s v="USC23C025"/>
    <s v="MICU Lam Interconnection"/>
    <s v="Main Tool Interconnection"/>
    <s v="KCOXN2"/>
    <s v="CVD_VXP"/>
    <m/>
    <n v="1"/>
    <m/>
    <n v="569"/>
    <m/>
    <m/>
    <n v="101"/>
    <n v="670"/>
    <n v="670"/>
    <m/>
    <m/>
    <m/>
    <m/>
    <n v="670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n v="670"/>
    <m/>
    <m/>
    <m/>
    <m/>
    <m/>
    <m/>
    <m/>
    <n v="0"/>
    <m/>
    <m/>
    <m/>
  </r>
  <r>
    <m/>
    <x v="16"/>
    <s v="Wu, Alex &lt;Alex.Wu@lamresearch.com&gt; "/>
    <s v="4800104873_115"/>
    <n v="115"/>
    <s v="USC23C025"/>
    <s v="MICU Lam Interconnection"/>
    <s v="Main Tool Interconnection"/>
    <s v="KCOXN1"/>
    <s v="CVD_VXP"/>
    <m/>
    <n v="1"/>
    <m/>
    <n v="569"/>
    <m/>
    <m/>
    <n v="101"/>
    <n v="670"/>
    <n v="670"/>
    <m/>
    <m/>
    <m/>
    <m/>
    <n v="670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n v="670"/>
    <m/>
    <m/>
    <m/>
    <m/>
    <m/>
    <m/>
    <m/>
    <n v="0"/>
    <m/>
    <m/>
    <m/>
  </r>
  <r>
    <m/>
    <x v="16"/>
    <s v="Wu, Alex &lt;Alex.Wu@lamresearch.com&gt; "/>
    <s v="4800104873_116"/>
    <n v="116"/>
    <s v="USC23C025"/>
    <s v="MICU Lam Interconnection"/>
    <s v="Main Tool Interconnection"/>
    <s v="KCOXN6"/>
    <s v="CVD_VXP"/>
    <m/>
    <n v="1"/>
    <m/>
    <n v="569"/>
    <m/>
    <m/>
    <n v="101"/>
    <n v="670"/>
    <n v="670"/>
    <m/>
    <m/>
    <m/>
    <m/>
    <n v="0"/>
    <n v="0"/>
    <n v="67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n v="670"/>
    <m/>
    <n v="0"/>
    <m/>
    <m/>
    <m/>
  </r>
  <r>
    <m/>
    <x v="16"/>
    <s v="Wu, Alex &lt;Alex.Wu@lamresearch.com&gt; "/>
    <s v="4800104873_117"/>
    <n v="117"/>
    <s v="USC23C025"/>
    <s v="MICU Lam Interconnection"/>
    <s v="Main Tool Interconnection"/>
    <s v="KCOXN5"/>
    <s v="CVD_VXP"/>
    <m/>
    <n v="1"/>
    <m/>
    <n v="569"/>
    <m/>
    <m/>
    <n v="101"/>
    <n v="670"/>
    <n v="670"/>
    <m/>
    <m/>
    <m/>
    <m/>
    <n v="0"/>
    <n v="0"/>
    <n v="67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n v="670"/>
    <m/>
    <n v="0"/>
    <m/>
    <m/>
    <m/>
  </r>
  <r>
    <m/>
    <x v="16"/>
    <s v="Wu, Alex &lt;Alex.Wu@lamresearch.com&gt; "/>
    <s v="4800104873_118"/>
    <n v="118"/>
    <s v="USC23C025"/>
    <s v="MICU Lam Interconnection"/>
    <s v="Main Tool Interconnection"/>
    <s v="KCOXNF"/>
    <s v="CVD_VXP"/>
    <m/>
    <n v="1"/>
    <m/>
    <n v="569"/>
    <m/>
    <m/>
    <n v="101"/>
    <n v="670"/>
    <n v="670"/>
    <m/>
    <m/>
    <m/>
    <m/>
    <n v="0"/>
    <n v="0"/>
    <n v="67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119"/>
    <n v="119"/>
    <s v="USC23C025"/>
    <s v="MICU Lam Interconnection"/>
    <s v="Main Tool Interconnection"/>
    <s v="KCOXNA"/>
    <s v="CVD_VXP"/>
    <m/>
    <n v="1"/>
    <m/>
    <n v="569"/>
    <m/>
    <m/>
    <n v="101"/>
    <n v="670"/>
    <n v="670"/>
    <m/>
    <m/>
    <m/>
    <m/>
    <n v="0"/>
    <n v="0"/>
    <n v="67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120"/>
    <n v="120"/>
    <s v="USC23C025"/>
    <s v="MICU Lam Interconnection"/>
    <s v="Main Tool Interconnection"/>
    <s v="KCOXNB"/>
    <s v="CVD_VXP"/>
    <m/>
    <n v="1"/>
    <m/>
    <n v="569"/>
    <m/>
    <m/>
    <n v="101"/>
    <n v="670"/>
    <n v="670"/>
    <m/>
    <m/>
    <m/>
    <m/>
    <n v="0"/>
    <n v="0"/>
    <n v="67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121"/>
    <n v="121"/>
    <s v="USC23C025"/>
    <s v="MICU Lam Interconnection"/>
    <s v="Main Tool Interconnection"/>
    <s v="KCOXN9"/>
    <s v="CVD_VXP"/>
    <m/>
    <n v="1"/>
    <m/>
    <n v="569"/>
    <m/>
    <m/>
    <n v="101"/>
    <n v="670"/>
    <n v="670"/>
    <m/>
    <m/>
    <m/>
    <m/>
    <n v="0"/>
    <n v="0"/>
    <n v="67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122"/>
    <n v="122"/>
    <s v="USC23C025"/>
    <s v="MICU Lam Interconnection"/>
    <s v="Main Tool Interconnection"/>
    <s v="KCOXNG"/>
    <s v="CVD_VXP"/>
    <m/>
    <n v="1"/>
    <m/>
    <n v="569"/>
    <m/>
    <m/>
    <n v="101"/>
    <n v="670"/>
    <n v="670"/>
    <m/>
    <m/>
    <m/>
    <m/>
    <n v="0"/>
    <n v="0"/>
    <n v="67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123"/>
    <n v="123"/>
    <s v="USC23C025"/>
    <s v="MICU Lam Interconnection"/>
    <s v="Main Tool Interconnection"/>
    <s v="KCOXNC"/>
    <s v="CVD_VXP"/>
    <m/>
    <n v="1"/>
    <m/>
    <n v="569"/>
    <m/>
    <m/>
    <n v="101"/>
    <n v="670"/>
    <n v="670"/>
    <m/>
    <m/>
    <m/>
    <m/>
    <n v="0"/>
    <n v="0"/>
    <n v="67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124"/>
    <n v="124"/>
    <s v="USC23C025"/>
    <s v="MICU Lam Interconnection"/>
    <s v="Main Tool Interconnection"/>
    <s v="KCOXNE"/>
    <s v="CVD_VXP"/>
    <m/>
    <n v="1"/>
    <m/>
    <n v="569"/>
    <m/>
    <m/>
    <n v="101"/>
    <n v="670"/>
    <n v="670"/>
    <m/>
    <m/>
    <m/>
    <m/>
    <n v="0"/>
    <n v="0"/>
    <n v="67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125"/>
    <n v="125"/>
    <s v="USC23C025"/>
    <s v="MICU Lam Interconnection"/>
    <s v="Main Tool Interconnection"/>
    <s v="KCOXNL"/>
    <s v="CVD_VXP"/>
    <m/>
    <n v="1"/>
    <m/>
    <n v="569"/>
    <m/>
    <m/>
    <n v="101"/>
    <n v="670"/>
    <n v="670"/>
    <m/>
    <m/>
    <m/>
    <m/>
    <n v="0"/>
    <n v="0"/>
    <n v="67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126"/>
    <n v="126"/>
    <s v="USC23C025"/>
    <s v="MICU Lam Interconnection"/>
    <s v="Main Tool Interconnection"/>
    <s v="KCOXNK"/>
    <s v="CVD_VXP"/>
    <m/>
    <n v="1"/>
    <m/>
    <n v="569"/>
    <m/>
    <m/>
    <n v="101"/>
    <n v="670"/>
    <n v="670"/>
    <m/>
    <m/>
    <m/>
    <m/>
    <n v="0"/>
    <n v="0"/>
    <n v="67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127"/>
    <n v="127"/>
    <s v="USC23C025"/>
    <s v="MICU Lam Interconnection"/>
    <s v="Main Tool Interconnection"/>
    <s v="KCOXNJ"/>
    <s v="CVD_VXP"/>
    <m/>
    <n v="1"/>
    <m/>
    <n v="569"/>
    <m/>
    <m/>
    <n v="101"/>
    <n v="670"/>
    <n v="670"/>
    <m/>
    <m/>
    <m/>
    <m/>
    <n v="0"/>
    <n v="0"/>
    <n v="67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128"/>
    <n v="128"/>
    <s v="USC23C025"/>
    <s v="MICU Lam Interconnection"/>
    <s v="Main Tool Interconnection"/>
    <s v="KCSCN1"/>
    <s v="CVD_VXP_(SiC)"/>
    <m/>
    <n v="1"/>
    <n v="89"/>
    <n v="1478"/>
    <m/>
    <m/>
    <n v="281"/>
    <n v="1848"/>
    <n v="1848"/>
    <m/>
    <d v="2022-11-30T00:00:00"/>
    <m/>
    <s v="30 days net"/>
    <n v="104.96000000000001"/>
    <n v="5.6796536796536803E-2"/>
    <n v="1743.04"/>
    <n v="1"/>
    <n v="0"/>
    <n v="5.679642629227824E-2"/>
    <m/>
    <m/>
    <m/>
    <m/>
    <m/>
    <m/>
    <n v="104.96000000000001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n v="1743.04"/>
    <m/>
    <n v="104.96000000000001"/>
    <m/>
    <m/>
    <m/>
  </r>
  <r>
    <m/>
    <x v="16"/>
    <s v="Wu, Alex &lt;Alex.Wu@lamresearch.com&gt; "/>
    <s v="4800104873_129"/>
    <n v="129"/>
    <s v="USC23C025"/>
    <s v="MICU Lam Interconnection"/>
    <s v="Main Tool Interconnection"/>
    <s v="KCSCN2"/>
    <s v="CVD_VXP_(SiC)"/>
    <m/>
    <n v="1"/>
    <n v="89"/>
    <n v="1478"/>
    <m/>
    <m/>
    <n v="281"/>
    <n v="1848"/>
    <n v="1848"/>
    <m/>
    <m/>
    <m/>
    <m/>
    <n v="1848"/>
    <n v="1"/>
    <n v="0"/>
    <n v="1"/>
    <n v="0"/>
    <n v="5.679642629227824E-2"/>
    <m/>
    <m/>
    <m/>
    <m/>
    <m/>
    <m/>
    <n v="104.96000000000001"/>
    <m/>
    <m/>
    <m/>
    <m/>
    <m/>
    <m/>
    <m/>
    <m/>
    <m/>
    <m/>
    <m/>
    <m/>
    <m/>
    <m/>
    <m/>
    <m/>
    <m/>
    <m/>
    <m/>
    <s v=""/>
    <m/>
    <m/>
    <m/>
    <m/>
    <m/>
    <m/>
    <m/>
    <n v="1743.04"/>
    <m/>
    <m/>
    <m/>
    <m/>
    <m/>
    <n v="104.96000000000001"/>
    <m/>
    <m/>
    <m/>
  </r>
  <r>
    <m/>
    <x v="16"/>
    <s v="Wu, Alex &lt;Alex.Wu@lamresearch.com&gt; "/>
    <s v="4800104873_130"/>
    <n v="130"/>
    <s v="USC23C025"/>
    <s v="MICU Lam Interconnection"/>
    <s v="Main Tool Interconnection"/>
    <s v="KCSCN8"/>
    <s v="CVD_VXP_(SiC)"/>
    <m/>
    <n v="1"/>
    <n v="89"/>
    <n v="1478"/>
    <m/>
    <m/>
    <n v="281"/>
    <n v="1848"/>
    <n v="1848"/>
    <m/>
    <m/>
    <m/>
    <m/>
    <n v="104.96000000000001"/>
    <n v="5.6796536796536803E-2"/>
    <n v="1743.04"/>
    <n v="1"/>
    <n v="0"/>
    <n v="5.679642629227824E-2"/>
    <m/>
    <m/>
    <m/>
    <m/>
    <m/>
    <m/>
    <n v="104.96000000000001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104.96000000000001"/>
    <m/>
    <m/>
    <m/>
  </r>
  <r>
    <m/>
    <x v="16"/>
    <s v="Wu, Alex &lt;Alex.Wu@lamresearch.com&gt; "/>
    <s v="4800104873_131"/>
    <n v="131"/>
    <s v="USC23C025"/>
    <s v="MICU Lam Interconnection"/>
    <s v="Main Tool Interconnection"/>
    <s v="KCSCN9"/>
    <s v="CVD_VXP_(SiC)"/>
    <m/>
    <n v="1"/>
    <n v="89"/>
    <n v="1478"/>
    <m/>
    <m/>
    <n v="281"/>
    <n v="1848"/>
    <n v="1848"/>
    <m/>
    <m/>
    <m/>
    <m/>
    <n v="104.96000000000001"/>
    <n v="5.6796536796536803E-2"/>
    <n v="1743.04"/>
    <n v="1"/>
    <n v="0"/>
    <n v="5.679642629227824E-2"/>
    <m/>
    <m/>
    <m/>
    <m/>
    <m/>
    <m/>
    <n v="104.96000000000001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104.96000000000001"/>
    <m/>
    <m/>
    <m/>
  </r>
  <r>
    <m/>
    <x v="16"/>
    <s v="Wu, Alex &lt;Alex.Wu@lamresearch.com&gt; "/>
    <s v="4800104873_028"/>
    <n v="28"/>
    <s v="USC23C025"/>
    <s v="MICU Lam Interconnection"/>
    <s v="Main Tool Interconnection"/>
    <s v="KESDL2"/>
    <s v="Etch 2300E4 platform_Kiyo*3PM"/>
    <m/>
    <n v="1"/>
    <m/>
    <n v="3795"/>
    <m/>
    <m/>
    <n v="678"/>
    <n v="4473"/>
    <n v="4473"/>
    <m/>
    <m/>
    <m/>
    <m/>
    <n v="4473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4473"/>
    <m/>
    <m/>
    <m/>
    <m/>
    <m/>
    <m/>
    <m/>
    <m/>
    <m/>
    <m/>
    <m/>
    <n v="4473"/>
    <m/>
    <m/>
    <m/>
  </r>
  <r>
    <m/>
    <x v="16"/>
    <s v="Wu, Alex &lt;Alex.Wu@lamresearch.com&gt; "/>
    <s v="4800104873_133"/>
    <n v="133"/>
    <s v="USC23C025"/>
    <s v="MICU Lam Interconnection"/>
    <s v="Main Tool Interconnection"/>
    <s v="KCAPN2"/>
    <s v="CVD_VXP_(AHM)"/>
    <m/>
    <n v="1"/>
    <m/>
    <n v="1137"/>
    <m/>
    <m/>
    <n v="203"/>
    <n v="1340"/>
    <n v="1340"/>
    <m/>
    <m/>
    <m/>
    <m/>
    <n v="0"/>
    <n v="0"/>
    <n v="134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135"/>
    <n v="135"/>
    <s v="USC23C025"/>
    <s v="MICU Lam Interconnection"/>
    <s v="Main Tool Interconnection"/>
    <s v="KUECNB"/>
    <s v="SABRE_Next/Max"/>
    <m/>
    <n v="1"/>
    <n v="3241"/>
    <n v="948"/>
    <m/>
    <m/>
    <n v="748"/>
    <n v="4937"/>
    <n v="4937"/>
    <m/>
    <d v="2022-11-30T00:00:00"/>
    <m/>
    <s v="30 days net"/>
    <n v="3820.7200000000003"/>
    <n v="0.77389507798258061"/>
    <n v="1116.2799999999997"/>
    <n v="1"/>
    <n v="0"/>
    <n v="0.77369300549057052"/>
    <m/>
    <m/>
    <m/>
    <m/>
    <m/>
    <m/>
    <n v="3820.7200000000003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3820.7200000000003"/>
    <m/>
    <m/>
    <m/>
  </r>
  <r>
    <m/>
    <x v="16"/>
    <s v="Wu, Alex &lt;Alex.Wu@lamresearch.com&gt; "/>
    <s v="4800104873_136"/>
    <n v="136"/>
    <s v="USC23C025"/>
    <s v="MICU Lam Interconnection"/>
    <s v="Main Tool Interconnection"/>
    <s v="KUECN1"/>
    <s v="SABRE_Next/Max"/>
    <m/>
    <n v="1"/>
    <n v="3241"/>
    <n v="948"/>
    <m/>
    <m/>
    <n v="748"/>
    <n v="4937"/>
    <n v="4937"/>
    <m/>
    <m/>
    <m/>
    <m/>
    <n v="3820.7200000000003"/>
    <n v="0.77389507798258061"/>
    <n v="1116.2799999999997"/>
    <n v="1"/>
    <n v="0"/>
    <n v="0.77369300549057052"/>
    <m/>
    <m/>
    <m/>
    <m/>
    <m/>
    <m/>
    <n v="3820.7200000000003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n v="1116.28"/>
    <m/>
    <n v="3820.7200000000003"/>
    <m/>
    <m/>
    <m/>
  </r>
  <r>
    <m/>
    <x v="16"/>
    <s v="Wu, Alex &lt;Alex.Wu@lamresearch.com&gt; "/>
    <s v="4800104873_137"/>
    <n v="137"/>
    <s v="USC23C025"/>
    <s v="MICU Lam Interconnection"/>
    <s v="Main Tool Interconnection"/>
    <s v="KUECN2"/>
    <s v="SABRE_Next/Max"/>
    <m/>
    <n v="1"/>
    <n v="3241"/>
    <n v="948"/>
    <m/>
    <m/>
    <n v="748"/>
    <n v="4937"/>
    <n v="4937"/>
    <m/>
    <m/>
    <m/>
    <m/>
    <n v="3820.7200000000003"/>
    <n v="0.77389507798258061"/>
    <n v="1116.2799999999997"/>
    <n v="1"/>
    <n v="0"/>
    <n v="0.77369300549057052"/>
    <m/>
    <m/>
    <m/>
    <m/>
    <m/>
    <m/>
    <n v="3820.7200000000003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n v="1116.28"/>
    <m/>
    <n v="3820.7200000000003"/>
    <m/>
    <m/>
    <m/>
  </r>
  <r>
    <m/>
    <x v="16"/>
    <s v="Wu, Alex &lt;Alex.Wu@lamresearch.com&gt; "/>
    <s v="4800104873_138"/>
    <n v="138"/>
    <s v="USC23C025"/>
    <s v="MICU Lam Interconnection"/>
    <s v="Main Tool Interconnection"/>
    <s v="KUECN3"/>
    <s v="SABRE_Next/Max"/>
    <m/>
    <n v="1"/>
    <n v="3241"/>
    <n v="948"/>
    <m/>
    <m/>
    <n v="748"/>
    <n v="4937"/>
    <n v="4937"/>
    <m/>
    <m/>
    <m/>
    <m/>
    <n v="3820.7200000000003"/>
    <n v="0.77389507798258061"/>
    <n v="1116.2799999999997"/>
    <n v="1"/>
    <n v="0"/>
    <n v="0.77369300549057052"/>
    <m/>
    <m/>
    <m/>
    <m/>
    <m/>
    <m/>
    <n v="3820.7200000000003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n v="1116.28"/>
    <m/>
    <n v="3820.7200000000003"/>
    <m/>
    <m/>
    <m/>
  </r>
  <r>
    <m/>
    <x v="16"/>
    <s v="Wu, Alex &lt;Alex.Wu@lamresearch.com&gt; "/>
    <s v="4800104873_139"/>
    <n v="139"/>
    <s v="USC23C025"/>
    <s v="MICU Lam Interconnection"/>
    <s v="Main Tool Interconnection"/>
    <s v="KUECN4"/>
    <s v="SABRE_Next/Max"/>
    <m/>
    <n v="1"/>
    <n v="3241"/>
    <n v="948"/>
    <m/>
    <m/>
    <n v="748"/>
    <n v="4937"/>
    <n v="4937"/>
    <m/>
    <m/>
    <m/>
    <m/>
    <n v="3820.7200000000003"/>
    <n v="0.77389507798258061"/>
    <n v="1116.2799999999997"/>
    <n v="1"/>
    <n v="0"/>
    <n v="0.77369300549057052"/>
    <m/>
    <m/>
    <m/>
    <m/>
    <m/>
    <m/>
    <n v="3820.7200000000003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n v="1116.28"/>
    <m/>
    <n v="3820.7200000000003"/>
    <m/>
    <m/>
    <m/>
  </r>
  <r>
    <m/>
    <x v="16"/>
    <s v="Wu, Alex &lt;Alex.Wu@lamresearch.com&gt; "/>
    <s v="4800104873_140"/>
    <n v="140"/>
    <s v="USC23C025"/>
    <s v="MICU Lam Interconnection"/>
    <s v="Main Tool Interconnection"/>
    <s v="KUECN6"/>
    <s v="SABRE_Next/Max"/>
    <m/>
    <n v="1"/>
    <n v="3241"/>
    <n v="948"/>
    <m/>
    <m/>
    <n v="748"/>
    <n v="4937"/>
    <n v="4937"/>
    <m/>
    <m/>
    <m/>
    <m/>
    <n v="3820.7200000000003"/>
    <n v="0.77389507798258061"/>
    <n v="1116.2799999999997"/>
    <n v="1"/>
    <n v="0"/>
    <n v="0.77369300549057052"/>
    <m/>
    <m/>
    <m/>
    <m/>
    <m/>
    <m/>
    <n v="3820.7200000000003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n v="1116.28"/>
    <m/>
    <n v="3820.7200000000003"/>
    <m/>
    <m/>
    <m/>
  </r>
  <r>
    <m/>
    <x v="16"/>
    <s v="Wu, Alex &lt;Alex.Wu@lamresearch.com&gt; "/>
    <s v="4800104873_141"/>
    <n v="141"/>
    <s v="USC23C025"/>
    <s v="MICU Lam Interconnection"/>
    <s v="Main Tool Interconnection"/>
    <s v="KUECN7"/>
    <s v="SABRE_Next/Max"/>
    <m/>
    <n v="1"/>
    <n v="3241"/>
    <n v="948"/>
    <m/>
    <m/>
    <n v="748"/>
    <n v="4937"/>
    <n v="4937"/>
    <m/>
    <m/>
    <m/>
    <m/>
    <n v="3820.7200000000003"/>
    <n v="0.77389507798258061"/>
    <n v="1116.2799999999997"/>
    <n v="1"/>
    <n v="0"/>
    <n v="0.77369300549057052"/>
    <m/>
    <m/>
    <m/>
    <m/>
    <m/>
    <m/>
    <n v="3820.7200000000003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n v="1116.28"/>
    <m/>
    <n v="3820.7200000000003"/>
    <m/>
    <m/>
    <m/>
  </r>
  <r>
    <m/>
    <x v="16"/>
    <s v="Wu, Alex &lt;Alex.Wu@lamresearch.com&gt; "/>
    <s v="4800104873_142"/>
    <n v="142"/>
    <s v="USC23C025"/>
    <s v="MICU Lam Interconnection"/>
    <s v="Main Tool Interconnection"/>
    <s v="KUECN5"/>
    <s v="SABRE_Next/Max"/>
    <m/>
    <n v="1"/>
    <n v="3241"/>
    <n v="948"/>
    <m/>
    <m/>
    <n v="748"/>
    <n v="4937"/>
    <n v="4937"/>
    <m/>
    <m/>
    <m/>
    <m/>
    <n v="3820.7200000000003"/>
    <n v="0.77389507798258061"/>
    <n v="1116.2799999999997"/>
    <n v="1"/>
    <n v="0"/>
    <n v="0.77369300549057052"/>
    <m/>
    <m/>
    <m/>
    <m/>
    <m/>
    <m/>
    <n v="3820.7200000000003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n v="1116.28"/>
    <m/>
    <n v="3820.7200000000003"/>
    <m/>
    <m/>
    <m/>
  </r>
  <r>
    <m/>
    <x v="16"/>
    <s v="Wu, Alex &lt;Alex.Wu@lamresearch.com&gt; "/>
    <s v="4800104873_143"/>
    <n v="143"/>
    <s v="USC23C025"/>
    <s v="MICU Lam Interconnection"/>
    <s v="Main Tool Interconnection"/>
    <s v="KUECN8"/>
    <s v="SABRE_Next/Max"/>
    <m/>
    <n v="1"/>
    <n v="3241"/>
    <n v="948"/>
    <m/>
    <m/>
    <n v="748"/>
    <n v="4937"/>
    <n v="4937"/>
    <m/>
    <m/>
    <m/>
    <m/>
    <n v="3820.7200000000003"/>
    <n v="0.77389507798258061"/>
    <n v="1116.2799999999997"/>
    <n v="1"/>
    <n v="0"/>
    <n v="0.77369300549057052"/>
    <m/>
    <m/>
    <m/>
    <m/>
    <m/>
    <m/>
    <n v="3820.7200000000003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3820.7200000000003"/>
    <m/>
    <m/>
    <m/>
  </r>
  <r>
    <m/>
    <x v="16"/>
    <s v="Wu, Alex &lt;Alex.Wu@lamresearch.com&gt; "/>
    <s v="4800104873_144"/>
    <n v="144"/>
    <s v="USC23C025"/>
    <s v="MICU Lam Interconnection"/>
    <s v="Main Tool Interconnection"/>
    <s v="KUECNA"/>
    <s v="SABRE_Next/Max"/>
    <m/>
    <n v="1"/>
    <n v="3241"/>
    <n v="948"/>
    <m/>
    <m/>
    <n v="748"/>
    <n v="4937"/>
    <n v="4937"/>
    <m/>
    <m/>
    <m/>
    <m/>
    <n v="3820.7200000000003"/>
    <n v="0.77389507798258061"/>
    <n v="1116.2799999999997"/>
    <n v="1"/>
    <n v="0"/>
    <n v="0.77369300549057052"/>
    <m/>
    <m/>
    <m/>
    <m/>
    <m/>
    <m/>
    <n v="3820.7200000000003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3820.7200000000003"/>
    <m/>
    <m/>
    <m/>
  </r>
  <r>
    <m/>
    <x v="16"/>
    <s v="Wu, Alex &lt;Alex.Wu@lamresearch.com&gt; "/>
    <s v="4800104873_145"/>
    <n v="145"/>
    <s v="USC23C025"/>
    <s v="MICU Lam Interconnection"/>
    <s v="Main Tool Interconnection"/>
    <s v="KUECN9"/>
    <s v="SABRE_Next/Max"/>
    <m/>
    <n v="1"/>
    <n v="3241"/>
    <n v="948"/>
    <m/>
    <m/>
    <n v="748"/>
    <n v="4937"/>
    <n v="4937"/>
    <m/>
    <m/>
    <m/>
    <m/>
    <n v="3820.7200000000003"/>
    <n v="0.77389507798258061"/>
    <n v="1116.2799999999997"/>
    <n v="1"/>
    <n v="0"/>
    <n v="0.77369300549057052"/>
    <m/>
    <m/>
    <m/>
    <m/>
    <m/>
    <m/>
    <n v="3820.7200000000003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3820.7200000000003"/>
    <m/>
    <m/>
    <m/>
  </r>
  <r>
    <m/>
    <x v="16"/>
    <s v="Wu, Alex &lt;Alex.Wu@lamresearch.com&gt; "/>
    <s v="4800104873_146"/>
    <n v="146"/>
    <s v="USC23C025"/>
    <s v="MICU Lam Interconnection"/>
    <s v="Main Tool Interconnection"/>
    <s v="KSECN1"/>
    <s v="SABRE_FC"/>
    <m/>
    <n v="1"/>
    <n v="9484"/>
    <n v="5255"/>
    <m/>
    <m/>
    <n v="2633"/>
    <n v="17372"/>
    <n v="17372"/>
    <m/>
    <d v="2022-11-30T00:00:00"/>
    <m/>
    <s v="30 days net"/>
    <n v="11178.550000000001"/>
    <n v="0.64348088878655318"/>
    <n v="6193.4499999999989"/>
    <n v="1"/>
    <n v="0"/>
    <n v="0.64346292150078022"/>
    <m/>
    <m/>
    <m/>
    <m/>
    <m/>
    <m/>
    <n v="11178.550000000001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11178.550000000001"/>
    <m/>
    <m/>
    <m/>
  </r>
  <r>
    <m/>
    <x v="16"/>
    <s v="Wu, Alex &lt;Alex.Wu@lamresearch.com&gt; "/>
    <s v="4800104873_147"/>
    <n v="147"/>
    <s v="USC23C025"/>
    <s v="MICU Lam Interconnection"/>
    <s v="Main Tool Interconnection"/>
    <s v="KSECN2"/>
    <s v="SABRE_FC"/>
    <m/>
    <n v="1"/>
    <n v="9484"/>
    <n v="5255"/>
    <m/>
    <m/>
    <n v="2633"/>
    <n v="17372"/>
    <n v="17372"/>
    <m/>
    <m/>
    <m/>
    <m/>
    <n v="11178.550000000001"/>
    <n v="0.64348088878655318"/>
    <n v="6193.4499999999989"/>
    <n v="1"/>
    <n v="0"/>
    <n v="0.64346292150078022"/>
    <m/>
    <m/>
    <m/>
    <m/>
    <m/>
    <m/>
    <n v="11178.550000000001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n v="6193.45"/>
    <m/>
    <n v="11178.550000000001"/>
    <m/>
    <m/>
    <m/>
  </r>
  <r>
    <m/>
    <x v="16"/>
    <s v="Wu, Alex &lt;Alex.Wu@lamresearch.com&gt; "/>
    <s v="4800104873_148"/>
    <n v="148"/>
    <s v="USC23C025"/>
    <s v="MICU Lam Interconnection"/>
    <s v="Main Tool Interconnection"/>
    <s v="KSECN3"/>
    <s v="SABRE_FC"/>
    <m/>
    <n v="1"/>
    <n v="9484"/>
    <n v="5255"/>
    <m/>
    <m/>
    <n v="2633"/>
    <n v="17372"/>
    <n v="17372"/>
    <m/>
    <m/>
    <m/>
    <m/>
    <n v="11178.550000000001"/>
    <n v="0.64348088878655318"/>
    <n v="6193.4499999999989"/>
    <n v="1"/>
    <n v="0"/>
    <n v="0.64346292150078022"/>
    <m/>
    <m/>
    <m/>
    <m/>
    <m/>
    <m/>
    <n v="11178.550000000001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n v="6193.45"/>
    <m/>
    <n v="11178.550000000001"/>
    <m/>
    <m/>
    <m/>
  </r>
  <r>
    <m/>
    <x v="16"/>
    <s v="Wu, Alex &lt;Alex.Wu@lamresearch.com&gt; "/>
    <s v="4800104873_030"/>
    <n v="30"/>
    <s v="USC23C025"/>
    <s v="MICU Lam Interconnection"/>
    <s v="Main Tool Interconnection"/>
    <s v="KEPOL8"/>
    <s v="Etch 2300E4 platform_Kiyo*3PM"/>
    <m/>
    <n v="1"/>
    <m/>
    <n v="3795"/>
    <m/>
    <m/>
    <n v="678"/>
    <n v="4473"/>
    <n v="4473"/>
    <m/>
    <m/>
    <m/>
    <m/>
    <n v="4473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4473"/>
    <m/>
    <m/>
    <m/>
    <m/>
    <m/>
    <m/>
    <m/>
    <m/>
    <m/>
    <m/>
    <m/>
    <n v="4473"/>
    <m/>
    <m/>
    <m/>
  </r>
  <r>
    <m/>
    <x v="16"/>
    <s v="Wu, Alex &lt;Alex.Wu@lamresearch.com&gt; "/>
    <s v="4800104873_150"/>
    <n v="150"/>
    <s v="USC23C025"/>
    <s v="MICU Lam Interconnection"/>
    <s v="Main Tool Interconnection"/>
    <s v="KEBCL2"/>
    <s v="DV-34"/>
    <m/>
    <n v="1"/>
    <m/>
    <n v="4804"/>
    <m/>
    <m/>
    <n v="858"/>
    <n v="5662"/>
    <n v="5662"/>
    <m/>
    <m/>
    <m/>
    <m/>
    <n v="0"/>
    <n v="0"/>
    <n v="5662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049"/>
    <n v="49"/>
    <s v="USC23C025"/>
    <s v="MICU Lam Interconnection"/>
    <s v="Main Tool Interconnection"/>
    <s v="KEMEL5"/>
    <s v="Etch 2300E6 platform_Metal-M*4PM"/>
    <m/>
    <n v="1"/>
    <m/>
    <n v="4989"/>
    <m/>
    <m/>
    <n v="891"/>
    <n v="5880"/>
    <n v="5880"/>
    <m/>
    <m/>
    <m/>
    <m/>
    <n v="5880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5880"/>
    <m/>
    <m/>
    <m/>
    <m/>
    <m/>
    <m/>
    <m/>
    <m/>
    <m/>
    <m/>
    <m/>
    <n v="5880"/>
    <m/>
    <m/>
    <m/>
  </r>
  <r>
    <m/>
    <x v="16"/>
    <s v="Wu, Alex &lt;Alex.Wu@lamresearch.com&gt; "/>
    <s v="4800104873_152"/>
    <n v="152"/>
    <s v="USC23C025"/>
    <s v="MICU Lam Interconnection"/>
    <s v="Main Tool Interconnection"/>
    <s v="KEPSL9"/>
    <s v="DV-38"/>
    <m/>
    <n v="1"/>
    <m/>
    <n v="9835"/>
    <m/>
    <m/>
    <n v="1758"/>
    <n v="11593"/>
    <n v="11593"/>
    <m/>
    <m/>
    <m/>
    <m/>
    <n v="0"/>
    <n v="0"/>
    <n v="11593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153"/>
    <n v="153"/>
    <s v="USC23C025"/>
    <s v="MICU Lam Interconnection"/>
    <s v="Main Tool Interconnection"/>
    <s v="KEPSL5"/>
    <s v="EOS"/>
    <m/>
    <n v="1"/>
    <m/>
    <n v="1706"/>
    <m/>
    <m/>
    <n v="304"/>
    <n v="2010"/>
    <n v="2010"/>
    <m/>
    <d v="2022-11-28T00:00:00"/>
    <m/>
    <s v="30 days net"/>
    <n v="0"/>
    <n v="0"/>
    <n v="201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154"/>
    <n v="154"/>
    <s v="USC23C025"/>
    <s v="MICU Lam Interconnection"/>
    <s v="Main Tool Interconnection"/>
    <s v="KEPSL8"/>
    <s v="EOS"/>
    <m/>
    <n v="1"/>
    <m/>
    <n v="1706"/>
    <m/>
    <m/>
    <n v="304"/>
    <n v="2010"/>
    <n v="2010"/>
    <m/>
    <m/>
    <m/>
    <m/>
    <n v="0"/>
    <n v="0"/>
    <n v="201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155"/>
    <n v="155"/>
    <s v="USC23C025"/>
    <s v="MICU Lam Interconnection"/>
    <s v="Main Tool Interconnection"/>
    <s v="KEPSL3"/>
    <s v="EOS"/>
    <m/>
    <n v="1"/>
    <m/>
    <n v="1706"/>
    <m/>
    <m/>
    <n v="304"/>
    <n v="2010"/>
    <n v="2010"/>
    <m/>
    <m/>
    <m/>
    <m/>
    <n v="0"/>
    <n v="0"/>
    <n v="201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156"/>
    <n v="156"/>
    <s v="USC23C025"/>
    <s v="MICU Lam Interconnection"/>
    <s v="Main Tool Interconnection"/>
    <s v="KEPSL2"/>
    <s v="EOS"/>
    <m/>
    <n v="1"/>
    <m/>
    <n v="1706"/>
    <m/>
    <m/>
    <n v="304"/>
    <n v="2010"/>
    <n v="2010"/>
    <m/>
    <m/>
    <m/>
    <m/>
    <n v="0"/>
    <n v="0"/>
    <n v="201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157"/>
    <n v="157"/>
    <s v="USC23C025"/>
    <s v="MICU Lam Interconnection"/>
    <s v="Main Tool Interconnection"/>
    <s v="KEPSL6"/>
    <s v="EOS"/>
    <m/>
    <n v="1"/>
    <m/>
    <n v="1706"/>
    <m/>
    <m/>
    <n v="304"/>
    <n v="2010"/>
    <n v="2010"/>
    <m/>
    <m/>
    <m/>
    <m/>
    <n v="0"/>
    <n v="0"/>
    <n v="201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158"/>
    <n v="158"/>
    <s v="USC23C025"/>
    <s v="MICU Lam Interconnection"/>
    <s v="Main Tool Interconnection"/>
    <s v="KEPSL7"/>
    <s v="EOS"/>
    <m/>
    <n v="1"/>
    <m/>
    <n v="1706"/>
    <m/>
    <m/>
    <n v="304"/>
    <n v="2010"/>
    <n v="2010"/>
    <m/>
    <m/>
    <m/>
    <m/>
    <n v="0"/>
    <n v="0"/>
    <n v="201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159"/>
    <n v="159"/>
    <s v="USC23C025"/>
    <s v="MICU Lam Interconnection"/>
    <s v="Main Tool Interconnection"/>
    <s v="KEPSL4"/>
    <s v="EOS"/>
    <m/>
    <n v="1"/>
    <m/>
    <n v="1706"/>
    <m/>
    <m/>
    <n v="304"/>
    <n v="2010"/>
    <n v="2010"/>
    <m/>
    <m/>
    <m/>
    <m/>
    <n v="0"/>
    <n v="0"/>
    <n v="201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160"/>
    <n v="160"/>
    <s v="USC23C025"/>
    <s v="MICU Lam Interconnection"/>
    <s v="Main Tool Interconnection"/>
    <s v="KEPSLB"/>
    <s v="EOS"/>
    <m/>
    <n v="1"/>
    <m/>
    <n v="1706"/>
    <m/>
    <m/>
    <n v="304"/>
    <n v="2010"/>
    <n v="2010"/>
    <m/>
    <m/>
    <m/>
    <m/>
    <n v="0"/>
    <n v="0"/>
    <n v="201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161"/>
    <n v="161"/>
    <s v="USC23C025"/>
    <s v="MICU Lam Interconnection"/>
    <s v="Main Tool Interconnection"/>
    <s v="KEPSLA"/>
    <s v="EOS"/>
    <m/>
    <n v="1"/>
    <m/>
    <n v="1706"/>
    <m/>
    <m/>
    <n v="304"/>
    <n v="2010"/>
    <n v="2010"/>
    <m/>
    <m/>
    <m/>
    <m/>
    <n v="0"/>
    <n v="0"/>
    <n v="201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162"/>
    <n v="162"/>
    <s v="USC23C025"/>
    <s v="MICU Lam Interconnection"/>
    <s v="Main Tool Interconnection"/>
    <s v="KEPSLC"/>
    <s v="EOS"/>
    <m/>
    <n v="1"/>
    <m/>
    <n v="1706"/>
    <m/>
    <m/>
    <n v="304"/>
    <n v="2010"/>
    <n v="2010"/>
    <m/>
    <m/>
    <m/>
    <m/>
    <n v="0"/>
    <n v="0"/>
    <n v="201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16"/>
    <s v="Wu, Alex &lt;Alex.Wu@lamresearch.com&gt; "/>
    <s v="4800104873_056"/>
    <n v="56"/>
    <s v="USC23C025"/>
    <s v="MICU Lam Interconnection"/>
    <s v="Main Tool Interconnection"/>
    <s v="KEMGL2"/>
    <s v="Etch 2300E6 platform_Metal-M*4PM"/>
    <m/>
    <n v="1"/>
    <m/>
    <n v="4989"/>
    <m/>
    <m/>
    <n v="891"/>
    <n v="5880"/>
    <n v="5880"/>
    <m/>
    <m/>
    <m/>
    <m/>
    <n v="5880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5880"/>
    <m/>
    <m/>
    <m/>
    <m/>
    <m/>
    <m/>
    <m/>
    <m/>
    <m/>
    <m/>
    <m/>
    <n v="5880"/>
    <m/>
    <m/>
    <m/>
  </r>
  <r>
    <m/>
    <x v="16"/>
    <s v="Wu, Alex &lt;Alex.Wu@lamresearch.com&gt; "/>
    <s v="4800104873_164"/>
    <n v="164"/>
    <s v="USC23C025"/>
    <s v="MICU Lam Interconnection"/>
    <s v="Main Tool Interconnection"/>
    <s v="KDSTL2"/>
    <s v="MRC"/>
    <m/>
    <n v="1"/>
    <n v="13847"/>
    <n v="7928"/>
    <m/>
    <m/>
    <n v="3891"/>
    <n v="25666"/>
    <n v="25666"/>
    <m/>
    <m/>
    <m/>
    <m/>
    <n v="16304.81"/>
    <n v="0.63526883815164026"/>
    <n v="9361.19"/>
    <n v="1"/>
    <n v="0"/>
    <n v="0.63591274397244546"/>
    <m/>
    <m/>
    <m/>
    <m/>
    <m/>
    <m/>
    <n v="16304.81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16304.81"/>
    <m/>
    <m/>
    <m/>
  </r>
  <r>
    <m/>
    <x v="16"/>
    <s v="Wu, Alex &lt;Alex.Wu@lamresearch.com&gt; "/>
    <s v="4800104873_057"/>
    <n v="57"/>
    <s v="USC23C025"/>
    <s v="MICU Lam Interconnection"/>
    <s v="Main Tool Interconnection"/>
    <s v="KEMGL3"/>
    <s v="Etch 2300E6 platform_Metal-M*4PM"/>
    <m/>
    <n v="1"/>
    <m/>
    <n v="4989"/>
    <m/>
    <m/>
    <n v="891"/>
    <n v="5880"/>
    <n v="5880"/>
    <m/>
    <m/>
    <m/>
    <m/>
    <n v="5880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5880"/>
    <m/>
    <m/>
    <m/>
    <m/>
    <m/>
    <m/>
    <m/>
    <m/>
    <m/>
    <m/>
    <m/>
    <n v="5880"/>
    <m/>
    <m/>
    <m/>
  </r>
  <r>
    <m/>
    <x v="16"/>
    <s v="Wu, Alex &lt;Alex.Wu@lamresearch.com&gt; "/>
    <s v="4800104873_066"/>
    <n v="66"/>
    <s v="USC23C025"/>
    <s v="MICU Lam Interconnection"/>
    <s v="Main Tool Interconnection"/>
    <s v="KECOL1"/>
    <s v="Etch 2300 platform_Flex FL*5PM"/>
    <m/>
    <n v="1"/>
    <m/>
    <n v="9025"/>
    <m/>
    <m/>
    <n v="1613"/>
    <n v="10638"/>
    <n v="10638"/>
    <m/>
    <m/>
    <m/>
    <m/>
    <n v="10638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10638"/>
    <m/>
    <m/>
    <m/>
    <m/>
    <m/>
    <m/>
    <m/>
    <m/>
    <m/>
    <m/>
    <m/>
    <n v="10638"/>
    <m/>
    <m/>
    <m/>
  </r>
  <r>
    <m/>
    <x v="16"/>
    <s v="Wu, Alex &lt;Alex.Wu@lamresearch.com&gt; "/>
    <s v="4800104873_067"/>
    <n v="67"/>
    <s v="USC23C025"/>
    <s v="MICU Lam Interconnection"/>
    <s v="Main Tool Interconnection"/>
    <s v="KECOL2"/>
    <s v="Etch 2300 platform_Flex FL*5PM"/>
    <m/>
    <n v="1"/>
    <m/>
    <n v="9025"/>
    <m/>
    <m/>
    <n v="1613"/>
    <n v="10638"/>
    <n v="10638"/>
    <m/>
    <m/>
    <m/>
    <m/>
    <n v="10638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10638"/>
    <m/>
    <m/>
    <m/>
    <m/>
    <m/>
    <m/>
    <m/>
    <m/>
    <m/>
    <m/>
    <m/>
    <n v="10638"/>
    <m/>
    <m/>
    <m/>
  </r>
  <r>
    <m/>
    <x v="16"/>
    <s v="Wu, Alex &lt;Alex.Wu@lamresearch.com&gt; "/>
    <s v="4800104873_075"/>
    <n v="75"/>
    <s v="USC23C025"/>
    <s v="MICU Lam Interconnection"/>
    <s v="Main Tool Interconnection"/>
    <s v="KEPRL4"/>
    <s v="Etch_Gamma"/>
    <m/>
    <n v="1"/>
    <n v="4039"/>
    <n v="9821"/>
    <m/>
    <m/>
    <n v="2477"/>
    <n v="16337"/>
    <n v="16337"/>
    <m/>
    <m/>
    <m/>
    <m/>
    <n v="16337"/>
    <n v="1"/>
    <n v="0"/>
    <n v="1"/>
    <n v="0"/>
    <n v="0.2914141414141414"/>
    <m/>
    <m/>
    <m/>
    <m/>
    <m/>
    <m/>
    <n v="4760.84"/>
    <m/>
    <m/>
    <m/>
    <m/>
    <m/>
    <m/>
    <m/>
    <m/>
    <m/>
    <m/>
    <m/>
    <m/>
    <m/>
    <m/>
    <m/>
    <m/>
    <m/>
    <m/>
    <m/>
    <s v=""/>
    <m/>
    <n v="11576.16"/>
    <m/>
    <m/>
    <m/>
    <m/>
    <m/>
    <m/>
    <m/>
    <m/>
    <m/>
    <m/>
    <m/>
    <n v="16337"/>
    <m/>
    <m/>
    <m/>
  </r>
  <r>
    <m/>
    <x v="16"/>
    <s v="Wu, Alex &lt;Alex.Wu@lamresearch.com&gt; "/>
    <s v="4800104873_076"/>
    <n v="76"/>
    <s v="USC23C025"/>
    <s v="MICU Lam Interconnection"/>
    <s v="Main Tool Interconnection"/>
    <s v="KEPRL3"/>
    <s v="Etch_Gamma"/>
    <m/>
    <n v="1"/>
    <n v="4039"/>
    <n v="9821"/>
    <m/>
    <m/>
    <n v="2477"/>
    <n v="16337"/>
    <n v="16337"/>
    <m/>
    <m/>
    <m/>
    <m/>
    <n v="16337"/>
    <n v="1"/>
    <n v="0"/>
    <n v="1"/>
    <n v="0"/>
    <n v="0.2914141414141414"/>
    <m/>
    <m/>
    <m/>
    <m/>
    <m/>
    <m/>
    <n v="4760.84"/>
    <m/>
    <m/>
    <m/>
    <m/>
    <m/>
    <m/>
    <m/>
    <m/>
    <m/>
    <m/>
    <m/>
    <m/>
    <m/>
    <m/>
    <m/>
    <m/>
    <m/>
    <m/>
    <m/>
    <s v=""/>
    <m/>
    <n v="11576.16"/>
    <m/>
    <m/>
    <m/>
    <m/>
    <m/>
    <m/>
    <m/>
    <m/>
    <m/>
    <m/>
    <m/>
    <n v="16337"/>
    <m/>
    <m/>
    <m/>
  </r>
  <r>
    <m/>
    <x v="16"/>
    <s v="Wu, Alex &lt;Alex.Wu@lamresearch.com&gt; "/>
    <s v="4800104873_077"/>
    <n v="77"/>
    <s v="USC23C025"/>
    <s v="MICU Lam Interconnection"/>
    <s v="Main Tool Interconnection"/>
    <s v="KEPRL2"/>
    <s v="Etch_Gamma"/>
    <m/>
    <n v="1"/>
    <n v="4039"/>
    <n v="9821"/>
    <m/>
    <m/>
    <n v="2477"/>
    <n v="16337"/>
    <n v="16337"/>
    <m/>
    <m/>
    <m/>
    <m/>
    <n v="16337"/>
    <n v="1"/>
    <n v="0"/>
    <n v="1"/>
    <n v="0"/>
    <n v="0.2914141414141414"/>
    <m/>
    <m/>
    <m/>
    <m/>
    <m/>
    <m/>
    <n v="4760.84"/>
    <m/>
    <m/>
    <m/>
    <m/>
    <m/>
    <m/>
    <m/>
    <m/>
    <m/>
    <m/>
    <m/>
    <m/>
    <m/>
    <m/>
    <m/>
    <m/>
    <m/>
    <m/>
    <m/>
    <s v=""/>
    <m/>
    <n v="11576.16"/>
    <m/>
    <m/>
    <m/>
    <m/>
    <m/>
    <m/>
    <m/>
    <m/>
    <m/>
    <m/>
    <m/>
    <n v="16337"/>
    <m/>
    <m/>
    <m/>
  </r>
  <r>
    <m/>
    <x v="16"/>
    <s v="Wu, Alex &lt;Alex.Wu@lamresearch.com&gt; "/>
    <s v="4800104873_078"/>
    <n v="78"/>
    <s v="USC23C025"/>
    <s v="MICU Lam Interconnection"/>
    <s v="Main Tool Interconnection"/>
    <s v="KEPRL5"/>
    <s v="Etch_Gamma"/>
    <m/>
    <n v="1"/>
    <n v="4039"/>
    <n v="9821"/>
    <m/>
    <m/>
    <n v="2477"/>
    <n v="16337"/>
    <n v="16337"/>
    <m/>
    <m/>
    <m/>
    <m/>
    <n v="16337"/>
    <n v="1"/>
    <n v="0"/>
    <n v="1"/>
    <n v="0"/>
    <n v="0.2914141414141414"/>
    <m/>
    <m/>
    <m/>
    <m/>
    <m/>
    <m/>
    <n v="4760.84"/>
    <m/>
    <m/>
    <m/>
    <m/>
    <m/>
    <m/>
    <m/>
    <m/>
    <m/>
    <m/>
    <m/>
    <m/>
    <m/>
    <m/>
    <m/>
    <m/>
    <m/>
    <m/>
    <m/>
    <s v=""/>
    <m/>
    <n v="11576.16"/>
    <m/>
    <m/>
    <m/>
    <m/>
    <m/>
    <m/>
    <m/>
    <m/>
    <m/>
    <m/>
    <m/>
    <n v="16337"/>
    <m/>
    <m/>
    <m/>
  </r>
  <r>
    <m/>
    <x v="16"/>
    <s v="Wu, Alex &lt;Alex.Wu@lamresearch.com&gt; "/>
    <s v="4800104873_083"/>
    <n v="83"/>
    <s v="USC23C025"/>
    <s v="MICU Lam Interconnection"/>
    <s v="Main Tool Interconnection"/>
    <s v="KEPRL1"/>
    <s v="Etch_Argos *3PM"/>
    <m/>
    <n v="1"/>
    <n v="2534"/>
    <n v="4164"/>
    <m/>
    <m/>
    <n v="1197"/>
    <n v="7895"/>
    <n v="7895"/>
    <m/>
    <d v="2022-11-30T00:00:00"/>
    <m/>
    <s v="30 days net"/>
    <n v="7895"/>
    <n v="1"/>
    <n v="0"/>
    <n v="1"/>
    <n v="0"/>
    <n v="0.3783218871304867"/>
    <m/>
    <m/>
    <m/>
    <m/>
    <m/>
    <m/>
    <n v="2986.61"/>
    <m/>
    <m/>
    <m/>
    <m/>
    <m/>
    <m/>
    <m/>
    <m/>
    <m/>
    <m/>
    <m/>
    <m/>
    <m/>
    <m/>
    <m/>
    <m/>
    <m/>
    <m/>
    <m/>
    <s v=""/>
    <m/>
    <n v="4908.3900000000003"/>
    <m/>
    <m/>
    <m/>
    <m/>
    <m/>
    <m/>
    <m/>
    <m/>
    <m/>
    <m/>
    <m/>
    <n v="7895"/>
    <m/>
    <m/>
    <m/>
  </r>
  <r>
    <m/>
    <x v="16"/>
    <s v="Wu, Alex &lt;Alex.Wu@lamresearch.com&gt; "/>
    <s v="4800104873_089"/>
    <n v="89"/>
    <s v="USC23C025"/>
    <s v="MICU Lam Interconnection"/>
    <s v="Main Tool Interconnection"/>
    <s v="KCANN3"/>
    <s v="CVD_EMMA"/>
    <s v="In Progress"/>
    <n v="1"/>
    <n v="1400"/>
    <n v="15236"/>
    <m/>
    <m/>
    <n v="2974"/>
    <n v="19610"/>
    <n v="19610"/>
    <m/>
    <m/>
    <m/>
    <m/>
    <n v="19610"/>
    <n v="1"/>
    <n v="0"/>
    <n v="1"/>
    <n v="0"/>
    <n v="8.4154844914642937E-2"/>
    <m/>
    <m/>
    <m/>
    <m/>
    <m/>
    <m/>
    <n v="1650.25"/>
    <m/>
    <m/>
    <m/>
    <m/>
    <m/>
    <m/>
    <m/>
    <m/>
    <m/>
    <m/>
    <m/>
    <m/>
    <m/>
    <m/>
    <m/>
    <m/>
    <m/>
    <m/>
    <m/>
    <s v=""/>
    <m/>
    <n v="17959.75"/>
    <m/>
    <m/>
    <m/>
    <m/>
    <m/>
    <m/>
    <m/>
    <m/>
    <m/>
    <m/>
    <m/>
    <n v="19610"/>
    <m/>
    <m/>
    <m/>
  </r>
  <r>
    <m/>
    <x v="16"/>
    <s v="Wu, Alex &lt;Alex.Wu@lamresearch.com&gt; "/>
    <s v="4800104873_095"/>
    <n v="95"/>
    <s v="USC23C025"/>
    <s v="MICU Lam Interconnection"/>
    <s v="Main Tool Interconnection"/>
    <s v="KCSCN5"/>
    <s v="CVD_Vector Excel_VXL"/>
    <m/>
    <n v="1"/>
    <n v="1400"/>
    <n v="9551"/>
    <m/>
    <m/>
    <n v="1957"/>
    <n v="12908"/>
    <n v="12908"/>
    <m/>
    <d v="2022-11-30T00:00:00"/>
    <m/>
    <s v="30 days net"/>
    <n v="12908"/>
    <n v="1"/>
    <n v="0"/>
    <n v="1"/>
    <n v="0"/>
    <n v="0.12784220619121542"/>
    <m/>
    <m/>
    <m/>
    <m/>
    <m/>
    <m/>
    <n v="1650.19"/>
    <m/>
    <m/>
    <m/>
    <m/>
    <m/>
    <m/>
    <m/>
    <m/>
    <m/>
    <m/>
    <m/>
    <m/>
    <m/>
    <m/>
    <m/>
    <m/>
    <m/>
    <m/>
    <m/>
    <s v=""/>
    <m/>
    <n v="11257.81"/>
    <m/>
    <m/>
    <m/>
    <m/>
    <m/>
    <m/>
    <m/>
    <m/>
    <m/>
    <m/>
    <m/>
    <n v="12908"/>
    <m/>
    <m/>
    <m/>
  </r>
  <r>
    <m/>
    <x v="16"/>
    <s v="Wu, Alex &lt;Alex.Wu@lamresearch.com&gt; "/>
    <s v="4800104873_112"/>
    <n v="112"/>
    <s v="USC23C025"/>
    <s v="MICU Lam Interconnection"/>
    <s v="Main Tool Interconnection"/>
    <s v="KCOXN4"/>
    <s v="CVD_VXP"/>
    <m/>
    <n v="1"/>
    <m/>
    <n v="569"/>
    <m/>
    <m/>
    <n v="101"/>
    <n v="670"/>
    <n v="670"/>
    <m/>
    <d v="2022-11-30T00:00:00"/>
    <m/>
    <s v="30 days net"/>
    <n v="670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670"/>
    <m/>
    <m/>
    <m/>
    <m/>
    <m/>
    <m/>
    <m/>
    <m/>
    <m/>
    <m/>
    <m/>
    <n v="670"/>
    <m/>
    <m/>
    <m/>
  </r>
  <r>
    <m/>
    <x v="16"/>
    <s v="Wu, Alex &lt;Alex.Wu@lamresearch.com&gt; "/>
    <s v="4800104873_113"/>
    <n v="113"/>
    <s v="USC23C025"/>
    <s v="MICU Lam Interconnection"/>
    <s v="Main Tool Interconnection"/>
    <s v="KCOXN3"/>
    <s v="CVD_VXP"/>
    <m/>
    <n v="1"/>
    <m/>
    <n v="569"/>
    <m/>
    <m/>
    <n v="101"/>
    <n v="670"/>
    <n v="670"/>
    <m/>
    <m/>
    <m/>
    <m/>
    <n v="670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670"/>
    <m/>
    <m/>
    <m/>
    <m/>
    <m/>
    <m/>
    <m/>
    <m/>
    <m/>
    <m/>
    <m/>
    <n v="670"/>
    <m/>
    <m/>
    <m/>
  </r>
  <r>
    <m/>
    <x v="16"/>
    <s v="Wu, Alex &lt;Alex.Wu@lamresearch.com&gt; "/>
    <s v="4800104873_132"/>
    <n v="132"/>
    <s v="USC23C025"/>
    <s v="MICU Lam Interconnection"/>
    <s v="Main Tool Interconnection"/>
    <s v="KCAPN1"/>
    <s v="CVD_VXP_(AHM)"/>
    <m/>
    <n v="1"/>
    <m/>
    <n v="1137"/>
    <m/>
    <m/>
    <n v="203"/>
    <n v="1340"/>
    <n v="1340"/>
    <m/>
    <d v="2022-11-30T00:00:00"/>
    <m/>
    <s v="30 days net"/>
    <n v="1340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1340"/>
    <m/>
    <m/>
    <m/>
    <m/>
    <m/>
    <m/>
    <m/>
    <m/>
    <m/>
    <m/>
    <m/>
    <n v="1340"/>
    <m/>
    <m/>
    <m/>
  </r>
  <r>
    <m/>
    <x v="16"/>
    <s v="Wu, Alex &lt;Alex.Wu@lamresearch.com&gt; "/>
    <s v="4800104873_149"/>
    <n v="149"/>
    <s v="USC23C025"/>
    <s v="MICU Lam Interconnection"/>
    <s v="Main Tool Interconnection"/>
    <s v="KEBCL1"/>
    <s v="DV-34"/>
    <m/>
    <n v="1"/>
    <m/>
    <n v="4804"/>
    <m/>
    <m/>
    <n v="858"/>
    <n v="5662"/>
    <n v="5662"/>
    <m/>
    <d v="2022-11-28T00:00:00"/>
    <m/>
    <s v="30 days net"/>
    <n v="5662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5662"/>
    <m/>
    <m/>
    <m/>
    <m/>
    <m/>
    <m/>
    <m/>
    <m/>
    <m/>
    <m/>
    <m/>
    <n v="5662"/>
    <m/>
    <m/>
    <m/>
  </r>
  <r>
    <m/>
    <x v="16"/>
    <s v="Wu, Alex &lt;Alex.Wu@lamresearch.com&gt; "/>
    <s v="4800104873_151"/>
    <n v="151"/>
    <s v="USC23C025"/>
    <s v="MICU Lam Interconnection"/>
    <s v="Main Tool Interconnection"/>
    <s v="KEPSL1"/>
    <s v="DV-38"/>
    <m/>
    <n v="1"/>
    <m/>
    <n v="9835"/>
    <m/>
    <m/>
    <n v="1758"/>
    <n v="11593"/>
    <n v="11593"/>
    <m/>
    <d v="2022-11-28T00:00:00"/>
    <m/>
    <s v="30 days net"/>
    <n v="11593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11593"/>
    <m/>
    <m/>
    <m/>
    <m/>
    <m/>
    <m/>
    <m/>
    <m/>
    <m/>
    <m/>
    <m/>
    <n v="11593"/>
    <m/>
    <m/>
    <m/>
  </r>
  <r>
    <m/>
    <x v="16"/>
    <s v="Wu, Alex &lt;Alex.Wu@lamresearch.com&gt; "/>
    <s v="4800104873_163"/>
    <n v="163"/>
    <s v="USC23C025"/>
    <s v="MICU Lam Interconnection"/>
    <s v="Main Tool Interconnection"/>
    <s v="KDSTL1"/>
    <s v="MRC"/>
    <m/>
    <n v="1"/>
    <n v="13847"/>
    <n v="7928"/>
    <m/>
    <m/>
    <n v="3891"/>
    <n v="25666"/>
    <n v="25666"/>
    <m/>
    <d v="2022-11-28T00:00:00"/>
    <m/>
    <s v="30 days net"/>
    <n v="25666"/>
    <n v="1"/>
    <n v="0"/>
    <n v="1"/>
    <n v="0"/>
    <n v="0.63591274397244546"/>
    <m/>
    <m/>
    <m/>
    <m/>
    <m/>
    <m/>
    <n v="16304.81"/>
    <m/>
    <m/>
    <m/>
    <m/>
    <m/>
    <m/>
    <m/>
    <m/>
    <m/>
    <m/>
    <m/>
    <m/>
    <m/>
    <m/>
    <m/>
    <m/>
    <m/>
    <m/>
    <m/>
    <s v=""/>
    <m/>
    <n v="9361.19"/>
    <m/>
    <m/>
    <m/>
    <m/>
    <m/>
    <m/>
    <m/>
    <m/>
    <m/>
    <m/>
    <m/>
    <n v="25666"/>
    <m/>
    <m/>
    <m/>
  </r>
  <r>
    <m/>
    <x v="17"/>
    <m/>
    <n v="5314"/>
    <n v="1"/>
    <s v="USC24C003"/>
    <m/>
    <s v="Main Tool Interconnection"/>
    <m/>
    <s v="MtM Server Interconnection-KPMI03"/>
    <m/>
    <n v="1"/>
    <m/>
    <n v="12318"/>
    <m/>
    <m/>
    <m/>
    <n v="12318"/>
    <n v="12318"/>
    <m/>
    <d v="2023-05-22T00:00:00"/>
    <m/>
    <s v="40% by PO issued to subcontractor, 60% upon completion of each tool.  Net 30 Days"/>
    <n v="12318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n v="12318"/>
    <m/>
    <m/>
    <m/>
    <m/>
    <m/>
    <m/>
    <m/>
    <m/>
    <m/>
    <n v="12318"/>
    <m/>
    <m/>
    <m/>
  </r>
  <r>
    <s v="Travis Hand"/>
    <x v="17"/>
    <m/>
    <n v="5871"/>
    <m/>
    <s v="USC24C003"/>
    <m/>
    <s v="Main Tool Interconnection"/>
    <m/>
    <s v="Lasertec Interconnection-KPMI04 "/>
    <m/>
    <n v="1"/>
    <m/>
    <n v="12318"/>
    <m/>
    <m/>
    <m/>
    <n v="12318"/>
    <n v="12318"/>
    <m/>
    <s v="01/23/2024"/>
    <m/>
    <m/>
    <n v="12318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n v="12318"/>
    <m/>
    <m/>
    <m/>
    <m/>
    <m/>
    <m/>
    <m/>
    <m/>
    <m/>
    <n v="12318"/>
    <m/>
    <m/>
    <m/>
  </r>
  <r>
    <m/>
    <x v="17"/>
    <m/>
    <n v="5990"/>
    <n v="1"/>
    <s v="USC24C003"/>
    <m/>
    <s v="Main Tool Interconnection"/>
    <m/>
    <s v="Lasertec Interconnection-KPMI03 (additional cable)"/>
    <m/>
    <n v="1"/>
    <m/>
    <n v="1987.2"/>
    <m/>
    <m/>
    <m/>
    <n v="1987.2"/>
    <n v="1987.2"/>
    <m/>
    <s v="03/01/2024"/>
    <m/>
    <s v="Within 30 days Due net"/>
    <n v="0"/>
    <n v="0"/>
    <n v="1987.2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s v="Tony L/ Kurt/ Justin/ Kevin"/>
    <x v="18"/>
    <m/>
    <n v="6600012791"/>
    <n v="1"/>
    <s v="USC23C016"/>
    <s v="F21P1 Mattson Interconnection"/>
    <s v="Main Tool Interconnection"/>
    <s v="KDRIM2"/>
    <s v="MATTSON CABLE INTERCONNECTION"/>
    <m/>
    <n v="1"/>
    <m/>
    <n v="9424"/>
    <m/>
    <m/>
    <m/>
    <n v="9424"/>
    <n v="9424"/>
    <m/>
    <m/>
    <m/>
    <m/>
    <n v="9424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9424"/>
    <m/>
    <m/>
    <m/>
    <m/>
    <m/>
    <m/>
    <m/>
    <m/>
    <m/>
    <m/>
    <m/>
    <n v="9424"/>
    <m/>
    <m/>
    <m/>
  </r>
  <r>
    <s v="Tony L/ Kurt/ Justin/ Kevin"/>
    <x v="18"/>
    <m/>
    <s v="6600012790_001"/>
    <n v="1"/>
    <s v="USC23C016"/>
    <s v="F21P1 Mattson Interconnection"/>
    <s v="Main Tool Interconnection"/>
    <s v="KEPRM6"/>
    <s v="MATTSON CABLE INTERCONNECTION"/>
    <m/>
    <n v="1"/>
    <m/>
    <n v="864"/>
    <m/>
    <m/>
    <m/>
    <n v="864"/>
    <n v="864"/>
    <m/>
    <m/>
    <m/>
    <m/>
    <n v="0"/>
    <n v="0"/>
    <n v="864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s v="Tony L/ Kurt/ Justin/ Kevin"/>
    <x v="18"/>
    <m/>
    <s v="6600012790_002"/>
    <n v="2"/>
    <s v="USC23C016"/>
    <s v="F21P1 Mattson Interconnection"/>
    <s v="Main Tool Interconnection"/>
    <s v="KEPRM7"/>
    <s v="MATTSON CABLE INTERCONNECTION"/>
    <m/>
    <n v="1"/>
    <m/>
    <n v="864"/>
    <m/>
    <m/>
    <m/>
    <n v="864"/>
    <n v="864"/>
    <m/>
    <m/>
    <m/>
    <m/>
    <n v="0"/>
    <n v="0"/>
    <n v="864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s v="Tony L/ Kurt/ Justin/ Kevin"/>
    <x v="18"/>
    <m/>
    <s v="6600012790_003"/>
    <n v="3"/>
    <s v="USC23C016"/>
    <s v="F21P1 Mattson Interconnection"/>
    <s v="Main Tool Interconnection"/>
    <s v="KEPRM8"/>
    <s v="MATTSON CABLE INTERCONNECTION"/>
    <m/>
    <n v="1"/>
    <m/>
    <n v="864"/>
    <m/>
    <m/>
    <m/>
    <n v="864"/>
    <n v="864"/>
    <m/>
    <m/>
    <m/>
    <m/>
    <n v="0"/>
    <n v="0"/>
    <n v="864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s v="Tony L/ Kurt/ Justin/ Kevin"/>
    <x v="18"/>
    <m/>
    <s v="6600012790_004"/>
    <n v="4"/>
    <s v="USC23C016"/>
    <s v="F21P1 Mattson Interconnection"/>
    <s v="Main Tool Interconnection"/>
    <s v="KEPRM9"/>
    <s v="MATTSON CABLE INTERCONNECTION"/>
    <m/>
    <n v="1"/>
    <m/>
    <n v="864"/>
    <m/>
    <m/>
    <m/>
    <n v="864"/>
    <n v="864"/>
    <m/>
    <m/>
    <m/>
    <m/>
    <n v="0"/>
    <n v="0"/>
    <n v="864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s v="Tony L/ Kurt/ Justin/ Kevin"/>
    <x v="18"/>
    <m/>
    <s v="6600012790_005"/>
    <n v="5"/>
    <s v="USC23C016"/>
    <s v="F21P1 Mattson Interconnection"/>
    <s v="Main Tool Interconnection"/>
    <s v="KEPRMA"/>
    <s v="MATTSON CABLE INTERCONNECTION"/>
    <m/>
    <n v="1"/>
    <m/>
    <n v="864"/>
    <m/>
    <m/>
    <m/>
    <n v="864"/>
    <n v="864"/>
    <m/>
    <m/>
    <m/>
    <m/>
    <n v="0"/>
    <n v="0"/>
    <n v="864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s v="Tony L/ Kurt/ Justin/ Kevin"/>
    <x v="18"/>
    <m/>
    <s v="6600012790_006"/>
    <n v="6"/>
    <s v="USC23C016"/>
    <s v="F21P1 Mattson Interconnection"/>
    <s v="Main Tool Interconnection"/>
    <s v="KEPRMC"/>
    <s v="MATTSON CABLE INTERCONNECTION"/>
    <m/>
    <n v="1"/>
    <m/>
    <n v="864"/>
    <m/>
    <m/>
    <m/>
    <n v="864"/>
    <n v="864"/>
    <m/>
    <m/>
    <m/>
    <m/>
    <n v="0"/>
    <n v="0"/>
    <n v="864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s v="Tony L/ Kurt/ Justin/ Kevin"/>
    <x v="18"/>
    <m/>
    <s v="6600012790_007"/>
    <n v="7"/>
    <s v="USC23C016"/>
    <s v="F21P1 Mattson Interconnection"/>
    <s v="Main Tool Interconnection"/>
    <s v="KEPRME"/>
    <s v="MATTSON CABLE INTERCONNECTION"/>
    <m/>
    <n v="1"/>
    <m/>
    <n v="864"/>
    <m/>
    <m/>
    <m/>
    <n v="864"/>
    <n v="864"/>
    <m/>
    <m/>
    <m/>
    <m/>
    <n v="0"/>
    <n v="0"/>
    <n v="864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s v="Tony L/ Kurt/ Justin/ Kevin"/>
    <x v="18"/>
    <m/>
    <s v="6600012912_001"/>
    <n v="1"/>
    <s v="USC23C016"/>
    <s v="F21P1 Mattson Interconnection"/>
    <s v="Main Tool Interconnection"/>
    <m/>
    <s v="MATTSON CABLE INTERCONNECTION"/>
    <m/>
    <n v="1"/>
    <m/>
    <n v="9424"/>
    <m/>
    <m/>
    <m/>
    <n v="9424"/>
    <n v="9424"/>
    <m/>
    <m/>
    <m/>
    <m/>
    <n v="0"/>
    <n v="0"/>
    <n v="9424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s v="Tony L/ Kurt/ Justin/ Kevin"/>
    <x v="18"/>
    <m/>
    <s v="6600012912_002"/>
    <n v="2"/>
    <s v="USC23C016"/>
    <s v="F21P1 Mattson Interconnection"/>
    <s v="Main Tool Interconnection"/>
    <s v="KDRIM1"/>
    <s v="MATTSON CABLE INTERCONNECTION"/>
    <m/>
    <n v="1"/>
    <m/>
    <n v="9424"/>
    <m/>
    <m/>
    <m/>
    <n v="9424"/>
    <n v="9424"/>
    <m/>
    <m/>
    <m/>
    <m/>
    <n v="9424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9424"/>
    <m/>
    <m/>
    <m/>
    <m/>
    <m/>
    <m/>
    <m/>
    <m/>
    <m/>
    <m/>
    <m/>
    <n v="9424"/>
    <m/>
    <m/>
    <m/>
  </r>
  <r>
    <s v="Travis Hand"/>
    <x v="19"/>
    <m/>
    <n v="23002672"/>
    <n v="1"/>
    <s v="USC24C009"/>
    <m/>
    <s v="Main Tool Interconnection"/>
    <m/>
    <s v="NOVA Interconnection Tool (XPS)"/>
    <m/>
    <n v="1"/>
    <m/>
    <m/>
    <m/>
    <m/>
    <m/>
    <n v="4130.03"/>
    <n v="4130.03"/>
    <n v="46.59"/>
    <m/>
    <m/>
    <m/>
    <n v="4130.03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n v="4130.03"/>
    <n v="46.59"/>
    <m/>
    <m/>
    <m/>
    <m/>
    <m/>
    <m/>
    <m/>
    <m/>
    <n v="4130.03"/>
    <m/>
    <m/>
    <m/>
  </r>
  <r>
    <s v="Travis Hand"/>
    <x v="19"/>
    <m/>
    <n v="1120014007"/>
    <n v="1"/>
    <s v="USC24C009"/>
    <m/>
    <s v="Main Tool Interconnection"/>
    <m/>
    <s v="NOVA Interconnection Tool (Double) KUECN4"/>
    <m/>
    <n v="1"/>
    <m/>
    <n v="10870.4"/>
    <m/>
    <m/>
    <m/>
    <n v="10870.4"/>
    <n v="10870.4"/>
    <m/>
    <s v="01/29/2024"/>
    <m/>
    <m/>
    <n v="0"/>
    <n v="0"/>
    <n v="10870.4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s v="Travis Hand"/>
    <x v="19"/>
    <m/>
    <n v="1120014152"/>
    <n v="1"/>
    <s v="USC24C009"/>
    <m/>
    <s v="Main Tool Interconnection"/>
    <m/>
    <s v="NOVA Tool Interconnection (Double) KUECN7 "/>
    <m/>
    <n v="1"/>
    <m/>
    <n v="10870.4"/>
    <m/>
    <m/>
    <m/>
    <n v="10870.4"/>
    <n v="10870.4"/>
    <m/>
    <s v="02/15/2024"/>
    <m/>
    <m/>
    <n v="0"/>
    <n v="0"/>
    <n v="10870.4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s v="Travis Hand"/>
    <x v="19"/>
    <m/>
    <n v="1120014153"/>
    <n v="1"/>
    <s v="USC24C009"/>
    <m/>
    <s v="Main Tool Interconnection"/>
    <m/>
    <s v="NOVA Tool Interconnection (Double) KUECN5"/>
    <m/>
    <n v="1"/>
    <m/>
    <n v="10870.4"/>
    <m/>
    <m/>
    <m/>
    <n v="10870.4"/>
    <n v="10870.4"/>
    <m/>
    <s v="02/15/2024"/>
    <m/>
    <m/>
    <n v="0"/>
    <n v="0"/>
    <n v="10870.4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s v="Travis Hand"/>
    <x v="19"/>
    <m/>
    <n v="1120014154"/>
    <n v="1"/>
    <s v="USC24C009"/>
    <m/>
    <s v="Main Tool Interconnection"/>
    <m/>
    <s v="NOVA Tool Interconnection (Double) KUECN6"/>
    <m/>
    <n v="1"/>
    <m/>
    <n v="10870.4"/>
    <m/>
    <m/>
    <m/>
    <n v="10870.4"/>
    <n v="10870.4"/>
    <m/>
    <s v="02/15/2024"/>
    <m/>
    <m/>
    <n v="0"/>
    <n v="0"/>
    <n v="10870.4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s v="Travis Hand"/>
    <x v="19"/>
    <s v="Tim Ku"/>
    <n v="1120015431"/>
    <n v="1"/>
    <s v="USC24C009"/>
    <m/>
    <s v="Main Tool Interconnection"/>
    <m/>
    <s v="NOVA Double tool Pressure Test and additional PFA &amp; PVC lines"/>
    <m/>
    <n v="1"/>
    <m/>
    <n v="12410.49"/>
    <m/>
    <m/>
    <m/>
    <n v="12410.49"/>
    <n v="12410.49"/>
    <m/>
    <d v="2024-06-24T00:00:00"/>
    <m/>
    <s v="40% Vorkasse, 60% Netto 30 Tage"/>
    <n v="0"/>
    <n v="0"/>
    <n v="12410.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</r>
  <r>
    <s v="Kurt/ Joe"/>
    <x v="20"/>
    <m/>
    <n v="7102091"/>
    <n v="1"/>
    <s v="USC23C026"/>
    <m/>
    <s v="Main Tool Interconnection"/>
    <m/>
    <s v="Shibaura Tool Interconnection_CO"/>
    <m/>
    <n v="1"/>
    <m/>
    <n v="5186.45"/>
    <m/>
    <m/>
    <m/>
    <n v="5186.45"/>
    <n v="5186.45"/>
    <m/>
    <m/>
    <m/>
    <s v="Net 30 days"/>
    <n v="0"/>
    <n v="0"/>
    <n v="5186.45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s v="Tony Lee"/>
    <x v="20"/>
    <m/>
    <n v="7102116"/>
    <m/>
    <s v="USC23C026"/>
    <m/>
    <s v="Main Tool Interconnection"/>
    <m/>
    <s v="Change order for KDSNB1 KFP1 cable pull"/>
    <m/>
    <n v="1"/>
    <m/>
    <n v="4172.92"/>
    <m/>
    <m/>
    <m/>
    <n v="4172.92"/>
    <n v="4172.92"/>
    <m/>
    <s v="01/29/2024"/>
    <m/>
    <m/>
    <n v="0"/>
    <n v="0"/>
    <n v="4172.92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s v="Tony L/ Kurt/ Justin/ Kevin"/>
    <x v="20"/>
    <m/>
    <s v="7102056_001"/>
    <n v="1"/>
    <s v="USC23C026"/>
    <m/>
    <s v="Main Tool Interconnection"/>
    <s v="KDSNB2"/>
    <s v="Shibaura Tool Interconnection(GX3)"/>
    <m/>
    <n v="1"/>
    <m/>
    <n v="55341"/>
    <m/>
    <m/>
    <m/>
    <n v="55341"/>
    <n v="55341"/>
    <m/>
    <m/>
    <m/>
    <m/>
    <n v="55341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n v="55341"/>
    <m/>
    <m/>
    <m/>
    <m/>
    <m/>
    <m/>
    <m/>
    <m/>
    <m/>
    <m/>
    <m/>
    <n v="55341"/>
    <m/>
    <m/>
    <m/>
  </r>
  <r>
    <s v="Tony L/ Kurt/ Justin/ Kevin"/>
    <x v="20"/>
    <m/>
    <s v="7102056_002"/>
    <n v="2"/>
    <s v="USC23C026"/>
    <m/>
    <s v="Main Tool Interconnection"/>
    <s v="KDSNB4"/>
    <s v="Shibaura Tool Interconnection(GX3)"/>
    <m/>
    <n v="1"/>
    <m/>
    <n v="55341"/>
    <m/>
    <m/>
    <m/>
    <n v="55341"/>
    <n v="55341"/>
    <m/>
    <m/>
    <m/>
    <m/>
    <n v="0"/>
    <n v="0"/>
    <n v="55341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s v="Tony L/ Kurt/ Justin/ Kevin"/>
    <x v="20"/>
    <m/>
    <s v="7102056_003"/>
    <n v="3"/>
    <s v="USC23C026"/>
    <m/>
    <s v="Main Tool Interconnection"/>
    <s v="KDSNB1"/>
    <s v="Shibaura Tool Interconnection(hti8)"/>
    <m/>
    <n v="1"/>
    <m/>
    <n v="65452"/>
    <m/>
    <m/>
    <m/>
    <n v="65452"/>
    <n v="65452"/>
    <m/>
    <m/>
    <m/>
    <m/>
    <n v="65452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n v="65452"/>
    <m/>
    <m/>
    <m/>
    <m/>
    <m/>
    <m/>
    <m/>
    <n v="0"/>
    <m/>
    <m/>
    <m/>
  </r>
  <r>
    <s v="Tony L/ Kurt/ Justin/ Kevin"/>
    <x v="20"/>
    <m/>
    <s v="7102056_004"/>
    <n v="4"/>
    <s v="USC23C026"/>
    <m/>
    <s v="Main Tool Interconnection"/>
    <s v="KDSNB3"/>
    <s v="Shibaura Tool Interconnection(hti8)"/>
    <m/>
    <n v="1"/>
    <m/>
    <n v="65452"/>
    <m/>
    <m/>
    <m/>
    <n v="65452"/>
    <n v="65452"/>
    <m/>
    <m/>
    <m/>
    <m/>
    <n v="0"/>
    <n v="0"/>
    <n v="65452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s v="Justin Steneck"/>
    <x v="20"/>
    <m/>
    <n v="7102095"/>
    <n v="1"/>
    <s v="USC23C026"/>
    <s v="F21P1 Shibatec Interconnection"/>
    <s v="Main Tool Interconnection"/>
    <s v="KDSNB2"/>
    <s v="Change order for KDSNB2"/>
    <m/>
    <n v="1"/>
    <m/>
    <n v="6483.06"/>
    <m/>
    <m/>
    <m/>
    <n v="6483.06"/>
    <n v="6483.06"/>
    <m/>
    <s v="9/20/2023"/>
    <m/>
    <s v=" Net 30 days "/>
    <n v="0"/>
    <n v="0"/>
    <n v="6483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</r>
  <r>
    <s v="Travis Hand"/>
    <x v="21"/>
    <m/>
    <n v="24004"/>
    <m/>
    <s v="預計新建立專案"/>
    <m/>
    <s v="Main Tool Interconnection"/>
    <m/>
    <s v="Chiller move-in and hose routing"/>
    <m/>
    <n v="1"/>
    <m/>
    <n v="14782.6"/>
    <m/>
    <m/>
    <m/>
    <n v="14782.6"/>
    <n v="14782.6"/>
    <m/>
    <s v="02/01/2024"/>
    <m/>
    <m/>
    <n v="14000"/>
    <n v="0.94705938062316508"/>
    <n v="782.60000000000036"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n v="14000"/>
    <m/>
    <m/>
    <m/>
    <m/>
    <m/>
    <m/>
    <m/>
    <m/>
    <m/>
    <n v="14000"/>
    <m/>
    <m/>
    <m/>
  </r>
  <r>
    <s v="Tony L/ Kurt/ Justin/ Kevin"/>
    <x v="22"/>
    <m/>
    <s v="2023-0228-01"/>
    <n v="1"/>
    <s v="USC23C038"/>
    <m/>
    <s v="Main Tool Interconnection"/>
    <s v="KSHMU1"/>
    <s v="ULVAC ENTRON-EX W300 #1 Interconnection in tsmc Fab21 "/>
    <m/>
    <n v="1"/>
    <m/>
    <n v="73954"/>
    <m/>
    <m/>
    <m/>
    <n v="73954"/>
    <n v="73954"/>
    <m/>
    <m/>
    <m/>
    <m/>
    <n v="73954"/>
    <n v="1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n v="73954"/>
    <m/>
    <m/>
    <m/>
    <m/>
    <m/>
    <m/>
    <m/>
    <n v="0"/>
    <m/>
    <m/>
    <m/>
  </r>
  <r>
    <s v="Tony L/ Kurt/ Justin/ Kevin"/>
    <x v="22"/>
    <m/>
    <s v="2023-0228-02"/>
    <n v="2"/>
    <s v="USC23C038"/>
    <m/>
    <s v="Main Tool Interconnection"/>
    <s v="KSHMU2"/>
    <s v="ULVAC ENTRON-EX W300 #2 Interconnection in tsmc Fab21 "/>
    <m/>
    <n v="1"/>
    <m/>
    <n v="73954"/>
    <m/>
    <m/>
    <m/>
    <n v="73954"/>
    <n v="73954"/>
    <m/>
    <m/>
    <m/>
    <m/>
    <n v="0"/>
    <n v="0"/>
    <n v="73954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s v="Tony L/ Kurt/ Justin/ Kevin"/>
    <x v="22"/>
    <m/>
    <s v="2023-0228-03"/>
    <n v="3"/>
    <s v="USC23C038"/>
    <m/>
    <s v="Main Tool Interconnection"/>
    <s v="KSHMU3"/>
    <s v="ULVAC ENTRON-EX W300 #3 Interconnection in tsmc Fab21 "/>
    <m/>
    <n v="1"/>
    <m/>
    <n v="65503"/>
    <m/>
    <m/>
    <m/>
    <n v="65503"/>
    <n v="65503"/>
    <m/>
    <m/>
    <m/>
    <m/>
    <n v="0"/>
    <n v="0"/>
    <n v="65503"/>
    <m/>
    <m/>
    <n v="0"/>
    <m/>
    <m/>
    <m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n v="0"/>
    <m/>
    <m/>
    <m/>
  </r>
  <r>
    <m/>
    <x v="0"/>
    <m/>
    <n v="4400871907"/>
    <n v="1"/>
    <s v="USC23C036"/>
    <m/>
    <s v="Main Tool Interconnection"/>
    <m/>
    <s v="AMAT-TSMC F21P1B September 2024 Tools"/>
    <m/>
    <n v="1"/>
    <m/>
    <n v="1223889.21"/>
    <m/>
    <m/>
    <m/>
    <n v="1223889.21"/>
    <n v="1223889.21"/>
    <m/>
    <s v="05/22/2024"/>
    <m/>
    <s v="Within 30 days Due net"/>
    <n v="470709.9"/>
    <n v="0.38460172387662445"/>
    <n v="753179.30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0709.9"/>
    <m/>
    <m/>
    <m/>
    <m/>
    <n v="23832.52"/>
    <n v="0"/>
    <m/>
    <m/>
    <m/>
  </r>
  <r>
    <m/>
    <x v="0"/>
    <m/>
    <n v="4400876005"/>
    <n v="1"/>
    <s v="USC23C036"/>
    <m/>
    <s v="Main Tool Interconnection"/>
    <m/>
    <s v="AMAT TSMC F21P1B November 2024 Tools"/>
    <m/>
    <n v="1"/>
    <m/>
    <n v="1529891"/>
    <m/>
    <m/>
    <m/>
    <n v="1529891"/>
    <n v="1529891"/>
    <m/>
    <s v="06/08/2024"/>
    <m/>
    <s v="Within 30 days Due net"/>
    <n v="581732.66"/>
    <n v="0.38024451415166183"/>
    <n v="948158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1732.66"/>
    <m/>
    <m/>
    <m/>
    <m/>
    <m/>
    <n v="0"/>
    <m/>
    <m/>
    <m/>
  </r>
  <r>
    <m/>
    <x v="0"/>
    <m/>
    <n v="4400876065"/>
    <n v="1"/>
    <s v="USC23C036"/>
    <m/>
    <s v="Main Tool Interconnection"/>
    <m/>
    <s v="AMAT TSMC F21P1B October 2024 Tools"/>
    <m/>
    <n v="1"/>
    <m/>
    <n v="1288473.42"/>
    <m/>
    <m/>
    <m/>
    <n v="1288473.42"/>
    <n v="1288473.42"/>
    <m/>
    <s v="06/08/2024"/>
    <m/>
    <s v="Within 30 days Due net"/>
    <n v="494640.73"/>
    <n v="0.38389672795888952"/>
    <n v="793832.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4640.73"/>
    <m/>
    <m/>
    <m/>
    <m/>
    <m/>
    <n v="0"/>
    <m/>
    <m/>
    <m/>
  </r>
  <r>
    <m/>
    <x v="0"/>
    <m/>
    <n v="4400876069"/>
    <n v="1"/>
    <s v="USC23C036"/>
    <m/>
    <s v="Main Tool Interconnection"/>
    <m/>
    <s v="AMAT TSMC F21P1B December 2024 Tools"/>
    <m/>
    <n v="1"/>
    <m/>
    <n v="1492708.72"/>
    <m/>
    <m/>
    <m/>
    <n v="1492708.72"/>
    <n v="1492708.72"/>
    <m/>
    <s v="06/08/2024"/>
    <m/>
    <s v="Within 30 days Due net"/>
    <n v="567063.93999999994"/>
    <n v="0.37988921241111256"/>
    <n v="925644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7063.93999999994"/>
    <m/>
    <m/>
    <m/>
    <m/>
    <m/>
    <n v="0"/>
    <m/>
    <m/>
    <m/>
  </r>
  <r>
    <s v="Justin Steneck"/>
    <x v="0"/>
    <s v="brian_halverson@amat.com"/>
    <n v="4400877228"/>
    <n v="1"/>
    <s v="USC23C036"/>
    <s v="F21P1 AMAT Interconnection"/>
    <s v="Main Tool Interconnection"/>
    <m/>
    <s v="AMAT TSMC F21P1B January Tools"/>
    <m/>
    <n v="1"/>
    <m/>
    <n v="1549584.78"/>
    <m/>
    <m/>
    <m/>
    <n v="1549584.78"/>
    <n v="1549584.78"/>
    <m/>
    <s v="06/11/2024"/>
    <m/>
    <s v="Within 30 days Due net"/>
    <n v="596043.64"/>
    <n v="0.3846473246852618"/>
    <n v="953541.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6043.64"/>
    <m/>
    <m/>
    <m/>
    <m/>
    <m/>
    <n v="0"/>
    <m/>
    <m/>
    <m/>
  </r>
  <r>
    <s v="Justin Steneck"/>
    <x v="0"/>
    <s v="brian_halverson@amat.com"/>
    <n v="4400877286"/>
    <n v="1"/>
    <s v="USC23C036"/>
    <s v="F21P1 AMAT Interconnection"/>
    <s v="Main Tool Interconnection"/>
    <m/>
    <s v="AMAT TSMC F21P1B February Tools"/>
    <m/>
    <n v="1"/>
    <m/>
    <n v="622563.15"/>
    <m/>
    <m/>
    <m/>
    <n v="622563.15"/>
    <n v="622563.15"/>
    <m/>
    <d v="2024-06-11T00:00:00"/>
    <m/>
    <s v="Within 30 days Due net"/>
    <n v="239354.15"/>
    <n v="0.38446565621495582"/>
    <n v="383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354.15"/>
    <m/>
    <m/>
    <m/>
    <m/>
    <m/>
    <n v="0"/>
    <m/>
    <m/>
    <m/>
  </r>
  <r>
    <s v="Travis Hand"/>
    <x v="14"/>
    <m/>
    <n v="21999844"/>
    <n v="1"/>
    <s v="USC23C021"/>
    <s v="F21P1 KLA Interconnection"/>
    <s v="Main Tool Interconnection"/>
    <m/>
    <s v="KKDB02 2965 change exhaust pipe"/>
    <m/>
    <n v="1"/>
    <m/>
    <n v="21128.799999999999"/>
    <m/>
    <m/>
    <m/>
    <n v="21128.799999999999"/>
    <n v="21128.799999999999"/>
    <m/>
    <s v="5/29/2024"/>
    <m/>
    <s v="NET 0"/>
    <n v="0"/>
    <n v="0"/>
    <n v="21128.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</r>
  <r>
    <s v="Travis Hand"/>
    <x v="3"/>
    <m/>
    <n v="2923149"/>
    <n v="1"/>
    <s v="Expect to add in USC23C046"/>
    <m/>
    <s v="Main Tool Interconnection"/>
    <m/>
    <s v="ADDITIONAL WORK HOURS AT TSMC FOR ATS AZ"/>
    <m/>
    <n v="1"/>
    <m/>
    <n v="15345"/>
    <m/>
    <m/>
    <m/>
    <n v="15345"/>
    <n v="15345"/>
    <m/>
    <s v="07/29/2024"/>
    <m/>
    <s v="Net 45"/>
    <n v="0"/>
    <n v="0"/>
    <n v="15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345"/>
    <m/>
    <m/>
    <m/>
    <m/>
    <n v="0"/>
    <m/>
    <m/>
    <m/>
  </r>
  <r>
    <s v="Tony Lee"/>
    <x v="0"/>
    <m/>
    <n v="4400891729"/>
    <n v="1"/>
    <s v="USC23C036"/>
    <m/>
    <s v="Main Tool Interconnection"/>
    <m/>
    <s v="KCEPA2 Additional Cables and Labvor"/>
    <m/>
    <n v="1"/>
    <m/>
    <n v="9419.42"/>
    <m/>
    <m/>
    <m/>
    <n v="9419.42"/>
    <n v="9419.42"/>
    <m/>
    <s v="07/30/2024"/>
    <m/>
    <s v="Within 30 days Due net"/>
    <n v="9419.42"/>
    <n v="1"/>
    <n v="0"/>
    <m/>
    <m/>
    <m/>
    <n v="9419.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19.42"/>
    <m/>
    <m/>
    <m/>
  </r>
  <r>
    <s v="Justin Steneck"/>
    <x v="16"/>
    <s v="Ted.Caramberis@lamresearch.com"/>
    <n v="4800121768"/>
    <m/>
    <m/>
    <m/>
    <s v="Main Tool Interconnection"/>
    <m/>
    <s v="HCD Drains CO"/>
    <m/>
    <n v="1"/>
    <m/>
    <n v="24084.65"/>
    <m/>
    <m/>
    <m/>
    <n v="24084.65"/>
    <n v="24084.65"/>
    <m/>
    <s v="08/21/2024"/>
    <m/>
    <s v="Net 30 days"/>
    <n v="0"/>
    <n v="0"/>
    <n v="24084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6">
  <r>
    <x v="0"/>
    <s v="Non-TSMC"/>
    <m/>
    <m/>
    <s v="Cheng-Chi Yeh"/>
    <m/>
    <x v="0"/>
    <x v="0"/>
    <s v="USC22L002"/>
    <s v="Diaphragm Valve"/>
    <n v="179319.7"/>
    <m/>
    <m/>
    <m/>
    <m/>
    <n v="179319.7"/>
    <n v="179319.7"/>
    <n v="179319.7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93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0"/>
    <s v="Non-TSMC"/>
    <m/>
    <m/>
    <s v="Elaine Ma"/>
    <m/>
    <x v="1"/>
    <x v="1"/>
    <s v="USC22C003"/>
    <s v="TSMC Fiber Optic Electrical to CUP"/>
    <n v="85382"/>
    <m/>
    <s v="1/8/2024"/>
    <m/>
    <s v="100% by progress, T/T 35 days"/>
    <n v="85382"/>
    <n v="0"/>
    <n v="42691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38.2000000000007"/>
    <m/>
    <n v="0"/>
    <n v="0"/>
    <n v="0"/>
    <n v="0"/>
    <n v="34152.800000000003"/>
    <n v="0"/>
    <n v="42691"/>
    <n v="0"/>
    <n v="42691"/>
    <n v="0"/>
  </r>
  <r>
    <x v="1"/>
    <s v="Non-TSMC"/>
    <m/>
    <m/>
    <s v="Elaine Ma"/>
    <s v="Sam Yan"/>
    <x v="1"/>
    <x v="2"/>
    <s v="Expect to add in USC22C003"/>
    <s v="TSMC Diesel Pump Power Circuit Relocate(Option#2)"/>
    <n v="35911.699999999997"/>
    <m/>
    <s v="08/07/2024"/>
    <m/>
    <s v="100% by progress, T/T 35 days "/>
    <n v="35911.699999999997"/>
    <n v="0"/>
    <n v="35911.699999999997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5911.699999999997"/>
    <n v="0"/>
    <n v="0"/>
    <n v="0"/>
  </r>
  <r>
    <x v="1"/>
    <s v="Non-TSMC"/>
    <m/>
    <m/>
    <s v="Elaine Ma"/>
    <s v="Sam Yan"/>
    <x v="1"/>
    <x v="3"/>
    <s v="Expect to add in USC22C003"/>
    <s v="CUP Fiber termination, installation and testing report project"/>
    <n v="5830"/>
    <m/>
    <s v="08/07/2024"/>
    <m/>
    <s v="100% by progress, T/T 35 days "/>
    <n v="5538.5"/>
    <n v="0"/>
    <n v="5538.5"/>
    <n v="0.95"/>
    <n v="29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538.5"/>
    <n v="0"/>
    <n v="0"/>
    <n v="0"/>
  </r>
  <r>
    <x v="1"/>
    <s v="新工"/>
    <m/>
    <s v="Low Voltage"/>
    <s v="Paul Hsu"/>
    <s v="Johnny Yang"/>
    <x v="2"/>
    <x v="4"/>
    <s v="USC21C001"/>
    <s v="AZ temp office CCTV and metal gate"/>
    <n v="110660.61"/>
    <s v="Excluded"/>
    <d v="2021-01-29T00:00:00"/>
    <s v="T9 $5,760.67"/>
    <s v="APB2:Pay on 28 next month: 90% on prog, 10 acpt"/>
    <n v="85997.169999999984"/>
    <n v="85997.169999999984"/>
    <n v="85997.169999999984"/>
    <n v="0.77712539267585801"/>
    <n v="24663.440000000017"/>
    <n v="69931.929999999993"/>
    <n v="2329.4"/>
    <n v="0"/>
    <m/>
    <n v="13735.84"/>
    <n v="1178.51"/>
    <n v="2329.4"/>
    <n v="200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1"/>
    <s v="新工"/>
    <m/>
    <m/>
    <s v="NA"/>
    <s v="Debby"/>
    <x v="2"/>
    <x v="5"/>
    <s v="USC21C002"/>
    <s v="AZ Temp Office Access Control System/Sp"/>
    <n v="145958.39999999999"/>
    <s v="Included"/>
    <d v="2021-06-03T00:00:00"/>
    <s v="U9"/>
    <s v="APB2:Pay on 28 next month: 90% on prog, 10 acpt"/>
    <n v="145958.40000000005"/>
    <n v="145958.40000000005"/>
    <n v="145958.40000000005"/>
    <n v="1.0000000000000004"/>
    <n v="0"/>
    <n v="12163.2"/>
    <m/>
    <n v="6081.6"/>
    <m/>
    <n v="6081.6"/>
    <m/>
    <n v="6081.6"/>
    <m/>
    <n v="6081.6"/>
    <m/>
    <m/>
    <m/>
    <n v="6081.6"/>
    <m/>
    <n v="6081.6"/>
    <m/>
    <n v="6081.6"/>
    <m/>
    <n v="6081.6"/>
    <m/>
    <n v="6081.6"/>
    <m/>
    <n v="6081.6"/>
    <m/>
    <n v="6081.6"/>
    <m/>
    <n v="6081.6"/>
    <m/>
    <n v="6081.6"/>
    <m/>
    <n v="6081.6"/>
    <m/>
    <n v="6081.6"/>
    <m/>
    <n v="6081.6"/>
    <m/>
    <n v="6081.6"/>
    <m/>
    <n v="6081.6"/>
    <m/>
    <n v="6081.6"/>
    <m/>
    <n v="18244.8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1"/>
    <s v="新工"/>
    <m/>
    <s v="UPW"/>
    <s v="Emon"/>
    <s v="Emon/Chihhao"/>
    <x v="3"/>
    <x v="6"/>
    <s v="USC21C003"/>
    <s v="F21P1 UPW"/>
    <n v="156300000"/>
    <s v="Exempted"/>
    <d v="2021-07-01T00:00:00"/>
    <s v="T0"/>
    <s v="PU53:95% on progress,5% 1 month after acceptance"/>
    <n v="136620731"/>
    <n v="123536555"/>
    <n v="136620731"/>
    <n v="0.87409296865003194"/>
    <n v="19679269"/>
    <m/>
    <m/>
    <n v="6276241"/>
    <m/>
    <m/>
    <m/>
    <n v="5065513"/>
    <m/>
    <n v="1487521"/>
    <m/>
    <n v="379647"/>
    <m/>
    <n v="4036610"/>
    <m/>
    <n v="516878"/>
    <m/>
    <n v="317828"/>
    <m/>
    <n v="7096144"/>
    <m/>
    <n v="2987853"/>
    <m/>
    <n v="7837545"/>
    <m/>
    <n v="4616732.9999999991"/>
    <m/>
    <n v="5550939.0000000009"/>
    <m/>
    <n v="4081209"/>
    <m/>
    <n v="11973093"/>
    <m/>
    <n v="8085514.0000000009"/>
    <m/>
    <n v="5626352"/>
    <m/>
    <n v="10066637"/>
    <m/>
    <n v="5047628.9999999991"/>
    <m/>
    <n v="3365898"/>
    <m/>
    <n v="4810770.9999999991"/>
    <m/>
    <n v="2863211"/>
    <m/>
    <n v="3367236"/>
    <m/>
    <n v="2303531"/>
    <m/>
    <n v="1479982"/>
    <m/>
    <n v="2215779"/>
    <m/>
    <n v="1432965"/>
    <m/>
    <n v="2266418"/>
    <m/>
    <n v="2162761"/>
    <m/>
    <n v="1783000"/>
    <m/>
    <n v="2158063"/>
    <m/>
    <n v="2277054"/>
    <m/>
    <n v="2753476"/>
    <m/>
    <n v="3367559"/>
    <n v="0"/>
    <n v="3932821"/>
    <n v="0"/>
    <n v="2398799"/>
    <n v="0"/>
    <n v="631521"/>
    <n v="0"/>
    <n v="710759"/>
    <n v="0"/>
  </r>
  <r>
    <x v="1"/>
    <s v="新工"/>
    <m/>
    <s v="WWT"/>
    <s v="Jim Chiang"/>
    <s v="Thomas"/>
    <x v="3"/>
    <x v="7"/>
    <s v="USC21C004"/>
    <s v="F21P1 WWT package (USA EQ - FRP tank)"/>
    <n v="6158273"/>
    <s v="Exempted"/>
    <d v="2021-07-14T00:00:00"/>
    <s v="T0"/>
    <s v="PU53:95% on progress,5% 1 month after acceptance"/>
    <n v="5841555"/>
    <n v="5806030"/>
    <n v="5841555"/>
    <n v="0.94857032158204091"/>
    <n v="316718"/>
    <m/>
    <m/>
    <n v="0"/>
    <m/>
    <n v="487307"/>
    <m/>
    <n v="495498"/>
    <m/>
    <n v="199596"/>
    <m/>
    <m/>
    <m/>
    <n v="128965"/>
    <m/>
    <n v="16562"/>
    <m/>
    <n v="179823"/>
    <m/>
    <n v="134233"/>
    <m/>
    <n v="321235"/>
    <m/>
    <n v="0"/>
    <m/>
    <n v="429331"/>
    <m/>
    <n v="96518"/>
    <m/>
    <n v="709523"/>
    <m/>
    <n v="554350"/>
    <m/>
    <n v="312613"/>
    <m/>
    <n v="828523"/>
    <m/>
    <m/>
    <m/>
    <n v="427572"/>
    <m/>
    <n v="25093"/>
    <m/>
    <m/>
    <m/>
    <n v="15442"/>
    <m/>
    <n v="406933"/>
    <m/>
    <n v="30038"/>
    <m/>
    <m/>
    <m/>
    <m/>
    <m/>
    <m/>
    <m/>
    <m/>
    <m/>
    <m/>
    <m/>
    <m/>
    <m/>
    <n v="6875"/>
    <m/>
    <m/>
    <m/>
    <m/>
    <m/>
    <n v="0"/>
    <n v="0"/>
    <n v="0"/>
    <n v="0"/>
    <n v="0"/>
    <n v="0"/>
    <n v="35525"/>
    <n v="0"/>
    <n v="0"/>
    <n v="0"/>
  </r>
  <r>
    <x v="1"/>
    <s v="新工"/>
    <m/>
    <s v="WWT"/>
    <s v="Shannon"/>
    <s v="Shannon"/>
    <x v="3"/>
    <x v="8"/>
    <s v="USC21C010"/>
    <s v="Water pipeline installation (size&gt;4&quot;)"/>
    <n v="5723522"/>
    <s v="Exempted"/>
    <d v="2021-09-01T00:00:00"/>
    <s v="T0"/>
    <s v="APB2:Pay on 28 next month: 90% on prog, 10 acpt"/>
    <n v="5723522"/>
    <n v="5432755"/>
    <n v="5723522"/>
    <n v="1"/>
    <n v="0"/>
    <m/>
    <m/>
    <n v="0"/>
    <m/>
    <n v="448439"/>
    <m/>
    <n v="872546"/>
    <m/>
    <n v="506260"/>
    <m/>
    <m/>
    <m/>
    <n v="1933308"/>
    <m/>
    <m/>
    <m/>
    <n v="1363400"/>
    <m/>
    <n v="308802"/>
    <m/>
    <m/>
    <m/>
    <m/>
    <m/>
    <m/>
    <m/>
    <m/>
    <m/>
    <m/>
    <m/>
    <m/>
    <m/>
    <m/>
    <m/>
    <m/>
    <m/>
    <s v=" "/>
    <m/>
    <m/>
    <m/>
    <m/>
    <m/>
    <m/>
    <m/>
    <m/>
    <m/>
    <m/>
    <m/>
    <m/>
    <m/>
    <m/>
    <m/>
    <m/>
    <m/>
    <m/>
    <m/>
    <m/>
    <m/>
    <m/>
    <m/>
    <m/>
    <m/>
    <m/>
    <m/>
    <m/>
    <m/>
    <n v="290757"/>
    <m/>
    <n v="10"/>
    <n v="0"/>
    <n v="0"/>
    <n v="0"/>
    <n v="0"/>
    <n v="0"/>
    <n v="0"/>
    <n v="0"/>
    <n v="0"/>
    <n v="0"/>
  </r>
  <r>
    <x v="1"/>
    <s v="新工"/>
    <m/>
    <s v="WWT"/>
    <s v="Shannon"/>
    <s v="Shannon"/>
    <x v="3"/>
    <x v="9"/>
    <s v="USC21C010"/>
    <s v="Water pipeline installation (size&lt;4&quot;)"/>
    <n v="776478"/>
    <s v="Excluded"/>
    <d v="2021-09-14T00:00:00"/>
    <s v="T5 $43,405.12"/>
    <s v="APB2:Pay on 28 next month: 90% on prog, 10 acpt"/>
    <n v="776478"/>
    <n v="711409"/>
    <n v="776478"/>
    <n v="1"/>
    <n v="0"/>
    <m/>
    <m/>
    <n v="0"/>
    <m/>
    <n v="42121"/>
    <n v="2355"/>
    <n v="69335"/>
    <n v="3876"/>
    <n v="220657"/>
    <n v="12335"/>
    <m/>
    <m/>
    <n v="67848"/>
    <n v="3793"/>
    <m/>
    <m/>
    <n v="170593"/>
    <n v="9536"/>
    <n v="140855"/>
    <n v="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69"/>
    <n v="3637"/>
    <n v="0"/>
    <n v="0"/>
    <n v="0"/>
    <n v="0"/>
    <n v="0"/>
    <n v="0"/>
    <n v="0"/>
    <n v="0"/>
    <n v="0"/>
    <n v="0"/>
  </r>
  <r>
    <x v="1"/>
    <s v="新工"/>
    <m/>
    <s v="Chemical"/>
    <s v="Steven Chiu"/>
    <s v="Herny"/>
    <x v="4"/>
    <x v="10"/>
    <s v="USC21C006"/>
    <s v="F21P1 Slurry package"/>
    <n v="38600000"/>
    <s v="Exempted"/>
    <d v="2021-09-16T00:00:00"/>
    <s v="T0"/>
    <s v="AP03:Pay in month end - 1 month after acceptance month"/>
    <n v="27085687"/>
    <n v="17590353"/>
    <n v="27085687"/>
    <n v="0.70170173575129535"/>
    <n v="11514313"/>
    <m/>
    <m/>
    <n v="0"/>
    <m/>
    <m/>
    <m/>
    <n v="2842182"/>
    <m/>
    <n v="615582"/>
    <m/>
    <m/>
    <m/>
    <m/>
    <m/>
    <m/>
    <m/>
    <m/>
    <m/>
    <n v="1814673"/>
    <m/>
    <m/>
    <m/>
    <n v="0"/>
    <m/>
    <n v="186997"/>
    <m/>
    <n v="429332"/>
    <m/>
    <n v="92956"/>
    <m/>
    <n v="368183"/>
    <m/>
    <n v="961562"/>
    <m/>
    <n v="448503"/>
    <m/>
    <n v="743804"/>
    <m/>
    <n v="1737663"/>
    <m/>
    <n v="1457780.0000000002"/>
    <m/>
    <n v="1205933"/>
    <m/>
    <n v="474955"/>
    <m/>
    <n v="305019"/>
    <m/>
    <n v="668418"/>
    <m/>
    <n v="682143"/>
    <m/>
    <n v="832221"/>
    <m/>
    <n v="356993"/>
    <m/>
    <n v="274002"/>
    <m/>
    <n v="594077"/>
    <m/>
    <m/>
    <m/>
    <n v="497375"/>
    <m/>
    <m/>
    <m/>
    <n v="254357"/>
    <m/>
    <n v="3716767"/>
    <n v="0"/>
    <n v="3216752"/>
    <n v="0"/>
    <n v="1138303"/>
    <n v="0"/>
    <n v="1169155"/>
    <n v="0"/>
    <n v="0"/>
    <n v="0"/>
  </r>
  <r>
    <x v="1"/>
    <s v="新工"/>
    <m/>
    <s v="WWT"/>
    <s v="Jim Chiang"/>
    <s v="Thomas/Grant/呂方仁"/>
    <x v="3"/>
    <x v="11"/>
    <s v="USC21C009"/>
    <s v="F21P1 WWT package (Installation and 2 batch tanks)"/>
    <n v="148422680"/>
    <s v="Exempted"/>
    <d v="2021-09-17T00:00:00"/>
    <s v="T0"/>
    <s v="APB2:Pay on 28 next month: 90% on prog, 10 acpt"/>
    <n v="130547468.38"/>
    <n v="108160436.72"/>
    <n v="130547468.38"/>
    <n v="0.87956549753716884"/>
    <n v="17875211.620000005"/>
    <m/>
    <m/>
    <n v="0"/>
    <m/>
    <m/>
    <m/>
    <n v="5659407.8700000001"/>
    <m/>
    <n v="3446491.85"/>
    <m/>
    <n v="2546942"/>
    <m/>
    <m/>
    <m/>
    <n v="3745119"/>
    <m/>
    <n v="429850"/>
    <m/>
    <n v="3061109"/>
    <m/>
    <n v="1239891"/>
    <m/>
    <n v="7300329"/>
    <m/>
    <n v="1611191"/>
    <m/>
    <n v="922329"/>
    <m/>
    <n v="8199264"/>
    <m/>
    <n v="6713178"/>
    <m/>
    <n v="9229107"/>
    <m/>
    <n v="2943530"/>
    <m/>
    <n v="9312377"/>
    <m/>
    <n v="9959442"/>
    <m/>
    <n v="4272044"/>
    <m/>
    <n v="3410516.0000000009"/>
    <m/>
    <n v="3130489"/>
    <m/>
    <n v="3274236"/>
    <m/>
    <n v="3191079"/>
    <m/>
    <n v="2642440"/>
    <m/>
    <n v="2532686"/>
    <m/>
    <n v="2117488"/>
    <m/>
    <n v="2076652"/>
    <m/>
    <n v="1879030"/>
    <m/>
    <n v="1296094"/>
    <m/>
    <n v="1385684"/>
    <m/>
    <n v="632441"/>
    <m/>
    <n v="3866171"/>
    <m/>
    <n v="10560920"/>
    <n v="0"/>
    <n v="4315186"/>
    <n v="0"/>
    <n v="962959.46"/>
    <n v="0"/>
    <n v="2681795.2000000002"/>
    <n v="0"/>
    <n v="2576237.15"/>
    <n v="0"/>
  </r>
  <r>
    <x v="1"/>
    <s v="新工"/>
    <m/>
    <s v="WWT"/>
    <s v="Jim Chiang"/>
    <s v="Jim"/>
    <x v="3"/>
    <x v="12"/>
    <s v="USC21C011"/>
    <s v="F21P1 TMAH package (USA EQ + Installation)"/>
    <n v="7309837"/>
    <s v="Exempted"/>
    <d v="2021-09-17T00:00:00"/>
    <s v="T0"/>
    <s v="PU53:95% on progress,5% 1 month after acceptance"/>
    <n v="6780900"/>
    <n v="6681569"/>
    <n v="6780900"/>
    <n v="0.9276403837732633"/>
    <n v="528937"/>
    <m/>
    <m/>
    <n v="0"/>
    <m/>
    <m/>
    <m/>
    <n v="72391"/>
    <m/>
    <m/>
    <m/>
    <n v="280642"/>
    <m/>
    <m/>
    <m/>
    <n v="290846"/>
    <m/>
    <m/>
    <m/>
    <m/>
    <m/>
    <m/>
    <m/>
    <n v="0"/>
    <m/>
    <n v="0"/>
    <m/>
    <n v="558808"/>
    <m/>
    <n v="324161.00000000006"/>
    <m/>
    <n v="505269"/>
    <m/>
    <n v="203422"/>
    <m/>
    <n v="511978"/>
    <m/>
    <n v="270268"/>
    <m/>
    <n v="72680"/>
    <m/>
    <n v="214996"/>
    <m/>
    <n v="85984"/>
    <m/>
    <n v="4875"/>
    <m/>
    <n v="1035087"/>
    <m/>
    <n v="47716"/>
    <m/>
    <n v="1069415"/>
    <m/>
    <n v="83419"/>
    <m/>
    <n v="153210"/>
    <m/>
    <n v="156441"/>
    <m/>
    <m/>
    <m/>
    <n v="311760"/>
    <m/>
    <n v="337419"/>
    <m/>
    <n v="90782"/>
    <m/>
    <m/>
    <m/>
    <n v="99331"/>
    <n v="0"/>
    <n v="0"/>
    <n v="0"/>
    <n v="0"/>
    <n v="0"/>
    <n v="0"/>
    <n v="0"/>
    <n v="0"/>
    <n v="0"/>
  </r>
  <r>
    <x v="1"/>
    <s v="新工"/>
    <m/>
    <s v="Low Voltage"/>
    <s v="Paul Hsu"/>
    <s v="Johnny Yang"/>
    <x v="5"/>
    <x v="13"/>
    <s v="USC21C008"/>
    <s v="F21 CCTV &amp; Security"/>
    <n v="12680000"/>
    <s v="Excluded"/>
    <d v="2021-09-24T00:00:00"/>
    <s v="T5 $708,812"/>
    <s v="PU53:95% on progress,5% 1 month after acceptance"/>
    <n v="10190780"/>
    <n v="8948545"/>
    <n v="10190780"/>
    <n v="0.80368927444794958"/>
    <n v="2489220"/>
    <m/>
    <m/>
    <n v="0"/>
    <m/>
    <m/>
    <m/>
    <m/>
    <m/>
    <n v="1479412"/>
    <n v="82699"/>
    <m/>
    <m/>
    <m/>
    <m/>
    <m/>
    <m/>
    <m/>
    <m/>
    <m/>
    <m/>
    <n v="588386"/>
    <n v="32890.777399999999"/>
    <n v="283308"/>
    <n v="15837"/>
    <n v="108202"/>
    <n v="6048"/>
    <m/>
    <m/>
    <n v="143300"/>
    <n v="8010"/>
    <n v="101643"/>
    <n v="5682"/>
    <n v="108039"/>
    <n v="6039"/>
    <m/>
    <m/>
    <n v="952851"/>
    <n v="53264"/>
    <n v="1208945"/>
    <n v="67580"/>
    <n v="764496"/>
    <n v="42735"/>
    <n v="729037"/>
    <n v="40753"/>
    <n v="623811"/>
    <n v="34871"/>
    <n v="140984"/>
    <n v="7881"/>
    <n v="220920"/>
    <n v="12349"/>
    <n v="49185"/>
    <n v="2749"/>
    <n v="402028"/>
    <n v="22473"/>
    <n v="319150"/>
    <n v="17840"/>
    <n v="225390"/>
    <n v="12599"/>
    <m/>
    <m/>
    <n v="281975"/>
    <n v="15762"/>
    <n v="108839"/>
    <n v="6084"/>
    <n v="108644"/>
    <n v="6073"/>
    <n v="181902"/>
    <n v="10168"/>
    <n v="387660"/>
    <n v="21670"/>
    <n v="183655"/>
    <n v="10266"/>
    <n v="178362"/>
    <n v="9970"/>
    <n v="310656"/>
    <n v="17366"/>
    <n v="64785"/>
    <n v="3622"/>
  </r>
  <r>
    <x v="1"/>
    <s v="新工"/>
    <m/>
    <s v="Low Voltage"/>
    <s v="Paul Hsu"/>
    <s v="Johnny Yang"/>
    <x v="5"/>
    <x v="14"/>
    <s v="USC21C012"/>
    <s v="F21P1 Barcode &amp; RFID for manufacturing"/>
    <n v="5792291"/>
    <s v="Exempted"/>
    <d v="2021-09-24T00:00:00"/>
    <s v="T0"/>
    <s v="PU53:95% on progress,5% 1 month after acceptance"/>
    <n v="2551826"/>
    <n v="2240327"/>
    <n v="2551826"/>
    <n v="0.44055555910433369"/>
    <n v="3240465"/>
    <m/>
    <m/>
    <n v="0"/>
    <m/>
    <m/>
    <m/>
    <m/>
    <m/>
    <n v="825712"/>
    <m/>
    <m/>
    <m/>
    <m/>
    <m/>
    <m/>
    <m/>
    <n v="344428"/>
    <m/>
    <m/>
    <m/>
    <m/>
    <m/>
    <n v="399685"/>
    <m/>
    <m/>
    <m/>
    <m/>
    <m/>
    <m/>
    <m/>
    <m/>
    <m/>
    <m/>
    <m/>
    <m/>
    <m/>
    <m/>
    <m/>
    <m/>
    <m/>
    <m/>
    <m/>
    <m/>
    <m/>
    <n v="301844"/>
    <m/>
    <m/>
    <m/>
    <m/>
    <m/>
    <m/>
    <m/>
    <m/>
    <m/>
    <m/>
    <m/>
    <m/>
    <m/>
    <n v="368658"/>
    <m/>
    <m/>
    <m/>
    <m/>
    <m/>
    <m/>
    <m/>
    <n v="202144"/>
    <m/>
    <n v="0"/>
    <n v="0"/>
    <n v="0"/>
    <n v="0"/>
    <n v="109355"/>
    <n v="0"/>
    <n v="0"/>
    <n v="0"/>
    <n v="0"/>
    <n v="0"/>
  </r>
  <r>
    <x v="1"/>
    <s v="新工"/>
    <m/>
    <s v="Low Voltage"/>
    <s v="Paul Hsu"/>
    <s v="Dahlia"/>
    <x v="6"/>
    <x v="15"/>
    <s v="USC21C007"/>
    <s v="F21P1 VOC package (Installation)"/>
    <n v="18681999"/>
    <s v="Exempted"/>
    <d v="2021-09-29T00:00:00"/>
    <s v="T0"/>
    <s v="PU53:95% on progress,5% 1 month after acceptance"/>
    <n v="17747899.492320001"/>
    <n v="15500010.312320001"/>
    <n v="17747899.489999998"/>
    <n v="0.95000002367626724"/>
    <n v="934099.50767999887"/>
    <m/>
    <m/>
    <n v="0"/>
    <m/>
    <m/>
    <m/>
    <n v="1366240"/>
    <m/>
    <m/>
    <m/>
    <m/>
    <m/>
    <m/>
    <m/>
    <m/>
    <m/>
    <m/>
    <m/>
    <m/>
    <m/>
    <m/>
    <m/>
    <n v="0"/>
    <m/>
    <n v="0"/>
    <m/>
    <n v="337425.99999999994"/>
    <m/>
    <n v="359447"/>
    <m/>
    <n v="1192072"/>
    <m/>
    <n v="2473832"/>
    <m/>
    <n v="1059498.1123200001"/>
    <m/>
    <n v="1333111.1300000001"/>
    <m/>
    <n v="1570604.13"/>
    <m/>
    <n v="1237227.1300000001"/>
    <m/>
    <n v="1196108.18"/>
    <m/>
    <n v="596599.54"/>
    <m/>
    <n v="238553"/>
    <m/>
    <n v="31469"/>
    <m/>
    <m/>
    <m/>
    <m/>
    <m/>
    <m/>
    <m/>
    <m/>
    <m/>
    <n v="1814716"/>
    <m/>
    <m/>
    <m/>
    <n v="693107.09"/>
    <m/>
    <m/>
    <m/>
    <m/>
    <m/>
    <n v="2247889.1800000002"/>
    <n v="0"/>
    <n v="0"/>
    <n v="0"/>
    <n v="0"/>
    <n v="0"/>
    <n v="0"/>
    <n v="0"/>
    <n v="0"/>
    <n v="0"/>
  </r>
  <r>
    <x v="1"/>
    <s v="新工"/>
    <m/>
    <s v="WWT"/>
    <s v="Jim Chiang"/>
    <s v="Jim"/>
    <x v="3"/>
    <x v="16"/>
    <s v="USC21C014"/>
    <s v="F21P1 W-H2SO4 package"/>
    <n v="3270594"/>
    <s v="Exempted"/>
    <d v="2021-11-02T00:00:00"/>
    <s v="T0"/>
    <s v="PU53:95% on progress,5% 1 month after acceptance"/>
    <n v="3065445"/>
    <n v="2552717"/>
    <n v="3065445"/>
    <n v="0.93727469688992271"/>
    <n v="205149"/>
    <m/>
    <m/>
    <n v="0"/>
    <m/>
    <m/>
    <m/>
    <m/>
    <m/>
    <n v="122338"/>
    <m/>
    <m/>
    <m/>
    <m/>
    <m/>
    <m/>
    <m/>
    <m/>
    <m/>
    <m/>
    <m/>
    <m/>
    <m/>
    <m/>
    <m/>
    <m/>
    <m/>
    <n v="142970"/>
    <m/>
    <n v="0"/>
    <m/>
    <n v="95196"/>
    <m/>
    <n v="75482"/>
    <m/>
    <n v="0"/>
    <m/>
    <n v="0"/>
    <m/>
    <n v="0"/>
    <m/>
    <n v="169120"/>
    <m/>
    <n v="380781"/>
    <m/>
    <n v="219971"/>
    <m/>
    <n v="545283"/>
    <m/>
    <m/>
    <m/>
    <n v="83783"/>
    <m/>
    <n v="325414"/>
    <m/>
    <m/>
    <m/>
    <n v="60193"/>
    <m/>
    <m/>
    <m/>
    <m/>
    <m/>
    <m/>
    <m/>
    <n v="332186"/>
    <m/>
    <m/>
    <m/>
    <n v="176108"/>
    <n v="0"/>
    <n v="0"/>
    <n v="0"/>
    <n v="0"/>
    <n v="0"/>
    <n v="336620"/>
    <n v="0"/>
    <n v="41669"/>
    <n v="0"/>
  </r>
  <r>
    <x v="0"/>
    <s v="Non-TSMC"/>
    <m/>
    <s v="Micron"/>
    <s v="Elaine Ma"/>
    <m/>
    <x v="7"/>
    <x v="17"/>
    <s v="USC24C001"/>
    <s v="SOLBLE RN3000 - 250KG DRUM for Boise ID"/>
    <n v="32397.42"/>
    <m/>
    <s v="01/08/2024"/>
    <m/>
    <s v="Current Month End +60 days"/>
    <n v="32397.42"/>
    <n v="32397.42"/>
    <n v="32397.42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397.42"/>
    <m/>
    <m/>
    <m/>
    <n v="0"/>
    <n v="0"/>
    <n v="0"/>
    <n v="0"/>
    <n v="0"/>
    <n v="0"/>
    <n v="0"/>
    <n v="0"/>
    <n v="0"/>
    <n v="0"/>
  </r>
  <r>
    <x v="0"/>
    <s v="Non-TSMC"/>
    <m/>
    <s v="Micron"/>
    <s v="Elaine Ma"/>
    <m/>
    <x v="7"/>
    <x v="18"/>
    <s v="USC24C001"/>
    <s v="SOLBLE RN3000 - 500KG,DRUM for Manassas VA"/>
    <n v="63748.800000000003"/>
    <m/>
    <s v="01/05/2024"/>
    <m/>
    <s v="Current Month End +60 days"/>
    <n v="63748.800000000003"/>
    <n v="63748.800000000003"/>
    <n v="63748.800000000003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748.800000000003"/>
    <m/>
    <m/>
    <m/>
    <n v="0"/>
    <n v="0"/>
    <n v="0"/>
    <n v="0"/>
    <n v="0"/>
    <n v="0"/>
    <n v="0"/>
    <n v="0"/>
    <n v="0"/>
    <n v="0"/>
  </r>
  <r>
    <x v="0"/>
    <s v="Non-TSMC"/>
    <m/>
    <s v="Micron"/>
    <s v="Elaine Ma"/>
    <m/>
    <x v="7"/>
    <x v="19"/>
    <s v="USC24C001"/>
    <s v="SOLBLE RN3000 - 1000KG,DRUM for Manassas VA"/>
    <n v="127497.60000000001"/>
    <m/>
    <s v="06/05/2024"/>
    <m/>
    <s v=" Current Month End +60 days "/>
    <n v="127497.60000000001"/>
    <n v="0"/>
    <n v="127497.60000000001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27497.60000000001"/>
    <n v="0"/>
    <n v="0"/>
    <n v="0"/>
    <n v="0"/>
    <n v="0"/>
  </r>
  <r>
    <x v="0"/>
    <s v="Non-TSMC"/>
    <m/>
    <s v="Micron"/>
    <s v="Elaine Ma"/>
    <m/>
    <x v="7"/>
    <x v="20"/>
    <s v="USC24C001"/>
    <s v="SOLBLE RN3000 - 2024 forecast for Manassas VA"/>
    <n v="318744"/>
    <m/>
    <s v="06/18/2024"/>
    <m/>
    <s v=" Current Month End +60 days "/>
    <n v="0"/>
    <n v="0"/>
    <n v="0"/>
    <n v="0"/>
    <n v="31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</r>
  <r>
    <x v="2"/>
    <s v="新工"/>
    <s v="Settlement"/>
    <s v="Low Voltage"/>
    <s v="Paul Hsu"/>
    <s v="Shawn"/>
    <x v="8"/>
    <x v="21"/>
    <s v="USC22C010"/>
    <s v="F21P1 LV PDS on site installation"/>
    <n v="188291.52"/>
    <s v="Excluded"/>
    <d v="2022-03-24T00:00:00"/>
    <s v="T2 $10525.495968"/>
    <s v="AZB2:Pay on 28 next month: 90% on prog, 10 acpt"/>
    <n v="188291.52"/>
    <n v="175584"/>
    <n v="188291.52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37662"/>
    <n v="2105.31"/>
    <n v="115148"/>
    <n v="6436.77"/>
    <n v="22774"/>
    <n v="1273.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707.52"/>
    <n v="0"/>
    <n v="0"/>
    <n v="0"/>
    <n v="0"/>
    <n v="0"/>
    <n v="0"/>
    <n v="0"/>
    <n v="0"/>
    <n v="0"/>
  </r>
  <r>
    <x v="3"/>
    <s v="HK"/>
    <m/>
    <m/>
    <s v="Elaine Ma"/>
    <s v="Ning"/>
    <x v="9"/>
    <x v="22"/>
    <s v="USC22C005"/>
    <s v="F21P1-0404_H_UPW_MIC"/>
    <n v="2372512"/>
    <s v="Excluded"/>
    <d v="2022-03-30T00:00:00"/>
    <s v="U0"/>
    <s v="AZB2:Pay on 28 next month: 90% on prog, 10 acpt"/>
    <n v="2359620"/>
    <n v="2359620"/>
    <n v="2359620"/>
    <n v="0.99456609703133214"/>
    <n v="12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502"/>
    <n v="26525"/>
    <m/>
    <m/>
    <m/>
    <m/>
    <n v="341589"/>
    <m/>
    <n v="536466"/>
    <m/>
    <m/>
    <m/>
    <n v="563888"/>
    <m/>
    <n v="172568"/>
    <m/>
    <m/>
    <m/>
    <m/>
    <m/>
    <n v="270607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3"/>
    <s v="HK"/>
    <m/>
    <m/>
    <s v="Elaine Ma"/>
    <s v="Ning"/>
    <x v="10"/>
    <x v="23"/>
    <s v="USC22C005"/>
    <s v="F21P1-0404_H_Chemical_MIC"/>
    <n v="4892414.09"/>
    <m/>
    <d v="2022-03-30T00:00:00"/>
    <s v="U0"/>
    <s v="AZB2:Pay on 28 next month: 90% on prog, 10 acpt"/>
    <n v="4096793.06"/>
    <n v="3969727"/>
    <n v="4096793.06"/>
    <n v="0.83737659663227737"/>
    <n v="795621.02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71475"/>
    <m/>
    <n v="146491"/>
    <m/>
    <n v="120254"/>
    <m/>
    <n v="1283526"/>
    <m/>
    <n v="218714"/>
    <m/>
    <m/>
    <m/>
    <n v="729267"/>
    <m/>
    <m/>
    <m/>
    <m/>
    <m/>
    <m/>
    <m/>
    <m/>
    <m/>
    <m/>
    <m/>
    <m/>
    <m/>
    <m/>
    <m/>
    <m/>
    <m/>
    <m/>
    <m/>
    <n v="44868.160000000003"/>
    <n v="0"/>
    <n v="82197.899999999994"/>
    <n v="0"/>
    <n v="0"/>
    <n v="0"/>
    <n v="0"/>
    <n v="0"/>
    <n v="0"/>
    <n v="0"/>
  </r>
  <r>
    <x v="2"/>
    <s v="新工"/>
    <m/>
    <s v="Low Voltage"/>
    <s v="Paul Hsu"/>
    <s v="Johnny Yang"/>
    <x v="5"/>
    <x v="24"/>
    <s v="USC22C001"/>
    <s v="US Fab Warehouse Security &amp; CCTV"/>
    <n v="1906859"/>
    <s v="Excluded"/>
    <d v="2022-04-08T00:00:00"/>
    <s v="T5 $106593"/>
    <s v="APB2:Pay on 28 next month: 90% on prog, 10 acpt"/>
    <n v="1686610"/>
    <n v="1530535"/>
    <n v="1686610"/>
    <n v="0.88449644153028617"/>
    <n v="220249"/>
    <m/>
    <m/>
    <m/>
    <m/>
    <m/>
    <m/>
    <m/>
    <m/>
    <m/>
    <m/>
    <m/>
    <m/>
    <m/>
    <m/>
    <m/>
    <m/>
    <m/>
    <m/>
    <m/>
    <m/>
    <n v="43656"/>
    <n v="2440"/>
    <n v="216614"/>
    <n v="12109"/>
    <m/>
    <m/>
    <m/>
    <m/>
    <m/>
    <m/>
    <m/>
    <m/>
    <m/>
    <m/>
    <m/>
    <m/>
    <n v="56875"/>
    <n v="3179"/>
    <m/>
    <m/>
    <m/>
    <m/>
    <n v="585562"/>
    <n v="32733"/>
    <n v="475204"/>
    <n v="26564"/>
    <n v="100565"/>
    <n v="5622"/>
    <n v="52059"/>
    <n v="2910"/>
    <m/>
    <m/>
    <m/>
    <m/>
    <m/>
    <m/>
    <n v="0"/>
    <n v="0"/>
    <m/>
    <m/>
    <m/>
    <m/>
    <m/>
    <m/>
    <m/>
    <m/>
    <n v="53021"/>
    <n v="2964"/>
    <n v="0"/>
    <n v="0"/>
    <n v="47531"/>
    <n v="2657"/>
    <n v="0"/>
    <n v="0"/>
    <n v="55523"/>
    <n v="3104"/>
    <n v="49368"/>
    <n v="2760"/>
  </r>
  <r>
    <x v="1"/>
    <s v="新工"/>
    <m/>
    <s v="Low Voltage"/>
    <s v="Paul Hsu"/>
    <s v="Johnny Yang"/>
    <x v="5"/>
    <x v="25"/>
    <s v="USC22C001"/>
    <s v="F21P1 Office Security &amp; CCTV Packag"/>
    <n v="7311604"/>
    <s v="Excluded"/>
    <d v="2022-04-08T00:00:00"/>
    <s v="T5 $408718.66"/>
    <s v="APB2:Pay on 28 next month: 90% on prog, 10 acpt"/>
    <n v="5891827"/>
    <n v="5384498"/>
    <n v="5891827"/>
    <n v="0.80581866851651152"/>
    <n v="1419777"/>
    <m/>
    <m/>
    <m/>
    <m/>
    <m/>
    <m/>
    <m/>
    <m/>
    <m/>
    <m/>
    <m/>
    <m/>
    <m/>
    <m/>
    <m/>
    <m/>
    <m/>
    <m/>
    <m/>
    <m/>
    <n v="333768"/>
    <n v="18658"/>
    <n v="869352"/>
    <n v="48597"/>
    <n v="195224"/>
    <n v="10913"/>
    <m/>
    <m/>
    <n v="931566"/>
    <n v="52075"/>
    <n v="673864"/>
    <n v="37669"/>
    <n v="606925"/>
    <n v="33927"/>
    <n v="451712"/>
    <n v="25251"/>
    <n v="379174"/>
    <n v="21196"/>
    <n v="273104"/>
    <n v="15267"/>
    <n v="232977"/>
    <n v="13023"/>
    <m/>
    <m/>
    <m/>
    <m/>
    <n v="248175"/>
    <n v="13873"/>
    <n v="111220"/>
    <n v="6217"/>
    <n v="0"/>
    <n v="0"/>
    <m/>
    <m/>
    <m/>
    <m/>
    <m/>
    <m/>
    <m/>
    <m/>
    <m/>
    <m/>
    <n v="60184"/>
    <n v="3364"/>
    <n v="17253"/>
    <n v="964"/>
    <n v="17865"/>
    <m/>
    <n v="0"/>
    <n v="0"/>
    <n v="489464"/>
    <n v="27361"/>
    <n v="0"/>
    <n v="0"/>
    <n v="0"/>
    <n v="0"/>
    <n v="129690"/>
    <n v="7250"/>
  </r>
  <r>
    <x v="1"/>
    <s v="新工"/>
    <s v="Settlement"/>
    <s v="Low Voltage"/>
    <s v="Paul Hsu"/>
    <s v="Shawn"/>
    <x v="8"/>
    <x v="26"/>
    <s v="USC22C009"/>
    <s v="F21P1 MTR oil &amp; drain pipe work"/>
    <n v="408000"/>
    <s v="Excluded"/>
    <d v="2022-04-14T00:00:00"/>
    <s v="T5 $22807.2"/>
    <s v="APB2:Pay on 28 next month: 90% on prog, 10 acpt"/>
    <n v="393603"/>
    <n v="393603"/>
    <n v="393603"/>
    <n v="0.96471323529411768"/>
    <n v="14397"/>
    <m/>
    <m/>
    <m/>
    <m/>
    <m/>
    <m/>
    <m/>
    <m/>
    <m/>
    <m/>
    <m/>
    <m/>
    <m/>
    <m/>
    <m/>
    <m/>
    <m/>
    <m/>
    <m/>
    <m/>
    <m/>
    <m/>
    <m/>
    <m/>
    <m/>
    <m/>
    <m/>
    <m/>
    <n v="31440"/>
    <n v="1758"/>
    <m/>
    <m/>
    <m/>
    <m/>
    <n v="147874"/>
    <n v="8266"/>
    <m/>
    <m/>
    <m/>
    <m/>
    <m/>
    <m/>
    <m/>
    <m/>
    <m/>
    <m/>
    <m/>
    <m/>
    <m/>
    <m/>
    <m/>
    <m/>
    <m/>
    <m/>
    <m/>
    <m/>
    <m/>
    <m/>
    <n v="214289"/>
    <n v="11979"/>
    <m/>
    <m/>
    <m/>
    <m/>
    <m/>
    <m/>
    <m/>
    <m/>
    <n v="0"/>
    <n v="0"/>
    <n v="0"/>
    <n v="0"/>
    <n v="0"/>
    <n v="0"/>
    <n v="0"/>
    <n v="0"/>
    <n v="0"/>
    <n v="0"/>
  </r>
  <r>
    <x v="4"/>
    <s v="AMHS"/>
    <m/>
    <m/>
    <s v="Kate"/>
    <s v="Wan-chun"/>
    <x v="11"/>
    <x v="27"/>
    <s v="Expect to add in USC22C017"/>
    <s v="CAP_SP1_3D繪圖人力"/>
    <n v="86940"/>
    <s v="Excluded"/>
    <d v="2022-05-02T00:00:00"/>
    <s v="UX"/>
    <s v="PU53:95% on progress,5% 1 month after acceptance"/>
    <n v="86940"/>
    <n v="86940"/>
    <n v="8694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m/>
    <m/>
    <m/>
    <m/>
    <m/>
    <n v="86940"/>
    <m/>
    <m/>
    <m/>
    <m/>
    <m/>
    <m/>
    <m/>
    <m/>
    <m/>
    <m/>
    <m/>
    <m/>
    <m/>
    <m/>
    <m/>
    <m/>
    <m/>
    <m/>
    <m/>
    <m/>
    <m/>
    <n v="0"/>
    <m/>
    <n v="0"/>
    <m/>
    <n v="0"/>
    <n v="0"/>
    <n v="0"/>
    <n v="0"/>
    <n v="0"/>
    <n v="0"/>
    <n v="0"/>
    <n v="0"/>
    <n v="0"/>
    <n v="0"/>
  </r>
  <r>
    <x v="3"/>
    <s v="HK"/>
    <m/>
    <m/>
    <s v="Elaine Ma"/>
    <s v="Ning"/>
    <x v="9"/>
    <x v="28"/>
    <s v="USC22C005"/>
    <s v="F21P1-0404E2_H_UPW_MIC"/>
    <n v="293365"/>
    <m/>
    <d v="2022-05-12T00:00:00"/>
    <s v="U0"/>
    <s v="AZB2:Pay on 28 next month: 90% on prog, 10 acpt"/>
    <n v="272543"/>
    <n v="272543"/>
    <n v="272543"/>
    <n v="0.92902357131900537"/>
    <n v="20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516"/>
    <m/>
    <m/>
    <m/>
    <n v="128017"/>
    <m/>
    <n v="63888"/>
    <m/>
    <m/>
    <m/>
    <n v="23717"/>
    <m/>
    <n v="2405"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5"/>
    <s v="製造"/>
    <m/>
    <s v="光阻櫃"/>
    <s v="Paul Hsu"/>
    <s v="Chihhao"/>
    <x v="12"/>
    <x v="29"/>
    <s v="USC22C012"/>
    <s v="CAP_A_MFG_F21 Transportation_光阻櫃exhasut (labor)"/>
    <n v="400241.45"/>
    <s v="Exempted"/>
    <d v="2022-06-14T00:00:00"/>
    <s v="T0"/>
    <s v="PU53:95% on progress,5% 1 month after acceptance"/>
    <n v="299830.94"/>
    <n v="108812"/>
    <n v="108812"/>
    <n v="0.74912515932570201"/>
    <n v="100410.51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43"/>
    <m/>
    <n v="103369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191018.94"/>
    <n v="0"/>
    <n v="0"/>
    <n v="0"/>
  </r>
  <r>
    <x v="5"/>
    <s v="製造"/>
    <m/>
    <s v="光阻櫃"/>
    <s v="Paul Hsu"/>
    <s v="Chihhao"/>
    <x v="12"/>
    <x v="30"/>
    <s v="USC22C012"/>
    <s v="CAP_A_MFG_F21 Transportation_光阻櫃exhasut (material)"/>
    <n v="250352.96"/>
    <s v="Excluded"/>
    <d v="2022-06-14T00:00:00"/>
    <s v="T1"/>
    <s v="PU53:95% on progress,5% 1 month after acceptance"/>
    <n v="147065.63"/>
    <n v="107236"/>
    <n v="107236"/>
    <n v="0.58743315836968735"/>
    <n v="103287.32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236"/>
    <m/>
    <m/>
    <m/>
    <m/>
    <m/>
    <m/>
    <m/>
    <m/>
    <m/>
    <m/>
    <m/>
    <m/>
    <m/>
    <m/>
    <m/>
    <m/>
    <m/>
    <m/>
    <m/>
    <n v="0"/>
    <n v="0"/>
    <n v="0"/>
    <n v="0"/>
    <n v="0"/>
    <n v="0"/>
    <n v="39829.629999999997"/>
    <n v="0"/>
    <n v="0"/>
    <n v="0"/>
  </r>
  <r>
    <x v="3"/>
    <s v="HK"/>
    <m/>
    <m/>
    <s v="Kate"/>
    <s v="Wan-chun"/>
    <x v="13"/>
    <x v="31"/>
    <s v="USC23C022"/>
    <s v="F21P1_H_2D/3D drawing"/>
    <n v="964420.34"/>
    <s v="Excluded"/>
    <d v="2022-06-22T00:00:00"/>
    <s v="TX"/>
    <s v="AZ03:Pay in month end - 1 month after acceptance month"/>
    <n v="964420"/>
    <n v="964420"/>
    <n v="964420"/>
    <n v="0.99999964745662673"/>
    <n v="0.33999999996740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107"/>
    <m/>
    <n v="128264"/>
    <m/>
    <n v="134693"/>
    <m/>
    <n v="187266"/>
    <m/>
    <n v="130056"/>
    <m/>
    <m/>
    <m/>
    <m/>
    <m/>
    <m/>
    <m/>
    <m/>
    <m/>
    <m/>
    <m/>
    <m/>
    <m/>
    <n v="234034"/>
    <m/>
    <m/>
    <m/>
    <m/>
    <m/>
    <s v=" "/>
    <m/>
    <m/>
    <m/>
    <m/>
    <m/>
    <n v="0"/>
    <n v="0"/>
    <n v="0"/>
    <n v="0"/>
    <n v="0"/>
    <n v="0"/>
    <n v="0"/>
    <n v="0"/>
    <n v="0"/>
    <n v="0"/>
  </r>
  <r>
    <x v="2"/>
    <s v="新工"/>
    <m/>
    <s v="Low Voltage"/>
    <s v="Paul Hsu"/>
    <s v="Johnny Yang"/>
    <x v="5"/>
    <x v="32"/>
    <s v="USC22C013"/>
    <s v="F21P1 QR Lab Security &amp; CCTV"/>
    <n v="424087.84"/>
    <s v="Excluded"/>
    <d v="2022-06-24T00:00:00"/>
    <s v="T0"/>
    <s v="APB2:Pay on 28 next month: 90% on prog, 10 acpt"/>
    <n v="370417.39"/>
    <n v="281599.40000000002"/>
    <n v="340092.62"/>
    <n v="0.87344496838202201"/>
    <n v="53670.450000000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305"/>
    <n v="8067"/>
    <n v="42087"/>
    <n v="2353"/>
    <m/>
    <m/>
    <n v="17252.740000000002"/>
    <n v="964.43"/>
    <n v="67914.649999999994"/>
    <n v="3796.43"/>
    <n v="10040.01"/>
    <n v="561.24"/>
    <m/>
    <m/>
    <m/>
    <m/>
    <n v="0"/>
    <n v="0"/>
    <n v="34986.85"/>
    <n v="1955.76"/>
    <n v="23506.37"/>
    <n v="1314.01"/>
    <n v="30324.77"/>
    <n v="1695.15"/>
    <n v="22913.63"/>
    <n v="1280.8699999999999"/>
  </r>
  <r>
    <x v="2"/>
    <s v="新工"/>
    <m/>
    <s v="Low Voltage"/>
    <s v="Paul Hsu"/>
    <s v="Johnny Yang"/>
    <x v="5"/>
    <x v="33"/>
    <s v="USC22C013"/>
    <s v="F21P1 IMP/CMP組頭間/噴砂間 Security &amp; CCTV"/>
    <n v="64539.43"/>
    <s v="Excluded"/>
    <d v="2022-06-24T00:00:00"/>
    <s v="T0"/>
    <s v="APB2:Pay on 28 next month: 90% on prog, 10 acpt"/>
    <n v="61957.850000000006"/>
    <n v="56033.69"/>
    <n v="61957.850000000006"/>
    <n v="0.95999995661566895"/>
    <n v="2581.57999999999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31.42"/>
    <n v="1304.23"/>
    <m/>
    <m/>
    <m/>
    <m/>
    <n v="12199.89"/>
    <n v="681.97"/>
    <n v="20502.38"/>
    <n v="1146.08"/>
    <m/>
    <m/>
    <n v="0"/>
    <n v="0"/>
    <n v="0"/>
    <n v="0"/>
    <n v="5924.16"/>
    <n v="331.16"/>
    <n v="0"/>
    <n v="0"/>
    <n v="0"/>
    <n v="0"/>
  </r>
  <r>
    <x v="2"/>
    <s v="新工"/>
    <m/>
    <s v="Low Voltage"/>
    <s v="Paul Hsu"/>
    <s v="Johnny Yang"/>
    <x v="14"/>
    <x v="34"/>
    <s v="USC22C013"/>
    <s v="Security&amp;CCTV Package_CCD"/>
    <n v="306397.90000000002"/>
    <m/>
    <d v="2022-06-24T00:00:00"/>
    <s v="T0"/>
    <s v="APB2:Pay on 28 next month: 90% on prog, 10 acpt"/>
    <n v="279250.93000000005"/>
    <n v="258616.28000000003"/>
    <n v="279250.93000000005"/>
    <n v="0.9113996212115032"/>
    <n v="27146.9699999999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893"/>
    <n v="7988"/>
    <m/>
    <m/>
    <m/>
    <m/>
    <n v="46614.39"/>
    <n v="2605.7399999999998"/>
    <n v="69108.89"/>
    <n v="3863.19"/>
    <m/>
    <m/>
    <m/>
    <m/>
    <m/>
    <m/>
    <n v="20634.650000000001"/>
    <n v="1153.48"/>
    <n v="0"/>
    <n v="0"/>
    <n v="0"/>
    <n v="0"/>
    <n v="0"/>
    <n v="0"/>
    <n v="9379.4599999999991"/>
    <n v="524.30999999999995"/>
  </r>
  <r>
    <x v="5"/>
    <s v="製造"/>
    <m/>
    <s v="光阻櫃"/>
    <s v="Paul Hsu"/>
    <s v="Chihhao"/>
    <x v="12"/>
    <x v="35"/>
    <s v="USC22C012"/>
    <s v="CAP_A_MFG_freight and labor fee for F21"/>
    <n v="385345.09"/>
    <s v="Excluded"/>
    <d v="2022-06-28T00:00:00"/>
    <s v="T1 &amp; TX"/>
    <s v="PU53:95% on progress,5% 1 month after acceptance"/>
    <n v="41434.120000000003"/>
    <n v="38663.94"/>
    <n v="38663.94"/>
    <n v="0.10752471245968127"/>
    <n v="343910.97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15.65"/>
    <m/>
    <m/>
    <m/>
    <m/>
    <m/>
    <m/>
    <m/>
    <m/>
    <m/>
    <m/>
    <m/>
    <m/>
    <m/>
    <n v="23848.29"/>
    <m/>
    <m/>
    <m/>
    <m/>
    <m/>
    <m/>
    <m/>
    <m/>
    <m/>
    <n v="0"/>
    <n v="0"/>
    <n v="0"/>
    <n v="0"/>
    <n v="2770.18"/>
    <n v="0"/>
    <n v="0"/>
    <n v="0"/>
    <n v="0"/>
    <n v="0"/>
  </r>
  <r>
    <x v="5"/>
    <s v="製造"/>
    <m/>
    <s v="光阻櫃"/>
    <s v="Paul Hsu"/>
    <s v="Chihhao"/>
    <x v="12"/>
    <x v="36"/>
    <s v="USC22C012"/>
    <s v="CAP_A_MFG_F21 mask room related stainles"/>
    <n v="457826.04"/>
    <s v="Excluded"/>
    <d v="2022-06-28T00:00:00"/>
    <s v="T1"/>
    <s v="PU53:95% on progress,5% 1 month after acceptance"/>
    <n v="67676.66"/>
    <n v="59333.299999999996"/>
    <n v="67676.66"/>
    <n v="0.14782177964363932"/>
    <n v="390149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093.63"/>
    <m/>
    <m/>
    <m/>
    <m/>
    <m/>
    <m/>
    <m/>
    <m/>
    <m/>
    <m/>
    <m/>
    <m/>
    <m/>
    <n v="16239.67"/>
    <m/>
    <m/>
    <m/>
    <m/>
    <m/>
    <m/>
    <m/>
    <m/>
    <m/>
    <n v="0"/>
    <n v="0"/>
    <n v="0"/>
    <n v="0"/>
    <n v="8343.36"/>
    <n v="0"/>
    <n v="0"/>
    <n v="0"/>
    <n v="0"/>
    <n v="0"/>
  </r>
  <r>
    <x v="3"/>
    <s v="HK"/>
    <m/>
    <m/>
    <s v="Tony Clark"/>
    <m/>
    <x v="2"/>
    <x v="37"/>
    <s v="USC23C023"/>
    <s v="F21P1_H_pre-construction_MICU"/>
    <n v="100880.34"/>
    <s v="Excluded"/>
    <d v="2022-06-30T00:00:00"/>
    <s v="TX"/>
    <s v="AZ03:Pay in month end - 1 month after acceptance month"/>
    <n v="100880.34"/>
    <n v="100880.34"/>
    <n v="100880.34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880.34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2"/>
    <s v="製造"/>
    <m/>
    <s v="Low Voltage"/>
    <s v="Paul Hsu"/>
    <s v="Johnny Yang"/>
    <x v="12"/>
    <x v="38"/>
    <s v="USC22C013"/>
    <s v="CAP_A_MFG_F21P1 All 零星工程_SecurityCCTV Pa (labor)"/>
    <n v="537636.32999999996"/>
    <s v="Included (labor exempt and material taxable)"/>
    <d v="2022-06-30T00:00:00"/>
    <s v="TX"/>
    <s v="APB2:Pay on 28 next month: 90% on prog, 10 acpt"/>
    <n v="191773.16"/>
    <n v="0"/>
    <n v="0"/>
    <n v="0.35669680283696603"/>
    <n v="345863.16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n v="0"/>
    <n v="0"/>
    <n v="191773.16"/>
    <n v="10720.12"/>
    <n v="0"/>
    <n v="0"/>
    <n v="0"/>
    <n v="0"/>
    <n v="0"/>
    <n v="0"/>
  </r>
  <r>
    <x v="2"/>
    <s v="製造"/>
    <m/>
    <s v="Low Voltage"/>
    <s v="Paul Hsu"/>
    <s v="Johnny Yang"/>
    <x v="12"/>
    <x v="39"/>
    <s v="USC22C013"/>
    <s v="CAP_A_MFG_F21P1 All 零星工程_SecurityCCTV Pa (material)"/>
    <n v="318208.52"/>
    <s v="Included (labor exempt and material taxable)"/>
    <d v="2022-06-30T00:00:00"/>
    <s v="TX"/>
    <s v="APB2:Pay on 28 next month: 90% on prog, 10 acpt"/>
    <n v="123024.65"/>
    <n v="0"/>
    <n v="0"/>
    <n v="0.38661645514708404"/>
    <n v="195183.87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n v="0"/>
    <n v="0"/>
    <n v="123024.65"/>
    <n v="6877.08"/>
    <n v="0"/>
    <n v="0"/>
    <n v="0"/>
    <n v="0"/>
    <n v="0"/>
    <n v="0"/>
  </r>
  <r>
    <x v="5"/>
    <s v="製造"/>
    <m/>
    <s v="光阻櫃"/>
    <s v="Paul Hsu"/>
    <s v="Chihhao"/>
    <x v="12"/>
    <x v="40"/>
    <s v="USC22C012"/>
    <s v="CAP_A_MFG_F21 不鏽鋼儲放光罩二門單面氣體排氣櫃 (labor)"/>
    <n v="86306.18"/>
    <s v="Included (labor exempt and material taxable)"/>
    <m/>
    <s v="T5"/>
    <s v="AZ03:Pay in month end - 1 month after acceptance month"/>
    <n v="32144"/>
    <n v="32144"/>
    <n v="32144"/>
    <n v="0.37244146363562847"/>
    <n v="54162.17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0"/>
    <m/>
    <m/>
    <m/>
    <m/>
    <m/>
    <m/>
    <m/>
    <m/>
    <m/>
    <n v="27044"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5"/>
    <s v="製造"/>
    <m/>
    <s v="光阻櫃"/>
    <s v="Paul Hsu"/>
    <s v="Chihhao"/>
    <x v="12"/>
    <x v="41"/>
    <s v="USC22C012"/>
    <s v="CAP_A_MFG_F21 不鏽鋼儲放光罩二門單面氣體排氣櫃 (material)"/>
    <n v="47935.47"/>
    <s v="Included (labor exempt and material taxable)"/>
    <m/>
    <s v="T5"/>
    <s v="AZ03:Pay in month end - 1 month after acceptance month"/>
    <n v="18486"/>
    <n v="0"/>
    <n v="0"/>
    <n v="0.38564344941230366"/>
    <n v="29449.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n v="18486"/>
    <m/>
    <n v="0"/>
    <n v="0"/>
    <n v="0"/>
    <n v="0"/>
    <n v="0"/>
    <n v="0"/>
    <n v="0"/>
    <n v="0"/>
    <n v="0"/>
    <n v="0"/>
  </r>
  <r>
    <x v="4"/>
    <s v="AMHS"/>
    <m/>
    <s v="AMHS"/>
    <s v="David Nystrom"/>
    <s v="David Short"/>
    <x v="15"/>
    <x v="42"/>
    <s v="USC22C017"/>
    <s v="CAP_E_F21P1_AMHS Power Design"/>
    <n v="174794.05"/>
    <s v="Exempted"/>
    <d v="2022-07-28T00:00:00"/>
    <s v="T0"/>
    <s v="APB2:Pay on 28 next month: 90% on prog, 10 acpt"/>
    <n v="174794.05000000002"/>
    <n v="126287.92000000001"/>
    <n v="174794.05000000002"/>
    <n v="1.000000000000000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83027.38"/>
    <m/>
    <m/>
    <m/>
    <m/>
    <m/>
    <n v="0"/>
    <m/>
    <m/>
    <m/>
    <m/>
    <m/>
    <n v="32773.440000000002"/>
    <m/>
    <m/>
    <m/>
    <m/>
    <m/>
    <m/>
    <m/>
    <m/>
    <m/>
    <m/>
    <m/>
    <m/>
    <m/>
    <m/>
    <m/>
    <m/>
    <m/>
    <n v="10487.1"/>
    <m/>
    <n v="0"/>
    <m/>
    <n v="0"/>
    <n v="0"/>
    <n v="0"/>
    <n v="0"/>
    <n v="48506.13"/>
    <n v="0"/>
    <n v="0"/>
    <n v="0"/>
    <n v="0"/>
    <n v="0"/>
  </r>
  <r>
    <x v="1"/>
    <s v="新工"/>
    <m/>
    <s v="Chemical"/>
    <s v="Steven Chiu"/>
    <s v="Herny"/>
    <x v="16"/>
    <x v="43"/>
    <s v="USC21C006"/>
    <s v="F21P1 Slurry Package support frame"/>
    <n v="668104"/>
    <s v="Exempted"/>
    <d v="2022-08-03T00:00:00"/>
    <s v="T0"/>
    <s v="AZ53:95% on progress,5% 1 month after acceptance"/>
    <n v="668104"/>
    <n v="599505"/>
    <n v="668103.61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498"/>
    <m/>
    <m/>
    <m/>
    <n v="270748"/>
    <m/>
    <m/>
    <m/>
    <m/>
    <m/>
    <m/>
    <m/>
    <m/>
    <m/>
    <m/>
    <m/>
    <m/>
    <m/>
    <m/>
    <m/>
    <m/>
    <m/>
    <m/>
    <m/>
    <m/>
    <m/>
    <m/>
    <m/>
    <n v="292259"/>
    <m/>
    <m/>
    <m/>
    <n v="34621"/>
    <n v="0"/>
    <n v="0"/>
    <n v="0"/>
    <n v="33978"/>
    <n v="0"/>
    <n v="0"/>
    <n v="0"/>
    <n v="0"/>
    <n v="0"/>
  </r>
  <r>
    <x v="3"/>
    <s v="HK"/>
    <m/>
    <m/>
    <s v="Elaine Ma"/>
    <s v="Ning"/>
    <x v="9"/>
    <x v="44"/>
    <s v="USC22C005"/>
    <s v="F21P1-0420E4_H_UPW_MIC"/>
    <n v="586718.13"/>
    <s v="Exempted"/>
    <d v="2022-08-03T00:00:00"/>
    <s v="T0"/>
    <s v="AZ03:Pay in month end - 1 month after acceptance month"/>
    <n v="586718.13"/>
    <n v="586718.13"/>
    <n v="586718.13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343.63"/>
    <m/>
    <n v="77330.3"/>
    <m/>
    <n v="170487.1"/>
    <m/>
    <n v="21584.31"/>
    <m/>
    <n v="134405"/>
    <m/>
    <n v="46189.95"/>
    <m/>
    <n v="19377.84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2"/>
    <s v="製造"/>
    <m/>
    <s v="Low Voltage"/>
    <s v="Paul Hsu"/>
    <s v="Johnny Yang"/>
    <x v="17"/>
    <x v="45"/>
    <s v="USC22C013"/>
    <s v="Security &amp; CCTV Package OWMC"/>
    <n v="179299.89"/>
    <s v="Excluded"/>
    <d v="2022-08-09T00:00:00"/>
    <s v="T1"/>
    <s v="APB2:Pay on 28 next month: 90% on prog, 10 acpt"/>
    <n v="90541.86"/>
    <n v="90541.86"/>
    <n v="90541.86"/>
    <n v="0.50497443138420217"/>
    <n v="88758.030000000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8335.76"/>
    <m/>
    <m/>
    <m/>
    <n v="42206.1"/>
    <n v="2359.3200000000002"/>
    <m/>
    <m/>
    <m/>
    <m/>
    <m/>
    <m/>
    <n v="0"/>
    <n v="0"/>
    <n v="0"/>
    <n v="0"/>
    <n v="0"/>
    <n v="0"/>
    <n v="0"/>
    <n v="0"/>
    <n v="0"/>
    <n v="0"/>
  </r>
  <r>
    <x v="5"/>
    <s v="設備"/>
    <m/>
    <s v="Low Voltage"/>
    <s v="Paul Hsu"/>
    <s v="Dahlia"/>
    <x v="18"/>
    <x v="46"/>
    <s v="USC22C019"/>
    <s v="CAP_A_90431 AMC monitor 595T0"/>
    <n v="1648034.25"/>
    <s v="Exempted"/>
    <d v="2022-08-09T00:00:00"/>
    <s v="T0"/>
    <s v="APB2:Pay on 28 next month: 90% on prog, 10 acpt"/>
    <n v="1648034.25"/>
    <n v="1648034.25"/>
    <n v="1648034.2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m/>
    <n v="1469390.15"/>
    <m/>
    <m/>
    <m/>
    <n v="178644.1"/>
    <m/>
    <m/>
    <m/>
    <n v="0"/>
    <n v="0"/>
    <n v="0"/>
    <n v="0"/>
    <n v="0"/>
    <n v="0"/>
    <n v="0"/>
    <n v="0"/>
    <n v="0"/>
    <n v="0"/>
  </r>
  <r>
    <x v="2"/>
    <s v="新工"/>
    <m/>
    <s v="UPW"/>
    <s v="Emon"/>
    <s v="Emon"/>
    <x v="3"/>
    <x v="47"/>
    <s v="USC21C003"/>
    <s v="F21P1 QR Lab UPW"/>
    <n v="762160.23"/>
    <s v="Exempted"/>
    <d v="2022-08-11T00:00:00"/>
    <s v="T0"/>
    <s v="AZ03:Pay in month end - 1 month after acceptance month"/>
    <n v="685961.92"/>
    <n v="558420.28"/>
    <n v="685961.92"/>
    <n v="0.90002324051991023"/>
    <n v="76198.309999999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411.2"/>
    <m/>
    <n v="238101.12"/>
    <m/>
    <m/>
    <m/>
    <m/>
    <m/>
    <m/>
    <m/>
    <n v="159324.51999999999"/>
    <m/>
    <m/>
    <m/>
    <m/>
    <m/>
    <m/>
    <m/>
    <m/>
    <m/>
    <n v="56583.44"/>
    <m/>
    <m/>
    <m/>
    <m/>
    <m/>
    <m/>
    <m/>
    <m/>
    <m/>
    <m/>
    <m/>
    <m/>
    <m/>
    <m/>
    <m/>
    <m/>
    <m/>
    <n v="89716.63"/>
    <n v="0"/>
    <n v="21676.79"/>
    <n v="0"/>
    <n v="16148.22"/>
    <n v="0"/>
    <n v="0"/>
    <n v="0"/>
    <n v="0"/>
    <n v="0"/>
  </r>
  <r>
    <x v="2"/>
    <s v="新工"/>
    <m/>
    <s v="WWT"/>
    <s v="Jim Chiang"/>
    <s v="Grant"/>
    <x v="3"/>
    <x v="48"/>
    <s v="USC21C009"/>
    <s v="F21P1 QR Lab WWT"/>
    <n v="3027439.77"/>
    <s v="Exempted"/>
    <d v="2022-08-11T00:00:00"/>
    <s v="T0"/>
    <s v="AZ03:Pay in month end - 1 month after acceptance month"/>
    <n v="2760174.1500000004"/>
    <n v="2751323.91"/>
    <n v="2760174.1500000004"/>
    <n v="0.91171893074523502"/>
    <n v="267265.61999999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305"/>
    <m/>
    <n v="764067"/>
    <m/>
    <m/>
    <m/>
    <m/>
    <m/>
    <m/>
    <m/>
    <m/>
    <m/>
    <m/>
    <m/>
    <m/>
    <m/>
    <m/>
    <m/>
    <m/>
    <m/>
    <m/>
    <m/>
    <n v="500770"/>
    <m/>
    <n v="1059798"/>
    <m/>
    <n v="128383.91"/>
    <m/>
    <n v="8850.24"/>
    <m/>
    <n v="0"/>
    <n v="0"/>
    <n v="0"/>
    <n v="0"/>
    <n v="0"/>
    <n v="0"/>
    <n v="0"/>
    <n v="0"/>
    <n v="0"/>
    <n v="0"/>
  </r>
  <r>
    <x v="4"/>
    <s v="AMHS"/>
    <m/>
    <s v="AMHS"/>
    <s v="David Nystrom"/>
    <s v="David Short"/>
    <x v="15"/>
    <x v="49"/>
    <s v="USC22C014"/>
    <s v="F21P1_AMHS_Power Panel"/>
    <n v="2118750"/>
    <s v="Exempted"/>
    <d v="2022-08-12T00:00:00"/>
    <s v="T0"/>
    <s v="AZ53:95% on progress,5% 1 month after acceptance"/>
    <n v="2118750"/>
    <n v="1101750"/>
    <n v="211875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750"/>
    <m/>
    <n v="211875"/>
    <m/>
    <m/>
    <m/>
    <m/>
    <m/>
    <m/>
    <m/>
    <m/>
    <m/>
    <m/>
    <m/>
    <n v="466125"/>
    <m/>
    <m/>
    <m/>
    <m/>
    <m/>
    <m/>
    <m/>
    <m/>
    <m/>
    <m/>
    <m/>
    <m/>
    <m/>
    <m/>
    <m/>
    <m/>
    <m/>
    <n v="0"/>
    <m/>
    <n v="0"/>
    <m/>
    <n v="1017000"/>
    <n v="0"/>
    <n v="0"/>
    <n v="0"/>
    <n v="0"/>
    <n v="0"/>
    <n v="0"/>
    <n v="0"/>
    <n v="0"/>
    <n v="0"/>
  </r>
  <r>
    <x v="2"/>
    <s v="新工"/>
    <m/>
    <s v="Chemical"/>
    <s v="Steven Chiu"/>
    <s v="Johnny Wan"/>
    <x v="4"/>
    <x v="50"/>
    <s v="USC23C042"/>
    <s v="F21P1 Chemical safety cabinet installation"/>
    <n v="48875"/>
    <s v="Exempted"/>
    <d v="2022-08-17T00:00:00"/>
    <s v="T0"/>
    <s v="APB2:Pay on 28 next month: 90% on prog, 10 acpt"/>
    <n v="43988"/>
    <n v="43988"/>
    <n v="43988"/>
    <n v="0.90001023017902815"/>
    <n v="4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722"/>
    <m/>
    <m/>
    <m/>
    <n v="17266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4"/>
    <s v="AMHS"/>
    <m/>
    <s v="AMHS"/>
    <s v="David Nystrom"/>
    <s v="David Short"/>
    <x v="11"/>
    <x v="51"/>
    <s v="USC22C034"/>
    <s v="F21P1 SP2 Power Design and GEX/PV/CV CAD design forsorter/BWBS/N2/APK/UPK/ASRS"/>
    <n v="106129.60000000001"/>
    <s v="Exempted"/>
    <d v="2022-08-17T00:00:00"/>
    <s v="T0"/>
    <s v="AZ53:95% on progress,5% 1 month after acceptance"/>
    <n v="81871.19"/>
    <n v="47758.32"/>
    <n v="47758.32"/>
    <n v="0.77142653887322665"/>
    <n v="24258.41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58.32"/>
    <m/>
    <m/>
    <m/>
    <n v="0"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n v="0"/>
    <n v="0"/>
    <n v="0"/>
    <n v="0"/>
    <n v="0"/>
    <n v="34112.870000000003"/>
    <n v="0"/>
    <n v="0"/>
    <n v="0"/>
  </r>
  <r>
    <x v="4"/>
    <s v="AMHS"/>
    <m/>
    <s v="AMHS"/>
    <s v="David Nystrom"/>
    <s v="David Short"/>
    <x v="11"/>
    <x v="52"/>
    <s v="USC22C031"/>
    <s v="CAP_E_F21P1 APKUPK Foundation"/>
    <n v="26897.02"/>
    <s v="Exempted"/>
    <d v="2022-08-17T00:00:00"/>
    <s v="T0"/>
    <s v="AZ53:95% on progress,5% 1 month after acceptance"/>
    <n v="26897.02"/>
    <n v="26897.02"/>
    <n v="26897.02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897.02"/>
    <m/>
    <n v="0"/>
    <m/>
    <n v="0"/>
    <m/>
    <n v="0"/>
    <n v="0"/>
    <n v="0"/>
    <n v="0"/>
    <n v="0"/>
    <n v="0"/>
    <n v="0"/>
    <n v="0"/>
    <n v="0"/>
    <n v="0"/>
  </r>
  <r>
    <x v="2"/>
    <s v="新工"/>
    <m/>
    <s v="UPW"/>
    <s v="Steven Chiu"/>
    <s v="Johnny Wan/Sun Ling"/>
    <x v="4"/>
    <x v="53"/>
    <s v="USC22C021"/>
    <s v="F21P1 Chemical Lab setup"/>
    <n v="504415.82"/>
    <s v="Exempted"/>
    <d v="2022-08-25T00:00:00"/>
    <s v="T0"/>
    <s v="APB2:Pay on 28 next month: 90% on prog, 10 acpt"/>
    <n v="461855.48667818145"/>
    <n v="461855.48667818145"/>
    <n v="461855.49"/>
    <n v="0.91562450733242551"/>
    <n v="42560.33332181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192"/>
    <m/>
    <m/>
    <m/>
    <m/>
    <m/>
    <m/>
    <m/>
    <m/>
    <m/>
    <m/>
    <m/>
    <n v="336271.48667818145"/>
    <m/>
    <n v="51392"/>
    <m/>
    <m/>
    <m/>
    <m/>
    <m/>
    <m/>
    <m/>
    <m/>
    <m/>
    <m/>
    <m/>
    <n v="0"/>
    <n v="0"/>
    <n v="0"/>
    <n v="0"/>
    <n v="0"/>
    <n v="0"/>
    <n v="0"/>
    <n v="0"/>
    <n v="0"/>
    <n v="0"/>
  </r>
  <r>
    <x v="5"/>
    <s v="設備"/>
    <m/>
    <s v="Low Voltage"/>
    <s v="Paul Hsu"/>
    <s v="Johnny Yang"/>
    <x v="19"/>
    <x v="54"/>
    <s v="USC22C013"/>
    <s v="F21 Pump storage area CCTV construction"/>
    <n v="10738"/>
    <m/>
    <m/>
    <m/>
    <m/>
    <n v="0"/>
    <n v="0"/>
    <n v="0"/>
    <n v="0"/>
    <n v="107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5"/>
    <s v="設備"/>
    <m/>
    <s v="光阻櫃"/>
    <s v="Paul Hsu"/>
    <s v="Johnny Yang"/>
    <x v="20"/>
    <x v="55"/>
    <s v="USC22C013"/>
    <s v="F21 Pump storage area construction"/>
    <n v="26933.83"/>
    <m/>
    <m/>
    <m/>
    <m/>
    <n v="0"/>
    <n v="0"/>
    <n v="0"/>
    <n v="0"/>
    <n v="26933.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5"/>
    <s v="設備"/>
    <m/>
    <s v="光阻櫃"/>
    <s v="Paul Hsu"/>
    <s v="Johnny Yang"/>
    <x v="20"/>
    <x v="56"/>
    <s v="USC22C013"/>
    <s v="F21 Pump storage area construction"/>
    <n v="3364.56"/>
    <m/>
    <m/>
    <m/>
    <m/>
    <n v="0"/>
    <n v="0"/>
    <n v="0"/>
    <n v="0"/>
    <n v="3364.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2"/>
    <s v="新工"/>
    <m/>
    <s v="Low Voltage"/>
    <s v="Paul Hsu"/>
    <s v="Johnny Yang"/>
    <x v="5"/>
    <x v="57"/>
    <s v="USC22C013"/>
    <s v="F21P1 FAB Lab Security &amp; CCTV_Stage2"/>
    <n v="112375.63"/>
    <m/>
    <d v="2022-09-01T00:00:00"/>
    <s v="TX"/>
    <s v="AZB2:Pay on 28 next month: 90% on prog, 10 acpt"/>
    <n v="67615"/>
    <n v="67615"/>
    <n v="67615"/>
    <n v="0.60168739432206075"/>
    <n v="44760.63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615"/>
    <n v="3779.68"/>
    <m/>
    <m/>
    <n v="0"/>
    <n v="0"/>
    <n v="0"/>
    <n v="0"/>
    <n v="0"/>
    <n v="0"/>
    <n v="0"/>
    <n v="0"/>
    <n v="0"/>
    <n v="0"/>
  </r>
  <r>
    <x v="5"/>
    <s v="設備"/>
    <m/>
    <s v="Low Voltage"/>
    <s v="Paul Hsu"/>
    <s v="Shawn"/>
    <x v="21"/>
    <x v="58"/>
    <s v="USC22C035"/>
    <s v="CAP_A_90772_簡訊平台"/>
    <n v="224414.81"/>
    <m/>
    <m/>
    <m/>
    <m/>
    <n v="219227.77"/>
    <n v="0"/>
    <n v="219227.77"/>
    <n v="0.9768863739429674"/>
    <n v="5187.0400000000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27.77"/>
    <m/>
    <n v="0"/>
    <n v="0"/>
    <n v="0"/>
    <n v="0"/>
    <n v="0"/>
    <n v="0"/>
    <n v="0"/>
    <n v="0"/>
    <n v="0"/>
    <n v="0"/>
  </r>
  <r>
    <x v="5"/>
    <s v="製造"/>
    <m/>
    <s v="光阻櫃"/>
    <s v="Paul Hsu"/>
    <s v="Johnny Yang"/>
    <x v="12"/>
    <x v="59"/>
    <s v="USC22C012"/>
    <s v="(522/0%) F21 barcode reader 搬運定位"/>
    <n v="5300"/>
    <m/>
    <m/>
    <m/>
    <m/>
    <n v="0"/>
    <n v="0"/>
    <n v="0"/>
    <n v="0"/>
    <n v="5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5"/>
    <s v="製造"/>
    <m/>
    <s v="光阻櫃"/>
    <s v="Paul Hsu"/>
    <s v="Chihhao"/>
    <x v="12"/>
    <x v="60"/>
    <s v="USC22C012"/>
    <s v="光罩讀取機搬運安裝定位_buyer 洪薇甯"/>
    <n v="2172.5"/>
    <m/>
    <d v="2022-09-01T00:00:00"/>
    <s v="T0"/>
    <s v="AP01:Pay in month end - 1 month after delivery month"/>
    <n v="0"/>
    <n v="0"/>
    <n v="0"/>
    <n v="0"/>
    <n v="217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1"/>
    <s v="新工"/>
    <s v="Settlement"/>
    <s v="WWT"/>
    <s v="Jim Chiang"/>
    <s v="Thomas"/>
    <x v="3"/>
    <x v="61"/>
    <s v="USC21C009"/>
    <s v="F21P1 Discharge monitoring change"/>
    <n v="626000"/>
    <m/>
    <d v="2022-09-13T00:00:00"/>
    <s v="U9"/>
    <s v="APB2:Pay on 28 next month: 90% on prog, 10 acpt"/>
    <n v="441418"/>
    <n v="409882"/>
    <n v="441418"/>
    <n v="0.70514057507987216"/>
    <n v="184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76"/>
    <n v="1849"/>
    <m/>
    <m/>
    <m/>
    <m/>
    <m/>
    <m/>
    <n v="54072"/>
    <m/>
    <m/>
    <m/>
    <n v="0"/>
    <m/>
    <n v="244801"/>
    <m/>
    <m/>
    <m/>
    <n v="5592"/>
    <m/>
    <m/>
    <m/>
    <m/>
    <m/>
    <n v="72341"/>
    <m/>
    <m/>
    <m/>
    <m/>
    <m/>
    <m/>
    <m/>
    <m/>
    <m/>
    <m/>
    <m/>
    <n v="0"/>
    <n v="0"/>
    <n v="0"/>
    <n v="0"/>
    <n v="31536"/>
    <n v="0"/>
    <n v="0"/>
    <n v="0"/>
    <n v="0"/>
    <n v="0"/>
  </r>
  <r>
    <x v="1"/>
    <s v="新工"/>
    <s v="Settlement"/>
    <m/>
    <s v="Shannon"/>
    <s v="Debby/Shannon"/>
    <x v="3"/>
    <x v="62"/>
    <s v="USC22C018"/>
    <s v="US Fab Frontage line hydrants"/>
    <n v="1228000"/>
    <s v="Exempted"/>
    <d v="2022-09-15T00:00:00"/>
    <s v="T0"/>
    <s v="APB2:Pay on 28 next month: 90% on prog, 10 acpt"/>
    <n v="1228000"/>
    <n v="1228000"/>
    <n v="122800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190340"/>
    <m/>
    <n v="14641"/>
    <m/>
    <m/>
    <m/>
    <m/>
    <m/>
    <n v="839966"/>
    <m/>
    <m/>
    <m/>
    <n v="183053"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4"/>
    <s v="AMHS"/>
    <m/>
    <s v="AMHS"/>
    <s v="David Nystrom"/>
    <s v="David Short"/>
    <x v="22"/>
    <x v="63"/>
    <s v="USC22C028"/>
    <s v="CAP_E_F21P1 Autoshelf Foundation"/>
    <n v="51628.05"/>
    <m/>
    <m/>
    <m/>
    <m/>
    <n v="21277.96"/>
    <n v="21277.96"/>
    <n v="21277.96"/>
    <n v="0.41213952492879352"/>
    <n v="30350.09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21277.96"/>
    <m/>
    <n v="0"/>
    <m/>
    <n v="0"/>
    <n v="0"/>
    <n v="0"/>
    <n v="0"/>
    <n v="0"/>
    <n v="0"/>
    <n v="0"/>
    <n v="0"/>
    <n v="0"/>
    <n v="0"/>
  </r>
  <r>
    <x v="4"/>
    <s v="AMHS"/>
    <m/>
    <s v="AMHS"/>
    <s v="David Nystrom"/>
    <s v="David Short"/>
    <x v="11"/>
    <x v="64"/>
    <s v="USC22C027"/>
    <s v="CAP_E_F21P1 Autoshelf Installation 4 set"/>
    <n v="225446.39999999999"/>
    <m/>
    <m/>
    <m/>
    <m/>
    <n v="112722.88"/>
    <n v="11272"/>
    <n v="112722.88"/>
    <n v="0.49999858059387953"/>
    <n v="112723.51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72"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0"/>
    <m/>
    <n v="0"/>
    <m/>
    <n v="0"/>
    <n v="0"/>
    <n v="0"/>
    <n v="0"/>
    <n v="101450.88"/>
    <n v="0"/>
    <n v="0"/>
    <n v="0"/>
    <n v="0"/>
    <n v="0"/>
  </r>
  <r>
    <x v="4"/>
    <s v="AMHS"/>
    <m/>
    <s v="AMHS"/>
    <s v="David Nystrom"/>
    <s v="David Short"/>
    <x v="23"/>
    <x v="65"/>
    <s v="USC22C031"/>
    <s v="CAP_E_F21P1A_Grating Floor Opening"/>
    <n v="1113677.02"/>
    <m/>
    <m/>
    <m/>
    <m/>
    <n v="721517.13"/>
    <n v="222735"/>
    <n v="721517.13"/>
    <n v="0.64786928080818262"/>
    <n v="392159.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735"/>
    <m/>
    <m/>
    <m/>
    <m/>
    <m/>
    <m/>
    <m/>
    <n v="0"/>
    <m/>
    <n v="498782.13"/>
    <m/>
    <n v="0"/>
    <n v="0"/>
    <n v="0"/>
    <n v="0"/>
    <n v="0"/>
    <n v="0"/>
    <n v="0"/>
    <n v="0"/>
    <n v="0"/>
    <n v="0"/>
  </r>
  <r>
    <x v="1"/>
    <s v="新工"/>
    <s v="Settlement"/>
    <s v="WWT"/>
    <s v="Jim Chiang"/>
    <s v="Grant"/>
    <x v="3"/>
    <x v="66"/>
    <s v="USC22C020"/>
    <s v="F21P1 Penetration Pipe"/>
    <n v="1050000"/>
    <s v="Excluded"/>
    <d v="2022-09-15T00:00:00"/>
    <s v="U9"/>
    <s v="APB2:Pay on 28 next month: 90% on prog, 10 acpt"/>
    <n v="621472.81000000006"/>
    <n v="604130.18000000005"/>
    <n v="621472.81000000006"/>
    <n v="0.59187886666666667"/>
    <n v="428527.18999999994"/>
    <m/>
    <m/>
    <m/>
    <m/>
    <m/>
    <m/>
    <m/>
    <m/>
    <m/>
    <m/>
    <m/>
    <m/>
    <m/>
    <m/>
    <m/>
    <m/>
    <m/>
    <m/>
    <m/>
    <m/>
    <m/>
    <m/>
    <m/>
    <m/>
    <m/>
    <m/>
    <m/>
    <m/>
    <n v="176648"/>
    <n v="9874.6200000000008"/>
    <n v="132082"/>
    <n v="7383.38"/>
    <n v="42200"/>
    <n v="2358.98"/>
    <m/>
    <m/>
    <m/>
    <m/>
    <m/>
    <m/>
    <m/>
    <m/>
    <m/>
    <m/>
    <m/>
    <m/>
    <m/>
    <m/>
    <m/>
    <m/>
    <m/>
    <m/>
    <n v="223978"/>
    <n v="12520.37"/>
    <n v="24898.53"/>
    <n v="1391.83"/>
    <m/>
    <m/>
    <m/>
    <m/>
    <m/>
    <m/>
    <m/>
    <m/>
    <n v="4323.6499999999996"/>
    <n v="241.69"/>
    <m/>
    <m/>
    <n v="0"/>
    <n v="0"/>
    <n v="17342.63"/>
    <n v="0"/>
    <n v="0"/>
    <n v="0"/>
    <n v="0"/>
    <n v="0"/>
    <n v="0"/>
    <n v="0"/>
  </r>
  <r>
    <x v="1"/>
    <s v="新工"/>
    <m/>
    <s v="WWT"/>
    <s v="Jim Chiang"/>
    <s v="Jim"/>
    <x v="3"/>
    <x v="67"/>
    <s v="USC22C022"/>
    <s v="F21P1 Triazole treatment system"/>
    <n v="4340000"/>
    <s v="Exempted"/>
    <d v="2022-09-29T00:00:00"/>
    <s v="T0"/>
    <s v="APB2:Pay on 28 next month: 90% on prog, 10 acpt"/>
    <n v="3895546"/>
    <n v="2095586"/>
    <n v="3876873"/>
    <n v="0.89759124423963133"/>
    <n v="444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520"/>
    <m/>
    <m/>
    <m/>
    <m/>
    <m/>
    <m/>
    <m/>
    <m/>
    <m/>
    <m/>
    <m/>
    <m/>
    <m/>
    <m/>
    <m/>
    <m/>
    <m/>
    <n v="248691"/>
    <m/>
    <n v="596404"/>
    <m/>
    <n v="91781"/>
    <m/>
    <n v="118993"/>
    <m/>
    <n v="27303"/>
    <m/>
    <n v="190243"/>
    <m/>
    <m/>
    <m/>
    <n v="563651"/>
    <m/>
    <n v="1636643"/>
    <m/>
    <n v="11661"/>
    <n v="0"/>
    <n v="132983"/>
    <n v="0"/>
    <n v="0"/>
    <n v="0"/>
    <n v="18673"/>
    <n v="0"/>
    <n v="0"/>
    <n v="0"/>
  </r>
  <r>
    <x v="1"/>
    <s v="新工"/>
    <m/>
    <s v="WWT"/>
    <s v="Jim Chiang"/>
    <s v="Jim"/>
    <x v="24"/>
    <x v="68"/>
    <s v="USC21C009"/>
    <s v="F21P1 CCB Lorry in drain system"/>
    <n v="707246"/>
    <m/>
    <m/>
    <m/>
    <m/>
    <n v="327541"/>
    <n v="327541"/>
    <n v="327541"/>
    <n v="0.46312174264683009"/>
    <n v="37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76"/>
    <m/>
    <m/>
    <m/>
    <m/>
    <m/>
    <n v="87212"/>
    <m/>
    <m/>
    <m/>
    <n v="38596"/>
    <m/>
    <n v="159257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6"/>
    <s v="QR"/>
    <m/>
    <m/>
    <s v="Hank Su"/>
    <s v="Hank Su"/>
    <x v="25"/>
    <x v="69"/>
    <m/>
    <s v="F21_AZQR_Hookup_FdtnLabor"/>
    <n v="359204"/>
    <m/>
    <m/>
    <m/>
    <m/>
    <n v="0"/>
    <n v="0"/>
    <n v="0"/>
    <n v="0"/>
    <n v="359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4"/>
    <s v="AMHS"/>
    <m/>
    <s v="Low Voltage"/>
    <s v="Paul Hsu"/>
    <s v="Johnny Yang"/>
    <x v="23"/>
    <x v="70"/>
    <s v="USC22C013"/>
    <s v="CAP_E_F21 P1 EUV STK CCTV Package_Labor"/>
    <n v="290688.3"/>
    <m/>
    <m/>
    <m/>
    <m/>
    <n v="57922.320000000007"/>
    <n v="33419.730000000003"/>
    <n v="57922.320000000007"/>
    <n v="0.1992592065108916"/>
    <n v="232765.97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419.730000000003"/>
    <n v="1868.16"/>
    <m/>
    <m/>
    <m/>
    <m/>
    <m/>
    <m/>
    <n v="0"/>
    <m/>
    <n v="0"/>
    <m/>
    <n v="24502.59"/>
    <n v="1369.69"/>
    <n v="0"/>
    <n v="0"/>
    <n v="0"/>
    <n v="0"/>
    <n v="0"/>
    <n v="0"/>
    <n v="0"/>
    <n v="0"/>
  </r>
  <r>
    <x v="4"/>
    <s v="AMHS"/>
    <m/>
    <s v="Low Voltage"/>
    <s v="Paul Hsu"/>
    <s v="Johnny Yang"/>
    <x v="23"/>
    <x v="71"/>
    <s v="USC22C013"/>
    <s v="CAP_E_F21 P1 EUV STK CCTV Package 6 sets"/>
    <n v="128799.71"/>
    <m/>
    <m/>
    <m/>
    <m/>
    <n v="19085.93"/>
    <n v="10901.21"/>
    <n v="19085.93"/>
    <n v="0.14818301997729652"/>
    <n v="109713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01.21"/>
    <n v="609.38"/>
    <m/>
    <m/>
    <m/>
    <m/>
    <m/>
    <m/>
    <n v="0"/>
    <m/>
    <n v="0"/>
    <m/>
    <n v="8184.72"/>
    <n v="457.53"/>
    <n v="0"/>
    <n v="0"/>
    <n v="0"/>
    <n v="0"/>
    <n v="0"/>
    <n v="0"/>
    <n v="0"/>
    <n v="0"/>
  </r>
  <r>
    <x v="3"/>
    <s v="HK"/>
    <m/>
    <m/>
    <s v="Edwards/Ian/Poh"/>
    <s v="Michelle H"/>
    <x v="26"/>
    <x v="72"/>
    <s v="USC22C026"/>
    <s v="F21P1-0423_H_Unistrut Support Frame_MICU"/>
    <n v="10906774.779999999"/>
    <s v="Excluded"/>
    <d v="2022-10-12T00:00:00"/>
    <s v="T9"/>
    <s v="APB2:Pay on 28 next month: 90% on prog, 10 acpt"/>
    <n v="10848813.17"/>
    <n v="10848813.17"/>
    <n v="10848813.17"/>
    <n v="0.99468572413301459"/>
    <n v="57961.609999999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1165"/>
    <n v="74920.240000000005"/>
    <m/>
    <m/>
    <m/>
    <m/>
    <n v="3367834.67"/>
    <m/>
    <m/>
    <m/>
    <n v="2766325.5"/>
    <m/>
    <n v="3843488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1"/>
    <s v="新工"/>
    <m/>
    <s v="WWT"/>
    <s v="Jim Chiang"/>
    <s v="Thomas"/>
    <x v="24"/>
    <x v="73"/>
    <s v="USC21C009"/>
    <s v="F21P1 Formaldehyde treatment system"/>
    <n v="700000"/>
    <s v="Exempted"/>
    <d v="2022-10-12T00:00:00"/>
    <s v="T0"/>
    <s v="APB2:Pay on 28 next month: 90% on prog, 10 acpt"/>
    <n v="132846"/>
    <n v="132846"/>
    <n v="132846"/>
    <n v="0.18978"/>
    <n v="56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59"/>
    <m/>
    <m/>
    <m/>
    <m/>
    <m/>
    <m/>
    <m/>
    <m/>
    <m/>
    <m/>
    <m/>
    <m/>
    <m/>
    <m/>
    <m/>
    <m/>
    <m/>
    <m/>
    <m/>
    <m/>
    <m/>
    <m/>
    <m/>
    <n v="98587"/>
    <m/>
    <m/>
    <m/>
    <m/>
    <m/>
    <m/>
    <m/>
    <n v="0"/>
    <n v="0"/>
    <n v="0"/>
    <n v="0"/>
    <n v="0"/>
    <n v="0"/>
    <n v="0"/>
    <n v="0"/>
    <n v="0"/>
    <n v="0"/>
  </r>
  <r>
    <x v="5"/>
    <s v="製造"/>
    <m/>
    <s v="光阻櫃"/>
    <s v="Paul Hsu"/>
    <s v="Chihhao"/>
    <x v="12"/>
    <x v="74"/>
    <s v="USC22C012"/>
    <s v="CAP_A_MFG_AZP1 F21 Mask room 集塵罩 + Exhau"/>
    <n v="47326.37"/>
    <m/>
    <m/>
    <m/>
    <m/>
    <n v="23122"/>
    <n v="23122"/>
    <n v="23122"/>
    <n v="0.48856483182631583"/>
    <n v="24204.37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22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1"/>
    <s v="新工"/>
    <s v="Settlement"/>
    <s v="UPW"/>
    <s v="Tylor"/>
    <s v="Tylor"/>
    <x v="27"/>
    <x v="75"/>
    <s v="USC21C003"/>
    <s v="F21P1 Tunnel/lorry common support"/>
    <n v="6500000"/>
    <s v="Exempted"/>
    <d v="2022-10-13T00:00:00"/>
    <s v="T0"/>
    <s v="AZ53:95% on progress,5% 1 month after acceptance"/>
    <n v="6499999.9999999991"/>
    <n v="6174999.9999999991"/>
    <n v="6500000"/>
    <n v="0.9999999999999998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4999.9999999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5000"/>
    <n v="0"/>
    <n v="0"/>
    <n v="0"/>
    <n v="0"/>
    <n v="0"/>
    <n v="0"/>
    <n v="0"/>
    <n v="0"/>
    <n v="0"/>
  </r>
  <r>
    <x v="4"/>
    <s v="AMHS"/>
    <m/>
    <s v="AMHS"/>
    <s v="David Nystrom"/>
    <s v="David Short"/>
    <x v="15"/>
    <x v="76"/>
    <s v="USC22C025"/>
    <s v="CAP_E_F12P1 AMHS Power system_Instrustructure and Branch Circuits"/>
    <n v="24500000"/>
    <s v="Exempted"/>
    <d v="2022-10-13T00:00:00"/>
    <s v="T0"/>
    <s v="AZB2:Pay on 28 next month: 90% on prog, 10 acpt"/>
    <n v="19871841"/>
    <n v="14375488"/>
    <n v="19871841"/>
    <n v="0.8110955510204082"/>
    <n v="4628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68170"/>
    <m/>
    <n v="0"/>
    <m/>
    <m/>
    <m/>
    <n v="0"/>
    <m/>
    <n v="0"/>
    <m/>
    <m/>
    <m/>
    <n v="7119456"/>
    <m/>
    <m/>
    <m/>
    <n v="0"/>
    <m/>
    <m/>
    <m/>
    <n v="0"/>
    <m/>
    <n v="4134250"/>
    <m/>
    <m/>
    <m/>
    <n v="253612"/>
    <m/>
    <n v="0"/>
    <m/>
    <m/>
    <m/>
    <n v="0"/>
    <m/>
    <n v="2785485"/>
    <m/>
    <n v="992071"/>
    <n v="0"/>
    <n v="1228501"/>
    <n v="0"/>
    <n v="0"/>
    <n v="0"/>
    <n v="490296"/>
    <n v="0"/>
    <n v="1011124"/>
    <n v="0"/>
  </r>
  <r>
    <x v="4"/>
    <s v="AMHS"/>
    <m/>
    <s v="AMHS"/>
    <s v="David Nystrom"/>
    <s v="David Short"/>
    <x v="11"/>
    <x v="77"/>
    <s v="USC22C031"/>
    <s v="F21P1 Partition Opening Panel Tray"/>
    <n v="437000"/>
    <m/>
    <m/>
    <m/>
    <m/>
    <n v="353740"/>
    <n v="296095"/>
    <n v="353740"/>
    <n v="0.80947368421052635"/>
    <n v="83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8250"/>
    <m/>
    <m/>
    <m/>
    <n v="0"/>
    <m/>
    <m/>
    <m/>
    <n v="137845"/>
    <m/>
    <n v="27055"/>
    <m/>
    <n v="0"/>
    <n v="0"/>
    <n v="25300"/>
    <n v="0"/>
    <n v="5290"/>
    <n v="0"/>
    <n v="0"/>
    <n v="0"/>
    <n v="4140"/>
    <n v="0"/>
  </r>
  <r>
    <x v="7"/>
    <s v="EBO"/>
    <m/>
    <s v="Low Voltage"/>
    <s v="Paul Hsu"/>
    <s v="Jaivan"/>
    <x v="28"/>
    <x v="78"/>
    <s v="USC21C013"/>
    <s v="F21P1 EBO AMC Monitor system"/>
    <n v="941126"/>
    <m/>
    <m/>
    <m/>
    <m/>
    <n v="941126"/>
    <n v="218639"/>
    <n v="821446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8639"/>
    <m/>
    <n v="259718"/>
    <m/>
    <n v="212785"/>
    <n v="0"/>
    <n v="130304"/>
    <n v="0"/>
    <n v="0"/>
    <n v="0"/>
    <n v="119680"/>
    <n v="0"/>
    <n v="0"/>
    <n v="0"/>
  </r>
  <r>
    <x v="5"/>
    <s v="製造"/>
    <m/>
    <m/>
    <s v="Hank Su"/>
    <s v="Hank Su"/>
    <x v="12"/>
    <x v="79"/>
    <s v="USC22C012"/>
    <s v="CAP_A_MFG_AZP1 F21 Mask room P1A + P1B f"/>
    <n v="1557"/>
    <m/>
    <m/>
    <m/>
    <m/>
    <n v="0"/>
    <n v="0"/>
    <n v="0"/>
    <n v="0"/>
    <n v="1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1"/>
    <s v="新工"/>
    <s v="Settlement"/>
    <s v="WWT"/>
    <s v="Jim Chiang"/>
    <s v="Jim"/>
    <x v="24"/>
    <x v="80"/>
    <s v="USC22C011"/>
    <s v="F21P1 WRC Exterior Pad (NH3&amp;Diesel tank)"/>
    <n v="2480033"/>
    <s v="Exempted"/>
    <d v="2022-10-21T00:00:00"/>
    <s v="T0"/>
    <s v="APB2:Pay on 28 next month: 90% on prog, 10 acpt"/>
    <n v="2380831.7799999998"/>
    <n v="2380831.7799999998"/>
    <n v="2380831.7799999998"/>
    <n v="0.960000040322044"/>
    <n v="99201.220000000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4000"/>
    <m/>
    <n v="232030"/>
    <m/>
    <m/>
    <m/>
    <m/>
    <m/>
    <m/>
    <m/>
    <m/>
    <m/>
    <m/>
    <m/>
    <m/>
    <m/>
    <m/>
    <m/>
    <m/>
    <m/>
    <m/>
    <m/>
    <m/>
    <m/>
    <m/>
    <m/>
    <m/>
    <m/>
    <m/>
    <m/>
    <n v="24801.78"/>
    <m/>
    <m/>
    <m/>
    <m/>
    <m/>
    <n v="0"/>
    <n v="0"/>
    <n v="0"/>
    <n v="0"/>
    <n v="0"/>
    <n v="0"/>
    <n v="0"/>
    <n v="0"/>
    <n v="0"/>
    <n v="0"/>
  </r>
  <r>
    <x v="4"/>
    <s v="AMHS"/>
    <m/>
    <s v="AMHS"/>
    <s v="David Nystrom"/>
    <s v="David Short"/>
    <x v="11"/>
    <x v="81"/>
    <s v="USC22C031"/>
    <s v="CAP_E_F21P1 AMHS MML seismic foundation design"/>
    <n v="47460"/>
    <s v="Exempted"/>
    <d v="2022-10-28T00:00:00"/>
    <s v="T0"/>
    <s v="APB2:Pay on 28 next month: 90% on prog, 10 acpt"/>
    <n v="47460"/>
    <n v="47460"/>
    <n v="4746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n v="47460"/>
    <m/>
    <m/>
    <m/>
    <m/>
    <m/>
    <m/>
    <m/>
    <m/>
    <m/>
    <m/>
    <m/>
    <m/>
    <m/>
    <m/>
    <m/>
    <m/>
    <m/>
    <n v="0"/>
    <m/>
    <n v="0"/>
    <m/>
    <n v="0"/>
    <n v="0"/>
    <n v="0"/>
    <n v="0"/>
    <n v="0"/>
    <n v="0"/>
    <n v="0"/>
    <n v="0"/>
    <n v="0"/>
    <n v="0"/>
  </r>
  <r>
    <x v="4"/>
    <s v="AMHS"/>
    <m/>
    <s v="AMHS"/>
    <s v="David Nystrom"/>
    <s v="David Short"/>
    <x v="29"/>
    <x v="82"/>
    <s v="USC22C031"/>
    <s v="CAP_E_F21P1 AMHS non-MML seismic foundation install"/>
    <n v="377825.6"/>
    <m/>
    <d v="2022-10-28T00:00:00"/>
    <s v="T0"/>
    <m/>
    <n v="111872"/>
    <n v="0"/>
    <n v="0"/>
    <n v="0.29609428265316062"/>
    <n v="265953.5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n v="0"/>
    <m/>
    <m/>
    <m/>
    <m/>
    <m/>
    <m/>
    <m/>
    <m/>
    <m/>
    <n v="0"/>
    <m/>
    <m/>
    <m/>
    <m/>
    <m/>
    <m/>
    <m/>
    <n v="0"/>
    <m/>
    <n v="0"/>
    <m/>
    <n v="0"/>
    <n v="0"/>
    <n v="0"/>
    <n v="0"/>
    <n v="0"/>
    <n v="0"/>
    <n v="111872"/>
    <n v="0"/>
    <n v="0"/>
    <n v="0"/>
  </r>
  <r>
    <x v="2"/>
    <s v="新工"/>
    <m/>
    <s v="WWT"/>
    <s v="Jim Chiang"/>
    <s v="Jim"/>
    <x v="24"/>
    <x v="83"/>
    <s v="USC21C011"/>
    <s v="TMAH ACF system expansion"/>
    <n v="4770930"/>
    <m/>
    <d v="2022-11-04T00:00:00"/>
    <s v="U9"/>
    <s v="APB2:Pay on 28 next month: 90% on prog, 10 acpt"/>
    <n v="1494630"/>
    <n v="838436"/>
    <n v="1494630"/>
    <n v="0.3132785431771164"/>
    <n v="3276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3706"/>
    <m/>
    <m/>
    <m/>
    <m/>
    <m/>
    <m/>
    <m/>
    <m/>
    <m/>
    <m/>
    <m/>
    <m/>
    <m/>
    <m/>
    <m/>
    <m/>
    <m/>
    <m/>
    <m/>
    <m/>
    <m/>
    <n v="177982"/>
    <m/>
    <m/>
    <m/>
    <n v="116748"/>
    <m/>
    <m/>
    <m/>
    <n v="148812"/>
    <m/>
    <n v="119205"/>
    <n v="0"/>
    <n v="388177"/>
    <n v="0"/>
    <n v="0"/>
    <n v="0"/>
    <n v="0"/>
    <n v="0"/>
    <n v="783581"/>
    <n v="0"/>
  </r>
  <r>
    <x v="4"/>
    <s v="AMHS"/>
    <m/>
    <s v="AMHS"/>
    <s v="David Nystrom"/>
    <s v="David Short"/>
    <x v="11"/>
    <x v="84"/>
    <s v="USC22C031"/>
    <s v="CAP_E_F21P1 AMHS MML Seismic Foundation Material"/>
    <n v="162769"/>
    <m/>
    <m/>
    <m/>
    <m/>
    <n v="162769"/>
    <n v="162769"/>
    <n v="16276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554"/>
    <m/>
    <m/>
    <m/>
    <m/>
    <m/>
    <m/>
    <m/>
    <m/>
    <m/>
    <m/>
    <m/>
    <m/>
    <m/>
    <m/>
    <m/>
    <m/>
    <m/>
    <m/>
    <m/>
    <m/>
    <m/>
    <n v="130215"/>
    <m/>
    <m/>
    <m/>
    <m/>
    <m/>
    <n v="0"/>
    <s v=" "/>
    <n v="0"/>
    <m/>
    <n v="0"/>
    <n v="0"/>
    <n v="0"/>
    <n v="0"/>
    <n v="0"/>
    <n v="0"/>
    <n v="0"/>
    <n v="0"/>
    <n v="0"/>
    <n v="0"/>
  </r>
  <r>
    <x v="7"/>
    <s v="EBO"/>
    <m/>
    <s v="Low Voltage"/>
    <s v="Paul Hsu"/>
    <s v="Johnny Yang"/>
    <x v="5"/>
    <x v="85"/>
    <s v="USC22C013"/>
    <s v="F21P1 EBO Security &amp; CCTV system"/>
    <n v="164514.35999999999"/>
    <m/>
    <m/>
    <m/>
    <m/>
    <n v="119231.30000000002"/>
    <n v="69266"/>
    <n v="119231.30000000002"/>
    <n v="0.72474706767239061"/>
    <n v="45283.059999999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266"/>
    <n v="3872"/>
    <m/>
    <m/>
    <m/>
    <m/>
    <m/>
    <m/>
    <m/>
    <m/>
    <n v="13358.49"/>
    <n v="716.85"/>
    <n v="6732.13"/>
    <n v="0"/>
    <n v="0"/>
    <n v="0"/>
    <n v="0"/>
    <n v="0"/>
    <n v="29874.68"/>
    <n v="1664.65"/>
    <n v="0"/>
    <n v="0"/>
  </r>
  <r>
    <x v="7"/>
    <s v="EBO"/>
    <m/>
    <s v="Low Voltage"/>
    <s v="Paul Hsu"/>
    <s v="Johnny Yang"/>
    <x v="5"/>
    <x v="86"/>
    <s v="USC22C013"/>
    <s v="F21P1 EBO Security CCTV system_material"/>
    <n v="99351.1"/>
    <m/>
    <m/>
    <m/>
    <m/>
    <n v="88925.86"/>
    <n v="55726"/>
    <n v="67932.62"/>
    <n v="0.8950666877367236"/>
    <n v="10425.24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726"/>
    <n v="3115"/>
    <m/>
    <m/>
    <m/>
    <m/>
    <m/>
    <m/>
    <m/>
    <m/>
    <n v="12206.62"/>
    <n v="647.54"/>
    <n v="0"/>
    <n v="0"/>
    <n v="0"/>
    <n v="0"/>
    <n v="0"/>
    <n v="0"/>
    <n v="20993.24"/>
    <n v="1169.6300000000001"/>
    <n v="0"/>
    <n v="0"/>
  </r>
  <r>
    <x v="6"/>
    <s v="QR"/>
    <m/>
    <m/>
    <s v="Hank Su"/>
    <s v="Hank Su"/>
    <x v="2"/>
    <x v="87"/>
    <s v="USC22C030"/>
    <s v="F21_AZCHAD_Hookup_ temp PVC curtain"/>
    <n v="23257.83"/>
    <m/>
    <m/>
    <m/>
    <m/>
    <n v="23257.83"/>
    <n v="23257.83"/>
    <n v="23257.83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57.83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4"/>
    <s v="AMHS"/>
    <m/>
    <s v="AMHS"/>
    <s v="David Nystrom"/>
    <s v="David Short"/>
    <x v="11"/>
    <x v="88"/>
    <m/>
    <s v="CAP_E_F21 P1 APK UPK PV CV GEX"/>
    <n v="19201"/>
    <m/>
    <m/>
    <m/>
    <m/>
    <n v="0"/>
    <n v="0"/>
    <n v="0"/>
    <n v="0"/>
    <n v="19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n v="0"/>
    <n v="0"/>
    <n v="0"/>
    <n v="0"/>
    <n v="0"/>
    <n v="0"/>
    <n v="0"/>
    <n v="0"/>
    <n v="0"/>
  </r>
  <r>
    <x v="1"/>
    <s v="新工"/>
    <m/>
    <s v="UPW"/>
    <s v="Emon"/>
    <s v="Chihhao"/>
    <x v="30"/>
    <x v="89"/>
    <s v="USC22C021"/>
    <s v="F21P1 Chemical Lab Hookup"/>
    <n v="507650"/>
    <m/>
    <m/>
    <m/>
    <m/>
    <n v="197729.21000000002"/>
    <n v="139168.01"/>
    <n v="197729.21000000002"/>
    <n v="0.389499084014577"/>
    <n v="309920.78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52"/>
    <m/>
    <n v="75865.81"/>
    <m/>
    <n v="8925.39"/>
    <m/>
    <n v="39524.81"/>
    <m/>
    <m/>
    <m/>
    <m/>
    <m/>
    <n v="0"/>
    <n v="0"/>
    <n v="0"/>
    <n v="0"/>
    <n v="58561.2"/>
    <n v="0"/>
    <n v="0"/>
    <n v="0"/>
    <n v="0"/>
    <n v="0"/>
  </r>
  <r>
    <x v="8"/>
    <s v="HK"/>
    <m/>
    <m/>
    <s v="Paul Verna"/>
    <s v="Paul Verna"/>
    <x v="2"/>
    <x v="90"/>
    <s v="USC22C008"/>
    <s v="MISC_(TAX/U1)_Onsite crating job"/>
    <n v="6340"/>
    <m/>
    <m/>
    <m/>
    <m/>
    <n v="6340"/>
    <n v="6340"/>
    <n v="634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0"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9"/>
    <s v="ISEP"/>
    <m/>
    <s v="Low Voltage"/>
    <s v="Paul Hsu"/>
    <s v="Johnny Yang"/>
    <x v="31"/>
    <x v="91"/>
    <s v="USC22C033"/>
    <s v="F21 ESP equipment(include labor fee)"/>
    <n v="12226"/>
    <s v="Excluded"/>
    <d v="2022-11-14T00:00:00"/>
    <s v="T1"/>
    <s v="APB2:Pay on 28 next month: 90% on prog, 10 acpt"/>
    <n v="5506"/>
    <n v="5506"/>
    <n v="5506"/>
    <n v="0.45035170947161784"/>
    <n v="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6"/>
    <n v="1051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1"/>
    <s v="新工"/>
    <s v="Settlement"/>
    <s v="WWT"/>
    <s v="Elaine Ma"/>
    <s v="Ning"/>
    <x v="3"/>
    <x v="92"/>
    <s v="USC22C023"/>
    <s v="F21P1 Piping Material Collaboration"/>
    <n v="3042902.07"/>
    <m/>
    <m/>
    <m/>
    <m/>
    <n v="3042902.07"/>
    <n v="3042902.07"/>
    <n v="3042902.07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2280.0699999998"/>
    <m/>
    <m/>
    <m/>
    <n v="550622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1"/>
    <s v="新工"/>
    <s v="Settlement"/>
    <m/>
    <s v="Elaine Ma"/>
    <s v="Kuanchun"/>
    <x v="32"/>
    <x v="93"/>
    <s v="USC23C014"/>
    <s v="F21P1 Labor incentive program-MICU"/>
    <n v="1625000"/>
    <m/>
    <m/>
    <m/>
    <m/>
    <n v="821051"/>
    <n v="821051"/>
    <n v="821051"/>
    <n v="0.50526215384615381"/>
    <n v="803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581"/>
    <m/>
    <m/>
    <m/>
    <m/>
    <m/>
    <n v="293555"/>
    <m/>
    <n v="171915"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7"/>
    <s v="EBO"/>
    <s v="Foundation"/>
    <m/>
    <s v="Hank Su"/>
    <s v="Hank Su"/>
    <x v="33"/>
    <x v="94"/>
    <s v="USC23C002"/>
    <s v="EBO-21 Tool foundation installation labo"/>
    <n v="954136.5"/>
    <m/>
    <m/>
    <m/>
    <m/>
    <n v="270404"/>
    <n v="270404"/>
    <n v="270404"/>
    <n v="0.28340179838000118"/>
    <n v="68373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404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290696"/>
    <n v="0"/>
  </r>
  <r>
    <x v="3"/>
    <s v="HK"/>
    <s v="Foundation"/>
    <m/>
    <s v="Hank Su"/>
    <s v="Hank Su"/>
    <x v="34"/>
    <x v="95"/>
    <s v="USC23C002"/>
    <s v="F21P1-0404_H_Hallway plate install_MICU"/>
    <n v="327419.43"/>
    <m/>
    <m/>
    <m/>
    <m/>
    <n v="300145"/>
    <n v="300145"/>
    <n v="300145"/>
    <n v="0.91669880434401829"/>
    <n v="27274.42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129"/>
    <m/>
    <m/>
    <m/>
    <m/>
    <m/>
    <n v="239016"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3"/>
    <s v="HK"/>
    <m/>
    <m/>
    <s v="Elaine Ma"/>
    <s v="Ning"/>
    <x v="35"/>
    <x v="96"/>
    <s v="USC22C005"/>
    <s v="F21P1-0423_H_UPW_MICU"/>
    <n v="926011.72"/>
    <m/>
    <d v="2023-01-11T00:00:00"/>
    <s v="T0"/>
    <s v="AZ03:Pay in month end - 1 month after acceptance month"/>
    <n v="923604.72"/>
    <n v="923604.72"/>
    <n v="923604.72"/>
    <n v="0.99740068084667433"/>
    <n v="2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202.34"/>
    <m/>
    <n v="4405.0200000000004"/>
    <m/>
    <n v="99676.09"/>
    <m/>
    <n v="29325.47"/>
    <m/>
    <n v="97673.16"/>
    <m/>
    <n v="300813.71000000002"/>
    <m/>
    <n v="206508.93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1"/>
    <s v="新工"/>
    <s v="Settlement"/>
    <s v="UPW"/>
    <s v="Emon"/>
    <s v="Kate"/>
    <x v="3"/>
    <x v="97"/>
    <s v="USC21C003"/>
    <s v="F21P1 UPW Temporary CP and piping "/>
    <n v="125975"/>
    <m/>
    <d v="2023-01-19T00:00:00"/>
    <s v="T0"/>
    <s v="APB2:Pay on 28 next month: 90% on prog, 10 acpt"/>
    <n v="125975"/>
    <n v="125975"/>
    <n v="12597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73"/>
    <m/>
    <n v="72888"/>
    <m/>
    <n v="10155"/>
    <m/>
    <m/>
    <m/>
    <m/>
    <m/>
    <m/>
    <m/>
    <m/>
    <m/>
    <m/>
    <m/>
    <m/>
    <m/>
    <n v="33959"/>
    <m/>
    <m/>
    <m/>
    <m/>
    <m/>
    <m/>
    <m/>
    <m/>
    <m/>
    <m/>
    <m/>
    <n v="0"/>
    <n v="0"/>
    <n v="0"/>
    <n v="0"/>
    <n v="0"/>
    <n v="0"/>
    <n v="0"/>
    <n v="0"/>
    <n v="0"/>
    <n v="0"/>
  </r>
  <r>
    <x v="3"/>
    <s v="設備"/>
    <s v="Foundation"/>
    <m/>
    <s v="Hank Su"/>
    <s v="Hank Su"/>
    <x v="2"/>
    <x v="98"/>
    <s v="USC23C002"/>
    <s v="MISC_(522/U0)SU3200 foundation"/>
    <n v="35767.300000000003"/>
    <m/>
    <d v="2023-02-01T00:00:00"/>
    <s v="T0"/>
    <s v="AZ03:Pay in month end - 1 month after acceptance month"/>
    <n v="35767"/>
    <n v="35767"/>
    <n v="35767"/>
    <n v="0.99999161245047841"/>
    <n v="0.30000000000291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767"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3"/>
    <s v="HK"/>
    <s v="Foundation"/>
    <m/>
    <s v="Hank Su"/>
    <s v="Hank Su"/>
    <x v="36"/>
    <x v="99"/>
    <s v="USC23C047"/>
    <s v="F21P1-0423_H_Seismic installation_MICU"/>
    <n v="3463200"/>
    <m/>
    <m/>
    <m/>
    <m/>
    <n v="3139500"/>
    <n v="3139500"/>
    <n v="3139500"/>
    <n v="0.90653153153153154"/>
    <n v="323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2225"/>
    <m/>
    <m/>
    <m/>
    <m/>
    <m/>
    <n v="650478"/>
    <m/>
    <n v="0"/>
    <m/>
    <n v="375238"/>
    <m/>
    <n v="1711559"/>
    <m/>
    <m/>
    <m/>
    <m/>
    <m/>
    <n v="0"/>
    <n v="0"/>
    <n v="0"/>
    <n v="0"/>
    <n v="0"/>
    <n v="0"/>
    <n v="0"/>
    <n v="0"/>
    <n v="0"/>
    <n v="0"/>
  </r>
  <r>
    <x v="7"/>
    <s v="EBO"/>
    <s v="Foundation"/>
    <m/>
    <s v="Hank Su"/>
    <m/>
    <x v="37"/>
    <x v="100"/>
    <s v="USC23C047"/>
    <s v="EBOAZ Foundation Seismic Installation"/>
    <n v="133900"/>
    <m/>
    <m/>
    <m/>
    <m/>
    <n v="0"/>
    <n v="0"/>
    <n v="0"/>
    <n v="0"/>
    <n v="133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6"/>
    <s v="QR"/>
    <s v="Foundation"/>
    <m/>
    <s v="Hank Su"/>
    <m/>
    <x v="25"/>
    <x v="101"/>
    <s v="USC23C047"/>
    <s v="F21_AZQR_Hookup_Seismic installation"/>
    <n v="161320"/>
    <m/>
    <m/>
    <m/>
    <m/>
    <n v="0"/>
    <n v="0"/>
    <n v="0"/>
    <n v="0"/>
    <n v="161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1"/>
    <s v="新工"/>
    <m/>
    <s v="Chemical"/>
    <s v="Steven Chiu"/>
    <s v="Johnny Wan"/>
    <x v="38"/>
    <x v="102"/>
    <s v="USC21C005"/>
    <s v="F21P1 CDS package (B.10)"/>
    <n v="1270000"/>
    <m/>
    <m/>
    <m/>
    <m/>
    <n v="1270000"/>
    <n v="1069803"/>
    <n v="127000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1430"/>
    <m/>
    <n v="210597"/>
    <m/>
    <n v="69835"/>
    <m/>
    <n v="54721"/>
    <m/>
    <m/>
    <m/>
    <m/>
    <m/>
    <m/>
    <m/>
    <m/>
    <m/>
    <m/>
    <m/>
    <n v="63220"/>
    <m/>
    <m/>
    <m/>
    <n v="0"/>
    <n v="0"/>
    <n v="75742"/>
    <n v="0"/>
    <n v="124455"/>
    <n v="0"/>
    <n v="0"/>
    <n v="0"/>
    <n v="0"/>
    <n v="0"/>
  </r>
  <r>
    <x v="10"/>
    <s v="設備"/>
    <m/>
    <s v="AMHS"/>
    <s v="David Nystrom"/>
    <s v="David Short"/>
    <x v="39"/>
    <x v="103"/>
    <s v="USC23C058"/>
    <s v="(RM)_F21_EUV_Steel Plates_1 tool set"/>
    <n v="147089.60000000001"/>
    <m/>
    <m/>
    <m/>
    <m/>
    <n v="147089.60000000001"/>
    <n v="147089.60000000001"/>
    <n v="147089.60000000001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7089.60000000001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1"/>
    <s v="新工"/>
    <m/>
    <s v="Chemical"/>
    <s v="Steven Chiu"/>
    <s v="Henry Yang"/>
    <x v="4"/>
    <x v="104"/>
    <s v="USC21C006"/>
    <s v="F21P1 SDS installation (B.10)"/>
    <n v="1949096"/>
    <m/>
    <d v="2023-03-23T00:00:00"/>
    <m/>
    <s v="95% on progress,5% 1 month after acceptance of the date"/>
    <n v="1702853"/>
    <n v="1017194"/>
    <n v="1702853"/>
    <n v="0.87366296991015324"/>
    <n v="246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7194"/>
    <m/>
    <m/>
    <m/>
    <m/>
    <m/>
    <n v="615595"/>
    <m/>
    <n v="70064"/>
    <n v="0"/>
    <n v="0"/>
    <n v="0"/>
    <n v="0"/>
    <n v="0"/>
    <n v="0"/>
    <n v="0"/>
    <n v="0"/>
    <n v="0"/>
  </r>
  <r>
    <x v="10"/>
    <s v="設備"/>
    <s v="Foundation"/>
    <m/>
    <s v="Hank Su"/>
    <s v="Hank Su"/>
    <x v="20"/>
    <x v="105"/>
    <s v="USC23C002"/>
    <s v="KXME02 foundation &amp; seismic installation"/>
    <n v="31044.799999999999"/>
    <m/>
    <m/>
    <m/>
    <m/>
    <n v="0"/>
    <n v="0"/>
    <n v="0"/>
    <n v="0"/>
    <n v="31044.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10"/>
    <s v="設備"/>
    <m/>
    <m/>
    <s v="Hank Su"/>
    <s v="Hank Su"/>
    <x v="40"/>
    <x v="106"/>
    <s v="USC23C002"/>
    <s v="F21CVD1+2 barricade request"/>
    <n v="6429.12"/>
    <m/>
    <m/>
    <m/>
    <m/>
    <n v="6429.12"/>
    <n v="6429.12"/>
    <n v="6429.12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9.12"/>
    <m/>
    <m/>
    <m/>
    <n v="0"/>
    <n v="0"/>
    <n v="0"/>
    <n v="0"/>
    <n v="0"/>
    <n v="0"/>
    <n v="0"/>
    <n v="0"/>
    <n v="0"/>
    <n v="0"/>
  </r>
  <r>
    <x v="3"/>
    <s v="設備"/>
    <m/>
    <m/>
    <s v="Hank Su"/>
    <s v="Hank Su"/>
    <x v="41"/>
    <x v="107"/>
    <s v="USC23C002"/>
    <s v="MISC_(TAX/U1)single tile barricade"/>
    <n v="3214.58"/>
    <m/>
    <m/>
    <m/>
    <m/>
    <n v="0"/>
    <n v="0"/>
    <n v="0"/>
    <n v="0"/>
    <n v="3214.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10"/>
    <s v="設備"/>
    <m/>
    <m/>
    <s v="Hank Su"/>
    <s v="Hank Su"/>
    <x v="42"/>
    <x v="108"/>
    <s v="USC23C002"/>
    <s v="MISC_(TAX/T1) WET single barricade"/>
    <n v="4821.87"/>
    <m/>
    <m/>
    <m/>
    <m/>
    <n v="0"/>
    <n v="0"/>
    <n v="0"/>
    <n v="0"/>
    <n v="4821.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3"/>
    <s v="設備"/>
    <m/>
    <m/>
    <s v="Hank Su"/>
    <s v="Hank Su"/>
    <x v="43"/>
    <x v="109"/>
    <s v="USC23C002"/>
    <s v="MISC_(21417931_tax/T1)Single barricade"/>
    <n v="4821.87"/>
    <m/>
    <m/>
    <m/>
    <m/>
    <n v="4821.87"/>
    <n v="4821.87"/>
    <n v="4821.87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21.87"/>
    <m/>
    <m/>
    <m/>
    <m/>
    <m/>
    <n v="0"/>
    <n v="0"/>
    <n v="0"/>
    <n v="0"/>
    <n v="0"/>
    <n v="0"/>
    <n v="0"/>
    <n v="0"/>
    <n v="0"/>
    <n v="0"/>
  </r>
  <r>
    <x v="10"/>
    <s v="設備"/>
    <m/>
    <m/>
    <s v="Hank Su"/>
    <s v="Hank Su"/>
    <x v="44"/>
    <x v="110"/>
    <s v="USC23C002"/>
    <s v="MISC_AZ TPT(Tax/U1) ME Barricade"/>
    <n v="3214.58"/>
    <m/>
    <m/>
    <m/>
    <m/>
    <n v="0"/>
    <n v="0"/>
    <n v="0"/>
    <n v="0"/>
    <n v="3214.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n v="0"/>
    <n v="0"/>
    <n v="0"/>
    <n v="0"/>
    <n v="0"/>
    <n v="0"/>
    <n v="0"/>
    <n v="0"/>
    <n v="0"/>
    <n v="0"/>
  </r>
  <r>
    <x v="3"/>
    <s v="設備"/>
    <m/>
    <m/>
    <s v="Hank Su"/>
    <s v="Hank Su"/>
    <x v="45"/>
    <x v="111"/>
    <s v="USC23C002"/>
    <s v="MISC_(TAX/U1)single tile barricade"/>
    <n v="3214.58"/>
    <m/>
    <m/>
    <m/>
    <m/>
    <n v="3214.58"/>
    <n v="3214.58"/>
    <n v="3214.58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14.58"/>
    <m/>
    <m/>
    <m/>
    <n v="0"/>
    <n v="0"/>
    <n v="0"/>
    <n v="0"/>
    <n v="0"/>
    <n v="0"/>
    <n v="0"/>
    <n v="0"/>
    <n v="0"/>
    <n v="0"/>
  </r>
  <r>
    <x v="3"/>
    <s v="設備"/>
    <m/>
    <m/>
    <s v="Hank Su"/>
    <s v="Hank Su"/>
    <x v="46"/>
    <x v="112"/>
    <s v="USC23C002"/>
    <s v="MISC_(TAX/T1)_MICU Barricade"/>
    <n v="4821.87"/>
    <m/>
    <m/>
    <m/>
    <m/>
    <n v="0"/>
    <n v="0"/>
    <n v="0"/>
    <n v="0"/>
    <n v="4821.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7"/>
    <s v="EBO"/>
    <m/>
    <m/>
    <s v="Ning"/>
    <m/>
    <x v="2"/>
    <x v="113"/>
    <s v="USC22C005"/>
    <s v="EBO21-UPW DP parts"/>
    <n v="32459.14"/>
    <m/>
    <d v="2023-04-25T00:00:00"/>
    <m/>
    <s v="Pay in month end - 1 month after acceptance month of the date"/>
    <n v="32459.14"/>
    <n v="32459.14"/>
    <n v="32459.14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91.83"/>
    <m/>
    <n v="2372.7800000000002"/>
    <m/>
    <n v="11383.67"/>
    <m/>
    <m/>
    <m/>
    <n v="12210.86"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3"/>
    <s v="設備"/>
    <m/>
    <m/>
    <s v="Hank Su"/>
    <s v="Hank Su"/>
    <x v="47"/>
    <x v="114"/>
    <m/>
    <s v="MISC_TAX/U1_Barricade"/>
    <n v="3491.02"/>
    <m/>
    <m/>
    <m/>
    <m/>
    <n v="0"/>
    <n v="0"/>
    <n v="0"/>
    <n v="0"/>
    <n v="3491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10"/>
    <s v="設備"/>
    <m/>
    <m/>
    <s v="Hank Su"/>
    <s v="Hank Su"/>
    <x v="48"/>
    <x v="115"/>
    <s v="USC23C002"/>
    <s v="PVD2_Barricade for open tile use"/>
    <n v="3491.02"/>
    <m/>
    <m/>
    <m/>
    <m/>
    <n v="3491.02"/>
    <n v="3491.02"/>
    <n v="3491.02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1.02"/>
    <m/>
    <m/>
    <m/>
    <n v="0"/>
    <n v="0"/>
    <n v="0"/>
    <n v="0"/>
    <n v="0"/>
    <n v="0"/>
    <n v="0"/>
    <n v="0"/>
    <n v="0"/>
    <n v="0"/>
  </r>
  <r>
    <x v="1"/>
    <s v="新工"/>
    <s v="CO_r, Settlement"/>
    <s v="UPW"/>
    <s v="Emon"/>
    <s v="Kate"/>
    <x v="3"/>
    <x v="116"/>
    <s v="USC21C003"/>
    <s v="F21P1 UPW Temporary Resin and piping "/>
    <n v="166000"/>
    <m/>
    <d v="2023-04-27T00:00:00"/>
    <m/>
    <s v="Pay on 28 next month: 90% on prog, 10 acpt of the date"/>
    <n v="166000"/>
    <n v="166000"/>
    <n v="16600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88"/>
    <m/>
    <m/>
    <m/>
    <m/>
    <m/>
    <m/>
    <m/>
    <m/>
    <m/>
    <m/>
    <m/>
    <n v="108612"/>
    <m/>
    <m/>
    <m/>
    <m/>
    <m/>
    <m/>
    <m/>
    <m/>
    <m/>
    <m/>
    <m/>
    <n v="0"/>
    <n v="0"/>
    <n v="0"/>
    <n v="0"/>
    <n v="0"/>
    <n v="0"/>
    <n v="0"/>
    <n v="0"/>
    <n v="0"/>
    <n v="0"/>
  </r>
  <r>
    <x v="3"/>
    <s v="設備"/>
    <m/>
    <m/>
    <s v="Hank Su"/>
    <s v="Hank Su"/>
    <x v="49"/>
    <x v="117"/>
    <m/>
    <s v="Single Tile Barricade"/>
    <n v="4821.84"/>
    <m/>
    <m/>
    <m/>
    <m/>
    <n v="0"/>
    <n v="0"/>
    <n v="0"/>
    <n v="0"/>
    <n v="4821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n v="0"/>
    <n v="0"/>
    <n v="0"/>
    <n v="0"/>
    <n v="0"/>
    <n v="0"/>
    <n v="0"/>
    <n v="0"/>
    <n v="0"/>
    <n v="0"/>
  </r>
  <r>
    <x v="2"/>
    <s v="IPMD"/>
    <m/>
    <s v="Low Voltage"/>
    <s v="Paul Hsu"/>
    <s v="Johnny Yang"/>
    <x v="50"/>
    <x v="118"/>
    <s v="USC22C013"/>
    <s v="AZ TPT,(565/T0)F21P1_CDC_CCTV(material) "/>
    <n v="765747.69"/>
    <m/>
    <m/>
    <s v="tax exempted"/>
    <s v="95% on progress,5% 1 month after acceptance of the date"/>
    <n v="538489.49"/>
    <n v="489494.45"/>
    <n v="538489.49"/>
    <n v="0.70322052163160953"/>
    <n v="227258.1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494.45"/>
    <n v="27362.74"/>
    <m/>
    <m/>
    <n v="48995.040000000001"/>
    <n v="0"/>
    <n v="0"/>
    <n v="0"/>
    <n v="0"/>
    <n v="0"/>
    <n v="0"/>
    <n v="0"/>
    <n v="0"/>
    <n v="0"/>
  </r>
  <r>
    <x v="2"/>
    <s v="IPMD"/>
    <m/>
    <s v="Low Voltage"/>
    <s v="Paul Hsu"/>
    <s v="Johnny Yang"/>
    <x v="50"/>
    <x v="119"/>
    <s v="USC22C013"/>
    <s v="AZ TPT,(565/T0)F21P1_CDC_CCTV(labor) "/>
    <n v="184504.51"/>
    <m/>
    <m/>
    <s v="tax exempted"/>
    <s v="Pay on 28 next month: 90% on prog, 10 acpt of the date"/>
    <n v="143132.66"/>
    <n v="134211.51"/>
    <n v="143132.66"/>
    <n v="0.775767811854572"/>
    <n v="41371.85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4211.51"/>
    <n v="7502.42"/>
    <m/>
    <m/>
    <n v="8921.15"/>
    <n v="0"/>
    <n v="0"/>
    <n v="0"/>
    <n v="0"/>
    <n v="0"/>
    <n v="0"/>
    <n v="0"/>
    <n v="0"/>
    <n v="0"/>
  </r>
  <r>
    <x v="7"/>
    <s v="EBO"/>
    <m/>
    <m/>
    <s v="Hank Su"/>
    <s v="Hank Su"/>
    <x v="33"/>
    <x v="120"/>
    <s v="USC23C002"/>
    <s v="EBO21-Single barricade without toe board"/>
    <n v="1607.29"/>
    <m/>
    <d v="2023-05-18T00:00:00"/>
    <m/>
    <s v="Pay in month end - 1 month after acceptance month of the date"/>
    <n v="1607.29"/>
    <n v="0"/>
    <n v="1607.2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607.29"/>
    <n v="0"/>
    <n v="0"/>
    <n v="0"/>
    <n v="0"/>
    <n v="0"/>
  </r>
  <r>
    <x v="10"/>
    <s v="設備"/>
    <m/>
    <m/>
    <s v="Hank Su"/>
    <s v="Hank Su"/>
    <x v="51"/>
    <x v="121"/>
    <s v="USC23C002"/>
    <s v="PVD1_Barricade for open tile use"/>
    <n v="3214.58"/>
    <m/>
    <d v="2023-05-18T00:00:00"/>
    <m/>
    <s v="Pay in month end - 1 month after acceptance month of the date"/>
    <n v="0"/>
    <n v="0"/>
    <n v="0"/>
    <n v="0"/>
    <n v="3214.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3"/>
    <s v="設備"/>
    <m/>
    <m/>
    <s v="Hank Su"/>
    <s v="Hank Su"/>
    <x v="39"/>
    <x v="122"/>
    <s v="USC23C002"/>
    <s v="MISC_[TAX/U1]_F21_EUV_Single barricade_ "/>
    <n v="3214.56"/>
    <m/>
    <d v="2023-05-18T00:00:00"/>
    <m/>
    <s v="Pay in month end - 1 month after acceptance month of the date"/>
    <n v="3214.56"/>
    <n v="3214.56"/>
    <n v="3214.56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14.56"/>
    <m/>
    <m/>
    <m/>
    <n v="0"/>
    <n v="0"/>
    <n v="0"/>
    <n v="0"/>
    <n v="0"/>
    <n v="0"/>
    <n v="0"/>
    <n v="0"/>
    <n v="0"/>
    <n v="0"/>
  </r>
  <r>
    <x v="3"/>
    <s v="設備"/>
    <m/>
    <m/>
    <s v="Hank Su"/>
    <s v="Hank Su"/>
    <x v="52"/>
    <x v="123"/>
    <s v="USC23C002"/>
    <s v="MISC_(522/U0) ADI-C-01 Shift foundation"/>
    <n v="967.93"/>
    <m/>
    <d v="2023-05-18T00:00:00"/>
    <m/>
    <s v="Pay in month end - 1 month after acceptance month of the date"/>
    <n v="967.93"/>
    <n v="967.93"/>
    <n v="967.93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.93"/>
    <m/>
    <m/>
    <m/>
    <m/>
    <m/>
    <n v="0"/>
    <n v="0"/>
    <n v="0"/>
    <n v="0"/>
    <n v="0"/>
    <n v="0"/>
    <n v="0"/>
    <n v="0"/>
    <n v="0"/>
    <n v="0"/>
  </r>
  <r>
    <x v="6"/>
    <s v="QR"/>
    <m/>
    <m/>
    <m/>
    <s v="Ning"/>
    <x v="25"/>
    <x v="124"/>
    <s v="USC22C005"/>
    <s v="F21 AZQR_Hookup_PVDF material_DP panel"/>
    <n v="116175.85"/>
    <m/>
    <m/>
    <m/>
    <m/>
    <n v="116175.85"/>
    <n v="112678.08"/>
    <n v="116175.8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35.17"/>
    <m/>
    <n v="0"/>
    <m/>
    <n v="89442.91"/>
    <m/>
    <m/>
    <m/>
    <m/>
    <m/>
    <m/>
    <m/>
    <m/>
    <m/>
    <m/>
    <m/>
    <m/>
    <m/>
    <m/>
    <m/>
    <m/>
    <m/>
    <n v="3497.77"/>
    <n v="0"/>
    <n v="0"/>
    <n v="0"/>
    <n v="0"/>
    <n v="0"/>
    <n v="0"/>
    <n v="0"/>
    <n v="0"/>
    <n v="0"/>
  </r>
  <r>
    <x v="9"/>
    <s v="ISEP"/>
    <m/>
    <s v="Low Voltage"/>
    <s v="Emon"/>
    <s v="Chihhao"/>
    <x v="53"/>
    <x v="125"/>
    <s v="USC23C049"/>
    <s v="cabinets transport and installation"/>
    <n v="88379"/>
    <m/>
    <d v="2023-05-25T00:00:00"/>
    <m/>
    <s v="Pay in month end - 1 month after acceptance month of the date"/>
    <n v="58328"/>
    <n v="34816"/>
    <n v="58328"/>
    <n v="0.65997578610303353"/>
    <n v="30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816"/>
    <m/>
    <m/>
    <m/>
    <m/>
    <m/>
    <m/>
    <m/>
    <m/>
    <m/>
    <m/>
    <m/>
    <m/>
    <m/>
    <m/>
    <m/>
    <m/>
    <m/>
    <n v="23512"/>
    <m/>
    <n v="0"/>
    <n v="0"/>
    <n v="0"/>
    <n v="0"/>
    <n v="0"/>
    <n v="0"/>
    <n v="0"/>
    <n v="0"/>
    <n v="25635"/>
    <n v="0"/>
  </r>
  <r>
    <x v="3"/>
    <s v="設備"/>
    <m/>
    <m/>
    <s v="Hank Su"/>
    <s v="Hank Su"/>
    <x v="54"/>
    <x v="126"/>
    <m/>
    <s v="Single barricade"/>
    <n v="4821.87"/>
    <m/>
    <d v="2023-05-25T00:00:00"/>
    <m/>
    <s v="Pay in month end - 1 month after acceptance month of the date"/>
    <n v="0"/>
    <n v="0"/>
    <n v="0"/>
    <n v="0"/>
    <n v="4821.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1"/>
    <s v="新工"/>
    <s v="Settlement"/>
    <s v="UPW"/>
    <m/>
    <m/>
    <x v="55"/>
    <x v="127"/>
    <s v="USC21C003"/>
    <s v="F21P1 CUP L20 Transformer Pads"/>
    <n v="145000"/>
    <m/>
    <d v="2023-05-26T00:00:00"/>
    <m/>
    <s v="95% on progress,5% 1 month after acceptance of the date"/>
    <n v="145000"/>
    <n v="145000"/>
    <n v="14500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2459"/>
    <m/>
    <n v="12541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1"/>
    <s v="新工"/>
    <s v="CO_r, Settlement"/>
    <s v="Low Voltage"/>
    <s v="Paul Hsu"/>
    <s v="Dahlia"/>
    <x v="56"/>
    <x v="128"/>
    <s v="USC21C007"/>
    <s v="F21P1 VOC Burner NOx improve-installatio"/>
    <n v="766999.1"/>
    <m/>
    <d v="2023-05-31T00:00:00"/>
    <m/>
    <s v="Pay on 28 next month: 90% on prog, 10 acpt of the date"/>
    <n v="728614.2200000002"/>
    <n v="603831.63000000012"/>
    <n v="728614.2200000002"/>
    <n v="0.94995446539637429"/>
    <n v="38384.879999999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519.94"/>
    <m/>
    <n v="145337.31"/>
    <m/>
    <n v="48145.15"/>
    <m/>
    <n v="96525.06"/>
    <m/>
    <m/>
    <m/>
    <m/>
    <m/>
    <n v="163956.87"/>
    <m/>
    <m/>
    <m/>
    <m/>
    <m/>
    <n v="46347.3"/>
    <m/>
    <m/>
    <m/>
    <n v="114862.28"/>
    <n v="0"/>
    <n v="9920.31"/>
    <n v="0"/>
    <n v="0"/>
    <n v="0"/>
    <n v="0"/>
    <n v="0"/>
    <n v="0"/>
    <n v="0"/>
  </r>
  <r>
    <x v="10"/>
    <s v="設備"/>
    <m/>
    <m/>
    <m/>
    <s v="Boris"/>
    <x v="57"/>
    <x v="129"/>
    <s v="USC23C048"/>
    <s v="F21P1-0423_H_LSC connectors_MICU "/>
    <n v="102343.84"/>
    <m/>
    <d v="2023-06-02T00:00:00"/>
    <m/>
    <s v="Pay in month end - 1 month after acceptance month of the date"/>
    <n v="102343.84"/>
    <n v="102343.84"/>
    <n v="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343.84"/>
    <m/>
    <m/>
    <m/>
    <m/>
    <m/>
    <n v="0"/>
    <n v="0"/>
    <n v="0"/>
    <n v="0"/>
    <n v="0"/>
    <n v="0"/>
    <n v="0"/>
    <n v="0"/>
    <n v="0"/>
    <n v="0"/>
  </r>
  <r>
    <x v="3"/>
    <s v="設備"/>
    <m/>
    <m/>
    <s v="Hank Su"/>
    <s v="Hank Su"/>
    <x v="35"/>
    <x v="130"/>
    <m/>
    <s v="F21P1-0423_H_single barricade_MICU"/>
    <n v="72698.399999999994"/>
    <m/>
    <d v="2023-06-28T00:00:00"/>
    <m/>
    <s v="Pay in month end - 1 month after acceptance month of the date"/>
    <n v="0"/>
    <n v="0"/>
    <n v="0"/>
    <n v="0"/>
    <n v="72698.3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2"/>
    <s v="新工"/>
    <s v="CO_r"/>
    <m/>
    <m/>
    <s v="Ning"/>
    <x v="2"/>
    <x v="131"/>
    <s v="USC23C040"/>
    <s v="F21P1_H_construction gown suit"/>
    <n v="130000"/>
    <m/>
    <d v="2023-06-29T00:00:00"/>
    <m/>
    <s v="Pay in month end - 1 month after acceptance month of the date"/>
    <n v="130000"/>
    <n v="130000"/>
    <n v="13000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712.5"/>
    <n v="10467.280000000001"/>
    <n v="8287.5"/>
    <n v="712.72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3"/>
    <s v="HK"/>
    <m/>
    <m/>
    <s v="Hank Su"/>
    <s v="Hank Su"/>
    <x v="58"/>
    <x v="132"/>
    <s v="USC23C002"/>
    <s v="MISC_(Tax / U1)_RS200_foundation modify"/>
    <n v="4899"/>
    <m/>
    <d v="2023-07-04T00:00:00"/>
    <m/>
    <s v="Pay in month end - 1 month after acceptance month of the date"/>
    <n v="0"/>
    <n v="0"/>
    <n v="0"/>
    <n v="0"/>
    <n v="4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1"/>
    <s v="新工"/>
    <s v="CO_r, Settlement"/>
    <m/>
    <m/>
    <s v="Ning"/>
    <x v="2"/>
    <x v="133"/>
    <s v="USC23C043"/>
    <s v="Electric Tiger Team_Fisk Support &amp; Temp Power"/>
    <n v="425398.67"/>
    <m/>
    <d v="2023-07-06T00:00:00"/>
    <m/>
    <s v="Pay on 28 next month: 90% on prog, 10 acpt of the date"/>
    <n v="425398.67"/>
    <n v="425398.67"/>
    <n v="425398.67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398.67"/>
    <n v="23779.79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1"/>
    <s v="新工"/>
    <s v="CO_r, Settlement"/>
    <m/>
    <m/>
    <s v="Ning"/>
    <x v="59"/>
    <x v="134"/>
    <s v="USC23C051"/>
    <s v="Tiger Team for CUP Cable Tray and Grounding Wiring for Transformers"/>
    <n v="135355"/>
    <m/>
    <d v="2023-07-06T00:00:00"/>
    <m/>
    <s v="Pay on 28 next month: 90% on prog, 10 acpt of the date"/>
    <n v="135355"/>
    <n v="135355"/>
    <n v="13535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135355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3"/>
    <s v="HK"/>
    <m/>
    <m/>
    <s v="Hank Su"/>
    <m/>
    <x v="60"/>
    <x v="135"/>
    <s v="USC23C002"/>
    <s v="FAC_(600/T9) FX200 Seismic holes enlarge"/>
    <n v="1892.66"/>
    <m/>
    <d v="2023-07-14T00:00:00"/>
    <m/>
    <s v="Pay in month end - 1 month after acceptance month of the date`"/>
    <n v="0"/>
    <n v="0"/>
    <n v="0"/>
    <n v="0"/>
    <n v="1892.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4"/>
    <s v="AMHS"/>
    <m/>
    <s v="AMHS"/>
    <s v="David Nystrom"/>
    <s v="David Short"/>
    <x v="61"/>
    <x v="136"/>
    <s v="USC23C052"/>
    <s v="CAP_E_F21P1_AMHS_Power Panel SWB fingers"/>
    <n v="564725.9"/>
    <m/>
    <d v="2023-07-14T00:00:00"/>
    <m/>
    <s v="Pay on 28 next month: 90% on prog, 10 acpt of the date"/>
    <n v="564725.9"/>
    <n v="564725.9"/>
    <n v="564725.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725.9"/>
    <m/>
    <n v="0"/>
    <m/>
    <n v="0"/>
    <m/>
    <n v="0"/>
    <n v="0"/>
    <n v="0"/>
    <n v="0"/>
    <n v="0"/>
    <n v="0"/>
    <n v="0"/>
    <n v="0"/>
    <n v="0"/>
    <n v="0"/>
  </r>
  <r>
    <x v="3"/>
    <s v="HK"/>
    <m/>
    <m/>
    <m/>
    <m/>
    <x v="2"/>
    <x v="137"/>
    <s v="USC23C055"/>
    <s v="F21P1-0404_H_labor for 50 tools_MICU"/>
    <n v="10313881"/>
    <m/>
    <m/>
    <m/>
    <m/>
    <n v="10313881"/>
    <n v="10313881"/>
    <n v="10313881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0"/>
    <m/>
    <m/>
    <m/>
    <m/>
    <m/>
    <m/>
    <m/>
    <m/>
    <m/>
    <n v="3813881"/>
    <m/>
    <m/>
    <m/>
    <m/>
    <m/>
    <m/>
    <m/>
    <m/>
    <m/>
    <n v="0"/>
    <n v="0"/>
    <n v="0"/>
    <n v="0"/>
    <n v="0"/>
    <n v="0"/>
    <n v="0"/>
    <n v="0"/>
    <n v="0"/>
    <n v="0"/>
  </r>
  <r>
    <x v="1"/>
    <s v="新工"/>
    <s v="CO_r, Settlement"/>
    <s v="Chemical"/>
    <m/>
    <m/>
    <x v="62"/>
    <x v="138"/>
    <s v="USC21C005"/>
    <s v="F21P1 CR temp lighting"/>
    <n v="84843.78"/>
    <m/>
    <d v="2023-07-25T00:00:00"/>
    <m/>
    <s v="Pay in month end - 1 month after acceptance month of the date"/>
    <n v="84843.78"/>
    <n v="84843.78"/>
    <n v="84843.78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843.78"/>
    <m/>
    <m/>
    <m/>
    <m/>
    <m/>
    <m/>
    <m/>
    <m/>
    <m/>
    <m/>
    <m/>
    <n v="0"/>
    <n v="0"/>
    <n v="0"/>
    <n v="0"/>
    <n v="0"/>
    <n v="0"/>
    <n v="0"/>
    <n v="0"/>
    <n v="0"/>
    <n v="0"/>
  </r>
  <r>
    <x v="3"/>
    <s v="HK"/>
    <m/>
    <m/>
    <m/>
    <m/>
    <x v="63"/>
    <x v="139"/>
    <s v="USC23C055"/>
    <s v="F21P1-0404_H_labor&amp;mobiliz. for 50 tools"/>
    <n v="11000000"/>
    <m/>
    <d v="2023-08-02T00:00:00"/>
    <m/>
    <s v="Pay in month end - 1 month after acceptance month of the date"/>
    <n v="11000000"/>
    <n v="11000000"/>
    <n v="1100000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00000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4"/>
    <s v="AMHS"/>
    <m/>
    <s v="AMHS"/>
    <s v="David Nystrom"/>
    <s v="David Short"/>
    <x v="64"/>
    <x v="140"/>
    <s v="USC22C014"/>
    <s v="CAP_E_F21 AMHS L40 Relocation"/>
    <n v="21199.81"/>
    <m/>
    <d v="2023-08-04T00:00:00"/>
    <m/>
    <s v="95% on progress,5% 1 month after acceptance of the date"/>
    <n v="21199.81"/>
    <n v="21199.81"/>
    <n v="21199.81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99.81"/>
    <m/>
    <m/>
    <m/>
    <m/>
    <m/>
    <m/>
    <m/>
    <m/>
    <n v="21199.81"/>
    <m/>
    <m/>
    <m/>
    <m/>
    <n v="0"/>
    <m/>
    <n v="0"/>
    <m/>
    <n v="0"/>
    <n v="0"/>
    <n v="0"/>
    <n v="0"/>
    <n v="0"/>
    <n v="0"/>
    <n v="0"/>
    <n v="0"/>
    <n v="0"/>
    <n v="0"/>
  </r>
  <r>
    <x v="1"/>
    <s v="新工"/>
    <s v="CO_r, Settlement"/>
    <s v="Chemical"/>
    <s v="Steven Chiu"/>
    <s v="Johnny Wan"/>
    <x v="38"/>
    <x v="141"/>
    <s v="USC21C005"/>
    <s v="F21P1 Chemical Solvent day tank add vent"/>
    <n v="490000"/>
    <m/>
    <d v="2023-08-10T00:00:00"/>
    <m/>
    <s v="95% on progress,5% 1 month after acceptance of the date"/>
    <n v="397242"/>
    <n v="227355"/>
    <n v="397242"/>
    <n v="0.81069795918367349"/>
    <n v="92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355"/>
    <m/>
    <m/>
    <m/>
    <m/>
    <m/>
    <n v="0"/>
    <n v="0"/>
    <n v="0"/>
    <n v="0"/>
    <n v="118691"/>
    <n v="0"/>
    <n v="51196"/>
    <n v="0"/>
    <n v="54009"/>
    <n v="0"/>
  </r>
  <r>
    <x v="1"/>
    <s v="新工"/>
    <s v="CO, Settlement"/>
    <s v="WWT"/>
    <s v="Andy Chen"/>
    <s v="Jim"/>
    <x v="2"/>
    <x v="142"/>
    <s v="USC21C009"/>
    <s v="F21P1 WWT construction temp power"/>
    <n v="408000"/>
    <m/>
    <d v="2023-08-15T00:00:00"/>
    <m/>
    <s v="95% on progress,5% 1 month after acceptance of the date"/>
    <n v="408000"/>
    <n v="408000"/>
    <n v="40800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000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3"/>
    <s v="HK"/>
    <m/>
    <m/>
    <s v="Edward"/>
    <m/>
    <x v="65"/>
    <x v="143"/>
    <s v="USC23C041"/>
    <s v="F21P1-0404_H_cable tray/AC box install"/>
    <n v="508031.05"/>
    <m/>
    <d v="2023-08-16T00:00:00"/>
    <m/>
    <s v="Pay in month end - 1 month after acceptance month of the date"/>
    <n v="508031.05"/>
    <n v="508031.05"/>
    <n v="508031.0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031.05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5"/>
    <s v="設備"/>
    <m/>
    <s v="AMHS"/>
    <s v="David Nystrom"/>
    <s v="David Short"/>
    <x v="66"/>
    <x v="144"/>
    <s v="USC23C058"/>
    <s v="RM_F21_EUV_Crane Power Cable Reroute"/>
    <n v="95964"/>
    <m/>
    <d v="2023-08-22T00:00:00"/>
    <m/>
    <s v="Pay in month end - 1 month after acceptance month of the date"/>
    <n v="95964"/>
    <n v="95964"/>
    <n v="95964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64"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1"/>
    <s v="新工"/>
    <s v="CO, Settlement"/>
    <s v="UPW"/>
    <s v="Emon"/>
    <s v="Emon"/>
    <x v="28"/>
    <x v="145"/>
    <s v="USC21C003"/>
    <s v="F21P1 UPW temp power and MAU DI solution"/>
    <n v="618842"/>
    <m/>
    <d v="2023-08-29T00:00:00"/>
    <m/>
    <s v="95% on progress,5% 1 month after acceptance of the date"/>
    <n v="436391"/>
    <n v="436391"/>
    <n v="436391"/>
    <n v="0.70517353379376324"/>
    <n v="1824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6916"/>
    <m/>
    <m/>
    <m/>
    <n v="19475"/>
    <m/>
    <m/>
    <m/>
    <m/>
    <m/>
    <m/>
    <m/>
    <m/>
    <m/>
    <m/>
    <m/>
    <n v="0"/>
    <n v="0"/>
    <n v="0"/>
    <n v="0"/>
    <n v="0"/>
    <n v="0"/>
    <n v="0"/>
    <n v="0"/>
    <n v="0"/>
    <n v="0"/>
  </r>
  <r>
    <x v="6"/>
    <s v="QR"/>
    <m/>
    <m/>
    <s v="Hank Su"/>
    <s v="Hank Su"/>
    <x v="2"/>
    <x v="146"/>
    <s v="USC23C002"/>
    <s v="F21_AZFAD_Hookup_Drilling for Metrios enclosure installation"/>
    <n v="13959.6"/>
    <m/>
    <d v="2023-09-02T00:00:00"/>
    <m/>
    <s v="Pay in month end - 1 month after acceptance month of the date"/>
    <n v="0"/>
    <n v="0"/>
    <n v="0"/>
    <n v="0"/>
    <n v="1395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2"/>
    <s v="設備"/>
    <m/>
    <s v="AMHS"/>
    <s v="David Nystrom"/>
    <s v="David Short"/>
    <x v="66"/>
    <x v="147"/>
    <s v="USC23C058"/>
    <s v="RM_F21_EUV_Crane power panel material "/>
    <n v="116443.25"/>
    <m/>
    <d v="2023-09-08T00:00:00"/>
    <m/>
    <s v="Pay in month end - 1 month after acceptance month of the date"/>
    <n v="116443.25"/>
    <n v="116443.25"/>
    <n v="116443.2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443.25"/>
    <m/>
    <m/>
    <m/>
    <m/>
    <m/>
    <m/>
    <m/>
    <m/>
    <m/>
    <n v="0"/>
    <n v="0"/>
    <n v="0"/>
    <n v="0"/>
    <n v="0"/>
    <n v="0"/>
    <n v="0"/>
    <n v="0"/>
    <n v="0"/>
    <n v="0"/>
  </r>
  <r>
    <x v="5"/>
    <s v="設備"/>
    <m/>
    <s v="AMHS"/>
    <s v="David Nystrom"/>
    <s v="David Short"/>
    <x v="66"/>
    <x v="148"/>
    <s v="USC23C058"/>
    <s v="RM_F21_Crane temp, power generator 2 M"/>
    <n v="76766.73"/>
    <m/>
    <d v="2023-09-08T00:00:00"/>
    <m/>
    <s v="Pay in month end - 1 month after acceptance month of the date"/>
    <n v="76767"/>
    <n v="76767"/>
    <n v="76767"/>
    <n v="1.0000035171486399"/>
    <n v="-0.27000000000407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767"/>
    <m/>
    <m/>
    <m/>
    <m/>
    <m/>
    <m/>
    <m/>
    <m/>
    <m/>
    <m/>
    <m/>
    <n v="0"/>
    <n v="0"/>
    <n v="0"/>
    <n v="0"/>
    <n v="0"/>
    <n v="0"/>
    <n v="0"/>
    <n v="0"/>
    <n v="0"/>
    <n v="0"/>
  </r>
  <r>
    <x v="5"/>
    <s v="設備"/>
    <m/>
    <s v="AMHS"/>
    <s v="David Nystrom"/>
    <s v="David Short"/>
    <x v="2"/>
    <x v="149"/>
    <s v="USC23C058"/>
    <s v="RM_EUV_temp. power generator 3 M"/>
    <n v="115150.1"/>
    <m/>
    <d v="2023-09-08T00:00:00"/>
    <m/>
    <s v="Pay in month end - 1 month after acceptance month of the date"/>
    <n v="115150"/>
    <n v="115150"/>
    <n v="115150.1"/>
    <n v="0.9999991315682748"/>
    <n v="0.10000000000582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150"/>
    <m/>
    <m/>
    <m/>
    <m/>
    <m/>
    <m/>
    <m/>
    <m/>
    <m/>
    <m/>
    <m/>
    <n v="0"/>
    <n v="0"/>
    <n v="0"/>
    <n v="0"/>
    <n v="0"/>
    <n v="0"/>
    <n v="0"/>
    <n v="0"/>
    <n v="0"/>
    <n v="0"/>
  </r>
  <r>
    <x v="5"/>
    <s v="設備"/>
    <m/>
    <s v="AMHS"/>
    <s v="David Nystrom"/>
    <s v="David Short"/>
    <x v="2"/>
    <x v="150"/>
    <s v="USC23C058"/>
    <s v="RM_F21_EUV_Crane power panel labor-bay1"/>
    <n v="93809.87"/>
    <m/>
    <d v="2023-09-08T00:00:00"/>
    <m/>
    <s v="Pay in month end - 1 month after acceptance month of the date"/>
    <n v="93810"/>
    <n v="93810"/>
    <n v="93810"/>
    <n v="1.0000013857816881"/>
    <n v="-0.13000000000465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"/>
    <m/>
    <m/>
    <m/>
    <m/>
    <m/>
    <m/>
    <m/>
    <m/>
    <m/>
    <m/>
    <m/>
    <n v="0"/>
    <n v="0"/>
    <n v="0"/>
    <n v="0"/>
    <n v="0"/>
    <n v="0"/>
    <n v="0"/>
    <n v="0"/>
    <n v="0"/>
    <n v="0"/>
  </r>
  <r>
    <x v="5"/>
    <s v="設備"/>
    <m/>
    <s v="AMHS"/>
    <s v="David Nystrom"/>
    <s v="David Short"/>
    <x v="2"/>
    <x v="151"/>
    <s v="USC23C058"/>
    <s v="RM_F21_EUV_Crane_PowerPanel_Bay2 "/>
    <n v="93809.87"/>
    <m/>
    <d v="2023-09-08T00:00:00"/>
    <m/>
    <s v="Pay in month end - 1 month after acceptance month of the date"/>
    <n v="93810"/>
    <n v="93810"/>
    <n v="93810"/>
    <n v="1.0000013857816881"/>
    <n v="-0.13000000000465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"/>
    <m/>
    <m/>
    <m/>
    <m/>
    <m/>
    <m/>
    <m/>
    <m/>
    <m/>
    <m/>
    <m/>
    <n v="0"/>
    <n v="0"/>
    <n v="0"/>
    <n v="0"/>
    <n v="0"/>
    <n v="0"/>
    <n v="0"/>
    <n v="0"/>
    <n v="0"/>
    <n v="0"/>
  </r>
  <r>
    <x v="3"/>
    <s v="設備"/>
    <m/>
    <m/>
    <s v="Hank Su"/>
    <s v="Hank Su"/>
    <x v="67"/>
    <x v="152"/>
    <s v="USC23C002"/>
    <s v="ABS-A03 Onsite modification for RMF"/>
    <n v="8047.2"/>
    <m/>
    <m/>
    <m/>
    <m/>
    <n v="0"/>
    <n v="0"/>
    <n v="0"/>
    <n v="0"/>
    <n v="804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3"/>
    <s v="HK"/>
    <s v="Foundation"/>
    <m/>
    <m/>
    <s v="Hank Su"/>
    <x v="2"/>
    <x v="153"/>
    <s v="USC23C059"/>
    <s v="F21P1-0404_H_T&amp;M_MICU"/>
    <n v="793000"/>
    <m/>
    <m/>
    <m/>
    <m/>
    <n v="700483"/>
    <n v="589598"/>
    <n v="700483"/>
    <n v="0.88333291298865069"/>
    <n v="92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9598"/>
    <m/>
    <n v="108772"/>
    <m/>
    <n v="2113"/>
    <n v="0"/>
    <n v="0"/>
    <n v="0"/>
    <n v="0"/>
    <n v="0"/>
    <n v="0"/>
    <n v="0"/>
    <n v="0"/>
    <n v="0"/>
  </r>
  <r>
    <x v="3"/>
    <s v="HK"/>
    <m/>
    <m/>
    <s v="Elaine Ma"/>
    <s v="Sam"/>
    <x v="68"/>
    <x v="154"/>
    <s v="USC22C026"/>
    <s v="F21P1-0420_H_Unistrut Support Frame_MICU"/>
    <n v="2164306.4"/>
    <m/>
    <m/>
    <m/>
    <m/>
    <n v="2164306.4"/>
    <n v="2164306.4"/>
    <n v="2164306.4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4306.4"/>
    <m/>
    <m/>
    <m/>
    <m/>
    <m/>
    <n v="0"/>
    <n v="0"/>
    <n v="0"/>
    <n v="0"/>
    <n v="0"/>
    <n v="0"/>
    <n v="0"/>
    <n v="0"/>
    <n v="0"/>
    <n v="0"/>
  </r>
  <r>
    <x v="3"/>
    <s v="HK"/>
    <m/>
    <m/>
    <s v="Hank Su"/>
    <s v="Hank Su"/>
    <x v="69"/>
    <x v="155"/>
    <s v="USC23C002"/>
    <s v="CAP_F_ PVD WAT angle support fee_P1A"/>
    <n v="105218.1"/>
    <m/>
    <m/>
    <m/>
    <m/>
    <n v="32263.07"/>
    <n v="32263.07"/>
    <n v="0"/>
    <n v="0.3066304181504893"/>
    <n v="72955.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263.07"/>
    <n v="1803.51"/>
    <m/>
    <m/>
    <m/>
    <m/>
    <n v="0"/>
    <n v="0"/>
    <n v="0"/>
    <n v="0"/>
    <n v="0"/>
    <n v="0"/>
    <n v="0"/>
    <n v="0"/>
    <n v="0"/>
    <n v="0"/>
  </r>
  <r>
    <x v="3"/>
    <s v="HK"/>
    <m/>
    <m/>
    <s v="Elaine Ma"/>
    <s v="Ning "/>
    <x v="2"/>
    <x v="156"/>
    <s v="USC22C005"/>
    <s v="F21P1-0404_H_UPW DP Panel_MICU "/>
    <n v="541839.32999999996"/>
    <m/>
    <m/>
    <m/>
    <m/>
    <n v="533120.59000000008"/>
    <n v="459470.44000000006"/>
    <n v="533120.59000000008"/>
    <n v="0.98390899383402108"/>
    <n v="8718.73999999987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357732.59"/>
    <m/>
    <n v="101737.85"/>
    <m/>
    <m/>
    <m/>
    <n v="73650.149999999994"/>
    <n v="0"/>
    <n v="0"/>
    <n v="0"/>
    <n v="0"/>
    <n v="0"/>
    <n v="0"/>
    <n v="0"/>
    <n v="0"/>
    <n v="0"/>
  </r>
  <r>
    <x v="2"/>
    <s v="新工"/>
    <s v="CO_r, Settlement"/>
    <s v="Chemical"/>
    <s v="Steven Chiu"/>
    <s v="Johnny Wan"/>
    <x v="38"/>
    <x v="157"/>
    <s v="USC21C005"/>
    <s v="F21P1 Lorry area fall protection tie off"/>
    <n v="327538.3"/>
    <m/>
    <m/>
    <m/>
    <m/>
    <n v="327538.3"/>
    <n v="294784"/>
    <n v="327538.3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6523"/>
    <m/>
    <n v="98261"/>
    <m/>
    <m/>
    <m/>
    <m/>
    <m/>
    <m/>
    <m/>
    <n v="32754.3"/>
    <n v="0"/>
    <n v="0"/>
    <n v="0"/>
    <n v="0"/>
    <n v="0"/>
    <n v="0"/>
    <n v="0"/>
    <n v="0"/>
    <n v="0"/>
  </r>
  <r>
    <x v="1"/>
    <s v="新工"/>
    <s v="CO, Settlement"/>
    <m/>
    <m/>
    <m/>
    <x v="2"/>
    <x v="158"/>
    <s v="USC22C031"/>
    <s v="F21P1 High-speed rolling door frame"/>
    <n v="27027.71"/>
    <m/>
    <m/>
    <m/>
    <m/>
    <n v="27027.71"/>
    <n v="27027.71"/>
    <n v="27027.71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27.71"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2"/>
    <s v="新工"/>
    <s v="CO_r, Settlement"/>
    <s v="Low Voltage"/>
    <s v="Paul Hsu"/>
    <s v="Dahlia"/>
    <x v="70"/>
    <x v="159"/>
    <s v="USC21C013"/>
    <s v="F21P1 AMC package-IMS wipe test"/>
    <n v="8832"/>
    <m/>
    <m/>
    <m/>
    <m/>
    <n v="5525.76"/>
    <n v="0"/>
    <n v="5525.76"/>
    <n v="0.62565217391304351"/>
    <n v="3306.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5525.76"/>
    <m/>
    <n v="0"/>
    <n v="0"/>
    <n v="0"/>
    <n v="0"/>
    <n v="0"/>
    <n v="0"/>
    <n v="0"/>
    <n v="0"/>
    <n v="1109.76"/>
    <n v="0"/>
  </r>
  <r>
    <x v="3"/>
    <s v="HK"/>
    <m/>
    <m/>
    <s v="Hank Su"/>
    <s v="Hank Su"/>
    <x v="2"/>
    <x v="160"/>
    <s v="USC23C002"/>
    <s v="F21P1-0423E3_H_fdn intall(L10 pump)_MICU"/>
    <n v="326221.65000000002"/>
    <m/>
    <m/>
    <m/>
    <m/>
    <n v="0"/>
    <n v="0"/>
    <n v="0"/>
    <n v="0"/>
    <n v="326221.65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2"/>
    <s v="新工"/>
    <s v="CO_r, Settlement"/>
    <s v="Chemical"/>
    <s v="Steven Chiu"/>
    <s v="Johnny Wan"/>
    <x v="38"/>
    <x v="161"/>
    <s v="USC21C005"/>
    <s v="F21P1 NFPA Diamond Sign for Chemical Rm"/>
    <n v="24670.81"/>
    <m/>
    <m/>
    <m/>
    <m/>
    <n v="19737"/>
    <n v="19737"/>
    <n v="19737"/>
    <n v="0.80001426787365304"/>
    <n v="4933.8100000000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37"/>
    <m/>
    <m/>
    <m/>
    <m/>
    <m/>
    <m/>
    <m/>
    <m/>
    <m/>
    <n v="0"/>
    <n v="0"/>
    <n v="0"/>
    <n v="0"/>
    <n v="0"/>
    <n v="0"/>
    <n v="0"/>
    <n v="0"/>
    <n v="0"/>
    <n v="0"/>
  </r>
  <r>
    <x v="2"/>
    <s v="新工"/>
    <s v="CO_r, Settlement"/>
    <s v="Chemical"/>
    <s v="Steven Chiu"/>
    <s v="Johnny Wan"/>
    <x v="38"/>
    <x v="162"/>
    <s v="USC21C005"/>
    <s v="F21P1 Lorry Tank Swing Gates for Safety"/>
    <n v="35640"/>
    <m/>
    <m/>
    <m/>
    <m/>
    <n v="35640"/>
    <n v="35640"/>
    <n v="3564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640"/>
    <m/>
    <m/>
    <m/>
    <m/>
    <m/>
    <m/>
    <m/>
    <m/>
    <m/>
    <n v="0"/>
    <n v="0"/>
    <n v="0"/>
    <n v="0"/>
    <n v="0"/>
    <n v="0"/>
    <n v="0"/>
    <n v="0"/>
    <n v="0"/>
    <n v="0"/>
  </r>
  <r>
    <x v="1"/>
    <s v="新工"/>
    <s v="CO, Settlement"/>
    <s v="UPW"/>
    <s v="Emon"/>
    <s v="Emon"/>
    <x v="3"/>
    <x v="163"/>
    <s v="USC21C003"/>
    <s v="F21P1 UPW Tank Swing Gate"/>
    <n v="83072"/>
    <m/>
    <m/>
    <m/>
    <m/>
    <n v="83072"/>
    <n v="45430"/>
    <n v="83072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68"/>
    <m/>
    <n v="24662"/>
    <m/>
    <m/>
    <m/>
    <m/>
    <m/>
    <m/>
    <m/>
    <m/>
    <m/>
    <n v="37642"/>
    <n v="0"/>
    <n v="0"/>
    <n v="0"/>
    <n v="0"/>
    <n v="0"/>
    <n v="0"/>
    <n v="0"/>
    <n v="0"/>
    <n v="0"/>
  </r>
  <r>
    <x v="5"/>
    <s v="設備"/>
    <s v="CO"/>
    <s v="WWT"/>
    <s v="Jim Chiang"/>
    <s v="Grant"/>
    <x v="71"/>
    <x v="164"/>
    <s v="USC21C009"/>
    <s v="Sandblasting room extended drain line "/>
    <n v="11489.84"/>
    <m/>
    <d v="2023-10-07T00:00:00"/>
    <m/>
    <s v="Pay in month end - 1 month after acceptance month of the date"/>
    <n v="10915.35"/>
    <n v="0"/>
    <n v="10915.35"/>
    <n v="0.9500001740668278"/>
    <n v="574.48999999999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15.35"/>
    <m/>
    <n v="0"/>
    <n v="0"/>
    <n v="0"/>
    <n v="0"/>
    <n v="0"/>
    <n v="0"/>
    <n v="0"/>
    <n v="0"/>
    <n v="0"/>
    <n v="0"/>
  </r>
  <r>
    <x v="4"/>
    <s v="AMHS"/>
    <m/>
    <s v="AMHS"/>
    <s v="David Nystrom"/>
    <s v="David Short"/>
    <x v="72"/>
    <x v="165"/>
    <s v="USC22C031"/>
    <s v="RM_F21_EUV_tap and drill support"/>
    <n v="31408"/>
    <m/>
    <d v="2023-10-07T00:00:00"/>
    <m/>
    <s v="Pay in month end - 1 month after acceptance month of the date"/>
    <n v="31408"/>
    <n v="0"/>
    <n v="31408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31408"/>
    <n v="0"/>
    <n v="0"/>
    <n v="0"/>
    <n v="0"/>
    <n v="0"/>
    <n v="0"/>
    <n v="0"/>
    <n v="0"/>
    <n v="0"/>
  </r>
  <r>
    <x v="1"/>
    <s v="新工"/>
    <s v="CO, Settlement"/>
    <s v="WWT"/>
    <s v="Jim Chiang"/>
    <s v="Jack"/>
    <x v="2"/>
    <x v="166"/>
    <s v="USC21C009"/>
    <s v="F21P1 230KV MTR NGR stand"/>
    <n v="99113.34"/>
    <m/>
    <d v="2023-10-11T00:00:00"/>
    <m/>
    <s v="Pay in month end - 1 month after acceptance month of the date"/>
    <n v="99113.34"/>
    <n v="79291"/>
    <n v="99113.34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291"/>
    <m/>
    <m/>
    <m/>
    <m/>
    <m/>
    <m/>
    <m/>
    <m/>
    <m/>
    <n v="19822.34"/>
    <n v="0"/>
    <n v="0"/>
    <n v="0"/>
    <n v="0"/>
    <n v="0"/>
    <n v="0"/>
    <n v="0"/>
    <n v="0"/>
    <n v="0"/>
  </r>
  <r>
    <x v="4"/>
    <s v="AMHS"/>
    <m/>
    <s v="AMHS"/>
    <s v="David Nystrom"/>
    <s v="David Short"/>
    <x v="73"/>
    <x v="167"/>
    <s v="USC22C031"/>
    <s v="CAP_E_F21 P1 AMHS Cross Floor Hole Cover"/>
    <n v="64464.4"/>
    <m/>
    <m/>
    <m/>
    <m/>
    <n v="64464.4"/>
    <n v="25786"/>
    <n v="64464.4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86"/>
    <m/>
    <m/>
    <m/>
    <m/>
    <m/>
    <n v="0"/>
    <m/>
    <n v="0"/>
    <m/>
    <n v="0"/>
    <n v="0"/>
    <n v="0"/>
    <n v="0"/>
    <n v="38678.400000000001"/>
    <n v="0"/>
    <n v="0"/>
    <n v="0"/>
    <n v="0"/>
    <n v="0"/>
  </r>
  <r>
    <x v="3"/>
    <s v="HK"/>
    <m/>
    <m/>
    <s v="Ning"/>
    <s v="Ning"/>
    <x v="2"/>
    <x v="168"/>
    <s v="USC22C005"/>
    <s v="F21P1-0423_H_UPW_MICU"/>
    <n v="289387.84999999998"/>
    <m/>
    <m/>
    <m/>
    <m/>
    <n v="289387.86"/>
    <n v="277483.55"/>
    <n v="289387.86"/>
    <n v="1.000000034555701"/>
    <n v="-1.000000000931322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877.57"/>
    <m/>
    <n v="0"/>
    <m/>
    <n v="49323.18"/>
    <m/>
    <n v="170282.8"/>
    <m/>
    <m/>
    <m/>
    <n v="11904.31"/>
    <n v="0"/>
    <n v="0"/>
    <n v="0"/>
    <n v="0"/>
    <n v="0"/>
    <n v="0"/>
    <n v="0"/>
    <n v="0"/>
    <n v="0"/>
  </r>
  <r>
    <x v="1"/>
    <s v="新工"/>
    <s v="CO, Settlement"/>
    <s v="WWT"/>
    <s v="Jim Chiang"/>
    <s v="Manuel "/>
    <x v="3"/>
    <x v="169"/>
    <s v="USC21C009"/>
    <s v="F21P1 WWT Tank Swing Gate "/>
    <n v="140834"/>
    <m/>
    <d v="2023-10-18T00:00:00"/>
    <m/>
    <s v="Pay in month end - 1 month after acceptance month of the date"/>
    <n v="92807.42"/>
    <n v="78529.320000000007"/>
    <n v="92807.42"/>
    <n v="0.65898447817998496"/>
    <n v="48026.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9"/>
    <n v="20119"/>
    <n v="13629"/>
    <m/>
    <m/>
    <m/>
    <n v="44781.32"/>
    <m/>
    <n v="7788.06"/>
    <m/>
    <n v="1947.01"/>
    <n v="0"/>
    <n v="0"/>
    <n v="0"/>
    <n v="0"/>
    <n v="0"/>
    <n v="4543.03"/>
    <n v="0"/>
    <n v="5841.04"/>
    <n v="0"/>
  </r>
  <r>
    <x v="1"/>
    <s v="新工"/>
    <s v="CO, Settlement"/>
    <s v="UPW"/>
    <s v="Emon"/>
    <s v="Emon"/>
    <x v="3"/>
    <x v="170"/>
    <s v="USC23C054"/>
    <s v="F21P1 UPW Design Change (UMEC)"/>
    <n v="451501.76"/>
    <m/>
    <m/>
    <m/>
    <m/>
    <n v="395409.44"/>
    <n v="395409.44"/>
    <n v="395409.44"/>
    <n v="0.87576500255502876"/>
    <n v="56092.32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705.9"/>
    <m/>
    <m/>
    <m/>
    <m/>
    <m/>
    <n v="138703.54"/>
    <m/>
    <m/>
    <m/>
    <m/>
    <m/>
    <m/>
    <m/>
    <n v="0"/>
    <n v="0"/>
    <n v="0"/>
    <n v="0"/>
    <n v="0"/>
    <n v="0"/>
    <n v="0"/>
    <n v="0"/>
    <n v="0"/>
    <n v="0"/>
  </r>
  <r>
    <x v="5"/>
    <s v="製造"/>
    <m/>
    <s v="光阻櫃"/>
    <s v="Paul Hsu"/>
    <s v="Chihhao"/>
    <x v="2"/>
    <x v="171"/>
    <s v="USC22C012"/>
    <s v="CAP_A_MFG_F21-TSMC F21P1 A Side Cabinet"/>
    <n v="16274.95"/>
    <m/>
    <d v="2023-10-24T00:00:00"/>
    <m/>
    <s v="Pay in month end - 1 month after acceptance month of the date"/>
    <n v="16274.95"/>
    <n v="0"/>
    <n v="16274.9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16274.95"/>
    <n v="0"/>
    <n v="0"/>
    <n v="0"/>
  </r>
  <r>
    <x v="1"/>
    <s v="新工"/>
    <s v="CO_r, Settlement"/>
    <s v="WWT"/>
    <s v="Andy Chen"/>
    <s v="Jim"/>
    <x v="3"/>
    <x v="172"/>
    <s v="USC21C003"/>
    <s v="F21P1 WWT Electrical Testing Support"/>
    <n v="182627.5"/>
    <m/>
    <d v="2023-10-24T00:00:00"/>
    <m/>
    <s v="Pay in month end - 1 month after acceptance month of the date"/>
    <n v="182627.5"/>
    <n v="182627.5"/>
    <n v="182627.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627.5"/>
    <m/>
    <m/>
    <m/>
    <m/>
    <m/>
    <m/>
    <m/>
    <m/>
    <m/>
    <m/>
    <m/>
    <n v="0"/>
    <n v="0"/>
    <n v="0"/>
    <n v="0"/>
    <n v="0"/>
    <n v="0"/>
    <n v="0"/>
    <n v="0"/>
    <n v="0"/>
    <n v="0"/>
  </r>
  <r>
    <x v="2"/>
    <s v="Operation"/>
    <s v="CO_r"/>
    <s v="Low Voltage"/>
    <s v="Paul Hsu"/>
    <s v="Shawn"/>
    <x v="57"/>
    <x v="173"/>
    <s v="USC22C010"/>
    <s v="F21P1_A_CMS_O3 analyzer adapter"/>
    <n v="16859.189999999999"/>
    <m/>
    <d v="2023-10-27T00:00:00"/>
    <m/>
    <s v="Pay in month end - 1 month after acceptance month of the date"/>
    <n v="16859.189999999999"/>
    <n v="16016.23"/>
    <n v="16859.18999999999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6016.23"/>
    <m/>
    <m/>
    <m/>
    <n v="842.96"/>
    <m/>
    <n v="0"/>
    <n v="0"/>
    <n v="0"/>
    <n v="0"/>
    <n v="0"/>
    <n v="0"/>
    <n v="0"/>
    <n v="0"/>
    <n v="0"/>
    <n v="0"/>
  </r>
  <r>
    <x v="1"/>
    <s v="新工"/>
    <s v="CO, Settlement"/>
    <s v="UPW"/>
    <s v="Emon"/>
    <s v="Chihhao"/>
    <x v="3"/>
    <x v="174"/>
    <s v="USC21C003"/>
    <s v="F21P1 UPW &amp; WWT Battery Charge"/>
    <n v="264822"/>
    <m/>
    <d v="2023-10-27T00:00:00"/>
    <m/>
    <s v="Pay in month end - 1 month after acceptance month of the date"/>
    <n v="211857.6"/>
    <n v="132411"/>
    <n v="211858"/>
    <n v="0.8"/>
    <n v="52964.3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274"/>
    <m/>
    <m/>
    <m/>
    <m/>
    <m/>
    <n v="44137"/>
    <m/>
    <m/>
    <m/>
    <n v="8827"/>
    <m/>
    <n v="0"/>
    <n v="0"/>
    <n v="70619.600000000006"/>
    <n v="0"/>
    <n v="0"/>
    <n v="0"/>
    <n v="0"/>
    <n v="0"/>
    <n v="0"/>
    <n v="0"/>
  </r>
  <r>
    <x v="1"/>
    <s v="新工"/>
    <s v="CO, Settlement"/>
    <s v="Low Voltage"/>
    <s v="Paul Hsu"/>
    <s v="Dahlia"/>
    <x v="2"/>
    <x v="175"/>
    <s v="USC21C013"/>
    <s v="F21P1 THC Extension for WRC Scrubbers"/>
    <n v="46326.879999999997"/>
    <m/>
    <d v="2023-11-01T00:00:00"/>
    <m/>
    <s v="Pay on 28 next month: 90% on prog, 10 acpt of the date"/>
    <n v="44010.54"/>
    <n v="0"/>
    <n v="44010.54"/>
    <n v="0.95000008634296118"/>
    <n v="2316.3399999999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44010.54"/>
    <n v="0"/>
    <n v="0"/>
    <n v="0"/>
    <n v="0"/>
    <n v="0"/>
  </r>
  <r>
    <x v="1"/>
    <s v="新工"/>
    <s v="CO_r"/>
    <s v="Chemical"/>
    <s v="Kate"/>
    <s v="Wan-chun"/>
    <x v="38"/>
    <x v="176"/>
    <s v="USC21C005"/>
    <s v="F21P1 Lorry RU Chemical Filtration Impro"/>
    <n v="125235"/>
    <m/>
    <d v="2023-11-02T00:00:00"/>
    <m/>
    <s v="Pay in month end - 1 month after acceptance month of the date"/>
    <n v="39675"/>
    <n v="39675"/>
    <n v="39675"/>
    <n v="0.3168044077134986"/>
    <n v="85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01"/>
    <m/>
    <n v="13607"/>
    <m/>
    <n v="2967"/>
    <m/>
    <m/>
    <m/>
    <m/>
    <m/>
    <m/>
    <m/>
    <n v="0"/>
    <n v="0"/>
    <n v="0"/>
    <n v="0"/>
    <n v="0"/>
    <n v="0"/>
    <n v="0"/>
    <n v="0"/>
    <n v="0"/>
    <n v="0"/>
  </r>
  <r>
    <x v="1"/>
    <s v="新工"/>
    <s v="CO, Settlement"/>
    <s v="WWT"/>
    <s v="Jim Chiang"/>
    <s v="Jeffrey"/>
    <x v="3"/>
    <x v="177"/>
    <s v="USC21C009"/>
    <s v="F21P1 WWT Mezzanines fireproof coating"/>
    <n v="1734089.5"/>
    <m/>
    <d v="2023-11-03T00:00:00"/>
    <m/>
    <s v="Pay in month end - 1 month after acceptance month of the date"/>
    <n v="1647385.86"/>
    <n v="1184569"/>
    <n v="1647385.86"/>
    <n v="0.95000048152070593"/>
    <n v="86703.639999999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84"/>
    <m/>
    <m/>
    <m/>
    <n v="93604"/>
    <m/>
    <n v="401181"/>
    <m/>
    <m/>
    <m/>
    <n v="283169.89"/>
    <n v="0"/>
    <n v="179646.97"/>
    <n v="0"/>
    <n v="0"/>
    <n v="0"/>
    <n v="0"/>
    <n v="0"/>
    <n v="0"/>
    <n v="0"/>
  </r>
  <r>
    <x v="1"/>
    <s v="新工"/>
    <s v="CO, Settlement"/>
    <s v="WWT"/>
    <s v="Jim Chiang"/>
    <s v="Jack"/>
    <x v="3"/>
    <x v="178"/>
    <s v="USC21C009"/>
    <s v="F21P1 WWT cable tray relo &amp; add support"/>
    <n v="2398574.7000000002"/>
    <m/>
    <d v="2023-11-03T00:00:00"/>
    <m/>
    <s v="Pay in month end - 1 month after acceptance month of the date"/>
    <n v="2398574.7000000002"/>
    <n v="2178485"/>
    <n v="2398574.7000000002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171"/>
    <m/>
    <n v="1238808"/>
    <m/>
    <m/>
    <m/>
    <n v="190506"/>
    <m/>
    <m/>
    <m/>
    <m/>
    <m/>
    <n v="220089.7"/>
    <n v="0"/>
    <n v="0"/>
    <n v="0"/>
    <n v="0"/>
    <n v="0"/>
    <n v="0"/>
    <n v="0"/>
    <n v="0"/>
    <n v="0"/>
  </r>
  <r>
    <x v="1"/>
    <s v="新工"/>
    <s v="CO, Settlement"/>
    <m/>
    <s v="Steven Chiu"/>
    <s v="Johnny Wan"/>
    <x v="2"/>
    <x v="179"/>
    <s v="USC23C054"/>
    <s v="F21P1 WCCS Extend GC and Labor Incentive"/>
    <n v="661674"/>
    <m/>
    <d v="2023-11-03T00:00:00"/>
    <m/>
    <s v="Pay in month end - 1 month after acceptance month of the date"/>
    <n v="661674"/>
    <n v="661674"/>
    <n v="661674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1674"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1"/>
    <s v="新工"/>
    <s v="CO, Settlement"/>
    <s v="Chemical"/>
    <s v="Steven Chiu"/>
    <s v="Henry"/>
    <x v="2"/>
    <x v="180"/>
    <s v="USC23C054"/>
    <s v="F21P1 Slurry Extend GC &amp; Labor Incentive"/>
    <n v="1313687.25"/>
    <m/>
    <d v="2023-11-03T00:00:00"/>
    <m/>
    <s v="Pay in month end - 1 month after acceptance month of the date"/>
    <n v="1313687.25"/>
    <n v="1313687.25"/>
    <n v="1313687.2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3687.25"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1"/>
    <s v="新工"/>
    <s v="CO, Settlement"/>
    <s v="Low Voltage"/>
    <s v="Paul Hsu"/>
    <s v="Paul Hsu"/>
    <x v="2"/>
    <x v="181"/>
    <s v="USC23C054"/>
    <s v="F21P1 VOC Extend GC &amp; Labor Incentive"/>
    <n v="104910"/>
    <m/>
    <d v="2023-11-03T00:00:00"/>
    <m/>
    <s v="Pay in month end - 1 month after acceptance month of the date"/>
    <n v="104910"/>
    <n v="104910"/>
    <n v="10491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910"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1"/>
    <s v="新工"/>
    <s v="CO, Settlement"/>
    <m/>
    <s v="Steven Chiu"/>
    <s v="Johnny Wan"/>
    <x v="2"/>
    <x v="182"/>
    <s v="USC23C054"/>
    <s v="F21P1 CDS Extend GC &amp; Labor Incentive"/>
    <n v="7083604.0199999996"/>
    <m/>
    <d v="2023-11-03T00:00:00"/>
    <m/>
    <s v="Pay in month end - 1 month after acceptance month of the date"/>
    <n v="7083604.0199999996"/>
    <n v="7083604.0199999996"/>
    <n v="7083604.0199999996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83604.0199999996"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1"/>
    <s v="新工"/>
    <s v="CO, Settlement"/>
    <m/>
    <s v="Andy Chen"/>
    <s v="Jim"/>
    <x v="2"/>
    <x v="183"/>
    <s v="USC23C054"/>
    <s v="F21P1 UPW Extend GC &amp; Labor Incentive"/>
    <n v="5008794.91"/>
    <m/>
    <d v="2023-11-03T00:00:00"/>
    <m/>
    <s v="Pay in month end - 1 month after acceptance month of the date"/>
    <n v="5008794.91"/>
    <n v="5008794.91"/>
    <n v="5008794.91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8794.91"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1"/>
    <s v="新工"/>
    <s v="CO, Settlement"/>
    <s v="WWT"/>
    <s v="Andy Chen"/>
    <s v="Jim"/>
    <x v="2"/>
    <x v="184"/>
    <s v="USC23C054"/>
    <s v="F21P1 WWT Extend GC &amp; Labor Incentive"/>
    <n v="577980.02"/>
    <m/>
    <d v="2023-11-03T00:00:00"/>
    <m/>
    <s v="Pay in month end - 1 month after acceptance month of the date"/>
    <n v="577980.02"/>
    <n v="577980.02"/>
    <n v="577980.02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980.02"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2"/>
    <s v="QR"/>
    <m/>
    <m/>
    <s v="Hank Su"/>
    <s v="Hank Su"/>
    <x v="74"/>
    <x v="185"/>
    <m/>
    <s v="F21_AZFAD_Hookup_seismic for Metrios cab "/>
    <n v="1428"/>
    <m/>
    <m/>
    <m/>
    <s v="Pay in month end - 1 month after acceptance month of the date"/>
    <n v="0"/>
    <n v="0"/>
    <n v="0"/>
    <n v="0"/>
    <n v="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1"/>
    <s v="新工"/>
    <s v="CO, Settlement"/>
    <s v="WWT"/>
    <s v="Emon"/>
    <s v="Emon"/>
    <x v="3"/>
    <x v="186"/>
    <s v="USC21C003"/>
    <s v="F21P1 WRC L20 RACK Modification"/>
    <n v="19484"/>
    <m/>
    <m/>
    <m/>
    <s v="Pay in month end - 1 month after acceptance month of the date"/>
    <n v="16198"/>
    <n v="16198"/>
    <n v="16198"/>
    <n v="0.83134879901457603"/>
    <n v="3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26"/>
    <m/>
    <m/>
    <m/>
    <n v="14472"/>
    <m/>
    <m/>
    <m/>
    <m/>
    <m/>
    <m/>
    <m/>
    <n v="0"/>
    <n v="0"/>
    <n v="0"/>
    <n v="0"/>
    <n v="0"/>
    <n v="0"/>
    <n v="0"/>
    <n v="0"/>
    <n v="2311.8000000000002"/>
    <n v="0"/>
  </r>
  <r>
    <x v="0"/>
    <s v="設備"/>
    <m/>
    <m/>
    <s v="Hank Su"/>
    <s v="Hank Su"/>
    <x v="39"/>
    <x v="187"/>
    <s v="USC23C002"/>
    <s v="MISC_(TAX/U1)_EUV_Guard Rail"/>
    <n v="21440.6"/>
    <m/>
    <m/>
    <m/>
    <s v="Pay in month end - 1 month after acceptance month of the date"/>
    <n v="0"/>
    <n v="0"/>
    <n v="0"/>
    <n v="0"/>
    <n v="2144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2"/>
    <s v="新工"/>
    <s v="CO_r, Settlement"/>
    <m/>
    <s v="Shannon"/>
    <m/>
    <x v="75"/>
    <x v="188"/>
    <s v="USC24C006"/>
    <s v="F21P1 Cast Resin PD Sensor Install/Test"/>
    <n v="69600"/>
    <m/>
    <m/>
    <m/>
    <s v="95% on progress,5% 1 month after acceptance of the date"/>
    <n v="55680"/>
    <n v="0"/>
    <n v="55680"/>
    <n v="0.8"/>
    <n v="13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55680"/>
    <n v="0"/>
    <n v="9312.48"/>
    <n v="0"/>
  </r>
  <r>
    <x v="3"/>
    <s v="HK"/>
    <m/>
    <m/>
    <s v="John Gauci"/>
    <m/>
    <x v="76"/>
    <x v="189"/>
    <s v="USC23C055"/>
    <s v="Hook UP 3 Month Labor"/>
    <n v="33576323"/>
    <m/>
    <d v="2023-11-17T00:00:00"/>
    <m/>
    <m/>
    <n v="33576323"/>
    <n v="33576323"/>
    <n v="33576323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31574.059999999"/>
    <m/>
    <n v="10144748.939999999"/>
    <m/>
    <m/>
    <m/>
    <m/>
    <m/>
    <m/>
    <m/>
    <m/>
    <m/>
    <n v="0"/>
    <n v="0"/>
    <n v="0"/>
    <n v="0"/>
    <n v="0"/>
    <n v="0"/>
    <n v="0"/>
    <n v="0"/>
    <n v="0"/>
    <n v="0"/>
  </r>
  <r>
    <x v="0"/>
    <s v="HK"/>
    <m/>
    <m/>
    <m/>
    <m/>
    <x v="2"/>
    <x v="190"/>
    <s v="USC22C008"/>
    <s v="Fab Cleanroom Expansion Phase 2"/>
    <n v="44712"/>
    <m/>
    <d v="2023-11-18T00:00:00"/>
    <m/>
    <m/>
    <n v="0"/>
    <n v="0"/>
    <n v="0"/>
    <n v="0"/>
    <n v="44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3"/>
    <s v="HK"/>
    <m/>
    <m/>
    <s v="Ning"/>
    <s v="Ning"/>
    <x v="2"/>
    <x v="191"/>
    <s v="USC22C005"/>
    <s v="TSMC F21P1 0423 Chemical"/>
    <n v="1181815.55"/>
    <m/>
    <s v="11/22/2023"/>
    <m/>
    <m/>
    <n v="1017726.7"/>
    <n v="633296.65999999992"/>
    <n v="1017726.7"/>
    <n v="0.86115527926502566"/>
    <n v="164088.850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6363.11"/>
    <m/>
    <m/>
    <m/>
    <m/>
    <m/>
    <n v="396933.55"/>
    <m/>
    <m/>
    <m/>
    <n v="96506.47"/>
    <n v="0"/>
    <n v="256257.06"/>
    <n v="0"/>
    <n v="31666.51"/>
    <n v="0"/>
    <n v="0"/>
    <n v="0"/>
    <n v="0"/>
    <n v="0"/>
  </r>
  <r>
    <x v="0"/>
    <s v="設備"/>
    <m/>
    <m/>
    <s v="George Gaspar"/>
    <m/>
    <x v="39"/>
    <x v="192"/>
    <s v="USC24C002"/>
    <s v="[RM]F21_EUV_Crane_service contract"/>
    <n v="20000"/>
    <m/>
    <s v="11/23/2023"/>
    <m/>
    <s v="Pay in month end - 1 month after acceptance month of the date"/>
    <n v="20000"/>
    <n v="20000"/>
    <n v="2000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00"/>
    <m/>
    <m/>
    <m/>
    <m/>
    <m/>
    <n v="0"/>
    <n v="0"/>
    <n v="0"/>
    <n v="0"/>
    <n v="0"/>
    <n v="0"/>
    <n v="0"/>
    <n v="0"/>
    <n v="0"/>
    <n v="0"/>
  </r>
  <r>
    <x v="1"/>
    <s v="新工"/>
    <s v="CO, Settlement"/>
    <s v="WWT"/>
    <s v="Jim Chiang"/>
    <s v="Thomas"/>
    <x v="3"/>
    <x v="193"/>
    <s v="USC21C009"/>
    <s v="F21P1 WWT LB2 Support Modification"/>
    <n v="19774.5"/>
    <m/>
    <d v="2023-12-31T00:00:00"/>
    <m/>
    <m/>
    <n v="19774.5"/>
    <n v="0"/>
    <n v="19774.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970.88"/>
    <m/>
    <n v="0"/>
    <n v="0"/>
    <n v="3803.62"/>
    <n v="0"/>
    <n v="0"/>
    <n v="0"/>
    <n v="0"/>
    <n v="0"/>
    <n v="0"/>
    <n v="0"/>
  </r>
  <r>
    <x v="3"/>
    <s v="HK"/>
    <m/>
    <m/>
    <m/>
    <m/>
    <x v="2"/>
    <x v="194"/>
    <s v="USC22C005"/>
    <s v="EBOAZ ZASC5-1 UPW Hook Up Material"/>
    <n v="16252.5"/>
    <m/>
    <s v="01/14/2023"/>
    <m/>
    <m/>
    <n v="16252.5"/>
    <n v="15767.05"/>
    <n v="16252.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50.5"/>
    <m/>
    <m/>
    <m/>
    <n v="12516.55"/>
    <m/>
    <m/>
    <m/>
    <m/>
    <m/>
    <n v="485.45"/>
    <n v="0"/>
    <n v="0"/>
    <n v="0"/>
    <n v="0"/>
    <n v="0"/>
    <n v="0"/>
    <n v="0"/>
    <n v="0"/>
    <n v="0"/>
  </r>
  <r>
    <x v="3"/>
    <s v="HK"/>
    <m/>
    <m/>
    <m/>
    <m/>
    <x v="2"/>
    <x v="195"/>
    <s v="USC23C055"/>
    <s v="F21P1 0404 H Hardware for 3 Months"/>
    <n v="26892986.890000001"/>
    <m/>
    <d v="2023-12-31T00:00:00"/>
    <m/>
    <m/>
    <n v="23009012.419999998"/>
    <n v="13146417.060000001"/>
    <n v="23009012.419999998"/>
    <n v="0.85557667930726444"/>
    <n v="3883974.4700000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37347.3300000001"/>
    <m/>
    <n v="2577968.13"/>
    <m/>
    <n v="2054460.19"/>
    <m/>
    <n v="1520116.89"/>
    <m/>
    <n v="1356524.52"/>
    <m/>
    <n v="5440319.6900000004"/>
    <m/>
    <n v="2524721.4"/>
    <n v="0"/>
    <n v="0"/>
    <n v="0"/>
    <n v="1710084.83"/>
    <n v="0"/>
    <n v="187469.44"/>
    <n v="0"/>
    <n v="200320.74"/>
    <n v="0"/>
  </r>
  <r>
    <x v="1"/>
    <s v="新工"/>
    <s v="CO, Settlement"/>
    <s v="WWT"/>
    <s v="Andy Chen"/>
    <s v="Jim"/>
    <x v="3"/>
    <x v="196"/>
    <s v="USC21C009"/>
    <s v="F21P1 WWT Per Diem and Acceleration"/>
    <n v="6264381"/>
    <m/>
    <s v="12/7/2023"/>
    <m/>
    <s v="Pay in month end - 1 month after acceptance month of the date"/>
    <n v="6264381"/>
    <n v="6264381"/>
    <n v="6264381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381"/>
    <m/>
    <m/>
    <m/>
    <m/>
    <m/>
    <m/>
    <m/>
    <m/>
    <m/>
    <n v="0"/>
    <n v="0"/>
    <n v="0"/>
    <n v="0"/>
    <n v="0"/>
    <n v="0"/>
    <n v="0"/>
    <n v="0"/>
    <n v="0"/>
    <n v="0"/>
  </r>
  <r>
    <x v="3"/>
    <s v="EBO"/>
    <m/>
    <m/>
    <s v="John Gauci"/>
    <m/>
    <x v="2"/>
    <x v="197"/>
    <s v="USC23C055"/>
    <s v="ZKT6-1 Electrics hookup installation"/>
    <n v="17130.05"/>
    <m/>
    <s v="12/14/2023"/>
    <m/>
    <s v="Pay in month end - 1 month after acceptance month of the date"/>
    <n v="0"/>
    <n v="0"/>
    <n v="0"/>
    <n v="0"/>
    <n v="17130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1"/>
    <s v="新工"/>
    <s v="CO, Settlement"/>
    <s v="WWT"/>
    <s v="Jim Chiang"/>
    <s v="Thomas"/>
    <x v="3"/>
    <x v="198"/>
    <s v="USC21C009"/>
    <s v="F21P1 WWT AWR Drain to LSR System"/>
    <n v="63140.59"/>
    <m/>
    <s v="12/14/2023"/>
    <m/>
    <s v="Pay on 28 next month: 90% on prog, 10 acpt of the date"/>
    <n v="63140.59"/>
    <n v="12628"/>
    <n v="63140.5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28"/>
    <m/>
    <m/>
    <m/>
    <m/>
    <m/>
    <m/>
    <m/>
    <m/>
    <m/>
    <n v="50512.59"/>
    <n v="0"/>
    <n v="0"/>
    <n v="0"/>
    <n v="0"/>
    <n v="0"/>
    <n v="0"/>
    <n v="0"/>
    <n v="0"/>
    <n v="0"/>
  </r>
  <r>
    <x v="1"/>
    <s v="新工"/>
    <s v="CO, Settlement"/>
    <s v="WWT"/>
    <s v="Jim Chiang"/>
    <s v="Arunas"/>
    <x v="3"/>
    <x v="199"/>
    <s v="USC21C009"/>
    <s v="F21P1 WWT Panel Butten Change"/>
    <n v="100502.27"/>
    <m/>
    <s v="12/14/2023"/>
    <m/>
    <s v="Pay on 28 next month: 90% on prog, 10 acpt of the date"/>
    <n v="100502.27"/>
    <n v="89649.42"/>
    <n v="100502.27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79.42"/>
    <m/>
    <n v="31370"/>
    <m/>
    <m/>
    <m/>
    <m/>
    <m/>
    <n v="0"/>
    <n v="0"/>
    <n v="0"/>
    <n v="0"/>
    <n v="10852.85"/>
    <n v="0"/>
    <n v="0"/>
    <n v="0"/>
    <n v="0"/>
    <n v="0"/>
  </r>
  <r>
    <x v="4"/>
    <s v="AMHS"/>
    <m/>
    <s v="AMHS"/>
    <s v="David Nystrom"/>
    <s v="David Short"/>
    <x v="11"/>
    <x v="200"/>
    <s v="USC22C031"/>
    <s v="CAP_E_F21P1 AMHS EUV Area Scaffolding"/>
    <n v="433365"/>
    <m/>
    <s v="12/15/2023"/>
    <m/>
    <s v="Pay in month end - 1 month after acceptance month of the date"/>
    <n v="433365"/>
    <n v="433365"/>
    <n v="43336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433365"/>
    <m/>
    <n v="0"/>
    <m/>
    <n v="0"/>
    <m/>
    <n v="0"/>
    <n v="0"/>
    <n v="0"/>
    <n v="0"/>
    <n v="0"/>
    <n v="0"/>
    <n v="0"/>
    <n v="0"/>
    <n v="0"/>
    <n v="0"/>
  </r>
  <r>
    <x v="1"/>
    <s v="新工"/>
    <s v="CO, Settlement"/>
    <s v="UPW"/>
    <s v="Emon"/>
    <s v="Emon"/>
    <x v="3"/>
    <x v="201"/>
    <s v="USC21C009"/>
    <s v="F21P1 UPW Control Panel Temp Cable"/>
    <n v="830528.51"/>
    <m/>
    <s v="12/16/2023"/>
    <m/>
    <s v="Pay in month end - 1 month after acceptance month of the date"/>
    <n v="830528.51"/>
    <n v="830528.51"/>
    <n v="830528.51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0528.51"/>
    <m/>
    <m/>
    <m/>
    <m/>
    <m/>
    <m/>
    <m/>
    <m/>
    <m/>
    <n v="0"/>
    <n v="0"/>
    <n v="0"/>
    <n v="0"/>
    <n v="0"/>
    <n v="0"/>
    <n v="0"/>
    <n v="0"/>
    <n v="0"/>
    <n v="0"/>
  </r>
  <r>
    <x v="1"/>
    <s v="新工"/>
    <s v="CO, Settlement"/>
    <s v="UPW"/>
    <s v="Emon"/>
    <s v="Emon"/>
    <x v="3"/>
    <x v="202"/>
    <s v="USC21C003"/>
    <s v="F21P1 UPW Damage by Other Trade Repair"/>
    <n v="215909.35"/>
    <m/>
    <s v="12/16/2023"/>
    <m/>
    <s v="Pay in month end - 1 month after acceptance month of the date"/>
    <n v="215909.35"/>
    <n v="215909.35"/>
    <n v="215909.3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909.35"/>
    <m/>
    <m/>
    <m/>
    <m/>
    <m/>
    <m/>
    <m/>
    <m/>
    <m/>
    <n v="0"/>
    <n v="0"/>
    <n v="0"/>
    <n v="0"/>
    <n v="0"/>
    <n v="0"/>
    <n v="0"/>
    <n v="0"/>
    <n v="0"/>
    <n v="0"/>
  </r>
  <r>
    <x v="1"/>
    <s v="新工"/>
    <s v="CO_r, Settlement"/>
    <s v="WWT"/>
    <s v="Shannon"/>
    <m/>
    <x v="3"/>
    <x v="203"/>
    <s v="USC23C056"/>
    <s v="F21P1 WWT FAB LB2 Trench Cleanning"/>
    <n v="141128"/>
    <m/>
    <s v="12/16/2023"/>
    <m/>
    <s v="Pay in month end - 1 month after acceptance month of the date"/>
    <n v="141128"/>
    <n v="141128"/>
    <n v="141128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128"/>
    <n v="7889.06"/>
    <m/>
    <m/>
    <m/>
    <m/>
    <m/>
    <m/>
    <n v="0"/>
    <n v="0"/>
    <n v="0"/>
    <n v="0"/>
    <n v="0"/>
    <n v="0"/>
    <n v="0"/>
    <n v="0"/>
    <n v="0"/>
    <n v="0"/>
  </r>
  <r>
    <x v="2"/>
    <s v="新工"/>
    <s v="CO_r"/>
    <s v="Chemical"/>
    <s v="Steven Chiu"/>
    <s v="Henry"/>
    <x v="77"/>
    <x v="204"/>
    <s v="USC21C006"/>
    <s v="F21P1 Slurry 2 Additional Set Install"/>
    <n v="1590000"/>
    <m/>
    <s v="12/21/2023"/>
    <m/>
    <s v="Payment by Progress of the date"/>
    <n v="318918"/>
    <n v="0"/>
    <n v="318918"/>
    <n v="0.20057735849056604"/>
    <n v="1271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8918"/>
    <n v="0"/>
    <n v="0"/>
    <n v="0"/>
    <n v="0"/>
    <n v="0"/>
    <n v="0"/>
    <n v="0"/>
    <n v="0"/>
    <n v="0"/>
  </r>
  <r>
    <x v="3"/>
    <s v="設備"/>
    <m/>
    <m/>
    <s v="John Gauci"/>
    <m/>
    <x v="2"/>
    <x v="205"/>
    <s v="USC23C055"/>
    <s v="elec. cable for KXPTR1/2 "/>
    <n v="4600"/>
    <m/>
    <s v="12/28/2023"/>
    <m/>
    <s v="Pay in month end - 1 month after acceptance month of the date"/>
    <n v="0"/>
    <n v="0"/>
    <n v="0"/>
    <n v="0"/>
    <n v="4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4600"/>
    <n v="0"/>
  </r>
  <r>
    <x v="4"/>
    <s v="AMHS"/>
    <m/>
    <m/>
    <s v="David Nystrom"/>
    <s v="David Short"/>
    <x v="29"/>
    <x v="206"/>
    <s v="USC22C025"/>
    <s v="CAP_E_F21P1 MML Anchor Permit Paperwork"/>
    <n v="23345"/>
    <m/>
    <s v="12/28/2023"/>
    <m/>
    <s v="Pay in month end - 1 month after acceptance month of the date"/>
    <n v="23345"/>
    <n v="23345"/>
    <n v="2334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45"/>
    <m/>
    <n v="0"/>
    <m/>
    <n v="0"/>
    <m/>
    <n v="0"/>
    <n v="0"/>
    <n v="0"/>
    <n v="0"/>
    <n v="0"/>
    <n v="0"/>
    <n v="0"/>
    <n v="0"/>
    <n v="0"/>
    <n v="0"/>
  </r>
  <r>
    <x v="3"/>
    <s v="HK"/>
    <m/>
    <m/>
    <s v="Hank Su"/>
    <s v="Hank Su"/>
    <x v="2"/>
    <x v="207"/>
    <s v="USC23C002"/>
    <s v="FAC_(600/T9) FX200 Seismic holes enlarge "/>
    <n v="1792.46"/>
    <m/>
    <s v="1/4/2024"/>
    <m/>
    <s v="Pay in month end - 1 month after acceptance month of the date"/>
    <n v="0"/>
    <n v="0"/>
    <n v="0"/>
    <n v="0"/>
    <n v="1792.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7"/>
    <s v="設備"/>
    <s v="Interconnection"/>
    <m/>
    <s v="Hank Su"/>
    <m/>
    <x v="2"/>
    <x v="208"/>
    <s v="USC23C002"/>
    <s v="CAP_F_ 91016 Strength Raised Floor insta "/>
    <n v="26318.31"/>
    <m/>
    <s v="1/6/2024"/>
    <m/>
    <s v="Pay on 28 next month: 90% on prog, 10 acpt of the date"/>
    <n v="0"/>
    <n v="0"/>
    <n v="0"/>
    <n v="0"/>
    <n v="26318.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5"/>
    <s v="HK"/>
    <m/>
    <m/>
    <s v="Hank Su"/>
    <m/>
    <x v="2"/>
    <x v="209"/>
    <s v="USC23C002"/>
    <s v="CAP_F_ 91016 Strength Raised Floor insta "/>
    <n v="26318.31"/>
    <m/>
    <s v="1/6/2024"/>
    <m/>
    <s v=" Pay on 28 next month: 90% on prog, 10 acpt of the date "/>
    <n v="0"/>
    <n v="0"/>
    <n v="0"/>
    <n v="0"/>
    <n v="26318.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</r>
  <r>
    <x v="4"/>
    <s v="AMHS"/>
    <m/>
    <s v="AMHS"/>
    <s v="David Nystrom"/>
    <s v="David Short"/>
    <x v="78"/>
    <x v="210"/>
    <s v="USC22C034"/>
    <s v="CAP_E_F21P1A AMHS Electrical revise Design for MML"/>
    <n v="48962.400000000001"/>
    <m/>
    <s v="1/11/2024"/>
    <m/>
    <s v="Pay in month end - 1 month after acceptance month of the date"/>
    <n v="0"/>
    <n v="0"/>
    <n v="48962.400000000001"/>
    <n v="0"/>
    <n v="48962.4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m/>
    <n v="0"/>
    <n v="0"/>
    <n v="0"/>
    <n v="0"/>
    <n v="0"/>
    <n v="0"/>
    <n v="0"/>
    <n v="0"/>
    <n v="0"/>
    <n v="0"/>
  </r>
  <r>
    <x v="4"/>
    <s v="AMHS"/>
    <m/>
    <s v="AMHS"/>
    <s v="David Nystrom"/>
    <s v="David Short"/>
    <x v="29"/>
    <x v="211"/>
    <s v="USC22C034"/>
    <s v=" CAP_E_F21P1 AMHS AC BOX Addition Design"/>
    <n v="30042.6"/>
    <m/>
    <s v="1/11/2024"/>
    <m/>
    <s v="Pay in month end - 1 month after acceptance month of the date"/>
    <n v="30042.6"/>
    <n v="30042.6"/>
    <n v="30042.6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42.6"/>
    <m/>
    <n v="0"/>
    <m/>
    <n v="0"/>
    <m/>
    <n v="0"/>
    <n v="0"/>
    <n v="0"/>
    <n v="0"/>
    <n v="0"/>
    <n v="0"/>
    <n v="0"/>
    <n v="0"/>
    <n v="0"/>
    <n v="0"/>
  </r>
  <r>
    <x v="1"/>
    <s v="新工"/>
    <s v="CO, Settlement"/>
    <s v="WWT"/>
    <s v="Andy Chen"/>
    <s v="Jim"/>
    <x v="3"/>
    <x v="212"/>
    <s v="USC21C009"/>
    <s v=" F21P1 WWT Per Diem and Acceleration"/>
    <n v="4142540.4"/>
    <m/>
    <s v="01/12/2024"/>
    <m/>
    <s v="Pay in month end - 1 month after acceptance month of the date"/>
    <n v="4142540.4"/>
    <n v="4142540.4"/>
    <n v="4142540.4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2540.4"/>
    <m/>
    <m/>
    <m/>
    <m/>
    <m/>
    <m/>
    <m/>
    <n v="0"/>
    <n v="0"/>
    <n v="0"/>
    <n v="0"/>
    <n v="0"/>
    <n v="0"/>
    <n v="0"/>
    <n v="0"/>
    <n v="0"/>
    <n v="0"/>
  </r>
  <r>
    <x v="1"/>
    <s v="新工"/>
    <s v="CO, Settlement"/>
    <s v="WWT"/>
    <s v="Jim Chiang"/>
    <s v="Thomas/CH"/>
    <x v="3"/>
    <x v="213"/>
    <s v="USC21C009"/>
    <s v="F21P1 WWT Discharge Temp Power/Redesign"/>
    <n v="601790"/>
    <m/>
    <s v="01/19/2024"/>
    <m/>
    <s v="Pay in month end - 1 month after acceptance month of the date"/>
    <n v="601790"/>
    <n v="577718"/>
    <n v="60179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1700"/>
    <m/>
    <n v="6018"/>
    <m/>
    <m/>
    <m/>
    <m/>
    <m/>
    <n v="24072"/>
    <n v="0"/>
    <n v="0"/>
    <n v="0"/>
    <n v="0"/>
    <n v="0"/>
    <n v="0"/>
    <n v="0"/>
    <n v="0"/>
    <n v="0"/>
  </r>
  <r>
    <x v="1"/>
    <s v="新工"/>
    <s v="CO_r"/>
    <s v="Low Voltage"/>
    <s v="Paul Hsu"/>
    <s v="Johnny Yang"/>
    <x v="79"/>
    <x v="214"/>
    <s v="USC22C013"/>
    <s v="MISC_(TAX/T0)_(LB1 CCTV QTY6/MIC)"/>
    <n v="47320"/>
    <m/>
    <s v="01/23/2024"/>
    <m/>
    <s v="Pay on 28 next month: 90% on prog, 10 acpt of the date"/>
    <n v="47320"/>
    <n v="42854.63"/>
    <n v="4732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854.63"/>
    <m/>
    <n v="4465.37"/>
    <m/>
    <n v="0"/>
    <n v="0"/>
    <n v="0"/>
    <n v="0"/>
    <n v="0"/>
    <n v="0"/>
    <n v="0"/>
    <n v="0"/>
    <n v="0"/>
    <n v="0"/>
  </r>
  <r>
    <x v="3"/>
    <s v="HK"/>
    <m/>
    <m/>
    <m/>
    <m/>
    <x v="80"/>
    <x v="215"/>
    <s v="USC23C063"/>
    <s v="Hook UP Time and Material HardWare"/>
    <n v="500000"/>
    <m/>
    <s v="11/18/2023"/>
    <m/>
    <m/>
    <n v="475646.11999999994"/>
    <n v="175847.09999999998"/>
    <n v="475646.11999999994"/>
    <n v="0.9512922399999999"/>
    <n v="24353.880000000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89.67"/>
    <m/>
    <n v="96257.43"/>
    <m/>
    <n v="289096.98"/>
    <m/>
    <n v="0"/>
    <n v="0"/>
    <n v="10702.04"/>
    <n v="0"/>
    <n v="0"/>
    <n v="0"/>
    <n v="0"/>
    <n v="0"/>
    <n v="0"/>
    <n v="0"/>
  </r>
  <r>
    <x v="3"/>
    <s v="HK"/>
    <m/>
    <m/>
    <s v="Elaine Ma"/>
    <s v="Sam"/>
    <x v="81"/>
    <x v="216"/>
    <s v="USC22C026"/>
    <s v="F21P1-0423_H_Unistrut Support Frame_MICU"/>
    <n v="150354.41"/>
    <m/>
    <s v="01/30/2024"/>
    <m/>
    <s v="Pay in month end - 1 month after acceptance month of the date"/>
    <n v="0"/>
    <n v="0"/>
    <n v="0"/>
    <n v="0"/>
    <n v="150354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6"/>
    <s v="QR"/>
    <m/>
    <m/>
    <m/>
    <s v="Ning"/>
    <x v="82"/>
    <x v="217"/>
    <s v="USC22C005"/>
    <s v="power drain material"/>
    <n v="577.20000000000005"/>
    <m/>
    <s v="02/01/2024"/>
    <m/>
    <s v="Pay in month end - 1 month after acceptance month of the date"/>
    <n v="577.22"/>
    <n v="577.22"/>
    <n v="577.22"/>
    <n v="1.00003465003465"/>
    <n v="-1.99999999999818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.22"/>
    <m/>
    <m/>
    <m/>
    <n v="0"/>
    <n v="0"/>
    <n v="0"/>
    <n v="0"/>
    <n v="0"/>
    <n v="0"/>
    <n v="0"/>
    <n v="0"/>
    <n v="0"/>
    <n v="0"/>
  </r>
  <r>
    <x v="3"/>
    <s v="HK"/>
    <m/>
    <m/>
    <s v="Kate"/>
    <m/>
    <x v="83"/>
    <x v="218"/>
    <s v="USC23C022"/>
    <s v="F21P1-0423_H_3D modeling(MICU)"/>
    <n v="3312795.31"/>
    <m/>
    <s v="02/01/2024"/>
    <m/>
    <s v="Pay in month end - 1 month after acceptance month of the date"/>
    <n v="2831964"/>
    <n v="2356722"/>
    <n v="2831964"/>
    <n v="0.85485631769987014"/>
    <n v="480831.31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56722"/>
    <m/>
    <n v="0"/>
    <m/>
    <m/>
    <m/>
    <n v="475242"/>
    <n v="0"/>
    <n v="0"/>
    <n v="0"/>
    <n v="0"/>
    <n v="0"/>
    <n v="0"/>
    <n v="0"/>
    <n v="0"/>
    <n v="0"/>
  </r>
  <r>
    <x v="4"/>
    <s v="AMHS"/>
    <m/>
    <s v="AMHS"/>
    <s v="David Nystrom"/>
    <s v="David Short"/>
    <x v="11"/>
    <x v="219"/>
    <s v="USC22C031"/>
    <s v="CAP_E_F21P1 L10 Scaffold for Stocker Install"/>
    <n v="9259"/>
    <m/>
    <s v="02/07/2024"/>
    <m/>
    <s v="Pay in month end - 1 month after acceptance month of the date"/>
    <n v="9259"/>
    <n v="9259"/>
    <n v="925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59"/>
    <m/>
    <n v="0"/>
    <m/>
    <n v="0"/>
    <n v="0"/>
    <n v="0"/>
    <n v="0"/>
    <n v="0"/>
    <n v="0"/>
    <n v="0"/>
    <n v="0"/>
    <n v="0"/>
    <n v="0"/>
  </r>
  <r>
    <x v="11"/>
    <s v="設備"/>
    <m/>
    <m/>
    <s v="Hank Su"/>
    <s v="Hank Su"/>
    <x v="39"/>
    <x v="220"/>
    <s v="USC23C002"/>
    <s v="EUV_Hard barricade"/>
    <n v="21440.6"/>
    <m/>
    <s v="02/14/2024"/>
    <m/>
    <s v="Pay in month end - 1 month after acceptance month of the date"/>
    <n v="0"/>
    <n v="0"/>
    <n v="0"/>
    <n v="0"/>
    <n v="2144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21440.6"/>
    <n v="0"/>
  </r>
  <r>
    <x v="2"/>
    <s v="設備"/>
    <m/>
    <m/>
    <s v="NA"/>
    <m/>
    <x v="39"/>
    <x v="221"/>
    <s v="USC24C002"/>
    <s v="(RM)F21_EUV_Crane service labor"/>
    <n v="60000"/>
    <m/>
    <s v="02/22/2024"/>
    <m/>
    <s v="Pay in month end - 1 month after acceptance month of the date"/>
    <n v="60000"/>
    <n v="30000"/>
    <n v="6000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00"/>
    <m/>
    <m/>
    <m/>
    <m/>
    <m/>
    <n v="30000"/>
    <n v="0"/>
    <n v="0"/>
    <n v="0"/>
    <n v="0"/>
    <n v="0"/>
    <n v="0"/>
    <n v="0"/>
    <n v="0"/>
    <n v="0"/>
  </r>
  <r>
    <x v="1"/>
    <s v="新工"/>
    <s v="CO, Settlement"/>
    <s v="UPW"/>
    <s v="Emon"/>
    <s v="Chihhao"/>
    <x v="30"/>
    <x v="222"/>
    <s v="USC21C003"/>
    <s v="F21P1 Gas Chemical Lab Additional Work"/>
    <n v="146982.97"/>
    <m/>
    <s v="02/23/2024"/>
    <m/>
    <s v="Pay in month end - 1 month after acceptance month of the date"/>
    <n v="146982.97"/>
    <n v="139633.82"/>
    <n v="146982.97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633.82"/>
    <n v="7805.53"/>
    <m/>
    <m/>
    <n v="7349.15"/>
    <n v="410.82"/>
    <n v="0"/>
    <n v="0"/>
    <n v="0"/>
    <n v="0"/>
    <n v="0"/>
    <n v="0"/>
    <n v="0"/>
    <n v="0"/>
  </r>
  <r>
    <x v="3"/>
    <s v="HK"/>
    <m/>
    <m/>
    <s v="Ning and Victoria"/>
    <m/>
    <x v="2"/>
    <x v="223"/>
    <s v="USC22C005"/>
    <s v="F21P1-0404_H_UPW_MICU"/>
    <n v="204832.03"/>
    <m/>
    <s v="02/29/2024"/>
    <m/>
    <s v="Pay in month end - 1 month after acceptance month of the date"/>
    <n v="204832.03"/>
    <n v="0"/>
    <n v="204832.03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832.03"/>
    <n v="0"/>
    <n v="0"/>
    <n v="0"/>
    <n v="0"/>
    <n v="0"/>
    <n v="0"/>
    <n v="0"/>
    <n v="0"/>
    <n v="0"/>
  </r>
  <r>
    <x v="3"/>
    <s v="HK"/>
    <m/>
    <m/>
    <s v="Ning and Victoria"/>
    <m/>
    <x v="2"/>
    <x v="224"/>
    <s v="USC22C005"/>
    <s v="F21P1-0404_H_UPW DP Panel_MICU"/>
    <n v="379624.13"/>
    <m/>
    <d v="2024-02-29T00:00:00"/>
    <m/>
    <s v="Pay in month end - 1 month after acceptance month of the date"/>
    <n v="90776.65"/>
    <n v="0"/>
    <n v="75924.83"/>
    <n v="0.2391224446138342"/>
    <n v="288847.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75924.83"/>
    <n v="0"/>
    <n v="0"/>
    <n v="0"/>
    <n v="14851.82"/>
    <n v="0"/>
    <n v="17177.55"/>
    <n v="0"/>
  </r>
  <r>
    <x v="3"/>
    <s v="HK"/>
    <m/>
    <m/>
    <s v="John Gauci"/>
    <m/>
    <x v="2"/>
    <x v="225"/>
    <s v="USC23C055"/>
    <s v="F21P1-0404_H_E2 Incentive "/>
    <n v="400707"/>
    <m/>
    <d v="2024-03-01T00:00:00"/>
    <m/>
    <s v="Pay in month end - 1 month after acceptance month of the date"/>
    <n v="400707"/>
    <n v="400707"/>
    <n v="400707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707"/>
    <m/>
    <m/>
    <m/>
    <n v="0"/>
    <n v="0"/>
    <n v="0"/>
    <n v="0"/>
    <n v="0"/>
    <n v="0"/>
    <n v="0"/>
    <n v="0"/>
    <n v="0"/>
    <n v="0"/>
  </r>
  <r>
    <x v="2"/>
    <s v="IT"/>
    <m/>
    <s v="Low Voltage"/>
    <s v="Paul Hsu"/>
    <m/>
    <x v="84"/>
    <x v="226"/>
    <s v="USC22C013"/>
    <s v="4F IT Service Center Speed Gate"/>
    <n v="104491.39"/>
    <m/>
    <d v="2024-03-08T00:00:00"/>
    <m/>
    <s v="Pay on 28 next month: 90% on prog, 10 acpt of the date"/>
    <n v="104491.39"/>
    <n v="104491.39"/>
    <n v="104491.3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491.39"/>
    <m/>
    <m/>
    <m/>
    <n v="0"/>
    <n v="0"/>
    <n v="0"/>
    <n v="0"/>
    <n v="0"/>
    <n v="0"/>
    <n v="0"/>
    <n v="0"/>
    <n v="0"/>
    <n v="0"/>
  </r>
  <r>
    <x v="3"/>
    <s v="HK"/>
    <m/>
    <m/>
    <s v="Hank Su"/>
    <m/>
    <x v="2"/>
    <x v="227"/>
    <s v="USC23C059"/>
    <s v="F21P1-0423_H_T&amp;M_MICU_MISC"/>
    <n v="799388"/>
    <m/>
    <d v="2024-03-08T00:00:00"/>
    <m/>
    <s v="Pay in month end - 1 month after acceptance month of the date"/>
    <n v="152507"/>
    <n v="0"/>
    <n v="152507"/>
    <n v="0.19077969646779785"/>
    <n v="646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52507"/>
    <n v="0"/>
    <n v="0"/>
    <n v="0"/>
    <n v="0"/>
    <n v="0"/>
    <n v="0"/>
    <n v="0"/>
  </r>
  <r>
    <x v="3"/>
    <s v="HK"/>
    <m/>
    <m/>
    <s v="Hank Su"/>
    <m/>
    <x v="2"/>
    <x v="228"/>
    <s v="USC23C002"/>
    <s v="F21P1-0404_H_Foundation Seismic Support"/>
    <n v="225800.25"/>
    <m/>
    <d v="2024-03-08T00:00:00"/>
    <m/>
    <s v="Pay in month end - 1 month after acceptance month of the date"/>
    <n v="0"/>
    <n v="0"/>
    <n v="0"/>
    <n v="0"/>
    <n v="22580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1"/>
    <s v="新工"/>
    <s v="CO, Settlement"/>
    <s v="UPW"/>
    <s v="Emon"/>
    <s v="Emon"/>
    <x v="3"/>
    <x v="229"/>
    <s v="USC21C003"/>
    <s v="F21P1 UPW WRC L10 Add Supports"/>
    <n v="12016.58"/>
    <m/>
    <d v="2024-03-08T00:00:00"/>
    <m/>
    <s v="Pay on 28 next month: 90% on prog, 10 acpt of the date"/>
    <n v="11415.75"/>
    <n v="0"/>
    <n v="11415.75"/>
    <n v="0.94999991678164675"/>
    <n v="600.82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11415.75"/>
    <n v="0"/>
    <n v="0"/>
    <n v="0"/>
  </r>
  <r>
    <x v="1"/>
    <s v="新工"/>
    <s v="CO, Settlement"/>
    <s v="UPW"/>
    <s v="Emon"/>
    <s v="Emon"/>
    <x v="3"/>
    <x v="230"/>
    <s v="USC21C003"/>
    <s v="F21P1 UPW A5 Backup Line Modification"/>
    <n v="76606.17"/>
    <m/>
    <d v="2024-03-12T00:00:00"/>
    <m/>
    <s v="Pay on 28 next month: 90% on prog, 10 acpt of the date"/>
    <n v="71274.570000000007"/>
    <n v="68026.33"/>
    <n v="71274.570000000007"/>
    <n v="0.93040247280343091"/>
    <n v="5331.5999999999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026.33"/>
    <m/>
    <n v="3248.24"/>
    <m/>
    <n v="0"/>
    <n v="0"/>
    <n v="0"/>
    <n v="0"/>
    <n v="0"/>
    <n v="0"/>
    <n v="0"/>
    <n v="0"/>
    <n v="0"/>
    <n v="0"/>
  </r>
  <r>
    <x v="3"/>
    <s v="HK"/>
    <m/>
    <m/>
    <s v="Hank Su"/>
    <m/>
    <x v="2"/>
    <x v="231"/>
    <s v="USC23C047"/>
    <s v="F21P1-0404_H_Seismic Install_MICU"/>
    <n v="1629593.3"/>
    <m/>
    <s v="03/23/2024"/>
    <m/>
    <s v="Pay in month end - 1 month after acceptance month of the date"/>
    <n v="1629593.3"/>
    <n v="1124519"/>
    <n v="1629593.3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4519"/>
    <m/>
    <n v="245510"/>
    <m/>
    <n v="203907"/>
    <n v="0"/>
    <n v="0"/>
    <n v="0"/>
    <n v="0"/>
    <n v="0"/>
    <n v="55657.3"/>
    <n v="0"/>
    <n v="0"/>
    <n v="0"/>
  </r>
  <r>
    <x v="11"/>
    <s v="LIT2"/>
    <m/>
    <m/>
    <m/>
    <m/>
    <x v="2"/>
    <x v="232"/>
    <s v="USC23C058"/>
    <s v="(RM)F21_EUV_Crane generator rent"/>
    <n v="115150.08"/>
    <m/>
    <s v="03/27/2024"/>
    <m/>
    <s v=" Pay in month end - 1 month after acceptance month of the date "/>
    <n v="0"/>
    <n v="0"/>
    <n v="0"/>
    <n v="0"/>
    <n v="115150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</r>
  <r>
    <x v="2"/>
    <s v="IT"/>
    <m/>
    <s v="Low Voltage"/>
    <s v="Paul Hsu"/>
    <s v="Johnny Yang"/>
    <x v="84"/>
    <x v="233"/>
    <s v="USC22C013"/>
    <s v="F21_PDPFA lab add two CCTV for OWMC requ"/>
    <n v="14660.72"/>
    <m/>
    <s v="04/05/2024"/>
    <m/>
    <s v="`"/>
    <n v="14660.72"/>
    <n v="0"/>
    <n v="14660.72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4660.72"/>
    <n v="819.53"/>
    <n v="0"/>
    <n v="0"/>
    <n v="0"/>
    <n v="0"/>
  </r>
  <r>
    <x v="2"/>
    <s v="IT"/>
    <m/>
    <s v="Low Voltage"/>
    <s v="Paul Hsu"/>
    <s v="Johnny Yang"/>
    <x v="84"/>
    <x v="234"/>
    <s v="USC22C013"/>
    <s v="F21_PDPFA_security facility for security"/>
    <n v="84682.25"/>
    <m/>
    <s v="04/05/2024"/>
    <m/>
    <s v=" Pay in month end - 1 month after acceptance month of the date "/>
    <n v="84682.25"/>
    <n v="0"/>
    <n v="84682.2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84682.25"/>
    <n v="4733.74"/>
    <n v="0"/>
    <n v="0"/>
  </r>
  <r>
    <x v="2"/>
    <s v="IT"/>
    <m/>
    <s v="Low Voltage"/>
    <s v="Paul Hsu"/>
    <s v="Johnny Yang"/>
    <x v="84"/>
    <x v="235"/>
    <s v="USC22C013"/>
    <s v="F21P1 Office Security IT Room CCTV"/>
    <n v="36374.57"/>
    <m/>
    <s v="04/11/2024"/>
    <m/>
    <s v=" Pay in month end - 1 month after acceptance month of the date "/>
    <n v="36374.57"/>
    <n v="0"/>
    <n v="36374.57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374.57"/>
    <n v="2033.34"/>
    <n v="0"/>
    <n v="0"/>
    <n v="0"/>
    <n v="0"/>
    <n v="0"/>
    <n v="0"/>
    <n v="0"/>
    <n v="0"/>
    <n v="0"/>
    <n v="0"/>
  </r>
  <r>
    <x v="4"/>
    <s v="AMHS"/>
    <m/>
    <s v="AMHS"/>
    <s v="David Nystrom"/>
    <s v="David Short"/>
    <x v="11"/>
    <x v="236"/>
    <s v="USC22C031"/>
    <s v="CAP_E_F21 VL14 Scaffold for Rail Adjustm"/>
    <n v="9259"/>
    <m/>
    <s v="04/16/2024"/>
    <m/>
    <s v="Pay in month end - 1 month after acceptance month of the date"/>
    <n v="9259"/>
    <n v="0"/>
    <n v="925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9259"/>
    <m/>
    <n v="0"/>
    <n v="0"/>
    <n v="0"/>
    <n v="0"/>
    <n v="0"/>
    <n v="0"/>
    <n v="0"/>
    <n v="0"/>
    <n v="0"/>
    <n v="0"/>
  </r>
  <r>
    <x v="2"/>
    <s v="LIT2"/>
    <m/>
    <m/>
    <s v="George Gaspar"/>
    <m/>
    <x v="39"/>
    <x v="237"/>
    <s v="Expect to add in USC24C002"/>
    <s v="TSMC F21P1 EUV Crane Maintenance"/>
    <n v="60000"/>
    <m/>
    <s v="04/16/2024"/>
    <m/>
    <s v=" Pay in month end - 1 month after acceptance month of the date"/>
    <n v="50000"/>
    <n v="0"/>
    <n v="0"/>
    <n v="0.83333333333333337"/>
    <n v="1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50000"/>
    <n v="0"/>
    <n v="0"/>
    <n v="0"/>
    <n v="0"/>
    <n v="0"/>
  </r>
  <r>
    <x v="2"/>
    <s v="IT"/>
    <m/>
    <s v="Low Voltage"/>
    <s v="Paul Hsu"/>
    <s v="Shawn Liu"/>
    <x v="85"/>
    <x v="238"/>
    <s v="USC22C013"/>
    <s v="CMS System IT Support"/>
    <n v="28520"/>
    <m/>
    <s v="04/23/2024"/>
    <m/>
    <s v="Pay in month end - 1 month after acceptance month of the date"/>
    <n v="0"/>
    <n v="0"/>
    <n v="0"/>
    <n v="0"/>
    <n v="28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4"/>
    <s v="AMHS"/>
    <m/>
    <s v="AMHS"/>
    <s v="David Nystrom"/>
    <s v="David Short"/>
    <x v="11"/>
    <x v="239"/>
    <s v="USC22C031"/>
    <s v="CAP_E_F21P1 AMHS EUV Area 2 Scaffolding"/>
    <n v="324069"/>
    <m/>
    <s v="05/02/2024"/>
    <m/>
    <s v="Pay in month end - 1 month after acceptance month of the date"/>
    <n v="324069"/>
    <n v="0"/>
    <n v="32406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n v="0"/>
    <n v="324069"/>
    <n v="0"/>
    <n v="0"/>
    <n v="0"/>
    <n v="0"/>
    <n v="0"/>
    <n v="0"/>
    <n v="0"/>
  </r>
  <r>
    <x v="3"/>
    <s v="HK"/>
    <m/>
    <m/>
    <s v="Elaine Ma"/>
    <m/>
    <x v="86"/>
    <x v="240"/>
    <s v="USC23C055"/>
    <s v="F21P1-0404_H_E2 Incentive"/>
    <n v="18400"/>
    <m/>
    <d v="2024-05-08T00:00:00"/>
    <m/>
    <s v="Pay in month end - 1 month after acceptance month of the date"/>
    <n v="0"/>
    <n v="0"/>
    <n v="0"/>
    <n v="0"/>
    <n v="18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18400"/>
    <n v="0"/>
  </r>
  <r>
    <x v="3"/>
    <s v="HK"/>
    <m/>
    <m/>
    <m/>
    <m/>
    <x v="87"/>
    <x v="241"/>
    <s v="USC23C047"/>
    <s v="F21P1-0404E2_H_Seismic Install_MICU"/>
    <n v="481285"/>
    <m/>
    <d v="2024-05-08T00:00:00"/>
    <m/>
    <s v="Pay in month end - 1 month after acceptance month of the date"/>
    <n v="162146.57"/>
    <n v="0"/>
    <n v="162146.57"/>
    <n v="0.33690343559429448"/>
    <n v="319138.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470.88"/>
    <n v="0"/>
    <n v="0"/>
    <n v="0"/>
    <n v="0"/>
    <n v="0"/>
    <n v="142675.69"/>
    <n v="0"/>
    <n v="203490.18"/>
    <n v="0"/>
  </r>
  <r>
    <x v="3"/>
    <s v="HK"/>
    <m/>
    <m/>
    <m/>
    <m/>
    <x v="88"/>
    <x v="242"/>
    <s v="USC22C005"/>
    <s v="F21P1-0423_H_UPW_MICU"/>
    <n v="1668571.43"/>
    <m/>
    <d v="2024-05-16T00:00:00"/>
    <m/>
    <s v="Pay in month end - 2 month after acceptance month of the date"/>
    <n v="670621.29"/>
    <n v="0"/>
    <n v="559565.86"/>
    <n v="0.40191344400521112"/>
    <n v="997950.13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33714.28999999998"/>
    <n v="0"/>
    <n v="225851.57"/>
    <n v="0"/>
    <n v="111055.43"/>
    <n v="0"/>
    <n v="182373.34"/>
    <n v="0"/>
  </r>
  <r>
    <x v="1"/>
    <s v="新工"/>
    <m/>
    <s v="Low Voltage"/>
    <s v="Paul Hsu"/>
    <s v="Johnny Yang"/>
    <x v="89"/>
    <x v="243"/>
    <s v="USC22C013"/>
    <s v="Pull 108 cable"/>
    <n v="30019"/>
    <m/>
    <d v="2024-05-30T00:00:00"/>
    <m/>
    <s v="Pay on 28 next month: 90% on prog, 10 acpt of the date"/>
    <n v="0"/>
    <n v="0"/>
    <n v="0"/>
    <n v="0"/>
    <n v="3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4"/>
    <s v="HK"/>
    <m/>
    <s v="AMHS"/>
    <s v="David Nystrom"/>
    <s v="David Short"/>
    <x v="90"/>
    <x v="244"/>
    <s v="USC22C031"/>
    <s v="CAP_E_F21 P1 HPM Panel Hole Filling"/>
    <n v="243952.02"/>
    <m/>
    <s v="06/07/2024"/>
    <m/>
    <s v="Pay in month end - 1 month after acceptance month of the date"/>
    <n v="0"/>
    <n v="0"/>
    <n v="0"/>
    <n v="0"/>
    <n v="243952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73447.92"/>
    <n v="0"/>
  </r>
  <r>
    <x v="2"/>
    <s v="EBO"/>
    <m/>
    <s v="Low Voltage"/>
    <s v="Paul Hsu"/>
    <s v="Johnny Yang"/>
    <x v="33"/>
    <x v="245"/>
    <s v="USC22C013"/>
    <s v="EBOAZ-F21P1 Require CCTV&amp;ACS (Labor) "/>
    <n v="39627.9"/>
    <m/>
    <s v="06/07/2024"/>
    <m/>
    <s v="Pay on 28 next month: 90% on prog, 10 acpt of the date"/>
    <n v="0"/>
    <n v="0"/>
    <n v="0"/>
    <n v="0"/>
    <n v="3962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</r>
  <r>
    <x v="4"/>
    <s v="AMHS"/>
    <m/>
    <s v="AMHS"/>
    <s v="David Nystrom"/>
    <s v="David Short"/>
    <x v="2"/>
    <x v="246"/>
    <s v="USC22C014"/>
    <s v="CAP_E_F21_Power_Project. MIC Power Project combined A+B side. Includes added 8 DP panels."/>
    <n v="2418381.8199999998"/>
    <m/>
    <s v="06/08/2024"/>
    <m/>
    <s v="Pay in month end - 1 month after acceptance month of the date"/>
    <n v="2418381.8199999998"/>
    <n v="0"/>
    <n v="2418381.8199999998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n v="0"/>
    <n v="2418381.8199999998"/>
    <n v="0"/>
    <n v="0"/>
    <n v="0"/>
    <n v="0"/>
    <n v="0"/>
    <n v="0"/>
    <n v="0"/>
  </r>
  <r>
    <x v="2"/>
    <s v="EBO"/>
    <m/>
    <s v="Low Voltage"/>
    <s v="Paul Hsu"/>
    <s v="Johnny Yang"/>
    <x v="33"/>
    <x v="247"/>
    <s v="USC22C013"/>
    <s v="EBOAZ-F21P1 Require CCTV&amp;ACS (material)"/>
    <n v="27306.55"/>
    <m/>
    <s v="06/08/2024"/>
    <m/>
    <s v="Pay on 28 next month: 90% on prog, 10 acpt of the date"/>
    <n v="0"/>
    <n v="0"/>
    <n v="0"/>
    <n v="0"/>
    <n v="27306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</r>
  <r>
    <x v="3"/>
    <s v="設備"/>
    <m/>
    <m/>
    <s v="Hank Su"/>
    <m/>
    <x v="2"/>
    <x v="248"/>
    <s v="USC23C002"/>
    <s v="CONSTR_(TAX/T5) KDSET1 floor"/>
    <n v="6544.8"/>
    <m/>
    <s v="06/14/2024"/>
    <m/>
    <s v="Pay in month end - 1 month after acceptance month of the date"/>
    <n v="0"/>
    <n v="0"/>
    <n v="0"/>
    <n v="0"/>
    <n v="654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</r>
  <r>
    <x v="1"/>
    <s v="新工"/>
    <s v="Settlement"/>
    <s v="Chemical"/>
    <s v="Kate "/>
    <s v="Wanchun"/>
    <x v="38"/>
    <x v="249"/>
    <s v="USC24C014"/>
    <s v="F21P1 CDS Pressure Test Appeal for PFC"/>
    <n v="34500"/>
    <m/>
    <s v="06/19/2024"/>
    <m/>
    <s v="90% 1 mth aft delivery, 10% 1 mth aft acceptance of the date"/>
    <n v="34500"/>
    <n v="0"/>
    <n v="3450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34500"/>
    <n v="0"/>
    <n v="0"/>
    <n v="0"/>
    <n v="0"/>
    <n v="0"/>
  </r>
  <r>
    <x v="3"/>
    <s v="HK"/>
    <m/>
    <s v="UPW"/>
    <s v="Elaine Ma"/>
    <s v="Victoria Chao"/>
    <x v="91"/>
    <x v="250"/>
    <s v="USC22C005"/>
    <s v="TSMC UPW P1B materials_panels"/>
    <n v="2668813.4700000002"/>
    <m/>
    <s v="06/21/2024"/>
    <m/>
    <s v="Pay in month end - 1 month after acceptance month of the date"/>
    <n v="533762.68999999994"/>
    <n v="0"/>
    <n v="533762.68999999994"/>
    <n v="0.19999999850120656"/>
    <n v="2135050.78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533762.68999999994"/>
    <n v="0"/>
    <n v="0"/>
    <n v="0"/>
    <n v="35906.39"/>
    <n v="0"/>
  </r>
  <r>
    <x v="1"/>
    <s v="新工"/>
    <s v="Settlement"/>
    <s v="Chemical"/>
    <s v="Steven Chiu"/>
    <s v="Johnny Wan"/>
    <x v="38"/>
    <x v="251"/>
    <s v="USC24C006"/>
    <s v="F21P1 CDS &amp; WCCS CO2 Suppression System "/>
    <n v="842291"/>
    <m/>
    <s v="06/21/2024"/>
    <m/>
    <s v="Pay in month end - 1 month after acceptance month of the date"/>
    <n v="424296"/>
    <n v="0"/>
    <n v="424296"/>
    <n v="0.50374039375940149"/>
    <n v="417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24296"/>
    <n v="0"/>
    <n v="0"/>
    <n v="0"/>
    <n v="0"/>
    <n v="0"/>
    <n v="259372"/>
    <n v="0"/>
  </r>
  <r>
    <x v="1"/>
    <s v="新工"/>
    <s v="Settlement"/>
    <s v="Chemical"/>
    <s v="Steven Chiu"/>
    <s v="Johnny Wan"/>
    <x v="38"/>
    <x v="252"/>
    <m/>
    <s v="F21P1 CDS Labor Incentive Nov 2023"/>
    <n v="36000"/>
    <m/>
    <d v="2024-06-28T00:00:00"/>
    <m/>
    <s v="Pay in month end - 1 month after acceptance month of the date"/>
    <n v="36000"/>
    <n v="0"/>
    <n v="3600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36000"/>
    <n v="0"/>
    <n v="0"/>
    <n v="0"/>
    <n v="0"/>
    <n v="0"/>
  </r>
  <r>
    <x v="1"/>
    <s v="新工"/>
    <s v="Settlement"/>
    <s v="WWT"/>
    <s v="Andy Chen"/>
    <m/>
    <x v="3"/>
    <x v="253"/>
    <s v="USC24C006"/>
    <s v="F21P1 WWT Labor Incentive Nov 2023"/>
    <n v="60000"/>
    <m/>
    <d v="2024-07-01T00:00:00"/>
    <m/>
    <s v="Pay on 28 next month: 90% on prog, 10 acpt of the date"/>
    <n v="60000"/>
    <n v="0"/>
    <n v="6000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60000"/>
    <n v="0"/>
    <n v="0"/>
    <n v="0"/>
    <n v="0"/>
    <n v="0"/>
  </r>
  <r>
    <x v="1"/>
    <s v="新工"/>
    <s v="Settlement"/>
    <s v="UPW"/>
    <s v="Andy Chen"/>
    <m/>
    <x v="3"/>
    <x v="254"/>
    <s v="USC23C045"/>
    <s v="F21P1 UPW Labor Incentive Nov 2023"/>
    <n v="15000"/>
    <m/>
    <d v="2024-07-01T00:00:00"/>
    <m/>
    <s v="Pay on 28 next month: 90% on prog, 10 acpt of the date"/>
    <n v="15000"/>
    <n v="0"/>
    <n v="1500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5000"/>
    <n v="0"/>
    <n v="0"/>
    <n v="0"/>
    <n v="0"/>
    <n v="0"/>
  </r>
  <r>
    <x v="1"/>
    <s v="新工"/>
    <s v="Settlement"/>
    <s v="UPW"/>
    <s v="Andy Chen"/>
    <m/>
    <x v="3"/>
    <x v="255"/>
    <s v="USC24C006"/>
    <s v="F21P1 UPW Fiber Repull from Damage"/>
    <n v="157102.31"/>
    <m/>
    <d v="2024-07-01T00:00:00"/>
    <m/>
    <s v="Pay on 28 next month: 90% on prog, 10 acpt of the date"/>
    <n v="157102.31"/>
    <n v="0"/>
    <n v="157102.31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57102.31"/>
    <n v="0"/>
    <n v="0"/>
    <n v="0"/>
    <n v="0"/>
    <n v="0"/>
  </r>
  <r>
    <x v="1"/>
    <s v="新工"/>
    <s v="Settlement"/>
    <s v="Low Voltage"/>
    <s v="Paul Hsu"/>
    <s v="Johnny Yang"/>
    <x v="5"/>
    <x v="256"/>
    <s v="USC24C006"/>
    <s v="F21P1 Add Card Reader at Material Gate"/>
    <n v="20288"/>
    <m/>
    <d v="2024-07-01T00:00:00"/>
    <m/>
    <s v="Pay on 28 next month: 90% on prog, 10 acpt of the date"/>
    <n v="18259.2"/>
    <n v="0"/>
    <n v="18259.2"/>
    <n v="0.9"/>
    <n v="2028.7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8259.2"/>
    <n v="1020.69"/>
    <n v="0"/>
    <n v="0"/>
    <n v="0"/>
    <n v="0"/>
  </r>
  <r>
    <x v="1"/>
    <s v="新工"/>
    <s v="Settlement"/>
    <s v="WWT"/>
    <s v="Paul Hsu"/>
    <s v="Johnny Yang"/>
    <x v="3"/>
    <x v="257"/>
    <s v="USC24C006"/>
    <s v="F21P1 WWT Doors &amp;Triazole HK Pad Mod"/>
    <n v="13908"/>
    <m/>
    <d v="2024-07-01T00:00:00"/>
    <m/>
    <s v="Pay on 28 next month: 90% on prog, 10 acpt of the date"/>
    <n v="12920.4"/>
    <n v="0"/>
    <n v="12920.4"/>
    <n v="0.92899050905953406"/>
    <n v="987.60000000000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2920.4"/>
    <n v="0"/>
    <n v="0"/>
    <n v="0"/>
    <n v="0"/>
    <n v="0"/>
  </r>
  <r>
    <x v="1"/>
    <s v="新工"/>
    <m/>
    <s v="WWT"/>
    <s v="Jim Chiang"/>
    <s v="Jim Chiang"/>
    <x v="3"/>
    <x v="258"/>
    <s v="USC24C006"/>
    <s v="F21P1 WWT Temp Chem. Leak Diverter Tarp"/>
    <n v="76797"/>
    <m/>
    <d v="2024-07-01T00:00:00"/>
    <m/>
    <s v="Pay on 28 next month: 90% on prog, 10 acpt of the date"/>
    <n v="15359.4"/>
    <n v="0"/>
    <n v="15359.4"/>
    <n v="0.19999999999999998"/>
    <n v="61437.5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15359.4"/>
    <n v="0"/>
    <n v="0"/>
    <n v="0"/>
  </r>
  <r>
    <x v="1"/>
    <s v="新工"/>
    <s v="Settlement"/>
    <s v="Low Voltage"/>
    <s v="Paul Hsu"/>
    <s v="Johnny Yang"/>
    <x v="5"/>
    <x v="259"/>
    <s v="USC24C006"/>
    <s v="F21P1 Speed Gate at Tent and CR Entrance"/>
    <n v="684987.44"/>
    <m/>
    <d v="2024-07-01T00:00:00"/>
    <m/>
    <s v="Pay on 28 next month: 90% on prog, 10 acpt of the date"/>
    <n v="650738.06999999995"/>
    <n v="0"/>
    <n v="650738.06999999995"/>
    <n v="0.95000000291976161"/>
    <n v="34249.36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650738.06999999995"/>
    <n v="36376.26"/>
    <n v="0"/>
    <n v="0"/>
    <n v="0"/>
    <n v="0"/>
  </r>
  <r>
    <x v="1"/>
    <s v="NFDD"/>
    <s v="Settlement"/>
    <m/>
    <s v="Chao Chia"/>
    <s v="Alex"/>
    <x v="2"/>
    <x v="260"/>
    <s v="USC24C006"/>
    <s v="F21P1 Hallway Plate Install"/>
    <n v="253575"/>
    <m/>
    <d v="2024-07-02T00:00:00"/>
    <m/>
    <s v="Pay on 28 next month: 90% on prog, 10 acpt of the date"/>
    <n v="203705.25"/>
    <n v="0"/>
    <n v="203705.25"/>
    <n v="0.80333333333333334"/>
    <n v="49869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203705.25"/>
    <n v="0"/>
    <n v="0"/>
    <n v="0"/>
  </r>
  <r>
    <x v="3"/>
    <s v="HK"/>
    <m/>
    <m/>
    <s v="John Gauci"/>
    <m/>
    <x v="2"/>
    <x v="261"/>
    <s v="USC24C015"/>
    <s v="F21P1-0423_H_E2 Management 4 Months"/>
    <n v="3288054"/>
    <m/>
    <d v="2024-07-02T00:00:00"/>
    <m/>
    <s v="Pay in month end - 1 month after acceptance month of the date"/>
    <n v="1395384.38"/>
    <n v="0"/>
    <n v="1395384.38"/>
    <n v="0.42438000714100194"/>
    <n v="1892669.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690848.55"/>
    <n v="0"/>
    <n v="704535.83"/>
    <n v="0"/>
    <n v="711280.25"/>
    <n v="0"/>
  </r>
  <r>
    <x v="3"/>
    <s v="HK"/>
    <m/>
    <m/>
    <s v="John Gauci"/>
    <m/>
    <x v="2"/>
    <x v="262"/>
    <s v="USC24C015"/>
    <s v="F21P1-0423_H_E2 Labor 4 Months"/>
    <n v="49274190"/>
    <m/>
    <d v="2024-07-02T00:00:00"/>
    <m/>
    <s v="Pay in month end - 1 month after acceptance month of the date"/>
    <n v="39204474.800000004"/>
    <n v="0"/>
    <n v="39204474.800000004"/>
    <n v="0.79563915307385069"/>
    <n v="10069715.1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4390056.25"/>
    <n v="0"/>
    <n v="8218447.5999999996"/>
    <n v="0"/>
    <n v="6595970.9500000002"/>
    <n v="0"/>
    <n v="0"/>
    <n v="0"/>
  </r>
  <r>
    <x v="12"/>
    <s v="LIT2"/>
    <m/>
    <m/>
    <s v="George Gaspar"/>
    <m/>
    <x v="92"/>
    <x v="263"/>
    <m/>
    <s v="(T5) F21_EUV crane encoder cable"/>
    <n v="4048.28"/>
    <m/>
    <d v="2024-07-04T00:00:00"/>
    <m/>
    <s v="Pay in month end - 1 month after delivery month of the date"/>
    <n v="0"/>
    <n v="0"/>
    <n v="0"/>
    <n v="0"/>
    <n v="4048.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</r>
  <r>
    <x v="4"/>
    <s v="AMHS"/>
    <m/>
    <s v="AMHS"/>
    <s v="David Nystrom"/>
    <s v="David Short"/>
    <x v="2"/>
    <x v="264"/>
    <s v="USC22C031"/>
    <s v="CAP_E_F21 P1B_Seismic_RMF_Hole_Cuts"/>
    <n v="3425396.82"/>
    <m/>
    <d v="2024-07-09T00:00:00"/>
    <m/>
    <s v="Pay in month end - 1 month after acceptance month of the date"/>
    <n v="1027802.71"/>
    <n v="0"/>
    <n v="0"/>
    <n v="0.30005361831333749"/>
    <n v="2397594.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1027802.71"/>
    <n v="0"/>
    <n v="0"/>
    <n v="0"/>
  </r>
  <r>
    <x v="4"/>
    <s v="AMHS"/>
    <m/>
    <s v="AMHS"/>
    <s v="David Nystrom"/>
    <s v="David Short"/>
    <x v="64"/>
    <x v="265"/>
    <s v="USC22C031"/>
    <s v="CAP_E_F21 P1B_Cross Floor Hole Covering"/>
    <n v="64464.4"/>
    <m/>
    <d v="2024-07-09T00:00:00"/>
    <m/>
    <s v="Pay on 28 next month: 90% on prog, 10 acpt of the date"/>
    <n v="25785.759999999998"/>
    <n v="0"/>
    <n v="25785.759999999998"/>
    <n v="0.39999999999999997"/>
    <n v="38678.6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25785.759999999998"/>
    <n v="0"/>
    <n v="0"/>
    <n v="0"/>
  </r>
  <r>
    <x v="4"/>
    <s v="AMHS"/>
    <m/>
    <s v="AMHS"/>
    <s v="David Nystrom"/>
    <s v="David Short"/>
    <x v="2"/>
    <x v="266"/>
    <s v="USC22C014"/>
    <s v="CAP_E_F21 AMHS_P1 A&amp;B VT Network Cable Wiring"/>
    <n v="705343"/>
    <m/>
    <d v="2024-07-10T00:00:00"/>
    <m/>
    <s v="Pay in month end - 1 month after acceptance month of the date"/>
    <n v="343391"/>
    <n v="0"/>
    <n v="0"/>
    <n v="0.48684257162827166"/>
    <n v="361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343391"/>
    <n v="0"/>
    <n v="0"/>
    <n v="0"/>
  </r>
  <r>
    <x v="3"/>
    <s v="HK"/>
    <m/>
    <m/>
    <s v="Elaine Ma"/>
    <m/>
    <x v="91"/>
    <x v="267"/>
    <s v="USC22C005"/>
    <s v="F21P1-0423_H_UPW Material_MICU"/>
    <n v="4981041.4800000004"/>
    <m/>
    <d v="2024-07-16T00:00:00"/>
    <m/>
    <s v="Pay in month end - 1 month after acceptance month of the date"/>
    <n v="0"/>
    <n v="0"/>
    <n v="0"/>
    <n v="0"/>
    <n v="4981041.48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</r>
  <r>
    <x v="1"/>
    <s v="新工"/>
    <s v="Settlement"/>
    <s v="UPW"/>
    <s v="Emon Roy"/>
    <s v="Emon Roy"/>
    <x v="3"/>
    <x v="268"/>
    <s v="USC24C006"/>
    <s v="F21P1 UPW ABG-A Submain Modification"/>
    <n v="77505.16"/>
    <m/>
    <d v="2024-07-16T00:00:00"/>
    <m/>
    <s v="Pay on 28 next month: 90% on prog, 10 acpt of the date"/>
    <n v="77505.159999999989"/>
    <n v="0"/>
    <n v="77505.159999999989"/>
    <n v="0.9999999999999997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69754.649999999994"/>
    <n v="0"/>
    <n v="7750.51"/>
    <n v="0"/>
    <n v="0"/>
    <n v="0"/>
  </r>
  <r>
    <x v="1"/>
    <s v="新工"/>
    <s v="Settlement"/>
    <s v="UPW"/>
    <s v="Emon Roy"/>
    <m/>
    <x v="3"/>
    <x v="269"/>
    <s v="USC24C006"/>
    <s v="F21P1 UPW WRC NFPA Sign Installation"/>
    <n v="9264.39"/>
    <m/>
    <d v="2024-07-16T00:00:00"/>
    <m/>
    <s v="Pay on 28 next month: 90% on prog, 10 acpt of the date"/>
    <n v="9264.39"/>
    <n v="0"/>
    <n v="9264.3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9264.39"/>
    <n v="0"/>
    <n v="0"/>
    <n v="0"/>
    <n v="0"/>
    <n v="0"/>
  </r>
  <r>
    <x v="1"/>
    <s v="新工"/>
    <s v="Settlement"/>
    <s v="Low Voltage"/>
    <s v="Paul Hsu"/>
    <s v="Chihhao"/>
    <x v="93"/>
    <x v="270"/>
    <s v="USC24C006"/>
    <s v="F21P1 Seismic Monitor"/>
    <n v="249740.01"/>
    <m/>
    <d v="2024-07-16T00:00:00"/>
    <m/>
    <s v="Pay on 28 next month: 90% on prog, 10 acpt of the date"/>
    <n v="116624.66"/>
    <n v="0"/>
    <n v="116624.66"/>
    <n v="0.46698428497700467"/>
    <n v="133115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16624.66"/>
    <n v="0"/>
    <n v="0"/>
    <n v="0"/>
    <n v="0"/>
    <n v="0"/>
  </r>
  <r>
    <x v="1"/>
    <s v="新工"/>
    <s v="Settlement"/>
    <s v="UPW"/>
    <s v="Chihhao"/>
    <m/>
    <x v="3"/>
    <x v="271"/>
    <s v="USC24C006"/>
    <s v="F21P1 UPW Cable Tray Reroute per Code"/>
    <n v="439475.39"/>
    <m/>
    <d v="2024-07-16T00:00:00"/>
    <m/>
    <s v="Pay on 28 next month: 90% on prog, 10 acpt of the date"/>
    <n v="439475.39"/>
    <n v="0"/>
    <n v="439475.3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439475.39"/>
    <n v="0"/>
    <n v="0"/>
    <n v="0"/>
    <n v="0"/>
    <n v="0"/>
  </r>
  <r>
    <x v="1"/>
    <s v="新工"/>
    <s v="Settlement"/>
    <s v="UPW"/>
    <s v="Emon Roy"/>
    <m/>
    <x v="3"/>
    <x v="272"/>
    <s v="USC24C006"/>
    <s v="F21P1 UPW Piping Damaged by Others"/>
    <n v="16680.43"/>
    <m/>
    <d v="2024-07-16T00:00:00"/>
    <m/>
    <s v="Pay on 28 next month: 90% on prog, 10 acpt of the date"/>
    <n v="16680.43"/>
    <n v="0"/>
    <n v="16680.43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6680.43"/>
    <n v="0"/>
    <n v="0"/>
    <n v="0"/>
    <n v="0"/>
    <n v="0"/>
  </r>
  <r>
    <x v="1"/>
    <s v="新工"/>
    <s v="Settlement"/>
    <s v="UPW"/>
    <s v="Emon"/>
    <s v="Emon"/>
    <x v="3"/>
    <x v="273"/>
    <s v="USC24C006"/>
    <s v="F21P1 UPW B Side MAU DI Temp Solution"/>
    <n v="120273.57"/>
    <m/>
    <m/>
    <m/>
    <m/>
    <n v="114257"/>
    <n v="0"/>
    <n v="114257"/>
    <n v="0.94997595897419518"/>
    <n v="6016.57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14257"/>
    <n v="0"/>
    <n v="0"/>
    <n v="0"/>
    <n v="0"/>
    <n v="0"/>
  </r>
  <r>
    <x v="1"/>
    <s v="新工"/>
    <s v="Settlement"/>
    <s v="UPW"/>
    <s v="Emon Roy"/>
    <s v="Emon Roy"/>
    <x v="3"/>
    <x v="274"/>
    <s v="USC24C006"/>
    <s v="F21P1 UPW WRC L20 Trench Modification"/>
    <n v="3352"/>
    <m/>
    <d v="2024-07-16T00:00:00"/>
    <m/>
    <s v="Pay on 28 next month: 90% on prog, 10 acpt of the date"/>
    <n v="1676.13"/>
    <n v="0"/>
    <n v="1676.13"/>
    <n v="0.50003878281622915"/>
    <n v="1675.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676.13"/>
    <n v="0"/>
    <n v="0"/>
    <n v="0"/>
    <n v="0"/>
    <n v="0"/>
  </r>
  <r>
    <x v="1"/>
    <s v="新工"/>
    <s v="Settlement"/>
    <s v="UPW"/>
    <s v="Emon Roy"/>
    <s v="Emon Roy"/>
    <x v="3"/>
    <x v="275"/>
    <s v="USC24C006"/>
    <s v="F21P1 UPW Temp UPW Supply for ICPMS"/>
    <n v="164974.95000000001"/>
    <m/>
    <d v="2024-07-16T00:00:00"/>
    <m/>
    <s v="Pay on 28 next month: 90% on prog, 10 acpt of the date"/>
    <n v="82487.47"/>
    <n v="0"/>
    <n v="82487.47"/>
    <n v="0.49999996969236843"/>
    <n v="82487.48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82487.47"/>
    <n v="0"/>
    <n v="0"/>
    <n v="0"/>
    <n v="0"/>
    <n v="0"/>
  </r>
  <r>
    <x v="1"/>
    <s v="新工"/>
    <s v="Settlement"/>
    <s v="Low Voltage"/>
    <s v="Paul Hsu"/>
    <s v="Dahlia"/>
    <x v="6"/>
    <x v="276"/>
    <s v="USC23C045"/>
    <s v="F21P1 VOC MC Cable"/>
    <n v="521898.39"/>
    <m/>
    <d v="2024-07-17T00:00:00"/>
    <m/>
    <s v="Pay on 28 next month: 90% on prog, 10 acpt of the date"/>
    <n v="495803.47"/>
    <n v="0"/>
    <n v="495803.47"/>
    <n v="0.94999999904195898"/>
    <n v="26094.920000000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495803.47"/>
    <n v="27715.41"/>
    <n v="0"/>
    <n v="0"/>
    <n v="26094.92"/>
    <n v="1458.71"/>
  </r>
  <r>
    <x v="12"/>
    <s v="新工"/>
    <m/>
    <s v="Chemical"/>
    <s v="Steven Chiu"/>
    <s v="Johnny Wan"/>
    <x v="2"/>
    <x v="277"/>
    <m/>
    <s v="MIC Chemical Support Team Jul 5FTE"/>
    <n v="93854.080000000002"/>
    <m/>
    <s v="07/24/2024"/>
    <m/>
    <s v="Pay in month end - 1 month after acceptance month of the date"/>
    <n v="0"/>
    <n v="0"/>
    <n v="0"/>
    <n v="0"/>
    <n v="93854.08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</r>
  <r>
    <x v="1"/>
    <s v="新工"/>
    <s v="Settlement"/>
    <s v="UPW"/>
    <s v="Emon"/>
    <s v="Emon/Wanchun"/>
    <x v="3"/>
    <x v="278"/>
    <s v="USC23C045"/>
    <s v="F21P1 MICU Settlement 1st_UPW"/>
    <n v="17306650.550000001"/>
    <m/>
    <d v="2024-07-23T00:00:00"/>
    <m/>
    <s v="Pay on 28 next month: 90% on prog, 10 acpt of the date"/>
    <n v="15918173.529999999"/>
    <n v="0"/>
    <n v="15918173.529999999"/>
    <n v="0.91977205433318221"/>
    <n v="1388477.020000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5918173.529999999"/>
    <n v="0"/>
    <n v="0"/>
    <n v="0"/>
    <n v="1388477.02"/>
    <n v="0"/>
  </r>
  <r>
    <x v="1"/>
    <s v="新工"/>
    <s v="Settlement"/>
    <s v="UPW"/>
    <s v="Emon"/>
    <s v="Emon"/>
    <x v="3"/>
    <x v="279"/>
    <s v="USC24C006"/>
    <s v="F21P1 UPW Distribution Repair"/>
    <n v="94391.49"/>
    <m/>
    <s v="07/23/2024"/>
    <m/>
    <s v="Pay on 28 next month: 90% on prog, 10 acpt of the date"/>
    <n v="0"/>
    <n v="0"/>
    <n v="0"/>
    <n v="0"/>
    <n v="94391.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</r>
  <r>
    <x v="1"/>
    <s v="新工"/>
    <s v="Settlement"/>
    <s v="WWT"/>
    <s v="Jim Chiang"/>
    <s v="Thomas/Jim/Wanchun"/>
    <x v="3"/>
    <x v="280"/>
    <s v="USC23C045"/>
    <s v="F21P1 MICU Settlement 1st_WWT"/>
    <n v="32331780.16"/>
    <m/>
    <s v="07/23/2024"/>
    <m/>
    <s v="Pay on 28 next month: 90% on prog, 10 acpt of the date"/>
    <n v="28232740.550000001"/>
    <n v="0"/>
    <n v="28232740.550000001"/>
    <n v="0.87321948900694246"/>
    <n v="4099039.60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26821220.800000001"/>
    <n v="0"/>
    <n v="1411519.75"/>
    <n v="0"/>
    <n v="4099039.61"/>
    <n v="0"/>
  </r>
  <r>
    <x v="1"/>
    <s v="新工"/>
    <s v="Settlement"/>
    <s v="Chemical"/>
    <s v="Steven Chiu"/>
    <s v="Johnny Wan/Wanchun"/>
    <x v="38"/>
    <x v="281"/>
    <s v="USC23C045"/>
    <s v="F21P1 MICU Settlement 1st_CDS"/>
    <n v="14689285.949999999"/>
    <m/>
    <d v="2024-07-23T00:00:00"/>
    <m/>
    <s v="Pay on 28 next month: 90% on prog, 10 acpt of the date"/>
    <n v="14043630.02"/>
    <n v="0"/>
    <n v="14043630.02"/>
    <n v="0.95604579200121032"/>
    <n v="645655.92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4043630.02"/>
    <n v="0"/>
    <n v="0"/>
    <n v="0"/>
    <n v="645655.93000000005"/>
    <n v="0"/>
  </r>
  <r>
    <x v="1"/>
    <s v="新工"/>
    <s v="Settlement"/>
    <s v="Chemical"/>
    <s v="Steven Chiu"/>
    <s v="Johnny Wan/Wanchun"/>
    <x v="38"/>
    <x v="282"/>
    <s v="USC23C045"/>
    <s v="F21P1 MICU Settlement 1st_WCCS"/>
    <n v="3295175"/>
    <m/>
    <s v="07/23/2024"/>
    <m/>
    <s v="Pay on 28 next month: 90% on prog, 10 acpt of the date"/>
    <n v="3151456.57"/>
    <n v="0"/>
    <n v="3151456.57"/>
    <n v="0.95638519046788106"/>
    <n v="143718.43000000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3151456.57"/>
    <n v="0"/>
    <n v="0"/>
    <n v="0"/>
    <n v="143718.43"/>
    <n v="0"/>
  </r>
  <r>
    <x v="1"/>
    <s v="新工"/>
    <s v="Settlement"/>
    <s v="Low Voltage"/>
    <s v="Paul Hsu"/>
    <s v="Dahlia/Wanchun"/>
    <x v="94"/>
    <x v="283"/>
    <s v="USC23C045"/>
    <s v="F21P1 MICU Settlement 1st_VOC"/>
    <n v="2097132.8"/>
    <m/>
    <s v="07/23/2024"/>
    <m/>
    <s v="Pay on 28 next month: 90% on prog, 10 acpt of the date"/>
    <n v="1951714.25"/>
    <n v="0"/>
    <n v="1951714.25"/>
    <n v="0.9306583970266451"/>
    <n v="145418.55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944124.1"/>
    <n v="0"/>
    <n v="7590.15"/>
    <n v="0"/>
    <n v="145418.54999999999"/>
    <n v="0"/>
  </r>
  <r>
    <x v="1"/>
    <s v="新工"/>
    <s v="Settlement"/>
    <s v="UPW"/>
    <s v="Emon"/>
    <s v="Emon"/>
    <x v="3"/>
    <x v="284"/>
    <s v="USC24C006"/>
    <s v="F21P1 UPW P1B Submain Expansion"/>
    <n v="154305.65"/>
    <m/>
    <s v="07/23/2024"/>
    <m/>
    <s v="Pay on 28 next month: 90% on prog, 10 acpt of the date"/>
    <n v="0"/>
    <n v="0"/>
    <n v="0"/>
    <n v="0"/>
    <n v="154305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154305.65"/>
    <n v="0"/>
  </r>
  <r>
    <x v="1"/>
    <s v="新工"/>
    <s v="Settlement"/>
    <s v="WWT"/>
    <s v="Jim Chiang"/>
    <s v="Jim Chiang"/>
    <x v="3"/>
    <x v="285"/>
    <s v="USC23C045"/>
    <s v="F21P1 WWT AWN Enzyme Dosing Improvement"/>
    <n v="328712"/>
    <m/>
    <s v="07/24/2024"/>
    <m/>
    <s v="Pay on 28 next month: 90% on prog, 10 acpt of the date"/>
    <n v="109986.26"/>
    <n v="0"/>
    <n v="109986.26"/>
    <n v="0.33459764170459244"/>
    <n v="218725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09986.26"/>
    <n v="0"/>
    <n v="0"/>
    <n v="0"/>
    <n v="112862.53"/>
    <n v="0"/>
  </r>
  <r>
    <x v="1"/>
    <s v="新工"/>
    <s v="Settlement"/>
    <s v="Low Voltage"/>
    <s v="Paul Hsu"/>
    <s v="Johnny Yang"/>
    <x v="5"/>
    <x v="286"/>
    <s v="USC23C045"/>
    <s v="F21P1 Security &amp; CCTV DCR"/>
    <n v="273068"/>
    <m/>
    <s v="07/24/2024"/>
    <m/>
    <s v="Pay on 28 next month: 90% on prog, 10 acpt of the date"/>
    <n v="232107.8"/>
    <n v="0"/>
    <n v="232107.8"/>
    <n v="0.85"/>
    <n v="40960.200000000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232107.8"/>
    <n v="12974.83"/>
    <n v="0"/>
    <n v="0"/>
    <n v="0"/>
    <n v="0"/>
  </r>
  <r>
    <x v="1"/>
    <s v="新工"/>
    <m/>
    <s v="UPW"/>
    <s v="Emon Roy"/>
    <s v="Emon Roy"/>
    <x v="3"/>
    <x v="287"/>
    <s v="USC24C006"/>
    <s v="F21P1 UPW Mezzanine Modification"/>
    <n v="1507740"/>
    <m/>
    <s v="07/25/2024"/>
    <m/>
    <s v="Pay on 28 next month: 90% on prog, 10 acpt of the date"/>
    <n v="541191.82999999996"/>
    <n v="0"/>
    <n v="541191.82999999996"/>
    <n v="0.35894241049517817"/>
    <n v="966548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541191.82999999996"/>
    <n v="0"/>
    <n v="475953.18"/>
    <n v="0"/>
  </r>
  <r>
    <x v="1"/>
    <s v="新工"/>
    <m/>
    <s v="WWT"/>
    <s v="Jim Chiang"/>
    <s v="Jim Chiang"/>
    <x v="3"/>
    <x v="288"/>
    <s v="USC24C006"/>
    <s v="F21P1 WWT CWR System Improvement"/>
    <n v="665875.85"/>
    <m/>
    <s v="07/25/2024"/>
    <m/>
    <s v="Pay on 28 next month: 90% on prog, 10 acpt of the date"/>
    <n v="105571.52"/>
    <n v="0"/>
    <n v="105571.52"/>
    <n v="0.15854535045834747"/>
    <n v="560304.32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105571.52"/>
    <n v="0"/>
    <n v="0"/>
    <n v="0"/>
  </r>
  <r>
    <x v="1"/>
    <s v="新工"/>
    <s v="Settlement"/>
    <s v="UPW"/>
    <s v="Emon Roy"/>
    <s v="Emon Roy"/>
    <x v="3"/>
    <x v="289"/>
    <s v="USC24C006"/>
    <s v="F21P1 MICU Settlement 2nd_UPW"/>
    <n v="7249177.2999999998"/>
    <m/>
    <s v="07/27/2024"/>
    <m/>
    <s v="Pay on 28 next month: 90% on prog, 10 acpt of the date"/>
    <n v="3135000"/>
    <n v="0"/>
    <n v="3135000"/>
    <n v="0.43246286720011662"/>
    <n v="411417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3135000"/>
    <n v="0"/>
    <n v="3465000"/>
    <n v="0"/>
  </r>
  <r>
    <x v="1"/>
    <s v="新工"/>
    <s v="Settlement"/>
    <s v="WWT"/>
    <s v="Jim Chiang"/>
    <s v="Thomas/Jim Chiang"/>
    <x v="3"/>
    <x v="290"/>
    <s v="USC24C006"/>
    <s v="F21P1 MICU Settlement 2nd_WWT"/>
    <n v="7007538.0599999996"/>
    <m/>
    <s v="07/27/2024"/>
    <m/>
    <s v="Pay on 28 next month: 90% on prog, 10 acpt of the date"/>
    <n v="990000"/>
    <n v="0"/>
    <n v="990000"/>
    <n v="0.1412764356787525"/>
    <n v="6017538.05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990000"/>
    <n v="0"/>
    <n v="2310000"/>
    <n v="0"/>
  </r>
  <r>
    <x v="1"/>
    <s v="新工"/>
    <s v="Settlement"/>
    <s v="Chemical"/>
    <s v="Steven Chiu"/>
    <s v="Johnny Wan"/>
    <x v="38"/>
    <x v="291"/>
    <s v="USC24C006"/>
    <s v="F21P1 MICU Settlement 2nd_CDS"/>
    <n v="7490816.54"/>
    <m/>
    <s v="07/27/2024"/>
    <m/>
    <s v="Pay on 28 next month: 90% on prog, 10 acpt of the date"/>
    <n v="3300000"/>
    <n v="0"/>
    <n v="3300000"/>
    <n v="0.44053942348987229"/>
    <n v="4190816.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3300000"/>
    <n v="0"/>
    <n v="3300000"/>
    <n v="0"/>
  </r>
  <r>
    <x v="1"/>
    <s v="新工"/>
    <s v="Settlement"/>
    <s v="Chemical"/>
    <s v="Steven Chiu"/>
    <s v="Henry Yang"/>
    <x v="38"/>
    <x v="292"/>
    <s v="USC24C006"/>
    <s v="F21P1 MICU Settlement 2nd_WCCS"/>
    <n v="1449835.46"/>
    <m/>
    <s v="07/27/2024"/>
    <m/>
    <s v="Pay on 28 next month: 90% on prog, 10 acpt of the date"/>
    <n v="0"/>
    <n v="0"/>
    <n v="0"/>
    <n v="0"/>
    <n v="1449835.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</r>
  <r>
    <x v="1"/>
    <s v="新工"/>
    <s v="Settlement"/>
    <s v="Low Voltage"/>
    <s v="Paul Hsu"/>
    <s v="Dahlia"/>
    <x v="2"/>
    <x v="293"/>
    <s v="USC24C006"/>
    <s v="F21P1 MICU Settlement 2nd_VOC"/>
    <n v="966556.97"/>
    <m/>
    <s v="07/27/2024"/>
    <m/>
    <s v="Pay on 28 next month: 90% on prog, 10 acpt of the date"/>
    <n v="0"/>
    <n v="0"/>
    <n v="0"/>
    <n v="0"/>
    <n v="966556.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</r>
  <r>
    <x v="2"/>
    <m/>
    <m/>
    <s v="Low Voltage"/>
    <s v="Paul Hsu"/>
    <s v="Shawn Liu"/>
    <x v="2"/>
    <x v="294"/>
    <s v="Expect to add in USC24C007"/>
    <s v="522/T0 5G DPM Additional Construction"/>
    <n v="8562.32"/>
    <m/>
    <s v="07/31/2024"/>
    <m/>
    <s v="Pay in month end - 1 month after acceptance month of the date"/>
    <n v="0"/>
    <n v="0"/>
    <n v="0"/>
    <n v="0"/>
    <n v="8562.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</r>
  <r>
    <x v="12"/>
    <m/>
    <m/>
    <m/>
    <s v="George Gaspar"/>
    <m/>
    <x v="2"/>
    <x v="295"/>
    <s v="Expect to add in USC24C002"/>
    <s v="TSMC F21P1 EUV Crane Maintenance"/>
    <n v="60000"/>
    <m/>
    <s v="08/01/2024"/>
    <m/>
    <s v="Pay in month end - 1 month after acceptance month of the date"/>
    <n v="0"/>
    <n v="0"/>
    <n v="0"/>
    <n v="0"/>
    <n v="6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</r>
  <r>
    <x v="4"/>
    <s v="AMHS"/>
    <m/>
    <m/>
    <s v="David Nystrom"/>
    <s v="David Short"/>
    <x v="2"/>
    <x v="296"/>
    <m/>
    <s v="CAP_E_F21 P1B AMHS Infrastructure 8 additional DP Panel"/>
    <n v="2529738.9700000002"/>
    <m/>
    <s v="08/06/2024"/>
    <m/>
    <s v="Pay in month end - 1 month after acceptance month of the date"/>
    <n v="0"/>
    <n v="0"/>
    <n v="0"/>
    <n v="0"/>
    <n v="2529738.97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</r>
  <r>
    <x v="3"/>
    <s v="HK"/>
    <m/>
    <m/>
    <s v="Serena Deng"/>
    <m/>
    <x v="2"/>
    <x v="297"/>
    <m/>
    <s v="F21P1-0423_H_MIC Warehouse Management"/>
    <n v="27343521"/>
    <m/>
    <s v="08/06/2024"/>
    <m/>
    <s v="Pay in month end - 1 month after acceptance month of the date"/>
    <n v="18203634.940000001"/>
    <n v="0"/>
    <n v="18203634.940000001"/>
    <n v="0.66573851041349064"/>
    <n v="9139886.0599999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8203634.940000001"/>
    <n v="0"/>
    <n v="1361837.08"/>
    <n v="0"/>
  </r>
  <r>
    <x v="3"/>
    <s v="HK"/>
    <m/>
    <m/>
    <s v="John Gauci"/>
    <m/>
    <x v="2"/>
    <x v="298"/>
    <s v="USC24C015"/>
    <s v="F21P1-0423_H_E2 Hardware_MICU"/>
    <n v="12035415.390000001"/>
    <m/>
    <s v="08/07/2024"/>
    <m/>
    <s v="Pay in month end - 1 month after acceptance month of the date"/>
    <n v="0"/>
    <n v="0"/>
    <n v="0"/>
    <n v="0"/>
    <n v="12035415.39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75497.37"/>
    <n v="0"/>
  </r>
  <r>
    <x v="3"/>
    <s v="HK"/>
    <m/>
    <m/>
    <s v="John Gauci"/>
    <m/>
    <x v="2"/>
    <x v="299"/>
    <s v="USC24C015"/>
    <s v="F21P1-0423_H_E2 Hardware_MICU"/>
    <n v="12724409.449999999"/>
    <m/>
    <s v="08/07/2024"/>
    <m/>
    <s v="Pay in month end - 1 month after acceptance month of the date"/>
    <n v="413538.31"/>
    <n v="0"/>
    <n v="0"/>
    <n v="3.2499607280399169E-2"/>
    <n v="12310871.1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13538.31"/>
    <n v="0"/>
    <n v="668721.03"/>
    <n v="0"/>
  </r>
  <r>
    <x v="0"/>
    <s v="Non-TSMC"/>
    <m/>
    <m/>
    <s v="David Nystrom"/>
    <s v="Tzuhao Kuo"/>
    <x v="95"/>
    <x v="300"/>
    <s v="USC23C035"/>
    <s v="TSMC F21 Heating Jacket Installation"/>
    <n v="3677257.57"/>
    <m/>
    <s v="3/15/2023"/>
    <m/>
    <s v="T/T Net 45 days"/>
    <n v="2058967.18"/>
    <n v="0"/>
    <n v="1369843.71"/>
    <n v="0.55991921718989079"/>
    <n v="1618290.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7529.92"/>
    <m/>
    <n v="149580.24"/>
    <n v="0"/>
    <n v="518213.85"/>
    <n v="0"/>
    <n v="170909.62"/>
    <n v="0"/>
    <n v="122733.55"/>
    <n v="0"/>
    <n v="79032.55"/>
    <n v="0"/>
  </r>
  <r>
    <x v="1"/>
    <s v="Non-TSMC"/>
    <m/>
    <s v="UPW"/>
    <s v="Emon"/>
    <m/>
    <x v="96"/>
    <x v="301"/>
    <s v="USC24C013"/>
    <s v="HP1037 &amp; HP1137 Add Disconnect"/>
    <n v="38207.339999999997"/>
    <m/>
    <m/>
    <m/>
    <m/>
    <n v="19103.669999999998"/>
    <n v="19103.669999999998"/>
    <n v="0"/>
    <n v="0.5"/>
    <n v="19103.66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103.669999999998"/>
    <m/>
    <m/>
    <m/>
    <m/>
    <m/>
    <m/>
    <m/>
    <m/>
    <m/>
    <m/>
    <m/>
    <n v="0"/>
    <n v="0"/>
    <n v="0"/>
    <n v="0"/>
    <n v="0"/>
    <n v="0"/>
    <n v="0"/>
    <n v="0"/>
    <n v="0"/>
    <n v="0"/>
  </r>
  <r>
    <x v="0"/>
    <s v="Non-TSMC"/>
    <m/>
    <m/>
    <s v="George Gaspar"/>
    <m/>
    <x v="97"/>
    <x v="302"/>
    <s v="USC22C007"/>
    <s v="STRAND FIBER SM ARMORED CABLES"/>
    <n v="20280.25"/>
    <m/>
    <m/>
    <m/>
    <m/>
    <n v="20280.25"/>
    <n v="20280.25"/>
    <n v="20280.2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280.25"/>
    <m/>
    <m/>
    <m/>
    <m/>
    <m/>
    <n v="0"/>
    <n v="0"/>
    <n v="0"/>
    <n v="0"/>
    <n v="0"/>
    <n v="0"/>
    <n v="0"/>
    <n v="0"/>
    <n v="0"/>
    <n v="0"/>
  </r>
  <r>
    <x v="0"/>
    <s v="Non-TSMC"/>
    <m/>
    <m/>
    <s v="Kate"/>
    <m/>
    <x v="98"/>
    <x v="303"/>
    <m/>
    <s v="Kanken Storage for 2023 December"/>
    <n v="1575"/>
    <m/>
    <s v="1/4/2024"/>
    <m/>
    <s v="100% by invoice, Net 30 Days"/>
    <n v="1575"/>
    <n v="1575"/>
    <n v="3087.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75"/>
    <m/>
    <m/>
    <m/>
    <m/>
    <m/>
    <m/>
    <m/>
    <m/>
    <m/>
    <n v="0"/>
    <n v="0"/>
    <n v="0"/>
    <n v="0"/>
    <n v="0"/>
    <n v="0"/>
    <n v="0"/>
    <n v="0"/>
    <n v="0"/>
    <n v="0"/>
  </r>
  <r>
    <x v="1"/>
    <s v="Non-TSMC"/>
    <m/>
    <m/>
    <m/>
    <m/>
    <x v="97"/>
    <x v="304"/>
    <s v="USC22C007"/>
    <s v="Overtime for Fiber Cable Pulls &amp; Splicers 3 Weeks"/>
    <n v="65616.7"/>
    <m/>
    <m/>
    <m/>
    <m/>
    <n v="65616.7"/>
    <n v="0"/>
    <n v="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65616.7"/>
    <n v="0"/>
    <n v="0"/>
    <n v="0"/>
  </r>
  <r>
    <x v="0"/>
    <s v="Non-TSMC"/>
    <m/>
    <m/>
    <m/>
    <m/>
    <x v="97"/>
    <x v="305"/>
    <s v="USC22C007"/>
    <s v="TSMC F21 FMCS Installation "/>
    <n v="1115500"/>
    <m/>
    <m/>
    <m/>
    <m/>
    <n v="1097244.0999999999"/>
    <n v="1035322.85"/>
    <n v="1097244.0999999999"/>
    <n v="0.983634334379202"/>
    <n v="18255.9000000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7620"/>
    <m/>
    <n v="65670"/>
    <m/>
    <n v="71446"/>
    <m/>
    <n v="94071"/>
    <m/>
    <m/>
    <m/>
    <m/>
    <m/>
    <n v="337890"/>
    <m/>
    <n v="123971.61"/>
    <m/>
    <m/>
    <m/>
    <n v="102161.4"/>
    <m/>
    <m/>
    <m/>
    <n v="45275.27"/>
    <m/>
    <m/>
    <m/>
    <m/>
    <m/>
    <m/>
    <m/>
    <n v="37217.57"/>
    <m/>
    <m/>
    <m/>
    <m/>
    <m/>
    <n v="32001.85"/>
    <m/>
    <n v="29919.4"/>
    <n v="0"/>
    <n v="0"/>
    <n v="0"/>
    <n v="0"/>
    <n v="0"/>
    <n v="0"/>
    <n v="0"/>
    <n v="0"/>
    <n v="0"/>
  </r>
  <r>
    <x v="0"/>
    <s v="Non-TSMC"/>
    <m/>
    <m/>
    <m/>
    <m/>
    <x v="99"/>
    <x v="306"/>
    <s v="USC22C016"/>
    <s v="Asahi Valve from Harrington"/>
    <n v="3446.08"/>
    <m/>
    <m/>
    <m/>
    <m/>
    <n v="3446.0832"/>
    <n v="3446.0832"/>
    <n v="3446.08"/>
    <n v="1.0000009285913269"/>
    <n v="-3.20000000010622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46.0128"/>
    <m/>
    <n v="1200.0703999999998"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0"/>
    <s v="Non-TSMC"/>
    <m/>
    <m/>
    <s v="Boris"/>
    <m/>
    <x v="99"/>
    <x v="307"/>
    <s v="USC22C016"/>
    <s v="Gasket from Harrington"/>
    <n v="1929.25"/>
    <m/>
    <m/>
    <m/>
    <m/>
    <n v="1929.25"/>
    <n v="1929.25"/>
    <n v="1929.2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9.25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0"/>
    <s v="Non-TSMC"/>
    <m/>
    <m/>
    <s v="NA"/>
    <m/>
    <x v="100"/>
    <x v="308"/>
    <s v="USC23C050"/>
    <s v="DIF Foundation Modification"/>
    <n v="5467.1"/>
    <m/>
    <m/>
    <m/>
    <m/>
    <n v="5467.1"/>
    <n v="5467.1"/>
    <n v="5467.1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7.1"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0"/>
    <s v="Non-TSMC"/>
    <m/>
    <m/>
    <m/>
    <m/>
    <x v="99"/>
    <x v="309"/>
    <s v="USC22C016"/>
    <s v="Gasket from Harrington_1018 request"/>
    <n v="1389.21"/>
    <m/>
    <m/>
    <m/>
    <m/>
    <n v="1389.21"/>
    <n v="1389.21"/>
    <n v="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89.21"/>
    <m/>
    <m/>
    <m/>
    <m/>
    <m/>
    <m/>
    <m/>
    <m/>
    <m/>
    <m/>
    <m/>
    <m/>
    <n v="0"/>
    <n v="0"/>
    <n v="0"/>
    <n v="0"/>
    <n v="0"/>
    <n v="0"/>
    <n v="0"/>
    <n v="0"/>
    <n v="0"/>
  </r>
  <r>
    <x v="0"/>
    <s v="Non-TSMC"/>
    <m/>
    <m/>
    <m/>
    <m/>
    <x v="99"/>
    <x v="310"/>
    <s v="USC22C016"/>
    <s v="Gasket from Harrington_1207 request"/>
    <n v="7394.52"/>
    <m/>
    <m/>
    <m/>
    <m/>
    <n v="7394.52"/>
    <n v="7394.52"/>
    <n v="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4.52"/>
    <m/>
    <m/>
    <m/>
    <m/>
    <n v="0"/>
    <n v="0"/>
    <n v="0"/>
    <n v="0"/>
    <n v="0"/>
    <n v="0"/>
    <n v="0"/>
    <n v="0"/>
    <n v="0"/>
  </r>
  <r>
    <x v="0"/>
    <s v="Non-TSMC"/>
    <m/>
    <m/>
    <s v="Chihhao"/>
    <s v="Sam"/>
    <x v="97"/>
    <x v="311"/>
    <s v="USC22C007"/>
    <s v="TSMC F21P1 FMCS Cycber Security _Onshore"/>
    <n v="75356.05"/>
    <m/>
    <m/>
    <m/>
    <m/>
    <n v="48816.35"/>
    <n v="0"/>
    <n v="48816.35"/>
    <n v="0.64780929998321302"/>
    <n v="26539.7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16.35"/>
    <n v="0"/>
    <n v="0"/>
    <n v="0"/>
    <n v="0"/>
    <n v="0"/>
    <n v="0"/>
    <n v="0"/>
    <n v="0"/>
    <n v="0"/>
  </r>
  <r>
    <x v="1"/>
    <s v="Non-TSMC"/>
    <m/>
    <m/>
    <s v="Elaine Ma"/>
    <m/>
    <x v="101"/>
    <x v="312"/>
    <s v="USC22C007"/>
    <s v="LB pull back, conduit and repull &amp; CUP ATS to FMCS"/>
    <n v="27608.05"/>
    <m/>
    <d v="2024-07-10T00:00:00"/>
    <m/>
    <s v="100% by progress, T/T 30 Days "/>
    <n v="0"/>
    <n v="0"/>
    <n v="0"/>
    <n v="0"/>
    <n v="27608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</r>
  <r>
    <x v="0"/>
    <s v="Non-TSMC"/>
    <m/>
    <m/>
    <s v="Elaine Ma"/>
    <m/>
    <x v="1"/>
    <x v="313"/>
    <s v="USC22C003"/>
    <s v="Generator Upgrade"/>
    <n v="174130"/>
    <m/>
    <s v="1/10/2024"/>
    <m/>
    <s v="100% by progress, T/T 35 days"/>
    <n v="174130"/>
    <n v="0"/>
    <n v="17413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13"/>
    <m/>
    <n v="17413"/>
    <n v="0"/>
    <n v="34826"/>
    <n v="0"/>
    <n v="104478"/>
    <n v="0"/>
    <n v="0"/>
    <n v="0"/>
    <n v="0"/>
    <n v="0"/>
  </r>
  <r>
    <x v="0"/>
    <s v="Non-TSMC"/>
    <m/>
    <m/>
    <m/>
    <m/>
    <x v="1"/>
    <x v="314"/>
    <s v="USC22C003"/>
    <s v="TSMC Fab21 Project Phase 1 EDG Package"/>
    <n v="16839902.57"/>
    <m/>
    <m/>
    <m/>
    <m/>
    <n v="15985353.250000002"/>
    <n v="15973721.65"/>
    <n v="15989403.790000001"/>
    <n v="0.9492544973791972"/>
    <n v="854549.31999999844"/>
    <m/>
    <m/>
    <m/>
    <m/>
    <m/>
    <m/>
    <m/>
    <m/>
    <m/>
    <m/>
    <m/>
    <m/>
    <m/>
    <m/>
    <m/>
    <m/>
    <m/>
    <m/>
    <m/>
    <m/>
    <m/>
    <m/>
    <n v="384408.18"/>
    <m/>
    <n v="16139.52"/>
    <m/>
    <n v="23353.38"/>
    <m/>
    <n v="402176.64"/>
    <m/>
    <n v="605481.78"/>
    <m/>
    <n v="2246205.09"/>
    <m/>
    <n v="2618760.9700000002"/>
    <m/>
    <n v="802636.68"/>
    <m/>
    <n v="2807539.5300000003"/>
    <m/>
    <n v="705887.74"/>
    <m/>
    <n v="3626615.08"/>
    <m/>
    <n v="792318.99"/>
    <m/>
    <n v="4471.74"/>
    <m/>
    <n v="485691.54"/>
    <m/>
    <n v="345110.15"/>
    <m/>
    <n v="98221.46"/>
    <m/>
    <m/>
    <m/>
    <n v="2326.3200000000002"/>
    <m/>
    <n v="6376.86"/>
    <m/>
    <m/>
    <m/>
    <m/>
    <m/>
    <m/>
    <m/>
    <n v="2326.3200000000002"/>
    <m/>
    <n v="2326.3200000000002"/>
    <n v="0"/>
    <n v="0"/>
    <n v="0"/>
    <n v="0"/>
    <n v="0"/>
    <n v="6978.96"/>
    <n v="0"/>
    <n v="0"/>
    <n v="0"/>
  </r>
  <r>
    <x v="1"/>
    <s v="新工"/>
    <m/>
    <s v="Chemical"/>
    <s v="Steven Chiu"/>
    <s v="Johnny Wan"/>
    <x v="38"/>
    <x v="315"/>
    <s v="USC21C005"/>
    <s v="F21P1 Chemical package"/>
    <n v="161491923"/>
    <s v="Exempted"/>
    <d v="2021-09-28T00:00:00"/>
    <s v="T0"/>
    <s v="PU53:95% on progress,5% 1 month after acceptance"/>
    <n v="140764153"/>
    <n v="120131007"/>
    <n v="140764153"/>
    <n v="0.87164825574589266"/>
    <n v="20727770"/>
    <m/>
    <m/>
    <n v="0"/>
    <m/>
    <m/>
    <m/>
    <n v="6357154"/>
    <m/>
    <n v="8267774"/>
    <m/>
    <n v="37098"/>
    <m/>
    <m/>
    <m/>
    <n v="330830"/>
    <m/>
    <n v="6773215"/>
    <m/>
    <n v="138429"/>
    <m/>
    <n v="436333"/>
    <m/>
    <n v="3645524"/>
    <m/>
    <n v="2643193"/>
    <m/>
    <n v="5099104"/>
    <m/>
    <n v="6538191"/>
    <m/>
    <n v="14271658"/>
    <m/>
    <n v="10918065"/>
    <m/>
    <n v="8936549"/>
    <m/>
    <n v="7748103.9999999981"/>
    <m/>
    <n v="2922004"/>
    <m/>
    <n v="3080184"/>
    <m/>
    <n v="2002915"/>
    <m/>
    <n v="1502663"/>
    <m/>
    <n v="1485139"/>
    <m/>
    <n v="2133453"/>
    <m/>
    <n v="5526885"/>
    <m/>
    <n v="2927140"/>
    <m/>
    <n v="1248187"/>
    <m/>
    <n v="2013345"/>
    <m/>
    <n v="2148731"/>
    <m/>
    <n v="1845069"/>
    <m/>
    <n v="6441702"/>
    <m/>
    <n v="2712369"/>
    <m/>
    <n v="2486799"/>
    <m/>
    <n v="5058396"/>
    <n v="0"/>
    <n v="8096816"/>
    <n v="0"/>
    <n v="1765962"/>
    <n v="0"/>
    <n v="3225173"/>
    <n v="0"/>
    <n v="0"/>
    <n v="0"/>
  </r>
  <r>
    <x v="1"/>
    <s v="新工"/>
    <m/>
    <s v="Chemical"/>
    <s v="Steven Chiu"/>
    <s v="Johnny Wan"/>
    <x v="38"/>
    <x v="316"/>
    <s v="USC21C005"/>
    <s v="F21P1 WCCS package"/>
    <n v="33838332"/>
    <s v="Exempted"/>
    <d v="2021-09-28T00:00:00"/>
    <s v="T0"/>
    <s v="PU53:95% on progress,5% 1 month after acceptance"/>
    <n v="29001780"/>
    <n v="22570523"/>
    <n v="29001780"/>
    <n v="0.85706884133650563"/>
    <n v="4836552"/>
    <m/>
    <m/>
    <n v="0"/>
    <m/>
    <m/>
    <m/>
    <n v="3179807"/>
    <m/>
    <m/>
    <m/>
    <m/>
    <m/>
    <m/>
    <m/>
    <m/>
    <m/>
    <m/>
    <m/>
    <n v="2451350"/>
    <m/>
    <m/>
    <m/>
    <n v="0"/>
    <m/>
    <n v="0"/>
    <m/>
    <n v="341918.99999999977"/>
    <m/>
    <n v="970269.99999999977"/>
    <m/>
    <n v="3022943"/>
    <m/>
    <n v="1650539"/>
    <m/>
    <n v="365712"/>
    <m/>
    <n v="2657657"/>
    <m/>
    <n v="399184"/>
    <m/>
    <n v="341816"/>
    <m/>
    <n v="917809"/>
    <m/>
    <n v="369805"/>
    <m/>
    <n v="703124.00000000012"/>
    <m/>
    <n v="902167"/>
    <m/>
    <n v="728284"/>
    <m/>
    <n v="1089594"/>
    <m/>
    <n v="945765"/>
    <m/>
    <n v="866726"/>
    <m/>
    <n v="340175"/>
    <m/>
    <n v="325877"/>
    <m/>
    <m/>
    <m/>
    <m/>
    <m/>
    <n v="365100"/>
    <m/>
    <n v="2651042"/>
    <n v="0"/>
    <n v="0"/>
    <n v="0"/>
    <n v="1712720"/>
    <n v="0"/>
    <n v="1702395"/>
    <n v="0"/>
    <n v="0"/>
    <n v="0"/>
  </r>
  <r>
    <x v="1"/>
    <s v="新工"/>
    <m/>
    <s v="Low Voltage"/>
    <s v="Paul Hsu"/>
    <s v="Dahlia"/>
    <x v="102"/>
    <x v="317"/>
    <s v="USC21C013"/>
    <s v="F21P1 AMC"/>
    <n v="5005543"/>
    <s v="Exempted"/>
    <d v="2021-09-29T00:00:00"/>
    <s v="T0"/>
    <s v="PU53:95% on progress,5% 1 month after acceptance"/>
    <n v="4154386.7099999995"/>
    <n v="3714209.4799999995"/>
    <n v="4154386.71"/>
    <n v="0.82995725139110776"/>
    <n v="851156.2900000005"/>
    <m/>
    <m/>
    <m/>
    <m/>
    <m/>
    <m/>
    <n v="439256"/>
    <m/>
    <m/>
    <m/>
    <m/>
    <m/>
    <m/>
    <m/>
    <m/>
    <m/>
    <m/>
    <m/>
    <m/>
    <m/>
    <n v="652637.48"/>
    <m/>
    <n v="0"/>
    <m/>
    <n v="672636"/>
    <m/>
    <n v="0"/>
    <m/>
    <m/>
    <m/>
    <n v="633324.99999999953"/>
    <m/>
    <n v="0"/>
    <m/>
    <n v="0"/>
    <m/>
    <n v="423674"/>
    <m/>
    <n v="247322"/>
    <m/>
    <n v="129455"/>
    <m/>
    <n v="186208.99999999997"/>
    <m/>
    <n v="183957"/>
    <m/>
    <n v="14718"/>
    <m/>
    <m/>
    <m/>
    <m/>
    <m/>
    <m/>
    <m/>
    <m/>
    <m/>
    <m/>
    <m/>
    <m/>
    <m/>
    <m/>
    <m/>
    <n v="131020"/>
    <m/>
    <m/>
    <m/>
    <m/>
    <m/>
    <n v="226865.7"/>
    <n v="0"/>
    <n v="213311.53"/>
    <n v="0"/>
    <n v="0"/>
    <n v="0"/>
    <n v="0"/>
    <n v="0"/>
    <n v="0"/>
    <n v="0"/>
  </r>
  <r>
    <x v="1"/>
    <s v="新工"/>
    <m/>
    <s v="Low Voltage"/>
    <s v="Paul Hsu"/>
    <s v="Jaivan"/>
    <x v="102"/>
    <x v="318"/>
    <s v="USC21C013"/>
    <s v="F21P1 THC "/>
    <n v="2694457"/>
    <s v="Exempted"/>
    <d v="2021-09-29T00:00:00"/>
    <s v="T0"/>
    <s v="PU53:95% on progress,5% 1 month after acceptance"/>
    <n v="2536275.9"/>
    <n v="1972112.8199999998"/>
    <n v="2536275.9000000004"/>
    <n v="0.94129388592952123"/>
    <n v="158181.10000000009"/>
    <m/>
    <m/>
    <n v="0"/>
    <m/>
    <m/>
    <m/>
    <n v="235239"/>
    <m/>
    <m/>
    <m/>
    <m/>
    <m/>
    <m/>
    <m/>
    <m/>
    <m/>
    <m/>
    <m/>
    <m/>
    <m/>
    <n v="351481.57"/>
    <m/>
    <n v="0"/>
    <m/>
    <n v="221686.93000000002"/>
    <m/>
    <n v="0"/>
    <m/>
    <m/>
    <m/>
    <n v="454983.31999999983"/>
    <m/>
    <n v="0"/>
    <m/>
    <n v="0"/>
    <m/>
    <n v="235377"/>
    <m/>
    <n v="86047"/>
    <m/>
    <n v="36012"/>
    <m/>
    <n v="0"/>
    <m/>
    <m/>
    <m/>
    <m/>
    <m/>
    <n v="17516"/>
    <m/>
    <m/>
    <m/>
    <m/>
    <m/>
    <m/>
    <m/>
    <m/>
    <m/>
    <n v="222627"/>
    <m/>
    <m/>
    <m/>
    <n v="111143"/>
    <m/>
    <m/>
    <m/>
    <n v="235720.5"/>
    <m/>
    <n v="110883.64"/>
    <n v="0"/>
    <n v="217558.94"/>
    <n v="0"/>
    <n v="0"/>
    <n v="0"/>
    <n v="0"/>
    <n v="0"/>
    <n v="39794.36"/>
    <n v="0"/>
  </r>
  <r>
    <x v="2"/>
    <s v="新工"/>
    <m/>
    <s v="Low Voltage"/>
    <s v="Paul Hsu"/>
    <s v="Shawn"/>
    <x v="6"/>
    <x v="319"/>
    <s v="USC22C010"/>
    <s v="F21P1_LSC-CMS 5G System"/>
    <n v="5642423.1500000004"/>
    <s v="Excluded"/>
    <d v="2022-05-22T00:00:00"/>
    <s v="T0"/>
    <s v="APB2:Pay on 28 next month: 90% on prog, 10 acpt"/>
    <n v="4773421.6099999994"/>
    <n v="4599383.75"/>
    <n v="4713259.72"/>
    <n v="0.84598788199711661"/>
    <n v="869001.54000000097"/>
    <m/>
    <m/>
    <m/>
    <m/>
    <m/>
    <m/>
    <m/>
    <m/>
    <m/>
    <m/>
    <m/>
    <m/>
    <m/>
    <m/>
    <m/>
    <m/>
    <m/>
    <m/>
    <m/>
    <m/>
    <m/>
    <m/>
    <m/>
    <m/>
    <m/>
    <m/>
    <m/>
    <m/>
    <n v="688208"/>
    <m/>
    <m/>
    <m/>
    <n v="148994"/>
    <m/>
    <m/>
    <m/>
    <m/>
    <m/>
    <m/>
    <m/>
    <n v="2605938"/>
    <m/>
    <m/>
    <m/>
    <m/>
    <m/>
    <m/>
    <m/>
    <m/>
    <m/>
    <m/>
    <m/>
    <m/>
    <m/>
    <m/>
    <m/>
    <m/>
    <m/>
    <n v="808949"/>
    <m/>
    <n v="107025"/>
    <m/>
    <n v="181915"/>
    <m/>
    <n v="58354.75"/>
    <m/>
    <n v="60082.96"/>
    <m/>
    <n v="28704.26"/>
    <n v="0"/>
    <n v="16420"/>
    <n v="0"/>
    <n v="8668.75"/>
    <n v="0"/>
    <n v="60161.89"/>
    <n v="0"/>
    <n v="122491.35"/>
    <n v="0"/>
  </r>
  <r>
    <x v="2"/>
    <s v="新工"/>
    <m/>
    <s v="Low Voltage"/>
    <s v="Paul Hsu"/>
    <s v="Shawn"/>
    <x v="6"/>
    <x v="320"/>
    <s v="USC22C010"/>
    <s v="F21P1_DPM 5G System"/>
    <n v="5786087.3700000001"/>
    <s v="Excluded"/>
    <d v="2022-05-22T00:00:00"/>
    <s v="T0"/>
    <s v="APB2:Pay on 28 next month: 90% on prog, 10 acpt"/>
    <n v="4610793.4299999988"/>
    <n v="4333176.47"/>
    <n v="4598598.7999999989"/>
    <n v="0.79687587399842508"/>
    <n v="1175293.9400000013"/>
    <m/>
    <m/>
    <m/>
    <m/>
    <m/>
    <m/>
    <m/>
    <m/>
    <m/>
    <m/>
    <m/>
    <m/>
    <m/>
    <m/>
    <m/>
    <m/>
    <m/>
    <m/>
    <m/>
    <m/>
    <m/>
    <m/>
    <m/>
    <m/>
    <m/>
    <m/>
    <m/>
    <m/>
    <n v="778836"/>
    <m/>
    <m/>
    <m/>
    <n v="122562"/>
    <m/>
    <m/>
    <m/>
    <m/>
    <m/>
    <m/>
    <m/>
    <n v="2920636"/>
    <m/>
    <m/>
    <m/>
    <m/>
    <m/>
    <m/>
    <m/>
    <m/>
    <m/>
    <m/>
    <m/>
    <m/>
    <m/>
    <m/>
    <m/>
    <m/>
    <m/>
    <n v="310138"/>
    <m/>
    <n v="40683"/>
    <m/>
    <n v="121588"/>
    <m/>
    <n v="38733.47"/>
    <m/>
    <n v="139281.13"/>
    <m/>
    <n v="72254.75"/>
    <n v="0"/>
    <n v="50041.52"/>
    <n v="0"/>
    <n v="3844.93"/>
    <n v="0"/>
    <n v="12194.63"/>
    <n v="0"/>
    <n v="89379.28"/>
    <n v="0"/>
  </r>
  <r>
    <x v="2"/>
    <s v="新工"/>
    <m/>
    <s v="UPW"/>
    <s v="Emon"/>
    <s v="Emon"/>
    <x v="3"/>
    <x v="321"/>
    <s v="USC21C003"/>
    <s v="F21P1 EBO UPW package"/>
    <n v="375151"/>
    <s v="Exempted"/>
    <d v="2022-08-11T00:00:00"/>
    <s v="T0"/>
    <s v="AZ03:Pay in month end - 1 month after acceptance month"/>
    <n v="356385"/>
    <n v="300771"/>
    <n v="356385"/>
    <n v="0.94997747573643676"/>
    <n v="1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489"/>
    <m/>
    <m/>
    <m/>
    <m/>
    <m/>
    <n v="114541"/>
    <m/>
    <m/>
    <m/>
    <n v="75647"/>
    <m/>
    <m/>
    <m/>
    <m/>
    <m/>
    <m/>
    <m/>
    <m/>
    <m/>
    <n v="36094"/>
    <m/>
    <m/>
    <m/>
    <m/>
    <m/>
    <m/>
    <m/>
    <m/>
    <m/>
    <m/>
    <m/>
    <m/>
    <m/>
    <m/>
    <m/>
    <n v="34253"/>
    <m/>
    <n v="0"/>
    <n v="0"/>
    <n v="0"/>
    <n v="0"/>
    <n v="21361"/>
    <n v="0"/>
    <n v="0"/>
    <n v="0"/>
    <n v="0"/>
    <n v="0"/>
  </r>
  <r>
    <x v="2"/>
    <s v="新工"/>
    <m/>
    <s v="WWT"/>
    <s v="Jim Chiang"/>
    <s v="Grant"/>
    <x v="3"/>
    <x v="322"/>
    <s v="USC21C009"/>
    <s v="F21P1 EBO WWT package"/>
    <n v="1016707"/>
    <s v="Exempted"/>
    <d v="2022-08-11T00:00:00"/>
    <s v="T0"/>
    <s v="AZ03:Pay in month end - 1 month after acceptance month"/>
    <n v="855855"/>
    <n v="855855"/>
    <n v="855855"/>
    <n v="0.84179119451326689"/>
    <n v="160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528"/>
    <m/>
    <n v="428150"/>
    <m/>
    <n v="2825"/>
    <m/>
    <m/>
    <m/>
    <m/>
    <m/>
    <m/>
    <m/>
    <m/>
    <m/>
    <n v="302421"/>
    <m/>
    <m/>
    <m/>
    <n v="40931"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2"/>
    <s v="新工"/>
    <m/>
    <s v="UPW"/>
    <s v="Emon"/>
    <s v="Emon"/>
    <x v="3"/>
    <x v="323"/>
    <s v="USC21C003"/>
    <s v="F21P1 IMP/CMP組頭間/噴砂間 UPW"/>
    <n v="316495"/>
    <s v="Exempted"/>
    <d v="2022-08-11T00:00:00"/>
    <s v="T0"/>
    <s v="AZ03:Pay in month end - 1 month after acceptance month"/>
    <n v="300674"/>
    <n v="285222"/>
    <n v="300674"/>
    <n v="0.95001184852841281"/>
    <n v="1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7"/>
    <m/>
    <m/>
    <m/>
    <m/>
    <m/>
    <m/>
    <m/>
    <n v="202105"/>
    <m/>
    <m/>
    <m/>
    <m/>
    <m/>
    <m/>
    <m/>
    <m/>
    <m/>
    <m/>
    <m/>
    <n v="44720"/>
    <m/>
    <m/>
    <m/>
    <m/>
    <m/>
    <m/>
    <m/>
    <m/>
    <m/>
    <m/>
    <m/>
    <m/>
    <m/>
    <m/>
    <m/>
    <m/>
    <m/>
    <n v="15452"/>
    <n v="0"/>
    <n v="0"/>
    <n v="0"/>
    <n v="0"/>
    <n v="0"/>
    <n v="0"/>
    <n v="0"/>
    <n v="0"/>
    <n v="0"/>
  </r>
  <r>
    <x v="2"/>
    <s v="新工"/>
    <m/>
    <s v="WWT"/>
    <s v="Jim Chiang"/>
    <s v="Grant"/>
    <x v="3"/>
    <x v="324"/>
    <s v="USC21C009"/>
    <s v="F21P1 IMP/CMP組頭間/噴砂間 WWT"/>
    <n v="446279"/>
    <s v="Exempted"/>
    <d v="2022-08-11T00:00:00"/>
    <s v="T0"/>
    <s v="AZ03:Pay in month end - 1 month after acceptance month"/>
    <n v="414971.87"/>
    <n v="329192"/>
    <n v="414971.87"/>
    <n v="0.92984852524989969"/>
    <n v="31307.13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37"/>
    <m/>
    <m/>
    <m/>
    <m/>
    <m/>
    <m/>
    <m/>
    <m/>
    <m/>
    <m/>
    <m/>
    <m/>
    <m/>
    <m/>
    <m/>
    <m/>
    <m/>
    <n v="32478"/>
    <m/>
    <m/>
    <m/>
    <n v="170796"/>
    <m/>
    <n v="86981"/>
    <m/>
    <m/>
    <m/>
    <n v="43712.78"/>
    <m/>
    <n v="0"/>
    <n v="0"/>
    <n v="42067.09"/>
    <n v="0"/>
    <n v="0"/>
    <n v="0"/>
    <n v="0"/>
    <n v="0"/>
    <n v="0"/>
    <n v="0"/>
  </r>
  <r>
    <x v="2"/>
    <s v="新工"/>
    <m/>
    <s v="UPW"/>
    <s v="Emon"/>
    <s v="Emon"/>
    <x v="3"/>
    <x v="325"/>
    <s v="USC21C003"/>
    <s v="F21P1 FAB Lab UPW_Stage2"/>
    <n v="342973.89"/>
    <m/>
    <m/>
    <m/>
    <m/>
    <n v="284673.38"/>
    <n v="43341"/>
    <n v="284673.38"/>
    <n v="0.83001472794328457"/>
    <n v="58300.5100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341"/>
    <m/>
    <m/>
    <m/>
    <m/>
    <m/>
    <m/>
    <m/>
    <m/>
    <m/>
    <m/>
    <m/>
    <m/>
    <m/>
    <m/>
    <m/>
    <m/>
    <m/>
    <m/>
    <m/>
    <m/>
    <m/>
    <m/>
    <m/>
    <m/>
    <m/>
    <n v="147056"/>
    <n v="0"/>
    <n v="20495.71"/>
    <n v="0"/>
    <n v="73780.67"/>
    <n v="0"/>
    <n v="0"/>
    <n v="0"/>
    <n v="0"/>
    <n v="0"/>
  </r>
  <r>
    <x v="2"/>
    <s v="新工"/>
    <m/>
    <s v="WWT"/>
    <s v="Jim Chiang"/>
    <s v="Thomas"/>
    <x v="3"/>
    <x v="326"/>
    <s v="USC21C009"/>
    <s v="F21P1 Fab Lab WWT_Stage2"/>
    <n v="195433"/>
    <m/>
    <m/>
    <m/>
    <m/>
    <n v="0"/>
    <n v="0"/>
    <n v="0"/>
    <n v="0"/>
    <n v="19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6"/>
    <s v="QR"/>
    <m/>
    <m/>
    <s v="Hank Su"/>
    <s v="Hank Su"/>
    <x v="2"/>
    <x v="327"/>
    <s v="USC23C013"/>
    <s v="F21_AZQR_Hookup_Leak Panel"/>
    <n v="2641194"/>
    <m/>
    <m/>
    <m/>
    <m/>
    <n v="0"/>
    <n v="0"/>
    <n v="0"/>
    <n v="0"/>
    <n v="2641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7"/>
    <s v="EBO"/>
    <m/>
    <m/>
    <s v="Hank Su"/>
    <s v="Hank Su"/>
    <x v="33"/>
    <x v="328"/>
    <s v="USC23C013"/>
    <s v="EBO21-Leak Panel"/>
    <n v="389928"/>
    <m/>
    <m/>
    <m/>
    <m/>
    <n v="0"/>
    <n v="0"/>
    <n v="0"/>
    <n v="0"/>
    <n v="389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5"/>
    <s v="設備"/>
    <m/>
    <s v="Low Voltage"/>
    <s v="Paul Hsu"/>
    <s v="Shawn Liu"/>
    <x v="71"/>
    <x v="329"/>
    <s v="USC22C010"/>
    <s v="CAP_F_ 91258 DPM Connection Project"/>
    <n v="4200"/>
    <m/>
    <d v="2022-10-26T00:00:00"/>
    <s v="T0"/>
    <s v="AZB2:Pay on 28 next month: 90% on prog, 10 acpt"/>
    <n v="0"/>
    <n v="0"/>
    <n v="0"/>
    <n v="0"/>
    <n v="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5"/>
    <s v="設備"/>
    <m/>
    <s v="Low Voltage"/>
    <s v="Paul Hsu"/>
    <s v="Shawn Liu"/>
    <x v="71"/>
    <x v="330"/>
    <s v="USC22C010"/>
    <s v="CAP_F_ 91259 DPM Connection Project"/>
    <n v="4200"/>
    <m/>
    <d v="2022-10-26T00:00:00"/>
    <s v="T0"/>
    <s v="AZB2:Pay on 28 next month: 90% on prog, 10 acpt"/>
    <n v="0"/>
    <n v="0"/>
    <n v="0"/>
    <n v="0"/>
    <n v="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5"/>
    <s v="設備"/>
    <m/>
    <s v="Low Voltage"/>
    <s v="Paul Hsu"/>
    <s v="Shawn Liu"/>
    <x v="71"/>
    <x v="331"/>
    <s v="USC22C010"/>
    <s v="CAP_F_ 91260 DPM Connection Project"/>
    <n v="4200"/>
    <m/>
    <d v="2022-10-26T00:00:00"/>
    <s v="T0"/>
    <s v="AZB2:Pay on 28 next month: 90% on prog, 10 acpt"/>
    <n v="0"/>
    <n v="0"/>
    <n v="0"/>
    <n v="0"/>
    <n v="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5"/>
    <s v="設備"/>
    <m/>
    <s v="Low Voltage"/>
    <s v="Paul Hsu"/>
    <s v="Shawn Liu"/>
    <x v="71"/>
    <x v="332"/>
    <s v="USC22C010"/>
    <s v="CAP_F_ 91261 DPM Connection Project"/>
    <n v="4200"/>
    <m/>
    <d v="2022-10-26T00:00:00"/>
    <s v="T0"/>
    <s v="AZB2:Pay on 28 next month: 90% on prog, 10 acpt"/>
    <n v="0"/>
    <n v="0"/>
    <n v="0"/>
    <n v="0"/>
    <n v="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5"/>
    <s v="設備"/>
    <m/>
    <s v="Low Voltage"/>
    <s v="Paul Hsu"/>
    <s v="Shawn Liu"/>
    <x v="71"/>
    <x v="333"/>
    <s v="USC22C010"/>
    <s v="CAP_F_ 91262 DPM Connection Project"/>
    <n v="4200"/>
    <m/>
    <d v="2022-10-26T00:00:00"/>
    <s v="T0"/>
    <s v="AZB2:Pay on 28 next month: 90% on prog, 10 acpt"/>
    <n v="0"/>
    <n v="0"/>
    <n v="0"/>
    <n v="0"/>
    <n v="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5"/>
    <s v="設備"/>
    <m/>
    <s v="Low Voltage"/>
    <s v="Paul Hsu"/>
    <s v="Shawn Liu"/>
    <x v="71"/>
    <x v="334"/>
    <s v="USC22C010"/>
    <s v="CAP_F_ 91263 DPM Connection Project"/>
    <n v="4200"/>
    <m/>
    <d v="2022-10-26T00:00:00"/>
    <s v="T0"/>
    <s v="AZB2:Pay on 28 next month: 90% on prog, 10 acpt"/>
    <n v="0"/>
    <n v="0"/>
    <n v="0"/>
    <n v="0"/>
    <n v="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5"/>
    <s v="設備"/>
    <m/>
    <s v="Low Voltage"/>
    <s v="Paul Hsu"/>
    <s v="Shawn Liu"/>
    <x v="71"/>
    <x v="335"/>
    <s v="USC22C010"/>
    <s v="CAP_F_ 91264 DPM Connection Project"/>
    <n v="4200"/>
    <m/>
    <d v="2022-10-26T00:00:00"/>
    <s v="T0"/>
    <s v="AZB2:Pay on 28 next month: 90% on prog, 10 acpt"/>
    <n v="0"/>
    <n v="0"/>
    <n v="0"/>
    <n v="0"/>
    <n v="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5"/>
    <s v="設備"/>
    <m/>
    <s v="Low Voltage"/>
    <s v="Paul Hsu"/>
    <s v="Shawn Liu"/>
    <x v="71"/>
    <x v="336"/>
    <s v="USC22C010"/>
    <s v="CAP_F_ 91265 DPM Connection Project"/>
    <n v="4200"/>
    <m/>
    <d v="2022-10-26T00:00:00"/>
    <s v="T0"/>
    <s v="AZB2:Pay on 28 next month: 90% on prog, 10 acpt"/>
    <n v="0"/>
    <n v="0"/>
    <n v="0"/>
    <n v="0"/>
    <n v="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5"/>
    <s v="設備"/>
    <m/>
    <s v="Low Voltage"/>
    <s v="Paul Hsu"/>
    <s v="Shawn Liu"/>
    <x v="71"/>
    <x v="337"/>
    <s v="USC22C010"/>
    <s v="CAP_F_ 91266 DPM Connection Project"/>
    <n v="4200"/>
    <m/>
    <d v="2022-10-26T00:00:00"/>
    <s v="T0"/>
    <s v="AZB2:Pay on 28 next month: 90% on prog, 10 acpt"/>
    <n v="0"/>
    <n v="0"/>
    <n v="0"/>
    <n v="0"/>
    <n v="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5"/>
    <s v="設備"/>
    <m/>
    <s v="Low Voltage"/>
    <s v="Paul Hsu"/>
    <s v="Shawn Liu"/>
    <x v="71"/>
    <x v="338"/>
    <s v="USC22C010"/>
    <s v="CAP_F_ 91268 DPM Connection Project"/>
    <n v="4200"/>
    <m/>
    <d v="2022-10-26T00:00:00"/>
    <s v="T0"/>
    <s v="AZB2:Pay on 28 next month: 90% on prog, 10 acpt"/>
    <n v="0"/>
    <n v="0"/>
    <n v="0"/>
    <n v="0"/>
    <n v="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5"/>
    <s v="設備"/>
    <m/>
    <s v="Low Voltage"/>
    <s v="Paul Hsu"/>
    <s v="Shawn Liu"/>
    <x v="71"/>
    <x v="339"/>
    <s v="USC22C010"/>
    <s v="CAP_F_ 90760 DPM Connection Project"/>
    <n v="4200"/>
    <m/>
    <d v="2022-10-26T00:00:00"/>
    <s v="T0"/>
    <s v="AZB2:Pay on 28 next month: 90% on prog, 10 acpt"/>
    <n v="4200"/>
    <n v="0"/>
    <n v="420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0"/>
    <m/>
    <n v="0"/>
    <n v="0"/>
    <n v="0"/>
    <n v="0"/>
    <n v="0"/>
    <n v="0"/>
    <n v="0"/>
    <n v="0"/>
    <n v="0"/>
    <n v="0"/>
  </r>
  <r>
    <x v="5"/>
    <s v="設備"/>
    <m/>
    <s v="Low Voltage"/>
    <s v="Paul Hsu"/>
    <s v="Shawn Liu"/>
    <x v="71"/>
    <x v="340"/>
    <s v="USC22C010"/>
    <s v="CAP_F_ 90761 DPM Connection Project "/>
    <n v="4200"/>
    <m/>
    <d v="2022-10-26T00:00:00"/>
    <s v="T0"/>
    <s v="AZB2:Pay on 28 next month: 90% on prog, 10 acpt"/>
    <n v="0"/>
    <n v="0"/>
    <n v="0"/>
    <n v="0"/>
    <n v="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5"/>
    <s v="設備"/>
    <m/>
    <s v="Low Voltage"/>
    <s v="Paul Hsu"/>
    <s v="Shawn Liu"/>
    <x v="71"/>
    <x v="341"/>
    <s v="USC22C010"/>
    <s v="CAP_F_ 90762 DPM Connection Project"/>
    <n v="4200"/>
    <m/>
    <d v="2022-10-26T00:00:00"/>
    <s v="T0"/>
    <s v="AZB2:Pay on 28 next month: 90% on prog, 10 acpt"/>
    <n v="4200"/>
    <n v="4200"/>
    <n v="420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0"/>
    <m/>
    <m/>
    <m/>
    <m/>
    <m/>
    <m/>
    <m/>
    <n v="0"/>
    <n v="0"/>
    <n v="0"/>
    <n v="0"/>
    <n v="0"/>
    <n v="0"/>
    <n v="0"/>
    <n v="0"/>
    <n v="0"/>
    <n v="0"/>
  </r>
  <r>
    <x v="5"/>
    <s v="設備"/>
    <m/>
    <s v="Low Voltage"/>
    <s v="Paul Hsu"/>
    <s v="Shawn Liu"/>
    <x v="71"/>
    <x v="342"/>
    <s v="USC22C010"/>
    <s v="CAP_F_ 90763 DPM Connection Project"/>
    <n v="4200"/>
    <m/>
    <d v="2022-10-26T00:00:00"/>
    <s v="T0"/>
    <s v="AZB2:Pay on 28 next month: 90% on prog, 10 acpt"/>
    <n v="0"/>
    <n v="0"/>
    <n v="0"/>
    <n v="0"/>
    <n v="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5"/>
    <s v="設備"/>
    <m/>
    <s v="Low Voltage"/>
    <s v="Paul Hsu"/>
    <s v="Shawn Liu"/>
    <x v="71"/>
    <x v="343"/>
    <s v="USC22C010"/>
    <s v="CAP_F_ 90764 DPM Connection Project"/>
    <n v="4200"/>
    <m/>
    <d v="2022-10-26T00:00:00"/>
    <s v="T0"/>
    <s v="AZB2:Pay on 28 next month: 90% on prog, 10 acpt"/>
    <n v="4200"/>
    <n v="0"/>
    <n v="420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0"/>
    <m/>
    <n v="0"/>
    <n v="0"/>
    <n v="0"/>
    <n v="0"/>
    <n v="0"/>
    <n v="0"/>
    <n v="0"/>
    <n v="0"/>
    <n v="0"/>
    <n v="0"/>
  </r>
  <r>
    <x v="5"/>
    <s v="設備"/>
    <m/>
    <s v="Low Voltage"/>
    <s v="Paul Hsu"/>
    <s v="Shawn Liu"/>
    <x v="71"/>
    <x v="344"/>
    <s v="USC22C010"/>
    <s v="CAP_F_ 90765 DPM Connection Project"/>
    <n v="4200"/>
    <m/>
    <d v="2022-10-26T00:00:00"/>
    <s v="T0"/>
    <s v="AZB2:Pay on 28 next month: 90% on prog, 10 acpt"/>
    <n v="4200"/>
    <n v="0"/>
    <n v="420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0"/>
    <m/>
    <n v="0"/>
    <n v="0"/>
    <n v="0"/>
    <n v="0"/>
    <n v="0"/>
    <n v="0"/>
    <n v="0"/>
    <n v="0"/>
    <n v="0"/>
    <n v="0"/>
  </r>
  <r>
    <x v="5"/>
    <s v="設備"/>
    <m/>
    <s v="Low Voltage"/>
    <s v="Paul Hsu"/>
    <s v="Shawn Liu"/>
    <x v="71"/>
    <x v="345"/>
    <s v="USC22C010"/>
    <s v="CAP_F_ 90766 DPM Connection Project"/>
    <n v="4200"/>
    <m/>
    <d v="2022-10-26T00:00:00"/>
    <s v="T0"/>
    <s v="AZB2:Pay on 28 next month: 90% on prog, 10 acpt"/>
    <n v="4200"/>
    <n v="0"/>
    <n v="420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0"/>
    <m/>
    <n v="0"/>
    <n v="0"/>
    <n v="0"/>
    <n v="0"/>
    <n v="0"/>
    <n v="0"/>
    <n v="0"/>
    <n v="0"/>
    <n v="0"/>
    <n v="0"/>
  </r>
  <r>
    <x v="5"/>
    <s v="設備"/>
    <m/>
    <s v="Low Voltage"/>
    <s v="Paul Hsu"/>
    <s v="Shawn Liu"/>
    <x v="71"/>
    <x v="346"/>
    <s v="USC22C010"/>
    <s v="CAP_F_ 90767 DPM Connection Project"/>
    <n v="4200"/>
    <m/>
    <d v="2022-10-26T00:00:00"/>
    <s v="T0"/>
    <s v="AZB2:Pay on 28 next month: 90% on prog, 10 acpt"/>
    <n v="4200"/>
    <n v="0"/>
    <n v="420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0"/>
    <m/>
    <n v="0"/>
    <n v="0"/>
    <n v="0"/>
    <n v="0"/>
    <n v="0"/>
    <n v="0"/>
    <n v="0"/>
    <n v="0"/>
    <n v="0"/>
    <n v="0"/>
  </r>
  <r>
    <x v="5"/>
    <s v="設備"/>
    <m/>
    <s v="Low Voltage"/>
    <s v="Paul Hsu"/>
    <s v="Shawn Liu"/>
    <x v="71"/>
    <x v="347"/>
    <s v="USC22C010"/>
    <s v="CAP_F_ 90768 DPM Connection Project"/>
    <n v="4200"/>
    <m/>
    <d v="2022-10-26T00:00:00"/>
    <s v="T0"/>
    <s v="AZB2:Pay on 28 next month: 90% on prog, 10 acpt"/>
    <n v="0"/>
    <n v="0"/>
    <n v="0"/>
    <n v="0"/>
    <n v="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5"/>
    <s v="設備"/>
    <m/>
    <s v="Low Voltage"/>
    <s v="Paul Hsu"/>
    <s v="Shawn Liu"/>
    <x v="71"/>
    <x v="348"/>
    <s v="USC22C010"/>
    <s v="CAP_F_ 90769 DPM Connection Project"/>
    <n v="4200"/>
    <m/>
    <d v="2022-10-26T00:00:00"/>
    <s v="T0"/>
    <s v="AZB2:Pay on 28 next month: 90% on prog, 10 acpt"/>
    <n v="4200"/>
    <n v="4200"/>
    <n v="420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0"/>
    <m/>
    <m/>
    <m/>
    <m/>
    <m/>
    <m/>
    <m/>
    <n v="0"/>
    <n v="0"/>
    <n v="0"/>
    <n v="0"/>
    <n v="0"/>
    <n v="0"/>
    <n v="0"/>
    <n v="0"/>
    <n v="0"/>
    <n v="0"/>
  </r>
  <r>
    <x v="8"/>
    <s v="HK"/>
    <m/>
    <s v="Warehouse"/>
    <s v="Elaine Ma"/>
    <s v="Michelle H"/>
    <x v="103"/>
    <x v="349"/>
    <s v="USC22C008"/>
    <s v="F21P1-0420E4_H_Logistic_MIC"/>
    <n v="2680642"/>
    <m/>
    <d v="2022-11-10T00:00:00"/>
    <s v="T9"/>
    <s v="AP03:Pay in month end - 1 month after acceptance month"/>
    <n v="2680571.27"/>
    <n v="2680571.27"/>
    <n v="2680571.27"/>
    <n v="0.99997361452965372"/>
    <n v="70.729999999981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5069.4900000002"/>
    <m/>
    <m/>
    <m/>
    <m/>
    <m/>
    <m/>
    <m/>
    <m/>
    <m/>
    <m/>
    <m/>
    <m/>
    <m/>
    <m/>
    <m/>
    <m/>
    <m/>
    <m/>
    <m/>
    <m/>
    <m/>
    <m/>
    <m/>
    <n v="35501.78"/>
    <m/>
    <m/>
    <m/>
    <m/>
    <m/>
    <m/>
    <m/>
    <m/>
    <m/>
    <m/>
    <m/>
    <n v="0"/>
    <n v="0"/>
    <n v="0"/>
    <n v="0"/>
    <n v="0"/>
    <n v="0"/>
    <n v="0"/>
    <n v="0"/>
    <n v="0"/>
    <n v="0"/>
  </r>
  <r>
    <x v="8"/>
    <s v="HK"/>
    <m/>
    <s v="Warehouse"/>
    <s v="Elaine Ma"/>
    <s v="Michelle H"/>
    <x v="103"/>
    <x v="350"/>
    <s v="USC22C008"/>
    <s v="F21P1-0420_H_Logistic_MIC"/>
    <n v="21688833"/>
    <m/>
    <d v="2022-11-10T00:00:00"/>
    <s v="T9"/>
    <s v="AP03:Pay in month end - 1 month after acceptance month"/>
    <n v="21688160.316999998"/>
    <n v="21688160.316999998"/>
    <n v="21688160.319999997"/>
    <n v="0.99996898482274255"/>
    <n v="672.68300000205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772.61"/>
    <m/>
    <n v="46322.09"/>
    <m/>
    <n v="1826511.29"/>
    <m/>
    <n v="0"/>
    <m/>
    <n v="0"/>
    <m/>
    <n v="3204636.2689999999"/>
    <m/>
    <n v="3349337.76"/>
    <m/>
    <n v="0"/>
    <m/>
    <n v="5709214.7480000006"/>
    <m/>
    <n v="3909695.68"/>
    <m/>
    <n v="1852533.56"/>
    <m/>
    <n v="1075136.31"/>
    <m/>
    <m/>
    <m/>
    <m/>
    <m/>
    <m/>
    <m/>
    <m/>
    <m/>
    <m/>
    <m/>
    <n v="0"/>
    <n v="0"/>
    <n v="0"/>
    <n v="0"/>
    <n v="0"/>
    <n v="0"/>
    <n v="0"/>
    <n v="0"/>
    <n v="0"/>
    <n v="0"/>
  </r>
  <r>
    <x v="2"/>
    <s v="新工"/>
    <m/>
    <s v="Chemical"/>
    <s v="Steven Chiu"/>
    <s v="Johnny Wan"/>
    <x v="104"/>
    <x v="351"/>
    <s v="USC23C012"/>
    <s v="F21P1 Hot DI Machine Hookup"/>
    <n v="240000"/>
    <m/>
    <m/>
    <m/>
    <m/>
    <n v="120041"/>
    <n v="82883"/>
    <n v="107789"/>
    <n v="0.50017083333333334"/>
    <n v="1199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84"/>
    <m/>
    <n v="32209"/>
    <m/>
    <n v="37790"/>
    <m/>
    <m/>
    <m/>
    <m/>
    <m/>
    <m/>
    <m/>
    <m/>
    <m/>
    <m/>
    <m/>
    <m/>
    <m/>
    <n v="24906"/>
    <m/>
    <n v="0"/>
    <n v="0"/>
    <n v="0"/>
    <n v="0"/>
    <n v="0"/>
    <n v="0"/>
    <n v="12252"/>
    <n v="0"/>
    <n v="0"/>
    <n v="0"/>
  </r>
  <r>
    <x v="2"/>
    <s v="新工"/>
    <m/>
    <s v="Chemical"/>
    <s v="Steven Chiu"/>
    <s v="Johnny Wan"/>
    <x v="2"/>
    <x v="352"/>
    <s v="USC21C005"/>
    <s v="F21P1 TGCM Room"/>
    <n v="50000"/>
    <m/>
    <m/>
    <m/>
    <m/>
    <n v="45064"/>
    <n v="4705"/>
    <n v="35865"/>
    <n v="0.90127999999999997"/>
    <n v="4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05"/>
    <m/>
    <m/>
    <m/>
    <m/>
    <m/>
    <m/>
    <m/>
    <m/>
    <m/>
    <m/>
    <m/>
    <m/>
    <m/>
    <m/>
    <m/>
    <n v="31160"/>
    <m/>
    <n v="0"/>
    <n v="0"/>
    <n v="0"/>
    <n v="0"/>
    <n v="0"/>
    <n v="0"/>
    <n v="9199"/>
    <n v="0"/>
    <n v="0"/>
    <n v="0"/>
  </r>
  <r>
    <x v="3"/>
    <s v="HK"/>
    <s v="Foundation"/>
    <m/>
    <s v="Hank Su"/>
    <s v="Hank Su"/>
    <x v="36"/>
    <x v="353"/>
    <s v="USC23C002"/>
    <s v="F21P1-0404E4_H_foundation install_MICU"/>
    <n v="1749804.22"/>
    <m/>
    <d v="2023-02-08T00:00:00"/>
    <s v="T9"/>
    <s v="AZ03:Pay in month end - 1 month after acceptance month"/>
    <n v="1749804"/>
    <n v="1749804"/>
    <n v="1749804"/>
    <n v="0.99999987427164849"/>
    <n v="0.21999999997206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7829"/>
    <m/>
    <n v="347112"/>
    <m/>
    <n v="306216"/>
    <m/>
    <m/>
    <m/>
    <n v="767770"/>
    <m/>
    <n v="150877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3"/>
    <s v="HK"/>
    <s v="Foundation"/>
    <m/>
    <s v="Hank Su"/>
    <s v="Hank Su"/>
    <x v="36"/>
    <x v="354"/>
    <s v="USC23C002"/>
    <s v="F21P1-0423_H_foundation install_MICU"/>
    <n v="32050195.780000001"/>
    <m/>
    <d v="2023-02-08T00:00:00"/>
    <s v="T9"/>
    <s v="AZ03:Pay in month end - 1 month after acceptance month"/>
    <n v="20789475.669999998"/>
    <n v="18285535.469999999"/>
    <n v="20789475.669999998"/>
    <n v="0.6486536248547059"/>
    <n v="11260720.11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62068.28"/>
    <m/>
    <n v="1696480.68"/>
    <m/>
    <n v="4149440.52"/>
    <m/>
    <n v="4122495.69"/>
    <m/>
    <n v="1994686.39"/>
    <m/>
    <n v="381841.85"/>
    <m/>
    <n v="0"/>
    <m/>
    <n v="1277163"/>
    <m/>
    <n v="358843.52"/>
    <m/>
    <n v="142515.54"/>
    <m/>
    <n v="139155.54"/>
    <m/>
    <n v="1075150.6599999999"/>
    <n v="0"/>
    <n v="0"/>
    <n v="0"/>
    <n v="0"/>
    <n v="0"/>
    <n v="1289634"/>
    <n v="0"/>
    <n v="1210325.82"/>
    <n v="0"/>
  </r>
  <r>
    <x v="3"/>
    <s v="HK"/>
    <m/>
    <m/>
    <s v="John Gauci"/>
    <m/>
    <x v="2"/>
    <x v="355"/>
    <s v="USC23C055"/>
    <s v="F21P1-0404_H_Labor 4 months_MICU"/>
    <n v="39033874.969999999"/>
    <m/>
    <s v="01/20/2024"/>
    <m/>
    <s v="Pay in month end - 1 month after acceptance month of the date"/>
    <n v="39033874.969999999"/>
    <n v="39033874.969999999"/>
    <n v="39033874.96999999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25366.879999999"/>
    <m/>
    <n v="12210895.4"/>
    <m/>
    <n v="3797612.69"/>
    <m/>
    <m/>
    <m/>
    <n v="0"/>
    <n v="0"/>
    <n v="0"/>
    <n v="0"/>
    <n v="0"/>
    <n v="0"/>
    <n v="0"/>
    <n v="0"/>
    <n v="0"/>
    <n v="0"/>
  </r>
  <r>
    <x v="3"/>
    <s v="HK"/>
    <m/>
    <m/>
    <s v="John Gauci"/>
    <m/>
    <x v="2"/>
    <x v="356"/>
    <s v="USC23C055"/>
    <s v="F21P1-0404E2_H_Labor 4 months_MICU"/>
    <n v="9750000"/>
    <m/>
    <s v="01/20/2024"/>
    <m/>
    <s v="Pay in month end - 1 month after acceptance month of the date"/>
    <n v="9750000"/>
    <n v="9750000"/>
    <n v="975000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50000"/>
    <m/>
    <m/>
    <m/>
    <n v="0"/>
    <n v="0"/>
    <n v="0"/>
    <n v="0"/>
    <n v="0"/>
    <n v="0"/>
    <n v="0"/>
    <n v="0"/>
    <n v="0"/>
    <n v="0"/>
  </r>
  <r>
    <x v="3"/>
    <s v="ME"/>
    <m/>
    <m/>
    <s v="Hank Su"/>
    <m/>
    <x v="2"/>
    <x v="357"/>
    <s v="USC23C055"/>
    <s v="KKSV02 AMC-B10 Outlet Install material"/>
    <n v="756.64"/>
    <m/>
    <d v="2024-03-09T00:00:00"/>
    <m/>
    <s v="Pay in month end - 1 month after acceptance month of the date"/>
    <n v="0"/>
    <n v="0"/>
    <n v="0"/>
    <n v="0"/>
    <n v="756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756.64"/>
    <n v="0"/>
  </r>
  <r>
    <x v="3"/>
    <s v="ME"/>
    <m/>
    <m/>
    <s v="Hank Su"/>
    <m/>
    <x v="2"/>
    <x v="358"/>
    <s v="USC23C055"/>
    <s v="KKSV04 AMC-B12 Outlet Install material"/>
    <n v="2082.2199999999998"/>
    <m/>
    <d v="2024-03-09T00:00:00"/>
    <m/>
    <s v="Pay in month end - 1 month after acceptance month of the date"/>
    <n v="0"/>
    <n v="0"/>
    <n v="0"/>
    <n v="0"/>
    <n v="2082.21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2082.2199999999998"/>
    <n v="0"/>
  </r>
  <r>
    <x v="3"/>
    <s v="HK"/>
    <m/>
    <m/>
    <s v="John Gauci"/>
    <m/>
    <x v="105"/>
    <x v="359"/>
    <s v="USC23C055"/>
    <s v="F21P1-0423_H_Labor 1 months_MICU"/>
    <n v="11494921.939999999"/>
    <m/>
    <s v="05/07/2024"/>
    <m/>
    <s v="Pay in month end - 1 month after acceptance month of the date"/>
    <n v="10725019.359999999"/>
    <n v="0"/>
    <n v="10725019.359999999"/>
    <n v="0.93302237422588363"/>
    <n v="769902.58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25019.359999999"/>
    <m/>
    <n v="0"/>
    <n v="0"/>
    <n v="0"/>
    <n v="0"/>
    <n v="0"/>
    <n v="0"/>
    <n v="0"/>
    <n v="0"/>
    <n v="0"/>
    <n v="0"/>
  </r>
  <r>
    <x v="3"/>
    <s v="HK"/>
    <m/>
    <m/>
    <s v="John Gauci"/>
    <m/>
    <x v="105"/>
    <x v="360"/>
    <s v="USC23C055"/>
    <s v="F21P1-0423E2_H_Labor 1 months_MICU"/>
    <n v="1500000"/>
    <m/>
    <s v="05/07/2024"/>
    <m/>
    <s v="Pay in month end - 1 month after acceptance month of the date"/>
    <n v="1500000"/>
    <n v="0"/>
    <n v="150000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0000"/>
    <m/>
    <n v="0"/>
    <n v="0"/>
    <n v="0"/>
    <n v="0"/>
    <n v="0"/>
    <n v="0"/>
    <n v="0"/>
    <n v="0"/>
    <n v="0"/>
    <n v="0"/>
  </r>
  <r>
    <x v="3"/>
    <s v="HK"/>
    <m/>
    <m/>
    <s v="Hank Su"/>
    <m/>
    <x v="87"/>
    <x v="361"/>
    <s v="USC23C002"/>
    <s v="F21P1-0423E4_H_FDN Seismic Support "/>
    <n v="180000"/>
    <m/>
    <d v="2024-05-16T00:00:00"/>
    <m/>
    <s v="Pay in month end - 3 month after acceptance month of the date"/>
    <n v="0"/>
    <n v="0"/>
    <n v="0"/>
    <n v="0"/>
    <n v="18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3"/>
    <s v="HK"/>
    <m/>
    <m/>
    <s v="Hank Su"/>
    <m/>
    <x v="87"/>
    <x v="362"/>
    <s v="USC23C002"/>
    <s v="F21P1-0423_H_FDN Seismic Support "/>
    <n v="213905.04"/>
    <m/>
    <d v="2024-05-16T00:00:00"/>
    <m/>
    <s v="Pay in month end - 2 month after acceptance month of the date"/>
    <n v="0"/>
    <n v="0"/>
    <n v="0"/>
    <n v="0"/>
    <n v="213905.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3"/>
    <s v="HK"/>
    <m/>
    <m/>
    <m/>
    <m/>
    <x v="90"/>
    <x v="363"/>
    <s v="USC23C055"/>
    <s v="F21P1-0404_H_E2 Management"/>
    <n v="5454764"/>
    <m/>
    <d v="2024-05-31T00:00:00"/>
    <m/>
    <s v="Pay in month end - 1 month after acceptance month of the date"/>
    <n v="5454764"/>
    <n v="0"/>
    <n v="5454764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54764"/>
    <n v="0"/>
    <n v="0"/>
    <n v="0"/>
    <n v="0"/>
    <n v="0"/>
    <n v="0"/>
    <n v="0"/>
    <n v="0"/>
    <n v="0"/>
  </r>
  <r>
    <x v="3"/>
    <s v="HK"/>
    <m/>
    <m/>
    <m/>
    <m/>
    <x v="90"/>
    <x v="364"/>
    <s v="USC23C055"/>
    <s v="F21P1-0404E2_H_E2 Management"/>
    <n v="700000"/>
    <m/>
    <d v="2024-05-31T00:00:00"/>
    <m/>
    <s v="Pay in month end - 1 month after acceptance month of the date"/>
    <n v="700000"/>
    <n v="0"/>
    <n v="70000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0000"/>
    <n v="0"/>
    <n v="0"/>
    <n v="0"/>
    <n v="0"/>
    <n v="0"/>
    <n v="0"/>
    <n v="0"/>
    <n v="0"/>
    <n v="0"/>
  </r>
  <r>
    <x v="0"/>
    <s v="Non-TSMC"/>
    <m/>
    <m/>
    <s v="Tylor"/>
    <s v="Sam"/>
    <x v="106"/>
    <x v="365"/>
    <s v="USC22C006"/>
    <s v="TSMC F21P1 EUV Overhead Cranes in Area A of FAB Building"/>
    <n v="3533920"/>
    <m/>
    <m/>
    <m/>
    <m/>
    <n v="3533920"/>
    <n v="3533920"/>
    <n v="353392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0176"/>
    <m/>
    <m/>
    <m/>
    <n v="1060176"/>
    <m/>
    <n v="353392"/>
    <m/>
    <m/>
    <m/>
    <n v="530088"/>
    <m/>
    <n v="530088"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0"/>
    <s v="Non-TSMC"/>
    <m/>
    <m/>
    <s v="Kun An Liu"/>
    <m/>
    <x v="107"/>
    <x v="366"/>
    <m/>
    <s v="TSMC AZ Inlne ICPMS fire system control piping"/>
    <n v="108800"/>
    <m/>
    <m/>
    <m/>
    <m/>
    <n v="0"/>
    <n v="0"/>
    <n v="0"/>
    <n v="0"/>
    <n v="108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0"/>
    <s v="Non-TSMC"/>
    <m/>
    <m/>
    <m/>
    <m/>
    <x v="98"/>
    <x v="367"/>
    <s v="USC23C030"/>
    <s v="Address Mapping"/>
    <n v="2028"/>
    <m/>
    <d v="2023-03-21T00:00:00"/>
    <m/>
    <m/>
    <n v="2028"/>
    <n v="2028"/>
    <n v="2028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28"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0"/>
    <s v="Non-TSMC"/>
    <m/>
    <m/>
    <s v="Boris"/>
    <m/>
    <x v="98"/>
    <x v="368"/>
    <m/>
    <s v="2023 November Storage"/>
    <n v="1575"/>
    <m/>
    <s v="11/28/2023"/>
    <m/>
    <m/>
    <n v="1575"/>
    <n v="1575"/>
    <n v="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75"/>
    <m/>
    <m/>
    <m/>
    <m/>
    <m/>
    <m/>
    <m/>
    <m/>
    <m/>
    <n v="0"/>
    <n v="0"/>
    <n v="0"/>
    <n v="0"/>
    <n v="0"/>
    <n v="0"/>
    <n v="0"/>
    <n v="0"/>
    <n v="0"/>
    <n v="0"/>
  </r>
  <r>
    <x v="0"/>
    <s v="Non-TSMC"/>
    <m/>
    <s v="UPW"/>
    <s v="Emon"/>
    <m/>
    <x v="96"/>
    <x v="369"/>
    <s v="USC24C013"/>
    <s v=" Outsource Electrical Work"/>
    <n v="40977.81"/>
    <m/>
    <s v="2/13/2024"/>
    <m/>
    <s v="100% BY PROGRESS"/>
    <n v="0"/>
    <n v="0"/>
    <n v="0"/>
    <n v="0"/>
    <n v="40977.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1"/>
    <s v="Non-TSMC"/>
    <m/>
    <s v="UPW"/>
    <s v="Kate"/>
    <m/>
    <x v="108"/>
    <x v="370"/>
    <s v="Expect to add in USC24C013"/>
    <s v="Panel Materials"/>
    <n v="655000"/>
    <m/>
    <d v="2024-07-10T00:00:00"/>
    <m/>
    <s v="Net 30 days"/>
    <n v="655000"/>
    <n v="0"/>
    <n v="65500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655000"/>
    <n v="0"/>
    <n v="0"/>
    <n v="0"/>
  </r>
  <r>
    <x v="1"/>
    <s v="Non-TSMC"/>
    <m/>
    <s v="UPW"/>
    <s v="Emo"/>
    <m/>
    <x v="109"/>
    <x v="371"/>
    <s v="USC24C013"/>
    <s v="WRC Pump Changes"/>
    <n v="140434.63"/>
    <m/>
    <d v="2024-05-08T00:00:00"/>
    <m/>
    <m/>
    <n v="0"/>
    <n v="0"/>
    <n v="0"/>
    <n v="0"/>
    <n v="140434.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140434.63"/>
    <n v="0"/>
  </r>
  <r>
    <x v="1"/>
    <s v="Non-TSMC"/>
    <m/>
    <s v="UPW"/>
    <m/>
    <m/>
    <x v="110"/>
    <x v="372"/>
    <s v="USC24C013"/>
    <s v="TOC Analyzer"/>
    <n v="795000"/>
    <m/>
    <d v="2024-05-08T00:00:00"/>
    <m/>
    <m/>
    <n v="715500"/>
    <n v="0"/>
    <n v="715500"/>
    <n v="0.9"/>
    <n v="7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715500"/>
    <n v="0"/>
    <n v="0"/>
    <n v="0"/>
    <n v="0"/>
    <n v="0"/>
    <n v="0"/>
    <n v="0"/>
  </r>
  <r>
    <x v="1"/>
    <s v="Non-TSMC"/>
    <m/>
    <s v="UPW"/>
    <s v="Emon Roy"/>
    <m/>
    <x v="111"/>
    <x v="373"/>
    <s v="Expect to add in USC24C013"/>
    <s v="CIP Pump Change Out"/>
    <n v="11726.98"/>
    <m/>
    <s v="07/29/2024"/>
    <m/>
    <s v="Pay in month end - 1 month after acceptance month of the date"/>
    <n v="0"/>
    <n v="0"/>
    <n v="0"/>
    <n v="0"/>
    <n v="11726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</r>
  <r>
    <x v="0"/>
    <s v="Non-TSMC"/>
    <m/>
    <m/>
    <s v="NA"/>
    <s v="Sam"/>
    <x v="99"/>
    <x v="374"/>
    <s v="USC20C001"/>
    <s v="Bidding proposal writing"/>
    <n v="50000"/>
    <m/>
    <m/>
    <m/>
    <m/>
    <n v="50000"/>
    <n v="50000"/>
    <n v="50000"/>
    <n v="1"/>
    <n v="0"/>
    <m/>
    <m/>
    <n v="5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0"/>
    <s v="Non-TSMC"/>
    <m/>
    <m/>
    <s v="NA"/>
    <s v="Sam"/>
    <x v="99"/>
    <x v="375"/>
    <s v="USC22C016"/>
    <s v="Asahi Valve and Positioner from Harrington"/>
    <n v="66751.38"/>
    <m/>
    <m/>
    <m/>
    <m/>
    <n v="66751.759999999995"/>
    <n v="66751.759999999995"/>
    <n v="66751.759999999995"/>
    <n v="1.0000056927662018"/>
    <n v="-0.379999999990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751.75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0"/>
    <s v="Non-TSMC"/>
    <m/>
    <m/>
    <s v="NA"/>
    <s v="Sam"/>
    <x v="99"/>
    <x v="376"/>
    <s v="USC22C016"/>
    <s v="Asahi Valve and Positioner from Harrington - 3"/>
    <n v="926.3"/>
    <m/>
    <m/>
    <m/>
    <m/>
    <n v="926.3"/>
    <n v="926.3"/>
    <n v="926.3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.3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0"/>
    <s v="Non-TSMC"/>
    <m/>
    <m/>
    <s v="NA"/>
    <m/>
    <x v="112"/>
    <x v="377"/>
    <m/>
    <s v="Hookup Management"/>
    <m/>
    <m/>
    <m/>
    <m/>
    <m/>
    <n v="2116491.7600000002"/>
    <n v="2112441.2200000002"/>
    <n v="982412.34"/>
    <n v="1"/>
    <n v="-2116491.76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5510.54"/>
    <m/>
    <n v="146149.65"/>
    <m/>
    <n v="172549.65"/>
    <m/>
    <n v="146149.65"/>
    <m/>
    <n v="257691.06"/>
    <m/>
    <n v="188152.85"/>
    <m/>
    <n v="182152.85"/>
    <m/>
    <n v="247191.06"/>
    <m/>
    <n v="171952.85"/>
    <m/>
    <n v="214941.06"/>
    <m/>
    <m/>
    <m/>
    <m/>
    <m/>
    <m/>
    <m/>
    <m/>
    <m/>
    <m/>
    <m/>
    <n v="0"/>
    <n v="0"/>
    <n v="4050.54"/>
    <n v="0"/>
    <n v="0"/>
    <n v="0"/>
    <n v="0"/>
    <n v="0"/>
    <n v="0"/>
    <n v="0"/>
  </r>
  <r>
    <x v="4"/>
    <s v="Non-TSMC"/>
    <m/>
    <s v="AMHS"/>
    <s v="David Nystrom"/>
    <s v="David Short"/>
    <x v="113"/>
    <x v="378"/>
    <s v="USC23C011"/>
    <s v="F21 P1 Power Design"/>
    <n v="180000"/>
    <m/>
    <m/>
    <m/>
    <m/>
    <n v="125640"/>
    <n v="125640"/>
    <n v="125640"/>
    <n v="0.69799999999999995"/>
    <n v="54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640"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4"/>
    <s v="Non-TSMC"/>
    <m/>
    <s v="AMHS"/>
    <s v="David Nystrom"/>
    <s v="David Short"/>
    <x v="114"/>
    <x v="379"/>
    <s v="USC23C015"/>
    <s v="F21 P1 Electrical Installation"/>
    <n v="38479828.130000003"/>
    <m/>
    <s v="01/26/2024"/>
    <m/>
    <s v="T/T 30 days after receipt of original invoice"/>
    <n v="27243197.860000007"/>
    <n v="25698640.750000004"/>
    <n v="27243197.860000007"/>
    <n v="0.7079864745747243"/>
    <n v="11236630.26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5236.74"/>
    <m/>
    <m/>
    <m/>
    <m/>
    <m/>
    <m/>
    <m/>
    <m/>
    <m/>
    <m/>
    <m/>
    <m/>
    <m/>
    <n v="6456886.2000000002"/>
    <m/>
    <n v="6713230.7100000009"/>
    <m/>
    <n v="1231340.92"/>
    <n v="12001.39"/>
    <n v="1413643.39"/>
    <m/>
    <n v="3928173.1900000004"/>
    <n v="173262.36000000002"/>
    <n v="660129.60000000009"/>
    <m/>
    <n v="84299.46"/>
    <m/>
    <n v="0"/>
    <n v="0"/>
    <n v="823062.05"/>
    <n v="22525.46"/>
    <n v="637195.60000000009"/>
    <n v="17654.2"/>
    <n v="0"/>
    <n v="0"/>
    <n v="35608.559999999998"/>
    <n v="0"/>
  </r>
  <r>
    <x v="4"/>
    <s v="Non-TSMC"/>
    <m/>
    <s v="AMHS"/>
    <s v="Martin"/>
    <m/>
    <x v="114"/>
    <x v="380"/>
    <s v="USC23C015"/>
    <s v="TSMC F21 AZP1 AMHS Wiring work outline"/>
    <n v="1864987.5"/>
    <m/>
    <d v="2024-07-04T00:00:00"/>
    <m/>
    <s v="T/T 30 days after receipt of original invoice "/>
    <n v="901458.48"/>
    <n v="0"/>
    <n v="901458.48"/>
    <n v="0.48335899302274143"/>
    <n v="963529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85640.94999999995"/>
    <n v="32737.33"/>
    <n v="315817.53000000003"/>
    <n v="17654.2"/>
    <n v="0"/>
    <n v="0"/>
    <n v="184752.1"/>
    <n v="10327.64"/>
  </r>
  <r>
    <x v="4"/>
    <s v="Non-TSMC"/>
    <m/>
    <s v="AMHS"/>
    <s v="David Nystrom"/>
    <s v="David Short"/>
    <x v="114"/>
    <x v="381"/>
    <s v="Expect to add in USC23C015"/>
    <s v="TSMC F21 AZP1 AMHS Wiring work outline"/>
    <n v="2998028.97"/>
    <m/>
    <s v="08/02/2024"/>
    <m/>
    <s v=" T/T 30 days after receipt of original invoice "/>
    <n v="540343.24"/>
    <n v="0"/>
    <n v="540343.24"/>
    <n v="0.18023282810372573"/>
    <n v="2457685.73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540343.24"/>
    <n v="30205.19"/>
    <n v="543310.28"/>
    <n v="30371.040000000001"/>
  </r>
  <r>
    <x v="0"/>
    <s v="Non-TSMC"/>
    <m/>
    <m/>
    <s v="Kate"/>
    <m/>
    <x v="115"/>
    <x v="382"/>
    <s v="USC23C037"/>
    <s v="MA-TEK AZ Lab Project"/>
    <n v="277190"/>
    <m/>
    <d v="2023-04-24T00:00:00"/>
    <m/>
    <s v="100% by progress, net 30 days"/>
    <n v="55438"/>
    <n v="55438"/>
    <n v="0"/>
    <n v="0.2"/>
    <n v="221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38"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1"/>
    <s v="Non-TSMC"/>
    <m/>
    <m/>
    <s v="Martin "/>
    <m/>
    <x v="116"/>
    <x v="383"/>
    <s v="USC22C024"/>
    <s v="Grating materials for AAS system city inspection"/>
    <n v="11878.35"/>
    <m/>
    <s v="1/2/2024"/>
    <m/>
    <s v="Net 30 Days from invoice date"/>
    <n v="11878.35"/>
    <n v="11878.35"/>
    <n v="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78.35"/>
    <n v="664"/>
    <m/>
    <m/>
    <m/>
    <m/>
    <n v="0"/>
    <n v="0"/>
    <n v="0"/>
    <n v="0"/>
    <n v="0"/>
    <n v="0"/>
    <n v="0"/>
    <n v="0"/>
    <n v="0"/>
    <n v="0"/>
  </r>
  <r>
    <x v="0"/>
    <s v="Non-TSMC"/>
    <m/>
    <m/>
    <s v="Shannon"/>
    <s v="Sam"/>
    <x v="116"/>
    <x v="384"/>
    <s v="USC22C024"/>
    <s v="UIS Scaffolding"/>
    <n v="3005096"/>
    <m/>
    <m/>
    <m/>
    <m/>
    <n v="3005096.07"/>
    <n v="3005096.07"/>
    <n v="3005096.07"/>
    <n v="1.0000000232937649"/>
    <n v="-6.9999999832361937E-2"/>
    <m/>
    <m/>
    <m/>
    <m/>
    <m/>
    <m/>
    <m/>
    <m/>
    <m/>
    <m/>
    <m/>
    <m/>
    <m/>
    <m/>
    <m/>
    <m/>
    <m/>
    <m/>
    <m/>
    <m/>
    <m/>
    <m/>
    <n v="1286713.08"/>
    <m/>
    <n v="177670.88"/>
    <m/>
    <n v="1051201.52"/>
    <m/>
    <n v="489510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0"/>
    <s v="Non-TSMC"/>
    <m/>
    <m/>
    <m/>
    <m/>
    <x v="117"/>
    <x v="385"/>
    <s v="USC22L001"/>
    <s v="TSMC US Fab Architecture 施工駐地服務"/>
    <n v="351500"/>
    <m/>
    <m/>
    <m/>
    <m/>
    <n v="351500"/>
    <n v="351500"/>
    <n v="351500"/>
    <n v="1"/>
    <n v="0"/>
    <m/>
    <m/>
    <m/>
    <m/>
    <m/>
    <m/>
    <m/>
    <m/>
    <n v="29174.5"/>
    <m/>
    <m/>
    <m/>
    <n v="29174.5"/>
    <m/>
    <n v="29174.5"/>
    <m/>
    <n v="29174.5"/>
    <m/>
    <n v="29174.5"/>
    <m/>
    <n v="29174.5"/>
    <m/>
    <n v="29174.5"/>
    <m/>
    <n v="29174.5"/>
    <m/>
    <n v="29174.5"/>
    <m/>
    <n v="29174.5"/>
    <m/>
    <n v="29174.5"/>
    <m/>
    <n v="3058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x v="4"/>
    <s v="AMHS"/>
    <m/>
    <m/>
    <s v="David Nystrom"/>
    <m/>
    <x v="2"/>
    <x v="386"/>
    <m/>
    <s v="CAP_E_F21 P1B AMHS HPM cable tray re-work"/>
    <n v="522588.59"/>
    <m/>
    <s v="08/15/2024"/>
    <m/>
    <s v="Pay in month end - 1 month after acceptance month of the date"/>
    <n v="0"/>
    <n v="0"/>
    <n v="0"/>
    <n v="0"/>
    <n v="522588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</r>
  <r>
    <x v="3"/>
    <s v="HK"/>
    <m/>
    <m/>
    <s v="John Gauci"/>
    <m/>
    <x v="2"/>
    <x v="387"/>
    <s v="Expect to add in USC22C005"/>
    <s v="F21P1-0423_H_UPW Material_MICU"/>
    <n v="4831717.95"/>
    <m/>
    <s v="08/15/2024"/>
    <m/>
    <s v="Pay in month end - 1 month after acceptance month of the date"/>
    <n v="1125969.1000000001"/>
    <n v="0"/>
    <n v="0"/>
    <n v="0.23303700912425984"/>
    <n v="3705748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125969.1000000001"/>
    <n v="0"/>
    <n v="201797.73"/>
    <n v="0"/>
  </r>
  <r>
    <x v="1"/>
    <s v="新工"/>
    <m/>
    <s v="Chemical"/>
    <s v="Steven Chiu"/>
    <m/>
    <x v="38"/>
    <x v="388"/>
    <m/>
    <s v="F21P1 SDS Function Change Expansion V1.6"/>
    <n v="684093.85"/>
    <m/>
    <s v="08/16/2024"/>
    <m/>
    <s v="Pay in month end - 1 month after acceptance month of the date"/>
    <n v="0"/>
    <n v="0"/>
    <n v="0"/>
    <n v="0"/>
    <n v="684093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</r>
  <r>
    <x v="12"/>
    <m/>
    <m/>
    <s v="Chemical"/>
    <s v="Steven Chiu"/>
    <m/>
    <x v="118"/>
    <x v="389"/>
    <m/>
    <s v="F21 MICU TCM Support - Aug 2024"/>
    <n v="374559.6"/>
    <m/>
    <s v="08/17/2024"/>
    <m/>
    <s v="Pay in month end - 1 month after acceptance month of the date"/>
    <n v="374559.6"/>
    <n v="0"/>
    <n v="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74559.6"/>
    <n v="0"/>
    <n v="0"/>
    <n v="0"/>
  </r>
  <r>
    <x v="3"/>
    <m/>
    <m/>
    <m/>
    <s v="Kate"/>
    <m/>
    <x v="2"/>
    <x v="390"/>
    <m/>
    <s v="F21P1-0423_H_23K Tool Design US ManPower"/>
    <n v="511456"/>
    <m/>
    <s v="08/22/2024"/>
    <m/>
    <s v="Pay in month end - 1 month after acceptance month of the date"/>
    <n v="0"/>
    <n v="0"/>
    <n v="0"/>
    <n v="0"/>
    <n v="511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</r>
  <r>
    <x v="1"/>
    <m/>
    <m/>
    <s v="Low Voltage"/>
    <s v="Paul Hsu"/>
    <m/>
    <x v="2"/>
    <x v="391"/>
    <m/>
    <s v="F21P1-0423_A_5G DPM CMS Support"/>
    <n v="1010419.34"/>
    <m/>
    <s v="08/22/2024"/>
    <m/>
    <s v="Pay in month end - 1 month after acceptance month of the date"/>
    <n v="0"/>
    <n v="0"/>
    <n v="0"/>
    <n v="0"/>
    <n v="1010419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471889.25"/>
    <n v="0"/>
  </r>
  <r>
    <x v="0"/>
    <m/>
    <m/>
    <m/>
    <s v="Elaine Ma"/>
    <m/>
    <x v="119"/>
    <x v="392"/>
    <m/>
    <s v="HTF RN3000 (20 Kg)"/>
    <n v="17910.55"/>
    <m/>
    <s v="08/20/2024"/>
    <m/>
    <s v="Current Month End +60 days"/>
    <n v="0"/>
    <n v="0"/>
    <n v="0"/>
    <n v="0"/>
    <n v="17910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</r>
  <r>
    <x v="3"/>
    <m/>
    <m/>
    <m/>
    <s v="Hank Su"/>
    <m/>
    <x v="87"/>
    <x v="393"/>
    <m/>
    <s v="F21P1-0423_H_Unit_MIC Foundation"/>
    <n v="3841900"/>
    <m/>
    <d v="2024-08-27T00:00:00"/>
    <m/>
    <s v="Pay in month end - 1 month after acceptance month of the date"/>
    <n v="0"/>
    <n v="0"/>
    <n v="0"/>
    <n v="0"/>
    <n v="3841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42536.84"/>
    <n v="0"/>
  </r>
  <r>
    <x v="12"/>
    <m/>
    <m/>
    <s v="Chemical"/>
    <s v="Steven Chiu"/>
    <m/>
    <x v="2"/>
    <x v="394"/>
    <m/>
    <s v="F21P1 MIC Chemical Support Team July~Sep 24"/>
    <n v="1016002.05"/>
    <m/>
    <d v="2024-08-28T00:00:00"/>
    <m/>
    <s v="Pay in month end - 1 month after acceptance month of the date"/>
    <n v="0"/>
    <n v="0"/>
    <n v="0"/>
    <n v="0"/>
    <n v="1016002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</r>
  <r>
    <x v="1"/>
    <m/>
    <m/>
    <s v="UPW"/>
    <s v="Emon Roy alread contract out"/>
    <m/>
    <x v="120"/>
    <x v="395"/>
    <m/>
    <s v="UPW_MIC_EMERGENCY VALVE REPLACE"/>
    <n v="1284"/>
    <m/>
    <d v="2024-08-23T00:00:00"/>
    <m/>
    <s v="Pay on 28 next month: 90% on prog, 10 acpt of the date"/>
    <n v="0"/>
    <n v="0"/>
    <n v="0"/>
    <n v="0"/>
    <n v="1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</r>
  <r>
    <x v="1"/>
    <s v="新工"/>
    <m/>
    <s v="WWT"/>
    <s v="Jim Chiang"/>
    <m/>
    <x v="121"/>
    <x v="396"/>
    <m/>
    <s v="Emergency work"/>
    <n v="8972.68"/>
    <m/>
    <d v="2024-08-30T00:00:00"/>
    <m/>
    <s v="Pay on 28 next month: 90% on prog, 10 acpt of the date"/>
    <n v="0"/>
    <n v="0"/>
    <n v="0"/>
    <n v="0"/>
    <n v="8972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</r>
  <r>
    <x v="1"/>
    <s v="新工"/>
    <m/>
    <s v="Chemical"/>
    <s v="Steven Chiu"/>
    <m/>
    <x v="38"/>
    <x v="397"/>
    <m/>
    <s v="F21P1 CDS/WCCS Expansion V1.6"/>
    <n v="7189476.5199999996"/>
    <m/>
    <d v="2024-08-29T00:00:00"/>
    <m/>
    <s v="Pay in month end - 1 month after acceptance month of the date"/>
    <n v="0"/>
    <n v="0"/>
    <n v="0"/>
    <n v="0"/>
    <n v="7189476.51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</r>
  <r>
    <x v="1"/>
    <s v="新工"/>
    <m/>
    <s v="Chemical"/>
    <s v="Steven Chiu"/>
    <m/>
    <x v="38"/>
    <x v="398"/>
    <m/>
    <s v="F21P1 VMB &amp; Piping Expansion V1.6"/>
    <n v="4536009.3"/>
    <m/>
    <d v="2024-08-29T00:00:00"/>
    <m/>
    <s v="Pay in month end - 1 month after acceptance month of the date"/>
    <n v="0"/>
    <n v="0"/>
    <n v="0"/>
    <n v="0"/>
    <n v="453600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</r>
  <r>
    <x v="4"/>
    <m/>
    <m/>
    <s v="AMHS"/>
    <s v="David Nystrom"/>
    <m/>
    <x v="64"/>
    <x v="399"/>
    <m/>
    <s v="CAP_E_F21 P1B L10 Scaffolding for Tunnel"/>
    <n v="9120"/>
    <m/>
    <d v="2024-09-04T00:00:00"/>
    <m/>
    <s v="Pay in month end - 1 month after acceptance month of the date"/>
    <n v="0"/>
    <n v="0"/>
    <n v="0"/>
    <n v="0"/>
    <n v="9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</r>
  <r>
    <x v="4"/>
    <m/>
    <m/>
    <s v="AMHS"/>
    <s v="David Nystrom"/>
    <m/>
    <x v="122"/>
    <x v="400"/>
    <m/>
    <s v="RLD_(522/T0)_F21 ZIP Cable Removal"/>
    <n v="31680"/>
    <m/>
    <d v="2024-09-04T00:00:00"/>
    <m/>
    <s v="Pay in month end - 1 month after acceptance month of the date"/>
    <n v="0"/>
    <n v="0"/>
    <n v="0"/>
    <n v="0"/>
    <n v="3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</r>
  <r>
    <x v="3"/>
    <m/>
    <m/>
    <s v="HK"/>
    <s v="John Gauci"/>
    <m/>
    <x v="123"/>
    <x v="401"/>
    <m/>
    <s v="Labor_IR machine repair"/>
    <n v="3922"/>
    <m/>
    <d v="2024-09-04T00:00:00"/>
    <m/>
    <s v="Pay in month end - 1 month after acceptance month of the date"/>
    <n v="0"/>
    <n v="0"/>
    <n v="0"/>
    <n v="0"/>
    <n v="3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</r>
  <r>
    <x v="1"/>
    <s v="新工"/>
    <m/>
    <s v="UPW"/>
    <s v="Emon Roy"/>
    <s v="Emon Roy"/>
    <x v="3"/>
    <x v="402"/>
    <m/>
    <s v="F21P1 UPW Submain Expansion V1.6 "/>
    <n v="1686849.69"/>
    <m/>
    <d v="2024-08-30T00:00:00"/>
    <m/>
    <s v="Pay on 28 next month: 90% on prog, 10 acpt of the date"/>
    <n v="0"/>
    <n v="0"/>
    <n v="0"/>
    <n v="0"/>
    <n v="1686849.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</r>
  <r>
    <x v="3"/>
    <s v="HK"/>
    <m/>
    <s v="HK"/>
    <s v="John Gauci"/>
    <m/>
    <x v="124"/>
    <x v="403"/>
    <m/>
    <s v="F21P1-0404_H_MIC Equipment Rental "/>
    <n v="9705841.4299999997"/>
    <m/>
    <d v="2024-09-04T00:00:00"/>
    <m/>
    <s v="Pay in month end - 1 month after acceptance month of the date"/>
    <n v="0"/>
    <n v="0"/>
    <n v="0"/>
    <n v="0"/>
    <n v="9705841.42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</r>
  <r>
    <x v="1"/>
    <m/>
    <m/>
    <s v="Low Voltage"/>
    <s v="Paul Hsu"/>
    <m/>
    <x v="125"/>
    <x v="404"/>
    <s v="USC24C020"/>
    <s v="F21P1-0423_H_CCTV_P1B"/>
    <n v="51831.9"/>
    <m/>
    <d v="2024-09-07T00:00:00"/>
    <m/>
    <s v="Pay on 28 next month: 90% on prog, 10 acpt of the date"/>
    <n v="0"/>
    <n v="0"/>
    <n v="0"/>
    <n v="0"/>
    <n v="5183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</r>
  <r>
    <x v="1"/>
    <m/>
    <m/>
    <s v="WWT"/>
    <s v="Jim Chiang"/>
    <m/>
    <x v="126"/>
    <x v="405"/>
    <m/>
    <s v="CAP_F_ Sand blasting drain filter enhanc"/>
    <n v="31565.200000000001"/>
    <m/>
    <d v="2024-09-07T00:00:00"/>
    <m/>
    <s v="Pay on 28 next month: 90% on prog, 10 acpt of the date"/>
    <n v="0"/>
    <n v="0"/>
    <n v="0"/>
    <n v="0"/>
    <n v="31565.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</r>
  <r>
    <x v="1"/>
    <m/>
    <m/>
    <s v="WWT"/>
    <s v="Paul Hsu"/>
    <m/>
    <x v="2"/>
    <x v="406"/>
    <s v="USC24C020"/>
    <s v="CCTV and ACS for HPM(A&amp;B) &amp; pump room"/>
    <n v="68953.83"/>
    <m/>
    <d v="2024-09-07T00:00:00"/>
    <m/>
    <s v="Pay in month end - 1 month after acceptance month of the date"/>
    <n v="0"/>
    <n v="0"/>
    <n v="0"/>
    <n v="0"/>
    <n v="68953.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</r>
  <r>
    <x v="1"/>
    <m/>
    <m/>
    <s v="Low Voltage"/>
    <s v="Paul Hsu"/>
    <m/>
    <x v="89"/>
    <x v="407"/>
    <m/>
    <s v="MISC_F21_P1A_CCTV_Relocation"/>
    <n v="156372"/>
    <m/>
    <d v="2024-09-07T00:00:00"/>
    <m/>
    <s v="Pay on 28 next month: 90% on prog, 10 acpt of the date"/>
    <n v="0"/>
    <n v="0"/>
    <n v="0"/>
    <n v="0"/>
    <n v="156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</r>
  <r>
    <x v="1"/>
    <m/>
    <m/>
    <s v="WWT"/>
    <s v="Andy Chen"/>
    <m/>
    <x v="127"/>
    <x v="408"/>
    <m/>
    <s v="F21P1 WWT AWN System 2nd Source Enzyme "/>
    <n v="462873.51"/>
    <m/>
    <d v="2024-09-07T00:00:00"/>
    <m/>
    <s v="Pay on 28 next month: 90% on prog, 10 acpt of the date"/>
    <n v="0"/>
    <n v="0"/>
    <n v="0"/>
    <n v="0"/>
    <n v="462873.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</r>
  <r>
    <x v="3"/>
    <m/>
    <m/>
    <s v="Warehouse"/>
    <s v="Ian Wong"/>
    <m/>
    <x v="128"/>
    <x v="409"/>
    <s v="USC24C017"/>
    <s v="F21P1-0423_H_Glendale workshop HVAC"/>
    <n v="38854.199999999997"/>
    <m/>
    <d v="2024-09-10T00:00:00"/>
    <m/>
    <s v="Pay in month end - 1 month after acceptance month of the date"/>
    <n v="0"/>
    <n v="0"/>
    <n v="0"/>
    <n v="0"/>
    <n v="38854.1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</r>
  <r>
    <x v="4"/>
    <m/>
    <m/>
    <s v="AMHS"/>
    <s v="David Nystrom"/>
    <s v="David Short"/>
    <x v="64"/>
    <x v="410"/>
    <s v="USC22C025"/>
    <s v="CAP_E_F21 P1 Sorter/BWBS AC Box Clash Rework"/>
    <n v="61162.61"/>
    <m/>
    <d v="2024-09-12T00:00:00"/>
    <m/>
    <s v="Pay in month end - 1 month after acceptance month of the date"/>
    <n v="0"/>
    <n v="0"/>
    <n v="0"/>
    <n v="0"/>
    <n v="61162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</r>
  <r>
    <x v="3"/>
    <m/>
    <m/>
    <s v="HK"/>
    <s v="John Gauci"/>
    <m/>
    <x v="105"/>
    <x v="411"/>
    <s v="USC24C015"/>
    <s v="F21P1-0423_H_E2_Labor_2024Q4"/>
    <n v="36850416.75"/>
    <m/>
    <d v="2024-09-13T00:00:00"/>
    <m/>
    <s v="Pay in month end - 1 month after acceptance month of the date"/>
    <n v="0"/>
    <n v="0"/>
    <n v="0"/>
    <n v="0"/>
    <n v="36850416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2270405"/>
    <n v="0"/>
  </r>
  <r>
    <x v="3"/>
    <m/>
    <m/>
    <s v="Design"/>
    <s v="Kate Wu"/>
    <m/>
    <x v="129"/>
    <x v="412"/>
    <m/>
    <s v="F21P1-0423_H_3D/2D Model_Oct.2024 "/>
    <n v="133166"/>
    <m/>
    <d v="2024-09-13T00:00:00"/>
    <m/>
    <s v="Pay in month end - 1 month after acceptance month of the date"/>
    <n v="0"/>
    <n v="0"/>
    <n v="0"/>
    <n v="0"/>
    <n v="13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</r>
  <r>
    <x v="3"/>
    <m/>
    <m/>
    <s v="Foundation"/>
    <s v="Hank Su"/>
    <m/>
    <x v="130"/>
    <x v="413"/>
    <m/>
    <s v="CONSTR_(522/U0)KDSTSH foundation"/>
    <n v="22199"/>
    <m/>
    <d v="2024-09-17T00:00:00"/>
    <m/>
    <s v="Pay in month end - 1 month after acceptance month of the date"/>
    <n v="0"/>
    <n v="0"/>
    <n v="0"/>
    <n v="0"/>
    <n v="22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</r>
  <r>
    <x v="3"/>
    <m/>
    <m/>
    <s v="HK"/>
    <s v="John Gauci"/>
    <m/>
    <x v="124"/>
    <x v="414"/>
    <s v="USC24C015"/>
    <s v="F21P1-0423_H_E2_Management_2024Q4"/>
    <n v="2484994.0499999998"/>
    <m/>
    <d v="2024-09-18T00:00:00"/>
    <m/>
    <s v="Pay in month end - 1 month after acceptance month of the date"/>
    <n v="0"/>
    <n v="0"/>
    <n v="0"/>
    <n v="0"/>
    <n v="2484994.04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</r>
  <r>
    <x v="4"/>
    <s v="Non-TSMC"/>
    <m/>
    <s v="AMHS"/>
    <s v="David Nystrom"/>
    <m/>
    <x v="114"/>
    <x v="415"/>
    <m/>
    <s v="Muratec AMHS E2 Support_Sinfonia_2nd batch"/>
    <n v="1525609.46"/>
    <m/>
    <d v="2024-09-19T00:00:00"/>
    <m/>
    <s v="T/T 30"/>
    <n v="0"/>
    <n v="0"/>
    <n v="0"/>
    <n v="0"/>
    <n v="1525609.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596445.66"/>
    <n v="33341.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10AEAA-85F2-46C3-A70F-29D39A3EDCC6}" name="PivotTable1" cacheId="33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7" firstHeaderRow="0" firstDataRow="1" firstDataCol="1" rowPageCount="1" colPageCount="1"/>
  <pivotFields count="98">
    <pivotField axis="axisRow" showAll="0">
      <items count="19">
        <item x="4"/>
        <item x="1"/>
        <item x="7"/>
        <item x="2"/>
        <item x="5"/>
        <item x="3"/>
        <item x="9"/>
        <item x="8"/>
        <item m="1" x="14"/>
        <item x="10"/>
        <item x="0"/>
        <item x="6"/>
        <item m="1" x="15"/>
        <item m="1" x="17"/>
        <item m="1" x="16"/>
        <item m="1" x="13"/>
        <item x="11"/>
        <item x="12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59">
        <item x="1"/>
        <item m="1" x="152"/>
        <item x="100"/>
        <item x="98"/>
        <item x="97"/>
        <item x="115"/>
        <item x="99"/>
        <item x="7"/>
        <item m="1" x="145"/>
        <item x="113"/>
        <item x="112"/>
        <item x="96"/>
        <item x="2"/>
        <item m="1" x="135"/>
        <item x="33"/>
        <item x="63"/>
        <item m="1" x="153"/>
        <item x="55"/>
        <item x="38"/>
        <item m="1" x="141"/>
        <item x="104"/>
        <item x="64"/>
        <item x="8"/>
        <item x="52"/>
        <item x="27"/>
        <item x="34"/>
        <item x="39"/>
        <item x="35"/>
        <item m="1" x="137"/>
        <item m="1" x="140"/>
        <item x="103"/>
        <item x="51"/>
        <item m="1" x="132"/>
        <item m="1" x="143"/>
        <item m="1" x="149"/>
        <item x="24"/>
        <item x="59"/>
        <item x="62"/>
        <item x="75"/>
        <item x="13"/>
        <item x="68"/>
        <item x="83"/>
        <item x="76"/>
        <item x="65"/>
        <item x="80"/>
        <item x="10"/>
        <item x="9"/>
        <item x="36"/>
        <item x="61"/>
        <item x="5"/>
        <item m="1" x="157"/>
        <item x="81"/>
        <item x="74"/>
        <item x="82"/>
        <item x="19"/>
        <item x="48"/>
        <item x="14"/>
        <item x="45"/>
        <item m="1" x="139"/>
        <item x="12"/>
        <item x="102"/>
        <item x="32"/>
        <item x="3"/>
        <item x="4"/>
        <item x="57"/>
        <item x="44"/>
        <item x="73"/>
        <item x="22"/>
        <item x="54"/>
        <item x="40"/>
        <item x="60"/>
        <item x="71"/>
        <item x="46"/>
        <item x="42"/>
        <item x="66"/>
        <item m="1" x="138"/>
        <item x="21"/>
        <item x="17"/>
        <item x="18"/>
        <item m="1" x="156"/>
        <item x="116"/>
        <item x="106"/>
        <item x="117"/>
        <item x="107"/>
        <item x="0"/>
        <item m="1" x="148"/>
        <item m="1" x="131"/>
        <item x="16"/>
        <item x="20"/>
        <item x="25"/>
        <item x="37"/>
        <item x="26"/>
        <item x="28"/>
        <item m="1" x="134"/>
        <item x="31"/>
        <item m="1" x="136"/>
        <item m="1" x="150"/>
        <item x="47"/>
        <item x="49"/>
        <item x="50"/>
        <item x="53"/>
        <item x="56"/>
        <item x="58"/>
        <item x="67"/>
        <item x="69"/>
        <item x="70"/>
        <item m="1" x="142"/>
        <item x="77"/>
        <item m="1" x="154"/>
        <item x="78"/>
        <item x="79"/>
        <item x="84"/>
        <item x="95"/>
        <item m="1" x="144"/>
        <item m="1" x="155"/>
        <item x="111"/>
        <item x="85"/>
        <item x="11"/>
        <item x="105"/>
        <item x="30"/>
        <item x="86"/>
        <item x="87"/>
        <item x="109"/>
        <item x="110"/>
        <item x="88"/>
        <item x="15"/>
        <item x="23"/>
        <item m="1" x="133"/>
        <item x="29"/>
        <item x="72"/>
        <item x="89"/>
        <item x="90"/>
        <item x="91"/>
        <item x="114"/>
        <item x="101"/>
        <item x="108"/>
        <item m="1" x="147"/>
        <item x="92"/>
        <item x="93"/>
        <item x="6"/>
        <item m="1" x="151"/>
        <item x="94"/>
        <item m="1" x="146"/>
        <item x="118"/>
        <item x="119"/>
        <item x="120"/>
        <item x="121"/>
        <item x="122"/>
        <item x="123"/>
        <item x="124"/>
        <item x="41"/>
        <item x="43"/>
        <item x="125"/>
        <item x="126"/>
        <item x="127"/>
        <item x="128"/>
        <item x="129"/>
        <item x="13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178" showAll="0"/>
    <pivotField numFmtId="178" showAll="0"/>
    <pivotField dataField="1" numFmtId="178" showAll="0"/>
    <pivotField numFmtId="10" showAll="0"/>
    <pivotField numFmtId="178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81" showAll="0"/>
    <pivotField numFmtId="181" showAll="0"/>
    <pivotField showAll="0"/>
    <pivotField showAll="0"/>
    <pivotField showAll="0"/>
    <pivotField showAll="0"/>
    <pivotField numFmtId="178" showAll="0"/>
    <pivotField numFmtId="178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pageFields count="1">
    <pageField fld="6" hier="-1"/>
  </pageFields>
  <dataFields count="2">
    <dataField name="Sum of PO Amount" fld="10" baseField="0" baseItem="0"/>
    <dataField name="Sum of Total AR (Received)" fld="17" baseField="0" baseItem="0"/>
  </dataFields>
  <formats count="2">
    <format dxfId="557">
      <pivotArea outline="0" collapsedLevelsAreSubtotals="1" fieldPosition="0"/>
    </format>
    <format dxfId="55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BB0974-6653-40E7-B33E-889F33A62A99}" name="PivotTable3" cacheId="33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Y1:AA25" firstHeaderRow="0" firstDataRow="1" firstDataCol="1"/>
  <pivotFields count="73">
    <pivotField showAll="0"/>
    <pivotField axis="axisRow"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78" showAll="0"/>
    <pivotField dataField="1" numFmtId="178" showAll="0"/>
    <pivotField showAll="0"/>
    <pivotField showAll="0"/>
    <pivotField showAll="0"/>
    <pivotField showAll="0"/>
    <pivotField dataField="1" numFmtId="178" showAll="0"/>
    <pivotField showAll="0"/>
    <pivotField numFmtId="178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O Amount" fld="18" baseField="0" baseItem="0"/>
    <dataField name="Sum of Total AR (Received)" fld="23" baseField="0" baseItem="0"/>
  </dataFields>
  <formats count="6">
    <format dxfId="551">
      <pivotArea type="all" dataOnly="0" outline="0" fieldPosition="0"/>
    </format>
    <format dxfId="552">
      <pivotArea outline="0" collapsedLevelsAreSubtotals="1" fieldPosition="0"/>
    </format>
    <format dxfId="553">
      <pivotArea field="1" type="button" dataOnly="0" labelOnly="1" outline="0" axis="axisRow" fieldPosition="0"/>
    </format>
    <format dxfId="554">
      <pivotArea dataOnly="0" labelOnly="1" fieldPosition="0">
        <references count="1">
          <reference field="1" count="0"/>
        </references>
      </pivotArea>
    </format>
    <format dxfId="555">
      <pivotArea dataOnly="0" labelOnly="1" grandRow="1" outline="0" fieldPosition="0"/>
    </format>
    <format dxfId="55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E804A9-0D57-46EE-8DB2-9D4502AE70FA}" name="PivotTable2" cacheId="33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1:N15" firstHeaderRow="0" firstDataRow="1" firstDataCol="1"/>
  <pivotFields count="98">
    <pivotField axis="axisRow" showAll="0">
      <items count="19">
        <item m="1" x="17"/>
        <item x="4"/>
        <item x="1"/>
        <item x="7"/>
        <item x="2"/>
        <item x="5"/>
        <item m="1" x="16"/>
        <item x="3"/>
        <item x="11"/>
        <item x="9"/>
        <item x="8"/>
        <item m="1" x="14"/>
        <item x="10"/>
        <item x="12"/>
        <item x="0"/>
        <item x="6"/>
        <item m="1" x="13"/>
        <item m="1"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numFmtId="178" showAll="0"/>
    <pivotField numFmtId="178" showAll="0"/>
    <pivotField numFmtId="178" showAll="0"/>
    <pivotField numFmtId="10" showAll="0"/>
    <pivotField numFmtId="178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81" showAll="0"/>
    <pivotField showAll="0"/>
    <pivotField numFmtId="181" showAll="0"/>
    <pivotField showAll="0"/>
    <pivotField numFmtId="181" showAll="0"/>
    <pivotField showAll="0"/>
    <pivotField showAll="0"/>
    <pivotField numFmtId="178" showAll="0"/>
    <pivotField numFmtId="178" showAll="0"/>
  </pivotFields>
  <rowFields count="1">
    <field x="0"/>
  </rowFields>
  <rowItems count="14"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O Amount" fld="10" baseField="0" baseItem="5" numFmtId="187"/>
    <dataField name="Sum of Total AR (Sent)" fld="15" baseField="0" baseItem="0" numFmtId="189"/>
  </dataFields>
  <formats count="7">
    <format dxfId="544">
      <pivotArea type="all" dataOnly="0" outline="0" fieldPosition="0"/>
    </format>
    <format dxfId="545">
      <pivotArea outline="0" collapsedLevelsAreSubtotals="1" fieldPosition="0"/>
    </format>
    <format dxfId="546">
      <pivotArea field="0" type="button" dataOnly="0" labelOnly="1" outline="0" axis="axisRow" fieldPosition="0"/>
    </format>
    <format dxfId="547">
      <pivotArea dataOnly="0" labelOnly="1" fieldPosition="0">
        <references count="1">
          <reference field="0" count="0"/>
        </references>
      </pivotArea>
    </format>
    <format dxfId="548">
      <pivotArea dataOnly="0" labelOnly="1" grandRow="1" outline="0" fieldPosition="0"/>
    </format>
    <format dxfId="54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5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584DE7-1952-440B-B93D-F4EF36ECA7DE}" name="PivotTable1" cacheId="33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Regular PO">
  <location ref="A3:B11" firstHeaderRow="1" firstDataRow="1" firstDataCol="1"/>
  <pivotFields count="98">
    <pivotField axis="axisRow" showAll="0" measureFilter="1">
      <items count="19">
        <item m="1" x="17"/>
        <item sd="0" x="4"/>
        <item sd="0" x="1"/>
        <item sd="0" x="7"/>
        <item sd="0" x="2"/>
        <item sd="0" x="5"/>
        <item m="1" x="16"/>
        <item sd="0" x="3"/>
        <item sd="0" x="11"/>
        <item sd="0" x="9"/>
        <item sd="0" x="8"/>
        <item sd="0" m="1" x="14"/>
        <item sd="0" x="10"/>
        <item sd="0" x="12"/>
        <item sd="0" x="0"/>
        <item sd="0" x="6"/>
        <item sd="0" m="1" x="13"/>
        <item sd="0" m="1" x="15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6">
        <item x="1"/>
        <item m="1" x="416"/>
        <item m="1" x="424"/>
        <item m="1" x="41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m="1" x="418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m="1" x="419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m="1" x="420"/>
        <item x="105"/>
        <item m="1" x="421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m="1" x="422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m="1" x="423"/>
        <item x="226"/>
        <item x="227"/>
        <item x="228"/>
        <item x="229"/>
        <item x="230"/>
        <item x="231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300"/>
        <item x="301"/>
        <item x="302"/>
        <item x="303"/>
        <item x="305"/>
        <item x="306"/>
        <item x="307"/>
        <item x="308"/>
        <item x="311"/>
        <item x="312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4"/>
        <item x="375"/>
        <item x="376"/>
        <item x="377"/>
        <item x="378"/>
        <item x="379"/>
        <item x="380"/>
        <item x="382"/>
        <item x="383"/>
        <item x="384"/>
        <item x="385"/>
        <item x="0"/>
        <item x="209"/>
        <item x="232"/>
        <item x="287"/>
        <item x="288"/>
        <item x="289"/>
        <item x="290"/>
        <item x="291"/>
        <item x="292"/>
        <item x="293"/>
        <item x="304"/>
        <item x="309"/>
        <item x="310"/>
        <item x="373"/>
        <item x="2"/>
        <item x="3"/>
        <item x="294"/>
        <item x="295"/>
        <item x="296"/>
        <item x="297"/>
        <item x="298"/>
        <item x="299"/>
        <item x="313"/>
        <item x="314"/>
        <item x="381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78" showAll="0"/>
    <pivotField numFmtId="178" showAll="0"/>
    <pivotField numFmtId="178" showAll="0"/>
    <pivotField numFmtId="10" showAll="0"/>
    <pivotField numFmtId="178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81" showAll="0"/>
    <pivotField showAll="0"/>
    <pivotField numFmtId="181" showAll="0"/>
    <pivotField dataField="1" showAll="0"/>
    <pivotField numFmtId="181" showAll="0"/>
    <pivotField showAll="0"/>
    <pivotField showAll="0"/>
    <pivotField numFmtId="178" showAll="0"/>
    <pivotField numFmtId="178" showAll="0"/>
  </pivotFields>
  <rowFields count="2">
    <field x="0"/>
    <field x="7"/>
  </rowFields>
  <rowItems count="8">
    <i>
      <x v="1"/>
    </i>
    <i>
      <x v="2"/>
    </i>
    <i>
      <x v="3"/>
    </i>
    <i>
      <x v="4"/>
    </i>
    <i>
      <x v="5"/>
    </i>
    <i>
      <x v="7"/>
    </i>
    <i>
      <x v="14"/>
    </i>
    <i t="grand">
      <x/>
    </i>
  </rowItems>
  <colItems count="1">
    <i/>
  </colItems>
  <dataFields count="1">
    <dataField name="Sum of Jul-24 Draft Plan" fld="92" baseField="0" baseItem="2" numFmtId="187"/>
  </dataFields>
  <formats count="6">
    <format dxfId="538">
      <pivotArea type="all" dataOnly="0" outline="0" fieldPosition="0"/>
    </format>
    <format dxfId="539">
      <pivotArea outline="0" collapsedLevelsAreSubtotals="1" fieldPosition="0"/>
    </format>
    <format dxfId="540">
      <pivotArea field="0" type="button" dataOnly="0" labelOnly="1" outline="0" axis="axisRow" fieldPosition="0"/>
    </format>
    <format dxfId="541">
      <pivotArea dataOnly="0" labelOnly="1" fieldPosition="0">
        <references count="1">
          <reference field="0" count="7">
            <x v="1"/>
            <x v="2"/>
            <x v="3"/>
            <x v="4"/>
            <x v="5"/>
            <x v="7"/>
            <x v="14"/>
          </reference>
        </references>
      </pivotArea>
    </format>
    <format dxfId="542">
      <pivotArea dataOnly="0" labelOnly="1" grandRow="1" outline="0" fieldPosition="0"/>
    </format>
    <format dxfId="543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0" type="valueGreaterThan" evalOrder="-1" id="1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5747B999-ED28-46AD-AB38-5839DF600D56}" autoFormatId="16" applyNumberFormats="0" applyBorderFormats="0" applyFontFormats="0" applyPatternFormats="0" applyAlignmentFormats="0" applyWidthHeightFormats="0">
  <queryTableRefresh nextId="18">
    <queryTableFields count="17">
      <queryTableField id="1" name="Sponsor" tableColumnId="1"/>
      <queryTableField id="2" name="PO No." tableColumnId="2"/>
      <queryTableField id="3" name="PO Name" tableColumnId="3"/>
      <queryTableField id="4" name="AR Amount" tableColumnId="4"/>
      <queryTableField id="5" name="Tax" tableColumnId="5"/>
      <queryTableField id="6" name="Invoice No." tableColumnId="6"/>
      <queryTableField id="7" name="Invoice Date" tableColumnId="7"/>
      <queryTableField id="8" name="Sent out Date" tableColumnId="8"/>
      <queryTableField id="9" name="Year" tableColumnId="9"/>
      <queryTableField id="10" name="Month" tableColumnId="10"/>
      <queryTableField id="11" name="YearMonth" tableColumnId="11"/>
      <queryTableField id="12" name="Status" tableColumnId="12"/>
      <queryTableField id="13" name="Remark" tableColumnId="13"/>
      <queryTableField id="14" name="Open Day" tableColumnId="14"/>
      <queryTableField id="15" name="Type" tableColumnId="15"/>
      <queryTableField id="16" name="Project Code" tableColumnId="16"/>
      <queryTableField id="17" name="Type 2" tableColumnId="1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88354293-75F8-4E54-A181-6ED43C5494EF}" autoFormatId="16" applyNumberFormats="0" applyBorderFormats="0" applyFontFormats="0" applyPatternFormats="0" applyAlignmentFormats="0" applyWidthHeightFormats="0">
  <queryTableRefresh nextId="46">
    <queryTableFields count="34">
      <queryTableField id="27" name="Column1" tableColumnId="26"/>
      <queryTableField id="1" name="Operator" tableColumnId="1"/>
      <queryTableField id="2" name="Invoice #" tableColumnId="2"/>
      <queryTableField id="3" name="Client" tableColumnId="3"/>
      <queryTableField id="34" name="PO+item #" tableColumnId="4"/>
      <queryTableField id="5" name="PO Name/Invoice Name" tableColumnId="5"/>
      <queryTableField id="6" name="Amount" tableColumnId="6"/>
      <queryTableField id="7" name="Tax" tableColumnId="7"/>
      <queryTableField id="8" name="Total Amount" tableColumnId="8"/>
      <queryTableField id="9" name="Received Amount" tableColumnId="9"/>
      <queryTableField id="10" name="invoice date" tableColumnId="10"/>
      <queryTableField id="11" name="Send out date" tableColumnId="11"/>
      <queryTableField id="12" name="Year" tableColumnId="12"/>
      <queryTableField id="13" name="Month" tableColumnId="13"/>
      <queryTableField id="14" name="YearMonth" tableColumnId="14"/>
      <queryTableField id="15" name="Status" tableColumnId="15"/>
      <queryTableField id="28" name="Payment received date" tableColumnId="27"/>
      <queryTableField id="16" name="Comment" tableColumnId="16"/>
      <queryTableField id="17" name="Tool ID" tableColumnId="17"/>
      <queryTableField id="18" name="Remark" tableColumnId="18"/>
      <queryTableField id="19" name="PO Amount" tableColumnId="19"/>
      <queryTableField id="20" name="Applied %" tableColumnId="20"/>
      <queryTableField id="21" name="Category" tableColumnId="21"/>
      <queryTableField id="22" name="function area" tableColumnId="22"/>
      <queryTableField id="44" name="TI Vendor" tableColumnId="34"/>
      <queryTableField id="23" name="Open Days" tableColumnId="23"/>
      <queryTableField id="24" name="Submit Open Days" tableColumnId="24"/>
      <queryTableField id="35" name="PO" tableColumnId="25"/>
      <queryTableField id="36" name="2024/8/1" tableColumnId="28"/>
      <queryTableField id="37" name="欄22" tableColumnId="31"/>
      <queryTableField id="32" name="欄3" tableColumnId="29"/>
      <queryTableField id="33" name="Payment receive Month" tableColumnId="30"/>
      <queryTableField id="42" name="欄1" tableColumnId="32"/>
      <queryTableField id="43" name="欄2" tableColumnId="33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0</v>
    <v>3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89C45F4-2FDB-4B0B-A205-2D174A9111AB}" name="BB___HK___AMHS__Others" displayName="BB___HK___AMHS__Others" ref="A1:Q1401" tableType="queryTable" totalsRowShown="0">
  <autoFilter ref="A1:Q1401" xr:uid="{E89C45F4-2FDB-4B0B-A205-2D174A9111AB}">
    <filterColumn colId="10">
      <filters>
        <filter val="2024-09"/>
      </filters>
    </filterColumn>
  </autoFilter>
  <tableColumns count="17">
    <tableColumn id="1" xr3:uid="{131C7AAB-7578-4F8A-93BA-7B6795004EBE}" uniqueName="1" name="Sponsor" queryTableFieldId="1" dataDxfId="537"/>
    <tableColumn id="2" xr3:uid="{8B876329-B28F-4ADF-A7DA-9DB711BD051C}" uniqueName="2" name="PO No." queryTableFieldId="2" dataDxfId="536"/>
    <tableColumn id="3" xr3:uid="{91A45E87-B01C-46CD-B053-835060AEE275}" uniqueName="3" name="PO Name" queryTableFieldId="3" dataDxfId="535"/>
    <tableColumn id="4" xr3:uid="{A74DF9D8-AA62-4679-A0DF-82CB71A0E1B6}" uniqueName="4" name="AR Amount" queryTableFieldId="4" dataDxfId="534"/>
    <tableColumn id="5" xr3:uid="{B3B724C5-F1C3-4718-B10D-77216B71B26E}" uniqueName="5" name="Tax" queryTableFieldId="5"/>
    <tableColumn id="6" xr3:uid="{AFC877DB-A138-4382-A5DC-8AEDDFBE6A1B}" uniqueName="6" name="Invoice No." queryTableFieldId="6" dataDxfId="533"/>
    <tableColumn id="7" xr3:uid="{AF0258BC-0ACD-4123-9580-6819953BF558}" uniqueName="7" name="Invoice Date" queryTableFieldId="7" dataDxfId="532"/>
    <tableColumn id="8" xr3:uid="{D4BEA7B4-0820-4BE0-8DDB-AEFB31FFC17F}" uniqueName="8" name="Sent out Date" queryTableFieldId="8" dataDxfId="531"/>
    <tableColumn id="9" xr3:uid="{311EF46D-3A75-4035-A301-357B8A1D2AF5}" uniqueName="9" name="Year" queryTableFieldId="9"/>
    <tableColumn id="10" xr3:uid="{440485C2-90C4-4A6F-8A9B-1AF32F88373D}" uniqueName="10" name="Month" queryTableFieldId="10"/>
    <tableColumn id="11" xr3:uid="{DABF565D-FBBE-4AEB-B301-95269263CADF}" uniqueName="11" name="YearMonth" queryTableFieldId="11" dataDxfId="530"/>
    <tableColumn id="12" xr3:uid="{5D1038A3-F694-48FE-84C9-8850973FF008}" uniqueName="12" name="Status" queryTableFieldId="12" dataDxfId="529"/>
    <tableColumn id="13" xr3:uid="{A354BD4E-CA11-485D-81D8-42A8422F9ECF}" uniqueName="13" name="Remark" queryTableFieldId="13"/>
    <tableColumn id="14" xr3:uid="{D8BEC7D5-EA60-4D93-8D6E-17FF5A350832}" uniqueName="14" name="Open Day" queryTableFieldId="14" dataDxfId="528"/>
    <tableColumn id="15" xr3:uid="{33FE0335-341A-49B2-AC30-7DF5B56587CA}" uniqueName="15" name="Type" queryTableFieldId="15" dataDxfId="527"/>
    <tableColumn id="16" xr3:uid="{4EE280D3-549F-4A35-9F98-9F858884012E}" uniqueName="16" name="Project Code" queryTableFieldId="16"/>
    <tableColumn id="17" xr3:uid="{151DFEF4-9820-475F-A6D4-9961C2E6A1EC}" uniqueName="17" name="Type 2" queryTableFieldId="1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EED55AB-C640-4F02-AEFA-389F65279AA8}" name="AR_725" displayName="AR_725" ref="A1:CT425" headerRowDxfId="524" dataDxfId="523" totalsRowDxfId="522" headerRowBorderDxfId="520" tableBorderDxfId="521" totalsRowBorderDxfId="519">
  <autoFilter ref="A1:CT425" xr:uid="{DEED55AB-C640-4F02-AEFA-389F65279AA8}">
    <filterColumn colId="96">
      <filters>
        <filter val="$1,011,124.00"/>
        <filter val="$1,109.76"/>
        <filter val="$1,210,325.82"/>
        <filter val="$1,388,477.02"/>
        <filter val="$1,692,577.08"/>
        <filter val="$10,000.00"/>
        <filter val="$112,862.53"/>
        <filter val="$12,270,405.00"/>
        <filter val="$122,491.35"/>
        <filter val="$129,690.00"/>
        <filter val="$140,434.63"/>
        <filter val="$142,536.84"/>
        <filter val="$143,718.43"/>
        <filter val="$145,418.55"/>
        <filter val="$154,305.65"/>
        <filter val="$17,177.55"/>
        <filter val="$18,400.00"/>
        <filter val="$182,373.34"/>
        <filter val="$2,082.22"/>
        <filter val="$2,310,000.00"/>
        <filter val="$2,311.80"/>
        <filter val="$2,576,237.15"/>
        <filter val="$200,320.74"/>
        <filter val="$201,797.73"/>
        <filter val="$203,490.18"/>
        <filter val="$21,440.60"/>
        <filter val="$22,913.63"/>
        <filter val="$25,635.00"/>
        <filter val="$259,372.00"/>
        <filter val="$26,094.92"/>
        <filter val="$290,696.00"/>
        <filter val="$3,300,000.00"/>
        <filter val="$3,465,000.00"/>
        <filter val="$35,608.56"/>
        <filter val="$35,906.39"/>
        <filter val="$365,471.15"/>
        <filter val="$39,794.36"/>
        <filter val="$4,099,039.61"/>
        <filter val="$4,140.00"/>
        <filter val="$4,600.00"/>
        <filter val="$41,669.00"/>
        <filter val="$42,691.00"/>
        <filter val="$471,889.25"/>
        <filter val="$475,953.18"/>
        <filter val="$49,368.00"/>
        <filter val="$5,841.04"/>
        <filter val="$50,000.00"/>
        <filter val="$54,009.00"/>
        <filter val="$543,310.28"/>
        <filter val="$596,445.66"/>
        <filter val="$64,785.00"/>
        <filter val="$645,655.93"/>
        <filter val="$651,978.55"/>
        <filter val="$710,759.00"/>
        <filter val="$75,497.37"/>
        <filter val="$756.64"/>
        <filter val="$783,581.00"/>
        <filter val="$79,032.55"/>
        <filter val="$794,048.59"/>
        <filter val="$89,379.28"/>
        <filter val="$9,312.48"/>
        <filter val="$9,379.46"/>
      </filters>
    </filterColumn>
  </autoFilter>
  <tableColumns count="98">
    <tableColumn id="65" xr3:uid="{D5A6EBC6-6ED7-4277-BA2D-1F305F3EE43D}" name="Type" dataDxfId="517" totalsRowDxfId="518"/>
    <tableColumn id="89" xr3:uid="{B7B41BE9-2C63-4EB4-9B6F-349C70FAC987}" name="TSMC Depart" dataDxfId="515" totalsRowDxfId="516"/>
    <tableColumn id="78" xr3:uid="{1277A6A9-FBF9-47DE-96EF-0AEA9B7DE869}" name="Type 2" dataDxfId="513" totalsRowDxfId="514"/>
    <tableColumn id="98" xr3:uid="{D4F4E813-0641-40E9-BA94-77C2D3C209FD}" name="System" dataDxfId="511" totalsRowDxfId="512"/>
    <tableColumn id="53" xr3:uid="{426E6388-49B3-41E9-B1E7-3B9DBA594631}" name="PM" dataDxfId="509" totalsRowDxfId="510"/>
    <tableColumn id="55" xr3:uid="{04820A80-2F25-405D-8137-BEB8B79207BF}" name="Engineer" dataDxfId="507" totalsRowDxfId="508"/>
    <tableColumn id="54" xr3:uid="{1968AB80-C160-4D95-8AEA-23FD06148C55}" name="Sponsor" dataDxfId="505" totalsRowDxfId="506"/>
    <tableColumn id="1" xr3:uid="{443302B8-8417-4C74-9862-AB9FA9D01447}" name="tsmc PO #" totalsRowLabel="Total" dataDxfId="503" totalsRowDxfId="504"/>
    <tableColumn id="2" xr3:uid="{F4A2CC76-B210-4107-A7CE-B5CE372EC617}" name="Project #" dataDxfId="501" totalsRowDxfId="502"/>
    <tableColumn id="3" xr3:uid="{491E4275-CECF-4AA9-9A1B-C8E4AB25E25D}" name="Project Name" totalsRowFunction="custom" dataDxfId="499" totalsRowDxfId="500">
      <totalsRowFormula>SUBTOTAL(103,J2:J425)</totalsRowFormula>
    </tableColumn>
    <tableColumn id="4" xr3:uid="{1DC6C6EF-EFE1-4D1B-8550-E7F64B008A92}" name="PO Amount" totalsRowFunction="custom" dataDxfId="497" totalsRowDxfId="498">
      <totalsRowFormula>SUBTOTAL(109,K1:K404)</totalsRowFormula>
    </tableColumn>
    <tableColumn id="5" xr3:uid="{BA97B419-04AE-41CD-B821-A9412C1E5F26}" name="Tax" dataDxfId="495" totalsRowDxfId="496"/>
    <tableColumn id="17" xr3:uid="{86E7099A-5D16-4B72-8DF2-DB312852E31F}" name="PO Date" dataDxfId="493" totalsRowDxfId="494"/>
    <tableColumn id="15" xr3:uid="{FFB32ACD-748A-4260-97AE-7E6B8FAD4F01}" name="Tax Code" dataDxfId="491" totalsRowDxfId="492"/>
    <tableColumn id="14" xr3:uid="{DD7D6ECA-C045-4052-89B8-9246B34CD449}" name="Payment Term" dataDxfId="489" totalsRowDxfId="490"/>
    <tableColumn id="44" xr3:uid="{C50E4A2D-6CA0-4619-9437-9040C0BE6DB0}" name="Total AR (Sent)" totalsRowFunction="sum" dataDxfId="487" totalsRowDxfId="488">
      <calculatedColumnFormula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Plan]])</calculatedColumnFormula>
    </tableColumn>
    <tableColumn id="86" xr3:uid="{6CE9F5C2-8D99-46B5-BCA4-0CF8FC393842}" name="Total AR (till Mar" dataDxfId="485" totalsRowDxfId="486">
      <calculatedColumnFormula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calculatedColumnFormula>
    </tableColumn>
    <tableColumn id="81" xr3:uid="{A61B7FC4-B4D7-40EE-8514-556D6D0CC81E}" name="Total AR (Received)" totalsRowFunction="sum" dataDxfId="483" totalsRowDxfId="484">
      <calculatedColumnFormula>IF(ISNUMBER(SEARCH("Mura", AR_725[[#This Row],[Sponsor]])), AR_725[[#This Row],[Total AR (Sent)]], SUMIFS(BB___HK___AMHS__Others[AR Amount], BB___HK___AMHS__Others[PO No.], AR_725[[#This Row],[tsmc PO '#]], BB___HK___AMHS__Others[Status], "Paid"))</calculatedColumnFormula>
    </tableColumn>
    <tableColumn id="11" xr3:uid="{48AB7148-BF1C-4ECA-B1CE-3237A081623E}" name="AR %" dataDxfId="481" totalsRowDxfId="482">
      <calculatedColumnFormula>IF(AR_725[[#This Row],[PO Amount]]=0,1,AR_725[[#This Row],[Total AR (Sent)]]/AR_725[[#This Row],[PO Amount]])</calculatedColumnFormula>
    </tableColumn>
    <tableColumn id="56" xr3:uid="{1B251C1F-73CE-46D6-A94A-13A11B0749B5}" name="Open Balance" dataDxfId="479" totalsRowDxfId="480">
      <calculatedColumnFormula>AR_725[[#This Row],[PO Amount]]-AR_725[[#This Row],[Total AR (Sent)]]</calculatedColumnFormula>
    </tableColumn>
    <tableColumn id="32" xr3:uid="{6660C7EE-C304-4A2C-B2BA-9292D2EC9644}" name="Before Sep Real" totalsRowFunction="custom" dataDxfId="477" totalsRowDxfId="478">
      <totalsRowFormula>SUBTOTAL(109,U2:U425)</totalsRowFormula>
    </tableColumn>
    <tableColumn id="8" xr3:uid="{DF214730-3594-43F3-B915-AB8354DF129F}" name="Before Sep Real Tax" dataDxfId="475" totalsRowDxfId="476"/>
    <tableColumn id="6" xr3:uid="{74B17D76-94C2-4C62-ADD0-C85CFBF62BD1}" name="21-Sep Real" totalsRowFunction="sum" dataDxfId="473" totalsRowDxfId="474"/>
    <tableColumn id="9" xr3:uid="{786D8FEF-335E-4A9E-A75A-FEBC5449AE1D}" name="21-Sep Real Tax" dataDxfId="471" totalsRowDxfId="472"/>
    <tableColumn id="7" xr3:uid="{97E51DE6-3C95-4267-BFBC-A8C7863CBBDE}" name="Oct-21 Real" totalsRowFunction="sum" dataDxfId="469" totalsRowDxfId="470"/>
    <tableColumn id="33" xr3:uid="{4B63DE31-1727-492A-B9F5-19CB8672935C}" name="Oct-22 tax" dataDxfId="467" totalsRowDxfId="468"/>
    <tableColumn id="30" xr3:uid="{B4321928-A527-4761-AFCC-07B1ADE81C7C}" name="Nov-21 Real" totalsRowFunction="sum" dataDxfId="465" totalsRowDxfId="466"/>
    <tableColumn id="34" xr3:uid="{51635CA4-2F6C-400E-9C83-7F549B5B5C34}" name="Nov-21 Tax" dataDxfId="463" totalsRowDxfId="464"/>
    <tableColumn id="35" xr3:uid="{A6B7A2E6-82F3-4109-9D7A-2DF542094DA9}" name="Dec-21 Real" totalsRowFunction="sum" dataDxfId="461" totalsRowDxfId="462"/>
    <tableColumn id="37" xr3:uid="{0009A7B0-1954-48B1-B7CD-4FEFA6AE6CD5}" name="Dec-21 Tax" dataDxfId="459" totalsRowDxfId="460"/>
    <tableColumn id="36" xr3:uid="{D1DA31A3-FF17-4058-98A5-4F3AA9BADD50}" name="Dec-21 Draft invoice (first time draft invoice-- 12/22/2021 submitted) Jan Formal Invoice" totalsRowFunction="sum" dataDxfId="457" totalsRowDxfId="458"/>
    <tableColumn id="10" xr3:uid="{FF8E6F57-0780-47B0-AAC1-B38C1B99E859}" name="Dec-21 Draft invoice Tax" dataDxfId="455" totalsRowDxfId="456"/>
    <tableColumn id="39" xr3:uid="{B53AF784-18DE-46B9-A137-EC30A86EB1F0}" name="Jan-22 Draft invoice Real" totalsRowFunction="sum" dataDxfId="453" totalsRowDxfId="454"/>
    <tableColumn id="40" xr3:uid="{7D9BF1A9-FE69-4B10-B236-CC1693792513}" name="Jan-22 Real Tax" dataDxfId="451" totalsRowDxfId="452"/>
    <tableColumn id="38" xr3:uid="{BDD151D3-061A-4C0D-B04B-995418B87084}" name="Feb-22 Draft" totalsRowFunction="sum" dataDxfId="449" totalsRowDxfId="450"/>
    <tableColumn id="41" xr3:uid="{5EEC401D-5D72-4EB3-8865-648337FCEA52}" name="Feb-22 Draft Tax" dataDxfId="447" totalsRowDxfId="448"/>
    <tableColumn id="42" xr3:uid="{CBD6033E-C6D4-40A8-BEF9-BE66E2C1F589}" name="Mar-22 Draft" totalsRowFunction="sum" dataDxfId="445" totalsRowDxfId="446"/>
    <tableColumn id="43" xr3:uid="{4454CBEE-A00A-4BCB-BAF4-5661CCE866BF}" name="Mar-22 Draft Tax" dataDxfId="443" totalsRowDxfId="444"/>
    <tableColumn id="13" xr3:uid="{3436EE6E-4F29-489A-A0A9-D908E4254ED0}" name="Apr-22 Draft" totalsRowFunction="sum" dataDxfId="441" totalsRowDxfId="442"/>
    <tableColumn id="12" xr3:uid="{53DC9E86-9878-4801-9A80-9B0368CA35A8}" name="April-22 Draft Tax" dataDxfId="439" totalsRowDxfId="440"/>
    <tableColumn id="16" xr3:uid="{CC30B8B8-1F6B-443B-97C2-39C46BCEDBE1}" name="May-22 Draft Plan" totalsRowFunction="sum" dataDxfId="437" totalsRowDxfId="438"/>
    <tableColumn id="46" xr3:uid="{E7B60999-C1BF-498C-ACE3-2C5868DAF3DB}" name="May-22 Draft Tax" dataDxfId="435" totalsRowDxfId="436"/>
    <tableColumn id="18" xr3:uid="{92B0AFB2-F940-40C4-AF74-B0745566EBDD}" name="Jun-22 Draft Plan" totalsRowFunction="sum" dataDxfId="433" totalsRowDxfId="434"/>
    <tableColumn id="47" xr3:uid="{8918AF46-CA2A-4CFA-99C3-1BCF91610E8B}" name="Jun-22 Draft Tax" dataDxfId="431" totalsRowDxfId="432"/>
    <tableColumn id="19" xr3:uid="{0540876E-E41F-4E88-A2FF-B034069CBF49}" name="Jul-22 Draft Plan" totalsRowFunction="custom" dataDxfId="429" totalsRowDxfId="430">
      <totalsRowFormula>SUM(AS375:AT393)</totalsRowFormula>
    </tableColumn>
    <tableColumn id="49" xr3:uid="{AB23869C-DAB8-4891-8540-DB7D6B3E1E44}" name="Jul-22 Draft Tax" dataDxfId="427" totalsRowDxfId="428"/>
    <tableColumn id="20" xr3:uid="{4E65C5BA-1DE1-4F12-A02B-4AE1E3CB08A0}" name="Aug-22 Draft Plan" totalsRowFunction="sum" dataDxfId="425" totalsRowDxfId="426"/>
    <tableColumn id="48" xr3:uid="{00A4C9E8-4F86-4421-BA1E-C685525EED62}" name="Aug-22 Draft Tax" dataDxfId="423" totalsRowDxfId="424"/>
    <tableColumn id="21" xr3:uid="{D7089DC6-D4BA-4B44-9FF2-718EAE1A2F1F}" name="Sep-22 Draft Plan" totalsRowFunction="sum" dataDxfId="421" totalsRowDxfId="422"/>
    <tableColumn id="50" xr3:uid="{E33FD5A9-B717-4031-AFE1-C383DE600027}" name="Sep-22 Draft Tax2" dataDxfId="419" totalsRowDxfId="420"/>
    <tableColumn id="22" xr3:uid="{B92C8305-C179-46A2-8B26-0D879BA8BAE7}" name="Oct-22 Draft Plan" totalsRowFunction="sum" dataDxfId="417" totalsRowDxfId="418"/>
    <tableColumn id="51" xr3:uid="{C9ED9E4E-0F26-4B6A-AC5B-EC8E1620CF65}" name="Oct-22 Draft Tax" dataDxfId="415" totalsRowDxfId="416"/>
    <tableColumn id="23" xr3:uid="{7E6D66A0-5A7A-4597-A1EB-1C28F6D6EEE2}" name="Nov-22 Draft Plan" totalsRowFunction="sum" dataDxfId="413" totalsRowDxfId="414"/>
    <tableColumn id="52" xr3:uid="{733B3FB6-5D37-4996-A948-BBAE97FC661B}" name="Nov-22 Draft Tax" dataDxfId="411" totalsRowDxfId="412"/>
    <tableColumn id="24" xr3:uid="{A8E0D626-1126-443E-9F14-38B3F12A182A}" name="Dec-22 Draft Plan" totalsRowFunction="sum" dataDxfId="409" totalsRowDxfId="410"/>
    <tableColumn id="58" xr3:uid="{22169611-6143-4974-9E3D-4BE513DA935F}" name="Dec-22 Draft Tax2" dataDxfId="407" totalsRowDxfId="408"/>
    <tableColumn id="25" xr3:uid="{2EA454FB-EC8C-4DA0-9D81-76ECCAFBB27A}" name="Jan-23 Draft Plan" totalsRowFunction="sum" dataDxfId="405" totalsRowDxfId="406"/>
    <tableColumn id="57" xr3:uid="{3EA5FE9A-3E40-4549-8106-543B217A34A1}" name="Jan-23 Draft Tax" dataDxfId="403" totalsRowDxfId="404"/>
    <tableColumn id="26" xr3:uid="{6D62B88A-B5B8-44FE-AA81-E7E5121EA475}" name="Feb-23 Draft Plan" totalsRowFunction="sum" dataDxfId="401" totalsRowDxfId="402"/>
    <tableColumn id="59" xr3:uid="{3E7A721E-1D5D-428B-B412-BA0D22389977}" name="Feb-23 Draft Tax" dataDxfId="399" totalsRowDxfId="400"/>
    <tableColumn id="27" xr3:uid="{C637C368-E573-4B51-B016-0E6B295F184F}" name="Mar-23 Draft Plan" totalsRowFunction="sum" dataDxfId="397" totalsRowDxfId="398"/>
    <tableColumn id="60" xr3:uid="{16E450DE-9B6B-4CC9-80E6-3E3D61B51358}" name="Mar-23 Draft Tax" dataDxfId="395" totalsRowDxfId="396"/>
    <tableColumn id="28" xr3:uid="{313BD173-7C85-47E4-B72C-B3B64D9A5ACC}" name="Apr-23 Draft Plan" totalsRowFunction="sum" dataDxfId="393" totalsRowDxfId="394"/>
    <tableColumn id="61" xr3:uid="{253F0E24-0A61-4D88-A4B8-E228033E6A31}" name="Apr-23 Draft Tax" dataDxfId="391" totalsRowDxfId="392"/>
    <tableColumn id="29" xr3:uid="{BF4C8290-97A3-4AA8-8822-617C8DDA32DA}" name="May-23 Draft Plan" totalsRowFunction="sum" dataDxfId="389" totalsRowDxfId="390"/>
    <tableColumn id="62" xr3:uid="{1CB28EA4-B49C-461E-BD3E-94723415C1C2}" name="May-23 Draft Tax" dataDxfId="387" totalsRowDxfId="388"/>
    <tableColumn id="31" xr3:uid="{7CCF7198-B659-4093-94AE-268A44D55DC0}" name="Jun-23 Draft Plan" totalsRowFunction="sum" dataDxfId="385" totalsRowDxfId="386"/>
    <tableColumn id="63" xr3:uid="{76646509-D273-4B01-AD26-5DB19793F366}" name="June-23 Draft Tax" dataDxfId="383" totalsRowDxfId="384"/>
    <tableColumn id="45" xr3:uid="{87F7C36E-8259-4FCE-9989-435989839401}" name="July-23 Draft Plan" totalsRowFunction="sum" dataDxfId="381" totalsRowDxfId="382"/>
    <tableColumn id="64" xr3:uid="{ACE8F0C8-1A58-44F4-A84D-45F914C78608}" name="July-23 Draft Tax" dataDxfId="379" totalsRowDxfId="380"/>
    <tableColumn id="66" xr3:uid="{3B3F61AD-AC85-4DD4-A987-B772F24D03C2}" name="Aug-23 Draft Plan" totalsRowFunction="sum" dataDxfId="377" totalsRowDxfId="378"/>
    <tableColumn id="67" xr3:uid="{DA5CDB7F-9606-4759-9E94-17DF80DCFD60}" name="Aug-23 Draft Tax" dataDxfId="375" totalsRowDxfId="376"/>
    <tableColumn id="68" xr3:uid="{EBD61592-A1F5-4805-A41B-CCDF0CF52145}" name="Sep-23 Draft Plan" totalsRowFunction="sum" dataDxfId="373" totalsRowDxfId="374"/>
    <tableColumn id="69" xr3:uid="{9EF35800-58CD-4211-94D0-DFDA8B1DF68F}" name="Sep-23 Draft Tax" dataDxfId="371" totalsRowDxfId="372"/>
    <tableColumn id="70" xr3:uid="{814A51A1-E643-4610-853D-116C08C9B770}" name="Oct-23 Draft Plan" totalsRowFunction="sum" dataDxfId="369" totalsRowDxfId="370"/>
    <tableColumn id="71" xr3:uid="{B2BB9901-D511-42E6-93C3-BC6A3E47FE0D}" name="Oct-23 Draft Tax" dataDxfId="367" totalsRowDxfId="368"/>
    <tableColumn id="72" xr3:uid="{49C51F12-FD37-4F51-8CE2-12D847FA68D8}" name="Nov-23 Draft Plan" totalsRowFunction="sum" dataDxfId="365" totalsRowDxfId="366"/>
    <tableColumn id="73" xr3:uid="{543BDF1F-2076-467A-8861-36FB5ED9EBD4}" name="Nov-23 Draft Tax" dataDxfId="363" totalsRowDxfId="364"/>
    <tableColumn id="74" xr3:uid="{A7886BE2-2727-4F6C-8F66-52E2492010A7}" name="Dec-23 Draft Plan" totalsRowFunction="custom" dataDxfId="361" totalsRowDxfId="362">
      <totalsRowFormula>SUBTOTAL(109,CA2:CA425)</totalsRowFormula>
    </tableColumn>
    <tableColumn id="75" xr3:uid="{2163BA36-EA4E-4FB6-891D-C2BDB9C36BD3}" name="Dec-23 Draft Tax" dataDxfId="359" totalsRowDxfId="360"/>
    <tableColumn id="76" xr3:uid="{B617405F-AB04-4813-98CF-71312DF4F8D7}" name="Jan-24 Draft Plan" totalsRowFunction="custom" dataDxfId="357" totalsRowDxfId="358">
      <totalsRowFormula>SUBTOTAL(109,CC2:CC425)</totalsRowFormula>
    </tableColumn>
    <tableColumn id="77" xr3:uid="{082E92D8-1327-4552-84C5-DB101A447159}" name="Jan-24 Draft Tax" dataDxfId="355" totalsRowDxfId="356"/>
    <tableColumn id="79" xr3:uid="{2562B84E-F020-4C7A-A6C8-4D62F4FAFEF0}" name="Feb-24 Draft Plan" totalsRowFunction="sum" dataDxfId="353" totalsRowDxfId="354"/>
    <tableColumn id="80" xr3:uid="{4C5929C2-41D0-45DE-9666-9944D76691FE}" name="Feb-24 Draft Tax" dataDxfId="351" totalsRowDxfId="352"/>
    <tableColumn id="82" xr3:uid="{ED5B2819-4C1B-4F74-B3ED-0E19DB4F798B}" name="Mar-24 Draft Plan" totalsRowFunction="custom" dataDxfId="349" totalsRowDxfId="350">
      <totalsRowFormula>SUBTOTAL(109,CG2:CG425)</totalsRowFormula>
    </tableColumn>
    <tableColumn id="83" xr3:uid="{96848246-0748-4150-BC0F-BE7B473E0EE7}" name="Mar-24 Draft Tax" dataDxfId="347" totalsRowDxfId="348"/>
    <tableColumn id="84" xr3:uid="{71324D20-BE8E-4F44-BB4F-0004FD6F27A6}" name="Apr-24 Draft Plan" totalsRowFunction="sum" dataDxfId="345" totalsRowDxfId="346"/>
    <tableColumn id="85" xr3:uid="{E4085283-B6CE-4887-9F84-89B32B2BEA0A}" name="Apr-24 Draft Tax" dataDxfId="343" totalsRowDxfId="344"/>
    <tableColumn id="87" xr3:uid="{EC745C47-CB33-4629-85E7-D078F7682D0F}" name="May-24 Draft Plan" totalsRowFunction="sum" dataDxfId="341" totalsRowDxfId="342"/>
    <tableColumn id="88" xr3:uid="{4957E3F1-5463-4881-BA7F-78EC5DEBBD65}" name="May-24 Draft Tax" totalsRowFunction="sum" dataDxfId="339" totalsRowDxfId="340"/>
    <tableColumn id="90" xr3:uid="{2D10D98C-AFCE-42DC-A4D6-6C4F8CA03038}" name="Jun-24 Draft Plan" totalsRowFunction="sum" dataDxfId="337" totalsRowDxfId="338"/>
    <tableColumn id="91" xr3:uid="{5EC5BC51-A107-4B15-9BFA-195A3AD80B8B}" name="Jun-24 Draft Tax" totalsRowFunction="sum" dataDxfId="335" totalsRowDxfId="336"/>
    <tableColumn id="92" xr3:uid="{1CABDD1A-1C56-4538-8169-6480A8144245}" name="Jul-24 Draft Plan" totalsRowFunction="sum" dataDxfId="333" totalsRowDxfId="334"/>
    <tableColumn id="93" xr3:uid="{0DD28296-43C6-4AD2-BD65-F61ABEDE3957}" name="Jul-24 Draft Tax" dataDxfId="331" totalsRowDxfId="332">
      <calculatedColumnFormula>SUMIFS(BB___HK___AMHS__Others[Tax],BB___HK___AMHS__Others[PO No.],AR_725[[#This Row],[tsmc PO '#]],BB___HK___AMHS__Others[Status],"&lt;&gt;Rejected",BB___HK___AMHS__Others[YearMonth],"2024-07")</calculatedColumnFormula>
    </tableColumn>
    <tableColumn id="94" xr3:uid="{248D9C7D-A35E-4127-8960-B815BDC7D13D}" name="Aug-24 Draft" totalsRowFunction="sum" dataDxfId="329" totalsRowDxfId="330"/>
    <tableColumn id="95" xr3:uid="{5744E6E1-08F4-450B-9AF7-39F745E1D198}" name="Aug-24 Draft Tax" dataDxfId="327" totalsRowDxfId="328">
      <calculatedColumnFormula>SUMIFS(BB___HK___AMHS__Others[Tax],BB___HK___AMHS__Others[PO No.],AR_725[[#This Row],[tsmc PO '#]],BB___HK___AMHS__Others[Status],"&lt;&gt;Rejected",BB___HK___AMHS__Others[YearMonth],"2024-08")</calculatedColumnFormula>
    </tableColumn>
    <tableColumn id="96" xr3:uid="{98B40693-2CF0-4C50-9B2E-5D2F9E2CA20F}" name="Sep-24 Draft" totalsRowFunction="sum" dataDxfId="325" totalsRowDxfId="326">
      <calculatedColumnFormula>SUMIFS(BB___HK___AMHS__Others[AR Amount],BB___HK___AMHS__Others[PO No.],AR_725[[#This Row],[tsmc PO '#]],BB___HK___AMHS__Others[Status],"&lt;&gt;Rejected",BB___HK___AMHS__Others[YearMonth],"2024-09")</calculatedColumnFormula>
    </tableColumn>
    <tableColumn id="97" xr3:uid="{6010E914-E8EF-454D-B00C-D0F4EA6E9C54}" name="Sep-24 Draft Tax" dataDxfId="323" totalsRowDxfId="324">
      <calculatedColumnFormula>SUMIFS(BB___HK___AMHS__Others[Tax],BB___HK___AMHS__Others[PO No.],AR_725[[#This Row],[tsmc PO '#]],BB___HK___AMHS__Others[Status],"&lt;&gt;Rejected",BB___HK___AMHS__Others[YearMonth],"2024-09")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085A7F-49D8-49D3-84A8-CB9E57696B8F}" name="Table242" displayName="Table242" ref="A1:BU552" headerRowDxfId="306">
  <autoFilter ref="A1:BU552" xr:uid="{97DC3BEE-C6BA-4137-B503-742E0126D299}">
    <filterColumn colId="1">
      <filters>
        <filter val="Ebara"/>
      </filters>
    </filterColumn>
  </autoFilter>
  <tableColumns count="73">
    <tableColumn id="1" xr3:uid="{3704CD55-D536-4476-8CD3-8D3B7A676C35}" name="Engineer" totalsRowLabel="Total"/>
    <tableColumn id="2" xr3:uid="{F5ACD43B-6C65-4BC3-BD7A-6B19F1577151}" name="Client Name" dataDxfId="304" totalsRowDxfId="305"/>
    <tableColumn id="3" xr3:uid="{50DF8281-0479-4C11-843F-77A553AE6528}" name="Sponsor" dataDxfId="302" totalsRowDxfId="303"/>
    <tableColumn id="4" xr3:uid="{FA0EC9D7-CAE5-4B90-98DE-BBD7D0AC3A4E}" name="PO#" dataDxfId="300" totalsRowDxfId="301"/>
    <tableColumn id="22" xr3:uid="{245216AC-2771-4935-A854-E4BA251C3D24}" name="Tool No." dataDxfId="298" totalsRowDxfId="299"/>
    <tableColumn id="5" xr3:uid="{5D751051-5915-4703-B69B-5F9D01A074A6}" name="Project#" dataDxfId="296" totalsRowDxfId="297"/>
    <tableColumn id="6" xr3:uid="{A9BD3B8B-CB34-4503-9265-FE12024EBF0E}" name="Project Name" dataDxfId="294" totalsRowDxfId="295"/>
    <tableColumn id="31" xr3:uid="{C4035C58-7A92-4D69-872E-C9EBBB8684C4}" name="Category" dataDxfId="292" totalsRowDxfId="293"/>
    <tableColumn id="32" xr3:uid="{C611BA38-7921-4C33-A26D-4371A706128E}" name="Tool ID" dataDxfId="290" totalsRowDxfId="291"/>
    <tableColumn id="21" xr3:uid="{A280AEAD-68B6-4817-BE27-3C79334D4DCE}" name="Tool Name" dataDxfId="288" totalsRowDxfId="289"/>
    <tableColumn id="40" xr3:uid="{7E17D7E6-69F6-4000-BC11-EA4603D52567}" name="Tool ID _x000a_Status" dataDxfId="286" totalsRowDxfId="287"/>
    <tableColumn id="7" xr3:uid="{11DA19DD-EBCB-42D6-B392-BE9CF342E49A}" name="Tool QTY" dataDxfId="284" totalsRowDxfId="285"/>
    <tableColumn id="8" xr3:uid="{C303733F-3F23-48D3-80C8-220192FB8204}" name="Material Unit Price" totalsRowFunction="sum" dataDxfId="282" totalsRowDxfId="283"/>
    <tableColumn id="9" xr3:uid="{DE79E056-1E75-4A3C-BF63-310E9E736DF4}" name="Labor Unit Price" totalsRowFunction="sum" dataDxfId="280" totalsRowDxfId="281"/>
    <tableColumn id="41" xr3:uid="{2C7C2E87-827A-49F8-862F-C1E99925CDE8}" name="Mechannical" dataDxfId="278" totalsRowDxfId="279"/>
    <tableColumn id="42" xr3:uid="{A9A6A593-CE0A-4928-BE36-F638C8FD7E00}" name="Electrical" dataDxfId="276" totalsRowDxfId="277"/>
    <tableColumn id="10" xr3:uid="{0E24F084-7D64-4A8C-8476-1F0589CDE145}" name="GC + Manage+ Insur" dataDxfId="274" totalsRowDxfId="275"/>
    <tableColumn id="23" xr3:uid="{B4F853AD-A935-4C6E-BE8B-AC4399F10BBF}" name="Total Per Tool" totalsRowFunction="sum" dataDxfId="272" totalsRowDxfId="273">
      <calculatedColumnFormula>Table242[[#This Row],[Material Unit Price]]+Table242[[#This Row],[Labor Unit Price]]+Table242[[#This Row],[GC + Manage+ Insur]]</calculatedColumnFormula>
    </tableColumn>
    <tableColumn id="11" xr3:uid="{E25557CC-38D4-428D-9FC7-33D05E19DFB0}" name="PO Amount" totalsRowFunction="sum" dataDxfId="270" totalsRowDxfId="271">
      <calculatedColumnFormula>Table242[[#This Row],[Total Per Tool]]*Table242[[#This Row],[Tool QTY]]</calculatedColumnFormula>
    </tableColumn>
    <tableColumn id="12" xr3:uid="{9D84946B-C31D-4BAA-ABDE-329E4BE3D499}" name="Tax" dataDxfId="268" totalsRowDxfId="269"/>
    <tableColumn id="13" xr3:uid="{5B053B35-AE44-4FB8-947C-CA34FFF24AEC}" name="PO Date" dataDxfId="266" totalsRowDxfId="267"/>
    <tableColumn id="14" xr3:uid="{ABB8B995-1B3C-407C-88E3-5F5FBF180020}" name="Tax Code" dataDxfId="264" totalsRowDxfId="265"/>
    <tableColumn id="15" xr3:uid="{8460ADDE-883D-453E-AC9B-5B743B18C5DD}" name="Payment Term" dataDxfId="262" totalsRowDxfId="263"/>
    <tableColumn id="16" xr3:uid="{5E62F5C0-8C93-4EE3-BE2C-538A6A70A789}" name="Total AR (Received)" totalsRowFunction="sum" dataDxfId="260" totalsRowDxfId="261">
      <calculatedColumnFormula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calculatedColumnFormula>
    </tableColumn>
    <tableColumn id="17" xr3:uid="{9B9D6FE2-1515-49FC-9E1B-DFDF74DA1E16}" name="AR %" dataDxfId="258" totalsRowDxfId="259">
      <calculatedColumnFormula>Table242[[#This Row],[Total AR (Received)]]/Table242[[#This Row],[PO Amount]]</calculatedColumnFormula>
    </tableColumn>
    <tableColumn id="18" xr3:uid="{6C5AD944-ED5F-4F89-B5BD-32C8D1347E05}" name="Open Balance" totalsRowFunction="sum" dataDxfId="256" totalsRowDxfId="257">
      <calculatedColumnFormula>Table242[[#This Row],[PO Amount]]-Table242[[#This Row],[Total AR (Received)]]</calculatedColumnFormula>
    </tableColumn>
    <tableColumn id="25" xr3:uid="{4CE5F349-F700-4D3F-86F5-C9AE3465EB69}" name="Total M%" dataDxfId="254" totalsRowDxfId="255"/>
    <tableColumn id="26" xr3:uid="{FC06E1E8-6441-4FC2-9F80-A72B1A478DD9}" name="Total L %" dataDxfId="252" totalsRowDxfId="253"/>
    <tableColumn id="28" xr3:uid="{1954DE70-D68E-40D5-AA9C-EDB0185BCE69}" name="Other %" dataDxfId="250" totalsRowDxfId="251"/>
    <tableColumn id="19" xr3:uid="{863FFBEC-FE29-43EA-938E-A889FC18A21A}" name="Feb-23 draft" totalsRowFunction="sum" totalsRowDxfId="249"/>
    <tableColumn id="20" xr3:uid="{3EF1A13C-6479-4BA0-A960-0F0718C3AD7D}" name="Feb-23 Tax" totalsRowDxfId="248"/>
    <tableColumn id="24" xr3:uid="{19784787-0D8E-4B0C-9A69-DCB8DA800A28}" name="23-Mar draft" dataDxfId="246" totalsRowDxfId="247"/>
    <tableColumn id="29" xr3:uid="{6D635B2A-F15E-4481-8947-872E583CE5DF}" name="Mar-23 Tax" totalsRowFunction="count"/>
    <tableColumn id="27" xr3:uid="{1096EEE0-62EE-4FC7-8819-13DE4D6997C9}" name="23-Apr draft" totalsRowFunction="sum"/>
    <tableColumn id="30" xr3:uid="{3FB47080-BFE6-47CB-9B1E-B5D6B25F8CF9}" name="Apr-23 Tax"/>
    <tableColumn id="37" xr3:uid="{A65ABF93-5583-4245-BB4E-9AB5DB172DEE}" name="23-May draft" totalsRowFunction="sum"/>
    <tableColumn id="33" xr3:uid="{6AAE2E15-1A2C-4063-870D-76B258F5D91D}" name="May-23 Tax"/>
    <tableColumn id="34" xr3:uid="{1FC2BA63-1632-4557-90D4-009B5BB35F37}" name="23-June draft" totalsRowFunction="sum"/>
    <tableColumn id="35" xr3:uid="{49C033F3-2496-4AA5-97A3-9F5CAAAB9F55}" name="23-Jun Tax"/>
    <tableColumn id="36" xr3:uid="{72A2DED9-19FD-4189-AA3F-2A510BE16BB5}" name="23-July draft" totalsRowFunction="sum"/>
    <tableColumn id="38" xr3:uid="{45EAC369-81A4-4649-A289-0CF7AB9C9274}" name="23-July Tax"/>
    <tableColumn id="45" xr3:uid="{87AABDF5-4BD2-46A0-B2D2-A6175732086A}" name="23-Aug draft"/>
    <tableColumn id="44" xr3:uid="{3DFE3177-DDBC-42EC-9486-2626D4906BFF}" name="23-Aug Tax" dataDxfId="244" totalsRowDxfId="245"/>
    <tableColumn id="46" xr3:uid="{D9C0A0AE-F9F9-4EB1-B27D-2904835DC189}" name="23-Sep draft"/>
    <tableColumn id="47" xr3:uid="{53B1647E-13E1-4F3B-AE92-B7F431EF3136}" name="23-Sep Tax"/>
    <tableColumn id="48" xr3:uid="{B738C25D-FA1F-4E60-A1B6-0B036D9FC140}" name="23-Oct"/>
    <tableColumn id="53" xr3:uid="{0E088A17-6D18-432B-99B5-8DB52D8572B4}" name="23-Oct Tax" dataDxfId="242" totalsRowDxfId="243"/>
    <tableColumn id="51" xr3:uid="{D45BBD9C-BF54-4C12-810B-BCB1A3E1BFEE}" name="23-Nov"/>
    <tableColumn id="52" xr3:uid="{5A606619-92F2-46A8-A039-7725DB422944}" name="23-Nov Tax"/>
    <tableColumn id="56" xr3:uid="{E80A7F6F-F58A-44A3-865D-0C3D49AF4433}" name="23-Dec"/>
    <tableColumn id="54" xr3:uid="{F884C4AD-5454-49AF-895F-85425AFE21E2}" name="23-Dec Tax" dataDxfId="240" totalsRowDxfId="241"/>
    <tableColumn id="57" xr3:uid="{E68EB232-E99F-4EDC-B7E8-4FCA65FB888C}" name="24-Jan"/>
    <tableColumn id="58" xr3:uid="{67128E70-1E55-45C7-98D6-7D8CB6B321C7}" name="24-Jan Tax" totalsRowDxfId="239"/>
    <tableColumn id="55" xr3:uid="{700734A9-DFCA-4255-A255-28256DDACD5C}" name="24-Feb" totalsRowDxfId="238"/>
    <tableColumn id="59" xr3:uid="{D235EF39-3DE5-47E9-A1A5-018175525972}" name="24-Feb Tax" totalsRowDxfId="237"/>
    <tableColumn id="61" xr3:uid="{AFA15A9B-8AEE-4F45-BCD2-14B68A9AFC47}" name="24-Mar" dataDxfId="236"/>
    <tableColumn id="60" xr3:uid="{8A228F43-7041-4DBC-9576-9118D342BD8A}" name="24-Mar Tax" dataDxfId="234" totalsRowDxfId="235"/>
    <tableColumn id="63" xr3:uid="{645B73DA-5F63-4020-A5D3-608FE98BAB5B}" name="24-Apr" dataDxfId="232" totalsRowDxfId="233"/>
    <tableColumn id="64" xr3:uid="{9E5D9BD6-4E36-4E87-BB74-F9921CD0C1F4}" name="24-Apr tax" dataDxfId="230" totalsRowDxfId="231"/>
    <tableColumn id="66" xr3:uid="{70355355-1806-44BC-AFF7-CE3F22E92258}" name="24-May" dataDxfId="228" totalsRowDxfId="229"/>
    <tableColumn id="65" xr3:uid="{675D9831-9D2F-4B38-BFFE-A716A43C5D05}" name="24-May tax" dataDxfId="226" totalsRowDxfId="227"/>
    <tableColumn id="67" xr3:uid="{4F7DF9D0-6480-41AA-B322-5548E70D6C1C}" name="24-Jun" dataDxfId="224" totalsRowDxfId="225" dataCellStyle="Currency 3"/>
    <tableColumn id="68" xr3:uid="{3BA0C421-481F-46C5-8D92-252BD0C9ADEC}" name="24-Jun tax" dataDxfId="222" totalsRowDxfId="223" dataCellStyle="Currency 3"/>
    <tableColumn id="62" xr3:uid="{2013C1E6-88A1-40C0-BDA4-209DD8823B58}" name="24-Jul" dataDxfId="220" totalsRowDxfId="221" dataCellStyle="Currency 3"/>
    <tableColumn id="69" xr3:uid="{0AF7507D-A5B3-4D69-932F-FD732DE7AC1B}" name="24-July tax" dataDxfId="218" totalsRowDxfId="219" dataCellStyle="Currency 3"/>
    <tableColumn id="72" xr3:uid="{FB1B1A5D-B8A3-44F8-946B-BDACC6556AB1}" name="24-Aug" dataDxfId="216" totalsRowDxfId="217" dataCellStyle="Currency 3"/>
    <tableColumn id="73" xr3:uid="{781EB457-ACCE-4BB1-8347-75AC3599AA59}" name="24-Aug tax" dataDxfId="214" totalsRowDxfId="215" dataCellStyle="Currency 3"/>
    <tableColumn id="74" xr3:uid="{387E0607-BA94-49D0-AFF1-50951EC96402}" name="24-Sep" dataDxfId="212" totalsRowDxfId="213" dataCellStyle="Currency 3"/>
    <tableColumn id="75" xr3:uid="{4EF49E34-0A01-47DE-A001-8C973C4BD8F5}" name="24-Sep tax" dataDxfId="210" totalsRowDxfId="211" dataCellStyle="Currency 3"/>
    <tableColumn id="39" xr3:uid="{DAA59ECC-C3FB-4B32-8170-AC69A8CD570B}" name="Total" totalsRowFunction="custom" dataDxfId="208" totalsRowDxfId="209" dataCellStyle="一般 2">
      <calculatedColumnFormula>SUM(AD2:BH2)</calculatedColumnFormula>
      <totalsRowFormula>SUBTOTAL(109,BR2:BR552)</totalsRowFormula>
    </tableColumn>
    <tableColumn id="43" xr3:uid="{6269A5E0-4E9A-413F-B45C-2F96DC872E9C}" name="Status"/>
    <tableColumn id="49" xr3:uid="{51524E21-F850-48A7-BADC-534523500DDD}" name="invoice number"/>
    <tableColumn id="50" xr3:uid="{8FFB4635-E0CA-4F58-B458-3CC23D4D32DC}" name="approved payment" totalsRowFunction="sum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50F99F2-13E2-4F56-8997-79A5CBB71F85}" name="表格1_6" displayName="表格1_6" ref="A1:BB1140" headerRowDxfId="203" dataDxfId="202" totalsRowDxfId="201" headerRowCellStyle="一般 3" dataCellStyle="一般 3">
  <autoFilter ref="A1:BB1140" xr:uid="{0B8B6B25-9BD9-4400-9E65-462982B8C8B1}"/>
  <tableColumns count="54">
    <tableColumn id="1" xr3:uid="{F06380B2-20A0-402E-A491-75D3A8762AE0}" name="項次" dataDxfId="199" totalsRowDxfId="200" dataCellStyle="一般 3"/>
    <tableColumn id="47" xr3:uid="{A32D1493-8379-4452-94BB-9231380BC33D}" name="Phase" dataDxfId="197" totalsRowDxfId="198" dataCellStyle="一般 3"/>
    <tableColumn id="3" xr3:uid="{B1E8F9DB-C5DD-4353-8F77-069135EE5ABE}" name="Category" totalsRowLabel="Total" dataDxfId="195" totalsRowDxfId="196" dataCellStyle="一般 3"/>
    <tableColumn id="4" xr3:uid="{A41A53C4-23B9-48C4-AE06-474336D765F2}" name="Client" dataDxfId="193" totalsRowDxfId="194" dataCellStyle="一般 3"/>
    <tableColumn id="53" xr3:uid="{D2178FCF-F73D-4E7F-85A7-0623C6423D48}" name="General Category" dataDxfId="191" totalsRowDxfId="192" dataCellStyle="一般 3"/>
    <tableColumn id="54" xr3:uid="{3E953FB5-E030-4228-9490-AC3C65AED193}" name="System" dataDxfId="189" totalsRowDxfId="190" dataCellStyle="一般 3"/>
    <tableColumn id="5" xr3:uid="{BD393AE1-C4A5-4A05-94CF-261606FEA7EA}" name="MICU  Sub-category" dataDxfId="187" totalsRowDxfId="188" dataCellStyle="一般 3"/>
    <tableColumn id="6" xr3:uid="{F01451F5-198B-4642-9720-6FA5DA624B8E}" name="PM Cost" dataDxfId="185" totalsRowDxfId="186" dataCellStyle="一般 3"/>
    <tableColumn id="7" xr3:uid="{82C9A410-8623-4E25-914D-33FE9A520F63}" name="PM Cost Remark" dataDxfId="183" totalsRowDxfId="184" dataCellStyle="一般 3"/>
    <tableColumn id="55" xr3:uid="{23250BA8-8AE0-433A-948A-EF39D3878C55}" name="MICU  Sub-category2" dataDxfId="181" totalsRowDxfId="182" dataCellStyle="一般 3"/>
    <tableColumn id="56" xr3:uid="{6AFAA90E-C46A-4CA5-9665-DB6163BF0501}" name="TSMC Category" dataDxfId="179" totalsRowDxfId="180" dataCellStyle="一般 3"/>
    <tableColumn id="8" xr3:uid="{F5CADBEA-C029-4836-B6A5-072134459850}" name="Project Name" dataDxfId="177" totalsRowDxfId="178" dataCellStyle="一般 3"/>
    <tableColumn id="12" xr3:uid="{7354191B-FDE3-464B-AA71-025CBBA3FAE6}" name="System PM" dataDxfId="175" totalsRowDxfId="176" dataCellStyle="一般 3"/>
    <tableColumn id="13" xr3:uid="{EB7C15F3-D25E-4B03-B579-7A53DCF968D7}" name="Engineer" dataDxfId="173" totalsRowDxfId="174" dataCellStyle="一般 3"/>
    <tableColumn id="14" xr3:uid="{00AB3CD2-1677-40C0-8617-81653025AC09}" name="Sub Candidate" dataDxfId="171" totalsRowDxfId="172" dataCellStyle="一般 3"/>
    <tableColumn id="15" xr3:uid="{B06CD075-A890-4777-B1EF-10B20443D2B4}" name="PO Number" dataDxfId="169" totalsRowDxfId="170" dataCellStyle="一般 3"/>
    <tableColumn id="16" xr3:uid="{8DCA95D4-64BE-424D-80DC-9D97A45ED409}" name="PO Date " dataDxfId="167" totalsRowDxfId="168" dataCellStyle="一般 3"/>
    <tableColumn id="17" xr3:uid="{F86FA948-7EE5-4ACE-BD08-0AF8A6AF34C4}" name="Item" dataDxfId="165" totalsRowDxfId="166" dataCellStyle="一般 3"/>
    <tableColumn id="18" xr3:uid="{FFD54033-4740-493B-B80F-D1C3B2BC5B9E}" name="PO$" totalsRowFunction="sum" dataDxfId="163" totalsRowDxfId="164"/>
    <tableColumn id="19" xr3:uid="{206693FF-1AFE-4FB6-9C2B-7D79F083633E}" name="Payment Term" dataDxfId="161" totalsRowDxfId="162" dataCellStyle="一般 3"/>
    <tableColumn id="20" xr3:uid="{B98D936E-1898-4C0A-9B73-F3CC6EFC1BFE}" name="MICU Contract No." dataDxfId="159" totalsRowDxfId="160" dataCellStyle="一般 3"/>
    <tableColumn id="21" xr3:uid="{28299903-682F-4C53-B695-CD41A7D75123}" name="MICU Project No." dataDxfId="157" totalsRowDxfId="158" dataCellStyle="一般 3 2"/>
    <tableColumn id="22" xr3:uid="{648F7BBE-740C-4F8E-890E-A8B2C5475187}" name="MICU Project Name" dataDxfId="155" totalsRowDxfId="156" dataCellStyle="一般 3"/>
    <tableColumn id="57" xr3:uid="{8F074937-D70D-4F83-912A-6F871F02321F}" name="Canceld PO Amount" dataDxfId="153" totalsRowDxfId="154" dataCellStyle="一般 3"/>
    <tableColumn id="23" xr3:uid="{2D802CCF-DBDF-4776-8965-399D81C5D3FF}" name="PO Confirmed?" dataDxfId="151" totalsRowDxfId="152" dataCellStyle="一般 3"/>
    <tableColumn id="24" xr3:uid="{5B3AF173-940A-4F5C-A8B0-CB3A19555762}" name="PC Overview?" dataDxfId="149" totalsRowDxfId="150" dataCellStyle="一般 3"/>
    <tableColumn id="25" xr3:uid="{10AA7ED2-B789-4A47-82D6-C695E64116BC}" name="Sponsor" dataDxfId="147" totalsRowDxfId="148" dataCellStyle="一般 3"/>
    <tableColumn id="26" xr3:uid="{5CC39AB7-AEAD-4397-BD62-58703AA4408C}" name="Quotation Number" dataDxfId="145" totalsRowDxfId="146" dataCellStyle="一般 3"/>
    <tableColumn id="27" xr3:uid="{FE1C9579-5195-47C2-AEE8-1812313F12C1}" name="Remark" dataDxfId="143" totalsRowDxfId="144" dataCellStyle="一般 3"/>
    <tableColumn id="28" xr3:uid="{1D7CB99A-C151-4134-8A31-B357971778B9}" name="Lance Basebuild PO" dataDxfId="141" totalsRowDxfId="142" dataCellStyle="一般 3"/>
    <tableColumn id="29" xr3:uid="{EE705AE0-227D-49A1-940C-199EDDE6662E}" name="Lance HK" dataDxfId="139" totalsRowDxfId="140" dataCellStyle="一般 3"/>
    <tableColumn id="30" xr3:uid="{D2B1B78E-2BE5-4B49-A3FA-38FE697602BE}" name="TI tool ID booking#" dataDxfId="137" totalsRowDxfId="138" dataCellStyle="一般 3"/>
    <tableColumn id="31" xr3:uid="{2562E5E4-7667-4577-8909-C37815CCB797}" name="TI tool ID2" dataDxfId="135" totalsRowDxfId="136" dataCellStyle="一般 3"/>
    <tableColumn id="32" xr3:uid="{821E29F6-5887-4541-9C6B-4EAE1D6FF33A}" name="function _x000a_area" dataDxfId="133" totalsRowDxfId="134" dataCellStyle="一般 3"/>
    <tableColumn id="33" xr3:uid="{0FF7F283-3FF9-43EE-AD16-392F0CC056F9}" name="TI Vendor" dataDxfId="131" totalsRowDxfId="132" dataCellStyle="一般 3"/>
    <tableColumn id="2" xr3:uid="{012D53B9-A501-4246-93B4-87D0F74CF3EA}" name="PO+ITEM" dataDxfId="129" totalsRowDxfId="130" dataCellStyle="一般 3"/>
    <tableColumn id="35" xr3:uid="{4802B67E-2996-4E49-8F2F-02E428C4D0EE}" name="invoice number" dataDxfId="127" totalsRowDxfId="128" dataCellStyle="一般 3"/>
    <tableColumn id="34" xr3:uid="{50FDD294-778C-4479-8557-C60C8A3CA406}" name="invoice_x000a_date" dataDxfId="125" totalsRowDxfId="126" dataCellStyle="一般 3"/>
    <tableColumn id="36" xr3:uid="{5075B825-281A-44F7-956C-FF37F9B4799C}" name="invoice amount" totalsRowFunction="sum" dataDxfId="123" totalsRowDxfId="124"/>
    <tableColumn id="37" xr3:uid="{98D21929-2900-40EF-BEC6-2A97142A71EF}" name="revevied_x000a_ date" dataDxfId="121" totalsRowDxfId="122" dataCellStyle="一般 3"/>
    <tableColumn id="39" xr3:uid="{52CCF28D-3C37-4B83-91AA-207A4768284F}" name="invoice number2" dataDxfId="119" totalsRowDxfId="120" dataCellStyle="一般 3"/>
    <tableColumn id="38" xr3:uid="{E0150BD9-0E07-426C-A194-8B37B587AA33}" name="invoice_x000a_date2" dataDxfId="117" totalsRowDxfId="118" dataCellStyle="一般 3"/>
    <tableColumn id="40" xr3:uid="{5F2706C3-7C6E-416D-BD56-8B821C2D1AD9}" name="invoice amount2" totalsRowFunction="sum" dataDxfId="115" totalsRowDxfId="116"/>
    <tableColumn id="41" xr3:uid="{7813278E-AD63-40EE-9741-2CB37D139E02}" name="revevied_x000a_ date2" dataDxfId="113" totalsRowDxfId="114" dataCellStyle="一般 3"/>
    <tableColumn id="42" xr3:uid="{7420C468-1573-4695-B638-2F2F8F9303D9}" name="%" dataDxfId="111" totalsRowDxfId="112"/>
    <tableColumn id="43" xr3:uid="{A673CCED-D608-4D35-AC58-37EF9514CC35}" name="total amount" dataDxfId="109" totalsRowDxfId="110">
      <calculatedColumnFormula>表格1_6[[#This Row],[invoice amount]]+表格1_6[[#This Row],[invoice amount2]]</calculatedColumnFormula>
    </tableColumn>
    <tableColumn id="46" xr3:uid="{516FAB7F-F5DE-42B5-A98D-53C3A7691903}" name="收款狀況" dataDxfId="107" totalsRowDxfId="108"/>
    <tableColumn id="45" xr3:uid="{4EF29B11-0F3C-449C-8F59-A5D11908B32F}" name="Status" dataDxfId="105" totalsRowDxfId="106" dataCellStyle="一般 3"/>
    <tableColumn id="44" xr3:uid="{A99A7F5B-05D0-4CDB-9F15-4AB81BC69201}" name="請款" dataDxfId="103" totalsRowDxfId="104" dataCellStyle="一般 3">
      <calculatedColumnFormula>VLOOKUP(表格1_6[[#This Row],[TI tool ID2]],工作表1!A:A,1,FALSE)</calculatedColumnFormula>
    </tableColumn>
    <tableColumn id="48" xr3:uid="{FC55371F-F3CB-498B-BFD6-087988A6E65A}" name="2024/9/27" dataDxfId="101" totalsRowDxfId="102" dataCellStyle="一般 3">
      <calculatedColumnFormula>VLOOKUP(表格1_6[[#This Row],[PO+ITEM]],工作表1!B:E,2,FALSE)</calculatedColumnFormula>
    </tableColumn>
    <tableColumn id="49" xr3:uid="{A9072E3D-B905-4FDA-99C7-3C3E89C66CF5}" name="日期" dataDxfId="99" totalsRowDxfId="100" dataCellStyle="一般 3">
      <calculatedColumnFormula>VLOOKUP(表格1_6[[#This Row],[PO+ITEM]],工作表1!B:E,3,FALSE)</calculatedColumnFormula>
    </tableColumn>
    <tableColumn id="50" xr3:uid="{CD49EC2E-C1F3-44D3-90E2-F56EC0AD7083}" name="金額" dataDxfId="97" totalsRowDxfId="98" dataCellStyle="一般 3">
      <calculatedColumnFormula>VLOOKUP(表格1_6[[#This Row],[PO+ITEM]],工作表1!B:E,4,FALSE)</calculatedColumnFormula>
    </tableColumn>
    <tableColumn id="51" xr3:uid="{6594C6E6-599C-4C6F-98F2-F1FF7A4C30F5}" name="9/30收款更新" dataDxfId="95" totalsRowDxfId="96" dataCellStyle="一般 3">
      <calculatedColumnFormula>INDEX(工作表1!G:G, MATCH(表格1_6[[#This Row],[invoice number]]&amp;表格1_6[[#This Row],[invoice number2]],工作表1!G:G, 0))</calculatedColumnFormula>
    </tableColumn>
    <tableColumn id="52" xr3:uid="{FC9BF9C5-5D35-42B2-ABA8-0E79B9C793D1}" name="欄6" dataDxfId="93" totalsRowDxfId="94" dataCellStyle="一般 3">
      <calculatedColumnFormula>VLOOKUP(表格1_6[[#This Row],[PO+ITEM]],工作表1!F:H,2,FALSE)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B7C6F62-5AC7-4C37-8FBC-8E74C552D69C}" name="表格1" displayName="表格1" ref="A1:AX1040" totalsRowShown="0" headerRowDxfId="91" dataDxfId="90" headerRowCellStyle="一般 3" dataCellStyle="一般 3">
  <autoFilter ref="A1:AX1040" xr:uid="{0B8B6B25-9BD9-4400-9E65-462982B8C8B1}"/>
  <tableColumns count="50">
    <tableColumn id="1" xr3:uid="{FAF3B5B0-805F-403C-9FD6-FA3818267A9C}" name="項次" dataDxfId="89" dataCellStyle="一般 3"/>
    <tableColumn id="47" xr3:uid="{DCD91255-988B-428E-BBA7-33C9D2A75776}" name="Phase" dataDxfId="88" dataCellStyle="一般 3"/>
    <tableColumn id="3" xr3:uid="{04726A3B-E11A-445E-AD7F-E2F0C49E21FF}" name="Category" dataDxfId="87" dataCellStyle="一般 3"/>
    <tableColumn id="4" xr3:uid="{B0C7E8FD-2464-4DA1-B2EC-AB26FBE590EE}" name="Client" dataDxfId="86" dataCellStyle="一般 3"/>
    <tableColumn id="5" xr3:uid="{4F71317B-3EF6-4B3A-A6DF-0EDDA3A3C6E7}" name="MICU  Sub-category" dataDxfId="85" dataCellStyle="一般 3"/>
    <tableColumn id="6" xr3:uid="{7D9A85F6-A383-4A5D-BDDC-F41989A80A73}" name="TSMC System" dataDxfId="84" dataCellStyle="一般 3"/>
    <tableColumn id="7" xr3:uid="{D0C9E5EA-4FDC-4E62-9CC3-1ABD5C8976FB}" name="TSMC Category" dataDxfId="83" dataCellStyle="一般 3"/>
    <tableColumn id="8" xr3:uid="{365D8D10-909D-4318-9DC0-89C16C7D6F13}" name="Project Name" dataDxfId="82" dataCellStyle="一般 3"/>
    <tableColumn id="9" xr3:uid="{277AADE8-843B-4384-9128-AB02CAA5A905}" name="Tool" dataDxfId="81" dataCellStyle="一般 3"/>
    <tableColumn id="10" xr3:uid="{3AA1CEF6-E086-4261-8CC7-F8CB537EAB79}" name="QTY" dataDxfId="80" dataCellStyle="一般 3"/>
    <tableColumn id="11" xr3:uid="{267F511E-7C09-42CF-96A0-3328235DD8F2}" name="CM" dataDxfId="79" dataCellStyle="一般 3"/>
    <tableColumn id="12" xr3:uid="{88798A96-0FD3-46DE-8EB3-549BB4C0F8DF}" name="System PM" dataDxfId="78" dataCellStyle="一般 3"/>
    <tableColumn id="13" xr3:uid="{EF91C68E-6322-409C-A8F4-D90E95A0141B}" name="Engineer" dataDxfId="77" dataCellStyle="一般 3"/>
    <tableColumn id="14" xr3:uid="{2932EA16-102F-48CC-83EC-C033F577C252}" name="Sub Candidate" dataDxfId="76" dataCellStyle="一般 3"/>
    <tableColumn id="15" xr3:uid="{F1DAEEBC-E488-4934-B6A7-F3B715D8D5E0}" name="PO Number" dataDxfId="75" dataCellStyle="一般 3"/>
    <tableColumn id="16" xr3:uid="{2F028729-BA3C-42E1-9B7C-D2A3737292D2}" name="PO Date " dataDxfId="74" dataCellStyle="一般 3"/>
    <tableColumn id="17" xr3:uid="{DC2D2A2F-F68D-4C9F-A816-FB356059FEF0}" name="Item" dataDxfId="73" dataCellStyle="一般 3"/>
    <tableColumn id="18" xr3:uid="{64184867-9276-4BA5-9724-94799658EE1A}" name="PO$" dataDxfId="72"/>
    <tableColumn id="19" xr3:uid="{91988DA3-9F1C-42A0-A16D-C6B76DCCACB3}" name="Payment Term" dataDxfId="71" dataCellStyle="一般 3"/>
    <tableColumn id="20" xr3:uid="{96C1F2B9-6D79-4EDC-A339-79F24850C0F8}" name="MICU Contract No." dataDxfId="70" dataCellStyle="一般 3"/>
    <tableColumn id="21" xr3:uid="{B3133FDE-A186-4D04-8A31-3DF3360F141F}" name="Project No." dataDxfId="69" dataCellStyle="一般 3"/>
    <tableColumn id="22" xr3:uid="{2CEC09A9-B0B8-4F5A-841D-AA9572783D12}" name="MICU Project Name" dataDxfId="68" dataCellStyle="一般 3"/>
    <tableColumn id="23" xr3:uid="{6C04123A-9B69-42B1-A4E2-37C8B89E07F7}" name="PO Confirmed?" dataDxfId="67" dataCellStyle="一般 3"/>
    <tableColumn id="24" xr3:uid="{BF70F8B0-3E0B-4958-BEA8-D2237F2CAB2C}" name="PC Overview?" dataDxfId="66" dataCellStyle="一般 3"/>
    <tableColumn id="25" xr3:uid="{CCAAB66D-8CDD-4918-8A6A-FFA566243DBC}" name="Sponsor" dataDxfId="65" dataCellStyle="一般 3"/>
    <tableColumn id="26" xr3:uid="{8A465524-13B7-456A-913D-B867FA600631}" name="Quotation Number" dataDxfId="64" dataCellStyle="一般 3"/>
    <tableColumn id="27" xr3:uid="{A6A47BD7-F623-4DD6-9290-B6789CFAF81C}" name="Remark" dataDxfId="63" dataCellStyle="一般 3"/>
    <tableColumn id="28" xr3:uid="{FA8044C5-9E44-4E14-87DE-729AB67370E4}" name="Lance Basebuild PO" dataDxfId="62" dataCellStyle="一般 3"/>
    <tableColumn id="29" xr3:uid="{7A532409-73D2-4426-9125-3FBD17011E59}" name="Lance HK" dataDxfId="61" dataCellStyle="一般 3"/>
    <tableColumn id="30" xr3:uid="{081A61D7-0354-4712-ACA3-695BFA0F7527}" name="TI tool ID booking#" dataDxfId="60" dataCellStyle="一般 3"/>
    <tableColumn id="31" xr3:uid="{E6DDD0B8-7008-4D41-92E5-A83D608C538D}" name="TI tool ID2" dataDxfId="59" dataCellStyle="一般 3"/>
    <tableColumn id="32" xr3:uid="{BB85DE8C-4215-43F8-B09C-409A4CF4B568}" name="function _x000a_area" dataDxfId="58" dataCellStyle="一般 3"/>
    <tableColumn id="33" xr3:uid="{41E6B7A3-8E1F-40CD-AD9D-D8A58BE98F02}" name="TI Vendor" dataDxfId="57" dataCellStyle="一般 3"/>
    <tableColumn id="2" xr3:uid="{CE2F4FDF-344A-43A1-9F40-62E53E2050DC}" name="PO+ITEM" dataDxfId="56" dataCellStyle="一般 3"/>
    <tableColumn id="35" xr3:uid="{78F503FA-2FBF-48AC-B971-E0C6CAF5D0A0}" name="invoice number" dataDxfId="55" dataCellStyle="一般 3"/>
    <tableColumn id="34" xr3:uid="{1B9E4521-76D9-4577-A6D4-BCD951EF936D}" name="invoice_x000a_date" dataDxfId="54" dataCellStyle="一般 3"/>
    <tableColumn id="36" xr3:uid="{D9BF72D8-5B74-44FC-9B16-C74A6819DE53}" name="invoice amount" dataDxfId="53"/>
    <tableColumn id="37" xr3:uid="{4E231060-A97B-4E34-B414-2330A739B47A}" name="revevied_x000a_ date" dataDxfId="52" dataCellStyle="一般 3"/>
    <tableColumn id="39" xr3:uid="{C8A1C7AF-E7D5-485D-A7CA-0126E24317C4}" name="invoice number2" dataDxfId="51" dataCellStyle="一般 3"/>
    <tableColumn id="38" xr3:uid="{012102CA-7D10-4F12-8EC3-66895776C436}" name="invoice_x000a_date2" dataDxfId="50" dataCellStyle="一般 3"/>
    <tableColumn id="40" xr3:uid="{277B31B5-158E-421A-BC66-055346485C3E}" name="invoice amount2" dataDxfId="49"/>
    <tableColumn id="41" xr3:uid="{62F2D30F-CFEB-4775-BBB1-B9832AD0CFF7}" name="revevied_x000a_ date2" dataDxfId="48" dataCellStyle="一般 3"/>
    <tableColumn id="42" xr3:uid="{2186DFED-439D-4527-8C8C-2F688D048DFE}" name="%" dataDxfId="47">
      <calculatedColumnFormula>IF(表格1[[#This Row],[PO$]]="","100%",表格1[[#This Row],[total amount]]/表格1[[#This Row],[PO$]])</calculatedColumnFormula>
    </tableColumn>
    <tableColumn id="43" xr3:uid="{5FFDC5F1-DA60-4A8F-8902-4DAA83AF681E}" name="total amount" dataDxfId="46">
      <calculatedColumnFormula>表格1[[#This Row],[invoice amount]]+表格1[[#This Row],[invoice amount2]]</calculatedColumnFormula>
    </tableColumn>
    <tableColumn id="46" xr3:uid="{A27351BC-C6CC-4AD2-A911-E87F79103065}" name="收款狀況" dataDxfId="45"/>
    <tableColumn id="45" xr3:uid="{8A42B664-2FEE-43EF-9066-3B89D2043512}" name="Status" dataDxfId="44" dataCellStyle="一般 3"/>
    <tableColumn id="44" xr3:uid="{E09EB08F-BF6E-404E-9486-860CEDBFBBB1}" name="欄1" dataDxfId="43" dataCellStyle="一般 3">
      <calculatedColumnFormula>VLOOKUP(表格1[[#This Row],[PO+ITEM]],#REF!,2,FALSE)</calculatedColumnFormula>
    </tableColumn>
    <tableColumn id="48" xr3:uid="{4FCF3EBB-2345-4918-A202-017D460BE7D4}" name="欄2" dataDxfId="42" dataCellStyle="一般 3">
      <calculatedColumnFormula>VLOOKUP(表格1[[#This Row],[PO+ITEM]],#REF!,3,FALSE)</calculatedColumnFormula>
    </tableColumn>
    <tableColumn id="49" xr3:uid="{527F809C-FD7A-4B2C-B666-A0CC1726C519}" name="欄3" dataDxfId="41" dataCellStyle="一般 3">
      <calculatedColumnFormula>VLOOKUP(表格1[[#This Row],[PO+ITEM]],#REF!,4,FALSE)</calculatedColumnFormula>
    </tableColumn>
    <tableColumn id="50" xr3:uid="{C286CB21-27CB-4DFB-8138-3B0394152BA9}" name="欄4" dataDxfId="40" dataCellStyle="一般 3">
      <calculatedColumnFormula array="1">VLOOKUP(AI:AI,#REF!,1,FALSE)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16871FA-5EF0-4296-9C49-CB7A8DACD5B5}" name="表格6" displayName="表格6" ref="A1:I1164" totalsRowShown="0" headerRowDxfId="29" dataDxfId="28" headerRowBorderDxfId="26" tableBorderDxfId="27">
  <autoFilter ref="A1:I1164" xr:uid="{016871FA-5EF0-4296-9C49-CB7A8DACD5B5}"/>
  <tableColumns count="9">
    <tableColumn id="1" xr3:uid="{14BB68BF-A23C-446B-9249-F32CDB4E7FFB}" name="BK" dataDxfId="25"/>
    <tableColumn id="2" xr3:uid="{E000C956-6FDB-45AF-A206-C7CFC6802B1C}" name="Tool_ID" dataDxfId="24"/>
    <tableColumn id="3" xr3:uid="{0D4E7E5F-F4F1-401D-A385-1406E5DFF725}" name="Phase" dataDxfId="23"/>
    <tableColumn id="6" xr3:uid="{5AB592E8-F7B6-4DAD-986B-5CA3A381775C}" name="EE Area" dataDxfId="22"/>
    <tableColumn id="8" xr3:uid="{F5E5207D-35B1-4C5B-B7F5-2E4A030728EF}" name="Vendor" dataDxfId="21"/>
    <tableColumn id="4" xr3:uid="{EFD0F8DE-7E71-41FE-8AFE-856781E422B2}" name="Floor" dataDxfId="20"/>
    <tableColumn id="5" xr3:uid="{0E60F2B5-6D62-4059-89D7-FF93A7388131}" name="LOC_ID" dataDxfId="19"/>
    <tableColumn id="7" xr3:uid="{222D1A22-C1BD-4298-892B-DD5C5697BA3B}" name="Tool group" dataDxfId="18"/>
    <tableColumn id="9" xr3:uid="{754B4E0C-981C-45E7-950D-07C6A14B3D2D}" name="Model" dataDxfId="17"/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ACC0539-3BF4-4731-BA50-449C15165D8A}" name="MICUINT" displayName="MICUINT" ref="A1:AH1428" tableType="queryTable" totalsRowShown="0">
  <autoFilter ref="A1:AH1428" xr:uid="{3ACC0539-3BF4-4731-BA50-449C15165D8A}"/>
  <tableColumns count="34">
    <tableColumn id="26" xr3:uid="{2E370C57-AA80-4493-BCFF-114113CB9537}" uniqueName="26" name="Column1" queryTableFieldId="27" dataDxfId="16"/>
    <tableColumn id="1" xr3:uid="{CB8D7E29-D13A-46BA-B03F-48B04907F0B6}" uniqueName="1" name="Operator" queryTableFieldId="1" dataDxfId="15"/>
    <tableColumn id="2" xr3:uid="{38F1AE46-EBA3-46B4-94BA-FC9D7F72B21E}" uniqueName="2" name="Invoice #" queryTableFieldId="2" dataDxfId="14"/>
    <tableColumn id="3" xr3:uid="{7320B583-B2A0-4FC1-A9DD-4218AF393A24}" uniqueName="3" name="Client" queryTableFieldId="3" dataDxfId="13"/>
    <tableColumn id="4" xr3:uid="{186981A1-C537-4E34-A315-40BA8BDA9FC3}" uniqueName="4" name="PO+item #" queryTableFieldId="34"/>
    <tableColumn id="5" xr3:uid="{C19A4565-BE92-45E1-960D-9E7BBE142B91}" uniqueName="5" name="PO Name/Invoice Name" queryTableFieldId="5" dataDxfId="12"/>
    <tableColumn id="6" xr3:uid="{061113FC-C4F0-4B0B-975B-CAEEA8360265}" uniqueName="6" name="Amount" queryTableFieldId="6"/>
    <tableColumn id="7" xr3:uid="{730169B0-5498-4A95-8435-8A2E424C096E}" uniqueName="7" name="Tax" queryTableFieldId="7"/>
    <tableColumn id="8" xr3:uid="{6863F29B-7EEC-415C-AE0C-C7ED61852D7C}" uniqueName="8" name="Total Amount" queryTableFieldId="8"/>
    <tableColumn id="9" xr3:uid="{D4CC8694-F8E0-4BBB-8077-F4465D9B6136}" uniqueName="9" name="Received Amount" queryTableFieldId="9"/>
    <tableColumn id="10" xr3:uid="{8552D0E3-B13D-4C3B-BBAA-0E9C4AE2A602}" uniqueName="10" name="invoice date" queryTableFieldId="10" dataDxfId="11"/>
    <tableColumn id="11" xr3:uid="{2CA9F9D7-364C-4A98-8958-60A1D75C9182}" uniqueName="11" name="Send out date" queryTableFieldId="11" dataDxfId="10"/>
    <tableColumn id="12" xr3:uid="{AD4C185C-29ED-42F6-9880-5CEEF9D995C6}" uniqueName="12" name="Year" queryTableFieldId="12"/>
    <tableColumn id="13" xr3:uid="{E79C279B-5283-4874-AEEE-306506501C84}" uniqueName="13" name="Month" queryTableFieldId="13"/>
    <tableColumn id="14" xr3:uid="{6B32C7EC-E360-4DB3-8AC3-FA9777E99F42}" uniqueName="14" name="YearMonth" queryTableFieldId="14" dataDxfId="9"/>
    <tableColumn id="15" xr3:uid="{69504DEC-6FD0-4F61-B4F8-8222EC0A7742}" uniqueName="15" name="Status" queryTableFieldId="15" dataDxfId="8"/>
    <tableColumn id="27" xr3:uid="{850600E2-CE1C-4141-B6EB-29C5AE3964B1}" uniqueName="27" name="Payment received date" queryTableFieldId="28" dataDxfId="7"/>
    <tableColumn id="16" xr3:uid="{49E2C158-D31F-47F7-BDBC-C32740A8BB1B}" uniqueName="16" name="Comment" queryTableFieldId="16"/>
    <tableColumn id="17" xr3:uid="{673B3CD5-D3DF-43E7-A8CA-7570EE6B4EBB}" uniqueName="17" name="Tool ID" queryTableFieldId="17" dataDxfId="6"/>
    <tableColumn id="18" xr3:uid="{F8E86174-5512-4A1C-9D46-205BF2BB5CD3}" uniqueName="18" name="Remark" queryTableFieldId="18" dataDxfId="5"/>
    <tableColumn id="19" xr3:uid="{C1BF5A12-708E-46E9-AAF5-45744E070169}" uniqueName="19" name="PO Amount" queryTableFieldId="19"/>
    <tableColumn id="20" xr3:uid="{5701F9F8-FFEC-4FCB-92BD-E387CD4415F3}" uniqueName="20" name="Applied %" queryTableFieldId="20"/>
    <tableColumn id="21" xr3:uid="{FE9761AC-2249-410B-A23C-341027FC04E2}" uniqueName="21" name="Category" queryTableFieldId="21" dataDxfId="4"/>
    <tableColumn id="22" xr3:uid="{F892C251-702F-4519-A28E-CB895317C9D6}" uniqueName="22" name="function area" queryTableFieldId="22" dataDxfId="3"/>
    <tableColumn id="34" xr3:uid="{82F41778-ABFA-43A9-B412-AACC9FC337EF}" uniqueName="34" name="TI Vendor" queryTableFieldId="44"/>
    <tableColumn id="23" xr3:uid="{2782F879-B087-4BF1-ABED-78384D89C19C}" uniqueName="23" name="Open Days" queryTableFieldId="23"/>
    <tableColumn id="24" xr3:uid="{BDA03FA8-646C-4FA9-A400-2CAED48C9EAF}" uniqueName="24" name="Submit Open Days" queryTableFieldId="24"/>
    <tableColumn id="25" xr3:uid="{C5CC8319-DB16-47DA-904B-7A19ED4EBD8A}" uniqueName="25" name="PO" queryTableFieldId="35"/>
    <tableColumn id="28" xr3:uid="{0346F83B-A5E3-4E44-8B51-22F3FC512FD7}" uniqueName="28" name="2024/8/1" queryTableFieldId="36" dataDxfId="2"/>
    <tableColumn id="31" xr3:uid="{90341288-3448-4ED3-A44F-CA2EB5055485}" uniqueName="31" name="欄22" queryTableFieldId="37"/>
    <tableColumn id="29" xr3:uid="{C5CC57DE-2276-443D-ACB6-CB98778F8F68}" uniqueName="29" name="欄3" queryTableFieldId="32" dataDxfId="1"/>
    <tableColumn id="30" xr3:uid="{27F4A26B-B907-4B2C-8C95-708F02885AF8}" uniqueName="30" name="Payment receive Month" queryTableFieldId="33" dataDxfId="0"/>
    <tableColumn id="32" xr3:uid="{A4ECA8D0-C3E6-4859-A0E3-B32B4DDE7371}" uniqueName="32" name="欄1" queryTableFieldId="42"/>
    <tableColumn id="33" xr3:uid="{348519F4-0848-4E7E-A014-7BF8102FBE84}" uniqueName="33" name="欄2" queryTableFieldId="4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A8" dT="2022-12-09T04:17:12.87" personId="{758BD334-C090-4D6C-A384-596530A97633}" id="{6E6B0C2C-D12E-4C11-AC66-08EA0F921268}">
    <text>Return for resubmit 12082022</text>
  </threadedComment>
  <threadedComment ref="BS8" dT="2023-08-25T05:09:37.98" personId="{9D054FD1-4BB1-40BC-9197-C8A56C0FEA20}" id="{8BC8361A-9FD3-435D-A7BB-51FED9DF2ECC}">
    <text>Sent to sponsor</text>
  </threadedComment>
  <threadedComment ref="BU8" dT="2023-09-26T05:32:41.41" personId="{9D054FD1-4BB1-40BC-9197-C8A56C0FEA20}" id="{3D88DE5D-970E-435A-AC80-2E8E69C271A1}">
    <text>Sent to sponsor</text>
  </threadedComment>
  <threadedComment ref="BW8" dT="2023-10-27T16:35:33.92" personId="{9D054FD1-4BB1-40BC-9197-C8A56C0FEA20}" id="{042B7CEF-35F2-4E7F-A9E4-A24AD118F896}">
    <text>Sent to sponsor</text>
  </threadedComment>
  <threadedComment ref="BY8" dT="2023-11-25T21:51:34.29" personId="{9D054FD1-4BB1-40BC-9197-C8A56C0FEA20}" id="{2F76CE08-6846-4651-8682-8FA497B6C3AC}">
    <text>Sent to sponsor</text>
  </threadedComment>
  <threadedComment ref="CA8" dT="2023-12-23T00:42:21.35" personId="{CD8147DF-CE87-4417-AEA6-A7655347254F}" id="{984F8737-7C79-4A6B-98C0-EC4C005C0EE1}">
    <text>Wait for approved</text>
  </threadedComment>
  <threadedComment ref="CC8" dT="2024-01-27T05:11:51.25" personId="{CD8147DF-CE87-4417-AEA6-A7655347254F}" id="{36408674-301C-45DD-A8CB-1FF678EFC2BD}">
    <text>sent to DW JAN 26</text>
  </threadedComment>
  <threadedComment ref="CE8" dT="2024-02-24T05:48:03.58" personId="{9D054FD1-4BB1-40BC-9197-C8A56C0FEA20}" id="{CB2FC08E-8F51-448F-8CE6-768C03943284}">
    <text>sent to sponsor</text>
  </threadedComment>
  <threadedComment ref="CE8" dT="2024-02-27T18:17:36.50" personId="{CD8147DF-CE87-4417-AEA6-A7655347254F}" id="{B8F7189F-AD44-4143-9FBE-063F131D1429}" parentId="{CB2FC08E-8F51-448F-8CE6-768C03943284}">
    <text>Invoice</text>
  </threadedComment>
  <threadedComment ref="CE8" dT="2024-02-28T05:00:34.01" personId="{CD8147DF-CE87-4417-AEA6-A7655347254F}" id="{A5AB2F6B-37C2-46CA-9B4C-71DCCF7E3A40}" parentId="{CB2FC08E-8F51-448F-8CE6-768C03943284}">
    <text>JCAN Amount is $2,158,063 not $2,081,878</text>
  </threadedComment>
  <threadedComment ref="CE8" dT="2024-02-28T20:46:26.77" personId="{CD8147DF-CE87-4417-AEA6-A7655347254F}" id="{D19221C3-6219-4225-92D8-D7F892F6347D}" parentId="{CB2FC08E-8F51-448F-8CE6-768C03943284}">
    <text>Update to $2,158,063</text>
  </threadedComment>
  <threadedComment ref="CG8" dT="2024-03-28T18:21:25.90" personId="{CD8147DF-CE87-4417-AEA6-A7655347254F}" id="{C6C08882-3460-4404-97C8-D2963F247951}">
    <text>send to sponsor</text>
  </threadedComment>
  <threadedComment ref="CG8" dT="2024-03-28T18:27:41.55" personId="{CD8147DF-CE87-4417-AEA6-A7655347254F}" id="{144896EA-A9D7-42B3-A96C-0313332C2CA8}" parentId="{C6C08882-3460-4404-97C8-D2963F247951}">
    <text>Invoice</text>
  </threadedComment>
  <threadedComment ref="CI8" dT="2024-04-27T05:38:35.29" personId="{CD8147DF-CE87-4417-AEA6-A7655347254F}" id="{39F498B5-5E22-40DA-8A73-29B6842DCBB9}">
    <text>Send to spnsor</text>
  </threadedComment>
  <threadedComment ref="BA9" dT="2022-12-09T04:17:24.68" personId="{758BD334-C090-4D6C-A384-596530A97633}" id="{FF5A80DE-8A77-4E1F-81CD-3BF73D094B6F}">
    <text>Return for resubmit 12082022</text>
  </threadedComment>
  <threadedComment ref="CE9" dT="2024-02-27T02:53:42.55" personId="{9D054FD1-4BB1-40BC-9197-C8A56C0FEA20}" id="{D5B3F769-FF4E-4AD8-86AD-EDE7E6F1781F}">
    <text>sent to sponsor</text>
  </threadedComment>
  <threadedComment ref="CE9" dT="2024-02-27T19:07:51.00" personId="{CD8147DF-CE87-4417-AEA6-A7655347254F}" id="{731FE1C4-151B-4E27-AD89-FE2E7FE55E3A}" parentId="{D5B3F769-FF4E-4AD8-86AD-EDE7E6F1781F}">
    <text>Invoice</text>
  </threadedComment>
  <threadedComment ref="BS12" dT="2023-08-23T18:49:15.75" personId="{9D054FD1-4BB1-40BC-9197-C8A56C0FEA20}" id="{CBC05A2F-186C-415B-AFC7-ED7FAC4520D4}">
    <text>Sent to sponsor</text>
  </threadedComment>
  <threadedComment ref="BU12" dT="2023-09-25T21:24:16.09" personId="{9D054FD1-4BB1-40BC-9197-C8A56C0FEA20}" id="{008247C6-DC56-4845-BB81-1B0188B6D369}">
    <text>Sent to sponsor</text>
  </threadedComment>
  <threadedComment ref="BW12" dT="2023-10-25T06:36:42.24" personId="{9D054FD1-4BB1-40BC-9197-C8A56C0FEA20}" id="{5EE7C24A-629A-46A2-ADC7-8AC20AFA6D47}">
    <text>Sent to sponsor</text>
  </threadedComment>
  <threadedComment ref="BY12" dT="2023-11-26T00:14:11.82" personId="{9D054FD1-4BB1-40BC-9197-C8A56C0FEA20}" id="{5CB01C4B-B7C3-41CD-9085-E99C11B24E64}">
    <text>Sent to sponsor</text>
  </threadedComment>
  <threadedComment ref="CE12" dT="2024-02-27T17:29:20.03" personId="{9D054FD1-4BB1-40BC-9197-C8A56C0FEA20}" id="{7AD172DF-2437-4E67-8509-6903A999CADB}">
    <text>sent to sponsor</text>
  </threadedComment>
  <threadedComment ref="CE12" dT="2024-02-27T18:23:02.68" personId="{CD8147DF-CE87-4417-AEA6-A7655347254F}" id="{AD1BC1DC-8480-4C7D-9229-5BF3CF71AB6E}" parentId="{7AD172DF-2437-4E67-8509-6903A999CADB}">
    <text>Invoice</text>
  </threadedComment>
  <threadedComment ref="J13" dT="2024-09-23T18:22:25.81" personId="{9D054FD1-4BB1-40BC-9197-C8A56C0FEA20}" id="{D8AD2A53-2901-4E89-836A-E9C0EA1D9066}">
    <text>Up to 90% in September</text>
  </threadedComment>
  <threadedComment ref="BS13" dT="2023-08-25T03:55:57.23" personId="{9D054FD1-4BB1-40BC-9197-C8A56C0FEA20}" id="{42ED4C22-A546-4560-9F72-A7764225BE8B}">
    <text>Sent to sponsor</text>
  </threadedComment>
  <threadedComment ref="BU13" dT="2023-09-26T07:12:23.03" personId="{9D054FD1-4BB1-40BC-9197-C8A56C0FEA20}" id="{FE56A997-5581-4124-83D1-00DE2CD9289E}">
    <text>Sent to sponsor</text>
  </threadedComment>
  <threadedComment ref="BW13" dT="2023-10-27T16:33:16.10" personId="{9D054FD1-4BB1-40BC-9197-C8A56C0FEA20}" id="{9D8ACC81-5FAE-44D0-8A56-A7F8A0501873}">
    <text>Sent to sponsor</text>
  </threadedComment>
  <threadedComment ref="BY13" dT="2023-11-26T22:14:39.01" personId="{9D054FD1-4BB1-40BC-9197-C8A56C0FEA20}" id="{EDF3BDD2-EC28-4EEF-A51C-FCC0ACC6751B}">
    <text>Sent to sponsor</text>
  </threadedComment>
  <threadedComment ref="CC13" dT="2024-01-29T22:46:23.44" personId="{9D054FD1-4BB1-40BC-9197-C8A56C0FEA20}" id="{27D1BB97-50DE-477B-8645-92066C064C82}">
    <text>sent to sponsor</text>
  </threadedComment>
  <threadedComment ref="CE13" dT="2024-02-27T17:29:11.98" personId="{9D054FD1-4BB1-40BC-9197-C8A56C0FEA20}" id="{9369B30C-6990-40BE-A744-508C4D5AA3C8}">
    <text>sent to sponsor</text>
  </threadedComment>
  <threadedComment ref="CE13" dT="2024-02-27T18:18:46.98" personId="{CD8147DF-CE87-4417-AEA6-A7655347254F}" id="{959A2864-D76D-4D70-9212-6B059210DF7F}" parentId="{9369B30C-6990-40BE-A744-508C4D5AA3C8}">
    <text>Invoice</text>
  </threadedComment>
  <threadedComment ref="CE13" dT="2024-02-28T02:01:50.56" personId="{9D054FD1-4BB1-40BC-9197-C8A56C0FEA20}" id="{685F8652-B018-4A21-B08F-E7A610A33C52}" parentId="{9369B30C-6990-40BE-A744-508C4D5AA3C8}">
    <text>revise amount. sent to sponsor</text>
  </threadedComment>
  <threadedComment ref="CE13" dT="2024-02-28T02:06:00.19" personId="{CD8147DF-CE87-4417-AEA6-A7655347254F}" id="{6592C540-8E5A-4AEF-A15C-EE34DCB4DA4B}" parentId="{9369B30C-6990-40BE-A744-508C4D5AA3C8}">
    <text>Invoice</text>
  </threadedComment>
  <threadedComment ref="CG13" dT="2024-03-27T23:33:42.27" personId="{CD8147DF-CE87-4417-AEA6-A7655347254F}" id="{6B3A9C92-CAFF-45D1-9817-CC624E97E99A}">
    <text>Send to sponsor</text>
  </threadedComment>
  <threadedComment ref="CG13" dT="2024-03-28T01:22:20.36" personId="{CD8147DF-CE87-4417-AEA6-A7655347254F}" id="{127A109D-1819-430D-B9ED-2FCD073AB233}" parentId="{6B3A9C92-CAFF-45D1-9817-CC624E97E99A}">
    <text>Invoice</text>
  </threadedComment>
  <threadedComment ref="CI13" dT="2024-04-29T18:34:11.23" personId="{CD8147DF-CE87-4417-AEA6-A7655347254F}" id="{8B330FD2-F513-4BCF-BFBA-445801D140F5}">
    <text>send to sponsor</text>
  </threadedComment>
  <threadedComment ref="CI13" dT="2024-04-29T20:28:54.48" personId="{CD8147DF-CE87-4417-AEA6-A7655347254F}" id="{98097EAB-F537-4E99-A4F6-8E0E5A7C155C}" parentId="{8B330FD2-F513-4BCF-BFBA-445801D140F5}">
    <text>Previous amount difference $495.28</text>
  </threadedComment>
  <threadedComment ref="BA14" dT="2022-12-09T04:20:16.64" personId="{758BD334-C090-4D6C-A384-596530A97633}" id="{C401E729-54E6-4A86-8C31-39729F6D7F4B}">
    <text>Return for resubmit 12082022</text>
  </threadedComment>
  <threadedComment ref="BS14" dT="2023-08-24T23:13:58.47" personId="{9D054FD1-4BB1-40BC-9197-C8A56C0FEA20}" id="{FA8D29CB-1568-424E-83DB-E68DC0AF7101}">
    <text>Sent to sponsor, updated $</text>
  </threadedComment>
  <threadedComment ref="BU14" dT="2023-09-27T03:46:01.67" personId="{9D054FD1-4BB1-40BC-9197-C8A56C0FEA20}" id="{7D01CFF5-B906-4D59-A7B3-C39ACB676B88}">
    <text>Sent to sponsor</text>
  </threadedComment>
  <threadedComment ref="BW14" dT="2023-10-26T21:34:35.17" personId="{9D054FD1-4BB1-40BC-9197-C8A56C0FEA20}" id="{ED23F94B-A382-4B26-823D-B54BCC27A6F9}">
    <text>Sent to sponsor</text>
  </threadedComment>
  <threadedComment ref="BY14" dT="2023-11-23T03:55:22.45" personId="{9D054FD1-4BB1-40BC-9197-C8A56C0FEA20}" id="{00702B15-49D4-440C-907F-1FE5A79521AA}">
    <text>Sent to sponsor</text>
  </threadedComment>
  <threadedComment ref="CC14" dT="2024-01-27T05:15:56.19" personId="{CD8147DF-CE87-4417-AEA6-A7655347254F}" id="{553A6C6B-C063-4D3A-95A7-A963BE9649B4}">
    <text>Sent to DW JAN26</text>
  </threadedComment>
  <threadedComment ref="CE14" dT="2024-02-24T05:25:10.71" personId="{9D054FD1-4BB1-40BC-9197-C8A56C0FEA20}" id="{B2087308-D06F-4B13-A71F-248A4EC2DF0F}">
    <text>sent to sponsor</text>
  </threadedComment>
  <threadedComment ref="CE14" dT="2024-02-27T00:05:08.08" personId="{9D054FD1-4BB1-40BC-9197-C8A56C0FEA20}" id="{5F123214-5A68-406A-AEDE-EE371EE40870}" parentId="{B2087308-D06F-4B13-A71F-248A4EC2DF0F}">
    <text>re-send to sponsor</text>
  </threadedComment>
  <threadedComment ref="CE14" dT="2024-02-27T18:25:05.01" personId="{CD8147DF-CE87-4417-AEA6-A7655347254F}" id="{DA1B2ADB-FE46-4FE6-810E-16EDC6A735B9}" parentId="{B2087308-D06F-4B13-A71F-248A4EC2DF0F}">
    <text>Invoice</text>
  </threadedComment>
  <threadedComment ref="CE14" dT="2024-02-28T01:03:52.13" personId="{9D054FD1-4BB1-40BC-9197-C8A56C0FEA20}" id="{AB60B573-0C05-46D7-881D-7B31015F1A5A}" parentId="{B2087308-D06F-4B13-A71F-248A4EC2DF0F}">
    <text>@Peter Chien 錢嘉宏 revise $ and re-send to sponsor</text>
    <mentions>
      <mention mentionpersonId="{7042EF23-C5F4-4CB9-8DF1-8361EB5D9FC8}" mentionId="{26B55246-CF5B-488E-95D0-AA99CF616CA3}" startIndex="0" length="16"/>
    </mentions>
  </threadedComment>
  <threadedComment ref="CE14" dT="2024-02-28T01:20:36.50" personId="{CD8147DF-CE87-4417-AEA6-A7655347254F}" id="{6FECC87A-3CCA-465D-927A-D7CCCE51E299}" parentId="{B2087308-D06F-4B13-A71F-248A4EC2DF0F}">
    <text>Invoice</text>
  </threadedComment>
  <threadedComment ref="CG14" dT="2024-03-27T01:37:29.96" personId="{CD8147DF-CE87-4417-AEA6-A7655347254F}" id="{5DD27A34-78E0-4460-85C5-694AA770FB4F}">
    <text>Send to sponsor</text>
  </threadedComment>
  <threadedComment ref="CG14" dT="2024-03-28T02:27:13.27" personId="{CD8147DF-CE87-4417-AEA6-A7655347254F}" id="{AC43314A-86E3-4B23-A9F9-8BE4D59743B0}" parentId="{5DD27A34-78E0-4460-85C5-694AA770FB4F}">
    <text>Invoice</text>
  </threadedComment>
  <threadedComment ref="BS15" dT="2023-08-25T19:12:40.33" personId="{9D054FD1-4BB1-40BC-9197-C8A56C0FEA20}" id="{5C72B0AD-0A99-4280-92E4-83B7E109D6AE}">
    <text>Sent to sponsor</text>
  </threadedComment>
  <threadedComment ref="BU15" dT="2023-09-27T03:46:09.29" personId="{9D054FD1-4BB1-40BC-9197-C8A56C0FEA20}" id="{B4FF651E-8773-4B5B-AD26-B62B88FD5FAC}">
    <text>Sent to sponsor</text>
  </threadedComment>
  <threadedComment ref="BW15" dT="2023-10-25T06:42:20.38" personId="{9D054FD1-4BB1-40BC-9197-C8A56C0FEA20}" id="{EEB1779A-8E63-4FE7-BAD4-70E9E3DB761A}">
    <text>Sent to sponsor</text>
  </threadedComment>
  <threadedComment ref="BY15" dT="2023-11-25T21:20:49.39" personId="{9D054FD1-4BB1-40BC-9197-C8A56C0FEA20}" id="{34E4EEF6-65D4-47C2-B766-5576802569B9}">
    <text>Sent to sponsor</text>
  </threadedComment>
  <threadedComment ref="CC15" dT="2024-01-26T20:44:24.40" personId="{9D054FD1-4BB1-40BC-9197-C8A56C0FEA20}" id="{78620472-968A-40A2-9C63-88F6E9E52C01}">
    <text>sent to sponsor</text>
  </threadedComment>
  <threadedComment ref="CE15" dT="2024-02-23T01:49:24.79" personId="{9D054FD1-4BB1-40BC-9197-C8A56C0FEA20}" id="{4F92DF9A-A475-47D8-BB7B-27CF3E4ADC2E}">
    <text>sent to sponsor</text>
  </threadedComment>
  <threadedComment ref="CE15" dT="2024-02-23T22:59:06.07" personId="{CD8147DF-CE87-4417-AEA6-A7655347254F}" id="{E55EF596-9976-4098-8AC6-301863504DF4}" parentId="{4F92DF9A-A475-47D8-BB7B-27CF3E4ADC2E}">
    <text>Invoice</text>
  </threadedComment>
  <threadedComment ref="CE15" dT="2024-02-27T03:09:48.50" personId="{9D054FD1-4BB1-40BC-9197-C8A56C0FEA20}" id="{059BB780-AE38-4DBE-8310-9BCEF34373BF}" parentId="{4F92DF9A-A475-47D8-BB7B-27CF3E4ADC2E}">
    <text>re-send to sponsor</text>
  </threadedComment>
  <threadedComment ref="CE15" dT="2024-02-27T18:48:53.54" personId="{CD8147DF-CE87-4417-AEA6-A7655347254F}" id="{E440928D-D80F-438C-B8CB-A4D669811F6D}" parentId="{4F92DF9A-A475-47D8-BB7B-27CF3E4ADC2E}">
    <text>invoice</text>
  </threadedComment>
  <threadedComment ref="CE17" dT="2024-02-19T18:21:11.15" personId="{9D054FD1-4BB1-40BC-9197-C8A56C0FEA20}" id="{8327856F-0571-4944-A599-DD9B9DE394F5}">
    <text>Sent to sponsor</text>
  </threadedComment>
  <threadedComment ref="CE17" dT="2024-02-23T00:26:58.55" personId="{CD8147DF-CE87-4417-AEA6-A7655347254F}" id="{D6C2590D-A84F-43D7-9368-FB1891C23DD2}" parentId="{8327856F-0571-4944-A599-DD9B9DE394F5}">
    <text>invoice</text>
  </threadedComment>
  <threadedComment ref="CE17" dT="2024-02-27T02:49:04.14" personId="{9D054FD1-4BB1-40BC-9197-C8A56C0FEA20}" id="{7391E69D-7E8B-44A2-8BE2-4932E09BD38B}" parentId="{8327856F-0571-4944-A599-DD9B9DE394F5}">
    <text>re-send to sponsor</text>
  </threadedComment>
  <threadedComment ref="CE17" dT="2024-02-27T18:21:53.66" personId="{CD8147DF-CE87-4417-AEA6-A7655347254F}" id="{33FB9B27-96AB-44A9-859A-406ADF4E4B26}" parentId="{8327856F-0571-4944-A599-DD9B9DE394F5}">
    <text>invoice</text>
  </threadedComment>
  <threadedComment ref="CE17" dT="2024-03-01T03:33:07.84" personId="{9D054FD1-4BB1-40BC-9197-C8A56C0FEA20}" id="{5BFEC2E6-F28B-4D48-8F98-180BBC3FD6A9}" parentId="{8327856F-0571-4944-A599-DD9B9DE394F5}">
    <text>amount revised and re-send to sponsor</text>
  </threadedComment>
  <threadedComment ref="BS18" dT="2023-08-23T22:10:45.72" personId="{9D054FD1-4BB1-40BC-9197-C8A56C0FEA20}" id="{EBA384E0-8A8C-4BC3-82B3-61D4353122AA}">
    <text>Sent to sponsor</text>
  </threadedComment>
  <threadedComment ref="BU18" dT="2023-09-26T04:52:46.77" personId="{9D054FD1-4BB1-40BC-9197-C8A56C0FEA20}" id="{56AC0421-54C9-4149-9286-22A76FFE11F8}">
    <text>Sent to sponsor</text>
  </threadedComment>
  <threadedComment ref="BY18" dT="2023-11-23T03:20:27.09" personId="{9D054FD1-4BB1-40BC-9197-C8A56C0FEA20}" id="{CF984069-B3FD-4A0B-89E9-54E61F36FD71}">
    <text>Sent to sponsor</text>
  </threadedComment>
  <threadedComment ref="CG18" dT="2024-03-28T17:30:56.43" personId="{CD8147DF-CE87-4417-AEA6-A7655347254F}" id="{5A6519B7-F7ED-4966-8C98-99AEA1026A35}">
    <text>Send to sponsor</text>
  </threadedComment>
  <threadedComment ref="CG18" dT="2024-03-28T17:36:59.21" personId="{CD8147DF-CE87-4417-AEA6-A7655347254F}" id="{549E13F3-D283-4F73-8BEC-4067326D5DED}" parentId="{5A6519B7-F7ED-4966-8C98-99AEA1026A35}">
    <text>Invoice</text>
  </threadedComment>
  <threadedComment ref="BC23" dT="2023-01-31T21:18:58.54" personId="{692FC4E7-7852-45C2-9CED-869045350691}" id="{2655CBAB-B1CE-4BD0-A2D3-008788693AC8}">
    <text>submited</text>
  </threadedComment>
  <threadedComment ref="K24" dT="2022-05-31T18:08:13.66" personId="{758BD334-C090-4D6C-A384-596530A97633}" id="{E3FC60F7-5F2B-4510-A939-81F745B51C44}">
    <text>1. Chemical PO amount is incorrect. 
2. UPW Material change. Need CO.
3. Need to add 2nd portion of UPW PO in ERP</text>
  </threadedComment>
  <threadedComment ref="BS24" dT="2023-08-23T17:40:28.09" personId="{9D054FD1-4BB1-40BC-9197-C8A56C0FEA20}" id="{9F478422-9D94-4DCB-8D02-6BC2BC368110}">
    <text>Sent to sponsor</text>
  </threadedComment>
  <threadedComment ref="BY26" dT="2023-11-21T04:01:06.95" personId="{9D054FD1-4BB1-40BC-9197-C8A56C0FEA20}" id="{2AE621DF-53EF-4FA7-8870-1593C5906AC7}">
    <text>Sent to sponsor</text>
  </threadedComment>
  <threadedComment ref="BC27" dT="2022-12-23T04:20:06.50" personId="{758BD334-C090-4D6C-A384-596530A97633}" id="{C67141FD-45C5-4544-9F1D-212FB57590FC}">
    <text>12/22 Proforma Invoice</text>
  </threadedComment>
  <threadedComment ref="BS27" dT="2023-08-25T19:12:46.79" personId="{9D054FD1-4BB1-40BC-9197-C8A56C0FEA20}" id="{CA92D109-40FA-4BA6-BF3B-0F2E54644E9B}">
    <text>Sent to sponsor</text>
  </threadedComment>
  <threadedComment ref="CE27" dT="2024-02-19T22:30:53.91" personId="{9D054FD1-4BB1-40BC-9197-C8A56C0FEA20}" id="{F90DF754-DBF3-46F6-9174-F9A15412DD33}">
    <text>sent to sponsor</text>
  </threadedComment>
  <threadedComment ref="CE27" dT="2024-02-23T17:59:55.18" personId="{CD8147DF-CE87-4417-AEA6-A7655347254F}" id="{22230CD5-E21C-4162-8BE3-5288C38B60AF}" parentId="{F90DF754-DBF3-46F6-9174-F9A15412DD33}">
    <text>Invoice</text>
  </threadedComment>
  <threadedComment ref="CE27" dT="2024-02-27T03:14:21.57" personId="{9D054FD1-4BB1-40BC-9197-C8A56C0FEA20}" id="{F86C14BE-BC61-4CF2-946C-16EF0D49C74D}" parentId="{F90DF754-DBF3-46F6-9174-F9A15412DD33}">
    <text>re-send to sponsor</text>
  </threadedComment>
  <threadedComment ref="CE27" dT="2024-02-27T18:54:41.55" personId="{CD8147DF-CE87-4417-AEA6-A7655347254F}" id="{F0A9537B-FD39-4E18-BDFA-8D210517B894}" parentId="{F90DF754-DBF3-46F6-9174-F9A15412DD33}">
    <text>Invoice</text>
  </threadedComment>
  <threadedComment ref="CG27" dT="2024-03-26T16:51:02.03" personId="{9D054FD1-4BB1-40BC-9197-C8A56C0FEA20}" id="{28770E78-636B-4A2C-A793-ACEFFD6614E2}">
    <text>sent to sponsor</text>
  </threadedComment>
  <threadedComment ref="CG27" dT="2024-03-28T03:08:57.78" personId="{CD8147DF-CE87-4417-AEA6-A7655347254F}" id="{262A0993-6800-44C0-96B0-2CF77E75B6C0}" parentId="{28770E78-636B-4A2C-A793-ACEFFD6614E2}">
    <text>invoice</text>
  </threadedComment>
  <threadedComment ref="BC29" dT="2023-01-31T21:17:41.55" personId="{692FC4E7-7852-45C2-9CED-869045350691}" id="{6CF913A2-E32A-4CBC-91C0-48F4D8850BDD}">
    <text>Rejected, more supp docs</text>
  </threadedComment>
  <threadedComment ref="BU34" dT="2023-09-27T03:46:20.39" personId="{9D054FD1-4BB1-40BC-9197-C8A56C0FEA20}" id="{9DB5E52F-355E-4E38-8E3F-96F3FCF618D3}">
    <text>Sent to sponsor</text>
  </threadedComment>
  <threadedComment ref="BW34" dT="2023-10-25T06:42:13.14" personId="{9D054FD1-4BB1-40BC-9197-C8A56C0FEA20}" id="{85547CBA-6AF6-4D28-B5AB-A8DB24ACD2FE}">
    <text>Sent to sponsor, might need to revise the total amount because of tax</text>
  </threadedComment>
  <threadedComment ref="CC34" dT="2024-01-26T20:45:31.45" personId="{9D054FD1-4BB1-40BC-9197-C8A56C0FEA20}" id="{B535C8C1-E445-4836-A182-DEAB495F982B}">
    <text>Peter sent to sponsor</text>
  </threadedComment>
  <threadedComment ref="CE34" dT="2024-02-19T22:30:46.27" personId="{9D054FD1-4BB1-40BC-9197-C8A56C0FEA20}" id="{7DD8E016-5439-4255-BE74-768A7175B243}">
    <text>sent to sponsor</text>
  </threadedComment>
  <threadedComment ref="CE34" dT="2024-02-23T21:55:10.16" personId="{CD8147DF-CE87-4417-AEA6-A7655347254F}" id="{F655A5B6-EE97-4567-A8E3-9E2D352C7FD1}" parentId="{7DD8E016-5439-4255-BE74-768A7175B243}">
    <text>Invoice</text>
  </threadedComment>
  <threadedComment ref="BY35" dT="2023-11-21T04:01:16.69" personId="{9D054FD1-4BB1-40BC-9197-C8A56C0FEA20}" id="{6847B5B3-1CAE-45B5-8F75-F6FAE1E7E2E6}">
    <text>Sent to sponsor</text>
  </threadedComment>
  <threadedComment ref="CE35" dT="2024-02-19T18:21:22.27" personId="{9D054FD1-4BB1-40BC-9197-C8A56C0FEA20}" id="{59795B62-571C-4BCC-A483-FF1E0E653FCD}">
    <text>Sent to sponsor</text>
  </threadedComment>
  <threadedComment ref="CE35" dT="2024-02-23T21:55:23.94" personId="{CD8147DF-CE87-4417-AEA6-A7655347254F}" id="{5A3C8134-D930-4C4A-95ED-6FF217CE166B}" parentId="{59795B62-571C-4BCC-A483-FF1E0E653FCD}">
    <text>Invoice</text>
  </threadedComment>
  <threadedComment ref="CG35" dT="2024-03-26T16:51:05.92" personId="{9D054FD1-4BB1-40BC-9197-C8A56C0FEA20}" id="{91AA88B7-F26D-4E10-8365-2DD4B08AE641}">
    <text>sent to sponsor</text>
  </threadedComment>
  <threadedComment ref="CG35" dT="2024-03-28T03:06:14.70" personId="{CD8147DF-CE87-4417-AEA6-A7655347254F}" id="{DE3F5983-BE79-4510-8578-38733D681AD0}" parentId="{91AA88B7-F26D-4E10-8365-2DD4B08AE641}">
    <text>Invoice</text>
  </threadedComment>
  <threadedComment ref="BU36" dT="2023-09-27T03:46:28.55" personId="{9D054FD1-4BB1-40BC-9197-C8A56C0FEA20}" id="{B7F0860C-31E2-4B50-8C3D-EDAABEDA8754}">
    <text>Sent to sponsor</text>
  </threadedComment>
  <threadedComment ref="CC36" dT="2024-01-26T20:47:32.65" personId="{9D054FD1-4BB1-40BC-9197-C8A56C0FEA20}" id="{C3E892AE-7B9D-44D3-8701-452D1DDA91E0}">
    <text>Peter sent to sponsor</text>
  </threadedComment>
  <threadedComment ref="BW37" dT="2023-10-25T18:49:37.22" personId="{9D054FD1-4BB1-40BC-9197-C8A56C0FEA20}" id="{E4D8D684-E7FF-4B4B-A3F9-0AF5BAD33F24}">
    <text>Sent to sponsor</text>
  </threadedComment>
  <threadedComment ref="BW38" dT="2023-10-25T18:57:13.34" personId="{9D054FD1-4BB1-40BC-9197-C8A56C0FEA20}" id="{6D906FEA-25CB-4CE6-BD9B-93066E7BFEE2}">
    <text>Sent to sponsor</text>
  </threadedComment>
  <threadedComment ref="BY40" dT="2023-11-21T04:01:21.16" personId="{9D054FD1-4BB1-40BC-9197-C8A56C0FEA20}" id="{CBF2DFE1-1C58-475B-B6C0-65FFA11671C3}">
    <text>Sent to sponsor</text>
  </threadedComment>
  <threadedComment ref="BY41" dT="2023-11-21T04:01:27.08" personId="{9D054FD1-4BB1-40BC-9197-C8A56C0FEA20}" id="{6DD7BD8D-71C7-4350-8482-6D1DF0748DC0}">
    <text>Sent to sponsor</text>
  </threadedComment>
  <threadedComment ref="K42" dT="2022-07-22T21:26:00.83" personId="{758BD334-C090-4D6C-A384-596530A97633}" id="{05E59160-3FD1-4442-A74B-4F83947D7179}">
    <text>Labor+</text>
  </threadedComment>
  <threadedComment ref="BW42" dT="2023-10-25T18:52:58.13" personId="{9D054FD1-4BB1-40BC-9197-C8A56C0FEA20}" id="{896F45BB-546B-44F7-A3B3-F7AFE38A16B8}">
    <text>Sent to sponsor</text>
  </threadedComment>
  <threadedComment ref="BW43" dT="2023-10-25T19:00:32.19" personId="{9D054FD1-4BB1-40BC-9197-C8A56C0FEA20}" id="{0DB55130-FAB0-4C0F-938D-93E8AB5D89B0}">
    <text>Sent to sponsor</text>
  </threadedComment>
  <threadedComment ref="CI43" dT="2024-04-26T01:45:21.69" personId="{CD8147DF-CE87-4417-AEA6-A7655347254F}" id="{0577BD7F-09B2-4A96-AEB5-192AC3B8F85B}">
    <text>Re-submit Oct 2023 jcan as Chihhao request</text>
  </threadedComment>
  <threadedComment ref="BC44" dT="2023-01-31T21:19:39.16" personId="{692FC4E7-7852-45C2-9CED-869045350691}" id="{21BB6CAD-81E2-44B6-ACE2-928CF2852153}">
    <text>submited</text>
  </threadedComment>
  <threadedComment ref="BC44" dT="2023-05-02T06:33:55.17" personId="{9C53532F-038E-4C3A-B9A5-5DF54D9DD0CE}" id="{8B0F8CBB-3D0A-405C-95BA-54AF449D3AF2}" parentId="{21BB6CAD-81E2-44B6-ACE2-928CF2852153}">
    <text>4/28 received</text>
  </threadedComment>
  <threadedComment ref="CG45" dT="2024-03-28T00:57:27.34" personId="{CD8147DF-CE87-4417-AEA6-A7655347254F}" id="{FC500AB3-DDAB-42C7-BC23-84542378B265}">
    <text>send to sponsor</text>
  </threadedComment>
  <threadedComment ref="CG45" dT="2024-03-28T01:34:45.71" personId="{CD8147DF-CE87-4417-AEA6-A7655347254F}" id="{1A69804A-8D87-4A3E-AC54-24D0F5B3568C}" parentId="{FC500AB3-DDAB-42C7-BC23-84542378B265}">
    <text>Invoice</text>
  </threadedComment>
  <threadedComment ref="BS46" dT="2023-08-25T01:12:51.96" personId="{9D054FD1-4BB1-40BC-9197-C8A56C0FEA20}" id="{73E8EFF2-F313-4447-A242-429E67DDF7F0}">
    <text>Sent to sponsor</text>
  </threadedComment>
  <threadedComment ref="BU46" dT="2023-09-23T23:37:50.04" personId="{9D054FD1-4BB1-40BC-9197-C8A56C0FEA20}" id="{6C71D467-9632-42B8-A2E8-7DEB66EDAD89}">
    <text>Sent to sponsor</text>
  </threadedComment>
  <threadedComment ref="BW47" dT="2023-10-25T17:11:34.82" personId="{CD8147DF-CE87-4417-AEA6-A7655347254F}" id="{2BDD8CC8-3B77-43F2-9D4A-E5687685194A}">
    <text xml:space="preserve">Johnny Still search the sponsor Oct 25 </text>
  </threadedComment>
  <threadedComment ref="BW47" dT="2023-11-15T16:54:59.01" personId="{9D054FD1-4BB1-40BC-9197-C8A56C0FEA20}" id="{CEA72282-04A7-4820-9549-41EBE0D0F648}" parentId="{2BDD8CC8-3B77-43F2-9D4A-E5687685194A}">
    <text>Respond from sponsor: need a meeting to define what rule we can follow to handle JCAN before we receive the equipment</text>
  </threadedComment>
  <threadedComment ref="BY47" dT="2023-11-21T04:01:32.42" personId="{9D054FD1-4BB1-40BC-9197-C8A56C0FEA20}" id="{8F1DE45B-FCD6-457C-B9A5-B09499210625}">
    <text>Sent to sponsor</text>
  </threadedComment>
  <threadedComment ref="CC47" dT="2024-01-26T20:48:43.25" personId="{9D054FD1-4BB1-40BC-9197-C8A56C0FEA20}" id="{598928C0-F43A-47F7-B1A4-7A4023595F16}">
    <text>Peter sent to sponsor</text>
  </threadedComment>
  <threadedComment ref="BW48" dT="2023-10-24T17:01:35.07" personId="{9D054FD1-4BB1-40BC-9197-C8A56C0FEA20}" id="{9C959415-5E44-440C-90A7-84F3E869EA8F}">
    <text>Sent to sponsor</text>
  </threadedComment>
  <threadedComment ref="BY48" dT="2023-11-21T02:36:26.34" personId="{9D054FD1-4BB1-40BC-9197-C8A56C0FEA20}" id="{A526D1D7-FF53-486B-9E27-4D356D3E203F}">
    <text>Sent to sponsor</text>
  </threadedComment>
  <threadedComment ref="CC48" dT="2024-01-26T20:53:54.29" personId="{9D054FD1-4BB1-40BC-9197-C8A56C0FEA20}" id="{901A11B9-A7AB-40CE-9655-91473FE66229}">
    <text>Dahlia sent to sponsor</text>
  </threadedComment>
  <threadedComment ref="CG48" dT="2024-03-27T18:13:32.66" personId="{9D054FD1-4BB1-40BC-9197-C8A56C0FEA20}" id="{8CC92DA6-6A19-4C94-940F-D147C93B9695}">
    <text>sent to sponsor</text>
  </threadedComment>
  <threadedComment ref="CG48" dT="2024-03-28T02:29:17.66" personId="{CD8147DF-CE87-4417-AEA6-A7655347254F}" id="{1085BEF2-750E-4637-B83E-B3C678EA31F7}" parentId="{8CC92DA6-6A19-4C94-940F-D147C93B9695}">
    <text>Invoice</text>
  </threadedComment>
  <threadedComment ref="CG48" dT="2024-04-16T20:00:54.46" personId="{CD8147DF-CE87-4417-AEA6-A7655347254F}" id="{D13718C4-C61C-4D99-ABAA-AEE4FBAD8C91}" parentId="{8CC92DA6-6A19-4C94-940F-D147C93B9695}">
    <text>resubmit April 9</text>
  </threadedComment>
  <threadedComment ref="BS49" dT="2023-08-25T05:21:33.64" personId="{9D054FD1-4BB1-40BC-9197-C8A56C0FEA20}" id="{C977BF36-4349-43CB-BDD9-CE6ED95E52EC}">
    <text>Sent to sponsor</text>
  </threadedComment>
  <threadedComment ref="CC50" dT="2024-01-27T18:23:34.42" personId="{9D054FD1-4BB1-40BC-9197-C8A56C0FEA20}" id="{5BA50102-32D7-4428-8B26-4B5DD5205228}">
    <text>sent to sponsor</text>
  </threadedComment>
  <threadedComment ref="CE50" dT="2024-02-27T03:23:53.59" personId="{9D054FD1-4BB1-40BC-9197-C8A56C0FEA20}" id="{1C685FEA-FC91-4E0A-BAA3-4F5968B03C6B}">
    <text>sent to sponsor</text>
  </threadedComment>
  <threadedComment ref="CG50" dT="2024-03-27T01:40:30.67" personId="{CD8147DF-CE87-4417-AEA6-A7655347254F}" id="{A97564D5-2948-45F6-8308-F8DDFB2B502E}">
    <text>send to sponsor</text>
  </threadedComment>
  <threadedComment ref="CG50" dT="2024-03-28T01:56:32.68" personId="{CD8147DF-CE87-4417-AEA6-A7655347254F}" id="{077268EF-662D-4A97-BF9C-1C3942AD5E12}" parentId="{A97564D5-2948-45F6-8308-F8DDFB2B502E}">
    <text>Invoice</text>
  </threadedComment>
  <threadedComment ref="BU52" dT="2023-09-24T00:01:06.41" personId="{9D054FD1-4BB1-40BC-9197-C8A56C0FEA20}" id="{A35FBE26-5451-4447-9A90-C88C42DA2AC8}">
    <text>Sent to sponsor</text>
  </threadedComment>
  <threadedComment ref="CE54" dT="2024-02-27T17:47:29.66" personId="{9D054FD1-4BB1-40BC-9197-C8A56C0FEA20}" id="{8D85EE9A-02F7-4F75-A2FD-C81CEE6F224E}">
    <text>sent to sponsor</text>
  </threadedComment>
  <threadedComment ref="CE54" dT="2024-02-28T20:51:45.44" personId="{CD8147DF-CE87-4417-AEA6-A7655347254F}" id="{D5C3433F-986D-4AD8-9029-FEE35C8AB34C}" parentId="{8D85EE9A-02F7-4F75-A2FD-C81CEE6F224E}">
    <text>Invoice</text>
  </threadedComment>
  <threadedComment ref="BY55" dT="2023-11-26T07:07:46.04" personId="{9D054FD1-4BB1-40BC-9197-C8A56C0FEA20}" id="{619331CA-18AB-45C5-A3AB-63FFAA7FDEF9}">
    <text>Sent to sponsor</text>
  </threadedComment>
  <threadedComment ref="CG59" dT="2024-03-26T16:51:10.82" personId="{9D054FD1-4BB1-40BC-9197-C8A56C0FEA20}" id="{C542B37A-46A2-4649-BD4C-767885FAB902}">
    <text>sent to sponsor</text>
  </threadedComment>
  <threadedComment ref="CG59" dT="2024-03-28T02:33:52.35" personId="{CD8147DF-CE87-4417-AEA6-A7655347254F}" id="{2D85D38D-049C-442B-A76C-06BB9B640D48}" parentId="{C542B37A-46A2-4649-BD4C-767885FAB902}">
    <text>Invoice</text>
  </threadedComment>
  <threadedComment ref="J63" dT="2024-09-23T18:26:27.20" personId="{9D054FD1-4BB1-40BC-9197-C8A56C0FEA20}" id="{5C4F9FBB-D503-46EA-A4A7-F98BC5DD25FF}">
    <text>Up to 90% in September</text>
  </threadedComment>
  <threadedComment ref="BA63" dT="2022-12-09T05:29:13.42" personId="{758BD334-C090-4D6C-A384-596530A97633}" id="{23C4103E-6DB0-4DB8-86E8-2852A574562A}">
    <text>Return for resubmit 12082022</text>
  </threadedComment>
  <threadedComment ref="BY63" dT="2023-11-26T06:26:30.75" personId="{9D054FD1-4BB1-40BC-9197-C8A56C0FEA20}" id="{10171A29-D07D-415A-8E88-464320EF3D7A}">
    <text>Sent to sponsor</text>
  </threadedComment>
  <threadedComment ref="J68" dT="2024-09-23T19:09:37.89" personId="{9D054FD1-4BB1-40BC-9197-C8A56C0FEA20}" id="{24AE8E36-0249-4FC7-8EC6-0447361EE8C2}">
    <text>Understanding scope</text>
  </threadedComment>
  <threadedComment ref="BU68" dT="2023-09-26T05:53:07.26" personId="{9D054FD1-4BB1-40BC-9197-C8A56C0FEA20}" id="{3AFFAB95-C4D9-4AFF-8FAA-E6BBA6CB517A}">
    <text>Sent to sponsor</text>
  </threadedComment>
  <threadedComment ref="BW68" dT="2023-10-26T21:48:18.95" personId="{9D054FD1-4BB1-40BC-9197-C8A56C0FEA20}" id="{E2BC30BE-18A2-4919-915A-55F5D9EC9825}">
    <text>Sent to sponsor</text>
  </threadedComment>
  <threadedComment ref="CG68" dT="2024-03-27T01:19:19.18" personId="{CD8147DF-CE87-4417-AEA6-A7655347254F}" id="{B9D91569-DDD8-4990-9015-9B1976355139}">
    <text>Send to Sponsor</text>
  </threadedComment>
  <threadedComment ref="CG68" dT="2024-03-28T03:18:15.03" personId="{CD8147DF-CE87-4417-AEA6-A7655347254F}" id="{579EA40D-6852-4D08-A4B5-E6C45B6FAF2E}" parentId="{B9D91569-DDD8-4990-9015-9B1976355139}">
    <text>invoice</text>
  </threadedComment>
  <threadedComment ref="J69" dT="2024-09-23T18:40:38.19" personId="{9D054FD1-4BB1-40BC-9197-C8A56C0FEA20}" id="{BB2F171D-E805-4B9A-B214-20DE299FAF33}">
    <text>No progress for Sep AR</text>
  </threadedComment>
  <threadedComment ref="BS69" dT="2023-08-24T23:56:53.02" personId="{9D054FD1-4BB1-40BC-9197-C8A56C0FEA20}" id="{D2494C58-F605-4AFF-9105-F8491BB267FE}">
    <text>Sent to sponsor</text>
  </threadedComment>
  <threadedComment ref="BY69" dT="2023-11-23T03:31:10.99" personId="{9D054FD1-4BB1-40BC-9197-C8A56C0FEA20}" id="{09D145B2-C1B2-4ED0-B765-F57B2E8DF12E}">
    <text>Sent to sponsor</text>
  </threadedComment>
  <threadedComment ref="CC69" dT="2024-01-27T05:28:15.36" personId="{CD8147DF-CE87-4417-AEA6-A7655347254F}" id="{D6DF8F7D-07A0-42EC-9475-99FFB09EF89C}">
    <text>SENT TO DW JAN26</text>
  </threadedComment>
  <threadedComment ref="CG69" dT="2024-03-28T17:46:32.42" personId="{CD8147DF-CE87-4417-AEA6-A7655347254F}" id="{756BDB09-F5DF-44CF-B80E-27A41243D4E4}">
    <text>send to sponsor</text>
  </threadedComment>
  <threadedComment ref="CG69" dT="2024-03-28T17:50:07.89" personId="{CD8147DF-CE87-4417-AEA6-A7655347254F}" id="{2C1CE7E5-C68A-4425-B187-AEBB58279631}" parentId="{756BDB09-F5DF-44CF-B80E-27A41243D4E4}">
    <text>invoice</text>
  </threadedComment>
  <threadedComment ref="CI69" dT="2024-04-28T00:52:34.81" personId="{CD8147DF-CE87-4417-AEA6-A7655347254F}" id="{F38070AE-7C84-4D77-A34A-365CBF469F1E}">
    <text>Send to sponsor</text>
  </threadedComment>
  <threadedComment ref="J70" dT="2024-09-23T19:14:49.33" personId="{9D054FD1-4BB1-40BC-9197-C8A56C0FEA20}" id="{6BEAEE57-4595-4731-AB13-BD87E02E16F9}">
    <text>Apply to 85% in September</text>
  </threadedComment>
  <threadedComment ref="G71" dT="2024-03-12T17:42:21.04" personId="{9D054FD1-4BB1-40BC-9197-C8A56C0FEA20}" id="{F21D7EDE-B069-4809-B5D3-605CACC07D10}">
    <text>Gary Murphy - C&amp;B, QR Lab</text>
  </threadedComment>
  <threadedComment ref="BY72" dT="2023-11-21T04:01:38.10" personId="{9D054FD1-4BB1-40BC-9197-C8A56C0FEA20}" id="{63874160-3199-42A3-9E9A-EFBB62C9AEDC}">
    <text>Sent to sponsor</text>
  </threadedComment>
  <threadedComment ref="BY73" dT="2023-11-21T04:01:43.37" personId="{9D054FD1-4BB1-40BC-9197-C8A56C0FEA20}" id="{1F663A6A-215E-4023-919B-2AB5F29FC637}">
    <text>Sent to sponsor</text>
  </threadedComment>
  <threadedComment ref="J75" dT="2024-09-23T19:19:00.33" personId="{9D054FD1-4BB1-40BC-9197-C8A56C0FEA20}" id="{7105290E-6F1C-44EF-9B1D-BDE5EE3EFAC3}">
    <text>No progress</text>
  </threadedComment>
  <threadedComment ref="CC75" dT="2024-01-27T18:50:02.42" personId="{9D054FD1-4BB1-40BC-9197-C8A56C0FEA20}" id="{D44B3017-798A-4A61-BF1D-C05BE0AA06FC}">
    <text>sent to sponsor</text>
  </threadedComment>
  <threadedComment ref="BU78" dT="2023-09-22T22:50:49.90" personId="{9D054FD1-4BB1-40BC-9197-C8A56C0FEA20}" id="{EB11A27D-C8A5-4DE8-BC47-41A187A6D1CA}">
    <text>Sent to sponsor</text>
  </threadedComment>
  <threadedComment ref="BY78" dT="2023-11-21T04:06:58.13" personId="{9D054FD1-4BB1-40BC-9197-C8A56C0FEA20}" id="{AE860825-C2ED-4775-962D-6135A7189D4D}">
    <text>Sent to sponsor</text>
  </threadedComment>
  <threadedComment ref="CG80" dT="2024-03-27T18:12:22.31" personId="{9D054FD1-4BB1-40BC-9197-C8A56C0FEA20}" id="{AB343BB7-23A5-46A0-A087-2A71F059D468}">
    <text>sent to sponsor</text>
  </threadedComment>
  <threadedComment ref="CG80" dT="2024-03-28T01:34:59.83" personId="{CD8147DF-CE87-4417-AEA6-A7655347254F}" id="{E2A05750-5A08-48A7-8E3C-024E6685BBE8}" parentId="{AB343BB7-23A5-46A0-A087-2A71F059D468}">
    <text>Invoice</text>
  </threadedComment>
  <threadedComment ref="BA82" dT="2022-12-09T05:26:46.84" personId="{758BD334-C090-4D6C-A384-596530A97633}" id="{76B8764A-E538-4176-B0A2-49E98873C34A}">
    <text>Return for resubmit 12082022</text>
  </threadedComment>
  <threadedComment ref="CE82" dT="2024-02-26T18:43:30.05" personId="{9D054FD1-4BB1-40BC-9197-C8A56C0FEA20}" id="{2569F64D-1DFA-4899-8D83-D7EFCB413D05}">
    <text>sent to sponsor</text>
  </threadedComment>
  <threadedComment ref="CE82" dT="2024-02-27T18:58:37.43" personId="{CD8147DF-CE87-4417-AEA6-A7655347254F}" id="{53AD5B0B-78D9-4A9A-BDC0-6091B3578B95}" parentId="{2569F64D-1DFA-4899-8D83-D7EFCB413D05}">
    <text>Invoice</text>
  </threadedComment>
  <threadedComment ref="J85" dT="2024-09-23T19:19:14.76" personId="{9D054FD1-4BB1-40BC-9197-C8A56C0FEA20}" id="{ECDFF833-5B99-432E-9E78-F52FCD42575F}">
    <text>Apply to 80% in September</text>
  </threadedComment>
  <threadedComment ref="CA85" dT="2023-12-23T09:29:48.28" personId="{CD8147DF-CE87-4417-AEA6-A7655347254F}" id="{A7F91B2E-9DDE-4122-B167-ACFFCF5A8A3F}">
    <text>No document provide</text>
  </threadedComment>
  <threadedComment ref="CE85" dT="2024-02-27T00:22:41.10" personId="{9D054FD1-4BB1-40BC-9197-C8A56C0FEA20}" id="{70F8B930-6627-486C-B525-C0AC08C6594B}">
    <text>sent to sponsor</text>
  </threadedComment>
  <threadedComment ref="CE85" dT="2024-02-27T18:47:18.13" personId="{CD8147DF-CE87-4417-AEA6-A7655347254F}" id="{88480D0D-48DA-4EA4-9B20-33F4A8BA2EB6}" parentId="{70F8B930-6627-486C-B525-C0AC08C6594B}">
    <text>invoice</text>
  </threadedComment>
  <threadedComment ref="CI85" dT="2024-04-27T05:23:23.90" personId="{CD8147DF-CE87-4417-AEA6-A7655347254F}" id="{1BD6C218-13E2-4EE1-A318-F1100F2527EB}">
    <text>Send to Sponsor</text>
  </threadedComment>
  <threadedComment ref="CA86" dT="2024-04-17T21:08:32.99" personId="{CD8147DF-CE87-4417-AEA6-A7655347254F}" id="{2F4E19A3-4FB1-4530-A975-70B13B652D8C}">
    <text>Resubmit Apirl 17</text>
  </threadedComment>
  <threadedComment ref="BY87" dT="2023-11-21T04:01:48.52" personId="{9D054FD1-4BB1-40BC-9197-C8A56C0FEA20}" id="{3A99ED65-A6FD-49BC-985E-E9F6EB5B4792}">
    <text>Sent to sponsor</text>
  </threadedComment>
  <threadedComment ref="BY88" dT="2023-11-21T04:01:53.04" personId="{9D054FD1-4BB1-40BC-9197-C8A56C0FEA20}" id="{1A9BA19F-5530-4366-A663-D1A91DF1F11C}">
    <text>Sent to sponsor</text>
  </threadedComment>
  <threadedComment ref="BY91" dT="2023-11-26T22:14:04.00" personId="{9D054FD1-4BB1-40BC-9197-C8A56C0FEA20}" id="{A2959649-9FD1-4172-953D-3D8D47897372}">
    <text>Sent to sponsor</text>
  </threadedComment>
  <threadedComment ref="CC91" dT="2024-01-27T01:30:08.53" personId="{CD8147DF-CE87-4417-AEA6-A7655347254F}" id="{42D479DB-4655-4A60-A05D-C0A6B8D97D9A}">
    <text>Send to sponsor Jan 26</text>
  </threadedComment>
  <threadedComment ref="CE91" dT="2024-02-22T23:41:48.94" personId="{CD8147DF-CE87-4417-AEA6-A7655347254F}" id="{313911DA-50C7-4AB4-8141-57C139EAB0C7}">
    <text>Sent to sponsor 2/22</text>
  </threadedComment>
  <threadedComment ref="CE91" dT="2024-02-23T00:17:36.10" personId="{CD8147DF-CE87-4417-AEA6-A7655347254F}" id="{EEC316C2-5A6A-4A0F-B9FD-5B1D3FDF0187}" parentId="{313911DA-50C7-4AB4-8141-57C139EAB0C7}">
    <text>Invoice</text>
  </threadedComment>
  <threadedComment ref="BC94" dT="2023-01-31T21:24:22.99" personId="{692FC4E7-7852-45C2-9CED-869045350691}" id="{DD5E89DB-65C7-449D-B8A2-1653EE70B75A}">
    <text>Waiting for formal invoice</text>
  </threadedComment>
  <threadedComment ref="BS96" dT="2023-08-22T23:46:43.64" personId="{9D054FD1-4BB1-40BC-9197-C8A56C0FEA20}" id="{B0500433-77BC-4C75-835B-23A0BEDF2496}">
    <text>Sent to sponsor</text>
  </threadedComment>
  <threadedComment ref="BS98" dT="2023-08-25T01:12:05.80" personId="{9D054FD1-4BB1-40BC-9197-C8A56C0FEA20}" id="{BAC5BAE2-1938-4294-9A9C-A2D809E40057}">
    <text>Sent to sponsor</text>
  </threadedComment>
  <threadedComment ref="BU98" dT="2023-09-23T23:35:44.53" personId="{9D054FD1-4BB1-40BC-9197-C8A56C0FEA20}" id="{5C37DE57-C505-433A-9E1C-6201BBAA4C60}">
    <text>Sent to sponsor</text>
  </threadedComment>
  <threadedComment ref="BY99" dT="2023-11-25T22:01:24.35" personId="{9D054FD1-4BB1-40BC-9197-C8A56C0FEA20}" id="{D7010A55-2792-4558-91D8-3E29C4F94DAE}">
    <text>Sent to sponsor</text>
  </threadedComment>
  <threadedComment ref="BS101" dT="2023-08-22T23:52:25.61" personId="{9D054FD1-4BB1-40BC-9197-C8A56C0FEA20}" id="{806AE5AA-0174-4FDD-B828-CE5C0EE7833E}">
    <text>Sent and get signature from sponsor</text>
  </threadedComment>
  <threadedComment ref="BY101" dT="2023-11-28T16:51:13.04" personId="{9D054FD1-4BB1-40BC-9197-C8A56C0FEA20}" id="{9F2ADFAC-BDFE-4EC7-AC79-60450D7268EB}">
    <text>Sent to sponsor</text>
  </threadedComment>
  <threadedComment ref="CC101" dT="2024-01-26T23:34:34.09" personId="{9D054FD1-4BB1-40BC-9197-C8A56C0FEA20}" id="{BE3EFED9-873F-4E39-895A-868DF6A04C6E}">
    <text>sent to sponsor</text>
  </threadedComment>
  <threadedComment ref="CE101" dT="2024-02-27T00:31:37.30" personId="{36656AB4-E6C5-4F1B-BEBD-EDE866811F2D}" id="{88E9C837-C434-4E1C-856F-251065EF6883}">
    <text>Upload to SO360</text>
  </threadedComment>
  <threadedComment ref="CE101" dT="2024-03-11T18:50:16.88" personId="{CD8147DF-CE87-4417-AEA6-A7655347254F}" id="{04192FEE-1D55-4D3A-A018-09E725A63A31}" parentId="{88E9C837-C434-4E1C-856F-251065EF6883}">
    <text>In TSMC Acceptance</text>
  </threadedComment>
  <threadedComment ref="BS104" dT="2023-08-24T16:40:37.87" personId="{9D054FD1-4BB1-40BC-9197-C8A56C0FEA20}" id="{1E6B626D-FFD3-41C1-862D-E9D76913E2B1}">
    <text>Sent to sponsor</text>
  </threadedComment>
  <threadedComment ref="BU104" dT="2023-09-22T22:54:32.31" personId="{9D054FD1-4BB1-40BC-9197-C8A56C0FEA20}" id="{E91D2FEB-DB17-45AA-AAAE-0977F6997E0C}">
    <text>Sent to sponsor</text>
  </threadedComment>
  <threadedComment ref="CG104" dT="2024-03-28T00:53:32.85" personId="{CD8147DF-CE87-4417-AEA6-A7655347254F}" id="{7496CED9-0DF9-4ED2-92BE-2453E2EEBD5F}">
    <text>Send to sponsor</text>
  </threadedComment>
  <threadedComment ref="CG104" dT="2024-03-28T01:47:39.49" personId="{CD8147DF-CE87-4417-AEA6-A7655347254F}" id="{12240538-BB35-45D7-96F2-AA91E167CE0E}" parentId="{7496CED9-0DF9-4ED2-92BE-2453E2EEBD5F}">
    <text>invoice</text>
  </threadedComment>
  <threadedComment ref="CC106" dT="2024-01-25T00:41:54.66" personId="{CD8147DF-CE87-4417-AEA6-A7655347254F}" id="{C597EF94-D857-43C7-85DB-5528DFEBC8D6}">
    <text>send to Sponsor</text>
  </threadedComment>
  <threadedComment ref="CC106" dT="2024-01-30T18:58:00.50" personId="{CD8147DF-CE87-4417-AEA6-A7655347254F}" id="{A4135890-05CA-48E7-A54D-53CE34C3CF3F}" parentId="{C597EF94-D857-43C7-85DB-5528DFEBC8D6}">
    <text>Original invoice have been return</text>
  </threadedComment>
  <threadedComment ref="CI106" dT="2024-04-30T21:25:45.42" personId="{9D054FD1-4BB1-40BC-9197-C8A56C0FEA20}" id="{32A412A5-2C60-4755-8C87-5FE4BF9D4CC3}">
    <text>amount change</text>
  </threadedComment>
  <threadedComment ref="CI106" dT="2024-04-30T22:52:19.20" personId="{CD8147DF-CE87-4417-AEA6-A7655347254F}" id="{70B878EF-2118-43F4-835B-3DD4AFF010C9}" parentId="{32A412A5-2C60-4755-8C87-5FE4BF9D4CC3}">
    <text>Waiting for sponsor return</text>
  </threadedComment>
  <threadedComment ref="CE111" dT="2024-02-27T00:34:25.06" personId="{36656AB4-E6C5-4F1B-BEBD-EDE866811F2D}" id="{4493B3F0-2E36-423B-8729-F0E075D41F98}">
    <text>Upload to SO360</text>
  </threadedComment>
  <threadedComment ref="CE112" dT="2024-02-27T16:33:09.65" personId="{141EBD83-0775-4DAB-AD79-18F480E94C9B}" id="{6AD8866C-A45C-445B-A490-C84CDCEA989F}">
    <text>upload to SO360</text>
  </threadedComment>
  <threadedComment ref="BS115" dT="2023-08-23T18:38:08.65" personId="{9D054FD1-4BB1-40BC-9197-C8A56C0FEA20}" id="{57F8AD4F-8B42-4623-90EB-8BC1B2AEA0EB}">
    <text>Sent to sponsor</text>
  </threadedComment>
  <threadedComment ref="BW115" dT="2023-10-27T21:19:58.47" personId="{9D054FD1-4BB1-40BC-9197-C8A56C0FEA20}" id="{29E35E62-E553-49DE-BCF8-9CE7189055B9}">
    <text>Sent to sponsor</text>
  </threadedComment>
  <threadedComment ref="BY118" dT="2023-11-25T22:25:32.25" personId="{9D054FD1-4BB1-40BC-9197-C8A56C0FEA20}" id="{992CD43F-F20A-4A99-8FB9-50FC0CC004E7}">
    <text>Sent to sponsor</text>
  </threadedComment>
  <threadedComment ref="CG120" dT="2024-03-27T04:47:20.00" personId="{9D054FD1-4BB1-40BC-9197-C8A56C0FEA20}" id="{1F84F980-E77D-4B0F-89DA-6BCD32008375}">
    <text>sent to sponsor</text>
  </threadedComment>
  <threadedComment ref="CG120" dT="2024-03-28T01:26:13.98" personId="{CD8147DF-CE87-4417-AEA6-A7655347254F}" id="{778557FF-7F9B-4ED5-84E9-B0DBF242BFBF}" parentId="{1F84F980-E77D-4B0F-89DA-6BCD32008375}">
    <text>invoice</text>
  </threadedComment>
  <threadedComment ref="CG121" dT="2024-03-27T04:47:32.67" personId="{9D054FD1-4BB1-40BC-9197-C8A56C0FEA20}" id="{8384D660-56B2-446C-AA07-264334FF0D64}">
    <text>sent to sponsor</text>
  </threadedComment>
  <threadedComment ref="CG121" dT="2024-03-28T01:54:27.04" personId="{CD8147DF-CE87-4417-AEA6-A7655347254F}" id="{A304A14C-9821-494A-9729-47F6EF8D7541}" parentId="{8384D660-56B2-446C-AA07-264334FF0D64}">
    <text>Invoice</text>
  </threadedComment>
  <threadedComment ref="CE125" dT="2024-02-23T04:40:37.25" personId="{9D054FD1-4BB1-40BC-9197-C8A56C0FEA20}" id="{DAAC950C-686C-4F4A-9B9B-2AA8520ECC0A}">
    <text>sent to sponsor</text>
  </threadedComment>
  <threadedComment ref="CE125" dT="2024-02-27T00:34:08.21" personId="{36656AB4-E6C5-4F1B-BEBD-EDE866811F2D}" id="{E68B7E50-FCD6-40D5-8907-68D70E0D29A8}" parentId="{DAAC950C-686C-4F4A-9B9B-2AA8520ECC0A}">
    <text>Upload to SO360</text>
  </threadedComment>
  <threadedComment ref="CE125" dT="2024-03-11T19:03:01.86" personId="{CD8147DF-CE87-4417-AEA6-A7655347254F}" id="{0370A9C1-0D9E-461E-8884-A315A23C91B8}" parentId="{DAAC950C-686C-4F4A-9B9B-2AA8520ECC0A}">
    <text>Accepted</text>
  </threadedComment>
  <threadedComment ref="BS126" dT="2023-08-23T18:39:40.42" personId="{9D054FD1-4BB1-40BC-9197-C8A56C0FEA20}" id="{E4959760-3786-45F6-B5B0-CBCAA875BAA5}">
    <text>Sent to sponsor</text>
  </threadedComment>
  <threadedComment ref="CI127" dT="2024-04-29T19:00:04.63" personId="{CD8147DF-CE87-4417-AEA6-A7655347254F}" id="{C5900B3E-1760-49B0-8C98-DA2C4DFA3AA3}">
    <text>previous amount incorrect</text>
  </threadedComment>
  <threadedComment ref="BS130" dT="2023-08-23T00:09:59.15" personId="{9D054FD1-4BB1-40BC-9197-C8A56C0FEA20}" id="{C832BE11-5682-489D-AFE0-38326B1AA9D0}">
    <text>Sent and get signature from sponsor</text>
  </threadedComment>
  <threadedComment ref="BU130" dT="2023-09-22T22:51:08.60" personId="{9D054FD1-4BB1-40BC-9197-C8A56C0FEA20}" id="{6DD06426-13E1-4D4A-991A-BB10EFCE05DF}">
    <text>Sent to sponsor and get approval</text>
  </threadedComment>
  <threadedComment ref="CG130" dT="2024-03-27T04:51:23.27" personId="{9D054FD1-4BB1-40BC-9197-C8A56C0FEA20}" id="{012F396F-245E-4873-8B0F-BCE772682E35}">
    <text>sent to sponsor</text>
  </threadedComment>
  <threadedComment ref="CG130" dT="2024-03-28T02:36:48.93" personId="{CD8147DF-CE87-4417-AEA6-A7655347254F}" id="{FE2E404B-7D75-48BE-AA7B-2B4E8D59D341}" parentId="{012F396F-245E-4873-8B0F-BCE772682E35}">
    <text>Invoice</text>
  </threadedComment>
  <threadedComment ref="BY140" dT="2023-11-25T21:22:35.58" personId="{9D054FD1-4BB1-40BC-9197-C8A56C0FEA20}" id="{C6D07F1B-D318-4886-BF53-829121A97187}">
    <text>Sent to sponsor</text>
  </threadedComment>
  <threadedComment ref="CE143" dT="2024-02-27T17:47:39.94" personId="{9D054FD1-4BB1-40BC-9197-C8A56C0FEA20}" id="{2736D73D-5DB9-4991-831B-F0B597930349}">
    <text>sent to sponsor</text>
  </threadedComment>
  <threadedComment ref="CE143" dT="2024-02-27T18:26:33.95" personId="{CD8147DF-CE87-4417-AEA6-A7655347254F}" id="{C4E31EAE-0FA6-49CD-86FB-2EF053E85CE7}" parentId="{2736D73D-5DB9-4991-831B-F0B597930349}">
    <text>Invoice</text>
  </threadedComment>
  <threadedComment ref="BU144" dT="2023-09-26T05:32:51.93" personId="{9D054FD1-4BB1-40BC-9197-C8A56C0FEA20}" id="{7BE7942F-E2E5-412A-A976-34A21CFD7665}">
    <text>Sent to sponsor</text>
  </threadedComment>
  <threadedComment ref="BS145" dT="2023-08-23T18:36:48.26" personId="{9D054FD1-4BB1-40BC-9197-C8A56C0FEA20}" id="{5C3EC701-61C3-479F-9B13-CA31DCD300C9}">
    <text>Sent to sponsor</text>
  </threadedComment>
  <threadedComment ref="BW146" dT="2023-10-25T19:15:12.93" personId="{9D054FD1-4BB1-40BC-9197-C8A56C0FEA20}" id="{35371115-C9C8-4889-9C27-0E8351FE56A0}">
    <text>Sent to sponsor</text>
  </threadedComment>
  <threadedComment ref="BU147" dT="2023-09-26T17:58:50.14" personId="{9D054FD1-4BB1-40BC-9197-C8A56C0FEA20}" id="{66C641E3-A83B-45BD-ABD4-D1CD8B4D757D}">
    <text>Sent to sponsor</text>
  </threadedComment>
  <threadedComment ref="BY147" dT="2023-11-28T16:50:52.38" personId="{9D054FD1-4BB1-40BC-9197-C8A56C0FEA20}" id="{139BF271-D428-4D03-B445-6EE82766094D}">
    <text>Sent to sponsor</text>
  </threadedComment>
  <threadedComment ref="CE156" dT="2024-02-19T22:32:03.86" personId="{9D054FD1-4BB1-40BC-9197-C8A56C0FEA20}" id="{94F2850F-6FC9-43C8-8EBA-6BA3EF539D6E}">
    <text>sent to C&amp;B</text>
  </threadedComment>
  <threadedComment ref="CE156" dT="2024-02-27T00:33:58.56" personId="{36656AB4-E6C5-4F1B-BEBD-EDE866811F2D}" id="{20FE0ACE-069D-4A81-B45D-0290E4DE2B01}" parentId="{94F2850F-6FC9-43C8-8EBA-6BA3EF539D6E}">
    <text>Upload to SO360</text>
  </threadedComment>
  <threadedComment ref="CE156" dT="2024-03-11T19:04:23.60" personId="{CD8147DF-CE87-4417-AEA6-A7655347254F}" id="{15C3EA2E-E48B-4FBA-A6E0-C193D56457C4}" parentId="{94F2850F-6FC9-43C8-8EBA-6BA3EF539D6E}">
    <text>In TSMC Acceptance</text>
  </threadedComment>
  <threadedComment ref="CE157" dT="2024-02-27T00:33:49.20" personId="{36656AB4-E6C5-4F1B-BEBD-EDE866811F2D}" id="{DAF7A4FA-A3E8-46E5-9712-5FF8FAFD2695}">
    <text>Upload to SO360</text>
  </threadedComment>
  <threadedComment ref="CF157" dT="2024-02-27T00:38:55.71" personId="{36656AB4-E6C5-4F1B-BEBD-EDE866811F2D}" id="{6C19ACA5-E535-448B-A75A-1F80D63D70E3}">
    <text>Upload to SO360</text>
  </threadedComment>
  <threadedComment ref="CC158" dT="2024-01-29T22:46:56.05" personId="{9D054FD1-4BB1-40BC-9197-C8A56C0FEA20}" id="{5AFAA502-4F82-4DB2-A243-01618B69C3CE}">
    <text>sent to sponsor</text>
  </threadedComment>
  <threadedComment ref="CE158" dT="2024-02-19T18:21:46.87" personId="{9D054FD1-4BB1-40BC-9197-C8A56C0FEA20}" id="{C144C74D-7793-426B-A409-54C9C8EB79C4}">
    <text>Sent to C&amp;B</text>
  </threadedComment>
  <threadedComment ref="CE158" dT="2024-02-27T00:33:30.95" personId="{36656AB4-E6C5-4F1B-BEBD-EDE866811F2D}" id="{61E3DF80-11DE-4B7E-AD74-84D2FD8B54EC}" parentId="{C144C74D-7793-426B-A409-54C9C8EB79C4}">
    <text>Upload to SO360</text>
  </threadedComment>
  <threadedComment ref="CE158" dT="2024-03-11T18:54:21.48" personId="{CD8147DF-CE87-4417-AEA6-A7655347254F}" id="{A8B94B22-A210-46FB-877B-64466A7AD689}" parentId="{C144C74D-7793-426B-A409-54C9C8EB79C4}">
    <text>In TSMC Acceptance</text>
  </threadedComment>
  <threadedComment ref="CC159" dT="2024-01-24T23:15:31.80" personId="{CD8147DF-CE87-4417-AEA6-A7655347254F}" id="{5BBC5150-070E-4FE7-B227-44C89414EF74}">
    <text>Send to Sponsor</text>
  </threadedComment>
  <threadedComment ref="BW160" dT="2023-10-25T06:37:12.66" personId="{9D054FD1-4BB1-40BC-9197-C8A56C0FEA20}" id="{FA487DCF-601B-474F-91E7-74EE100DA3A5}">
    <text>Sent to sponsor</text>
  </threadedComment>
  <threadedComment ref="CG161" dT="2024-03-27T04:50:36.33" personId="{9D054FD1-4BB1-40BC-9197-C8A56C0FEA20}" id="{891F9944-2333-416E-AEA7-8BAC46468B40}">
    <text>sent to sponsor</text>
  </threadedComment>
  <threadedComment ref="CG161" dT="2024-03-28T03:16:28.18" personId="{CD8147DF-CE87-4417-AEA6-A7655347254F}" id="{C03A66AF-24C9-45B4-BB58-C1B7417AC410}" parentId="{891F9944-2333-416E-AEA7-8BAC46468B40}">
    <text>invoice</text>
  </threadedComment>
  <threadedComment ref="CI161" dT="2024-04-25T22:22:16.78" personId="{CD8147DF-CE87-4417-AEA6-A7655347254F}" id="{F0B46860-BC9E-41A6-8EC1-9C9F3FE6519E}">
    <text>Re-submit as Dahila Request April 25</text>
  </threadedComment>
  <threadedComment ref="BY165" dT="2023-11-28T16:51:02.27" personId="{9D054FD1-4BB1-40BC-9197-C8A56C0FEA20}" id="{DB8A3299-7E08-455C-B632-BDEBD96175C1}">
    <text>Sent to sponsor</text>
  </threadedComment>
  <threadedComment ref="CA165" dT="2023-12-23T01:02:03.20" personId="{CD8147DF-CE87-4417-AEA6-A7655347254F}" id="{C319221F-ED45-4E76-B1BE-CF1A92137D85}">
    <text>wait for DW approved</text>
  </threadedComment>
  <threadedComment ref="CC166" dT="2024-01-27T18:24:31.31" personId="{9D054FD1-4BB1-40BC-9197-C8A56C0FEA20}" id="{5FEFF1E5-0B9B-46BA-84F3-23203D70827E}">
    <text>Angela sent to sponsor</text>
  </threadedComment>
  <threadedComment ref="CC166" dT="2024-01-30T01:31:49.75" personId="{CD8147DF-CE87-4417-AEA6-A7655347254F}" id="{6DCF0CF5-509F-41CF-88A4-88085902A5DE}" parentId="{5FEFF1E5-0B9B-46BA-84F3-23203D70827E}">
    <text xml:space="preserve">Hold </text>
  </threadedComment>
  <threadedComment ref="CC170" dT="2024-01-29T22:41:32.62" personId="{9D054FD1-4BB1-40BC-9197-C8A56C0FEA20}" id="{71B0EAD9-CEC4-47C7-AD59-19BB0CBA26CC}">
    <text>sent to sponsor</text>
  </threadedComment>
  <threadedComment ref="CE170" dT="2024-02-19T18:21:54.17" personId="{9D054FD1-4BB1-40BC-9197-C8A56C0FEA20}" id="{61E146AE-F03D-4589-AE79-C39223AD15FB}">
    <text>Sent to C&amp;B</text>
  </threadedComment>
  <threadedComment ref="CE170" dT="2024-02-27T00:33:19.47" personId="{36656AB4-E6C5-4F1B-BEBD-EDE866811F2D}" id="{961E90E0-CE46-400D-9F57-CBAD25261DD3}" parentId="{61E146AE-F03D-4589-AE79-C39223AD15FB}">
    <text>Upload to SO360</text>
  </threadedComment>
  <threadedComment ref="CE170" dT="2024-03-11T18:57:40.77" personId="{CD8147DF-CE87-4417-AEA6-A7655347254F}" id="{5B4E62F1-46BD-4EB4-B073-73E03C6BD41F}" parentId="{61E146AE-F03D-4589-AE79-C39223AD15FB}">
    <text>In TSMC Acceptance</text>
  </threadedComment>
  <threadedComment ref="CA171" dT="2023-12-23T01:02:51.94" personId="{CD8147DF-CE87-4417-AEA6-A7655347254F}" id="{1C13809D-EF04-4540-9C62-6E3299C40672}">
    <text>wait for DW approved</text>
  </threadedComment>
  <threadedComment ref="CC171" dT="2024-01-27T18:31:12.86" personId="{9D054FD1-4BB1-40BC-9197-C8A56C0FEA20}" id="{AF7ABDD9-DEBA-41C1-BE8A-64716276B388}">
    <text>sent to sponsor</text>
  </threadedComment>
  <threadedComment ref="CG171" dT="2024-03-27T01:23:42.54" personId="{CD8147DF-CE87-4417-AEA6-A7655347254F}" id="{62E2E46C-8A56-41A1-BEEA-CD7BCCC2444F}">
    <text>Send to sponsor</text>
  </threadedComment>
  <threadedComment ref="CG171" dT="2024-03-28T02:42:04.42" personId="{CD8147DF-CE87-4417-AEA6-A7655347254F}" id="{8AD8C362-4871-426F-ACA3-3A1ED8BCA2F1}" parentId="{62E2E46C-8A56-41A1-BEEA-CD7BCCC2444F}">
    <text>invoice</text>
  </threadedComment>
  <threadedComment ref="CI171" dT="2024-04-27T06:31:28.93" personId="{CD8147DF-CE87-4417-AEA6-A7655347254F}" id="{E6649B6B-8D1A-4D0D-B89C-949CB143921C}">
    <text>Send to sponsor</text>
  </threadedComment>
  <threadedComment ref="BW172" dT="2023-10-28T00:37:59.60" personId="{9D054FD1-4BB1-40BC-9197-C8A56C0FEA20}" id="{FE919AF8-94DC-4377-AE50-5F697726DF47}">
    <text>Sent to sponsor</text>
  </threadedComment>
  <threadedComment ref="CC172" dT="2024-01-27T06:39:06.10" personId="{CD8147DF-CE87-4417-AEA6-A7655347254F}" id="{05414334-C2D6-4B3A-BC9B-5D1B0E8F121B}">
    <text>SENT TO DW JAN26</text>
  </threadedComment>
  <threadedComment ref="BW175" dT="2023-10-28T05:35:56.96" personId="{9D054FD1-4BB1-40BC-9197-C8A56C0FEA20}" id="{E917937C-4ED2-4DF6-AB2D-E25B77677739}">
    <text>Sent to sponsor. Delivery date: 12/31/2023. Rejected by sponsor</text>
  </threadedComment>
  <threadedComment ref="CE175" dT="2024-02-27T17:17:07.04" personId="{9D054FD1-4BB1-40BC-9197-C8A56C0FEA20}" id="{F5E5D07B-F71B-4051-8DBD-707E79184899}">
    <text>sent to sponsor</text>
  </threadedComment>
  <threadedComment ref="CE175" dT="2024-02-27T19:10:15.49" personId="{CD8147DF-CE87-4417-AEA6-A7655347254F}" id="{EC9B3B4F-B2AC-44FC-ACB5-563010623B5A}" parentId="{F5E5D07B-F71B-4051-8DBD-707E79184899}">
    <text>Invoice</text>
  </threadedComment>
  <threadedComment ref="CE175" dT="2024-03-11T18:58:55.38" personId="{CD8147DF-CE87-4417-AEA6-A7655347254F}" id="{42C9E0F0-6B3E-457A-86E1-CFD3D4198E29}" parentId="{F5E5D07B-F71B-4051-8DBD-707E79184899}">
    <text>Accepted</text>
  </threadedComment>
  <threadedComment ref="BY176" dT="2023-11-25T23:45:21.87" personId="{9D054FD1-4BB1-40BC-9197-C8A56C0FEA20}" id="{49E13828-B48A-4989-A1C2-182FDB8ED98E}">
    <text>Sent to sponsor</text>
  </threadedComment>
  <threadedComment ref="CE176" dT="2024-02-22T23:48:01.19" personId="{CD8147DF-CE87-4417-AEA6-A7655347254F}" id="{30E773AC-C29B-4EED-A299-051251F2043A}">
    <text>sent to sponsor 2/22</text>
  </threadedComment>
  <threadedComment ref="CE176" dT="2024-02-23T00:16:03.80" personId="{CD8147DF-CE87-4417-AEA6-A7655347254F}" id="{92FC15D5-05E8-4D25-B6D0-0F1BB0FAD8BB}" parentId="{30E773AC-C29B-4EED-A299-051251F2043A}">
    <text>Invoice</text>
  </threadedComment>
  <threadedComment ref="CI176" dT="2024-04-27T04:49:10.25" personId="{CD8147DF-CE87-4417-AEA6-A7655347254F}" id="{3F550B77-5606-4875-87CC-B620D11636A3}">
    <text>Send to Sponsor</text>
  </threadedComment>
  <threadedComment ref="BY178" dT="2023-11-26T07:27:25.33" personId="{9D054FD1-4BB1-40BC-9197-C8A56C0FEA20}" id="{E006EB21-C6EB-4EBA-A5CD-AA904F68CAC0}">
    <text>Sent to sponsor</text>
  </threadedComment>
  <threadedComment ref="CC178" dT="2024-01-24T23:13:20.95" personId="{CD8147DF-CE87-4417-AEA6-A7655347254F}" id="{F534B1BC-FF43-4393-AD29-7AAA2BD3BB0A}">
    <text>Send to sponsor</text>
  </threadedComment>
  <threadedComment ref="CA179" dT="2023-12-23T01:03:14.16" personId="{CD8147DF-CE87-4417-AEA6-A7655347254F}" id="{A3DD790A-7DAA-46E9-A83A-F7229F579331}">
    <text>Wait for DW approved</text>
  </threadedComment>
  <threadedComment ref="CE179" dT="2024-02-27T01:37:33.18" personId="{9D054FD1-4BB1-40BC-9197-C8A56C0FEA20}" id="{347839F1-15EA-4573-87DD-6C6BDBAEC946}">
    <text>sent to sponsor</text>
  </threadedComment>
  <threadedComment ref="CE179" dT="2024-02-27T18:50:13.01" personId="{CD8147DF-CE87-4417-AEA6-A7655347254F}" id="{8319A89D-BBF2-4493-AEAD-3B12E71C3F4E}" parentId="{347839F1-15EA-4573-87DD-6C6BDBAEC946}">
    <text>Invoice</text>
  </threadedComment>
  <threadedComment ref="CG179" dT="2024-03-28T05:28:41.36" personId="{9D054FD1-4BB1-40BC-9197-C8A56C0FEA20}" id="{B087A1F6-3BB4-4A40-AB04-4270B2E616D4}">
    <text>sent to sponsor</text>
  </threadedComment>
  <threadedComment ref="BY180" dT="2023-11-26T07:22:19.32" personId="{9D054FD1-4BB1-40BC-9197-C8A56C0FEA20}" id="{1D5564B4-27D8-4BE8-B2E0-A777D598CE7E}">
    <text>Sent to sponsor</text>
  </threadedComment>
  <threadedComment ref="CA180" dT="2023-12-23T01:03:36.68" personId="{CD8147DF-CE87-4417-AEA6-A7655347254F}" id="{5DCCBEB1-2A3B-4993-9526-7B128C0A39B6}">
    <text>Wait for DW approved</text>
  </threadedComment>
  <threadedComment ref="CE180" dT="2024-02-26T17:58:28.60" personId="{9D054FD1-4BB1-40BC-9197-C8A56C0FEA20}" id="{2FD684DE-9299-4092-AD2A-066BBFA962F7}">
    <text>sent to sponsor</text>
  </threadedComment>
  <threadedComment ref="CE180" dT="2024-02-27T18:29:28.20" personId="{CD8147DF-CE87-4417-AEA6-A7655347254F}" id="{963ACA77-63B3-4F5C-A390-C2E41CE641BA}" parentId="{2FD684DE-9299-4092-AD2A-066BBFA962F7}">
    <text>Invoice</text>
  </threadedComment>
  <threadedComment ref="BY188" dT="2023-11-25T23:18:59.03" personId="{9D054FD1-4BB1-40BC-9197-C8A56C0FEA20}" id="{5127C9F1-1C74-48D1-A076-E7463C086F49}">
    <text>Sent to sponsor</text>
  </threadedComment>
  <threadedComment ref="CC188" dT="2024-01-27T06:51:50.37" personId="{CD8147DF-CE87-4417-AEA6-A7655347254F}" id="{0FD08728-0FA9-46B6-BD83-FEF9B7CFD05F}">
    <text>sent to DW JAN26</text>
  </threadedComment>
  <threadedComment ref="J196" dT="2024-03-15T00:44:12.87" personId="{141EBD83-0775-4DAB-AD79-18F480E94C9B}" id="{B85DFEEB-42BF-4071-BDA3-74CAD63EBA9B}">
    <text>March不能请款因为还未到货</text>
  </threadedComment>
  <threadedComment ref="CE196" dT="2024-02-19T18:22:14.47" personId="{9D054FD1-4BB1-40BC-9197-C8A56C0FEA20}" id="{77A4852E-E6FB-4E34-85A5-2E572410C39E}">
    <text>Sent to C&amp;B</text>
  </threadedComment>
  <threadedComment ref="CE196" dT="2024-03-11T18:59:29.27" personId="{CD8147DF-CE87-4417-AEA6-A7655347254F}" id="{0DCC726B-F078-4699-82B0-A5F675A4FA86}" parentId="{77A4852E-E6FB-4E34-85A5-2E572410C39E}">
    <text>Acceptance</text>
  </threadedComment>
  <threadedComment ref="J197" dT="2024-03-14T18:32:01.54" personId="{141EBD83-0775-4DAB-AD79-18F480E94C9B}" id="{FC166F18-82EE-4E14-88D3-706F0ECAEEE3}">
    <text>need to doble check before sending</text>
  </threadedComment>
  <threadedComment ref="CC197" dT="2024-01-29T22:09:14.61" personId="{9D054FD1-4BB1-40BC-9197-C8A56C0FEA20}" id="{3B68B5C8-22D4-4578-ABA3-8EDDDBC10AA3}">
    <text>sent to sponsor</text>
  </threadedComment>
  <threadedComment ref="CE197" dT="2024-02-19T18:23:09.44" personId="{9D054FD1-4BB1-40BC-9197-C8A56C0FEA20}" id="{98D13301-3D85-49AB-993E-0BD7FD4996B6}">
    <text>Sent to sponsor</text>
  </threadedComment>
  <threadedComment ref="CE197" dT="2024-02-27T00:33:06.52" personId="{36656AB4-E6C5-4F1B-BEBD-EDE866811F2D}" id="{C8ABFD39-3D09-4AF1-922C-3C3C2DCBF788}" parentId="{98D13301-3D85-49AB-993E-0BD7FD4996B6}">
    <text>Upload to SO360</text>
  </threadedComment>
  <threadedComment ref="CE197" dT="2024-03-11T18:51:13.91" personId="{CD8147DF-CE87-4417-AEA6-A7655347254F}" id="{5BCB8351-2BD7-4190-A407-6D2C12793EF1}" parentId="{98D13301-3D85-49AB-993E-0BD7FD4996B6}">
    <text>In TSMC Acceptance</text>
  </threadedComment>
  <threadedComment ref="CA200" dT="2023-12-23T01:04:29.10" personId="{CD8147DF-CE87-4417-AEA6-A7655347254F}" id="{233B52D3-C915-4D93-8430-F8EE001CE5BB}">
    <text>wait for DW approved</text>
  </threadedComment>
  <threadedComment ref="CC201" dT="2024-01-27T07:18:48.64" personId="{CD8147DF-CE87-4417-AEA6-A7655347254F}" id="{13C5DC24-1B84-463F-906B-298DDAC09030}">
    <text>sent to DW</text>
  </threadedComment>
  <threadedComment ref="CE201" dT="2024-02-27T17:16:56.38" personId="{9D054FD1-4BB1-40BC-9197-C8A56C0FEA20}" id="{D2671F34-7BEA-4F10-AA4E-1B6EB246744D}">
    <text>sent to sponsor</text>
  </threadedComment>
  <threadedComment ref="CE201" dT="2024-02-27T18:56:22.71" personId="{CD8147DF-CE87-4417-AEA6-A7655347254F}" id="{7EACB564-033B-4AB3-AC2C-1A98CD00C79B}" parentId="{D2671F34-7BEA-4F10-AA4E-1B6EB246744D}">
    <text>Invoice</text>
  </threadedComment>
  <threadedComment ref="CE202" dT="2024-02-28T21:25:22.63" personId="{9D054FD1-4BB1-40BC-9197-C8A56C0FEA20}" id="{C95A1089-765F-4085-96FA-FB72290B5320}">
    <text>sent to sponsor</text>
  </threadedComment>
  <threadedComment ref="CC205" dT="2024-01-26T18:55:52.63" personId="{9D054FD1-4BB1-40BC-9197-C8A56C0FEA20}" id="{166EACBA-CDD9-4146-BA7C-4A29F5F8E580}">
    <text>sent to sponsor</text>
  </threadedComment>
  <threadedComment ref="CC205" dT="2024-01-27T07:38:15.33" personId="{CD8147DF-CE87-4417-AEA6-A7655347254F}" id="{F1CD328C-D3F9-4142-B5B8-FCF4C4D94B64}" parentId="{166EACBA-CDD9-4146-BA7C-4A29F5F8E580}">
    <text>SENT TO DW JAN26</text>
  </threadedComment>
  <threadedComment ref="CE208" dT="2024-02-28T21:25:15.19" personId="{9D054FD1-4BB1-40BC-9197-C8A56C0FEA20}" id="{F127C04C-F463-4949-95DE-B9BE26E8BDAC}">
    <text>sent to sponsor</text>
  </threadedComment>
  <threadedComment ref="CE212" dT="2024-02-19T18:23:38.16" personId="{9D054FD1-4BB1-40BC-9197-C8A56C0FEA20}" id="{5B8F63C9-1EFF-45FE-BF13-389033F3B81E}">
    <text>Sent to sponsor</text>
  </threadedComment>
  <threadedComment ref="CE212" dT="2024-02-23T00:15:54.53" personId="{CD8147DF-CE87-4417-AEA6-A7655347254F}" id="{7916767E-420A-4051-8BAC-2B076FE6DC26}" parentId="{5B8F63C9-1EFF-45FE-BF13-389033F3B81E}">
    <text>invoice</text>
  </threadedComment>
  <threadedComment ref="CE213" dT="2024-02-19T18:23:42.86" personId="{9D054FD1-4BB1-40BC-9197-C8A56C0FEA20}" id="{E3891BD8-4E8C-4118-9BA4-DB7E4C1A5081}">
    <text>Sent to sponsor</text>
  </threadedComment>
  <threadedComment ref="CE213" dT="2024-02-23T00:15:43.74" personId="{CD8147DF-CE87-4417-AEA6-A7655347254F}" id="{4514890B-0413-4611-B47F-481DAFE2AA2B}" parentId="{E3891BD8-4E8C-4118-9BA4-DB7E4C1A5081}">
    <text>Invoice</text>
  </threadedComment>
  <threadedComment ref="CC214" dT="2024-01-26T22:10:48.58" personId="{9D054FD1-4BB1-40BC-9197-C8A56C0FEA20}" id="{18401110-C395-498B-BC9E-2EB8F4DF3968}">
    <text>Sent to sponsor</text>
  </threadedComment>
  <threadedComment ref="CC215" dT="2024-01-27T18:43:03.82" personId="{9D054FD1-4BB1-40BC-9197-C8A56C0FEA20}" id="{A2C07A93-849D-4443-8EE6-71B60F243F9E}">
    <text>sent to sponsor</text>
  </threadedComment>
  <threadedComment ref="CE215" dT="2024-02-26T18:45:42.01" personId="{9D054FD1-4BB1-40BC-9197-C8A56C0FEA20}" id="{14AF1936-FEDB-40AF-9CF6-CDA2F96466DE}">
    <text>sent to sponsor</text>
  </threadedComment>
  <threadedComment ref="CE215" dT="2024-02-27T19:05:54.37" personId="{CD8147DF-CE87-4417-AEA6-A7655347254F}" id="{EBCF2293-991C-4432-8685-41D8104CF7A1}" parentId="{14AF1936-FEDB-40AF-9CF6-CDA2F96466DE}">
    <text>invoice</text>
  </threadedComment>
  <threadedComment ref="CG216" dT="2024-03-26T16:51:15.58" personId="{9D054FD1-4BB1-40BC-9197-C8A56C0FEA20}" id="{194F2D24-D7CC-465B-A7D0-AD30BE7EF5D5}">
    <text>sent to sponsor</text>
  </threadedComment>
  <threadedComment ref="CG216" dT="2024-03-28T02:47:37.43" personId="{CD8147DF-CE87-4417-AEA6-A7655347254F}" id="{4C51E521-5FD7-4BEC-B897-A78E044CD221}" parentId="{194F2D24-D7CC-465B-A7D0-AD30BE7EF5D5}">
    <text>Invoice</text>
  </threadedComment>
  <threadedComment ref="J217" dT="2024-03-15T00:26:04.50" personId="{141EBD83-0775-4DAB-AD79-18F480E94C9B}" id="{91A94C53-92D5-494D-83D2-0662146E075D}">
    <text>need to double check before sending</text>
  </threadedComment>
  <threadedComment ref="CE217" dT="2024-02-19T22:32:17.64" personId="{9D054FD1-4BB1-40BC-9197-C8A56C0FEA20}" id="{409DB15E-AE0C-49EC-B427-23AD35254F88}">
    <text>uploaded to SO360</text>
  </threadedComment>
  <threadedComment ref="CE217" dT="2024-02-27T00:32:49.78" personId="{36656AB4-E6C5-4F1B-BEBD-EDE866811F2D}" id="{875923A0-11AF-4CDC-A56D-D951C07BC7B9}" parentId="{409DB15E-AE0C-49EC-B427-23AD35254F88}">
    <text>Upload to SO360</text>
  </threadedComment>
  <threadedComment ref="CE217" dT="2024-03-11T18:57:02.86" personId="{CD8147DF-CE87-4417-AEA6-A7655347254F}" id="{253BC495-6EAD-4A04-8DEB-01A63AF09E67}" parentId="{409DB15E-AE0C-49EC-B427-23AD35254F88}">
    <text>In TSMC Acceptance</text>
  </threadedComment>
  <threadedComment ref="CE220" dT="2024-02-26T21:32:25.77" personId="{9D054FD1-4BB1-40BC-9197-C8A56C0FEA20}" id="{F7E20507-5784-4293-817B-57D54530F97D}">
    <text>sent to sponsor</text>
  </threadedComment>
  <threadedComment ref="CE220" dT="2024-02-27T00:32:39.40" personId="{36656AB4-E6C5-4F1B-BEBD-EDE866811F2D}" id="{00AB6C45-4017-45EF-8A7C-B386301EFC64}" parentId="{F7E20507-5784-4293-817B-57D54530F97D}">
    <text>Upload to SO360</text>
  </threadedComment>
  <threadedComment ref="CE220" dT="2024-03-11T18:49:18.74" personId="{CD8147DF-CE87-4417-AEA6-A7655347254F}" id="{3B7D91C5-5D7E-4058-B0CA-1F32AC2E7758}" parentId="{F7E20507-5784-4293-817B-57D54530F97D}">
    <text>In TSMC Acceptance</text>
  </threadedComment>
  <threadedComment ref="CG224" dT="2024-03-28T03:24:15.12" personId="{CD8147DF-CE87-4417-AEA6-A7655347254F}" id="{551DCE5F-28B8-4B19-B5B2-9B871E04F894}">
    <text>send to sponsor</text>
  </threadedComment>
  <threadedComment ref="CG224" dT="2024-03-28T03:24:24.36" personId="{CD8147DF-CE87-4417-AEA6-A7655347254F}" id="{ACE9CDA5-A4FA-4F71-92F0-26812AF3B466}" parentId="{551DCE5F-28B8-4B19-B5B2-9B871E04F894}">
    <text>invoice</text>
  </threadedComment>
  <threadedComment ref="CG228" dT="2024-03-28T00:26:02.61" personId="{9D054FD1-4BB1-40BC-9197-C8A56C0FEA20}" id="{9DB62E54-F35E-4C4E-A807-CFB61FA60ECE}">
    <text>sent to sponsor</text>
  </threadedComment>
  <threadedComment ref="CG228" dT="2024-03-28T02:44:10.35" personId="{CD8147DF-CE87-4417-AEA6-A7655347254F}" id="{D29B7A54-14FD-410D-8D16-45B856626DBF}" parentId="{9DB62E54-F35E-4C4E-A807-CFB61FA60ECE}">
    <text>invoice</text>
  </threadedComment>
  <threadedComment ref="CG232" dT="2024-03-28T00:43:14.02" personId="{CD8147DF-CE87-4417-AEA6-A7655347254F}" id="{AD6987B9-A975-4DC3-8BF8-7F9AE083C63D}">
    <text>Send to sponsor</text>
  </threadedComment>
  <threadedComment ref="CG232" dT="2024-03-28T02:33:41.85" personId="{CD8147DF-CE87-4417-AEA6-A7655347254F}" id="{219601BD-81C5-44F5-B1FE-686E8C26AF07}" parentId="{AD6987B9-A975-4DC3-8BF8-7F9AE083C63D}">
    <text>Invoice</text>
  </threadedComment>
  <threadedComment ref="CI232" dT="2024-04-27T05:00:50.31" personId="{CD8147DF-CE87-4417-AEA6-A7655347254F}" id="{6A54F9B5-0E0B-4425-ADE4-454FCA7C1740}">
    <text>Send to sponsor</text>
  </threadedComment>
  <threadedComment ref="J260" dT="2024-09-23T19:20:03.57" personId="{9D054FD1-4BB1-40BC-9197-C8A56C0FEA20}" id="{F2C2E61C-6D5F-4D58-B211-DD1C37B25D4B}">
    <text>Appy in October</text>
  </threadedComment>
  <threadedComment ref="J262" dT="2024-07-10T18:18:09.81" personId="{9D054FD1-4BB1-40BC-9197-C8A56C0FEA20}" id="{2B5FD0CB-8617-48A5-BC5C-5F238CCDA4B3}">
    <text>給翔大的PO開出來後三周後請款</text>
  </threadedComment>
  <threadedComment ref="J287" dT="2024-09-23T19:21:52.97" personId="{9D054FD1-4BB1-40BC-9197-C8A56C0FEA20}" id="{501A4976-17C0-4BF0-8340-C46A8BCABC76}">
    <text>Not receive material yet</text>
  </threadedComment>
  <threadedComment ref="J290" dT="2024-09-23T19:26:32.31" personId="{9D054FD1-4BB1-40BC-9197-C8A56C0FEA20}" id="{3176DB0C-BEDD-465D-A362-DCF7AFFB99BC}">
    <text>Apply to 30% in September</text>
  </threadedComment>
  <threadedComment ref="J292" dT="2024-09-23T19:30:53.06" personId="{9D054FD1-4BB1-40BC-9197-C8A56C0FEA20}" id="{FC521C30-4CB3-4463-A36A-B1CE8597ADFE}">
    <text xml:space="preserve">Apply to 3.3M. </text>
  </threadedComment>
  <threadedComment ref="BC307" dT="2023-02-07T17:16:25.28" personId="{692FC4E7-7852-45C2-9CED-869045350691}" id="{C1117850-5A1B-487A-AB9B-691C98CCEE25}">
    <text>2/25/2023 get pay</text>
  </threadedComment>
  <threadedComment ref="BE307" dT="2023-02-07T17:16:31.50" personId="{692FC4E7-7852-45C2-9CED-869045350691}" id="{1CCFE94E-540E-4C27-AB1B-40272C9170AA}">
    <text>2/25/2023 get pay</text>
  </threadedComment>
  <threadedComment ref="BI310" dT="2023-03-27T17:54:02.23" personId="{9D054FD1-4BB1-40BC-9197-C8A56C0FEA20}" id="{B20544BE-8FD3-42BB-AC76-4410B53D659D}">
    <text>Sent to customer on 3/23</text>
  </threadedComment>
  <threadedComment ref="AW316" dT="2022-12-21T21:52:46.13" personId="{692FC4E7-7852-45C2-9CED-869045350691}" id="{21A197D6-518D-44BA-BF2C-52D228505482}">
    <text>Get pay</text>
  </threadedComment>
  <threadedComment ref="AY316" dT="2022-12-21T21:51:47.78" personId="{692FC4E7-7852-45C2-9CED-869045350691}" id="{00131853-03A4-4D79-9FEC-BB9CA43CF302}">
    <text>Get pay</text>
  </threadedComment>
  <threadedComment ref="BC316" dT="2023-02-08T16:20:27.85" personId="{692FC4E7-7852-45C2-9CED-869045350691}" id="{FC4DD73E-5165-4BBC-B90B-E7254FC1EBD5}">
    <text>$2076264.29 will get on Feb 16</text>
  </threadedComment>
  <threadedComment ref="BE316" dT="2023-02-08T16:21:41.24" personId="{692FC4E7-7852-45C2-9CED-869045350691}" id="{946547C3-1FC6-4C08-9D94-CEE5FE32853B}">
    <text>$7258.68 will get on Feb 16; $795378 will get on Feb 24</text>
  </threadedComment>
  <threadedComment ref="BG316" dT="2023-02-23T16:17:47.65" personId="{692FC4E7-7852-45C2-9CED-869045350691}" id="{EB20273A-3E18-427D-AC53-5636234BABBB}">
    <text>Will get pay on Mar 27.2023</text>
  </threadedComment>
  <threadedComment ref="BI316" dT="2023-03-30T16:27:42.39" personId="{692FC4E7-7852-45C2-9CED-869045350691}" id="{96C2FF77-C3D7-41D1-8D9D-8AB0C92F28AA}">
    <text>Apr. 26&amp;27</text>
  </threadedComment>
  <threadedComment ref="BK316" dT="2023-05-25T16:09:06.43" personId="{692FC4E7-7852-45C2-9CED-869045350691}" id="{52251FB6-2D23-4358-98A3-B76E5CF8A811}">
    <text>May 29</text>
  </threadedComment>
  <threadedComment ref="BQ316" dT="2023-08-14T16:38:52.95" personId="{DEC9B9D1-C6E5-461D-8FCF-58721A971266}" id="{D5EB9E46-905E-4F38-B48E-D6FABBEE4CA6}">
    <text xml:space="preserve">Aug 31 </text>
  </threadedComment>
  <threadedComment ref="BS317" dT="2023-08-25T05:48:25.35" personId="{9D054FD1-4BB1-40BC-9197-C8A56C0FEA20}" id="{04A7B1D4-E249-4B0A-B58D-A09D4F85BEFA}">
    <text>Sent to sponsor</text>
  </threadedComment>
  <threadedComment ref="BU317" dT="2023-09-22T23:16:45.22" personId="{9D054FD1-4BB1-40BC-9197-C8A56C0FEA20}" id="{4D4D5C92-D115-47D6-BA80-0FB91FCDFAD9}">
    <text>Sent to sponsor</text>
  </threadedComment>
  <threadedComment ref="BW317" dT="2023-10-25T06:36:06.05" personId="{9D054FD1-4BB1-40BC-9197-C8A56C0FEA20}" id="{EE1107C4-12AC-4AF3-BB65-A96569AA1D2B}">
    <text>Sent to sponsor</text>
  </threadedComment>
  <threadedComment ref="BY317" dT="2023-11-25T23:50:23.57" personId="{9D054FD1-4BB1-40BC-9197-C8A56C0FEA20}" id="{940EA15C-24BE-4582-957A-A27174026B0C}">
    <text>Sent to sponsor</text>
  </threadedComment>
  <threadedComment ref="CC317" dT="2024-01-24T23:22:58.25" personId="{CD8147DF-CE87-4417-AEA6-A7655347254F}" id="{73B8D61F-EA19-4D85-9DF0-011C81CF9770}">
    <text>send to sponsor</text>
  </threadedComment>
  <threadedComment ref="CE317" dT="2024-02-26T18:40:13.13" personId="{9D054FD1-4BB1-40BC-9197-C8A56C0FEA20}" id="{8DC56722-2D30-4697-AC25-DEA828B9B1C9}">
    <text>sent to sponsor. Waiting for response.</text>
  </threadedComment>
  <threadedComment ref="CE317" dT="2024-02-27T18:00:25.38" personId="{CD8147DF-CE87-4417-AEA6-A7655347254F}" id="{0B4F5AE0-88E4-4163-A12B-C061A42C6B4F}" parentId="{8DC56722-2D30-4697-AC25-DEA828B9B1C9}">
    <text>Invoice</text>
  </threadedComment>
  <threadedComment ref="CG317" dT="2024-03-28T18:33:58.81" personId="{CD8147DF-CE87-4417-AEA6-A7655347254F}" id="{DCDCE645-12D2-4ADE-8EF1-858DA4F49195}">
    <text>Send to sponsor</text>
  </threadedComment>
  <threadedComment ref="CG317" dT="2024-03-28T18:34:04.56" personId="{CD8147DF-CE87-4417-AEA6-A7655347254F}" id="{A373EAC9-3BE2-4CBC-9D2A-59B0252E0B0A}" parentId="{DCDCE645-12D2-4ADE-8EF1-858DA4F49195}">
    <text>Invoice</text>
  </threadedComment>
  <threadedComment ref="BS318" dT="2023-08-24T16:47:04.99" personId="{9D054FD1-4BB1-40BC-9197-C8A56C0FEA20}" id="{6125DA01-6AF4-49B1-B118-E662B60552AC}">
    <text>Sent to sponsor</text>
  </threadedComment>
  <threadedComment ref="BU318" dT="2023-09-23T22:31:11.32" personId="{9D054FD1-4BB1-40BC-9197-C8A56C0FEA20}" id="{12DD7958-4C18-489C-AFD7-F90E49C871FF}">
    <text>Sent to sponsor</text>
  </threadedComment>
  <threadedComment ref="BW318" dT="2023-10-25T06:35:51.65" personId="{9D054FD1-4BB1-40BC-9197-C8A56C0FEA20}" id="{91E4F963-EB40-4FF8-9EE4-4302639B312F}">
    <text>Sent to sponsor</text>
  </threadedComment>
  <threadedComment ref="BY318" dT="2023-11-26T00:02:23.59" personId="{9D054FD1-4BB1-40BC-9197-C8A56C0FEA20}" id="{C7289BCD-E4BF-49D3-AF8A-B659D45B6F9F}">
    <text>Sent to sponsor</text>
  </threadedComment>
  <threadedComment ref="CC318" dT="2024-01-24T23:25:35.43" personId="{CD8147DF-CE87-4417-AEA6-A7655347254F}" id="{0372C737-97B1-479B-9890-FA52D2334B66}">
    <text>send to sponsor</text>
  </threadedComment>
  <threadedComment ref="CE319" dT="2024-02-19T18:25:01.18" personId="{9D054FD1-4BB1-40BC-9197-C8A56C0FEA20}" id="{7002806B-E640-4084-96CA-4A80048AD734}">
    <text>Sent to sponsor</text>
  </threadedComment>
  <threadedComment ref="CE319" dT="2024-02-23T00:15:34.64" personId="{CD8147DF-CE87-4417-AEA6-A7655347254F}" id="{7B241A83-F30F-49DF-890B-9396131EEE71}" parentId="{7002806B-E640-4084-96CA-4A80048AD734}">
    <text>Invoice</text>
  </threadedComment>
  <threadedComment ref="CE320" dT="2024-02-23T18:46:35.53" personId="{9D054FD1-4BB1-40BC-9197-C8A56C0FEA20}" id="{84FA449E-886D-4F13-929C-B18BB4D9D919}">
    <text>sent to sponsor</text>
  </threadedComment>
  <threadedComment ref="CE320" dT="2024-02-23T23:11:42.62" personId="{CD8147DF-CE87-4417-AEA6-A7655347254F}" id="{25E845FD-7A6B-4356-A71D-8838BFE16BAA}" parentId="{84FA449E-886D-4F13-929C-B18BB4D9D919}">
    <text>Invoice</text>
  </threadedComment>
  <threadedComment ref="CI320" dT="2024-04-29T18:20:31.70" personId="{CD8147DF-CE87-4417-AEA6-A7655347254F}" id="{6578DE0B-5842-48C2-88DF-18FC87013F42}">
    <text>前期金額差0.48</text>
  </threadedComment>
  <threadedComment ref="CI320" dT="2024-05-01T20:47:44.14" personId="{CD8147DF-CE87-4417-AEA6-A7655347254F}" id="{877DDE5D-81E4-452A-ABF7-83C0761DCC29}" parentId="{6578DE0B-5842-48C2-88DF-18FC87013F42}">
    <text xml:space="preserve">Resubmit </text>
  </threadedComment>
  <threadedComment ref="AW321" dT="2022-12-09T04:11:24.66" personId="{758BD334-C090-4D6C-A384-596530A97633}" id="{B0A73A70-F808-4570-866E-B4CE2C6EC64A}">
    <text>Paid in December 2022</text>
  </threadedComment>
  <threadedComment ref="CC321" dT="2024-01-26T22:08:17.37" personId="{9D054FD1-4BB1-40BC-9197-C8A56C0FEA20}" id="{08C28C90-D9EE-419D-AB08-93796830011A}">
    <text>Shawn sent to sponsor</text>
  </threadedComment>
  <threadedComment ref="CE321" dT="2024-02-27T03:26:19.80" personId="{9D054FD1-4BB1-40BC-9197-C8A56C0FEA20}" id="{A474B8ED-08CF-45A1-A9BE-3B8E69FEA4C2}">
    <text>sent to sponsor</text>
  </threadedComment>
  <threadedComment ref="CE321" dT="2024-02-27T18:32:21.42" personId="{CD8147DF-CE87-4417-AEA6-A7655347254F}" id="{59973107-870A-4C8E-95A8-9BD5FB198577}" parentId="{A474B8ED-08CF-45A1-A9BE-3B8E69FEA4C2}">
    <text>Invoice</text>
  </threadedComment>
  <threadedComment ref="CE321" dT="2024-03-11T18:55:07.30" personId="{CD8147DF-CE87-4417-AEA6-A7655347254F}" id="{243249D2-1874-4504-8EDF-D33BC0EDAA5B}" parentId="{A474B8ED-08CF-45A1-A9BE-3B8E69FEA4C2}">
    <text>Accepted</text>
  </threadedComment>
  <threadedComment ref="CG321" dT="2024-03-27T18:06:43.47" personId="{9D054FD1-4BB1-40BC-9197-C8A56C0FEA20}" id="{3B95DB38-CE0A-4292-B48A-7B12B425CE68}">
    <text>sent to sponsor</text>
  </threadedComment>
  <threadedComment ref="CG321" dT="2024-03-28T02:37:03.01" personId="{CD8147DF-CE87-4417-AEA6-A7655347254F}" id="{4E691C67-2303-4732-9317-10F57713108A}" parentId="{3B95DB38-CE0A-4292-B48A-7B12B425CE68}">
    <text>invoice</text>
  </threadedComment>
  <threadedComment ref="CI321" dT="2024-04-27T07:01:19.75" personId="{CD8147DF-CE87-4417-AEA6-A7655347254F}" id="{CAC08380-5860-4BE3-B879-BF55708BD5FB}">
    <text>No Excel document</text>
  </threadedComment>
  <threadedComment ref="AW322" dT="2022-12-09T04:11:29.20" personId="{758BD334-C090-4D6C-A384-596530A97633}" id="{1F7013C7-4496-4E5C-B7AF-91093E2F1158}">
    <text>Paid in December 2022</text>
  </threadedComment>
  <threadedComment ref="CC322" dT="2024-01-26T22:09:10.40" personId="{9D054FD1-4BB1-40BC-9197-C8A56C0FEA20}" id="{0F0FDC3A-AD57-43F5-B69D-994432E994A9}">
    <text>Shawn sent to sponsor</text>
  </threadedComment>
  <threadedComment ref="CE322" dT="2024-02-27T03:26:59.27" personId="{9D054FD1-4BB1-40BC-9197-C8A56C0FEA20}" id="{07E79FC5-CA68-44C4-A031-1AD5C1C8D528}">
    <text>sent to sponsor
previous amount need reivsion</text>
  </threadedComment>
  <threadedComment ref="CE322" dT="2024-03-11T18:55:48.22" personId="{CD8147DF-CE87-4417-AEA6-A7655347254F}" id="{5BACBB1D-E44E-4166-9D56-47A65FBBEE8C}" parentId="{07E79FC5-CA68-44C4-A031-1AD5C1C8D528}">
    <text>Accepted</text>
  </threadedComment>
  <threadedComment ref="CI323" dT="2024-04-27T05:33:55.32" personId="{CD8147DF-CE87-4417-AEA6-A7655347254F}" id="{59C38242-15C2-474C-8F13-BBDFA28F7459}">
    <text>Send to sponsor</text>
  </threadedComment>
  <threadedComment ref="J324" dT="2024-09-23T19:34:07.57" personId="{9D054FD1-4BB1-40BC-9197-C8A56C0FEA20}" id="{5887FF51-CFE3-476E-ACE9-08E930D29D81}">
    <text>No pogress</text>
  </threadedComment>
  <threadedComment ref="BW324" dT="2023-10-26T23:40:32.17" personId="{9D054FD1-4BB1-40BC-9197-C8A56C0FEA20}" id="{E6E5DCC2-BD45-46B8-A01D-3D68020E17C1}">
    <text>Sent to sponsor</text>
  </threadedComment>
  <threadedComment ref="BS325" dT="2023-08-25T05:37:18.89" personId="{9D054FD1-4BB1-40BC-9197-C8A56C0FEA20}" id="{32C6CD18-3913-4A94-ACE0-3A8946E7060F}">
    <text>Sent to sponsor</text>
  </threadedComment>
  <threadedComment ref="BY326" dT="2023-11-26T06:44:24.67" personId="{9D054FD1-4BB1-40BC-9197-C8A56C0FEA20}" id="{DC396FB4-901D-4129-8C92-8054080F6271}">
    <text>Sent to sponsor</text>
  </threadedComment>
  <threadedComment ref="CC326" dT="2024-01-27T18:28:04.34" personId="{9D054FD1-4BB1-40BC-9197-C8A56C0FEA20}" id="{C06ACF6D-B5E9-4C3E-BEDB-72EDDBE87008}">
    <text>sent to sponsor</text>
  </threadedComment>
  <threadedComment ref="CE326" dT="2024-02-27T17:33:14.40" personId="{9D054FD1-4BB1-40BC-9197-C8A56C0FEA20}" id="{04AF0443-5DA5-400F-9269-3841FE1C8E22}">
    <text>sent to sponsor</text>
  </threadedComment>
  <threadedComment ref="CE326" dT="2024-02-27T18:51:47.56" personId="{CD8147DF-CE87-4417-AEA6-A7655347254F}" id="{F8726ADF-CDB9-497B-A2B8-A051DC4AB4CB}" parentId="{04AF0443-5DA5-400F-9269-3841FE1C8E22}">
    <text>Invoice</text>
  </threadedComment>
  <threadedComment ref="CI326" dT="2024-04-27T07:14:41.18" personId="{CD8147DF-CE87-4417-AEA6-A7655347254F}" id="{53BB853C-2E77-487F-BCD5-95C0607E2467}">
    <text>Waiting for rounding issue revise</text>
  </threadedComment>
  <threadedComment ref="CI326" dT="2024-04-27T07:23:53.71" personId="{CD8147DF-CE87-4417-AEA6-A7655347254F}" id="{FA836EFA-EC47-43E9-BC44-CB7FD121A87A}" parentId="{53BB853C-2E77-487F-BCD5-95C0607E2467}">
    <text>Need invoice</text>
  </threadedComment>
  <threadedComment ref="CI326" dT="2024-04-29T18:57:39.36" personId="{CD8147DF-CE87-4417-AEA6-A7655347254F}" id="{42BB241A-D6E4-4A27-810E-849C5C628175}" parentId="{53BB853C-2E77-487F-BCD5-95C0607E2467}">
    <text>Send to sponsor</text>
  </threadedComment>
  <threadedComment ref="CI326" dT="2024-04-30T19:04:56.08" personId="{CD8147DF-CE87-4417-AEA6-A7655347254F}" id="{B080CAD8-5E3E-4562-9178-D624908EAEE5}" parentId="{53BB853C-2E77-487F-BCD5-95C0607E2467}">
    <text>Amount change from $46,871.97 to 43,712.78. Need sponsor return</text>
  </threadedComment>
  <threadedComment ref="J328" dT="2024-09-23T19:35:38.94" personId="{9D054FD1-4BB1-40BC-9197-C8A56C0FEA20}" id="{2670F855-6B1B-4D95-B248-366C1C28363E}">
    <text>Apply to 50% in September</text>
  </threadedComment>
  <threadedComment ref="G329" dT="2024-03-12T17:42:42.47" personId="{9D054FD1-4BB1-40BC-9197-C8A56C0FEA20}" id="{7448C738-8F38-4A7C-983D-5E853419CD28}">
    <text>Gary Murphy - C&amp;B, QR Lab</text>
  </threadedComment>
  <threadedComment ref="CC343" dT="2024-01-26T22:09:48.31" personId="{9D054FD1-4BB1-40BC-9197-C8A56C0FEA20}" id="{556BD0D8-1024-47A6-89A6-6BBE309EB623}">
    <text>Shawn sent to sponsor</text>
  </threadedComment>
  <threadedComment ref="CC350" dT="2024-01-26T22:09:55.84" personId="{9D054FD1-4BB1-40BC-9197-C8A56C0FEA20}" id="{2D88A978-C815-4464-9E80-FB28E91289F5}">
    <text>Shawn sent to sponsor</text>
  </threadedComment>
  <threadedComment ref="BC352" dT="2023-01-31T21:22:49.14" personId="{692FC4E7-7852-45C2-9CED-869045350691}" id="{82171E88-0ADB-4036-97FB-3FD2743D2FEA}">
    <text>Waiting for formal invoice</text>
  </threadedComment>
  <threadedComment ref="BE352" dT="2023-05-02T06:34:40.41" personId="{9C53532F-038E-4C3A-B9A5-5DF54D9DD0CE}" id="{04B2F01E-91D0-43A1-AF4B-A02B342FBAFA}">
    <text>4/28 received</text>
  </threadedComment>
  <threadedComment ref="BU352" dT="2023-09-23T23:35:35.23" personId="{9D054FD1-4BB1-40BC-9197-C8A56C0FEA20}" id="{8015D216-EC64-46C6-ACF1-7121B8E85B82}">
    <text>Sent to sponsor</text>
  </threadedComment>
  <threadedComment ref="BW352" dT="2023-10-24T17:03:22.11" personId="{9D054FD1-4BB1-40BC-9197-C8A56C0FEA20}" id="{BCDCAF42-1FF2-4921-A24C-073633DAEE44}">
    <text>Sent to sponsor. Get approval from C&amp;B</text>
  </threadedComment>
  <threadedComment ref="BY352" dT="2023-11-26T06:49:01.00" personId="{9D054FD1-4BB1-40BC-9197-C8A56C0FEA20}" id="{6D8C92F6-7ADD-4D5D-8C4B-5A713A362FD3}">
    <text>Sent to C&amp;B</text>
  </threadedComment>
  <threadedComment ref="BS353" dT="2023-08-25T02:48:34.58" personId="{9D054FD1-4BB1-40BC-9197-C8A56C0FEA20}" id="{A1E4CF09-10AF-4731-B9DC-187DC9FE6479}">
    <text>Sent to sponsor</text>
  </threadedComment>
  <threadedComment ref="BU353" dT="2023-09-23T23:56:47.85" personId="{9D054FD1-4BB1-40BC-9197-C8A56C0FEA20}" id="{F538D8B3-DA4C-4277-90FF-CEE8394DD4E3}">
    <text>Sent to sponsor</text>
  </threadedComment>
  <threadedComment ref="CI353" dT="2024-04-27T07:17:43.48" personId="{CD8147DF-CE87-4417-AEA6-A7655347254F}" id="{16AB67FB-36F0-43A2-8773-9D5AD7E40135}">
    <text>need invoice</text>
  </threadedComment>
  <threadedComment ref="BS354" dT="2023-08-25T02:44:24.94" personId="{9D054FD1-4BB1-40BC-9197-C8A56C0FEA20}" id="{0138EE7E-C35F-41C6-B20D-3DE93B3C1007}">
    <text>Sent to sponsor</text>
  </threadedComment>
  <threadedComment ref="CI354" dT="2024-04-24T18:06:12.95" personId="{CD8147DF-CE87-4417-AEA6-A7655347254F}" id="{9B5720DE-A984-469F-9489-0FA162432BB4}">
    <text>Send to Sponsor</text>
  </threadedComment>
  <threadedComment ref="BS355" dT="2023-08-22T23:49:20.74" personId="{9D054FD1-4BB1-40BC-9197-C8A56C0FEA20}" id="{41DE061E-7CF5-4E7E-8D52-3A3E64620DA2}">
    <text>Sent and get signature from sponsor</text>
  </threadedComment>
  <threadedComment ref="BS356" dT="2023-08-22T23:50:44.80" personId="{9D054FD1-4BB1-40BC-9197-C8A56C0FEA20}" id="{92306294-A477-44EB-9B90-2766D790422F}">
    <text>Sent and get signature from sponsor</text>
  </threadedComment>
  <threadedComment ref="BW356" dT="2023-10-27T00:17:10.13" personId="{9D054FD1-4BB1-40BC-9197-C8A56C0FEA20}" id="{0077D668-3C83-4DC0-B39B-2A87B8D0BE09}">
    <text>Sent to sponsor</text>
  </threadedComment>
  <threadedComment ref="BY356" dT="2023-11-28T16:44:34.94" personId="{9D054FD1-4BB1-40BC-9197-C8A56C0FEA20}" id="{53DDAA70-0B81-425F-B784-0012E429FAE2}">
    <text>Sent to sponsor</text>
  </threadedComment>
  <threadedComment ref="CC356" dT="2024-01-26T23:34:42.95" personId="{9D054FD1-4BB1-40BC-9197-C8A56C0FEA20}" id="{FAEE22D2-8934-4353-9E12-C9EAB56A1AAD}">
    <text>Sent to sponsor</text>
  </threadedComment>
  <threadedComment ref="CE356" dT="2024-02-27T00:32:07.36" personId="{36656AB4-E6C5-4F1B-BEBD-EDE866811F2D}" id="{F6DEE04A-6E7A-43DE-8E32-58DC8858D5D1}">
    <text>Upload to SO360</text>
  </threadedComment>
  <threadedComment ref="CE356" dT="2024-03-11T18:53:37.95" personId="{CD8147DF-CE87-4417-AEA6-A7655347254F}" id="{CEE4487F-F161-499B-A053-E055638C46D0}" parentId="{F6DEE04A-6E7A-43DE-8E32-58DC8858D5D1}">
    <text>In TSMC Acceptance</text>
  </threadedComment>
  <threadedComment ref="CC357" dT="2024-01-26T18:48:05.95" personId="{9D054FD1-4BB1-40BC-9197-C8A56C0FEA20}" id="{3BAD27F2-8EBB-4754-B476-CE51D3F47048}">
    <text>has sent to sponsor</text>
  </threadedComment>
  <threadedComment ref="CE357" dT="2024-02-19T22:12:39.87" personId="{9D054FD1-4BB1-40BC-9197-C8A56C0FEA20}" id="{E9CDF414-ABCE-4279-851B-F996662EEB8F}">
    <text>uploaded to SO360</text>
  </threadedComment>
  <threadedComment ref="CE357" dT="2024-03-11T18:48:30.28" personId="{CD8147DF-CE87-4417-AEA6-A7655347254F}" id="{47767B6A-461B-4C1E-B6AC-B769C0D80E0E}" parentId="{E9CDF414-ABCE-4279-851B-F996662EEB8F}">
    <text>In TSMC Acceptance</text>
  </threadedComment>
  <threadedComment ref="BE367" dT="2023-02-24T23:10:08.79" personId="{692FC4E7-7852-45C2-9CED-869045350691}" id="{3A273A26-B8BD-47AD-B1FB-256911C300F0}">
    <text>March 17th</text>
  </threadedComment>
  <threadedComment ref="BC377" dT="2023-02-07T17:06:20.92" personId="{692FC4E7-7852-45C2-9CED-869045350691}" id="{95CF0196-41CE-437F-B06A-9A0EFF6559E8}">
    <text>Received $66,733.76 (local deducted $18)</text>
  </threadedComment>
  <threadedComment ref="BI381" dT="2023-04-20T17:25:02.55" personId="{692FC4E7-7852-45C2-9CED-869045350691}" id="{60B180FF-9ED2-4817-A37B-435A9A61A203}">
    <text>04/28/2023 pay</text>
  </threadedComment>
  <threadedComment ref="J398" dT="2024-09-23T19:37:06.51" personId="{9D054FD1-4BB1-40BC-9197-C8A56C0FEA20}" id="{6A3AFB8A-E972-4188-B5E2-1CA140B49AA3}">
    <text>Apply to 100%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Relationship Id="rId6" Type="http://schemas.microsoft.com/office/2019/04/relationships/namedSheetView" Target="../namedSheetViews/namedSheetView1.xml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PCM001_1.asp%3fmode=Update&amp;prj_no=USC23C053&amp;prj_type=C" TargetMode="External"/><Relationship Id="rId21" Type="http://schemas.openxmlformats.org/officeDocument/2006/relationships/hyperlink" Target="PCM001_1.asp%3fmode=Update&amp;prj_no=USC22B002&amp;prj_type=B" TargetMode="External"/><Relationship Id="rId42" Type="http://schemas.openxmlformats.org/officeDocument/2006/relationships/hyperlink" Target="PCM001_1.asp%3fmode=Update&amp;prj_no=USC22C021&amp;prj_type=C" TargetMode="External"/><Relationship Id="rId63" Type="http://schemas.openxmlformats.org/officeDocument/2006/relationships/hyperlink" Target="PCM001_1.asp%3fmode=Update&amp;prj_no=USC23B002&amp;prj_type=B" TargetMode="External"/><Relationship Id="rId84" Type="http://schemas.openxmlformats.org/officeDocument/2006/relationships/hyperlink" Target="PCM001_1.asp%3fmode=Update&amp;prj_no=USC23C020&amp;prj_type=C" TargetMode="External"/><Relationship Id="rId138" Type="http://schemas.openxmlformats.org/officeDocument/2006/relationships/hyperlink" Target="PCM001_1.asp%3fmode=Update&amp;prj_no=USC24C006&amp;prj_type=C" TargetMode="External"/><Relationship Id="rId107" Type="http://schemas.openxmlformats.org/officeDocument/2006/relationships/hyperlink" Target="PCM001_1.asp%3fmode=Update&amp;prj_no=USC23C043&amp;prj_type=C" TargetMode="External"/><Relationship Id="rId11" Type="http://schemas.openxmlformats.org/officeDocument/2006/relationships/hyperlink" Target="PCM001_1.asp%3fmode=Update&amp;prj_no=USC21C006&amp;prj_type=C" TargetMode="External"/><Relationship Id="rId32" Type="http://schemas.openxmlformats.org/officeDocument/2006/relationships/hyperlink" Target="PCM001_1.asp%3fmode=Update&amp;prj_no=USC22C011&amp;prj_type=C" TargetMode="External"/><Relationship Id="rId53" Type="http://schemas.openxmlformats.org/officeDocument/2006/relationships/hyperlink" Target="PCM001_1.asp%3fmode=Update&amp;prj_no=USC22C032&amp;prj_type=C" TargetMode="External"/><Relationship Id="rId74" Type="http://schemas.openxmlformats.org/officeDocument/2006/relationships/hyperlink" Target="PCM001_1.asp%3fmode=Update&amp;prj_no=USC23C010&amp;prj_type=C" TargetMode="External"/><Relationship Id="rId128" Type="http://schemas.openxmlformats.org/officeDocument/2006/relationships/hyperlink" Target="PCM001_1.asp%3fmode=Update&amp;prj_no=USC23I001&amp;prj_type=I" TargetMode="External"/><Relationship Id="rId5" Type="http://schemas.openxmlformats.org/officeDocument/2006/relationships/hyperlink" Target="PCM001_1.asp%3fmode=Update&amp;prj_no=USC21B001&amp;prj_type=B" TargetMode="External"/><Relationship Id="rId90" Type="http://schemas.openxmlformats.org/officeDocument/2006/relationships/hyperlink" Target="PCM001_1.asp%3fmode=Update&amp;prj_no=USC23C026&amp;prj_type=C" TargetMode="External"/><Relationship Id="rId95" Type="http://schemas.openxmlformats.org/officeDocument/2006/relationships/hyperlink" Target="PCM001_1.asp%3fmode=Update&amp;prj_no=USC23C031&amp;prj_type=C" TargetMode="External"/><Relationship Id="rId22" Type="http://schemas.openxmlformats.org/officeDocument/2006/relationships/hyperlink" Target="PCM001_1.asp%3fmode=Update&amp;prj_no=USC22C001&amp;prj_type=C" TargetMode="External"/><Relationship Id="rId27" Type="http://schemas.openxmlformats.org/officeDocument/2006/relationships/hyperlink" Target="PCM001_1.asp%3fmode=Update&amp;prj_no=USC22C006&amp;prj_type=C" TargetMode="External"/><Relationship Id="rId43" Type="http://schemas.openxmlformats.org/officeDocument/2006/relationships/hyperlink" Target="PCM001_1.asp%3fmode=Update&amp;prj_no=USC22C022&amp;prj_type=C" TargetMode="External"/><Relationship Id="rId48" Type="http://schemas.openxmlformats.org/officeDocument/2006/relationships/hyperlink" Target="PCM001_1.asp%3fmode=Update&amp;prj_no=USC22C027&amp;prj_type=C" TargetMode="External"/><Relationship Id="rId64" Type="http://schemas.openxmlformats.org/officeDocument/2006/relationships/hyperlink" Target="PCM001_1.asp%3fmode=Update&amp;prj_no=USC23B003&amp;prj_type=B" TargetMode="External"/><Relationship Id="rId69" Type="http://schemas.openxmlformats.org/officeDocument/2006/relationships/hyperlink" Target="PCM001_1.asp%3fmode=Update&amp;prj_no=USC23C005&amp;prj_type=C" TargetMode="External"/><Relationship Id="rId113" Type="http://schemas.openxmlformats.org/officeDocument/2006/relationships/hyperlink" Target="PCM001_1.asp%3fmode=Update&amp;prj_no=USC23C049&amp;prj_type=C" TargetMode="External"/><Relationship Id="rId118" Type="http://schemas.openxmlformats.org/officeDocument/2006/relationships/hyperlink" Target="PCM001_1.asp%3fmode=Update&amp;prj_no=USC23C054&amp;prj_type=C" TargetMode="External"/><Relationship Id="rId134" Type="http://schemas.openxmlformats.org/officeDocument/2006/relationships/hyperlink" Target="PCM001_1.asp%3fmode=Update&amp;prj_no=USC24C002&amp;prj_type=C" TargetMode="External"/><Relationship Id="rId139" Type="http://schemas.openxmlformats.org/officeDocument/2006/relationships/hyperlink" Target="PCM001_1.asp%3fmode=Update&amp;prj_no=USC24C007&amp;prj_type=C" TargetMode="External"/><Relationship Id="rId80" Type="http://schemas.openxmlformats.org/officeDocument/2006/relationships/hyperlink" Target="PCM001_1.asp%3fmode=Update&amp;prj_no=USC23C016&amp;prj_type=C" TargetMode="External"/><Relationship Id="rId85" Type="http://schemas.openxmlformats.org/officeDocument/2006/relationships/hyperlink" Target="PCM001_1.asp%3fmode=Update&amp;prj_no=USC23C021&amp;prj_type=C" TargetMode="External"/><Relationship Id="rId12" Type="http://schemas.openxmlformats.org/officeDocument/2006/relationships/hyperlink" Target="PCM001_1.asp%3fmode=Update&amp;prj_no=USC21C007&amp;prj_type=C" TargetMode="External"/><Relationship Id="rId17" Type="http://schemas.openxmlformats.org/officeDocument/2006/relationships/hyperlink" Target="PCM001_1.asp%3fmode=Update&amp;prj_no=USC21C012&amp;prj_type=C" TargetMode="External"/><Relationship Id="rId33" Type="http://schemas.openxmlformats.org/officeDocument/2006/relationships/hyperlink" Target="PCM001_1.asp%3fmode=Update&amp;prj_no=USC22C012&amp;prj_type=C" TargetMode="External"/><Relationship Id="rId38" Type="http://schemas.openxmlformats.org/officeDocument/2006/relationships/hyperlink" Target="PCM001_1.asp%3fmode=Update&amp;prj_no=USC22C017&amp;prj_type=C" TargetMode="External"/><Relationship Id="rId59" Type="http://schemas.openxmlformats.org/officeDocument/2006/relationships/hyperlink" Target="PCM001_1.asp%3fmode=Update&amp;prj_no=USC22C038&amp;prj_type=C" TargetMode="External"/><Relationship Id="rId103" Type="http://schemas.openxmlformats.org/officeDocument/2006/relationships/hyperlink" Target="PCM001_1.asp%3fmode=Update&amp;prj_no=USC23C039&amp;prj_type=C" TargetMode="External"/><Relationship Id="rId108" Type="http://schemas.openxmlformats.org/officeDocument/2006/relationships/hyperlink" Target="PCM001_1.asp%3fmode=Update&amp;prj_no=USC23C044&amp;prj_type=C" TargetMode="External"/><Relationship Id="rId124" Type="http://schemas.openxmlformats.org/officeDocument/2006/relationships/hyperlink" Target="PCM001_1.asp%3fmode=Update&amp;prj_no=USC23C060&amp;prj_type=C" TargetMode="External"/><Relationship Id="rId129" Type="http://schemas.openxmlformats.org/officeDocument/2006/relationships/hyperlink" Target="PCM001_1.asp%3fmode=Update&amp;prj_no=USC23L001&amp;prj_type=L" TargetMode="External"/><Relationship Id="rId54" Type="http://schemas.openxmlformats.org/officeDocument/2006/relationships/hyperlink" Target="PCM001_1.asp%3fmode=Update&amp;prj_no=USC22C033&amp;prj_type=C" TargetMode="External"/><Relationship Id="rId70" Type="http://schemas.openxmlformats.org/officeDocument/2006/relationships/hyperlink" Target="PCM001_1.asp%3fmode=Update&amp;prj_no=USC23C006&amp;prj_type=C" TargetMode="External"/><Relationship Id="rId75" Type="http://schemas.openxmlformats.org/officeDocument/2006/relationships/hyperlink" Target="PCM001_1.asp%3fmode=Update&amp;prj_no=USC23C011&amp;prj_type=C" TargetMode="External"/><Relationship Id="rId91" Type="http://schemas.openxmlformats.org/officeDocument/2006/relationships/hyperlink" Target="PCM001_1.asp%3fmode=Update&amp;prj_no=USC23C027&amp;prj_type=C" TargetMode="External"/><Relationship Id="rId96" Type="http://schemas.openxmlformats.org/officeDocument/2006/relationships/hyperlink" Target="PCM001_1.asp%3fmode=Update&amp;prj_no=USC23C032&amp;prj_type=C" TargetMode="External"/><Relationship Id="rId140" Type="http://schemas.openxmlformats.org/officeDocument/2006/relationships/hyperlink" Target="PCM001_1.asp%3fmode=Update&amp;prj_no=USC24C008&amp;prj_type=C" TargetMode="External"/><Relationship Id="rId145" Type="http://schemas.openxmlformats.org/officeDocument/2006/relationships/hyperlink" Target="PCM001_1.asp%3fmode=Update&amp;prj_no=USC24L001&amp;prj_type=L" TargetMode="External"/><Relationship Id="rId1" Type="http://schemas.openxmlformats.org/officeDocument/2006/relationships/hyperlink" Target="PCM001_1.asp%3fmode=Update&amp;prj_no=USC19B001&amp;prj_type=B" TargetMode="External"/><Relationship Id="rId6" Type="http://schemas.openxmlformats.org/officeDocument/2006/relationships/hyperlink" Target="PCM001_1.asp%3fmode=Update&amp;prj_no=USC21C001&amp;prj_type=C" TargetMode="External"/><Relationship Id="rId23" Type="http://schemas.openxmlformats.org/officeDocument/2006/relationships/hyperlink" Target="PCM001_1.asp%3fmode=Update&amp;prj_no=USC22C002&amp;prj_type=C" TargetMode="External"/><Relationship Id="rId28" Type="http://schemas.openxmlformats.org/officeDocument/2006/relationships/hyperlink" Target="PCM001_1.asp%3fmode=Update&amp;prj_no=USC22C007&amp;prj_type=C" TargetMode="External"/><Relationship Id="rId49" Type="http://schemas.openxmlformats.org/officeDocument/2006/relationships/hyperlink" Target="PCM001_1.asp%3fmode=Update&amp;prj_no=USC22C028&amp;prj_type=C" TargetMode="External"/><Relationship Id="rId114" Type="http://schemas.openxmlformats.org/officeDocument/2006/relationships/hyperlink" Target="PCM001_1.asp%3fmode=Update&amp;prj_no=USC23C050&amp;prj_type=C" TargetMode="External"/><Relationship Id="rId119" Type="http://schemas.openxmlformats.org/officeDocument/2006/relationships/hyperlink" Target="PCM001_1.asp%3fmode=Update&amp;prj_no=USC23C055&amp;prj_type=C" TargetMode="External"/><Relationship Id="rId44" Type="http://schemas.openxmlformats.org/officeDocument/2006/relationships/hyperlink" Target="PCM001_1.asp%3fmode=Update&amp;prj_no=USC22C023&amp;prj_type=C" TargetMode="External"/><Relationship Id="rId60" Type="http://schemas.openxmlformats.org/officeDocument/2006/relationships/hyperlink" Target="PCM001_1.asp%3fmode=Update&amp;prj_no=USC22L001&amp;prj_type=L" TargetMode="External"/><Relationship Id="rId65" Type="http://schemas.openxmlformats.org/officeDocument/2006/relationships/hyperlink" Target="PCM001_1.asp%3fmode=Update&amp;prj_no=USC23C001&amp;prj_type=C" TargetMode="External"/><Relationship Id="rId81" Type="http://schemas.openxmlformats.org/officeDocument/2006/relationships/hyperlink" Target="PCM001_1.asp%3fmode=Update&amp;prj_no=USC23C017&amp;prj_type=C" TargetMode="External"/><Relationship Id="rId86" Type="http://schemas.openxmlformats.org/officeDocument/2006/relationships/hyperlink" Target="PCM001_1.asp%3fmode=Update&amp;prj_no=USC23C022&amp;prj_type=C" TargetMode="External"/><Relationship Id="rId130" Type="http://schemas.openxmlformats.org/officeDocument/2006/relationships/hyperlink" Target="PCM001_1.asp%3fmode=Update&amp;prj_no=USC23L002&amp;prj_type=L" TargetMode="External"/><Relationship Id="rId135" Type="http://schemas.openxmlformats.org/officeDocument/2006/relationships/hyperlink" Target="PCM001_1.asp%3fmode=Update&amp;prj_no=USC24C003&amp;prj_type=C" TargetMode="External"/><Relationship Id="rId13" Type="http://schemas.openxmlformats.org/officeDocument/2006/relationships/hyperlink" Target="PCM001_1.asp%3fmode=Update&amp;prj_no=USC21C008&amp;prj_type=C" TargetMode="External"/><Relationship Id="rId18" Type="http://schemas.openxmlformats.org/officeDocument/2006/relationships/hyperlink" Target="PCM001_1.asp%3fmode=Update&amp;prj_no=USC21C013&amp;prj_type=C" TargetMode="External"/><Relationship Id="rId39" Type="http://schemas.openxmlformats.org/officeDocument/2006/relationships/hyperlink" Target="PCM001_1.asp%3fmode=Update&amp;prj_no=USC22C018&amp;prj_type=C" TargetMode="External"/><Relationship Id="rId109" Type="http://schemas.openxmlformats.org/officeDocument/2006/relationships/hyperlink" Target="PCM001_1.asp%3fmode=Update&amp;prj_no=USC23C045&amp;prj_type=C" TargetMode="External"/><Relationship Id="rId34" Type="http://schemas.openxmlformats.org/officeDocument/2006/relationships/hyperlink" Target="PCM001_1.asp%3fmode=Update&amp;prj_no=USC22C013&amp;prj_type=C" TargetMode="External"/><Relationship Id="rId50" Type="http://schemas.openxmlformats.org/officeDocument/2006/relationships/hyperlink" Target="PCM001_1.asp%3fmode=Update&amp;prj_no=USC22C029&amp;prj_type=C" TargetMode="External"/><Relationship Id="rId55" Type="http://schemas.openxmlformats.org/officeDocument/2006/relationships/hyperlink" Target="PCM001_1.asp%3fmode=Update&amp;prj_no=USC22C034&amp;prj_type=C" TargetMode="External"/><Relationship Id="rId76" Type="http://schemas.openxmlformats.org/officeDocument/2006/relationships/hyperlink" Target="PCM001_1.asp%3fmode=Update&amp;prj_no=USC23C012&amp;prj_type=C" TargetMode="External"/><Relationship Id="rId97" Type="http://schemas.openxmlformats.org/officeDocument/2006/relationships/hyperlink" Target="PCM001_1.asp%3fmode=Update&amp;prj_no=USC23C033&amp;prj_type=C" TargetMode="External"/><Relationship Id="rId104" Type="http://schemas.openxmlformats.org/officeDocument/2006/relationships/hyperlink" Target="PCM001_1.asp%3fmode=Update&amp;prj_no=USC23C040&amp;prj_type=C" TargetMode="External"/><Relationship Id="rId120" Type="http://schemas.openxmlformats.org/officeDocument/2006/relationships/hyperlink" Target="PCM001_1.asp%3fmode=Update&amp;prj_no=USC23C056&amp;prj_type=C" TargetMode="External"/><Relationship Id="rId125" Type="http://schemas.openxmlformats.org/officeDocument/2006/relationships/hyperlink" Target="PCM001_1.asp%3fmode=Update&amp;prj_no=USC23C061&amp;prj_type=C" TargetMode="External"/><Relationship Id="rId141" Type="http://schemas.openxmlformats.org/officeDocument/2006/relationships/hyperlink" Target="PCM001_1.asp%3fmode=Update&amp;prj_no=USC24C009&amp;prj_type=C" TargetMode="External"/><Relationship Id="rId146" Type="http://schemas.openxmlformats.org/officeDocument/2006/relationships/hyperlink" Target="PCM001_1.asp%3fmode=Update&amp;prj_no=USS19B001&amp;prj_type=B" TargetMode="External"/><Relationship Id="rId7" Type="http://schemas.openxmlformats.org/officeDocument/2006/relationships/hyperlink" Target="PCM001_1.asp%3fmode=Update&amp;prj_no=USC21C002&amp;prj_type=C" TargetMode="External"/><Relationship Id="rId71" Type="http://schemas.openxmlformats.org/officeDocument/2006/relationships/hyperlink" Target="PCM001_1.asp%3fmode=Update&amp;prj_no=USC23C007&amp;prj_type=C" TargetMode="External"/><Relationship Id="rId92" Type="http://schemas.openxmlformats.org/officeDocument/2006/relationships/hyperlink" Target="PCM001_1.asp%3fmode=Update&amp;prj_no=USC23C028&amp;prj_type=C" TargetMode="External"/><Relationship Id="rId2" Type="http://schemas.openxmlformats.org/officeDocument/2006/relationships/hyperlink" Target="PCM001_1.asp%3fmode=Update&amp;prj_no=USC20B001&amp;prj_type=B" TargetMode="External"/><Relationship Id="rId29" Type="http://schemas.openxmlformats.org/officeDocument/2006/relationships/hyperlink" Target="PCM001_1.asp%3fmode=Update&amp;prj_no=USC22C008&amp;prj_type=C" TargetMode="External"/><Relationship Id="rId24" Type="http://schemas.openxmlformats.org/officeDocument/2006/relationships/hyperlink" Target="PCM001_1.asp%3fmode=Update&amp;prj_no=USC22C003&amp;prj_type=C" TargetMode="External"/><Relationship Id="rId40" Type="http://schemas.openxmlformats.org/officeDocument/2006/relationships/hyperlink" Target="PCM001_1.asp%3fmode=Update&amp;prj_no=USC22C019&amp;prj_type=C" TargetMode="External"/><Relationship Id="rId45" Type="http://schemas.openxmlformats.org/officeDocument/2006/relationships/hyperlink" Target="PCM001_1.asp%3fmode=Update&amp;prj_no=USC22C024&amp;prj_type=C" TargetMode="External"/><Relationship Id="rId66" Type="http://schemas.openxmlformats.org/officeDocument/2006/relationships/hyperlink" Target="PCM001_1.asp%3fmode=Update&amp;prj_no=USC23C002&amp;prj_type=C" TargetMode="External"/><Relationship Id="rId87" Type="http://schemas.openxmlformats.org/officeDocument/2006/relationships/hyperlink" Target="PCM001_1.asp%3fmode=Update&amp;prj_no=USC23C023&amp;prj_type=C" TargetMode="External"/><Relationship Id="rId110" Type="http://schemas.openxmlformats.org/officeDocument/2006/relationships/hyperlink" Target="PCM001_1.asp%3fmode=Update&amp;prj_no=USC23C046&amp;prj_type=C" TargetMode="External"/><Relationship Id="rId115" Type="http://schemas.openxmlformats.org/officeDocument/2006/relationships/hyperlink" Target="PCM001_1.asp%3fmode=Update&amp;prj_no=USC23C051&amp;prj_type=C" TargetMode="External"/><Relationship Id="rId131" Type="http://schemas.openxmlformats.org/officeDocument/2006/relationships/hyperlink" Target="PCM001_1.asp%3fmode=Update&amp;prj_no=USC24B001&amp;prj_type=B" TargetMode="External"/><Relationship Id="rId136" Type="http://schemas.openxmlformats.org/officeDocument/2006/relationships/hyperlink" Target="PCM001_1.asp%3fmode=Update&amp;prj_no=USC24C004&amp;prj_type=C" TargetMode="External"/><Relationship Id="rId61" Type="http://schemas.openxmlformats.org/officeDocument/2006/relationships/hyperlink" Target="PCM001_1.asp%3fmode=Update&amp;prj_no=USC22L002&amp;prj_type=L" TargetMode="External"/><Relationship Id="rId82" Type="http://schemas.openxmlformats.org/officeDocument/2006/relationships/hyperlink" Target="PCM001_1.asp%3fmode=Update&amp;prj_no=USC23C018&amp;prj_type=C" TargetMode="External"/><Relationship Id="rId19" Type="http://schemas.openxmlformats.org/officeDocument/2006/relationships/hyperlink" Target="PCM001_1.asp%3fmode=Update&amp;prj_no=USC21C014&amp;prj_type=C" TargetMode="External"/><Relationship Id="rId14" Type="http://schemas.openxmlformats.org/officeDocument/2006/relationships/hyperlink" Target="PCM001_1.asp%3fmode=Update&amp;prj_no=USC21C009&amp;prj_type=C" TargetMode="External"/><Relationship Id="rId30" Type="http://schemas.openxmlformats.org/officeDocument/2006/relationships/hyperlink" Target="PCM001_1.asp%3fmode=Update&amp;prj_no=USC22C009&amp;prj_type=C" TargetMode="External"/><Relationship Id="rId35" Type="http://schemas.openxmlformats.org/officeDocument/2006/relationships/hyperlink" Target="PCM001_1.asp%3fmode=Update&amp;prj_no=USC22C014&amp;prj_type=C" TargetMode="External"/><Relationship Id="rId56" Type="http://schemas.openxmlformats.org/officeDocument/2006/relationships/hyperlink" Target="PCM001_1.asp%3fmode=Update&amp;prj_no=USC22C035&amp;prj_type=C" TargetMode="External"/><Relationship Id="rId77" Type="http://schemas.openxmlformats.org/officeDocument/2006/relationships/hyperlink" Target="PCM001_1.asp%3fmode=Update&amp;prj_no=USC23C013&amp;prj_type=C" TargetMode="External"/><Relationship Id="rId100" Type="http://schemas.openxmlformats.org/officeDocument/2006/relationships/hyperlink" Target="PCM001_1.asp%3fmode=Update&amp;prj_no=USC23C036&amp;prj_type=C" TargetMode="External"/><Relationship Id="rId105" Type="http://schemas.openxmlformats.org/officeDocument/2006/relationships/hyperlink" Target="PCM001_1.asp%3fmode=Update&amp;prj_no=USC23C041&amp;prj_type=C" TargetMode="External"/><Relationship Id="rId126" Type="http://schemas.openxmlformats.org/officeDocument/2006/relationships/hyperlink" Target="PCM001_1.asp%3fmode=Update&amp;prj_no=USC23C062&amp;prj_type=C" TargetMode="External"/><Relationship Id="rId147" Type="http://schemas.openxmlformats.org/officeDocument/2006/relationships/printerSettings" Target="../printerSettings/printerSettings9.bin"/><Relationship Id="rId8" Type="http://schemas.openxmlformats.org/officeDocument/2006/relationships/hyperlink" Target="PCM001_1.asp%3fmode=Update&amp;prj_no=USC21C003&amp;prj_type=C" TargetMode="External"/><Relationship Id="rId51" Type="http://schemas.openxmlformats.org/officeDocument/2006/relationships/hyperlink" Target="PCM001_1.asp%3fmode=Update&amp;prj_no=USC22C030&amp;prj_type=C" TargetMode="External"/><Relationship Id="rId72" Type="http://schemas.openxmlformats.org/officeDocument/2006/relationships/hyperlink" Target="PCM001_1.asp%3fmode=Update&amp;prj_no=USC23C008&amp;prj_type=C" TargetMode="External"/><Relationship Id="rId93" Type="http://schemas.openxmlformats.org/officeDocument/2006/relationships/hyperlink" Target="PCM001_1.asp%3fmode=Update&amp;prj_no=USC23C029&amp;prj_type=C" TargetMode="External"/><Relationship Id="rId98" Type="http://schemas.openxmlformats.org/officeDocument/2006/relationships/hyperlink" Target="PCM001_1.asp%3fmode=Update&amp;prj_no=USC23C034&amp;prj_type=C" TargetMode="External"/><Relationship Id="rId121" Type="http://schemas.openxmlformats.org/officeDocument/2006/relationships/hyperlink" Target="PCM001_1.asp%3fmode=Update&amp;prj_no=USC23C057&amp;prj_type=C" TargetMode="External"/><Relationship Id="rId142" Type="http://schemas.openxmlformats.org/officeDocument/2006/relationships/hyperlink" Target="PCM001_1.asp%3fmode=Update&amp;prj_no=USC24C010&amp;prj_type=C" TargetMode="External"/><Relationship Id="rId3" Type="http://schemas.openxmlformats.org/officeDocument/2006/relationships/hyperlink" Target="PCM001_1.asp%3fmode=Update&amp;prj_no=USC20C001&amp;prj_type=C" TargetMode="External"/><Relationship Id="rId25" Type="http://schemas.openxmlformats.org/officeDocument/2006/relationships/hyperlink" Target="PCM001_1.asp%3fmode=Update&amp;prj_no=USC22C004&amp;prj_type=C" TargetMode="External"/><Relationship Id="rId46" Type="http://schemas.openxmlformats.org/officeDocument/2006/relationships/hyperlink" Target="PCM001_1.asp%3fmode=Update&amp;prj_no=USC22C025&amp;prj_type=C" TargetMode="External"/><Relationship Id="rId67" Type="http://schemas.openxmlformats.org/officeDocument/2006/relationships/hyperlink" Target="PCM001_1.asp%3fmode=Update&amp;prj_no=USC23C003&amp;prj_type=C" TargetMode="External"/><Relationship Id="rId116" Type="http://schemas.openxmlformats.org/officeDocument/2006/relationships/hyperlink" Target="PCM001_1.asp%3fmode=Update&amp;prj_no=USC23C052&amp;prj_type=C" TargetMode="External"/><Relationship Id="rId137" Type="http://schemas.openxmlformats.org/officeDocument/2006/relationships/hyperlink" Target="PCM001_1.asp%3fmode=Update&amp;prj_no=USC24C005&amp;prj_type=C" TargetMode="External"/><Relationship Id="rId20" Type="http://schemas.openxmlformats.org/officeDocument/2006/relationships/hyperlink" Target="PCM001_1.asp%3fmode=Update&amp;prj_no=USC22B001&amp;prj_type=B" TargetMode="External"/><Relationship Id="rId41" Type="http://schemas.openxmlformats.org/officeDocument/2006/relationships/hyperlink" Target="PCM001_1.asp%3fmode=Update&amp;prj_no=USC22C020&amp;prj_type=C" TargetMode="External"/><Relationship Id="rId62" Type="http://schemas.openxmlformats.org/officeDocument/2006/relationships/hyperlink" Target="PCM001_1.asp%3fmode=Update&amp;prj_no=USC23B001&amp;prj_type=B" TargetMode="External"/><Relationship Id="rId83" Type="http://schemas.openxmlformats.org/officeDocument/2006/relationships/hyperlink" Target="PCM001_1.asp%3fmode=Update&amp;prj_no=USC23C019&amp;prj_type=C" TargetMode="External"/><Relationship Id="rId88" Type="http://schemas.openxmlformats.org/officeDocument/2006/relationships/hyperlink" Target="PCM001_1.asp%3fmode=Update&amp;prj_no=USC23C024&amp;prj_type=C" TargetMode="External"/><Relationship Id="rId111" Type="http://schemas.openxmlformats.org/officeDocument/2006/relationships/hyperlink" Target="PCM001_1.asp%3fmode=Update&amp;prj_no=USC23C047&amp;prj_type=C" TargetMode="External"/><Relationship Id="rId132" Type="http://schemas.openxmlformats.org/officeDocument/2006/relationships/hyperlink" Target="PCM001_1.asp%3fmode=Update&amp;prj_no=USC24B002&amp;prj_type=B" TargetMode="External"/><Relationship Id="rId15" Type="http://schemas.openxmlformats.org/officeDocument/2006/relationships/hyperlink" Target="PCM001_1.asp%3fmode=Update&amp;prj_no=USC21C010&amp;prj_type=C" TargetMode="External"/><Relationship Id="rId36" Type="http://schemas.openxmlformats.org/officeDocument/2006/relationships/hyperlink" Target="PCM001_1.asp%3fmode=Update&amp;prj_no=USC22C015&amp;prj_type=C" TargetMode="External"/><Relationship Id="rId57" Type="http://schemas.openxmlformats.org/officeDocument/2006/relationships/hyperlink" Target="PCM001_1.asp%3fmode=Update&amp;prj_no=USC22C036&amp;prj_type=C" TargetMode="External"/><Relationship Id="rId106" Type="http://schemas.openxmlformats.org/officeDocument/2006/relationships/hyperlink" Target="PCM001_1.asp%3fmode=Update&amp;prj_no=USC23C042&amp;prj_type=C" TargetMode="External"/><Relationship Id="rId127" Type="http://schemas.openxmlformats.org/officeDocument/2006/relationships/hyperlink" Target="PCM001_1.asp%3fmode=Update&amp;prj_no=USC23C063&amp;prj_type=C" TargetMode="External"/><Relationship Id="rId10" Type="http://schemas.openxmlformats.org/officeDocument/2006/relationships/hyperlink" Target="PCM001_1.asp%3fmode=Update&amp;prj_no=USC21C005&amp;prj_type=C" TargetMode="External"/><Relationship Id="rId31" Type="http://schemas.openxmlformats.org/officeDocument/2006/relationships/hyperlink" Target="PCM001_1.asp%3fmode=Update&amp;prj_no=USC22C010&amp;prj_type=C" TargetMode="External"/><Relationship Id="rId52" Type="http://schemas.openxmlformats.org/officeDocument/2006/relationships/hyperlink" Target="PCM001_1.asp%3fmode=Update&amp;prj_no=USC22C031&amp;prj_type=C" TargetMode="External"/><Relationship Id="rId73" Type="http://schemas.openxmlformats.org/officeDocument/2006/relationships/hyperlink" Target="PCM001_1.asp%3fmode=Update&amp;prj_no=USC23C009&amp;prj_type=C" TargetMode="External"/><Relationship Id="rId78" Type="http://schemas.openxmlformats.org/officeDocument/2006/relationships/hyperlink" Target="PCM001_1.asp%3fmode=Update&amp;prj_no=USC23C014&amp;prj_type=C" TargetMode="External"/><Relationship Id="rId94" Type="http://schemas.openxmlformats.org/officeDocument/2006/relationships/hyperlink" Target="PCM001_1.asp%3fmode=Update&amp;prj_no=USC23C030&amp;prj_type=C" TargetMode="External"/><Relationship Id="rId99" Type="http://schemas.openxmlformats.org/officeDocument/2006/relationships/hyperlink" Target="PCM001_1.asp%3fmode=Update&amp;prj_no=USC23C035&amp;prj_type=C" TargetMode="External"/><Relationship Id="rId101" Type="http://schemas.openxmlformats.org/officeDocument/2006/relationships/hyperlink" Target="PCM001_1.asp%3fmode=Update&amp;prj_no=USC23C037&amp;prj_type=C" TargetMode="External"/><Relationship Id="rId122" Type="http://schemas.openxmlformats.org/officeDocument/2006/relationships/hyperlink" Target="PCM001_1.asp%3fmode=Update&amp;prj_no=USC23C058&amp;prj_type=C" TargetMode="External"/><Relationship Id="rId143" Type="http://schemas.openxmlformats.org/officeDocument/2006/relationships/hyperlink" Target="PCM001_1.asp%3fmode=Update&amp;prj_no=USC24C011&amp;prj_type=C" TargetMode="External"/><Relationship Id="rId4" Type="http://schemas.openxmlformats.org/officeDocument/2006/relationships/hyperlink" Target="PCM001_1.asp%3fmode=Update&amp;prj_no=USC20C002&amp;prj_type=C" TargetMode="External"/><Relationship Id="rId9" Type="http://schemas.openxmlformats.org/officeDocument/2006/relationships/hyperlink" Target="PCM001_1.asp%3fmode=Update&amp;prj_no=USC21C004&amp;prj_type=C" TargetMode="External"/><Relationship Id="rId26" Type="http://schemas.openxmlformats.org/officeDocument/2006/relationships/hyperlink" Target="PCM001_1.asp%3fmode=Update&amp;prj_no=USC22C005&amp;prj_type=C" TargetMode="External"/><Relationship Id="rId47" Type="http://schemas.openxmlformats.org/officeDocument/2006/relationships/hyperlink" Target="PCM001_1.asp%3fmode=Update&amp;prj_no=USC22C026&amp;prj_type=C" TargetMode="External"/><Relationship Id="rId68" Type="http://schemas.openxmlformats.org/officeDocument/2006/relationships/hyperlink" Target="PCM001_1.asp%3fmode=Update&amp;prj_no=USC23C004&amp;prj_type=C" TargetMode="External"/><Relationship Id="rId89" Type="http://schemas.openxmlformats.org/officeDocument/2006/relationships/hyperlink" Target="PCM001_1.asp%3fmode=Update&amp;prj_no=USC23C025&amp;prj_type=C" TargetMode="External"/><Relationship Id="rId112" Type="http://schemas.openxmlformats.org/officeDocument/2006/relationships/hyperlink" Target="PCM001_1.asp%3fmode=Update&amp;prj_no=USC23C048&amp;prj_type=C" TargetMode="External"/><Relationship Id="rId133" Type="http://schemas.openxmlformats.org/officeDocument/2006/relationships/hyperlink" Target="PCM001_1.asp%3fmode=Update&amp;prj_no=USC24C001&amp;prj_type=C" TargetMode="External"/><Relationship Id="rId16" Type="http://schemas.openxmlformats.org/officeDocument/2006/relationships/hyperlink" Target="PCM001_1.asp%3fmode=Update&amp;prj_no=USC21C011&amp;prj_type=C" TargetMode="External"/><Relationship Id="rId37" Type="http://schemas.openxmlformats.org/officeDocument/2006/relationships/hyperlink" Target="PCM001_1.asp%3fmode=Update&amp;prj_no=USC22C016&amp;prj_type=C" TargetMode="External"/><Relationship Id="rId58" Type="http://schemas.openxmlformats.org/officeDocument/2006/relationships/hyperlink" Target="PCM001_1.asp%3fmode=Update&amp;prj_no=USC22C037&amp;prj_type=C" TargetMode="External"/><Relationship Id="rId79" Type="http://schemas.openxmlformats.org/officeDocument/2006/relationships/hyperlink" Target="PCM001_1.asp%3fmode=Update&amp;prj_no=USC23C015&amp;prj_type=C" TargetMode="External"/><Relationship Id="rId102" Type="http://schemas.openxmlformats.org/officeDocument/2006/relationships/hyperlink" Target="PCM001_1.asp%3fmode=Update&amp;prj_no=USC23C038&amp;prj_type=C" TargetMode="External"/><Relationship Id="rId123" Type="http://schemas.openxmlformats.org/officeDocument/2006/relationships/hyperlink" Target="PCM001_1.asp%3fmode=Update&amp;prj_no=USC23C059&amp;prj_type=C" TargetMode="External"/><Relationship Id="rId144" Type="http://schemas.openxmlformats.org/officeDocument/2006/relationships/hyperlink" Target="PCM001_1.asp%3fmode=Update&amp;prj_no=USC24C012&amp;prj_type=C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FDEB1-2502-494D-AF1F-0FC9351C252C}">
  <sheetPr codeName="Sheet8"/>
  <dimension ref="A1:K180"/>
  <sheetViews>
    <sheetView workbookViewId="0">
      <selection activeCell="B12" sqref="B12"/>
    </sheetView>
  </sheetViews>
  <sheetFormatPr defaultRowHeight="14.45"/>
  <cols>
    <col min="1" max="1" width="21.140625" bestFit="1" customWidth="1"/>
    <col min="2" max="2" width="17.28515625" style="13" bestFit="1" customWidth="1"/>
    <col min="3" max="3" width="23.42578125" bestFit="1" customWidth="1"/>
    <col min="4" max="4" width="21.85546875" style="1" bestFit="1" customWidth="1"/>
    <col min="5" max="5" width="10.42578125" bestFit="1" customWidth="1"/>
    <col min="6" max="6" width="16.140625" customWidth="1"/>
    <col min="7" max="7" width="21.85546875" customWidth="1"/>
    <col min="8" max="8" width="18.28515625" customWidth="1"/>
    <col min="9" max="9" width="24.42578125" bestFit="1" customWidth="1"/>
    <col min="10" max="10" width="16.140625" customWidth="1"/>
    <col min="11" max="11" width="25" bestFit="1" customWidth="1"/>
    <col min="12" max="12" width="7.85546875" bestFit="1" customWidth="1"/>
    <col min="13" max="13" width="4.42578125" bestFit="1" customWidth="1"/>
    <col min="14" max="14" width="8.140625" bestFit="1" customWidth="1"/>
    <col min="15" max="15" width="12.7109375" bestFit="1" customWidth="1"/>
  </cols>
  <sheetData>
    <row r="1" spans="1:11">
      <c r="A1" s="11" t="s">
        <v>0</v>
      </c>
      <c r="B1" t="s">
        <v>1</v>
      </c>
    </row>
    <row r="3" spans="1:11">
      <c r="A3" s="11" t="s">
        <v>2</v>
      </c>
      <c r="B3" t="s">
        <v>3</v>
      </c>
      <c r="C3" t="s">
        <v>4</v>
      </c>
      <c r="F3" t="s">
        <v>2</v>
      </c>
      <c r="G3" t="s">
        <v>5</v>
      </c>
      <c r="H3" t="s">
        <v>4</v>
      </c>
      <c r="I3" t="s">
        <v>6</v>
      </c>
      <c r="J3" t="s">
        <v>7</v>
      </c>
    </row>
    <row r="4" spans="1:11">
      <c r="A4" s="12" t="s">
        <v>8</v>
      </c>
      <c r="B4" s="13">
        <v>86488388.149999991</v>
      </c>
      <c r="C4" s="13">
        <v>56638382.880000003</v>
      </c>
      <c r="D4" s="376">
        <f t="shared" ref="D4:D20" si="0">C4/B4</f>
        <v>0.65486690284677262</v>
      </c>
      <c r="F4" t="s">
        <v>8</v>
      </c>
      <c r="G4" s="15">
        <v>31820503.799999997</v>
      </c>
      <c r="H4" s="15">
        <v>16791600.289999999</v>
      </c>
      <c r="I4" s="15">
        <v>2563452</v>
      </c>
      <c r="J4" s="15">
        <f>SUM(H4:I4)</f>
        <v>19355052.289999999</v>
      </c>
      <c r="K4" s="14">
        <f t="shared" ref="K4:K16" si="1">J4/G4</f>
        <v>0.60825725487099302</v>
      </c>
    </row>
    <row r="5" spans="1:11">
      <c r="A5" s="12" t="s">
        <v>9</v>
      </c>
      <c r="B5" s="13">
        <v>796180164.94999993</v>
      </c>
      <c r="C5" s="13">
        <v>664920989.0799998</v>
      </c>
      <c r="D5" s="376">
        <f t="shared" si="0"/>
        <v>0.83513885217393835</v>
      </c>
      <c r="F5" s="6" t="s">
        <v>9</v>
      </c>
      <c r="G5" s="16">
        <v>677707763.88999987</v>
      </c>
      <c r="H5" s="16">
        <v>485685572.74231988</v>
      </c>
      <c r="I5" s="16">
        <v>10868172.859999999</v>
      </c>
      <c r="J5" s="16">
        <f t="shared" ref="J5:J16" si="2">SUM(H5:I5)</f>
        <v>496553745.6023199</v>
      </c>
      <c r="K5" s="17">
        <f t="shared" si="1"/>
        <v>0.73269596728851483</v>
      </c>
    </row>
    <row r="6" spans="1:11">
      <c r="A6" s="12" t="s">
        <v>10</v>
      </c>
      <c r="B6" s="13">
        <v>2743340.7</v>
      </c>
      <c r="C6" s="13">
        <v>1313080.3499999999</v>
      </c>
      <c r="D6" s="376">
        <f t="shared" si="0"/>
        <v>0.47864282770273475</v>
      </c>
      <c r="F6" t="s">
        <v>10</v>
      </c>
      <c r="G6" s="15">
        <v>3109451.39</v>
      </c>
      <c r="H6" s="15">
        <v>427855.14</v>
      </c>
      <c r="I6" s="15"/>
      <c r="J6" s="15">
        <f t="shared" si="2"/>
        <v>427855.14</v>
      </c>
      <c r="K6" s="14">
        <f t="shared" si="1"/>
        <v>0.13759827260074967</v>
      </c>
    </row>
    <row r="7" spans="1:11">
      <c r="A7" s="12" t="s">
        <v>11</v>
      </c>
      <c r="B7" s="13">
        <v>31298555.740000006</v>
      </c>
      <c r="C7" s="13">
        <v>21837213.689999998</v>
      </c>
      <c r="D7" s="376">
        <f t="shared" si="0"/>
        <v>0.69770675271420668</v>
      </c>
      <c r="F7" s="6" t="s">
        <v>11</v>
      </c>
      <c r="G7" s="16">
        <v>30729376.629999999</v>
      </c>
      <c r="H7" s="16">
        <v>16526379.71667818</v>
      </c>
      <c r="I7" s="16">
        <v>1350404.8199999998</v>
      </c>
      <c r="J7" s="16">
        <f t="shared" si="2"/>
        <v>17876784.53667818</v>
      </c>
      <c r="K7" s="17">
        <f t="shared" si="1"/>
        <v>0.58174901339279728</v>
      </c>
    </row>
    <row r="8" spans="1:11">
      <c r="A8" s="12" t="s">
        <v>12</v>
      </c>
      <c r="B8" s="13">
        <v>4211432.1800000006</v>
      </c>
      <c r="C8" s="13">
        <v>2777008.0200000005</v>
      </c>
      <c r="D8" s="376">
        <f t="shared" si="0"/>
        <v>0.65939754014986895</v>
      </c>
      <c r="F8" t="s">
        <v>12</v>
      </c>
      <c r="G8" s="15">
        <v>4452266.38</v>
      </c>
      <c r="H8" s="15">
        <v>1871244.39</v>
      </c>
      <c r="I8" s="15"/>
      <c r="J8" s="15">
        <f t="shared" si="2"/>
        <v>1871244.39</v>
      </c>
      <c r="K8" s="14">
        <f t="shared" si="1"/>
        <v>0.42029030392381866</v>
      </c>
    </row>
    <row r="9" spans="1:11">
      <c r="A9" s="12" t="s">
        <v>13</v>
      </c>
      <c r="B9" s="13">
        <v>395371308.98000002</v>
      </c>
      <c r="C9" s="13">
        <v>262302629.39999998</v>
      </c>
      <c r="D9" s="376">
        <f t="shared" si="0"/>
        <v>0.66343364690953999</v>
      </c>
      <c r="F9" s="6" t="s">
        <v>13</v>
      </c>
      <c r="G9" s="16">
        <v>209493945.12000003</v>
      </c>
      <c r="H9" s="16">
        <v>127775724.33999999</v>
      </c>
      <c r="I9" s="16">
        <v>20864479.910000004</v>
      </c>
      <c r="J9" s="16">
        <f t="shared" si="2"/>
        <v>148640204.25</v>
      </c>
      <c r="K9" s="17">
        <f t="shared" si="1"/>
        <v>0.70952028787685273</v>
      </c>
    </row>
    <row r="10" spans="1:11">
      <c r="A10" s="12" t="s">
        <v>14</v>
      </c>
      <c r="B10" s="13">
        <v>100605</v>
      </c>
      <c r="C10" s="13">
        <v>63834</v>
      </c>
      <c r="D10" s="376">
        <f t="shared" si="0"/>
        <v>0.63450126733263756</v>
      </c>
      <c r="F10" t="s">
        <v>14</v>
      </c>
      <c r="G10" s="15">
        <v>12226</v>
      </c>
      <c r="H10" s="15">
        <v>5506</v>
      </c>
      <c r="I10" s="15"/>
      <c r="J10" s="15">
        <f t="shared" si="2"/>
        <v>5506</v>
      </c>
      <c r="K10" s="14">
        <f t="shared" si="1"/>
        <v>0.45035170947161784</v>
      </c>
    </row>
    <row r="11" spans="1:11">
      <c r="A11" s="12" t="s">
        <v>15</v>
      </c>
      <c r="B11" s="13">
        <v>24375815</v>
      </c>
      <c r="C11" s="13">
        <v>24375071.589999996</v>
      </c>
      <c r="D11" s="376">
        <f t="shared" si="0"/>
        <v>0.99996950214792801</v>
      </c>
      <c r="F11" s="6" t="s">
        <v>15</v>
      </c>
      <c r="G11" s="16">
        <v>24375815</v>
      </c>
      <c r="H11" s="16">
        <v>24375071.586999997</v>
      </c>
      <c r="I11" s="16"/>
      <c r="J11" s="16">
        <f t="shared" si="2"/>
        <v>24375071.586999997</v>
      </c>
      <c r="K11" s="17">
        <f t="shared" si="1"/>
        <v>0.99996950202485524</v>
      </c>
    </row>
    <row r="12" spans="1:11">
      <c r="A12" s="12" t="s">
        <v>16</v>
      </c>
      <c r="B12" s="13">
        <v>301649.40999999992</v>
      </c>
      <c r="C12" s="13">
        <v>157009.74</v>
      </c>
      <c r="D12" s="376">
        <f t="shared" si="0"/>
        <v>0.52050405137540312</v>
      </c>
      <c r="F12" t="s">
        <v>17</v>
      </c>
      <c r="G12" s="15">
        <f>60057401.77+709208.11</f>
        <v>60766609.880000003</v>
      </c>
      <c r="H12" s="15">
        <v>10619223.24</v>
      </c>
      <c r="I12" s="15"/>
      <c r="J12" s="15">
        <f t="shared" si="2"/>
        <v>10619223.24</v>
      </c>
      <c r="K12" s="14">
        <f t="shared" si="1"/>
        <v>0.17475424844286211</v>
      </c>
    </row>
    <row r="13" spans="1:11">
      <c r="A13" s="12" t="s">
        <v>18</v>
      </c>
      <c r="B13" s="13">
        <v>30273544.759999998</v>
      </c>
      <c r="C13" s="13">
        <v>27171937.120000005</v>
      </c>
      <c r="D13" s="376">
        <f t="shared" si="0"/>
        <v>0.89754725901480481</v>
      </c>
      <c r="F13" t="s">
        <v>16</v>
      </c>
      <c r="G13" s="15">
        <v>307094.40999999992</v>
      </c>
      <c r="H13" s="15">
        <v>147089.60000000001</v>
      </c>
      <c r="I13" s="15">
        <v>105558.42</v>
      </c>
      <c r="J13" s="15">
        <f t="shared" si="2"/>
        <v>252648.02000000002</v>
      </c>
      <c r="K13" s="14">
        <f t="shared" si="1"/>
        <v>0.82270471807025103</v>
      </c>
    </row>
    <row r="14" spans="1:11">
      <c r="A14" s="12" t="s">
        <v>19</v>
      </c>
      <c r="B14" s="13">
        <v>3315688.48</v>
      </c>
      <c r="C14" s="13">
        <v>140010.9</v>
      </c>
      <c r="D14" s="376">
        <f t="shared" si="0"/>
        <v>4.2226795684979425E-2</v>
      </c>
      <c r="F14" t="s">
        <v>18</v>
      </c>
      <c r="G14" s="15">
        <v>64712</v>
      </c>
      <c r="H14" s="15">
        <v>0</v>
      </c>
      <c r="I14" s="15"/>
      <c r="J14" s="15">
        <f t="shared" si="2"/>
        <v>0</v>
      </c>
      <c r="K14" s="14">
        <f t="shared" si="1"/>
        <v>0</v>
      </c>
    </row>
    <row r="15" spans="1:11">
      <c r="A15" s="12" t="s">
        <v>20</v>
      </c>
      <c r="B15" s="13">
        <v>136590.68</v>
      </c>
      <c r="C15" s="13">
        <v>0</v>
      </c>
      <c r="D15" s="376">
        <f t="shared" si="0"/>
        <v>0</v>
      </c>
      <c r="F15" t="s">
        <v>19</v>
      </c>
      <c r="G15" s="15">
        <v>3315688.48</v>
      </c>
      <c r="H15" s="15">
        <v>135935.91</v>
      </c>
      <c r="I15" s="15"/>
      <c r="J15" s="15">
        <f t="shared" si="2"/>
        <v>135935.91</v>
      </c>
      <c r="K15" s="14">
        <f t="shared" si="1"/>
        <v>4.0997793013413615E-2</v>
      </c>
    </row>
    <row r="16" spans="1:11">
      <c r="A16" s="12" t="s">
        <v>21</v>
      </c>
      <c r="B16" s="13">
        <v>1548464.01</v>
      </c>
      <c r="C16" s="13">
        <v>0</v>
      </c>
      <c r="D16" s="376">
        <f t="shared" si="0"/>
        <v>0</v>
      </c>
      <c r="F16" t="s">
        <v>22</v>
      </c>
      <c r="G16" s="15">
        <v>763061.64</v>
      </c>
      <c r="H16" s="15">
        <v>591944.25</v>
      </c>
      <c r="I16" s="15"/>
      <c r="J16" s="15">
        <f t="shared" si="2"/>
        <v>591944.25</v>
      </c>
      <c r="K16" s="14">
        <f t="shared" si="1"/>
        <v>0.77574892901181614</v>
      </c>
    </row>
    <row r="17" spans="1:11">
      <c r="A17" s="12" t="s">
        <v>23</v>
      </c>
      <c r="B17" s="13">
        <v>1376345548.04</v>
      </c>
      <c r="C17" s="13">
        <v>1061697166.7699997</v>
      </c>
      <c r="D17" s="376">
        <f t="shared" si="0"/>
        <v>0.77138852832555116</v>
      </c>
      <c r="F17" t="s">
        <v>23</v>
      </c>
      <c r="G17" s="15">
        <f>SUBTOTAL(109,G4:G16)</f>
        <v>1046918514.6199998</v>
      </c>
      <c r="H17" s="15">
        <f t="shared" ref="H17:J17" si="3">SUBTOTAL(109,H4:H16)</f>
        <v>684953147.20599806</v>
      </c>
      <c r="I17" s="15">
        <f t="shared" si="3"/>
        <v>35752068.010000005</v>
      </c>
      <c r="J17" s="15">
        <f t="shared" si="3"/>
        <v>720705215.21599805</v>
      </c>
    </row>
    <row r="18" spans="1:11">
      <c r="B18"/>
      <c r="D18" s="376" t="e">
        <f t="shared" si="0"/>
        <v>#DIV/0!</v>
      </c>
    </row>
    <row r="19" spans="1:11">
      <c r="B19"/>
      <c r="D19" s="376" t="e">
        <f t="shared" si="0"/>
        <v>#DIV/0!</v>
      </c>
      <c r="F19" t="s">
        <v>24</v>
      </c>
      <c r="G19" s="18">
        <v>104611614</v>
      </c>
      <c r="J19" s="18">
        <v>33259409</v>
      </c>
      <c r="K19" s="8">
        <f>J19/G19</f>
        <v>0.31793228044450206</v>
      </c>
    </row>
    <row r="20" spans="1:11">
      <c r="B20"/>
      <c r="D20" s="376" t="e">
        <f t="shared" si="0"/>
        <v>#DIV/0!</v>
      </c>
      <c r="F20" t="s">
        <v>25</v>
      </c>
      <c r="G20" s="18">
        <v>942306901</v>
      </c>
      <c r="J20" s="18">
        <v>687445806</v>
      </c>
      <c r="K20" s="8">
        <f>J20/G20</f>
        <v>0.72953493736537967</v>
      </c>
    </row>
    <row r="21" spans="1:11">
      <c r="B21"/>
    </row>
    <row r="22" spans="1:11">
      <c r="B22"/>
    </row>
    <row r="23" spans="1:11">
      <c r="B23"/>
    </row>
    <row r="24" spans="1:11">
      <c r="B24"/>
    </row>
    <row r="25" spans="1:11">
      <c r="B25"/>
    </row>
    <row r="26" spans="1:11">
      <c r="B26"/>
    </row>
    <row r="27" spans="1:11">
      <c r="B27"/>
    </row>
    <row r="28" spans="1:11">
      <c r="B28"/>
    </row>
    <row r="29" spans="1:11">
      <c r="B29"/>
    </row>
    <row r="30" spans="1:11">
      <c r="B30"/>
    </row>
    <row r="31" spans="1:11">
      <c r="B31"/>
    </row>
    <row r="32" spans="1:11">
      <c r="B32"/>
    </row>
    <row r="33" spans="2:2">
      <c r="B33"/>
    </row>
    <row r="34" spans="2:2">
      <c r="B34"/>
    </row>
    <row r="35" spans="2:2">
      <c r="B35"/>
    </row>
    <row r="36" spans="2:2">
      <c r="B36"/>
    </row>
    <row r="37" spans="2:2">
      <c r="B37"/>
    </row>
    <row r="38" spans="2:2">
      <c r="B38"/>
    </row>
    <row r="39" spans="2:2">
      <c r="B39"/>
    </row>
    <row r="40" spans="2:2">
      <c r="B40"/>
    </row>
    <row r="41" spans="2:2">
      <c r="B41"/>
    </row>
    <row r="42" spans="2:2">
      <c r="B42"/>
    </row>
    <row r="43" spans="2:2">
      <c r="B43"/>
    </row>
    <row r="44" spans="2:2">
      <c r="B44"/>
    </row>
    <row r="45" spans="2:2">
      <c r="B45"/>
    </row>
    <row r="46" spans="2:2">
      <c r="B46"/>
    </row>
    <row r="47" spans="2:2">
      <c r="B47"/>
    </row>
    <row r="48" spans="2:2">
      <c r="B48"/>
    </row>
    <row r="49" spans="2:2">
      <c r="B49"/>
    </row>
    <row r="50" spans="2:2">
      <c r="B50"/>
    </row>
    <row r="51" spans="2:2">
      <c r="B51"/>
    </row>
    <row r="52" spans="2:2">
      <c r="B52"/>
    </row>
    <row r="53" spans="2:2">
      <c r="B53"/>
    </row>
    <row r="54" spans="2:2">
      <c r="B54"/>
    </row>
    <row r="55" spans="2:2">
      <c r="B55"/>
    </row>
    <row r="56" spans="2:2">
      <c r="B56"/>
    </row>
    <row r="57" spans="2:2">
      <c r="B57"/>
    </row>
    <row r="58" spans="2:2">
      <c r="B58"/>
    </row>
    <row r="59" spans="2:2">
      <c r="B59"/>
    </row>
    <row r="60" spans="2:2">
      <c r="B60"/>
    </row>
    <row r="61" spans="2:2">
      <c r="B61"/>
    </row>
    <row r="62" spans="2:2">
      <c r="B62"/>
    </row>
    <row r="63" spans="2:2">
      <c r="B63"/>
    </row>
    <row r="64" spans="2:2">
      <c r="B64"/>
    </row>
    <row r="65" spans="2:2">
      <c r="B65"/>
    </row>
    <row r="66" spans="2:2">
      <c r="B66"/>
    </row>
    <row r="67" spans="2:2">
      <c r="B67"/>
    </row>
    <row r="68" spans="2:2">
      <c r="B68"/>
    </row>
    <row r="69" spans="2:2">
      <c r="B69"/>
    </row>
    <row r="70" spans="2:2">
      <c r="B70"/>
    </row>
    <row r="71" spans="2:2">
      <c r="B71"/>
    </row>
    <row r="72" spans="2:2">
      <c r="B72"/>
    </row>
    <row r="73" spans="2:2">
      <c r="B73"/>
    </row>
    <row r="74" spans="2:2">
      <c r="B74"/>
    </row>
    <row r="75" spans="2:2">
      <c r="B75"/>
    </row>
    <row r="76" spans="2:2">
      <c r="B76"/>
    </row>
    <row r="77" spans="2:2">
      <c r="B77"/>
    </row>
    <row r="78" spans="2:2">
      <c r="B78"/>
    </row>
    <row r="79" spans="2:2">
      <c r="B79"/>
    </row>
    <row r="80" spans="2:2">
      <c r="B80"/>
    </row>
    <row r="81" spans="2:2">
      <c r="B81"/>
    </row>
    <row r="82" spans="2:2">
      <c r="B82"/>
    </row>
    <row r="83" spans="2:2">
      <c r="B83"/>
    </row>
    <row r="84" spans="2:2">
      <c r="B84"/>
    </row>
    <row r="85" spans="2:2">
      <c r="B85"/>
    </row>
    <row r="86" spans="2:2">
      <c r="B86"/>
    </row>
    <row r="87" spans="2:2">
      <c r="B87"/>
    </row>
    <row r="88" spans="2:2">
      <c r="B88"/>
    </row>
    <row r="89" spans="2:2">
      <c r="B89"/>
    </row>
    <row r="90" spans="2:2">
      <c r="B90"/>
    </row>
    <row r="91" spans="2:2">
      <c r="B91"/>
    </row>
    <row r="92" spans="2:2">
      <c r="B92"/>
    </row>
    <row r="93" spans="2:2">
      <c r="B93"/>
    </row>
    <row r="94" spans="2:2">
      <c r="B94"/>
    </row>
    <row r="95" spans="2:2">
      <c r="B95"/>
    </row>
    <row r="96" spans="2:2">
      <c r="B96"/>
    </row>
    <row r="97" spans="2:2">
      <c r="B97"/>
    </row>
    <row r="98" spans="2:2">
      <c r="B98"/>
    </row>
    <row r="99" spans="2:2">
      <c r="B99"/>
    </row>
    <row r="100" spans="2:2">
      <c r="B100"/>
    </row>
    <row r="101" spans="2:2">
      <c r="B101"/>
    </row>
    <row r="102" spans="2:2">
      <c r="B102"/>
    </row>
    <row r="103" spans="2:2">
      <c r="B103"/>
    </row>
    <row r="104" spans="2:2">
      <c r="B104"/>
    </row>
    <row r="105" spans="2:2">
      <c r="B105"/>
    </row>
    <row r="106" spans="2:2">
      <c r="B106"/>
    </row>
    <row r="107" spans="2:2">
      <c r="B107"/>
    </row>
    <row r="108" spans="2:2">
      <c r="B108"/>
    </row>
    <row r="109" spans="2:2">
      <c r="B109"/>
    </row>
    <row r="110" spans="2:2">
      <c r="B110"/>
    </row>
    <row r="111" spans="2:2">
      <c r="B111"/>
    </row>
    <row r="112" spans="2:2">
      <c r="B112"/>
    </row>
    <row r="113" spans="2:2">
      <c r="B113"/>
    </row>
    <row r="114" spans="2:2">
      <c r="B114"/>
    </row>
    <row r="115" spans="2:2">
      <c r="B115"/>
    </row>
    <row r="116" spans="2:2">
      <c r="B116"/>
    </row>
    <row r="117" spans="2:2">
      <c r="B117"/>
    </row>
    <row r="118" spans="2:2">
      <c r="B118"/>
    </row>
    <row r="119" spans="2:2">
      <c r="B119"/>
    </row>
    <row r="120" spans="2:2">
      <c r="B120"/>
    </row>
    <row r="121" spans="2:2">
      <c r="B121"/>
    </row>
    <row r="122" spans="2:2">
      <c r="B122"/>
    </row>
    <row r="123" spans="2:2">
      <c r="B123"/>
    </row>
    <row r="124" spans="2:2">
      <c r="B124"/>
    </row>
    <row r="125" spans="2:2">
      <c r="B125"/>
    </row>
    <row r="126" spans="2:2">
      <c r="B126"/>
    </row>
    <row r="127" spans="2:2">
      <c r="B127"/>
    </row>
    <row r="128" spans="2:2">
      <c r="B128"/>
    </row>
    <row r="129" spans="2:2">
      <c r="B129"/>
    </row>
    <row r="130" spans="2:2">
      <c r="B130"/>
    </row>
    <row r="131" spans="2:2">
      <c r="B131"/>
    </row>
    <row r="132" spans="2:2">
      <c r="B132"/>
    </row>
    <row r="133" spans="2:2">
      <c r="B133"/>
    </row>
    <row r="134" spans="2:2">
      <c r="B134"/>
    </row>
    <row r="135" spans="2:2">
      <c r="B135"/>
    </row>
    <row r="136" spans="2:2">
      <c r="B136"/>
    </row>
    <row r="137" spans="2:2">
      <c r="B137"/>
    </row>
    <row r="138" spans="2:2">
      <c r="B138"/>
    </row>
    <row r="139" spans="2:2">
      <c r="B139"/>
    </row>
    <row r="140" spans="2:2">
      <c r="B140"/>
    </row>
    <row r="141" spans="2:2">
      <c r="B141"/>
    </row>
    <row r="142" spans="2:2">
      <c r="B142"/>
    </row>
    <row r="143" spans="2:2">
      <c r="B143"/>
    </row>
    <row r="144" spans="2:2">
      <c r="B144"/>
    </row>
    <row r="145" spans="2:2">
      <c r="B145"/>
    </row>
    <row r="146" spans="2:2">
      <c r="B146"/>
    </row>
    <row r="147" spans="2:2">
      <c r="B147"/>
    </row>
    <row r="148" spans="2:2">
      <c r="B148"/>
    </row>
    <row r="149" spans="2:2">
      <c r="B149"/>
    </row>
    <row r="150" spans="2:2">
      <c r="B150"/>
    </row>
    <row r="151" spans="2:2">
      <c r="B151"/>
    </row>
    <row r="152" spans="2:2">
      <c r="B152"/>
    </row>
    <row r="153" spans="2:2">
      <c r="B153"/>
    </row>
    <row r="154" spans="2:2">
      <c r="B154"/>
    </row>
    <row r="155" spans="2:2">
      <c r="B155"/>
    </row>
    <row r="156" spans="2:2">
      <c r="B156"/>
    </row>
    <row r="157" spans="2:2">
      <c r="B157"/>
    </row>
    <row r="158" spans="2:2">
      <c r="B158"/>
    </row>
    <row r="159" spans="2:2">
      <c r="B159"/>
    </row>
    <row r="160" spans="2:2">
      <c r="B160"/>
    </row>
    <row r="161" spans="2:2">
      <c r="B161"/>
    </row>
    <row r="162" spans="2:2">
      <c r="B162"/>
    </row>
    <row r="163" spans="2:2">
      <c r="B163"/>
    </row>
    <row r="164" spans="2:2">
      <c r="B164"/>
    </row>
    <row r="165" spans="2:2">
      <c r="B165"/>
    </row>
    <row r="166" spans="2:2">
      <c r="B166"/>
    </row>
    <row r="167" spans="2:2">
      <c r="B167"/>
    </row>
    <row r="168" spans="2:2">
      <c r="B168"/>
    </row>
    <row r="169" spans="2:2">
      <c r="B169"/>
    </row>
    <row r="170" spans="2:2">
      <c r="B170"/>
    </row>
    <row r="171" spans="2:2">
      <c r="B171"/>
    </row>
    <row r="172" spans="2:2">
      <c r="B172"/>
    </row>
    <row r="173" spans="2:2">
      <c r="B173"/>
    </row>
    <row r="174" spans="2:2">
      <c r="B174"/>
    </row>
    <row r="175" spans="2:2">
      <c r="B175"/>
    </row>
    <row r="176" spans="2:2">
      <c r="B176"/>
    </row>
    <row r="177" spans="2:2">
      <c r="B177"/>
    </row>
    <row r="178" spans="2:2">
      <c r="B178"/>
    </row>
    <row r="179" spans="2:2">
      <c r="B179"/>
    </row>
    <row r="180" spans="2:2">
      <c r="B180"/>
    </row>
  </sheetData>
  <autoFilter ref="F3:K17" xr:uid="{760FDEB1-2502-494D-AF1F-0FC9351C252C}"/>
  <phoneticPr fontId="14" type="noConversion"/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3EB4D-F8F5-4B6D-AF35-5AAB22E91339}">
  <dimension ref="A1:AA47"/>
  <sheetViews>
    <sheetView topLeftCell="M19" workbookViewId="0">
      <selection activeCell="Q29" sqref="Q29"/>
    </sheetView>
  </sheetViews>
  <sheetFormatPr defaultColWidth="9.140625" defaultRowHeight="14.1"/>
  <cols>
    <col min="1" max="1" width="24.42578125" style="484" bestFit="1" customWidth="1"/>
    <col min="2" max="2" width="22.42578125" style="484" bestFit="1" customWidth="1"/>
    <col min="3" max="4" width="9.140625" style="484"/>
    <col min="5" max="6" width="21.28515625" style="484" bestFit="1" customWidth="1"/>
    <col min="7" max="11" width="9.140625" style="484"/>
    <col min="12" max="12" width="21.28515625" style="484" bestFit="1" customWidth="1"/>
    <col min="13" max="13" width="17.7109375" style="484" bestFit="1" customWidth="1"/>
    <col min="14" max="14" width="20.85546875" style="484" bestFit="1" customWidth="1"/>
    <col min="15" max="15" width="9.140625" style="484"/>
    <col min="16" max="16" width="31.7109375" style="484" bestFit="1" customWidth="1"/>
    <col min="17" max="17" width="23.42578125" style="484" bestFit="1" customWidth="1"/>
    <col min="18" max="18" width="24.140625" style="484" bestFit="1" customWidth="1"/>
    <col min="19" max="19" width="18" style="484" bestFit="1" customWidth="1"/>
    <col min="20" max="20" width="20.140625" style="484" bestFit="1" customWidth="1"/>
    <col min="21" max="24" width="9.140625" style="484"/>
    <col min="25" max="25" width="39.7109375" style="484" bestFit="1" customWidth="1"/>
    <col min="26" max="26" width="17.7109375" style="484" bestFit="1" customWidth="1"/>
    <col min="27" max="27" width="25" style="484" bestFit="1" customWidth="1"/>
    <col min="28" max="16384" width="9.140625" style="484"/>
  </cols>
  <sheetData>
    <row r="1" spans="1:27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609" t="s">
        <v>2</v>
      </c>
      <c r="M1" s="30" t="s">
        <v>3</v>
      </c>
      <c r="N1" s="30" t="s">
        <v>26</v>
      </c>
      <c r="O1" s="30"/>
      <c r="P1" s="485" t="s">
        <v>2</v>
      </c>
      <c r="Q1" s="485" t="s">
        <v>3</v>
      </c>
      <c r="R1" s="485" t="s">
        <v>26</v>
      </c>
      <c r="S1" s="486" t="s">
        <v>27</v>
      </c>
      <c r="T1" s="486" t="s">
        <v>28</v>
      </c>
      <c r="U1" s="30"/>
      <c r="V1" s="30"/>
      <c r="W1" s="30"/>
      <c r="X1" s="30"/>
      <c r="Y1" s="609" t="s">
        <v>2</v>
      </c>
      <c r="Z1" s="30" t="s">
        <v>3</v>
      </c>
      <c r="AA1" s="30" t="s">
        <v>4</v>
      </c>
    </row>
    <row r="2" spans="1:27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610" t="s">
        <v>8</v>
      </c>
      <c r="M2" s="611">
        <v>86488388.149999991</v>
      </c>
      <c r="N2" s="612">
        <v>58106599.060000002</v>
      </c>
      <c r="O2" s="30"/>
      <c r="P2" s="30" t="s">
        <v>8</v>
      </c>
      <c r="Q2" s="581">
        <v>84901616.079999998</v>
      </c>
      <c r="R2" s="581">
        <v>58155561.460000008</v>
      </c>
      <c r="S2" s="582">
        <f>R2/Q2</f>
        <v>0.68497590676250419</v>
      </c>
      <c r="T2" s="583">
        <f>Q2-R2</f>
        <v>26746054.61999999</v>
      </c>
      <c r="U2" s="30"/>
      <c r="V2" s="30"/>
      <c r="W2" s="30"/>
      <c r="X2" s="30"/>
      <c r="Y2" s="610" t="s">
        <v>29</v>
      </c>
      <c r="Z2" s="30">
        <v>18133047.900000002</v>
      </c>
      <c r="AA2" s="30">
        <v>12473211.950000003</v>
      </c>
    </row>
    <row r="3" spans="1:27">
      <c r="A3" s="609" t="s">
        <v>30</v>
      </c>
      <c r="B3" s="30" t="s">
        <v>31</v>
      </c>
      <c r="C3" s="30"/>
      <c r="D3" s="30"/>
      <c r="E3" s="485" t="s">
        <v>30</v>
      </c>
      <c r="F3" s="485" t="s">
        <v>31</v>
      </c>
      <c r="G3" s="30"/>
      <c r="H3" s="30"/>
      <c r="I3" s="30"/>
      <c r="J3" s="30"/>
      <c r="K3" s="30"/>
      <c r="L3" s="610" t="s">
        <v>9</v>
      </c>
      <c r="M3" s="611">
        <v>796180164.94999993</v>
      </c>
      <c r="N3" s="612">
        <v>665036260.79231989</v>
      </c>
      <c r="O3" s="30"/>
      <c r="P3" s="30" t="s">
        <v>9</v>
      </c>
      <c r="Q3" s="581">
        <v>793721718.81999981</v>
      </c>
      <c r="R3" s="581">
        <v>665625257.88231981</v>
      </c>
      <c r="S3" s="582">
        <f t="shared" ref="S3:S13" si="0">R3/Q3</f>
        <v>0.83861288169345194</v>
      </c>
      <c r="T3" s="583">
        <f t="shared" ref="T3:T14" si="1">Q3-R3</f>
        <v>128096460.93768001</v>
      </c>
      <c r="U3" s="30"/>
      <c r="V3" s="30"/>
      <c r="W3" s="30"/>
      <c r="X3" s="30"/>
      <c r="Y3" s="610" t="s">
        <v>32</v>
      </c>
      <c r="Z3" s="30">
        <v>448297.04000000004</v>
      </c>
      <c r="AA3" s="30">
        <v>252639.24199999997</v>
      </c>
    </row>
    <row r="4" spans="1:27">
      <c r="A4" s="610" t="s">
        <v>8</v>
      </c>
      <c r="B4" s="611">
        <v>1146938.54</v>
      </c>
      <c r="C4" s="30"/>
      <c r="D4" s="30"/>
      <c r="E4" s="30" t="s">
        <v>8</v>
      </c>
      <c r="F4" s="40">
        <v>2000649.3599999999</v>
      </c>
      <c r="G4" s="30"/>
      <c r="H4" s="30"/>
      <c r="I4" s="30"/>
      <c r="J4" s="30"/>
      <c r="K4" s="30"/>
      <c r="L4" s="610" t="s">
        <v>10</v>
      </c>
      <c r="M4" s="611">
        <v>2743340.7</v>
      </c>
      <c r="N4" s="612">
        <v>1453753.59</v>
      </c>
      <c r="O4" s="30"/>
      <c r="P4" s="30" t="s">
        <v>10</v>
      </c>
      <c r="Q4" s="581">
        <v>2743340.7</v>
      </c>
      <c r="R4" s="581">
        <v>1700609.59</v>
      </c>
      <c r="S4" s="582">
        <f t="shared" si="0"/>
        <v>0.6199046257725116</v>
      </c>
      <c r="T4" s="583">
        <f t="shared" si="1"/>
        <v>1042731.1100000001</v>
      </c>
      <c r="U4" s="30"/>
      <c r="V4" s="30"/>
      <c r="W4" s="30"/>
      <c r="X4" s="30"/>
      <c r="Y4" s="610" t="s">
        <v>33</v>
      </c>
      <c r="Z4" s="30">
        <v>19146.240000000002</v>
      </c>
      <c r="AA4" s="30">
        <v>9573.119999999999</v>
      </c>
    </row>
    <row r="5" spans="1:27">
      <c r="A5" s="610" t="s">
        <v>9</v>
      </c>
      <c r="B5" s="611">
        <v>73239787.699999988</v>
      </c>
      <c r="C5" s="30"/>
      <c r="D5" s="30"/>
      <c r="E5" s="30" t="s">
        <v>9</v>
      </c>
      <c r="F5" s="40">
        <v>8483454.6600000001</v>
      </c>
      <c r="G5" s="30"/>
      <c r="H5" s="30"/>
      <c r="I5" s="30"/>
      <c r="J5" s="30"/>
      <c r="K5" s="30"/>
      <c r="L5" s="610" t="s">
        <v>11</v>
      </c>
      <c r="M5" s="611">
        <v>31298555.740000006</v>
      </c>
      <c r="N5" s="612">
        <v>22326143.786678184</v>
      </c>
      <c r="O5" s="30"/>
      <c r="P5" s="30" t="s">
        <v>11</v>
      </c>
      <c r="Q5" s="581">
        <v>31298555.740000006</v>
      </c>
      <c r="R5" s="581">
        <v>22326143.786678184</v>
      </c>
      <c r="S5" s="582">
        <f t="shared" si="0"/>
        <v>0.71332824339063827</v>
      </c>
      <c r="T5" s="583">
        <f t="shared" si="1"/>
        <v>8972411.953321822</v>
      </c>
      <c r="U5" s="30"/>
      <c r="V5" s="30"/>
      <c r="W5" s="30"/>
      <c r="X5" s="30"/>
      <c r="Y5" s="610" t="s">
        <v>34</v>
      </c>
      <c r="Z5" s="30">
        <v>516417</v>
      </c>
      <c r="AA5" s="30">
        <v>250536</v>
      </c>
    </row>
    <row r="6" spans="1:27">
      <c r="A6" s="610" t="s">
        <v>10</v>
      </c>
      <c r="B6" s="611">
        <v>1607.29</v>
      </c>
      <c r="C6" s="30"/>
      <c r="D6" s="30"/>
      <c r="E6" s="30" t="s">
        <v>10</v>
      </c>
      <c r="F6" s="40">
        <v>1607.29</v>
      </c>
      <c r="G6" s="30"/>
      <c r="H6" s="30"/>
      <c r="I6" s="30"/>
      <c r="J6" s="30"/>
      <c r="K6" s="30"/>
      <c r="L6" s="610" t="s">
        <v>12</v>
      </c>
      <c r="M6" s="611">
        <v>4211432.1800000006</v>
      </c>
      <c r="N6" s="612">
        <v>3029112.6700000004</v>
      </c>
      <c r="O6" s="30"/>
      <c r="P6" s="30" t="s">
        <v>12</v>
      </c>
      <c r="Q6" s="581">
        <v>4211432.1800000006</v>
      </c>
      <c r="R6" s="581">
        <v>3029112.6700000004</v>
      </c>
      <c r="S6" s="582">
        <f t="shared" si="0"/>
        <v>0.71925951565483837</v>
      </c>
      <c r="T6" s="583">
        <f t="shared" si="1"/>
        <v>1182319.5100000002</v>
      </c>
      <c r="U6" s="30"/>
      <c r="V6" s="30"/>
      <c r="W6" s="30"/>
      <c r="X6" s="30"/>
      <c r="Y6" s="610" t="s">
        <v>35</v>
      </c>
      <c r="Z6" s="30">
        <v>144937</v>
      </c>
      <c r="AA6" s="30">
        <v>144937</v>
      </c>
    </row>
    <row r="7" spans="1:27">
      <c r="A7" s="610" t="s">
        <v>11</v>
      </c>
      <c r="B7" s="611">
        <v>217894.82</v>
      </c>
      <c r="C7" s="30"/>
      <c r="D7" s="30"/>
      <c r="E7" s="30" t="s">
        <v>11</v>
      </c>
      <c r="F7" s="40">
        <v>295410.82</v>
      </c>
      <c r="G7" s="30"/>
      <c r="H7" s="30"/>
      <c r="I7" s="30"/>
      <c r="J7" s="30"/>
      <c r="K7" s="30"/>
      <c r="L7" s="610" t="s">
        <v>13</v>
      </c>
      <c r="M7" s="611">
        <v>395371308.98000002</v>
      </c>
      <c r="N7" s="612">
        <v>264000307.12999997</v>
      </c>
      <c r="O7" s="30"/>
      <c r="P7" s="30" t="s">
        <v>13</v>
      </c>
      <c r="Q7" s="581">
        <v>346135837.55000001</v>
      </c>
      <c r="R7" s="581">
        <v>268720152.70000005</v>
      </c>
      <c r="S7" s="582">
        <f t="shared" si="0"/>
        <v>0.77634305249072311</v>
      </c>
      <c r="T7" s="583">
        <f t="shared" si="1"/>
        <v>77415684.849999964</v>
      </c>
      <c r="U7" s="30"/>
      <c r="V7" s="30"/>
      <c r="W7" s="30"/>
      <c r="X7" s="30"/>
      <c r="Y7" s="610" t="s">
        <v>36</v>
      </c>
      <c r="Z7" s="30">
        <v>355000</v>
      </c>
      <c r="AA7" s="30">
        <v>37985</v>
      </c>
    </row>
    <row r="8" spans="1:27">
      <c r="A8" s="610" t="s">
        <v>12</v>
      </c>
      <c r="B8" s="611">
        <v>11113.54</v>
      </c>
      <c r="C8" s="30"/>
      <c r="D8" s="30"/>
      <c r="E8" s="30" t="s">
        <v>12</v>
      </c>
      <c r="F8" s="40">
        <v>11113.54</v>
      </c>
      <c r="G8" s="30"/>
      <c r="H8" s="30"/>
      <c r="I8" s="30"/>
      <c r="J8" s="30"/>
      <c r="K8" s="30"/>
      <c r="L8" s="610" t="s">
        <v>20</v>
      </c>
      <c r="M8" s="611">
        <v>136590.68</v>
      </c>
      <c r="N8" s="612">
        <v>0</v>
      </c>
      <c r="O8" s="30"/>
      <c r="P8" s="30" t="s">
        <v>20</v>
      </c>
      <c r="Q8" s="581">
        <v>136590.68</v>
      </c>
      <c r="R8" s="581">
        <v>0</v>
      </c>
      <c r="S8" s="582">
        <f t="shared" si="0"/>
        <v>0</v>
      </c>
      <c r="T8" s="583">
        <f t="shared" si="1"/>
        <v>136590.68</v>
      </c>
      <c r="U8" s="30"/>
      <c r="V8" s="30"/>
      <c r="W8" s="30"/>
      <c r="X8" s="30"/>
      <c r="Y8" s="610" t="s">
        <v>37</v>
      </c>
      <c r="Z8" s="30">
        <v>180504</v>
      </c>
      <c r="AA8" s="30">
        <v>0</v>
      </c>
    </row>
    <row r="9" spans="1:27">
      <c r="A9" s="610" t="s">
        <v>13</v>
      </c>
      <c r="B9" s="611">
        <v>11410661.75</v>
      </c>
      <c r="C9" s="30"/>
      <c r="D9" s="30"/>
      <c r="E9" s="30" t="s">
        <v>13</v>
      </c>
      <c r="F9" s="40">
        <v>15469159.600000001</v>
      </c>
      <c r="G9" s="30"/>
      <c r="H9" s="30"/>
      <c r="I9" s="30"/>
      <c r="J9" s="30"/>
      <c r="K9" s="30"/>
      <c r="L9" s="610" t="s">
        <v>14</v>
      </c>
      <c r="M9" s="611">
        <v>100605</v>
      </c>
      <c r="N9" s="612">
        <v>63834</v>
      </c>
      <c r="O9" s="30"/>
      <c r="P9" s="30" t="s">
        <v>14</v>
      </c>
      <c r="Q9" s="581">
        <v>100605</v>
      </c>
      <c r="R9" s="581">
        <v>63834</v>
      </c>
      <c r="S9" s="582">
        <f>R9/Q9</f>
        <v>0.63450126733263756</v>
      </c>
      <c r="T9" s="583">
        <f t="shared" si="1"/>
        <v>36771</v>
      </c>
      <c r="U9" s="30"/>
      <c r="V9" s="30"/>
      <c r="W9" s="30"/>
      <c r="X9" s="30"/>
      <c r="Y9" s="610" t="s">
        <v>38</v>
      </c>
      <c r="Z9" s="30">
        <v>0</v>
      </c>
      <c r="AA9" s="30">
        <v>0</v>
      </c>
    </row>
    <row r="10" spans="1:27">
      <c r="A10" s="610" t="s">
        <v>18</v>
      </c>
      <c r="B10" s="611">
        <v>437038.02</v>
      </c>
      <c r="C10" s="30"/>
      <c r="D10" s="30"/>
      <c r="E10" s="30" t="s">
        <v>18</v>
      </c>
      <c r="F10" s="40">
        <v>437038.02</v>
      </c>
      <c r="G10" s="30"/>
      <c r="H10" s="30"/>
      <c r="I10" s="30"/>
      <c r="J10" s="30"/>
      <c r="K10" s="30"/>
      <c r="L10" s="610" t="s">
        <v>15</v>
      </c>
      <c r="M10" s="611">
        <v>24375815</v>
      </c>
      <c r="N10" s="612">
        <v>24375071.586999997</v>
      </c>
      <c r="O10" s="30"/>
      <c r="P10" s="30" t="s">
        <v>15</v>
      </c>
      <c r="Q10" s="581">
        <v>24375815</v>
      </c>
      <c r="R10" s="581">
        <v>24375071.586999997</v>
      </c>
      <c r="S10" s="582">
        <f t="shared" si="0"/>
        <v>0.99996950202485524</v>
      </c>
      <c r="T10" s="583">
        <f>Q10-R10</f>
        <v>743.4130000025034</v>
      </c>
      <c r="U10" s="30"/>
      <c r="V10" s="30"/>
      <c r="W10" s="30"/>
      <c r="X10" s="30"/>
      <c r="Y10" s="610" t="s">
        <v>39</v>
      </c>
      <c r="Z10" s="30">
        <v>750023.48243165493</v>
      </c>
      <c r="AA10" s="30">
        <v>395554.68623654678</v>
      </c>
    </row>
    <row r="11" spans="1:27">
      <c r="A11" s="610" t="s">
        <v>23</v>
      </c>
      <c r="B11" s="611">
        <v>86465041.659999996</v>
      </c>
      <c r="C11" s="30"/>
      <c r="D11" s="30"/>
      <c r="E11" s="487" t="s">
        <v>40</v>
      </c>
      <c r="F11" s="488">
        <f>SUM(F4:F10)</f>
        <v>26698433.289999999</v>
      </c>
      <c r="G11" s="30"/>
      <c r="H11" s="30"/>
      <c r="I11" s="30"/>
      <c r="J11" s="30"/>
      <c r="K11" s="30"/>
      <c r="L11" s="610" t="s">
        <v>16</v>
      </c>
      <c r="M11" s="611">
        <v>301649.40999999992</v>
      </c>
      <c r="N11" s="612">
        <v>259353.58</v>
      </c>
      <c r="O11" s="30"/>
      <c r="P11" s="30" t="s">
        <v>16</v>
      </c>
      <c r="Q11" s="581">
        <v>301649.40999999992</v>
      </c>
      <c r="R11" s="581">
        <v>259353.58</v>
      </c>
      <c r="S11" s="582">
        <f t="shared" si="0"/>
        <v>0.85978480780055255</v>
      </c>
      <c r="T11" s="583">
        <f t="shared" si="1"/>
        <v>42295.829999999929</v>
      </c>
      <c r="U11" s="30"/>
      <c r="V11" s="30"/>
      <c r="W11" s="30"/>
      <c r="X11" s="30"/>
      <c r="Y11" s="610" t="s">
        <v>41</v>
      </c>
      <c r="Z11" s="30">
        <v>37162.300000000003</v>
      </c>
      <c r="AA11" s="30">
        <v>0</v>
      </c>
    </row>
    <row r="12" spans="1:27">
      <c r="A12" s="489" t="s">
        <v>42</v>
      </c>
      <c r="B12" s="40">
        <v>64756333.039999992</v>
      </c>
      <c r="C12" s="30"/>
      <c r="D12" s="30"/>
      <c r="E12" s="30" t="s">
        <v>42</v>
      </c>
      <c r="F12" s="40">
        <v>64756333.039999992</v>
      </c>
      <c r="G12" s="30"/>
      <c r="H12" s="30"/>
      <c r="I12" s="30"/>
      <c r="J12" s="30"/>
      <c r="K12" s="30"/>
      <c r="L12" s="610" t="s">
        <v>21</v>
      </c>
      <c r="M12" s="611">
        <v>1548464.01</v>
      </c>
      <c r="N12" s="612">
        <v>374559.6</v>
      </c>
      <c r="O12" s="30"/>
      <c r="P12" s="30" t="s">
        <v>21</v>
      </c>
      <c r="Q12" s="581">
        <v>1548464.01</v>
      </c>
      <c r="R12" s="581">
        <v>374559.6</v>
      </c>
      <c r="S12" s="582">
        <f t="shared" si="0"/>
        <v>0.24189105951516429</v>
      </c>
      <c r="T12" s="583">
        <f t="shared" si="1"/>
        <v>1173904.4100000001</v>
      </c>
      <c r="U12" s="30"/>
      <c r="V12" s="30"/>
      <c r="W12" s="30"/>
      <c r="X12" s="30"/>
      <c r="Y12" s="610" t="s">
        <v>43</v>
      </c>
      <c r="Z12" s="30">
        <v>17984.580000000002</v>
      </c>
      <c r="AA12" s="30">
        <v>0</v>
      </c>
    </row>
    <row r="13" spans="1:27">
      <c r="A13" s="30"/>
      <c r="B13" s="30"/>
      <c r="C13" s="30"/>
      <c r="D13" s="30"/>
      <c r="E13" s="487" t="s">
        <v>23</v>
      </c>
      <c r="F13" s="488">
        <f>SUM(F12,F11)</f>
        <v>91454766.329999983</v>
      </c>
      <c r="G13" s="30"/>
      <c r="H13" s="30"/>
      <c r="I13" s="30"/>
      <c r="J13" s="30"/>
      <c r="K13" s="30"/>
      <c r="L13" s="610" t="s">
        <v>18</v>
      </c>
      <c r="M13" s="611">
        <v>30273544.759999998</v>
      </c>
      <c r="N13" s="612">
        <v>29098064.703200005</v>
      </c>
      <c r="O13" s="30"/>
      <c r="P13" s="30" t="s">
        <v>18</v>
      </c>
      <c r="Q13" s="581">
        <v>30273544.759999998</v>
      </c>
      <c r="R13" s="581">
        <v>29011763.973200005</v>
      </c>
      <c r="S13" s="582">
        <f t="shared" si="0"/>
        <v>0.95832067910107555</v>
      </c>
      <c r="T13" s="583">
        <f t="shared" si="1"/>
        <v>1261780.7867999934</v>
      </c>
      <c r="U13" s="30"/>
      <c r="V13" s="30"/>
      <c r="W13" s="30"/>
      <c r="X13" s="30"/>
      <c r="Y13" s="610" t="s">
        <v>44</v>
      </c>
      <c r="Z13" s="30">
        <v>16910.68</v>
      </c>
      <c r="AA13" s="30">
        <v>16910.68</v>
      </c>
    </row>
    <row r="14" spans="1:27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610" t="s">
        <v>19</v>
      </c>
      <c r="M14" s="611">
        <v>3315688.48</v>
      </c>
      <c r="N14" s="612">
        <v>140010.9</v>
      </c>
      <c r="O14" s="30"/>
      <c r="P14" s="30" t="s">
        <v>19</v>
      </c>
      <c r="Q14" s="581">
        <v>3315688.48</v>
      </c>
      <c r="R14" s="581">
        <v>140010.9</v>
      </c>
      <c r="S14" s="582">
        <f>R14/Q14</f>
        <v>4.2226795684979425E-2</v>
      </c>
      <c r="T14" s="583">
        <f t="shared" si="1"/>
        <v>3175677.58</v>
      </c>
      <c r="U14" s="30"/>
      <c r="V14" s="30"/>
      <c r="W14" s="30"/>
      <c r="X14" s="30"/>
      <c r="Y14" s="610" t="s">
        <v>45</v>
      </c>
      <c r="Z14" s="30">
        <v>0</v>
      </c>
      <c r="AA14" s="30">
        <v>0</v>
      </c>
    </row>
    <row r="15" spans="1:27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610" t="s">
        <v>23</v>
      </c>
      <c r="M15" s="611">
        <v>1376345548.04</v>
      </c>
      <c r="N15" s="612">
        <v>1068263071.3991982</v>
      </c>
      <c r="O15" s="30"/>
      <c r="P15" s="487" t="s">
        <v>23</v>
      </c>
      <c r="Q15" s="500">
        <f>SUM(Q2:Q14)</f>
        <v>1323064858.4100001</v>
      </c>
      <c r="R15" s="500">
        <f>SUM(R2:R14)</f>
        <v>1073781431.7291982</v>
      </c>
      <c r="S15" s="490">
        <f t="shared" ref="S15" si="2">R15/Q15</f>
        <v>0.81158638966469154</v>
      </c>
      <c r="T15" s="500">
        <f>Q15-R15</f>
        <v>249283426.68080187</v>
      </c>
      <c r="U15" s="30"/>
      <c r="V15" s="30"/>
      <c r="W15" s="30"/>
      <c r="X15" s="30"/>
      <c r="Y15" s="610" t="s">
        <v>46</v>
      </c>
      <c r="Z15" s="30">
        <v>67676.08</v>
      </c>
      <c r="AA15" s="30">
        <v>64087.199999999997</v>
      </c>
    </row>
    <row r="16" spans="1:27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610" t="s">
        <v>47</v>
      </c>
      <c r="Z16" s="30">
        <v>416489.99039999995</v>
      </c>
      <c r="AA16" s="30">
        <v>346078.93540000007</v>
      </c>
    </row>
    <row r="17" spans="16:27">
      <c r="P17" s="30"/>
      <c r="Q17" s="30"/>
      <c r="R17" s="30"/>
      <c r="S17" s="30"/>
      <c r="T17" s="30"/>
      <c r="U17" s="30"/>
      <c r="V17" s="30"/>
      <c r="W17" s="30"/>
      <c r="X17" s="30"/>
      <c r="Y17" s="610" t="s">
        <v>48</v>
      </c>
      <c r="Z17" s="30">
        <v>1281940.3200000003</v>
      </c>
      <c r="AA17" s="30">
        <v>600332.94999999984</v>
      </c>
    </row>
    <row r="18" spans="16:27">
      <c r="P18" s="30"/>
      <c r="Q18" s="30"/>
      <c r="R18" s="30"/>
      <c r="S18" s="30"/>
      <c r="T18" s="30"/>
      <c r="U18" s="30"/>
      <c r="V18" s="30"/>
      <c r="W18" s="30"/>
      <c r="X18" s="30"/>
      <c r="Y18" s="610" t="s">
        <v>49</v>
      </c>
      <c r="Z18" s="30">
        <v>1256761.6499999999</v>
      </c>
      <c r="AA18" s="30">
        <v>743701.26999999979</v>
      </c>
    </row>
    <row r="19" spans="16:27">
      <c r="P19" s="30"/>
      <c r="Q19" s="30"/>
      <c r="R19" s="30"/>
      <c r="S19" s="30"/>
      <c r="T19" s="30"/>
      <c r="U19" s="30"/>
      <c r="V19" s="30"/>
      <c r="W19" s="30"/>
      <c r="X19" s="30"/>
      <c r="Y19" s="610" t="s">
        <v>50</v>
      </c>
      <c r="Z19" s="30">
        <v>26623.200000000001</v>
      </c>
      <c r="AA19" s="30">
        <v>24636</v>
      </c>
    </row>
    <row r="20" spans="16:27">
      <c r="P20" s="30"/>
      <c r="Q20" s="30"/>
      <c r="R20" s="30"/>
      <c r="S20" s="30"/>
      <c r="T20" s="30"/>
      <c r="U20" s="30"/>
      <c r="V20" s="30"/>
      <c r="W20" s="30"/>
      <c r="X20" s="30"/>
      <c r="Y20" s="610" t="s">
        <v>51</v>
      </c>
      <c r="Z20" s="30">
        <v>34320</v>
      </c>
      <c r="AA20" s="30">
        <v>18848</v>
      </c>
    </row>
    <row r="21" spans="16:27">
      <c r="P21" s="30"/>
      <c r="Q21" s="30"/>
      <c r="R21" s="30"/>
      <c r="S21" s="30"/>
      <c r="T21" s="30"/>
      <c r="U21" s="30"/>
      <c r="V21" s="30"/>
      <c r="W21" s="30"/>
      <c r="X21" s="30"/>
      <c r="Y21" s="610" t="s">
        <v>52</v>
      </c>
      <c r="Z21" s="30">
        <v>60022.12</v>
      </c>
      <c r="AA21" s="30">
        <v>4130.03</v>
      </c>
    </row>
    <row r="22" spans="16:27">
      <c r="P22" s="485" t="s">
        <v>2</v>
      </c>
      <c r="Q22" s="485" t="s">
        <v>3</v>
      </c>
      <c r="R22" s="485" t="s">
        <v>26</v>
      </c>
      <c r="S22" s="486" t="s">
        <v>27</v>
      </c>
      <c r="T22" s="486" t="s">
        <v>28</v>
      </c>
      <c r="U22" s="30"/>
      <c r="V22" s="30"/>
      <c r="W22" s="30"/>
      <c r="X22" s="30"/>
      <c r="Y22" s="610" t="s">
        <v>53</v>
      </c>
      <c r="Z22" s="30">
        <v>257428.43</v>
      </c>
      <c r="AA22" s="30">
        <v>120793</v>
      </c>
    </row>
    <row r="23" spans="16:27">
      <c r="P23" s="30" t="s">
        <v>54</v>
      </c>
      <c r="Q23" s="584">
        <v>59435043.270000003</v>
      </c>
      <c r="R23" s="584">
        <v>33016545</v>
      </c>
      <c r="S23" s="582">
        <f>IF(Q23=0,100%,R23/Q23)</f>
        <v>0.5555063676830061</v>
      </c>
      <c r="T23" s="581">
        <f>Q23-R23</f>
        <v>26418498.270000003</v>
      </c>
      <c r="U23" s="30"/>
      <c r="V23" s="30"/>
      <c r="W23" s="30"/>
      <c r="X23" s="30"/>
      <c r="Y23" s="610" t="s">
        <v>55</v>
      </c>
      <c r="Z23" s="30">
        <v>14782.6</v>
      </c>
      <c r="AA23" s="30">
        <v>14000</v>
      </c>
    </row>
    <row r="24" spans="16:27">
      <c r="P24" s="30" t="s">
        <v>29</v>
      </c>
      <c r="Q24" s="584">
        <v>18133047.900000002</v>
      </c>
      <c r="R24" s="584">
        <v>12473211.950000003</v>
      </c>
      <c r="S24" s="582">
        <f>IF(Q24=0,100%,R24/Q24)</f>
        <v>0.68787178078319644</v>
      </c>
      <c r="T24" s="581">
        <f t="shared" ref="T24:T45" si="3">Q24-R24</f>
        <v>5659835.9499999993</v>
      </c>
      <c r="U24" s="30"/>
      <c r="V24" s="30"/>
      <c r="W24" s="30"/>
      <c r="X24" s="30"/>
      <c r="Y24" s="610" t="s">
        <v>56</v>
      </c>
      <c r="Z24" s="30">
        <v>213411</v>
      </c>
      <c r="AA24" s="30">
        <v>73954</v>
      </c>
    </row>
    <row r="25" spans="16:27">
      <c r="P25" s="30" t="s">
        <v>32</v>
      </c>
      <c r="Q25" s="584">
        <v>448297.04000000004</v>
      </c>
      <c r="R25" s="584">
        <v>252639.24199999997</v>
      </c>
      <c r="S25" s="582">
        <f t="shared" ref="S25:S46" si="4">IF(Q25=0,100%,R25/Q25)</f>
        <v>0.56355322355017101</v>
      </c>
      <c r="T25" s="581">
        <f t="shared" si="3"/>
        <v>195657.79800000007</v>
      </c>
      <c r="U25" s="30"/>
      <c r="V25" s="30"/>
      <c r="W25" s="30"/>
      <c r="X25" s="30"/>
      <c r="Y25" s="610" t="s">
        <v>23</v>
      </c>
      <c r="Z25" s="30">
        <v>24248885.612831652</v>
      </c>
      <c r="AA25" s="30">
        <v>15591909.063636547</v>
      </c>
    </row>
    <row r="26" spans="16:27">
      <c r="P26" s="30" t="s">
        <v>33</v>
      </c>
      <c r="Q26" s="584">
        <v>19146.240000000002</v>
      </c>
      <c r="R26" s="584">
        <v>9573.119999999999</v>
      </c>
      <c r="S26" s="582">
        <f t="shared" si="4"/>
        <v>0.49999999999999989</v>
      </c>
      <c r="T26" s="581">
        <f t="shared" si="3"/>
        <v>9573.1200000000026</v>
      </c>
      <c r="U26" s="30"/>
      <c r="V26" s="30"/>
      <c r="W26" s="30"/>
      <c r="X26" s="30"/>
      <c r="Y26" s="30"/>
      <c r="Z26" s="30"/>
      <c r="AA26" s="30"/>
    </row>
    <row r="27" spans="16:27">
      <c r="P27" s="30" t="s">
        <v>34</v>
      </c>
      <c r="Q27" s="584">
        <v>516417</v>
      </c>
      <c r="R27" s="584">
        <v>250536</v>
      </c>
      <c r="S27" s="582">
        <f t="shared" si="4"/>
        <v>0.48514282062751612</v>
      </c>
      <c r="T27" s="581">
        <f t="shared" si="3"/>
        <v>265881</v>
      </c>
      <c r="U27" s="30"/>
      <c r="V27" s="30"/>
      <c r="W27" s="30"/>
      <c r="X27" s="30"/>
      <c r="Y27" s="30"/>
      <c r="Z27" s="30"/>
      <c r="AA27" s="30"/>
    </row>
    <row r="28" spans="16:27">
      <c r="P28" s="30" t="s">
        <v>35</v>
      </c>
      <c r="Q28" s="584">
        <v>144937</v>
      </c>
      <c r="R28" s="584">
        <v>144937</v>
      </c>
      <c r="S28" s="582">
        <f t="shared" si="4"/>
        <v>1</v>
      </c>
      <c r="T28" s="581">
        <f t="shared" si="3"/>
        <v>0</v>
      </c>
      <c r="U28" s="30"/>
      <c r="V28" s="30"/>
      <c r="W28" s="30"/>
      <c r="X28" s="30"/>
      <c r="Y28" s="30"/>
      <c r="Z28" s="30"/>
      <c r="AA28" s="30"/>
    </row>
    <row r="29" spans="16:27">
      <c r="P29" s="30" t="s">
        <v>36</v>
      </c>
      <c r="Q29" s="584">
        <v>355000</v>
      </c>
      <c r="R29" s="584">
        <v>37985</v>
      </c>
      <c r="S29" s="582">
        <f>IF(Q29=0,100%,R29/Q29)</f>
        <v>0.107</v>
      </c>
      <c r="T29" s="581">
        <f t="shared" si="3"/>
        <v>317015</v>
      </c>
      <c r="U29" s="30"/>
      <c r="V29" s="30"/>
      <c r="W29" s="30"/>
      <c r="X29" s="30"/>
      <c r="Y29" s="30"/>
      <c r="Z29" s="30"/>
      <c r="AA29" s="30"/>
    </row>
    <row r="30" spans="16:27">
      <c r="P30" s="30" t="s">
        <v>37</v>
      </c>
      <c r="Q30" s="584">
        <v>180504</v>
      </c>
      <c r="R30" s="584">
        <v>0</v>
      </c>
      <c r="S30" s="582">
        <f t="shared" si="4"/>
        <v>0</v>
      </c>
      <c r="T30" s="581">
        <f t="shared" si="3"/>
        <v>180504</v>
      </c>
      <c r="U30" s="30"/>
      <c r="V30" s="30"/>
      <c r="W30" s="30"/>
      <c r="X30" s="30"/>
      <c r="Y30" s="30"/>
      <c r="Z30" s="30"/>
      <c r="AA30" s="30"/>
    </row>
    <row r="31" spans="16:27">
      <c r="P31" s="30" t="s">
        <v>38</v>
      </c>
      <c r="Q31" s="584">
        <v>0</v>
      </c>
      <c r="R31" s="584">
        <v>0</v>
      </c>
      <c r="S31" s="582">
        <f t="shared" si="4"/>
        <v>1</v>
      </c>
      <c r="T31" s="581">
        <f t="shared" si="3"/>
        <v>0</v>
      </c>
      <c r="U31" s="30"/>
      <c r="V31" s="30"/>
      <c r="W31" s="30"/>
      <c r="X31" s="30"/>
      <c r="Y31" s="30"/>
      <c r="Z31" s="30"/>
      <c r="AA31" s="30"/>
    </row>
    <row r="32" spans="16:27">
      <c r="P32" s="30" t="s">
        <v>39</v>
      </c>
      <c r="Q32" s="584">
        <v>750023.48243165493</v>
      </c>
      <c r="R32" s="584">
        <v>395554.68623654678</v>
      </c>
      <c r="S32" s="582">
        <f t="shared" si="4"/>
        <v>0.52738973579082737</v>
      </c>
      <c r="T32" s="581">
        <f t="shared" si="3"/>
        <v>354468.79619510815</v>
      </c>
      <c r="U32" s="30"/>
      <c r="V32" s="30"/>
      <c r="W32" s="30"/>
      <c r="X32" s="30"/>
      <c r="Y32" s="30"/>
      <c r="Z32" s="30"/>
      <c r="AA32" s="30"/>
    </row>
    <row r="33" spans="16:20">
      <c r="P33" s="30" t="s">
        <v>41</v>
      </c>
      <c r="Q33" s="584">
        <v>37162.300000000003</v>
      </c>
      <c r="R33" s="584">
        <v>0</v>
      </c>
      <c r="S33" s="582">
        <f t="shared" si="4"/>
        <v>0</v>
      </c>
      <c r="T33" s="581">
        <f t="shared" si="3"/>
        <v>37162.300000000003</v>
      </c>
    </row>
    <row r="34" spans="16:20">
      <c r="P34" s="30" t="s">
        <v>43</v>
      </c>
      <c r="Q34" s="584">
        <v>17984.580000000002</v>
      </c>
      <c r="R34" s="584">
        <v>0</v>
      </c>
      <c r="S34" s="582">
        <f t="shared" si="4"/>
        <v>0</v>
      </c>
      <c r="T34" s="581">
        <f t="shared" si="3"/>
        <v>17984.580000000002</v>
      </c>
    </row>
    <row r="35" spans="16:20">
      <c r="P35" s="30" t="s">
        <v>44</v>
      </c>
      <c r="Q35" s="584">
        <v>16910.68</v>
      </c>
      <c r="R35" s="584">
        <v>16910.68</v>
      </c>
      <c r="S35" s="582">
        <f t="shared" si="4"/>
        <v>1</v>
      </c>
      <c r="T35" s="581">
        <f t="shared" si="3"/>
        <v>0</v>
      </c>
    </row>
    <row r="36" spans="16:20">
      <c r="P36" s="30" t="s">
        <v>45</v>
      </c>
      <c r="Q36" s="584">
        <v>0</v>
      </c>
      <c r="R36" s="584">
        <v>0</v>
      </c>
      <c r="S36" s="582">
        <f t="shared" si="4"/>
        <v>1</v>
      </c>
      <c r="T36" s="581">
        <f t="shared" si="3"/>
        <v>0</v>
      </c>
    </row>
    <row r="37" spans="16:20">
      <c r="P37" s="30" t="s">
        <v>46</v>
      </c>
      <c r="Q37" s="584">
        <v>67676.08</v>
      </c>
      <c r="R37" s="584">
        <v>64087.199999999997</v>
      </c>
      <c r="S37" s="582">
        <f t="shared" si="4"/>
        <v>0.94696974174627124</v>
      </c>
      <c r="T37" s="581">
        <f t="shared" si="3"/>
        <v>3588.8800000000047</v>
      </c>
    </row>
    <row r="38" spans="16:20">
      <c r="P38" s="30" t="s">
        <v>47</v>
      </c>
      <c r="Q38" s="584">
        <v>416489.99039999995</v>
      </c>
      <c r="R38" s="584">
        <v>346078.93540000007</v>
      </c>
      <c r="S38" s="582">
        <f t="shared" si="4"/>
        <v>0.8309417834210695</v>
      </c>
      <c r="T38" s="581">
        <f t="shared" si="3"/>
        <v>70411.054999999877</v>
      </c>
    </row>
    <row r="39" spans="16:20">
      <c r="P39" s="30" t="s">
        <v>48</v>
      </c>
      <c r="Q39" s="584">
        <v>1281940.3200000003</v>
      </c>
      <c r="R39" s="584">
        <v>600332.94999999984</v>
      </c>
      <c r="S39" s="582">
        <f t="shared" si="4"/>
        <v>0.46830023257244902</v>
      </c>
      <c r="T39" s="581">
        <f t="shared" si="3"/>
        <v>681607.37000000046</v>
      </c>
    </row>
    <row r="40" spans="16:20">
      <c r="P40" s="30" t="s">
        <v>49</v>
      </c>
      <c r="Q40" s="584">
        <v>1256761.6499999999</v>
      </c>
      <c r="R40" s="584">
        <v>743701.26999999979</v>
      </c>
      <c r="S40" s="582">
        <f t="shared" si="4"/>
        <v>0.5917599968140338</v>
      </c>
      <c r="T40" s="581">
        <f t="shared" si="3"/>
        <v>513060.38000000012</v>
      </c>
    </row>
    <row r="41" spans="16:20">
      <c r="P41" s="30" t="s">
        <v>50</v>
      </c>
      <c r="Q41" s="584">
        <v>26623.200000000001</v>
      </c>
      <c r="R41" s="584">
        <v>24636</v>
      </c>
      <c r="S41" s="582">
        <f t="shared" si="4"/>
        <v>0.92535833408455781</v>
      </c>
      <c r="T41" s="581">
        <f t="shared" si="3"/>
        <v>1987.2000000000007</v>
      </c>
    </row>
    <row r="42" spans="16:20">
      <c r="P42" s="30" t="s">
        <v>51</v>
      </c>
      <c r="Q42" s="584">
        <v>34320</v>
      </c>
      <c r="R42" s="584">
        <v>18848</v>
      </c>
      <c r="S42" s="582">
        <f t="shared" si="4"/>
        <v>0.54918414918414915</v>
      </c>
      <c r="T42" s="581">
        <f t="shared" si="3"/>
        <v>15472</v>
      </c>
    </row>
    <row r="43" spans="16:20">
      <c r="P43" s="30" t="s">
        <v>52</v>
      </c>
      <c r="Q43" s="584">
        <v>60022.12</v>
      </c>
      <c r="R43" s="584">
        <v>4130.03</v>
      </c>
      <c r="S43" s="582">
        <f t="shared" si="4"/>
        <v>6.8808465945554731E-2</v>
      </c>
      <c r="T43" s="581">
        <f t="shared" si="3"/>
        <v>55892.090000000004</v>
      </c>
    </row>
    <row r="44" spans="16:20">
      <c r="P44" s="30" t="s">
        <v>53</v>
      </c>
      <c r="Q44" s="584">
        <v>257428.43</v>
      </c>
      <c r="R44" s="584">
        <v>120793</v>
      </c>
      <c r="S44" s="582">
        <f t="shared" si="4"/>
        <v>0.46922944757888629</v>
      </c>
      <c r="T44" s="581">
        <f t="shared" si="3"/>
        <v>136635.43</v>
      </c>
    </row>
    <row r="45" spans="16:20">
      <c r="P45" s="30" t="s">
        <v>55</v>
      </c>
      <c r="Q45" s="584">
        <v>14782.6</v>
      </c>
      <c r="R45" s="584">
        <v>14000</v>
      </c>
      <c r="S45" s="582">
        <f t="shared" si="4"/>
        <v>0.94705938062316508</v>
      </c>
      <c r="T45" s="581">
        <f t="shared" si="3"/>
        <v>782.60000000000036</v>
      </c>
    </row>
    <row r="46" spans="16:20">
      <c r="P46" s="30" t="s">
        <v>56</v>
      </c>
      <c r="Q46" s="584">
        <v>213411</v>
      </c>
      <c r="R46" s="584">
        <v>73954</v>
      </c>
      <c r="S46" s="582">
        <f t="shared" si="4"/>
        <v>0.34653321525132258</v>
      </c>
      <c r="T46" s="581">
        <f>Q46-R46</f>
        <v>139457</v>
      </c>
    </row>
    <row r="47" spans="16:20">
      <c r="P47" s="487" t="s">
        <v>23</v>
      </c>
      <c r="Q47" s="498">
        <f>SUM(Q23:Q46)</f>
        <v>83683928.882831678</v>
      </c>
      <c r="R47" s="498">
        <f>SUM(R23:R46)</f>
        <v>48608454.063636556</v>
      </c>
      <c r="S47" s="490">
        <f>R47/Q47</f>
        <v>0.58085769528931508</v>
      </c>
      <c r="T47" s="499">
        <f>Q47-R47</f>
        <v>35075474.819195122</v>
      </c>
    </row>
  </sheetData>
  <phoneticPr fontId="14" type="noConversion"/>
  <pageMargins left="0.7" right="0.7" top="0.75" bottom="0.75" header="0.3" footer="0.3"/>
  <pageSetup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96E7F-D538-4C1C-8BF9-F7D67ACA255E}">
  <sheetPr codeName="Sheet12"/>
  <dimension ref="B1:C13"/>
  <sheetViews>
    <sheetView workbookViewId="0"/>
  </sheetViews>
  <sheetFormatPr defaultRowHeight="14.45"/>
  <cols>
    <col min="2" max="2" width="11.140625" customWidth="1"/>
  </cols>
  <sheetData>
    <row r="1" spans="2:3">
      <c r="B1" s="10" t="s">
        <v>57</v>
      </c>
    </row>
    <row r="2" spans="2:3">
      <c r="B2" t="s">
        <v>58</v>
      </c>
      <c r="C2" t="s">
        <v>59</v>
      </c>
    </row>
    <row r="3" spans="2:3">
      <c r="B3" s="278"/>
      <c r="C3" t="s">
        <v>60</v>
      </c>
    </row>
    <row r="4" spans="2:3">
      <c r="B4" s="279"/>
      <c r="C4" t="s">
        <v>61</v>
      </c>
    </row>
    <row r="5" spans="2:3">
      <c r="B5" s="280"/>
      <c r="C5" t="s">
        <v>62</v>
      </c>
    </row>
    <row r="6" spans="2:3">
      <c r="B6" s="281"/>
      <c r="C6" t="s">
        <v>63</v>
      </c>
    </row>
    <row r="7" spans="2:3">
      <c r="B7" s="282"/>
      <c r="C7" t="s">
        <v>64</v>
      </c>
    </row>
    <row r="8" spans="2:3">
      <c r="B8" s="183"/>
      <c r="C8" t="s">
        <v>65</v>
      </c>
    </row>
    <row r="10" spans="2:3">
      <c r="B10" s="10" t="s">
        <v>66</v>
      </c>
    </row>
    <row r="11" spans="2:3">
      <c r="B11" s="283"/>
      <c r="C11" t="s">
        <v>67</v>
      </c>
    </row>
    <row r="12" spans="2:3">
      <c r="B12" s="281"/>
      <c r="C12" t="s">
        <v>63</v>
      </c>
    </row>
    <row r="13" spans="2:3">
      <c r="B13" s="5" t="s">
        <v>68</v>
      </c>
      <c r="C13" t="s">
        <v>69</v>
      </c>
    </row>
  </sheetData>
  <phoneticPr fontId="14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D823E-02A6-4B75-8117-C39A29BD5F26}">
  <sheetPr codeName="Sheet20"/>
  <dimension ref="A1:Q1401"/>
  <sheetViews>
    <sheetView zoomScale="70" zoomScaleNormal="70" zoomScaleSheetLayoutView="10" workbookViewId="0">
      <selection activeCell="A1293" sqref="A1293"/>
    </sheetView>
  </sheetViews>
  <sheetFormatPr defaultRowHeight="14.45"/>
  <cols>
    <col min="1" max="1" width="80.7109375" bestFit="1" customWidth="1"/>
    <col min="2" max="2" width="56.140625" style="1" bestFit="1" customWidth="1"/>
    <col min="3" max="3" width="80.7109375" bestFit="1" customWidth="1"/>
    <col min="4" max="4" width="16.85546875" bestFit="1" customWidth="1"/>
    <col min="5" max="5" width="11.85546875" bestFit="1" customWidth="1"/>
    <col min="6" max="6" width="20.42578125" bestFit="1" customWidth="1"/>
    <col min="7" max="7" width="18.42578125" bestFit="1" customWidth="1"/>
    <col min="8" max="8" width="20" bestFit="1" customWidth="1"/>
    <col min="9" max="9" width="10.140625" bestFit="1" customWidth="1"/>
    <col min="10" max="10" width="11.5703125" bestFit="1" customWidth="1"/>
    <col min="11" max="11" width="16.5703125" bestFit="1" customWidth="1"/>
    <col min="12" max="12" width="20.7109375" bestFit="1" customWidth="1"/>
    <col min="13" max="13" width="80.7109375" bestFit="1" customWidth="1"/>
    <col min="14" max="14" width="15.5703125" bestFit="1" customWidth="1"/>
    <col min="15" max="15" width="23.85546875" bestFit="1" customWidth="1"/>
    <col min="16" max="16" width="27.85546875" bestFit="1" customWidth="1"/>
    <col min="17" max="17" width="12.42578125" bestFit="1" customWidth="1"/>
  </cols>
  <sheetData>
    <row r="1" spans="1:17">
      <c r="A1" t="s">
        <v>0</v>
      </c>
      <c r="B1" s="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80</v>
      </c>
      <c r="M1" t="s">
        <v>81</v>
      </c>
      <c r="N1" t="s">
        <v>82</v>
      </c>
      <c r="O1" t="s">
        <v>83</v>
      </c>
      <c r="P1" t="s">
        <v>84</v>
      </c>
      <c r="Q1" t="s">
        <v>85</v>
      </c>
    </row>
    <row r="2" spans="1:17" hidden="1">
      <c r="A2" t="s">
        <v>86</v>
      </c>
      <c r="B2" s="1">
        <v>4503045358</v>
      </c>
      <c r="C2" t="s">
        <v>87</v>
      </c>
      <c r="D2" s="160">
        <v>69931.929999999993</v>
      </c>
      <c r="E2">
        <v>2329.4</v>
      </c>
      <c r="G2" s="4"/>
      <c r="H2" s="4"/>
      <c r="I2">
        <v>2021</v>
      </c>
      <c r="J2">
        <v>8</v>
      </c>
      <c r="K2" s="4" t="s">
        <v>88</v>
      </c>
      <c r="L2" t="s">
        <v>89</v>
      </c>
      <c r="N2" t="s">
        <v>89</v>
      </c>
      <c r="O2" t="s">
        <v>9</v>
      </c>
      <c r="P2" t="s">
        <v>90</v>
      </c>
    </row>
    <row r="3" spans="1:17" hidden="1">
      <c r="A3" t="s">
        <v>91</v>
      </c>
      <c r="B3" s="1">
        <v>4590004118</v>
      </c>
      <c r="C3" t="s">
        <v>92</v>
      </c>
      <c r="D3" s="160">
        <v>23879.16</v>
      </c>
      <c r="F3" t="s">
        <v>93</v>
      </c>
      <c r="G3" s="4">
        <v>44979</v>
      </c>
      <c r="H3" s="4">
        <v>44979</v>
      </c>
      <c r="I3">
        <v>2023</v>
      </c>
      <c r="J3">
        <v>2</v>
      </c>
      <c r="K3" s="4" t="s">
        <v>94</v>
      </c>
      <c r="L3" t="s">
        <v>95</v>
      </c>
      <c r="M3" t="s">
        <v>96</v>
      </c>
      <c r="N3" t="s">
        <v>97</v>
      </c>
      <c r="O3" t="s">
        <v>8</v>
      </c>
      <c r="P3" t="s">
        <v>98</v>
      </c>
    </row>
    <row r="4" spans="1:17" hidden="1">
      <c r="A4" t="s">
        <v>86</v>
      </c>
      <c r="B4" s="1">
        <v>4503243471</v>
      </c>
      <c r="C4" t="s">
        <v>99</v>
      </c>
      <c r="D4" s="160">
        <v>12163.2</v>
      </c>
      <c r="G4" s="4"/>
      <c r="H4" s="4"/>
      <c r="I4">
        <v>2021</v>
      </c>
      <c r="J4">
        <v>8</v>
      </c>
      <c r="K4" s="4" t="s">
        <v>88</v>
      </c>
      <c r="L4" t="s">
        <v>89</v>
      </c>
      <c r="N4" t="s">
        <v>89</v>
      </c>
      <c r="O4" t="s">
        <v>9</v>
      </c>
      <c r="P4" t="s">
        <v>100</v>
      </c>
    </row>
    <row r="5" spans="1:17" hidden="1">
      <c r="A5" t="s">
        <v>86</v>
      </c>
      <c r="B5" s="1">
        <v>4503243471</v>
      </c>
      <c r="C5" t="s">
        <v>99</v>
      </c>
      <c r="D5" s="160">
        <v>6081.6</v>
      </c>
      <c r="G5" s="4"/>
      <c r="H5" s="4"/>
      <c r="I5">
        <v>2021</v>
      </c>
      <c r="J5">
        <v>9</v>
      </c>
      <c r="K5" s="4" t="s">
        <v>101</v>
      </c>
      <c r="L5" t="s">
        <v>89</v>
      </c>
      <c r="N5" t="s">
        <v>89</v>
      </c>
      <c r="O5" t="s">
        <v>9</v>
      </c>
      <c r="P5" t="s">
        <v>100</v>
      </c>
    </row>
    <row r="6" spans="1:17" hidden="1">
      <c r="A6" t="s">
        <v>102</v>
      </c>
      <c r="B6" s="1">
        <v>4503290109</v>
      </c>
      <c r="C6" t="s">
        <v>103</v>
      </c>
      <c r="D6" s="160">
        <v>6276241</v>
      </c>
      <c r="G6" s="4"/>
      <c r="H6" s="4"/>
      <c r="I6">
        <v>2021</v>
      </c>
      <c r="J6">
        <v>9</v>
      </c>
      <c r="K6" s="4" t="s">
        <v>101</v>
      </c>
      <c r="L6" t="s">
        <v>89</v>
      </c>
      <c r="N6" t="s">
        <v>89</v>
      </c>
      <c r="O6" t="s">
        <v>9</v>
      </c>
      <c r="P6" t="s">
        <v>104</v>
      </c>
    </row>
    <row r="7" spans="1:17" hidden="1">
      <c r="A7" t="s">
        <v>105</v>
      </c>
      <c r="B7" s="1" t="s">
        <v>106</v>
      </c>
      <c r="C7" t="s">
        <v>107</v>
      </c>
      <c r="D7" s="160">
        <v>50000</v>
      </c>
      <c r="G7" s="4"/>
      <c r="H7" s="4"/>
      <c r="I7">
        <v>2021</v>
      </c>
      <c r="J7">
        <v>9</v>
      </c>
      <c r="K7" s="4" t="s">
        <v>101</v>
      </c>
      <c r="L7" t="s">
        <v>89</v>
      </c>
      <c r="N7" t="s">
        <v>89</v>
      </c>
      <c r="O7" t="s">
        <v>18</v>
      </c>
      <c r="P7" t="s">
        <v>108</v>
      </c>
    </row>
    <row r="8" spans="1:17" hidden="1">
      <c r="A8" t="s">
        <v>86</v>
      </c>
      <c r="B8" s="1">
        <v>4503045358</v>
      </c>
      <c r="C8" t="s">
        <v>87</v>
      </c>
      <c r="D8" s="160">
        <v>13735.84</v>
      </c>
      <c r="E8">
        <v>1178.51</v>
      </c>
      <c r="G8" s="4"/>
      <c r="H8" s="4"/>
      <c r="I8">
        <v>2021</v>
      </c>
      <c r="J8">
        <v>10</v>
      </c>
      <c r="K8" s="4" t="s">
        <v>109</v>
      </c>
      <c r="L8" t="s">
        <v>89</v>
      </c>
      <c r="N8" t="s">
        <v>89</v>
      </c>
      <c r="O8" t="s">
        <v>9</v>
      </c>
      <c r="P8" t="s">
        <v>90</v>
      </c>
    </row>
    <row r="9" spans="1:17" hidden="1">
      <c r="A9" t="s">
        <v>86</v>
      </c>
      <c r="B9" s="1">
        <v>4503243471</v>
      </c>
      <c r="C9" t="s">
        <v>99</v>
      </c>
      <c r="D9" s="160">
        <v>6081.6</v>
      </c>
      <c r="G9" s="4"/>
      <c r="H9" s="4"/>
      <c r="I9">
        <v>2021</v>
      </c>
      <c r="J9">
        <v>10</v>
      </c>
      <c r="K9" s="4" t="s">
        <v>109</v>
      </c>
      <c r="L9" t="s">
        <v>89</v>
      </c>
      <c r="N9" t="s">
        <v>89</v>
      </c>
      <c r="O9" t="s">
        <v>9</v>
      </c>
      <c r="P9" t="s">
        <v>100</v>
      </c>
    </row>
    <row r="10" spans="1:17" hidden="1">
      <c r="A10" t="s">
        <v>102</v>
      </c>
      <c r="B10" s="1">
        <v>4503312319</v>
      </c>
      <c r="C10" t="s">
        <v>110</v>
      </c>
      <c r="D10" s="160">
        <v>487307</v>
      </c>
      <c r="G10" s="4"/>
      <c r="H10" s="4"/>
      <c r="I10">
        <v>2021</v>
      </c>
      <c r="J10">
        <v>10</v>
      </c>
      <c r="K10" s="4" t="s">
        <v>109</v>
      </c>
      <c r="L10" t="s">
        <v>89</v>
      </c>
      <c r="N10" t="s">
        <v>89</v>
      </c>
      <c r="O10" t="s">
        <v>9</v>
      </c>
      <c r="P10" t="s">
        <v>111</v>
      </c>
    </row>
    <row r="11" spans="1:17" hidden="1">
      <c r="A11" t="s">
        <v>102</v>
      </c>
      <c r="B11" s="1">
        <v>4503398624</v>
      </c>
      <c r="C11" t="s">
        <v>112</v>
      </c>
      <c r="D11" s="160">
        <v>448439</v>
      </c>
      <c r="G11" s="4"/>
      <c r="H11" s="4"/>
      <c r="I11">
        <v>2021</v>
      </c>
      <c r="J11">
        <v>10</v>
      </c>
      <c r="K11" s="4" t="s">
        <v>109</v>
      </c>
      <c r="L11" t="s">
        <v>89</v>
      </c>
      <c r="N11" t="s">
        <v>89</v>
      </c>
      <c r="O11" t="s">
        <v>9</v>
      </c>
      <c r="P11" t="s">
        <v>113</v>
      </c>
    </row>
    <row r="12" spans="1:17" hidden="1">
      <c r="A12" t="s">
        <v>102</v>
      </c>
      <c r="B12" s="1">
        <v>4503423409</v>
      </c>
      <c r="C12" t="s">
        <v>114</v>
      </c>
      <c r="D12" s="160">
        <v>42121</v>
      </c>
      <c r="E12">
        <v>2355</v>
      </c>
      <c r="G12" s="4"/>
      <c r="H12" s="4"/>
      <c r="I12">
        <v>2021</v>
      </c>
      <c r="J12">
        <v>10</v>
      </c>
      <c r="K12" s="4" t="s">
        <v>109</v>
      </c>
      <c r="L12" t="s">
        <v>89</v>
      </c>
      <c r="N12" t="s">
        <v>89</v>
      </c>
      <c r="O12" t="s">
        <v>9</v>
      </c>
      <c r="P12" t="s">
        <v>113</v>
      </c>
    </row>
    <row r="13" spans="1:17" hidden="1">
      <c r="A13" t="s">
        <v>86</v>
      </c>
      <c r="B13" s="1">
        <v>4503045358</v>
      </c>
      <c r="C13" t="s">
        <v>87</v>
      </c>
      <c r="D13" s="160">
        <v>2329.4</v>
      </c>
      <c r="E13">
        <v>200.33</v>
      </c>
      <c r="G13" s="4"/>
      <c r="H13" s="4"/>
      <c r="I13">
        <v>2021</v>
      </c>
      <c r="J13">
        <v>11</v>
      </c>
      <c r="K13" s="4" t="s">
        <v>115</v>
      </c>
      <c r="L13" t="s">
        <v>89</v>
      </c>
      <c r="N13" t="s">
        <v>89</v>
      </c>
      <c r="O13" t="s">
        <v>9</v>
      </c>
      <c r="P13" t="s">
        <v>90</v>
      </c>
    </row>
    <row r="14" spans="1:17" hidden="1">
      <c r="A14" t="s">
        <v>86</v>
      </c>
      <c r="B14" s="1">
        <v>4503243471</v>
      </c>
      <c r="C14" t="s">
        <v>99</v>
      </c>
      <c r="D14" s="160">
        <v>6081.6</v>
      </c>
      <c r="G14" s="4"/>
      <c r="H14" s="4"/>
      <c r="I14">
        <v>2021</v>
      </c>
      <c r="J14">
        <v>11</v>
      </c>
      <c r="K14" s="4" t="s">
        <v>115</v>
      </c>
      <c r="L14" t="s">
        <v>89</v>
      </c>
      <c r="N14" t="s">
        <v>89</v>
      </c>
      <c r="O14" t="s">
        <v>9</v>
      </c>
      <c r="P14" t="s">
        <v>100</v>
      </c>
    </row>
    <row r="15" spans="1:17" hidden="1">
      <c r="A15" t="s">
        <v>102</v>
      </c>
      <c r="B15" s="1">
        <v>4503290109</v>
      </c>
      <c r="C15" t="s">
        <v>103</v>
      </c>
      <c r="D15" s="160">
        <v>5065513</v>
      </c>
      <c r="G15" s="4"/>
      <c r="H15" s="4"/>
      <c r="I15">
        <v>2021</v>
      </c>
      <c r="J15">
        <v>11</v>
      </c>
      <c r="K15" s="4" t="s">
        <v>115</v>
      </c>
      <c r="L15" t="s">
        <v>89</v>
      </c>
      <c r="N15" t="s">
        <v>89</v>
      </c>
      <c r="O15" t="s">
        <v>9</v>
      </c>
      <c r="P15" t="s">
        <v>104</v>
      </c>
    </row>
    <row r="16" spans="1:17" hidden="1">
      <c r="A16" t="s">
        <v>102</v>
      </c>
      <c r="B16" s="1">
        <v>4503312319</v>
      </c>
      <c r="C16" t="s">
        <v>110</v>
      </c>
      <c r="D16" s="160">
        <v>495498</v>
      </c>
      <c r="G16" s="4"/>
      <c r="H16" s="4"/>
      <c r="I16">
        <v>2021</v>
      </c>
      <c r="J16">
        <v>11</v>
      </c>
      <c r="K16" s="4" t="s">
        <v>115</v>
      </c>
      <c r="L16" t="s">
        <v>89</v>
      </c>
      <c r="N16" t="s">
        <v>89</v>
      </c>
      <c r="O16" t="s">
        <v>9</v>
      </c>
      <c r="P16" t="s">
        <v>111</v>
      </c>
    </row>
    <row r="17" spans="1:16" hidden="1">
      <c r="A17" t="s">
        <v>102</v>
      </c>
      <c r="B17" s="1">
        <v>4503398624</v>
      </c>
      <c r="C17" t="s">
        <v>112</v>
      </c>
      <c r="D17" s="160">
        <v>872546</v>
      </c>
      <c r="G17" s="4"/>
      <c r="H17" s="4"/>
      <c r="I17">
        <v>2021</v>
      </c>
      <c r="J17">
        <v>11</v>
      </c>
      <c r="K17" s="4" t="s">
        <v>115</v>
      </c>
      <c r="L17" t="s">
        <v>89</v>
      </c>
      <c r="N17" t="s">
        <v>89</v>
      </c>
      <c r="O17" t="s">
        <v>9</v>
      </c>
      <c r="P17" t="s">
        <v>113</v>
      </c>
    </row>
    <row r="18" spans="1:16" hidden="1">
      <c r="A18" t="s">
        <v>102</v>
      </c>
      <c r="B18" s="1">
        <v>4503423409</v>
      </c>
      <c r="C18" t="s">
        <v>114</v>
      </c>
      <c r="D18" s="160">
        <v>69335</v>
      </c>
      <c r="E18">
        <v>3876</v>
      </c>
      <c r="G18" s="4"/>
      <c r="H18" s="4"/>
      <c r="I18">
        <v>2021</v>
      </c>
      <c r="J18">
        <v>11</v>
      </c>
      <c r="K18" s="4" t="s">
        <v>115</v>
      </c>
      <c r="L18" t="s">
        <v>89</v>
      </c>
      <c r="N18" t="s">
        <v>89</v>
      </c>
      <c r="O18" t="s">
        <v>9</v>
      </c>
      <c r="P18" t="s">
        <v>113</v>
      </c>
    </row>
    <row r="19" spans="1:16" hidden="1">
      <c r="A19" t="s">
        <v>116</v>
      </c>
      <c r="B19" s="1">
        <v>4503428513</v>
      </c>
      <c r="C19" t="s">
        <v>117</v>
      </c>
      <c r="D19" s="160">
        <v>2842182</v>
      </c>
      <c r="G19" s="4"/>
      <c r="H19" s="4"/>
      <c r="I19">
        <v>2021</v>
      </c>
      <c r="J19">
        <v>11</v>
      </c>
      <c r="K19" s="4" t="s">
        <v>115</v>
      </c>
      <c r="L19" t="s">
        <v>89</v>
      </c>
      <c r="N19" t="s">
        <v>89</v>
      </c>
      <c r="O19" t="s">
        <v>9</v>
      </c>
      <c r="P19" t="s">
        <v>118</v>
      </c>
    </row>
    <row r="20" spans="1:16" hidden="1">
      <c r="A20" t="s">
        <v>102</v>
      </c>
      <c r="B20" s="1">
        <v>4503432118</v>
      </c>
      <c r="C20" t="s">
        <v>119</v>
      </c>
      <c r="D20" s="160">
        <v>5659407.8700000001</v>
      </c>
      <c r="G20" s="4"/>
      <c r="H20" s="4"/>
      <c r="I20">
        <v>2021</v>
      </c>
      <c r="J20">
        <v>11</v>
      </c>
      <c r="K20" s="4" t="s">
        <v>115</v>
      </c>
      <c r="L20" t="s">
        <v>89</v>
      </c>
      <c r="N20" t="s">
        <v>89</v>
      </c>
      <c r="O20" t="s">
        <v>9</v>
      </c>
      <c r="P20" t="s">
        <v>120</v>
      </c>
    </row>
    <row r="21" spans="1:16" hidden="1">
      <c r="A21" t="s">
        <v>102</v>
      </c>
      <c r="B21" s="1">
        <v>4503432152</v>
      </c>
      <c r="C21" t="s">
        <v>121</v>
      </c>
      <c r="D21" s="160">
        <v>72391</v>
      </c>
      <c r="G21" s="4"/>
      <c r="H21" s="4"/>
      <c r="I21">
        <v>2021</v>
      </c>
      <c r="J21">
        <v>11</v>
      </c>
      <c r="K21" s="4" t="s">
        <v>115</v>
      </c>
      <c r="L21" t="s">
        <v>89</v>
      </c>
      <c r="N21" t="s">
        <v>89</v>
      </c>
      <c r="O21" t="s">
        <v>9</v>
      </c>
      <c r="P21" t="s">
        <v>122</v>
      </c>
    </row>
    <row r="22" spans="1:16" hidden="1">
      <c r="A22" t="s">
        <v>123</v>
      </c>
      <c r="B22" s="1">
        <v>4503448403</v>
      </c>
      <c r="C22" t="s">
        <v>124</v>
      </c>
      <c r="D22" s="160">
        <v>1366240</v>
      </c>
      <c r="G22" s="4"/>
      <c r="H22" s="4"/>
      <c r="I22">
        <v>2021</v>
      </c>
      <c r="J22">
        <v>11</v>
      </c>
      <c r="K22" s="4" t="s">
        <v>115</v>
      </c>
      <c r="L22" t="s">
        <v>89</v>
      </c>
      <c r="N22" t="s">
        <v>89</v>
      </c>
      <c r="O22" t="s">
        <v>9</v>
      </c>
      <c r="P22" t="s">
        <v>125</v>
      </c>
    </row>
    <row r="23" spans="1:16" hidden="1">
      <c r="A23" t="s">
        <v>126</v>
      </c>
      <c r="B23" s="1" t="s">
        <v>127</v>
      </c>
      <c r="C23" t="s">
        <v>128</v>
      </c>
      <c r="D23" s="160">
        <v>6357154</v>
      </c>
      <c r="G23" s="4"/>
      <c r="H23" s="4"/>
      <c r="I23">
        <v>2021</v>
      </c>
      <c r="J23">
        <v>11</v>
      </c>
      <c r="K23" s="4" t="s">
        <v>115</v>
      </c>
      <c r="L23" t="s">
        <v>89</v>
      </c>
      <c r="N23" t="s">
        <v>89</v>
      </c>
      <c r="O23" t="s">
        <v>9</v>
      </c>
      <c r="P23" t="s">
        <v>129</v>
      </c>
    </row>
    <row r="24" spans="1:16" hidden="1">
      <c r="A24" t="s">
        <v>126</v>
      </c>
      <c r="B24" s="1" t="s">
        <v>130</v>
      </c>
      <c r="C24" t="s">
        <v>131</v>
      </c>
      <c r="D24" s="160">
        <v>3179807</v>
      </c>
      <c r="G24" s="4"/>
      <c r="H24" s="4"/>
      <c r="I24">
        <v>2021</v>
      </c>
      <c r="J24">
        <v>11</v>
      </c>
      <c r="K24" s="4" t="s">
        <v>115</v>
      </c>
      <c r="L24" t="s">
        <v>89</v>
      </c>
      <c r="N24" t="s">
        <v>89</v>
      </c>
      <c r="O24" t="s">
        <v>9</v>
      </c>
      <c r="P24" t="s">
        <v>129</v>
      </c>
    </row>
    <row r="25" spans="1:16" hidden="1">
      <c r="A25" t="s">
        <v>132</v>
      </c>
      <c r="B25" s="1" t="s">
        <v>133</v>
      </c>
      <c r="C25" t="s">
        <v>134</v>
      </c>
      <c r="D25" s="160">
        <v>439256</v>
      </c>
      <c r="G25" s="4"/>
      <c r="H25" s="4"/>
      <c r="I25">
        <v>2021</v>
      </c>
      <c r="J25">
        <v>11</v>
      </c>
      <c r="K25" s="4" t="s">
        <v>115</v>
      </c>
      <c r="L25" t="s">
        <v>89</v>
      </c>
      <c r="N25" t="s">
        <v>89</v>
      </c>
      <c r="O25" t="s">
        <v>9</v>
      </c>
      <c r="P25" t="s">
        <v>135</v>
      </c>
    </row>
    <row r="26" spans="1:16" hidden="1">
      <c r="A26" t="s">
        <v>132</v>
      </c>
      <c r="B26" s="1" t="s">
        <v>136</v>
      </c>
      <c r="C26" t="s">
        <v>137</v>
      </c>
      <c r="D26" s="160">
        <v>235239</v>
      </c>
      <c r="G26" s="4"/>
      <c r="H26" s="4"/>
      <c r="I26">
        <v>2021</v>
      </c>
      <c r="J26">
        <v>11</v>
      </c>
      <c r="K26" s="4" t="s">
        <v>115</v>
      </c>
      <c r="L26" t="s">
        <v>89</v>
      </c>
      <c r="N26" t="s">
        <v>89</v>
      </c>
      <c r="O26" t="s">
        <v>9</v>
      </c>
      <c r="P26" t="s">
        <v>135</v>
      </c>
    </row>
    <row r="27" spans="1:16" hidden="1">
      <c r="A27" t="s">
        <v>86</v>
      </c>
      <c r="B27" s="1">
        <v>4503243471</v>
      </c>
      <c r="C27" t="s">
        <v>99</v>
      </c>
      <c r="D27" s="160">
        <v>6081.6</v>
      </c>
      <c r="G27" s="4"/>
      <c r="H27" s="4"/>
      <c r="I27">
        <v>2021</v>
      </c>
      <c r="J27">
        <v>12</v>
      </c>
      <c r="K27" s="4" t="s">
        <v>138</v>
      </c>
      <c r="L27" t="s">
        <v>89</v>
      </c>
      <c r="N27" t="s">
        <v>89</v>
      </c>
      <c r="O27" t="s">
        <v>9</v>
      </c>
      <c r="P27" t="s">
        <v>100</v>
      </c>
    </row>
    <row r="28" spans="1:16" hidden="1">
      <c r="A28" t="s">
        <v>102</v>
      </c>
      <c r="B28" s="1">
        <v>4503290109</v>
      </c>
      <c r="C28" t="s">
        <v>103</v>
      </c>
      <c r="D28" s="160">
        <v>1487521</v>
      </c>
      <c r="G28" s="4"/>
      <c r="H28" s="4"/>
      <c r="I28">
        <v>2021</v>
      </c>
      <c r="J28">
        <v>12</v>
      </c>
      <c r="K28" s="4" t="s">
        <v>138</v>
      </c>
      <c r="L28" t="s">
        <v>89</v>
      </c>
      <c r="N28" t="s">
        <v>89</v>
      </c>
      <c r="O28" t="s">
        <v>9</v>
      </c>
      <c r="P28" t="s">
        <v>104</v>
      </c>
    </row>
    <row r="29" spans="1:16" hidden="1">
      <c r="A29" t="s">
        <v>102</v>
      </c>
      <c r="B29" s="1">
        <v>4503312319</v>
      </c>
      <c r="C29" t="s">
        <v>110</v>
      </c>
      <c r="D29" s="160">
        <v>199596</v>
      </c>
      <c r="G29" s="4"/>
      <c r="H29" s="4"/>
      <c r="I29">
        <v>2021</v>
      </c>
      <c r="J29">
        <v>12</v>
      </c>
      <c r="K29" s="4" t="s">
        <v>138</v>
      </c>
      <c r="L29" t="s">
        <v>89</v>
      </c>
      <c r="N29" t="s">
        <v>89</v>
      </c>
      <c r="O29" t="s">
        <v>9</v>
      </c>
      <c r="P29" t="s">
        <v>111</v>
      </c>
    </row>
    <row r="30" spans="1:16" hidden="1">
      <c r="A30" t="s">
        <v>102</v>
      </c>
      <c r="B30" s="1">
        <v>4503398624</v>
      </c>
      <c r="C30" t="s">
        <v>112</v>
      </c>
      <c r="D30" s="160">
        <v>506260</v>
      </c>
      <c r="G30" s="4"/>
      <c r="H30" s="4"/>
      <c r="I30">
        <v>2021</v>
      </c>
      <c r="J30">
        <v>12</v>
      </c>
      <c r="K30" s="4" t="s">
        <v>138</v>
      </c>
      <c r="L30" t="s">
        <v>89</v>
      </c>
      <c r="N30" t="s">
        <v>89</v>
      </c>
      <c r="O30" t="s">
        <v>9</v>
      </c>
      <c r="P30" t="s">
        <v>113</v>
      </c>
    </row>
    <row r="31" spans="1:16" hidden="1">
      <c r="A31" t="s">
        <v>102</v>
      </c>
      <c r="B31" s="1">
        <v>4503423409</v>
      </c>
      <c r="C31" t="s">
        <v>114</v>
      </c>
      <c r="D31" s="160">
        <v>220657</v>
      </c>
      <c r="E31">
        <v>12335</v>
      </c>
      <c r="G31" s="4"/>
      <c r="H31" s="4"/>
      <c r="I31">
        <v>2021</v>
      </c>
      <c r="J31">
        <v>12</v>
      </c>
      <c r="K31" s="4" t="s">
        <v>138</v>
      </c>
      <c r="L31" t="s">
        <v>89</v>
      </c>
      <c r="N31" t="s">
        <v>89</v>
      </c>
      <c r="O31" t="s">
        <v>9</v>
      </c>
      <c r="P31" t="s">
        <v>113</v>
      </c>
    </row>
    <row r="32" spans="1:16" hidden="1">
      <c r="A32" t="s">
        <v>116</v>
      </c>
      <c r="B32" s="1">
        <v>4503428513</v>
      </c>
      <c r="C32" t="s">
        <v>117</v>
      </c>
      <c r="D32" s="160">
        <v>615582</v>
      </c>
      <c r="G32" s="4"/>
      <c r="H32" s="4"/>
      <c r="I32">
        <v>2021</v>
      </c>
      <c r="J32">
        <v>12</v>
      </c>
      <c r="K32" s="4" t="s">
        <v>138</v>
      </c>
      <c r="L32" t="s">
        <v>89</v>
      </c>
      <c r="N32" t="s">
        <v>89</v>
      </c>
      <c r="O32" t="s">
        <v>9</v>
      </c>
      <c r="P32" t="s">
        <v>118</v>
      </c>
    </row>
    <row r="33" spans="1:16" hidden="1">
      <c r="A33" t="s">
        <v>102</v>
      </c>
      <c r="B33" s="1">
        <v>4503432118</v>
      </c>
      <c r="C33" t="s">
        <v>119</v>
      </c>
      <c r="D33" s="160">
        <v>3446491.85</v>
      </c>
      <c r="G33" s="4"/>
      <c r="H33" s="4"/>
      <c r="I33">
        <v>2021</v>
      </c>
      <c r="J33">
        <v>12</v>
      </c>
      <c r="K33" s="4" t="s">
        <v>138</v>
      </c>
      <c r="L33" t="s">
        <v>89</v>
      </c>
      <c r="N33" t="s">
        <v>89</v>
      </c>
      <c r="O33" t="s">
        <v>9</v>
      </c>
      <c r="P33" t="s">
        <v>120</v>
      </c>
    </row>
    <row r="34" spans="1:16" hidden="1">
      <c r="A34" t="s">
        <v>139</v>
      </c>
      <c r="B34" s="1">
        <v>4503441102</v>
      </c>
      <c r="C34" t="s">
        <v>140</v>
      </c>
      <c r="D34" s="160">
        <v>1479412</v>
      </c>
      <c r="E34">
        <v>82699</v>
      </c>
      <c r="G34" s="4"/>
      <c r="H34" s="4"/>
      <c r="I34">
        <v>2021</v>
      </c>
      <c r="J34">
        <v>12</v>
      </c>
      <c r="K34" s="4" t="s">
        <v>138</v>
      </c>
      <c r="L34" t="s">
        <v>89</v>
      </c>
      <c r="N34" t="s">
        <v>89</v>
      </c>
      <c r="O34" t="s">
        <v>9</v>
      </c>
      <c r="P34" t="s">
        <v>141</v>
      </c>
    </row>
    <row r="35" spans="1:16" hidden="1">
      <c r="A35" t="s">
        <v>139</v>
      </c>
      <c r="B35" s="1">
        <v>4503441308</v>
      </c>
      <c r="C35" t="s">
        <v>142</v>
      </c>
      <c r="D35" s="160">
        <v>825712</v>
      </c>
      <c r="G35" s="4"/>
      <c r="H35" s="4"/>
      <c r="I35">
        <v>2021</v>
      </c>
      <c r="J35">
        <v>12</v>
      </c>
      <c r="K35" s="4" t="s">
        <v>138</v>
      </c>
      <c r="L35" t="s">
        <v>89</v>
      </c>
      <c r="N35" t="s">
        <v>89</v>
      </c>
      <c r="O35" t="s">
        <v>9</v>
      </c>
      <c r="P35" t="s">
        <v>143</v>
      </c>
    </row>
    <row r="36" spans="1:16" hidden="1">
      <c r="A36" t="s">
        <v>102</v>
      </c>
      <c r="B36" s="1">
        <v>4503489979</v>
      </c>
      <c r="C36" t="s">
        <v>144</v>
      </c>
      <c r="D36" s="160">
        <v>122338</v>
      </c>
      <c r="G36" s="4"/>
      <c r="H36" s="4"/>
      <c r="I36">
        <v>2021</v>
      </c>
      <c r="J36">
        <v>12</v>
      </c>
      <c r="K36" s="4" t="s">
        <v>138</v>
      </c>
      <c r="L36" t="s">
        <v>89</v>
      </c>
      <c r="N36" t="s">
        <v>89</v>
      </c>
      <c r="O36" t="s">
        <v>9</v>
      </c>
      <c r="P36" t="s">
        <v>145</v>
      </c>
    </row>
    <row r="37" spans="1:16" hidden="1">
      <c r="A37" t="s">
        <v>126</v>
      </c>
      <c r="B37" s="1" t="s">
        <v>127</v>
      </c>
      <c r="C37" t="s">
        <v>128</v>
      </c>
      <c r="D37" s="160">
        <v>8267774</v>
      </c>
      <c r="G37" s="4"/>
      <c r="H37" s="4"/>
      <c r="I37">
        <v>2021</v>
      </c>
      <c r="J37">
        <v>12</v>
      </c>
      <c r="K37" s="4" t="s">
        <v>138</v>
      </c>
      <c r="L37" t="s">
        <v>89</v>
      </c>
      <c r="N37" t="s">
        <v>89</v>
      </c>
      <c r="O37" t="s">
        <v>9</v>
      </c>
      <c r="P37" t="s">
        <v>129</v>
      </c>
    </row>
    <row r="38" spans="1:16" hidden="1">
      <c r="A38" t="s">
        <v>146</v>
      </c>
      <c r="B38" s="1" t="s">
        <v>147</v>
      </c>
      <c r="C38" t="s">
        <v>148</v>
      </c>
      <c r="D38" s="160">
        <v>29174.5</v>
      </c>
      <c r="G38" s="4"/>
      <c r="H38" s="4"/>
      <c r="I38">
        <v>2021</v>
      </c>
      <c r="J38">
        <v>12</v>
      </c>
      <c r="K38" s="4" t="s">
        <v>138</v>
      </c>
      <c r="L38" t="s">
        <v>89</v>
      </c>
      <c r="N38" t="s">
        <v>89</v>
      </c>
      <c r="O38" t="s">
        <v>18</v>
      </c>
      <c r="P38" t="s">
        <v>149</v>
      </c>
    </row>
    <row r="39" spans="1:16" hidden="1">
      <c r="A39" t="s">
        <v>102</v>
      </c>
      <c r="B39" s="1">
        <v>4503290109</v>
      </c>
      <c r="C39" t="s">
        <v>103</v>
      </c>
      <c r="D39" s="160">
        <v>379647</v>
      </c>
      <c r="G39" s="4"/>
      <c r="H39" s="4"/>
      <c r="I39">
        <v>2021</v>
      </c>
      <c r="J39">
        <v>12</v>
      </c>
      <c r="K39" s="4" t="s">
        <v>138</v>
      </c>
      <c r="L39" t="s">
        <v>89</v>
      </c>
      <c r="N39" t="s">
        <v>89</v>
      </c>
      <c r="O39" t="s">
        <v>9</v>
      </c>
      <c r="P39" t="s">
        <v>104</v>
      </c>
    </row>
    <row r="40" spans="1:16" hidden="1">
      <c r="A40" t="s">
        <v>102</v>
      </c>
      <c r="B40" s="1">
        <v>4503432118</v>
      </c>
      <c r="C40" t="s">
        <v>119</v>
      </c>
      <c r="D40" s="160">
        <v>2546942</v>
      </c>
      <c r="G40" s="4"/>
      <c r="H40" s="4"/>
      <c r="I40">
        <v>2021</v>
      </c>
      <c r="J40">
        <v>12</v>
      </c>
      <c r="K40" s="4" t="s">
        <v>138</v>
      </c>
      <c r="L40" t="s">
        <v>89</v>
      </c>
      <c r="N40" t="s">
        <v>89</v>
      </c>
      <c r="O40" t="s">
        <v>9</v>
      </c>
      <c r="P40" t="s">
        <v>120</v>
      </c>
    </row>
    <row r="41" spans="1:16" hidden="1">
      <c r="A41" t="s">
        <v>102</v>
      </c>
      <c r="B41" s="1">
        <v>4503432152</v>
      </c>
      <c r="C41" t="s">
        <v>121</v>
      </c>
      <c r="D41" s="160">
        <v>280642</v>
      </c>
      <c r="G41" s="4"/>
      <c r="H41" s="4"/>
      <c r="I41">
        <v>2021</v>
      </c>
      <c r="J41">
        <v>12</v>
      </c>
      <c r="K41" s="4" t="s">
        <v>138</v>
      </c>
      <c r="L41" t="s">
        <v>89</v>
      </c>
      <c r="N41" t="s">
        <v>89</v>
      </c>
      <c r="O41" t="s">
        <v>9</v>
      </c>
      <c r="P41" t="s">
        <v>122</v>
      </c>
    </row>
    <row r="42" spans="1:16" hidden="1">
      <c r="A42" t="s">
        <v>126</v>
      </c>
      <c r="B42" s="1" t="s">
        <v>127</v>
      </c>
      <c r="C42" t="s">
        <v>128</v>
      </c>
      <c r="D42" s="160">
        <v>37098</v>
      </c>
      <c r="G42" s="4"/>
      <c r="H42" s="4"/>
      <c r="I42">
        <v>2021</v>
      </c>
      <c r="J42">
        <v>12</v>
      </c>
      <c r="K42" s="4" t="s">
        <v>138</v>
      </c>
      <c r="L42" t="s">
        <v>89</v>
      </c>
      <c r="N42" t="s">
        <v>89</v>
      </c>
      <c r="O42" t="s">
        <v>9</v>
      </c>
      <c r="P42" t="s">
        <v>129</v>
      </c>
    </row>
    <row r="43" spans="1:16" hidden="1">
      <c r="A43" t="s">
        <v>86</v>
      </c>
      <c r="B43" s="1">
        <v>4503243471</v>
      </c>
      <c r="C43" t="s">
        <v>99</v>
      </c>
      <c r="D43" s="160">
        <v>6081.6</v>
      </c>
      <c r="G43" s="4"/>
      <c r="H43" s="4"/>
      <c r="I43">
        <v>2022</v>
      </c>
      <c r="J43">
        <v>1</v>
      </c>
      <c r="K43" s="4" t="s">
        <v>150</v>
      </c>
      <c r="L43" t="s">
        <v>89</v>
      </c>
      <c r="N43" t="s">
        <v>89</v>
      </c>
      <c r="O43" t="s">
        <v>9</v>
      </c>
      <c r="P43" t="s">
        <v>100</v>
      </c>
    </row>
    <row r="44" spans="1:16" hidden="1">
      <c r="A44" t="s">
        <v>102</v>
      </c>
      <c r="B44" s="1">
        <v>4503290109</v>
      </c>
      <c r="C44" t="s">
        <v>103</v>
      </c>
      <c r="D44" s="160">
        <v>4036610</v>
      </c>
      <c r="G44" s="4"/>
      <c r="H44" s="4"/>
      <c r="I44">
        <v>2022</v>
      </c>
      <c r="J44">
        <v>1</v>
      </c>
      <c r="K44" s="4" t="s">
        <v>150</v>
      </c>
      <c r="L44" t="s">
        <v>89</v>
      </c>
      <c r="N44" t="s">
        <v>89</v>
      </c>
      <c r="O44" t="s">
        <v>9</v>
      </c>
      <c r="P44" t="s">
        <v>104</v>
      </c>
    </row>
    <row r="45" spans="1:16" hidden="1">
      <c r="A45" t="s">
        <v>102</v>
      </c>
      <c r="B45" s="1">
        <v>4503312319</v>
      </c>
      <c r="C45" t="s">
        <v>110</v>
      </c>
      <c r="D45" s="160">
        <v>128965</v>
      </c>
      <c r="G45" s="4"/>
      <c r="H45" s="4"/>
      <c r="I45">
        <v>2022</v>
      </c>
      <c r="J45">
        <v>1</v>
      </c>
      <c r="K45" s="4" t="s">
        <v>150</v>
      </c>
      <c r="L45" t="s">
        <v>89</v>
      </c>
      <c r="N45" t="s">
        <v>89</v>
      </c>
      <c r="O45" t="s">
        <v>9</v>
      </c>
      <c r="P45" t="s">
        <v>111</v>
      </c>
    </row>
    <row r="46" spans="1:16" hidden="1">
      <c r="A46" t="s">
        <v>102</v>
      </c>
      <c r="B46" s="1">
        <v>4503398624</v>
      </c>
      <c r="C46" t="s">
        <v>112</v>
      </c>
      <c r="D46" s="160">
        <v>1933308</v>
      </c>
      <c r="G46" s="4"/>
      <c r="H46" s="4"/>
      <c r="I46">
        <v>2022</v>
      </c>
      <c r="J46">
        <v>1</v>
      </c>
      <c r="K46" s="4" t="s">
        <v>150</v>
      </c>
      <c r="L46" t="s">
        <v>89</v>
      </c>
      <c r="N46" t="s">
        <v>89</v>
      </c>
      <c r="O46" t="s">
        <v>9</v>
      </c>
      <c r="P46" t="s">
        <v>113</v>
      </c>
    </row>
    <row r="47" spans="1:16" hidden="1">
      <c r="A47" t="s">
        <v>102</v>
      </c>
      <c r="B47" s="1">
        <v>4503423409</v>
      </c>
      <c r="C47" t="s">
        <v>114</v>
      </c>
      <c r="D47" s="160">
        <v>67848</v>
      </c>
      <c r="E47">
        <v>3793</v>
      </c>
      <c r="G47" s="4"/>
      <c r="H47" s="4"/>
      <c r="I47">
        <v>2022</v>
      </c>
      <c r="J47">
        <v>1</v>
      </c>
      <c r="K47" s="4" t="s">
        <v>150</v>
      </c>
      <c r="L47" t="s">
        <v>89</v>
      </c>
      <c r="N47" t="s">
        <v>89</v>
      </c>
      <c r="O47" t="s">
        <v>9</v>
      </c>
      <c r="P47" t="s">
        <v>113</v>
      </c>
    </row>
    <row r="48" spans="1:16" hidden="1">
      <c r="A48" t="s">
        <v>146</v>
      </c>
      <c r="B48" s="1" t="s">
        <v>147</v>
      </c>
      <c r="C48" t="s">
        <v>148</v>
      </c>
      <c r="D48" s="160">
        <v>29174.5</v>
      </c>
      <c r="G48" s="4"/>
      <c r="H48" s="4"/>
      <c r="I48">
        <v>2022</v>
      </c>
      <c r="J48">
        <v>1</v>
      </c>
      <c r="K48" s="4" t="s">
        <v>150</v>
      </c>
      <c r="L48" t="s">
        <v>89</v>
      </c>
      <c r="N48" t="s">
        <v>89</v>
      </c>
      <c r="O48" t="s">
        <v>18</v>
      </c>
      <c r="P48" t="s">
        <v>149</v>
      </c>
    </row>
    <row r="49" spans="1:16" hidden="1">
      <c r="A49" t="s">
        <v>86</v>
      </c>
      <c r="B49" s="1">
        <v>4503243471</v>
      </c>
      <c r="C49" t="s">
        <v>99</v>
      </c>
      <c r="D49" s="160">
        <v>6081.6</v>
      </c>
      <c r="G49" s="4"/>
      <c r="H49" s="4"/>
      <c r="I49">
        <v>2022</v>
      </c>
      <c r="J49">
        <v>2</v>
      </c>
      <c r="K49" s="4" t="s">
        <v>151</v>
      </c>
      <c r="L49" t="s">
        <v>89</v>
      </c>
      <c r="N49" t="s">
        <v>89</v>
      </c>
      <c r="O49" t="s">
        <v>9</v>
      </c>
      <c r="P49" t="s">
        <v>100</v>
      </c>
    </row>
    <row r="50" spans="1:16" hidden="1">
      <c r="A50" t="s">
        <v>102</v>
      </c>
      <c r="B50" s="1">
        <v>4503290109</v>
      </c>
      <c r="C50" t="s">
        <v>103</v>
      </c>
      <c r="D50" s="160">
        <v>516878</v>
      </c>
      <c r="G50" s="4"/>
      <c r="H50" s="4"/>
      <c r="I50">
        <v>2022</v>
      </c>
      <c r="J50">
        <v>2</v>
      </c>
      <c r="K50" s="4" t="s">
        <v>151</v>
      </c>
      <c r="L50" t="s">
        <v>89</v>
      </c>
      <c r="N50" t="s">
        <v>89</v>
      </c>
      <c r="O50" t="s">
        <v>9</v>
      </c>
      <c r="P50" t="s">
        <v>104</v>
      </c>
    </row>
    <row r="51" spans="1:16" hidden="1">
      <c r="A51" t="s">
        <v>102</v>
      </c>
      <c r="B51" s="1">
        <v>4503312319</v>
      </c>
      <c r="C51" t="s">
        <v>110</v>
      </c>
      <c r="D51" s="160">
        <v>16562</v>
      </c>
      <c r="G51" s="4"/>
      <c r="H51" s="4"/>
      <c r="I51">
        <v>2022</v>
      </c>
      <c r="J51">
        <v>2</v>
      </c>
      <c r="K51" s="4" t="s">
        <v>151</v>
      </c>
      <c r="L51" t="s">
        <v>89</v>
      </c>
      <c r="N51" t="s">
        <v>89</v>
      </c>
      <c r="O51" t="s">
        <v>9</v>
      </c>
      <c r="P51" t="s">
        <v>111</v>
      </c>
    </row>
    <row r="52" spans="1:16" hidden="1">
      <c r="A52" t="s">
        <v>102</v>
      </c>
      <c r="B52" s="1">
        <v>4503432118</v>
      </c>
      <c r="C52" t="s">
        <v>119</v>
      </c>
      <c r="D52" s="160">
        <v>3745119</v>
      </c>
      <c r="G52" s="4"/>
      <c r="H52" s="4"/>
      <c r="I52">
        <v>2022</v>
      </c>
      <c r="J52">
        <v>2</v>
      </c>
      <c r="K52" s="4" t="s">
        <v>151</v>
      </c>
      <c r="L52" t="s">
        <v>89</v>
      </c>
      <c r="N52" t="s">
        <v>89</v>
      </c>
      <c r="O52" t="s">
        <v>9</v>
      </c>
      <c r="P52" t="s">
        <v>120</v>
      </c>
    </row>
    <row r="53" spans="1:16" hidden="1">
      <c r="A53" t="s">
        <v>102</v>
      </c>
      <c r="B53" s="1">
        <v>4503432152</v>
      </c>
      <c r="C53" t="s">
        <v>121</v>
      </c>
      <c r="D53" s="160">
        <v>290846</v>
      </c>
      <c r="G53" s="4"/>
      <c r="H53" s="4"/>
      <c r="I53">
        <v>2022</v>
      </c>
      <c r="J53">
        <v>2</v>
      </c>
      <c r="K53" s="4" t="s">
        <v>151</v>
      </c>
      <c r="L53" t="s">
        <v>89</v>
      </c>
      <c r="N53" t="s">
        <v>89</v>
      </c>
      <c r="O53" t="s">
        <v>9</v>
      </c>
      <c r="P53" t="s">
        <v>122</v>
      </c>
    </row>
    <row r="54" spans="1:16" hidden="1">
      <c r="A54" t="s">
        <v>126</v>
      </c>
      <c r="B54" s="1" t="s">
        <v>127</v>
      </c>
      <c r="C54" t="s">
        <v>128</v>
      </c>
      <c r="D54" s="160">
        <v>330830</v>
      </c>
      <c r="G54" s="4"/>
      <c r="H54" s="4"/>
      <c r="I54">
        <v>2022</v>
      </c>
      <c r="J54">
        <v>2</v>
      </c>
      <c r="K54" s="4" t="s">
        <v>151</v>
      </c>
      <c r="L54" t="s">
        <v>89</v>
      </c>
      <c r="N54" t="s">
        <v>89</v>
      </c>
      <c r="O54" t="s">
        <v>9</v>
      </c>
      <c r="P54" t="s">
        <v>129</v>
      </c>
    </row>
    <row r="55" spans="1:16" hidden="1">
      <c r="A55" t="s">
        <v>146</v>
      </c>
      <c r="B55" s="1" t="s">
        <v>147</v>
      </c>
      <c r="C55" t="s">
        <v>148</v>
      </c>
      <c r="D55" s="160">
        <v>29174.5</v>
      </c>
      <c r="G55" s="4"/>
      <c r="H55" s="4"/>
      <c r="I55">
        <v>2022</v>
      </c>
      <c r="J55">
        <v>2</v>
      </c>
      <c r="K55" s="4" t="s">
        <v>151</v>
      </c>
      <c r="L55" t="s">
        <v>89</v>
      </c>
      <c r="N55" t="s">
        <v>89</v>
      </c>
      <c r="O55" t="s">
        <v>18</v>
      </c>
      <c r="P55" t="s">
        <v>149</v>
      </c>
    </row>
    <row r="56" spans="1:16" hidden="1">
      <c r="A56" t="s">
        <v>86</v>
      </c>
      <c r="B56" s="1">
        <v>4503243471</v>
      </c>
      <c r="C56" t="s">
        <v>99</v>
      </c>
      <c r="D56" s="160">
        <v>6081.6</v>
      </c>
      <c r="G56" s="4"/>
      <c r="H56" s="4"/>
      <c r="I56">
        <v>2022</v>
      </c>
      <c r="J56">
        <v>3</v>
      </c>
      <c r="K56" s="4" t="s">
        <v>152</v>
      </c>
      <c r="L56" t="s">
        <v>89</v>
      </c>
      <c r="N56" t="s">
        <v>89</v>
      </c>
      <c r="O56" t="s">
        <v>9</v>
      </c>
      <c r="P56" t="s">
        <v>100</v>
      </c>
    </row>
    <row r="57" spans="1:16" hidden="1">
      <c r="A57" t="s">
        <v>102</v>
      </c>
      <c r="B57" s="1">
        <v>4503290109</v>
      </c>
      <c r="C57" t="s">
        <v>103</v>
      </c>
      <c r="D57" s="160">
        <v>317828</v>
      </c>
      <c r="G57" s="4"/>
      <c r="H57" s="4"/>
      <c r="I57">
        <v>2022</v>
      </c>
      <c r="J57">
        <v>3</v>
      </c>
      <c r="K57" s="4" t="s">
        <v>152</v>
      </c>
      <c r="L57" t="s">
        <v>89</v>
      </c>
      <c r="N57" t="s">
        <v>89</v>
      </c>
      <c r="O57" t="s">
        <v>9</v>
      </c>
      <c r="P57" t="s">
        <v>104</v>
      </c>
    </row>
    <row r="58" spans="1:16" hidden="1">
      <c r="A58" t="s">
        <v>102</v>
      </c>
      <c r="B58" s="1">
        <v>4503312319</v>
      </c>
      <c r="C58" t="s">
        <v>110</v>
      </c>
      <c r="D58" s="160">
        <v>179823</v>
      </c>
      <c r="G58" s="4"/>
      <c r="H58" s="4"/>
      <c r="I58">
        <v>2022</v>
      </c>
      <c r="J58">
        <v>3</v>
      </c>
      <c r="K58" s="4" t="s">
        <v>152</v>
      </c>
      <c r="L58" t="s">
        <v>89</v>
      </c>
      <c r="N58" t="s">
        <v>89</v>
      </c>
      <c r="O58" t="s">
        <v>9</v>
      </c>
      <c r="P58" t="s">
        <v>111</v>
      </c>
    </row>
    <row r="59" spans="1:16" hidden="1">
      <c r="A59" t="s">
        <v>102</v>
      </c>
      <c r="B59" s="1">
        <v>4503398624</v>
      </c>
      <c r="C59" t="s">
        <v>112</v>
      </c>
      <c r="D59" s="160">
        <v>1363400</v>
      </c>
      <c r="G59" s="4"/>
      <c r="H59" s="4"/>
      <c r="I59">
        <v>2022</v>
      </c>
      <c r="J59">
        <v>3</v>
      </c>
      <c r="K59" s="4" t="s">
        <v>152</v>
      </c>
      <c r="L59" t="s">
        <v>89</v>
      </c>
      <c r="N59" t="s">
        <v>89</v>
      </c>
      <c r="O59" t="s">
        <v>9</v>
      </c>
      <c r="P59" t="s">
        <v>113</v>
      </c>
    </row>
    <row r="60" spans="1:16" hidden="1">
      <c r="A60" t="s">
        <v>102</v>
      </c>
      <c r="B60" s="1">
        <v>4503423409</v>
      </c>
      <c r="C60" t="s">
        <v>114</v>
      </c>
      <c r="D60" s="160">
        <v>170593</v>
      </c>
      <c r="E60">
        <v>9536</v>
      </c>
      <c r="G60" s="4"/>
      <c r="H60" s="4"/>
      <c r="I60">
        <v>2022</v>
      </c>
      <c r="J60">
        <v>3</v>
      </c>
      <c r="K60" s="4" t="s">
        <v>152</v>
      </c>
      <c r="L60" t="s">
        <v>89</v>
      </c>
      <c r="N60" t="s">
        <v>89</v>
      </c>
      <c r="O60" t="s">
        <v>9</v>
      </c>
      <c r="P60" t="s">
        <v>113</v>
      </c>
    </row>
    <row r="61" spans="1:16" hidden="1">
      <c r="A61" t="s">
        <v>102</v>
      </c>
      <c r="B61" s="1">
        <v>4503432118</v>
      </c>
      <c r="C61" t="s">
        <v>119</v>
      </c>
      <c r="D61" s="160">
        <v>429850</v>
      </c>
      <c r="G61" s="4"/>
      <c r="H61" s="4"/>
      <c r="I61">
        <v>2022</v>
      </c>
      <c r="J61">
        <v>3</v>
      </c>
      <c r="K61" s="4" t="s">
        <v>152</v>
      </c>
      <c r="L61" t="s">
        <v>89</v>
      </c>
      <c r="N61" t="s">
        <v>89</v>
      </c>
      <c r="O61" t="s">
        <v>9</v>
      </c>
      <c r="P61" t="s">
        <v>120</v>
      </c>
    </row>
    <row r="62" spans="1:16" hidden="1">
      <c r="A62" t="s">
        <v>139</v>
      </c>
      <c r="B62" s="1">
        <v>4503441308</v>
      </c>
      <c r="C62" t="s">
        <v>142</v>
      </c>
      <c r="D62" s="160">
        <v>344428</v>
      </c>
      <c r="G62" s="4"/>
      <c r="H62" s="4"/>
      <c r="I62">
        <v>2022</v>
      </c>
      <c r="J62">
        <v>3</v>
      </c>
      <c r="K62" s="4" t="s">
        <v>152</v>
      </c>
      <c r="L62" t="s">
        <v>89</v>
      </c>
      <c r="N62" t="s">
        <v>89</v>
      </c>
      <c r="O62" t="s">
        <v>9</v>
      </c>
      <c r="P62" t="s">
        <v>143</v>
      </c>
    </row>
    <row r="63" spans="1:16" hidden="1">
      <c r="A63" t="s">
        <v>126</v>
      </c>
      <c r="B63" s="1" t="s">
        <v>127</v>
      </c>
      <c r="C63" t="s">
        <v>128</v>
      </c>
      <c r="D63" s="160">
        <v>6773215</v>
      </c>
      <c r="G63" s="4"/>
      <c r="H63" s="4"/>
      <c r="I63">
        <v>2022</v>
      </c>
      <c r="J63">
        <v>3</v>
      </c>
      <c r="K63" s="4" t="s">
        <v>152</v>
      </c>
      <c r="L63" t="s">
        <v>89</v>
      </c>
      <c r="N63" t="s">
        <v>89</v>
      </c>
      <c r="O63" t="s">
        <v>9</v>
      </c>
      <c r="P63" t="s">
        <v>129</v>
      </c>
    </row>
    <row r="64" spans="1:16" hidden="1">
      <c r="A64" t="s">
        <v>146</v>
      </c>
      <c r="B64" s="1" t="s">
        <v>147</v>
      </c>
      <c r="C64" t="s">
        <v>148</v>
      </c>
      <c r="D64" s="160">
        <v>29174.5</v>
      </c>
      <c r="G64" s="4"/>
      <c r="H64" s="4"/>
      <c r="I64">
        <v>2022</v>
      </c>
      <c r="J64">
        <v>3</v>
      </c>
      <c r="K64" s="4" t="s">
        <v>152</v>
      </c>
      <c r="L64" t="s">
        <v>89</v>
      </c>
      <c r="N64" t="s">
        <v>89</v>
      </c>
      <c r="O64" t="s">
        <v>18</v>
      </c>
      <c r="P64" t="s">
        <v>149</v>
      </c>
    </row>
    <row r="65" spans="1:16" hidden="1">
      <c r="A65" t="s">
        <v>86</v>
      </c>
      <c r="B65" s="1">
        <v>4503243471</v>
      </c>
      <c r="C65" t="s">
        <v>99</v>
      </c>
      <c r="D65" s="160">
        <v>6081.6</v>
      </c>
      <c r="G65" s="4"/>
      <c r="H65" s="4"/>
      <c r="I65">
        <v>2022</v>
      </c>
      <c r="J65">
        <v>4</v>
      </c>
      <c r="K65" s="4" t="s">
        <v>153</v>
      </c>
      <c r="L65" t="s">
        <v>89</v>
      </c>
      <c r="N65" t="s">
        <v>89</v>
      </c>
      <c r="O65" t="s">
        <v>9</v>
      </c>
      <c r="P65" t="s">
        <v>100</v>
      </c>
    </row>
    <row r="66" spans="1:16" hidden="1">
      <c r="A66" t="s">
        <v>102</v>
      </c>
      <c r="B66" s="1">
        <v>4503290109</v>
      </c>
      <c r="C66" t="s">
        <v>103</v>
      </c>
      <c r="D66" s="160">
        <v>7096144</v>
      </c>
      <c r="G66" s="4"/>
      <c r="H66" s="4"/>
      <c r="I66">
        <v>2022</v>
      </c>
      <c r="J66">
        <v>4</v>
      </c>
      <c r="K66" s="4" t="s">
        <v>153</v>
      </c>
      <c r="L66" t="s">
        <v>89</v>
      </c>
      <c r="N66" t="s">
        <v>89</v>
      </c>
      <c r="O66" t="s">
        <v>9</v>
      </c>
      <c r="P66" t="s">
        <v>104</v>
      </c>
    </row>
    <row r="67" spans="1:16" hidden="1">
      <c r="A67" t="s">
        <v>102</v>
      </c>
      <c r="B67" s="1">
        <v>4503312319</v>
      </c>
      <c r="C67" t="s">
        <v>110</v>
      </c>
      <c r="D67" s="160">
        <v>134233</v>
      </c>
      <c r="G67" s="4"/>
      <c r="H67" s="4"/>
      <c r="I67">
        <v>2022</v>
      </c>
      <c r="J67">
        <v>4</v>
      </c>
      <c r="K67" s="4" t="s">
        <v>153</v>
      </c>
      <c r="L67" t="s">
        <v>89</v>
      </c>
      <c r="N67" t="s">
        <v>89</v>
      </c>
      <c r="O67" t="s">
        <v>9</v>
      </c>
      <c r="P67" t="s">
        <v>111</v>
      </c>
    </row>
    <row r="68" spans="1:16" hidden="1">
      <c r="A68" t="s">
        <v>102</v>
      </c>
      <c r="B68" s="1">
        <v>4503398624</v>
      </c>
      <c r="C68" t="s">
        <v>112</v>
      </c>
      <c r="D68" s="160">
        <v>308802</v>
      </c>
      <c r="G68" s="4"/>
      <c r="H68" s="4"/>
      <c r="I68">
        <v>2022</v>
      </c>
      <c r="J68">
        <v>4</v>
      </c>
      <c r="K68" s="4" t="s">
        <v>153</v>
      </c>
      <c r="L68" t="s">
        <v>89</v>
      </c>
      <c r="N68" t="s">
        <v>89</v>
      </c>
      <c r="O68" t="s">
        <v>9</v>
      </c>
      <c r="P68" t="s">
        <v>113</v>
      </c>
    </row>
    <row r="69" spans="1:16" hidden="1">
      <c r="A69" t="s">
        <v>102</v>
      </c>
      <c r="B69" s="1">
        <v>4503423409</v>
      </c>
      <c r="C69" t="s">
        <v>114</v>
      </c>
      <c r="D69" s="160">
        <v>140855</v>
      </c>
      <c r="E69">
        <v>7874</v>
      </c>
      <c r="G69" s="4"/>
      <c r="H69" s="4"/>
      <c r="I69">
        <v>2022</v>
      </c>
      <c r="J69">
        <v>4</v>
      </c>
      <c r="K69" s="4" t="s">
        <v>153</v>
      </c>
      <c r="L69" t="s">
        <v>89</v>
      </c>
      <c r="N69" t="s">
        <v>89</v>
      </c>
      <c r="O69" t="s">
        <v>9</v>
      </c>
      <c r="P69" t="s">
        <v>113</v>
      </c>
    </row>
    <row r="70" spans="1:16" hidden="1">
      <c r="A70" t="s">
        <v>116</v>
      </c>
      <c r="B70" s="1">
        <v>4503428513</v>
      </c>
      <c r="C70" t="s">
        <v>117</v>
      </c>
      <c r="D70" s="160">
        <v>1814673</v>
      </c>
      <c r="G70" s="4"/>
      <c r="H70" s="4"/>
      <c r="I70">
        <v>2022</v>
      </c>
      <c r="J70">
        <v>4</v>
      </c>
      <c r="K70" s="4" t="s">
        <v>153</v>
      </c>
      <c r="L70" t="s">
        <v>89</v>
      </c>
      <c r="N70" t="s">
        <v>89</v>
      </c>
      <c r="O70" t="s">
        <v>9</v>
      </c>
      <c r="P70" t="s">
        <v>118</v>
      </c>
    </row>
    <row r="71" spans="1:16" hidden="1">
      <c r="A71" t="s">
        <v>102</v>
      </c>
      <c r="B71" s="1">
        <v>4503432118</v>
      </c>
      <c r="C71" t="s">
        <v>119</v>
      </c>
      <c r="D71" s="160">
        <v>3061109</v>
      </c>
      <c r="G71" s="4"/>
      <c r="H71" s="4"/>
      <c r="I71">
        <v>2022</v>
      </c>
      <c r="J71">
        <v>4</v>
      </c>
      <c r="K71" s="4" t="s">
        <v>153</v>
      </c>
      <c r="L71" t="s">
        <v>89</v>
      </c>
      <c r="N71" t="s">
        <v>89</v>
      </c>
      <c r="O71" t="s">
        <v>9</v>
      </c>
      <c r="P71" t="s">
        <v>120</v>
      </c>
    </row>
    <row r="72" spans="1:16" hidden="1">
      <c r="A72" t="s">
        <v>126</v>
      </c>
      <c r="B72" s="1" t="s">
        <v>127</v>
      </c>
      <c r="C72" t="s">
        <v>128</v>
      </c>
      <c r="D72" s="160">
        <v>138429</v>
      </c>
      <c r="G72" s="4"/>
      <c r="H72" s="4"/>
      <c r="I72">
        <v>2022</v>
      </c>
      <c r="J72">
        <v>4</v>
      </c>
      <c r="K72" s="4" t="s">
        <v>153</v>
      </c>
      <c r="L72" t="s">
        <v>89</v>
      </c>
      <c r="N72" t="s">
        <v>89</v>
      </c>
      <c r="O72" t="s">
        <v>9</v>
      </c>
      <c r="P72" t="s">
        <v>129</v>
      </c>
    </row>
    <row r="73" spans="1:16" hidden="1">
      <c r="A73" t="s">
        <v>126</v>
      </c>
      <c r="B73" s="1" t="s">
        <v>130</v>
      </c>
      <c r="C73" t="s">
        <v>131</v>
      </c>
      <c r="D73" s="160">
        <v>2451350</v>
      </c>
      <c r="G73" s="4"/>
      <c r="H73" s="4"/>
      <c r="I73">
        <v>2022</v>
      </c>
      <c r="J73">
        <v>4</v>
      </c>
      <c r="K73" s="4" t="s">
        <v>153</v>
      </c>
      <c r="L73" t="s">
        <v>89</v>
      </c>
      <c r="N73" t="s">
        <v>89</v>
      </c>
      <c r="O73" t="s">
        <v>9</v>
      </c>
      <c r="P73" t="s">
        <v>129</v>
      </c>
    </row>
    <row r="74" spans="1:16" hidden="1">
      <c r="A74" t="s">
        <v>146</v>
      </c>
      <c r="B74" s="1" t="s">
        <v>147</v>
      </c>
      <c r="C74" t="s">
        <v>148</v>
      </c>
      <c r="D74" s="160">
        <v>29174.5</v>
      </c>
      <c r="G74" s="4"/>
      <c r="H74" s="4"/>
      <c r="I74">
        <v>2022</v>
      </c>
      <c r="J74">
        <v>4</v>
      </c>
      <c r="K74" s="4" t="s">
        <v>153</v>
      </c>
      <c r="L74" t="s">
        <v>89</v>
      </c>
      <c r="N74" t="s">
        <v>89</v>
      </c>
      <c r="O74" t="s">
        <v>18</v>
      </c>
      <c r="P74" t="s">
        <v>149</v>
      </c>
    </row>
    <row r="75" spans="1:16" hidden="1">
      <c r="A75" t="s">
        <v>86</v>
      </c>
      <c r="B75" s="1">
        <v>4503243471</v>
      </c>
      <c r="C75" t="s">
        <v>99</v>
      </c>
      <c r="D75" s="160">
        <v>6081.6</v>
      </c>
      <c r="G75" s="4"/>
      <c r="H75" s="4"/>
      <c r="I75">
        <v>2022</v>
      </c>
      <c r="J75">
        <v>5</v>
      </c>
      <c r="K75" s="4" t="s">
        <v>154</v>
      </c>
      <c r="L75" t="s">
        <v>89</v>
      </c>
      <c r="N75" t="s">
        <v>89</v>
      </c>
      <c r="O75" t="s">
        <v>9</v>
      </c>
      <c r="P75" t="s">
        <v>100</v>
      </c>
    </row>
    <row r="76" spans="1:16" hidden="1">
      <c r="A76" t="s">
        <v>102</v>
      </c>
      <c r="B76" s="1">
        <v>4503290109</v>
      </c>
      <c r="C76" t="s">
        <v>103</v>
      </c>
      <c r="D76" s="160">
        <v>2987853</v>
      </c>
      <c r="G76" s="4"/>
      <c r="H76" s="4"/>
      <c r="I76">
        <v>2022</v>
      </c>
      <c r="J76">
        <v>5</v>
      </c>
      <c r="K76" s="4" t="s">
        <v>154</v>
      </c>
      <c r="L76" t="s">
        <v>89</v>
      </c>
      <c r="N76" t="s">
        <v>89</v>
      </c>
      <c r="O76" t="s">
        <v>9</v>
      </c>
      <c r="P76" t="s">
        <v>104</v>
      </c>
    </row>
    <row r="77" spans="1:16" hidden="1">
      <c r="A77" t="s">
        <v>102</v>
      </c>
      <c r="B77" s="1">
        <v>4503312319</v>
      </c>
      <c r="C77" t="s">
        <v>110</v>
      </c>
      <c r="D77" s="160">
        <v>321235</v>
      </c>
      <c r="G77" s="4"/>
      <c r="H77" s="4"/>
      <c r="I77">
        <v>2022</v>
      </c>
      <c r="J77">
        <v>5</v>
      </c>
      <c r="K77" s="4" t="s">
        <v>154</v>
      </c>
      <c r="L77" t="s">
        <v>89</v>
      </c>
      <c r="N77" t="s">
        <v>89</v>
      </c>
      <c r="O77" t="s">
        <v>9</v>
      </c>
      <c r="P77" t="s">
        <v>111</v>
      </c>
    </row>
    <row r="78" spans="1:16" hidden="1">
      <c r="A78" t="s">
        <v>102</v>
      </c>
      <c r="B78" s="1">
        <v>4503432118</v>
      </c>
      <c r="C78" t="s">
        <v>119</v>
      </c>
      <c r="D78" s="160">
        <v>1239891</v>
      </c>
      <c r="G78" s="4"/>
      <c r="H78" s="4"/>
      <c r="I78">
        <v>2022</v>
      </c>
      <c r="J78">
        <v>5</v>
      </c>
      <c r="K78" s="4" t="s">
        <v>154</v>
      </c>
      <c r="L78" t="s">
        <v>89</v>
      </c>
      <c r="N78" t="s">
        <v>89</v>
      </c>
      <c r="O78" t="s">
        <v>9</v>
      </c>
      <c r="P78" t="s">
        <v>120</v>
      </c>
    </row>
    <row r="79" spans="1:16" hidden="1">
      <c r="A79" t="s">
        <v>139</v>
      </c>
      <c r="B79" s="1">
        <v>4503441102</v>
      </c>
      <c r="C79" t="s">
        <v>140</v>
      </c>
      <c r="D79" s="160">
        <v>588386</v>
      </c>
      <c r="E79">
        <v>32890.78</v>
      </c>
      <c r="G79" s="4"/>
      <c r="H79" s="4"/>
      <c r="I79">
        <v>2022</v>
      </c>
      <c r="J79">
        <v>5</v>
      </c>
      <c r="K79" s="4" t="s">
        <v>154</v>
      </c>
      <c r="L79" t="s">
        <v>89</v>
      </c>
      <c r="N79" t="s">
        <v>89</v>
      </c>
      <c r="O79" t="s">
        <v>9</v>
      </c>
      <c r="P79" t="s">
        <v>141</v>
      </c>
    </row>
    <row r="80" spans="1:16" hidden="1">
      <c r="A80" t="s">
        <v>139</v>
      </c>
      <c r="B80" s="1">
        <v>4590000539</v>
      </c>
      <c r="C80" t="s">
        <v>155</v>
      </c>
      <c r="D80" s="160">
        <v>43656</v>
      </c>
      <c r="E80">
        <v>2440</v>
      </c>
      <c r="G80" s="4"/>
      <c r="H80" s="4"/>
      <c r="I80">
        <v>2022</v>
      </c>
      <c r="J80">
        <v>5</v>
      </c>
      <c r="K80" s="4" t="s">
        <v>154</v>
      </c>
      <c r="L80" t="s">
        <v>89</v>
      </c>
      <c r="N80" t="s">
        <v>89</v>
      </c>
      <c r="O80" t="s">
        <v>11</v>
      </c>
      <c r="P80" t="s">
        <v>156</v>
      </c>
    </row>
    <row r="81" spans="1:16" hidden="1">
      <c r="A81" t="s">
        <v>139</v>
      </c>
      <c r="B81" s="1">
        <v>4590000540</v>
      </c>
      <c r="C81" t="s">
        <v>157</v>
      </c>
      <c r="D81" s="160">
        <v>333768</v>
      </c>
      <c r="E81">
        <v>18658</v>
      </c>
      <c r="G81" s="4"/>
      <c r="H81" s="4"/>
      <c r="I81">
        <v>2022</v>
      </c>
      <c r="J81">
        <v>5</v>
      </c>
      <c r="K81" s="4" t="s">
        <v>154</v>
      </c>
      <c r="L81" t="s">
        <v>89</v>
      </c>
      <c r="N81" t="s">
        <v>89</v>
      </c>
      <c r="O81" t="s">
        <v>9</v>
      </c>
      <c r="P81" t="s">
        <v>156</v>
      </c>
    </row>
    <row r="82" spans="1:16" hidden="1">
      <c r="A82" t="s">
        <v>126</v>
      </c>
      <c r="B82" s="1" t="s">
        <v>127</v>
      </c>
      <c r="C82" t="s">
        <v>128</v>
      </c>
      <c r="D82" s="160">
        <v>436333</v>
      </c>
      <c r="G82" s="4"/>
      <c r="H82" s="4"/>
      <c r="I82">
        <v>2022</v>
      </c>
      <c r="J82">
        <v>5</v>
      </c>
      <c r="K82" s="4" t="s">
        <v>154</v>
      </c>
      <c r="L82" t="s">
        <v>89</v>
      </c>
      <c r="N82" t="s">
        <v>89</v>
      </c>
      <c r="O82" t="s">
        <v>9</v>
      </c>
      <c r="P82" t="s">
        <v>129</v>
      </c>
    </row>
    <row r="83" spans="1:16" hidden="1">
      <c r="A83" t="s">
        <v>132</v>
      </c>
      <c r="B83" s="1" t="s">
        <v>133</v>
      </c>
      <c r="C83" t="s">
        <v>134</v>
      </c>
      <c r="D83" s="160">
        <v>652637.48</v>
      </c>
      <c r="G83" s="4"/>
      <c r="H83" s="4"/>
      <c r="I83">
        <v>2022</v>
      </c>
      <c r="J83">
        <v>5</v>
      </c>
      <c r="K83" s="4" t="s">
        <v>154</v>
      </c>
      <c r="L83" t="s">
        <v>89</v>
      </c>
      <c r="N83" t="s">
        <v>89</v>
      </c>
      <c r="O83" t="s">
        <v>9</v>
      </c>
      <c r="P83" t="s">
        <v>135</v>
      </c>
    </row>
    <row r="84" spans="1:16" hidden="1">
      <c r="A84" t="s">
        <v>132</v>
      </c>
      <c r="B84" s="1" t="s">
        <v>136</v>
      </c>
      <c r="C84" t="s">
        <v>137</v>
      </c>
      <c r="D84" s="160">
        <v>351481.57</v>
      </c>
      <c r="G84" s="4"/>
      <c r="H84" s="4"/>
      <c r="I84">
        <v>2022</v>
      </c>
      <c r="J84">
        <v>5</v>
      </c>
      <c r="K84" s="4" t="s">
        <v>154</v>
      </c>
      <c r="L84" t="s">
        <v>89</v>
      </c>
      <c r="N84" t="s">
        <v>89</v>
      </c>
      <c r="O84" t="s">
        <v>9</v>
      </c>
      <c r="P84" t="s">
        <v>135</v>
      </c>
    </row>
    <row r="85" spans="1:16" hidden="1">
      <c r="A85" t="s">
        <v>146</v>
      </c>
      <c r="B85" s="1" t="s">
        <v>147</v>
      </c>
      <c r="C85" t="s">
        <v>148</v>
      </c>
      <c r="D85" s="160">
        <v>29174.5</v>
      </c>
      <c r="G85" s="4"/>
      <c r="H85" s="4"/>
      <c r="I85">
        <v>2022</v>
      </c>
      <c r="J85">
        <v>5</v>
      </c>
      <c r="K85" s="4" t="s">
        <v>154</v>
      </c>
      <c r="L85" t="s">
        <v>89</v>
      </c>
      <c r="N85" t="s">
        <v>89</v>
      </c>
      <c r="O85" t="s">
        <v>18</v>
      </c>
      <c r="P85" t="s">
        <v>149</v>
      </c>
    </row>
    <row r="86" spans="1:16" hidden="1">
      <c r="A86" t="s">
        <v>86</v>
      </c>
      <c r="B86" s="1">
        <v>4503243471</v>
      </c>
      <c r="C86" t="s">
        <v>99</v>
      </c>
      <c r="D86" s="160">
        <v>6081.6</v>
      </c>
      <c r="G86" s="4"/>
      <c r="H86" s="4"/>
      <c r="I86">
        <v>2022</v>
      </c>
      <c r="J86">
        <v>6</v>
      </c>
      <c r="K86" s="4" t="s">
        <v>158</v>
      </c>
      <c r="L86" t="s">
        <v>89</v>
      </c>
      <c r="N86" t="s">
        <v>89</v>
      </c>
      <c r="O86" t="s">
        <v>9</v>
      </c>
      <c r="P86" t="s">
        <v>100</v>
      </c>
    </row>
    <row r="87" spans="1:16" hidden="1">
      <c r="A87" t="s">
        <v>102</v>
      </c>
      <c r="B87" s="1">
        <v>4503290109</v>
      </c>
      <c r="C87" t="s">
        <v>103</v>
      </c>
      <c r="D87" s="160">
        <v>7837545</v>
      </c>
      <c r="G87" s="4"/>
      <c r="H87" s="4"/>
      <c r="I87">
        <v>2022</v>
      </c>
      <c r="J87">
        <v>6</v>
      </c>
      <c r="K87" s="4" t="s">
        <v>158</v>
      </c>
      <c r="L87" t="s">
        <v>89</v>
      </c>
      <c r="N87" t="s">
        <v>89</v>
      </c>
      <c r="O87" t="s">
        <v>9</v>
      </c>
      <c r="P87" t="s">
        <v>104</v>
      </c>
    </row>
    <row r="88" spans="1:16" hidden="1">
      <c r="A88" t="s">
        <v>102</v>
      </c>
      <c r="B88" s="1">
        <v>4503432118</v>
      </c>
      <c r="C88" t="s">
        <v>119</v>
      </c>
      <c r="D88" s="160">
        <v>7300329</v>
      </c>
      <c r="G88" s="4"/>
      <c r="H88" s="4"/>
      <c r="I88">
        <v>2022</v>
      </c>
      <c r="J88">
        <v>6</v>
      </c>
      <c r="K88" s="4" t="s">
        <v>158</v>
      </c>
      <c r="L88" t="s">
        <v>89</v>
      </c>
      <c r="N88" t="s">
        <v>89</v>
      </c>
      <c r="O88" t="s">
        <v>9</v>
      </c>
      <c r="P88" t="s">
        <v>120</v>
      </c>
    </row>
    <row r="89" spans="1:16" hidden="1">
      <c r="A89" t="s">
        <v>139</v>
      </c>
      <c r="B89" s="1">
        <v>4503441102</v>
      </c>
      <c r="C89" t="s">
        <v>140</v>
      </c>
      <c r="D89" s="160">
        <v>283308</v>
      </c>
      <c r="E89">
        <v>15837</v>
      </c>
      <c r="G89" s="4"/>
      <c r="H89" s="4"/>
      <c r="I89">
        <v>2022</v>
      </c>
      <c r="J89">
        <v>6</v>
      </c>
      <c r="K89" s="4" t="s">
        <v>158</v>
      </c>
      <c r="L89" t="s">
        <v>89</v>
      </c>
      <c r="N89" t="s">
        <v>89</v>
      </c>
      <c r="O89" t="s">
        <v>9</v>
      </c>
      <c r="P89" t="s">
        <v>141</v>
      </c>
    </row>
    <row r="90" spans="1:16" hidden="1">
      <c r="A90" t="s">
        <v>139</v>
      </c>
      <c r="B90" s="1">
        <v>4503441308</v>
      </c>
      <c r="C90" t="s">
        <v>142</v>
      </c>
      <c r="D90" s="160">
        <v>399685</v>
      </c>
      <c r="F90" t="s">
        <v>159</v>
      </c>
      <c r="G90" s="4"/>
      <c r="H90" s="4"/>
      <c r="I90">
        <v>2022</v>
      </c>
      <c r="J90">
        <v>6</v>
      </c>
      <c r="K90" s="4" t="s">
        <v>158</v>
      </c>
      <c r="L90" t="s">
        <v>89</v>
      </c>
      <c r="N90" t="s">
        <v>89</v>
      </c>
      <c r="O90" t="s">
        <v>9</v>
      </c>
      <c r="P90" t="s">
        <v>143</v>
      </c>
    </row>
    <row r="91" spans="1:16" hidden="1">
      <c r="A91" t="s">
        <v>139</v>
      </c>
      <c r="B91" s="1">
        <v>4590000539</v>
      </c>
      <c r="C91" t="s">
        <v>155</v>
      </c>
      <c r="D91" s="160">
        <v>216614</v>
      </c>
      <c r="E91">
        <v>12109</v>
      </c>
      <c r="G91" s="4"/>
      <c r="H91" s="4"/>
      <c r="I91">
        <v>2022</v>
      </c>
      <c r="J91">
        <v>6</v>
      </c>
      <c r="K91" s="4" t="s">
        <v>158</v>
      </c>
      <c r="L91" t="s">
        <v>89</v>
      </c>
      <c r="N91" t="s">
        <v>89</v>
      </c>
      <c r="O91" t="s">
        <v>11</v>
      </c>
      <c r="P91" t="s">
        <v>156</v>
      </c>
    </row>
    <row r="92" spans="1:16" hidden="1">
      <c r="A92" t="s">
        <v>139</v>
      </c>
      <c r="B92" s="1">
        <v>4590000540</v>
      </c>
      <c r="C92" t="s">
        <v>157</v>
      </c>
      <c r="D92" s="160">
        <v>869352</v>
      </c>
      <c r="E92">
        <v>48597</v>
      </c>
      <c r="G92" s="4"/>
      <c r="H92" s="4"/>
      <c r="I92">
        <v>2022</v>
      </c>
      <c r="J92">
        <v>6</v>
      </c>
      <c r="K92" s="4" t="s">
        <v>158</v>
      </c>
      <c r="L92" t="s">
        <v>89</v>
      </c>
      <c r="N92" t="s">
        <v>89</v>
      </c>
      <c r="O92" t="s">
        <v>9</v>
      </c>
      <c r="P92" t="s">
        <v>156</v>
      </c>
    </row>
    <row r="93" spans="1:16" hidden="1">
      <c r="A93" t="s">
        <v>126</v>
      </c>
      <c r="B93" s="1" t="s">
        <v>127</v>
      </c>
      <c r="C93" t="s">
        <v>128</v>
      </c>
      <c r="D93" s="160">
        <v>3645524</v>
      </c>
      <c r="F93" t="s">
        <v>160</v>
      </c>
      <c r="G93" s="4"/>
      <c r="H93" s="4"/>
      <c r="I93">
        <v>2022</v>
      </c>
      <c r="J93">
        <v>6</v>
      </c>
      <c r="K93" s="4" t="s">
        <v>158</v>
      </c>
      <c r="L93" t="s">
        <v>89</v>
      </c>
      <c r="N93" t="s">
        <v>89</v>
      </c>
      <c r="O93" t="s">
        <v>9</v>
      </c>
      <c r="P93" t="s">
        <v>129</v>
      </c>
    </row>
    <row r="94" spans="1:16" hidden="1">
      <c r="A94" t="s">
        <v>161</v>
      </c>
      <c r="B94" s="1" t="s">
        <v>162</v>
      </c>
      <c r="C94" t="s">
        <v>163</v>
      </c>
      <c r="D94" s="160">
        <v>384408.18</v>
      </c>
      <c r="G94" s="4"/>
      <c r="H94" s="4"/>
      <c r="I94">
        <v>2022</v>
      </c>
      <c r="J94">
        <v>6</v>
      </c>
      <c r="K94" s="4" t="s">
        <v>158</v>
      </c>
      <c r="L94" t="s">
        <v>89</v>
      </c>
      <c r="N94" t="s">
        <v>89</v>
      </c>
      <c r="O94" t="s">
        <v>18</v>
      </c>
      <c r="P94" t="s">
        <v>164</v>
      </c>
    </row>
    <row r="95" spans="1:16" hidden="1">
      <c r="A95" t="s">
        <v>165</v>
      </c>
      <c r="B95" s="1" t="s">
        <v>166</v>
      </c>
      <c r="C95" t="s">
        <v>167</v>
      </c>
      <c r="D95" s="160">
        <v>1286713.08</v>
      </c>
      <c r="F95" t="s">
        <v>168</v>
      </c>
      <c r="G95" s="4">
        <v>44811</v>
      </c>
      <c r="H95" s="4"/>
      <c r="I95">
        <v>2022</v>
      </c>
      <c r="J95">
        <v>6</v>
      </c>
      <c r="K95" s="4" t="s">
        <v>158</v>
      </c>
      <c r="L95" t="s">
        <v>89</v>
      </c>
      <c r="N95" t="s">
        <v>89</v>
      </c>
      <c r="O95" t="s">
        <v>18</v>
      </c>
      <c r="P95" t="s">
        <v>169</v>
      </c>
    </row>
    <row r="96" spans="1:16" hidden="1">
      <c r="A96" t="s">
        <v>146</v>
      </c>
      <c r="B96" s="1" t="s">
        <v>147</v>
      </c>
      <c r="C96" t="s">
        <v>148</v>
      </c>
      <c r="D96" s="160">
        <v>29174.5</v>
      </c>
      <c r="G96" s="4"/>
      <c r="H96" s="4"/>
      <c r="I96">
        <v>2022</v>
      </c>
      <c r="J96">
        <v>6</v>
      </c>
      <c r="K96" s="4" t="s">
        <v>158</v>
      </c>
      <c r="L96" t="s">
        <v>89</v>
      </c>
      <c r="N96" t="s">
        <v>89</v>
      </c>
      <c r="O96" t="s">
        <v>18</v>
      </c>
      <c r="P96" t="s">
        <v>149</v>
      </c>
    </row>
    <row r="97" spans="1:16" hidden="1">
      <c r="A97" t="s">
        <v>86</v>
      </c>
      <c r="B97" s="1">
        <v>4503243471</v>
      </c>
      <c r="C97" t="s">
        <v>99</v>
      </c>
      <c r="D97" s="160">
        <v>6081.6</v>
      </c>
      <c r="G97" s="4"/>
      <c r="H97" s="4"/>
      <c r="I97">
        <v>2022</v>
      </c>
      <c r="J97">
        <v>7</v>
      </c>
      <c r="K97" s="4" t="s">
        <v>170</v>
      </c>
      <c r="L97" t="s">
        <v>89</v>
      </c>
      <c r="N97" t="s">
        <v>89</v>
      </c>
      <c r="O97" t="s">
        <v>9</v>
      </c>
      <c r="P97" t="s">
        <v>100</v>
      </c>
    </row>
    <row r="98" spans="1:16" hidden="1">
      <c r="A98" t="s">
        <v>102</v>
      </c>
      <c r="B98" s="1">
        <v>4503290109</v>
      </c>
      <c r="C98" t="s">
        <v>103</v>
      </c>
      <c r="D98" s="160">
        <v>4616733</v>
      </c>
      <c r="G98" s="4"/>
      <c r="H98" s="4"/>
      <c r="I98">
        <v>2022</v>
      </c>
      <c r="J98">
        <v>7</v>
      </c>
      <c r="K98" s="4" t="s">
        <v>170</v>
      </c>
      <c r="L98" t="s">
        <v>89</v>
      </c>
      <c r="N98" t="s">
        <v>89</v>
      </c>
      <c r="O98" t="s">
        <v>9</v>
      </c>
      <c r="P98" t="s">
        <v>104</v>
      </c>
    </row>
    <row r="99" spans="1:16" hidden="1">
      <c r="A99" t="s">
        <v>102</v>
      </c>
      <c r="B99" s="1">
        <v>4503312319</v>
      </c>
      <c r="C99" t="s">
        <v>110</v>
      </c>
      <c r="D99" s="160">
        <v>429331</v>
      </c>
      <c r="G99" s="4"/>
      <c r="H99" s="4"/>
      <c r="I99">
        <v>2022</v>
      </c>
      <c r="J99">
        <v>7</v>
      </c>
      <c r="K99" s="4" t="s">
        <v>170</v>
      </c>
      <c r="L99" t="s">
        <v>89</v>
      </c>
      <c r="N99" t="s">
        <v>89</v>
      </c>
      <c r="O99" t="s">
        <v>9</v>
      </c>
      <c r="P99" t="s">
        <v>111</v>
      </c>
    </row>
    <row r="100" spans="1:16" hidden="1">
      <c r="A100" t="s">
        <v>116</v>
      </c>
      <c r="B100" s="1">
        <v>4503428513</v>
      </c>
      <c r="C100" t="s">
        <v>117</v>
      </c>
      <c r="D100" s="160">
        <v>186997</v>
      </c>
      <c r="G100" s="4"/>
      <c r="H100" s="4"/>
      <c r="I100">
        <v>2022</v>
      </c>
      <c r="J100">
        <v>7</v>
      </c>
      <c r="K100" s="4" t="s">
        <v>170</v>
      </c>
      <c r="L100" t="s">
        <v>89</v>
      </c>
      <c r="N100" t="s">
        <v>89</v>
      </c>
      <c r="O100" t="s">
        <v>9</v>
      </c>
      <c r="P100" t="s">
        <v>118</v>
      </c>
    </row>
    <row r="101" spans="1:16" hidden="1">
      <c r="A101" t="s">
        <v>102</v>
      </c>
      <c r="B101" s="1">
        <v>4503432118</v>
      </c>
      <c r="C101" t="s">
        <v>119</v>
      </c>
      <c r="D101" s="160">
        <v>1611191</v>
      </c>
      <c r="F101" t="s">
        <v>171</v>
      </c>
      <c r="G101" s="4"/>
      <c r="H101" s="4"/>
      <c r="I101">
        <v>2022</v>
      </c>
      <c r="J101">
        <v>7</v>
      </c>
      <c r="K101" s="4" t="s">
        <v>170</v>
      </c>
      <c r="L101" t="s">
        <v>89</v>
      </c>
      <c r="N101" t="s">
        <v>89</v>
      </c>
      <c r="O101" t="s">
        <v>9</v>
      </c>
      <c r="P101" t="s">
        <v>120</v>
      </c>
    </row>
    <row r="102" spans="1:16" hidden="1">
      <c r="A102" t="s">
        <v>139</v>
      </c>
      <c r="B102" s="1">
        <v>4503441102</v>
      </c>
      <c r="C102" t="s">
        <v>140</v>
      </c>
      <c r="D102" s="160">
        <v>108202</v>
      </c>
      <c r="E102">
        <v>6048</v>
      </c>
      <c r="G102" s="4"/>
      <c r="H102" s="4"/>
      <c r="I102">
        <v>2022</v>
      </c>
      <c r="J102">
        <v>7</v>
      </c>
      <c r="K102" s="4" t="s">
        <v>170</v>
      </c>
      <c r="L102" t="s">
        <v>89</v>
      </c>
      <c r="N102" t="s">
        <v>89</v>
      </c>
      <c r="O102" t="s">
        <v>9</v>
      </c>
      <c r="P102" t="s">
        <v>141</v>
      </c>
    </row>
    <row r="103" spans="1:16" hidden="1">
      <c r="A103" t="s">
        <v>139</v>
      </c>
      <c r="B103" s="1">
        <v>4590000540</v>
      </c>
      <c r="C103" t="s">
        <v>157</v>
      </c>
      <c r="D103" s="160">
        <v>195224</v>
      </c>
      <c r="E103">
        <v>10913</v>
      </c>
      <c r="G103" s="4"/>
      <c r="H103" s="4"/>
      <c r="I103">
        <v>2022</v>
      </c>
      <c r="J103">
        <v>7</v>
      </c>
      <c r="K103" s="4" t="s">
        <v>170</v>
      </c>
      <c r="L103" t="s">
        <v>89</v>
      </c>
      <c r="N103" t="s">
        <v>89</v>
      </c>
      <c r="O103" t="s">
        <v>9</v>
      </c>
      <c r="P103" t="s">
        <v>156</v>
      </c>
    </row>
    <row r="104" spans="1:16" hidden="1">
      <c r="A104" t="s">
        <v>126</v>
      </c>
      <c r="B104" s="1" t="s">
        <v>127</v>
      </c>
      <c r="C104" t="s">
        <v>128</v>
      </c>
      <c r="D104" s="160">
        <v>2643193</v>
      </c>
      <c r="F104" t="s">
        <v>172</v>
      </c>
      <c r="G104" s="4"/>
      <c r="H104" s="4"/>
      <c r="I104">
        <v>2022</v>
      </c>
      <c r="J104">
        <v>7</v>
      </c>
      <c r="K104" s="4" t="s">
        <v>170</v>
      </c>
      <c r="L104" t="s">
        <v>89</v>
      </c>
      <c r="N104" t="s">
        <v>89</v>
      </c>
      <c r="O104" t="s">
        <v>9</v>
      </c>
      <c r="P104" t="s">
        <v>129</v>
      </c>
    </row>
    <row r="105" spans="1:16" hidden="1">
      <c r="A105" t="s">
        <v>132</v>
      </c>
      <c r="B105" s="1" t="s">
        <v>133</v>
      </c>
      <c r="C105" t="s">
        <v>134</v>
      </c>
      <c r="D105" s="160">
        <v>672636</v>
      </c>
      <c r="G105" s="4"/>
      <c r="H105" s="4"/>
      <c r="I105">
        <v>2022</v>
      </c>
      <c r="J105">
        <v>7</v>
      </c>
      <c r="K105" s="4" t="s">
        <v>170</v>
      </c>
      <c r="L105" t="s">
        <v>89</v>
      </c>
      <c r="N105" t="s">
        <v>89</v>
      </c>
      <c r="O105" t="s">
        <v>9</v>
      </c>
      <c r="P105" t="s">
        <v>135</v>
      </c>
    </row>
    <row r="106" spans="1:16" hidden="1">
      <c r="A106" t="s">
        <v>132</v>
      </c>
      <c r="B106" s="1" t="s">
        <v>136</v>
      </c>
      <c r="C106" t="s">
        <v>137</v>
      </c>
      <c r="D106" s="160">
        <v>221686.93</v>
      </c>
      <c r="G106" s="4"/>
      <c r="H106" s="4"/>
      <c r="I106">
        <v>2022</v>
      </c>
      <c r="J106">
        <v>7</v>
      </c>
      <c r="K106" s="4" t="s">
        <v>170</v>
      </c>
      <c r="L106" t="s">
        <v>89</v>
      </c>
      <c r="N106" t="s">
        <v>89</v>
      </c>
      <c r="O106" t="s">
        <v>9</v>
      </c>
      <c r="P106" t="s">
        <v>135</v>
      </c>
    </row>
    <row r="107" spans="1:16" hidden="1">
      <c r="A107" t="s">
        <v>161</v>
      </c>
      <c r="B107" s="1" t="s">
        <v>162</v>
      </c>
      <c r="C107" t="s">
        <v>163</v>
      </c>
      <c r="D107" s="160">
        <v>16139.52</v>
      </c>
      <c r="G107" s="4"/>
      <c r="H107" s="4"/>
      <c r="I107">
        <v>2022</v>
      </c>
      <c r="J107">
        <v>7</v>
      </c>
      <c r="K107" s="4" t="s">
        <v>170</v>
      </c>
      <c r="L107" t="s">
        <v>89</v>
      </c>
      <c r="N107" t="s">
        <v>89</v>
      </c>
      <c r="O107" t="s">
        <v>18</v>
      </c>
      <c r="P107" t="s">
        <v>164</v>
      </c>
    </row>
    <row r="108" spans="1:16" hidden="1">
      <c r="A108" t="s">
        <v>165</v>
      </c>
      <c r="B108" s="1" t="s">
        <v>166</v>
      </c>
      <c r="C108" t="s">
        <v>167</v>
      </c>
      <c r="D108" s="160">
        <v>177670.88</v>
      </c>
      <c r="F108" t="s">
        <v>173</v>
      </c>
      <c r="G108" s="4">
        <v>44789</v>
      </c>
      <c r="H108" s="4"/>
      <c r="I108">
        <v>2022</v>
      </c>
      <c r="J108">
        <v>7</v>
      </c>
      <c r="K108" s="4" t="s">
        <v>170</v>
      </c>
      <c r="L108" t="s">
        <v>89</v>
      </c>
      <c r="N108" t="s">
        <v>89</v>
      </c>
      <c r="O108" t="s">
        <v>18</v>
      </c>
      <c r="P108" t="s">
        <v>169</v>
      </c>
    </row>
    <row r="109" spans="1:16" hidden="1">
      <c r="A109" t="s">
        <v>146</v>
      </c>
      <c r="B109" s="1" t="s">
        <v>147</v>
      </c>
      <c r="C109" t="s">
        <v>148</v>
      </c>
      <c r="D109" s="160">
        <v>29174.5</v>
      </c>
      <c r="G109" s="4"/>
      <c r="H109" s="4"/>
      <c r="I109">
        <v>2022</v>
      </c>
      <c r="J109">
        <v>7</v>
      </c>
      <c r="K109" s="4" t="s">
        <v>170</v>
      </c>
      <c r="L109" t="s">
        <v>89</v>
      </c>
      <c r="N109" t="s">
        <v>89</v>
      </c>
      <c r="O109" t="s">
        <v>18</v>
      </c>
      <c r="P109" t="s">
        <v>149</v>
      </c>
    </row>
    <row r="110" spans="1:16" hidden="1">
      <c r="A110" t="s">
        <v>86</v>
      </c>
      <c r="B110" s="1">
        <v>4503243471</v>
      </c>
      <c r="C110" t="s">
        <v>99</v>
      </c>
      <c r="D110" s="160">
        <v>6081.6</v>
      </c>
      <c r="G110" s="4"/>
      <c r="H110" s="4"/>
      <c r="I110">
        <v>2022</v>
      </c>
      <c r="J110">
        <v>8</v>
      </c>
      <c r="K110" s="4" t="s">
        <v>174</v>
      </c>
      <c r="L110" t="s">
        <v>89</v>
      </c>
      <c r="N110" t="s">
        <v>89</v>
      </c>
      <c r="O110" t="s">
        <v>9</v>
      </c>
      <c r="P110" t="s">
        <v>100</v>
      </c>
    </row>
    <row r="111" spans="1:16" hidden="1">
      <c r="A111" t="s">
        <v>102</v>
      </c>
      <c r="B111" s="1">
        <v>4503290109</v>
      </c>
      <c r="C111" t="s">
        <v>103</v>
      </c>
      <c r="D111" s="160">
        <v>5550939</v>
      </c>
      <c r="G111" s="4"/>
      <c r="H111" s="4"/>
      <c r="I111">
        <v>2022</v>
      </c>
      <c r="J111">
        <v>8</v>
      </c>
      <c r="K111" s="4" t="s">
        <v>174</v>
      </c>
      <c r="L111" t="s">
        <v>89</v>
      </c>
      <c r="N111" t="s">
        <v>89</v>
      </c>
      <c r="O111" t="s">
        <v>9</v>
      </c>
      <c r="P111" t="s">
        <v>104</v>
      </c>
    </row>
    <row r="112" spans="1:16" hidden="1">
      <c r="A112" t="s">
        <v>102</v>
      </c>
      <c r="B112" s="1">
        <v>4503312319</v>
      </c>
      <c r="C112" t="s">
        <v>110</v>
      </c>
      <c r="D112" s="160">
        <v>96518</v>
      </c>
      <c r="F112" t="s">
        <v>175</v>
      </c>
      <c r="G112" s="4"/>
      <c r="H112" s="4"/>
      <c r="I112">
        <v>2022</v>
      </c>
      <c r="J112">
        <v>8</v>
      </c>
      <c r="K112" s="4" t="s">
        <v>174</v>
      </c>
      <c r="L112" t="s">
        <v>89</v>
      </c>
      <c r="N112" t="s">
        <v>89</v>
      </c>
      <c r="O112" t="s">
        <v>9</v>
      </c>
      <c r="P112" t="s">
        <v>111</v>
      </c>
    </row>
    <row r="113" spans="1:16" hidden="1">
      <c r="A113" t="s">
        <v>116</v>
      </c>
      <c r="B113" s="1">
        <v>4503428513</v>
      </c>
      <c r="C113" t="s">
        <v>117</v>
      </c>
      <c r="D113" s="160">
        <v>429332</v>
      </c>
      <c r="F113" t="s">
        <v>176</v>
      </c>
      <c r="G113" s="4"/>
      <c r="H113" s="4"/>
      <c r="I113">
        <v>2022</v>
      </c>
      <c r="J113">
        <v>8</v>
      </c>
      <c r="K113" s="4" t="s">
        <v>174</v>
      </c>
      <c r="L113" t="s">
        <v>89</v>
      </c>
      <c r="N113" t="s">
        <v>89</v>
      </c>
      <c r="O113" t="s">
        <v>9</v>
      </c>
      <c r="P113" t="s">
        <v>118</v>
      </c>
    </row>
    <row r="114" spans="1:16" hidden="1">
      <c r="A114" t="s">
        <v>102</v>
      </c>
      <c r="B114" s="1">
        <v>4503432118</v>
      </c>
      <c r="C114" t="s">
        <v>119</v>
      </c>
      <c r="D114" s="160">
        <v>922329</v>
      </c>
      <c r="F114" t="s">
        <v>177</v>
      </c>
      <c r="G114" s="4"/>
      <c r="H114" s="4"/>
      <c r="I114">
        <v>2022</v>
      </c>
      <c r="J114">
        <v>8</v>
      </c>
      <c r="K114" s="4" t="s">
        <v>174</v>
      </c>
      <c r="L114" t="s">
        <v>89</v>
      </c>
      <c r="N114" t="s">
        <v>89</v>
      </c>
      <c r="O114" t="s">
        <v>9</v>
      </c>
      <c r="P114" t="s">
        <v>120</v>
      </c>
    </row>
    <row r="115" spans="1:16" hidden="1">
      <c r="A115" t="s">
        <v>102</v>
      </c>
      <c r="B115" s="1">
        <v>4503432152</v>
      </c>
      <c r="C115" t="s">
        <v>121</v>
      </c>
      <c r="D115" s="160">
        <v>558808</v>
      </c>
      <c r="F115" t="s">
        <v>178</v>
      </c>
      <c r="G115" s="4"/>
      <c r="H115" s="4"/>
      <c r="I115">
        <v>2022</v>
      </c>
      <c r="J115">
        <v>8</v>
      </c>
      <c r="K115" s="4" t="s">
        <v>174</v>
      </c>
      <c r="L115" t="s">
        <v>89</v>
      </c>
      <c r="N115" t="s">
        <v>89</v>
      </c>
      <c r="O115" t="s">
        <v>9</v>
      </c>
      <c r="P115" t="s">
        <v>122</v>
      </c>
    </row>
    <row r="116" spans="1:16" hidden="1">
      <c r="A116" t="s">
        <v>123</v>
      </c>
      <c r="B116" s="1">
        <v>4503448403</v>
      </c>
      <c r="C116" t="s">
        <v>124</v>
      </c>
      <c r="D116" s="160">
        <v>337426</v>
      </c>
      <c r="G116" s="4"/>
      <c r="H116" s="4"/>
      <c r="I116">
        <v>2022</v>
      </c>
      <c r="J116">
        <v>8</v>
      </c>
      <c r="K116" s="4" t="s">
        <v>174</v>
      </c>
      <c r="L116" t="s">
        <v>89</v>
      </c>
      <c r="N116" t="s">
        <v>89</v>
      </c>
      <c r="O116" t="s">
        <v>9</v>
      </c>
      <c r="P116" t="s">
        <v>125</v>
      </c>
    </row>
    <row r="117" spans="1:16" hidden="1">
      <c r="A117" t="s">
        <v>102</v>
      </c>
      <c r="B117" s="1">
        <v>4503489979</v>
      </c>
      <c r="C117" t="s">
        <v>144</v>
      </c>
      <c r="D117" s="160">
        <v>142970</v>
      </c>
      <c r="G117" s="4"/>
      <c r="H117" s="4"/>
      <c r="I117">
        <v>2022</v>
      </c>
      <c r="J117">
        <v>8</v>
      </c>
      <c r="K117" s="4" t="s">
        <v>174</v>
      </c>
      <c r="L117" t="s">
        <v>89</v>
      </c>
      <c r="N117" t="s">
        <v>89</v>
      </c>
      <c r="O117" t="s">
        <v>9</v>
      </c>
      <c r="P117" t="s">
        <v>145</v>
      </c>
    </row>
    <row r="118" spans="1:16" hidden="1">
      <c r="A118" t="s">
        <v>126</v>
      </c>
      <c r="B118" s="1" t="s">
        <v>127</v>
      </c>
      <c r="C118" t="s">
        <v>128</v>
      </c>
      <c r="D118" s="160">
        <v>5099104</v>
      </c>
      <c r="F118" t="s">
        <v>179</v>
      </c>
      <c r="G118" s="4"/>
      <c r="H118" s="4"/>
      <c r="I118">
        <v>2022</v>
      </c>
      <c r="J118">
        <v>8</v>
      </c>
      <c r="K118" s="4" t="s">
        <v>174</v>
      </c>
      <c r="L118" t="s">
        <v>89</v>
      </c>
      <c r="N118" t="s">
        <v>89</v>
      </c>
      <c r="O118" t="s">
        <v>9</v>
      </c>
      <c r="P118" t="s">
        <v>129</v>
      </c>
    </row>
    <row r="119" spans="1:16" hidden="1">
      <c r="A119" t="s">
        <v>126</v>
      </c>
      <c r="B119" s="1" t="s">
        <v>130</v>
      </c>
      <c r="C119" t="s">
        <v>131</v>
      </c>
      <c r="D119" s="160">
        <v>341919</v>
      </c>
      <c r="G119" s="4"/>
      <c r="H119" s="4"/>
      <c r="I119">
        <v>2022</v>
      </c>
      <c r="J119">
        <v>8</v>
      </c>
      <c r="K119" s="4" t="s">
        <v>174</v>
      </c>
      <c r="L119" t="s">
        <v>89</v>
      </c>
      <c r="N119" t="s">
        <v>89</v>
      </c>
      <c r="O119" t="s">
        <v>9</v>
      </c>
      <c r="P119" t="s">
        <v>129</v>
      </c>
    </row>
    <row r="120" spans="1:16" hidden="1">
      <c r="A120" t="s">
        <v>161</v>
      </c>
      <c r="B120" s="1" t="s">
        <v>162</v>
      </c>
      <c r="C120" t="s">
        <v>163</v>
      </c>
      <c r="D120" s="160">
        <v>23353.38</v>
      </c>
      <c r="F120" t="s">
        <v>180</v>
      </c>
      <c r="G120" s="4"/>
      <c r="H120" s="4"/>
      <c r="I120">
        <v>2022</v>
      </c>
      <c r="J120">
        <v>8</v>
      </c>
      <c r="K120" s="4" t="s">
        <v>174</v>
      </c>
      <c r="L120" t="s">
        <v>89</v>
      </c>
      <c r="N120" t="s">
        <v>89</v>
      </c>
      <c r="O120" t="s">
        <v>18</v>
      </c>
      <c r="P120" t="s">
        <v>164</v>
      </c>
    </row>
    <row r="121" spans="1:16" hidden="1">
      <c r="A121" t="s">
        <v>165</v>
      </c>
      <c r="B121" s="1" t="s">
        <v>166</v>
      </c>
      <c r="C121" t="s">
        <v>167</v>
      </c>
      <c r="D121" s="160">
        <v>1051201.52</v>
      </c>
      <c r="F121" t="s">
        <v>181</v>
      </c>
      <c r="G121" s="4">
        <v>44824</v>
      </c>
      <c r="H121" s="4"/>
      <c r="I121">
        <v>2022</v>
      </c>
      <c r="J121">
        <v>8</v>
      </c>
      <c r="K121" s="4" t="s">
        <v>174</v>
      </c>
      <c r="L121" t="s">
        <v>89</v>
      </c>
      <c r="N121" t="s">
        <v>89</v>
      </c>
      <c r="O121" t="s">
        <v>18</v>
      </c>
      <c r="P121" t="s">
        <v>169</v>
      </c>
    </row>
    <row r="122" spans="1:16" hidden="1">
      <c r="A122" t="s">
        <v>146</v>
      </c>
      <c r="B122" s="1" t="s">
        <v>147</v>
      </c>
      <c r="C122" t="s">
        <v>148</v>
      </c>
      <c r="D122" s="160">
        <v>29174.5</v>
      </c>
      <c r="G122" s="4"/>
      <c r="H122" s="4"/>
      <c r="I122">
        <v>2022</v>
      </c>
      <c r="J122">
        <v>8</v>
      </c>
      <c r="K122" s="4" t="s">
        <v>174</v>
      </c>
      <c r="L122" t="s">
        <v>89</v>
      </c>
      <c r="N122" t="s">
        <v>89</v>
      </c>
      <c r="O122" t="s">
        <v>18</v>
      </c>
      <c r="P122" t="s">
        <v>149</v>
      </c>
    </row>
    <row r="123" spans="1:16" hidden="1">
      <c r="A123" t="s">
        <v>86</v>
      </c>
      <c r="B123" s="1">
        <v>4503243471</v>
      </c>
      <c r="C123" t="s">
        <v>99</v>
      </c>
      <c r="D123" s="160">
        <v>6081.6</v>
      </c>
      <c r="G123" s="4"/>
      <c r="H123" s="4"/>
      <c r="I123">
        <v>2022</v>
      </c>
      <c r="J123">
        <v>9</v>
      </c>
      <c r="K123" s="4" t="s">
        <v>182</v>
      </c>
      <c r="L123" t="s">
        <v>89</v>
      </c>
      <c r="N123" t="s">
        <v>89</v>
      </c>
      <c r="O123" t="s">
        <v>9</v>
      </c>
      <c r="P123" t="s">
        <v>100</v>
      </c>
    </row>
    <row r="124" spans="1:16" hidden="1">
      <c r="A124" t="s">
        <v>102</v>
      </c>
      <c r="B124" s="1">
        <v>4503290109</v>
      </c>
      <c r="C124" t="s">
        <v>103</v>
      </c>
      <c r="D124" s="160">
        <v>4081209</v>
      </c>
      <c r="G124" s="4"/>
      <c r="H124" s="4"/>
      <c r="I124">
        <v>2022</v>
      </c>
      <c r="J124">
        <v>9</v>
      </c>
      <c r="K124" s="4" t="s">
        <v>182</v>
      </c>
      <c r="L124" t="s">
        <v>89</v>
      </c>
      <c r="N124" t="s">
        <v>89</v>
      </c>
      <c r="O124" t="s">
        <v>9</v>
      </c>
      <c r="P124" t="s">
        <v>104</v>
      </c>
    </row>
    <row r="125" spans="1:16" hidden="1">
      <c r="A125" t="s">
        <v>102</v>
      </c>
      <c r="B125" s="1">
        <v>4503312319</v>
      </c>
      <c r="C125" t="s">
        <v>110</v>
      </c>
      <c r="D125" s="160">
        <v>709523</v>
      </c>
      <c r="F125" t="s">
        <v>183</v>
      </c>
      <c r="G125" s="4"/>
      <c r="H125" s="4"/>
      <c r="I125">
        <v>2022</v>
      </c>
      <c r="J125">
        <v>9</v>
      </c>
      <c r="K125" s="4" t="s">
        <v>182</v>
      </c>
      <c r="L125" t="s">
        <v>89</v>
      </c>
      <c r="N125" t="s">
        <v>89</v>
      </c>
      <c r="O125" t="s">
        <v>9</v>
      </c>
      <c r="P125" t="s">
        <v>111</v>
      </c>
    </row>
    <row r="126" spans="1:16" hidden="1">
      <c r="A126" t="s">
        <v>116</v>
      </c>
      <c r="B126" s="1">
        <v>4503428513</v>
      </c>
      <c r="C126" t="s">
        <v>117</v>
      </c>
      <c r="D126" s="160">
        <v>92956</v>
      </c>
      <c r="F126" t="s">
        <v>184</v>
      </c>
      <c r="G126" s="4"/>
      <c r="H126" s="4"/>
      <c r="I126">
        <v>2022</v>
      </c>
      <c r="J126">
        <v>9</v>
      </c>
      <c r="K126" s="4" t="s">
        <v>182</v>
      </c>
      <c r="L126" t="s">
        <v>89</v>
      </c>
      <c r="N126" t="s">
        <v>89</v>
      </c>
      <c r="O126" t="s">
        <v>9</v>
      </c>
      <c r="P126" t="s">
        <v>118</v>
      </c>
    </row>
    <row r="127" spans="1:16" hidden="1">
      <c r="A127" t="s">
        <v>102</v>
      </c>
      <c r="B127" s="1">
        <v>4503432118</v>
      </c>
      <c r="C127" t="s">
        <v>119</v>
      </c>
      <c r="D127" s="160">
        <v>8199264</v>
      </c>
      <c r="F127" t="s">
        <v>185</v>
      </c>
      <c r="G127" s="4"/>
      <c r="H127" s="4"/>
      <c r="I127">
        <v>2022</v>
      </c>
      <c r="J127">
        <v>9</v>
      </c>
      <c r="K127" s="4" t="s">
        <v>182</v>
      </c>
      <c r="L127" t="s">
        <v>89</v>
      </c>
      <c r="N127" t="s">
        <v>89</v>
      </c>
      <c r="O127" t="s">
        <v>9</v>
      </c>
      <c r="P127" t="s">
        <v>120</v>
      </c>
    </row>
    <row r="128" spans="1:16" hidden="1">
      <c r="A128" t="s">
        <v>102</v>
      </c>
      <c r="B128" s="1">
        <v>4503432152</v>
      </c>
      <c r="C128" t="s">
        <v>121</v>
      </c>
      <c r="D128" s="160">
        <v>324161</v>
      </c>
      <c r="F128" t="s">
        <v>186</v>
      </c>
      <c r="G128" s="4"/>
      <c r="H128" s="4"/>
      <c r="I128">
        <v>2022</v>
      </c>
      <c r="J128">
        <v>9</v>
      </c>
      <c r="K128" s="4" t="s">
        <v>182</v>
      </c>
      <c r="L128" t="s">
        <v>89</v>
      </c>
      <c r="N128" t="s">
        <v>89</v>
      </c>
      <c r="O128" t="s">
        <v>9</v>
      </c>
      <c r="P128" t="s">
        <v>122</v>
      </c>
    </row>
    <row r="129" spans="1:16" hidden="1">
      <c r="A129" t="s">
        <v>139</v>
      </c>
      <c r="B129" s="1">
        <v>4503441102</v>
      </c>
      <c r="C129" t="s">
        <v>140</v>
      </c>
      <c r="D129" s="160">
        <v>143300</v>
      </c>
      <c r="E129">
        <v>8010</v>
      </c>
      <c r="G129" s="4"/>
      <c r="H129" s="4"/>
      <c r="I129">
        <v>2022</v>
      </c>
      <c r="J129">
        <v>9</v>
      </c>
      <c r="K129" s="4" t="s">
        <v>182</v>
      </c>
      <c r="L129" t="s">
        <v>89</v>
      </c>
      <c r="N129" t="s">
        <v>89</v>
      </c>
      <c r="O129" t="s">
        <v>9</v>
      </c>
      <c r="P129" t="s">
        <v>141</v>
      </c>
    </row>
    <row r="130" spans="1:16" hidden="1">
      <c r="A130" t="s">
        <v>123</v>
      </c>
      <c r="B130" s="1">
        <v>4503448403</v>
      </c>
      <c r="C130" t="s">
        <v>124</v>
      </c>
      <c r="D130" s="160">
        <v>359447</v>
      </c>
      <c r="G130" s="4"/>
      <c r="H130" s="4"/>
      <c r="I130">
        <v>2022</v>
      </c>
      <c r="J130">
        <v>9</v>
      </c>
      <c r="K130" s="4" t="s">
        <v>182</v>
      </c>
      <c r="L130" t="s">
        <v>89</v>
      </c>
      <c r="N130" t="s">
        <v>89</v>
      </c>
      <c r="O130" t="s">
        <v>9</v>
      </c>
      <c r="P130" t="s">
        <v>125</v>
      </c>
    </row>
    <row r="131" spans="1:16" hidden="1">
      <c r="A131" t="s">
        <v>187</v>
      </c>
      <c r="B131" s="1">
        <v>4590000334</v>
      </c>
      <c r="C131" t="s">
        <v>188</v>
      </c>
      <c r="D131" s="160">
        <v>37662</v>
      </c>
      <c r="E131">
        <v>2105.31</v>
      </c>
      <c r="F131" t="s">
        <v>189</v>
      </c>
      <c r="G131" s="4"/>
      <c r="H131" s="4"/>
      <c r="I131">
        <v>2022</v>
      </c>
      <c r="J131">
        <v>9</v>
      </c>
      <c r="K131" s="4" t="s">
        <v>182</v>
      </c>
      <c r="L131" t="s">
        <v>89</v>
      </c>
      <c r="N131" t="s">
        <v>89</v>
      </c>
      <c r="O131" t="s">
        <v>11</v>
      </c>
      <c r="P131" t="s">
        <v>190</v>
      </c>
    </row>
    <row r="132" spans="1:16" hidden="1">
      <c r="A132" t="s">
        <v>139</v>
      </c>
      <c r="B132" s="1">
        <v>4590000540</v>
      </c>
      <c r="C132" t="s">
        <v>157</v>
      </c>
      <c r="D132" s="160">
        <v>931566</v>
      </c>
      <c r="E132">
        <v>52075</v>
      </c>
      <c r="G132" s="4"/>
      <c r="H132" s="4"/>
      <c r="I132">
        <v>2022</v>
      </c>
      <c r="J132">
        <v>9</v>
      </c>
      <c r="K132" s="4" t="s">
        <v>182</v>
      </c>
      <c r="L132" t="s">
        <v>89</v>
      </c>
      <c r="N132" t="s">
        <v>89</v>
      </c>
      <c r="O132" t="s">
        <v>9</v>
      </c>
      <c r="P132" t="s">
        <v>156</v>
      </c>
    </row>
    <row r="133" spans="1:16" hidden="1">
      <c r="A133" t="s">
        <v>139</v>
      </c>
      <c r="B133" s="1">
        <v>4590000624</v>
      </c>
      <c r="C133" t="s">
        <v>191</v>
      </c>
      <c r="D133" s="160">
        <v>31440</v>
      </c>
      <c r="E133">
        <v>1758</v>
      </c>
      <c r="F133" t="s">
        <v>192</v>
      </c>
      <c r="G133" s="4"/>
      <c r="H133" s="4"/>
      <c r="I133">
        <v>2022</v>
      </c>
      <c r="J133">
        <v>9</v>
      </c>
      <c r="K133" s="4" t="s">
        <v>182</v>
      </c>
      <c r="L133" t="s">
        <v>89</v>
      </c>
      <c r="N133" t="s">
        <v>89</v>
      </c>
      <c r="O133" t="s">
        <v>9</v>
      </c>
      <c r="P133" t="s">
        <v>193</v>
      </c>
    </row>
    <row r="134" spans="1:16" hidden="1">
      <c r="A134" t="s">
        <v>102</v>
      </c>
      <c r="B134" s="1">
        <v>4590005093</v>
      </c>
      <c r="C134" t="s">
        <v>194</v>
      </c>
      <c r="D134" s="160">
        <v>190340</v>
      </c>
      <c r="F134" t="s">
        <v>195</v>
      </c>
      <c r="G134" s="4"/>
      <c r="H134" s="4"/>
      <c r="I134">
        <v>2022</v>
      </c>
      <c r="J134">
        <v>9</v>
      </c>
      <c r="K134" s="4" t="s">
        <v>182</v>
      </c>
      <c r="L134" t="s">
        <v>89</v>
      </c>
      <c r="N134" t="s">
        <v>89</v>
      </c>
      <c r="O134" t="s">
        <v>9</v>
      </c>
      <c r="P134" t="s">
        <v>196</v>
      </c>
    </row>
    <row r="135" spans="1:16" hidden="1">
      <c r="A135" t="s">
        <v>102</v>
      </c>
      <c r="B135" s="1">
        <v>4590005240</v>
      </c>
      <c r="C135" t="s">
        <v>197</v>
      </c>
      <c r="D135" s="160">
        <v>176648</v>
      </c>
      <c r="E135">
        <v>9874.6200000000008</v>
      </c>
      <c r="F135" t="s">
        <v>198</v>
      </c>
      <c r="G135" s="4"/>
      <c r="H135" s="4"/>
      <c r="I135">
        <v>2022</v>
      </c>
      <c r="J135">
        <v>9</v>
      </c>
      <c r="K135" s="4" t="s">
        <v>182</v>
      </c>
      <c r="L135" t="s">
        <v>89</v>
      </c>
      <c r="N135" t="s">
        <v>89</v>
      </c>
      <c r="O135" t="s">
        <v>9</v>
      </c>
      <c r="P135" t="s">
        <v>199</v>
      </c>
    </row>
    <row r="136" spans="1:16" hidden="1">
      <c r="A136" t="s">
        <v>126</v>
      </c>
      <c r="B136" s="1" t="s">
        <v>127</v>
      </c>
      <c r="C136" t="s">
        <v>128</v>
      </c>
      <c r="D136" s="160">
        <v>6538191</v>
      </c>
      <c r="F136" t="s">
        <v>200</v>
      </c>
      <c r="G136" s="4"/>
      <c r="H136" s="4"/>
      <c r="I136">
        <v>2022</v>
      </c>
      <c r="J136">
        <v>9</v>
      </c>
      <c r="K136" s="4" t="s">
        <v>182</v>
      </c>
      <c r="L136" t="s">
        <v>89</v>
      </c>
      <c r="N136" t="s">
        <v>89</v>
      </c>
      <c r="O136" t="s">
        <v>9</v>
      </c>
      <c r="P136" t="s">
        <v>129</v>
      </c>
    </row>
    <row r="137" spans="1:16" hidden="1">
      <c r="A137" t="s">
        <v>126</v>
      </c>
      <c r="B137" s="1" t="s">
        <v>130</v>
      </c>
      <c r="C137" t="s">
        <v>131</v>
      </c>
      <c r="D137" s="160">
        <v>970270</v>
      </c>
      <c r="G137" s="4"/>
      <c r="H137" s="4"/>
      <c r="I137">
        <v>2022</v>
      </c>
      <c r="J137">
        <v>9</v>
      </c>
      <c r="K137" s="4" t="s">
        <v>182</v>
      </c>
      <c r="L137" t="s">
        <v>89</v>
      </c>
      <c r="N137" t="s">
        <v>89</v>
      </c>
      <c r="O137" t="s">
        <v>9</v>
      </c>
      <c r="P137" t="s">
        <v>129</v>
      </c>
    </row>
    <row r="138" spans="1:16" hidden="1">
      <c r="A138" t="s">
        <v>123</v>
      </c>
      <c r="B138" s="1" t="s">
        <v>201</v>
      </c>
      <c r="C138" t="s">
        <v>202</v>
      </c>
      <c r="D138" s="160">
        <v>688208</v>
      </c>
      <c r="F138" t="s">
        <v>203</v>
      </c>
      <c r="G138" s="4"/>
      <c r="H138" s="4"/>
      <c r="I138">
        <v>2022</v>
      </c>
      <c r="J138">
        <v>9</v>
      </c>
      <c r="K138" s="4" t="s">
        <v>182</v>
      </c>
      <c r="L138" t="s">
        <v>89</v>
      </c>
      <c r="N138" t="s">
        <v>89</v>
      </c>
      <c r="O138" t="s">
        <v>11</v>
      </c>
      <c r="P138" t="s">
        <v>190</v>
      </c>
    </row>
    <row r="139" spans="1:16" hidden="1">
      <c r="A139" t="s">
        <v>123</v>
      </c>
      <c r="B139" s="1" t="s">
        <v>204</v>
      </c>
      <c r="C139" t="s">
        <v>205</v>
      </c>
      <c r="D139" s="160">
        <v>778836</v>
      </c>
      <c r="G139" s="4"/>
      <c r="H139" s="4"/>
      <c r="I139">
        <v>2022</v>
      </c>
      <c r="J139">
        <v>9</v>
      </c>
      <c r="K139" s="4" t="s">
        <v>182</v>
      </c>
      <c r="L139" t="s">
        <v>89</v>
      </c>
      <c r="N139" t="s">
        <v>89</v>
      </c>
      <c r="O139" t="s">
        <v>11</v>
      </c>
      <c r="P139" t="s">
        <v>190</v>
      </c>
    </row>
    <row r="140" spans="1:16" hidden="1">
      <c r="A140" t="s">
        <v>161</v>
      </c>
      <c r="B140" s="1" t="s">
        <v>162</v>
      </c>
      <c r="C140" t="s">
        <v>163</v>
      </c>
      <c r="D140" s="160">
        <v>402176.64</v>
      </c>
      <c r="G140" s="4"/>
      <c r="H140" s="4"/>
      <c r="I140">
        <v>2022</v>
      </c>
      <c r="J140">
        <v>9</v>
      </c>
      <c r="K140" s="4" t="s">
        <v>182</v>
      </c>
      <c r="L140" t="s">
        <v>89</v>
      </c>
      <c r="N140" t="s">
        <v>89</v>
      </c>
      <c r="O140" t="s">
        <v>18</v>
      </c>
      <c r="P140" t="s">
        <v>164</v>
      </c>
    </row>
    <row r="141" spans="1:16" hidden="1">
      <c r="A141" t="s">
        <v>165</v>
      </c>
      <c r="B141" s="1" t="s">
        <v>166</v>
      </c>
      <c r="C141" t="s">
        <v>167</v>
      </c>
      <c r="D141" s="160">
        <v>489510.59</v>
      </c>
      <c r="F141" t="s">
        <v>206</v>
      </c>
      <c r="G141" s="4">
        <v>44844</v>
      </c>
      <c r="H141" s="4"/>
      <c r="I141">
        <v>2022</v>
      </c>
      <c r="J141">
        <v>9</v>
      </c>
      <c r="K141" s="4" t="s">
        <v>182</v>
      </c>
      <c r="L141" t="s">
        <v>89</v>
      </c>
      <c r="N141" t="s">
        <v>89</v>
      </c>
      <c r="O141" t="s">
        <v>18</v>
      </c>
      <c r="P141" t="s">
        <v>169</v>
      </c>
    </row>
    <row r="142" spans="1:16" hidden="1">
      <c r="A142" t="s">
        <v>146</v>
      </c>
      <c r="B142" s="1" t="s">
        <v>147</v>
      </c>
      <c r="C142" t="s">
        <v>148</v>
      </c>
      <c r="D142" s="160">
        <v>29174.5</v>
      </c>
      <c r="G142" s="4"/>
      <c r="H142" s="4"/>
      <c r="I142">
        <v>2022</v>
      </c>
      <c r="J142">
        <v>9</v>
      </c>
      <c r="K142" s="4" t="s">
        <v>182</v>
      </c>
      <c r="L142" t="s">
        <v>89</v>
      </c>
      <c r="N142" t="s">
        <v>89</v>
      </c>
      <c r="O142" t="s">
        <v>18</v>
      </c>
      <c r="P142" t="s">
        <v>149</v>
      </c>
    </row>
    <row r="143" spans="1:16" hidden="1">
      <c r="A143" t="s">
        <v>207</v>
      </c>
      <c r="B143" s="1">
        <v>330</v>
      </c>
      <c r="C143" t="s">
        <v>208</v>
      </c>
      <c r="D143" s="160">
        <v>179319.7</v>
      </c>
      <c r="G143" s="4"/>
      <c r="H143" s="4"/>
      <c r="I143">
        <v>2022</v>
      </c>
      <c r="J143">
        <v>10</v>
      </c>
      <c r="K143" s="4" t="s">
        <v>209</v>
      </c>
      <c r="L143" t="s">
        <v>89</v>
      </c>
      <c r="N143" t="s">
        <v>89</v>
      </c>
      <c r="O143" t="s">
        <v>18</v>
      </c>
      <c r="P143" t="s">
        <v>210</v>
      </c>
    </row>
    <row r="144" spans="1:16" hidden="1">
      <c r="A144" t="s">
        <v>86</v>
      </c>
      <c r="B144" s="1">
        <v>4503243471</v>
      </c>
      <c r="C144" t="s">
        <v>99</v>
      </c>
      <c r="D144" s="160">
        <v>6081.6</v>
      </c>
      <c r="G144" s="4"/>
      <c r="H144" s="4"/>
      <c r="I144">
        <v>2022</v>
      </c>
      <c r="J144">
        <v>10</v>
      </c>
      <c r="K144" s="4" t="s">
        <v>209</v>
      </c>
      <c r="L144" t="s">
        <v>89</v>
      </c>
      <c r="N144" t="s">
        <v>89</v>
      </c>
      <c r="O144" t="s">
        <v>9</v>
      </c>
      <c r="P144" t="s">
        <v>100</v>
      </c>
    </row>
    <row r="145" spans="1:16" hidden="1">
      <c r="A145" t="s">
        <v>102</v>
      </c>
      <c r="B145" s="1">
        <v>4503290109</v>
      </c>
      <c r="C145" t="s">
        <v>103</v>
      </c>
      <c r="D145" s="160">
        <v>11973093</v>
      </c>
      <c r="F145" t="s">
        <v>211</v>
      </c>
      <c r="G145" s="4"/>
      <c r="H145" s="4"/>
      <c r="I145">
        <v>2022</v>
      </c>
      <c r="J145">
        <v>10</v>
      </c>
      <c r="K145" s="4" t="s">
        <v>209</v>
      </c>
      <c r="L145" t="s">
        <v>89</v>
      </c>
      <c r="N145" t="s">
        <v>89</v>
      </c>
      <c r="O145" t="s">
        <v>9</v>
      </c>
      <c r="P145" t="s">
        <v>104</v>
      </c>
    </row>
    <row r="146" spans="1:16" hidden="1">
      <c r="A146" t="s">
        <v>102</v>
      </c>
      <c r="B146" s="1">
        <v>4503312319</v>
      </c>
      <c r="C146" t="s">
        <v>110</v>
      </c>
      <c r="D146" s="160">
        <v>554350</v>
      </c>
      <c r="F146" t="s">
        <v>212</v>
      </c>
      <c r="G146" s="4"/>
      <c r="H146" s="4"/>
      <c r="I146">
        <v>2022</v>
      </c>
      <c r="J146">
        <v>10</v>
      </c>
      <c r="K146" s="4" t="s">
        <v>209</v>
      </c>
      <c r="L146" t="s">
        <v>89</v>
      </c>
      <c r="N146" t="s">
        <v>89</v>
      </c>
      <c r="O146" t="s">
        <v>9</v>
      </c>
      <c r="P146" t="s">
        <v>111</v>
      </c>
    </row>
    <row r="147" spans="1:16" hidden="1">
      <c r="A147" t="s">
        <v>116</v>
      </c>
      <c r="B147" s="1">
        <v>4503428513</v>
      </c>
      <c r="C147" t="s">
        <v>117</v>
      </c>
      <c r="D147" s="160">
        <v>368183</v>
      </c>
      <c r="F147" t="s">
        <v>213</v>
      </c>
      <c r="G147" s="4"/>
      <c r="H147" s="4"/>
      <c r="I147">
        <v>2022</v>
      </c>
      <c r="J147">
        <v>10</v>
      </c>
      <c r="K147" s="4" t="s">
        <v>209</v>
      </c>
      <c r="L147" t="s">
        <v>89</v>
      </c>
      <c r="N147" t="s">
        <v>89</v>
      </c>
      <c r="O147" t="s">
        <v>9</v>
      </c>
      <c r="P147" t="s">
        <v>118</v>
      </c>
    </row>
    <row r="148" spans="1:16" hidden="1">
      <c r="A148" t="s">
        <v>102</v>
      </c>
      <c r="B148" s="1">
        <v>4503432118</v>
      </c>
      <c r="C148" t="s">
        <v>119</v>
      </c>
      <c r="D148" s="160">
        <v>6713178</v>
      </c>
      <c r="F148" t="s">
        <v>214</v>
      </c>
      <c r="G148" s="4"/>
      <c r="H148" s="4"/>
      <c r="I148">
        <v>2022</v>
      </c>
      <c r="J148">
        <v>10</v>
      </c>
      <c r="K148" s="4" t="s">
        <v>209</v>
      </c>
      <c r="L148" t="s">
        <v>89</v>
      </c>
      <c r="N148" t="s">
        <v>89</v>
      </c>
      <c r="O148" t="s">
        <v>9</v>
      </c>
      <c r="P148" t="s">
        <v>120</v>
      </c>
    </row>
    <row r="149" spans="1:16" hidden="1">
      <c r="A149" t="s">
        <v>102</v>
      </c>
      <c r="B149" s="1">
        <v>4503432152</v>
      </c>
      <c r="C149" t="s">
        <v>121</v>
      </c>
      <c r="D149" s="160">
        <v>505269</v>
      </c>
      <c r="F149" t="s">
        <v>215</v>
      </c>
      <c r="G149" s="4"/>
      <c r="H149" s="4"/>
      <c r="I149">
        <v>2022</v>
      </c>
      <c r="J149">
        <v>10</v>
      </c>
      <c r="K149" s="4" t="s">
        <v>209</v>
      </c>
      <c r="L149" t="s">
        <v>89</v>
      </c>
      <c r="N149" t="s">
        <v>89</v>
      </c>
      <c r="O149" t="s">
        <v>9</v>
      </c>
      <c r="P149" t="s">
        <v>122</v>
      </c>
    </row>
    <row r="150" spans="1:16" hidden="1">
      <c r="A150" t="s">
        <v>139</v>
      </c>
      <c r="B150" s="1">
        <v>4503441102</v>
      </c>
      <c r="C150" t="s">
        <v>140</v>
      </c>
      <c r="D150" s="160">
        <v>101643</v>
      </c>
      <c r="E150">
        <v>5682</v>
      </c>
      <c r="G150" s="4"/>
      <c r="H150" s="4"/>
      <c r="I150">
        <v>2022</v>
      </c>
      <c r="J150">
        <v>10</v>
      </c>
      <c r="K150" s="4" t="s">
        <v>209</v>
      </c>
      <c r="L150" t="s">
        <v>89</v>
      </c>
      <c r="N150" t="s">
        <v>89</v>
      </c>
      <c r="O150" t="s">
        <v>9</v>
      </c>
      <c r="P150" t="s">
        <v>141</v>
      </c>
    </row>
    <row r="151" spans="1:16" hidden="1">
      <c r="A151" t="s">
        <v>123</v>
      </c>
      <c r="B151" s="1">
        <v>4503448403</v>
      </c>
      <c r="C151" t="s">
        <v>124</v>
      </c>
      <c r="D151" s="160">
        <v>1192072</v>
      </c>
      <c r="F151" t="s">
        <v>216</v>
      </c>
      <c r="G151" s="4"/>
      <c r="H151" s="4"/>
      <c r="I151">
        <v>2022</v>
      </c>
      <c r="J151">
        <v>10</v>
      </c>
      <c r="K151" s="4" t="s">
        <v>209</v>
      </c>
      <c r="L151" t="s">
        <v>89</v>
      </c>
      <c r="N151" t="s">
        <v>89</v>
      </c>
      <c r="O151" t="s">
        <v>9</v>
      </c>
      <c r="P151" t="s">
        <v>125</v>
      </c>
    </row>
    <row r="152" spans="1:16" hidden="1">
      <c r="A152" t="s">
        <v>102</v>
      </c>
      <c r="B152" s="1">
        <v>4503489979</v>
      </c>
      <c r="C152" t="s">
        <v>144</v>
      </c>
      <c r="D152" s="160">
        <v>95196</v>
      </c>
      <c r="F152" t="s">
        <v>217</v>
      </c>
      <c r="G152" s="4"/>
      <c r="H152" s="4"/>
      <c r="I152">
        <v>2022</v>
      </c>
      <c r="J152">
        <v>10</v>
      </c>
      <c r="K152" s="4" t="s">
        <v>209</v>
      </c>
      <c r="L152" t="s">
        <v>89</v>
      </c>
      <c r="N152" t="s">
        <v>89</v>
      </c>
      <c r="O152" t="s">
        <v>9</v>
      </c>
      <c r="P152" t="s">
        <v>145</v>
      </c>
    </row>
    <row r="153" spans="1:16" hidden="1">
      <c r="A153" t="s">
        <v>187</v>
      </c>
      <c r="B153" s="1">
        <v>4590000334</v>
      </c>
      <c r="C153" t="s">
        <v>188</v>
      </c>
      <c r="D153" s="160">
        <v>115148</v>
      </c>
      <c r="E153">
        <v>6436.77</v>
      </c>
      <c r="F153" t="s">
        <v>218</v>
      </c>
      <c r="G153" s="4"/>
      <c r="H153" s="4"/>
      <c r="I153">
        <v>2022</v>
      </c>
      <c r="J153">
        <v>10</v>
      </c>
      <c r="K153" s="4" t="s">
        <v>209</v>
      </c>
      <c r="L153" t="s">
        <v>89</v>
      </c>
      <c r="N153" t="s">
        <v>89</v>
      </c>
      <c r="O153" t="s">
        <v>11</v>
      </c>
      <c r="P153" t="s">
        <v>190</v>
      </c>
    </row>
    <row r="154" spans="1:16" hidden="1">
      <c r="A154" t="s">
        <v>219</v>
      </c>
      <c r="B154" s="1">
        <v>4590000425</v>
      </c>
      <c r="C154" t="s">
        <v>220</v>
      </c>
      <c r="D154" s="160">
        <v>474502</v>
      </c>
      <c r="E154">
        <v>26525</v>
      </c>
      <c r="F154" t="s">
        <v>221</v>
      </c>
      <c r="G154" s="4"/>
      <c r="H154" s="4"/>
      <c r="I154">
        <v>2022</v>
      </c>
      <c r="J154">
        <v>10</v>
      </c>
      <c r="K154" s="4" t="s">
        <v>209</v>
      </c>
      <c r="L154" t="s">
        <v>89</v>
      </c>
      <c r="N154" t="s">
        <v>89</v>
      </c>
      <c r="O154" t="s">
        <v>13</v>
      </c>
      <c r="P154" t="s">
        <v>222</v>
      </c>
    </row>
    <row r="155" spans="1:16" hidden="1">
      <c r="A155" t="s">
        <v>139</v>
      </c>
      <c r="B155" s="1">
        <v>4590000540</v>
      </c>
      <c r="C155" t="s">
        <v>157</v>
      </c>
      <c r="D155" s="160">
        <v>673864</v>
      </c>
      <c r="E155">
        <v>37669</v>
      </c>
      <c r="G155" s="4"/>
      <c r="H155" s="4"/>
      <c r="I155">
        <v>2022</v>
      </c>
      <c r="J155">
        <v>10</v>
      </c>
      <c r="K155" s="4" t="s">
        <v>209</v>
      </c>
      <c r="L155" t="s">
        <v>89</v>
      </c>
      <c r="N155" t="s">
        <v>89</v>
      </c>
      <c r="O155" t="s">
        <v>9</v>
      </c>
      <c r="P155" t="s">
        <v>156</v>
      </c>
    </row>
    <row r="156" spans="1:16" hidden="1">
      <c r="A156" t="s">
        <v>102</v>
      </c>
      <c r="B156" s="1">
        <v>4590004028</v>
      </c>
      <c r="C156" t="s">
        <v>223</v>
      </c>
      <c r="D156" s="160">
        <v>104411.2</v>
      </c>
      <c r="G156" s="4"/>
      <c r="H156" s="4"/>
      <c r="I156">
        <v>2022</v>
      </c>
      <c r="J156">
        <v>10</v>
      </c>
      <c r="K156" s="4" t="s">
        <v>209</v>
      </c>
      <c r="L156" t="s">
        <v>89</v>
      </c>
      <c r="N156" t="s">
        <v>89</v>
      </c>
      <c r="O156" t="s">
        <v>11</v>
      </c>
      <c r="P156" t="s">
        <v>104</v>
      </c>
    </row>
    <row r="157" spans="1:16" hidden="1">
      <c r="A157" t="s">
        <v>102</v>
      </c>
      <c r="B157" s="1">
        <v>4590005093</v>
      </c>
      <c r="C157" t="s">
        <v>194</v>
      </c>
      <c r="D157" s="160">
        <v>14641</v>
      </c>
      <c r="F157" t="s">
        <v>224</v>
      </c>
      <c r="G157" s="4"/>
      <c r="H157" s="4"/>
      <c r="I157">
        <v>2022</v>
      </c>
      <c r="J157">
        <v>10</v>
      </c>
      <c r="K157" s="4" t="s">
        <v>209</v>
      </c>
      <c r="L157" t="s">
        <v>89</v>
      </c>
      <c r="N157" t="s">
        <v>89</v>
      </c>
      <c r="O157" t="s">
        <v>9</v>
      </c>
      <c r="P157" t="s">
        <v>196</v>
      </c>
    </row>
    <row r="158" spans="1:16" hidden="1">
      <c r="A158" t="s">
        <v>102</v>
      </c>
      <c r="B158" s="1">
        <v>4590005240</v>
      </c>
      <c r="C158" t="s">
        <v>197</v>
      </c>
      <c r="D158" s="160">
        <v>132082</v>
      </c>
      <c r="E158">
        <v>7383.38</v>
      </c>
      <c r="F158" t="s">
        <v>225</v>
      </c>
      <c r="G158" s="4"/>
      <c r="H158" s="4"/>
      <c r="I158">
        <v>2022</v>
      </c>
      <c r="J158">
        <v>10</v>
      </c>
      <c r="K158" s="4" t="s">
        <v>209</v>
      </c>
      <c r="L158" t="s">
        <v>89</v>
      </c>
      <c r="N158" t="s">
        <v>89</v>
      </c>
      <c r="O158" t="s">
        <v>9</v>
      </c>
      <c r="P158" t="s">
        <v>199</v>
      </c>
    </row>
    <row r="159" spans="1:16" hidden="1">
      <c r="A159" t="s">
        <v>86</v>
      </c>
      <c r="B159" s="1">
        <v>4590006707</v>
      </c>
      <c r="C159" t="s">
        <v>226</v>
      </c>
      <c r="D159" s="160">
        <v>871165</v>
      </c>
      <c r="E159">
        <v>74920.240000000005</v>
      </c>
      <c r="G159" s="4"/>
      <c r="H159" s="4"/>
      <c r="I159">
        <v>2022</v>
      </c>
      <c r="J159">
        <v>10</v>
      </c>
      <c r="K159" s="4" t="s">
        <v>209</v>
      </c>
      <c r="L159" t="s">
        <v>89</v>
      </c>
      <c r="N159" t="s">
        <v>89</v>
      </c>
      <c r="O159" t="s">
        <v>13</v>
      </c>
      <c r="P159" t="s">
        <v>227</v>
      </c>
    </row>
    <row r="160" spans="1:16" hidden="1">
      <c r="A160" t="s">
        <v>126</v>
      </c>
      <c r="B160" s="1" t="s">
        <v>127</v>
      </c>
      <c r="C160" t="s">
        <v>128</v>
      </c>
      <c r="D160" s="160">
        <v>14271658</v>
      </c>
      <c r="F160" t="s">
        <v>228</v>
      </c>
      <c r="G160" s="4"/>
      <c r="H160" s="4"/>
      <c r="I160">
        <v>2022</v>
      </c>
      <c r="J160">
        <v>10</v>
      </c>
      <c r="K160" s="4" t="s">
        <v>209</v>
      </c>
      <c r="L160" t="s">
        <v>89</v>
      </c>
      <c r="N160" t="s">
        <v>89</v>
      </c>
      <c r="O160" t="s">
        <v>9</v>
      </c>
      <c r="P160" t="s">
        <v>129</v>
      </c>
    </row>
    <row r="161" spans="1:16" hidden="1">
      <c r="A161" t="s">
        <v>126</v>
      </c>
      <c r="B161" s="1" t="s">
        <v>130</v>
      </c>
      <c r="C161" t="s">
        <v>131</v>
      </c>
      <c r="D161" s="160">
        <v>3022943</v>
      </c>
      <c r="F161" t="s">
        <v>229</v>
      </c>
      <c r="G161" s="4"/>
      <c r="H161" s="4"/>
      <c r="I161">
        <v>2022</v>
      </c>
      <c r="J161">
        <v>10</v>
      </c>
      <c r="K161" s="4" t="s">
        <v>209</v>
      </c>
      <c r="L161" t="s">
        <v>89</v>
      </c>
      <c r="N161" t="s">
        <v>89</v>
      </c>
      <c r="O161" t="s">
        <v>9</v>
      </c>
      <c r="P161" t="s">
        <v>129</v>
      </c>
    </row>
    <row r="162" spans="1:16" hidden="1">
      <c r="A162" t="s">
        <v>132</v>
      </c>
      <c r="B162" s="1" t="s">
        <v>133</v>
      </c>
      <c r="C162" t="s">
        <v>134</v>
      </c>
      <c r="D162" s="160">
        <v>633325</v>
      </c>
      <c r="F162" t="s">
        <v>230</v>
      </c>
      <c r="G162" s="4"/>
      <c r="H162" s="4"/>
      <c r="I162">
        <v>2022</v>
      </c>
      <c r="J162">
        <v>10</v>
      </c>
      <c r="K162" s="4" t="s">
        <v>209</v>
      </c>
      <c r="L162" t="s">
        <v>89</v>
      </c>
      <c r="N162" t="s">
        <v>89</v>
      </c>
      <c r="O162" t="s">
        <v>9</v>
      </c>
      <c r="P162" t="s">
        <v>135</v>
      </c>
    </row>
    <row r="163" spans="1:16" hidden="1">
      <c r="A163" t="s">
        <v>132</v>
      </c>
      <c r="B163" s="1" t="s">
        <v>136</v>
      </c>
      <c r="C163" t="s">
        <v>137</v>
      </c>
      <c r="D163" s="160">
        <v>454983.32</v>
      </c>
      <c r="G163" s="4"/>
      <c r="H163" s="4"/>
      <c r="I163">
        <v>2022</v>
      </c>
      <c r="J163">
        <v>10</v>
      </c>
      <c r="K163" s="4" t="s">
        <v>209</v>
      </c>
      <c r="L163" t="s">
        <v>89</v>
      </c>
      <c r="N163" t="s">
        <v>89</v>
      </c>
      <c r="O163" t="s">
        <v>9</v>
      </c>
      <c r="P163" t="s">
        <v>135</v>
      </c>
    </row>
    <row r="164" spans="1:16" hidden="1">
      <c r="A164" t="s">
        <v>102</v>
      </c>
      <c r="B164" s="1" t="s">
        <v>231</v>
      </c>
      <c r="C164" t="s">
        <v>232</v>
      </c>
      <c r="D164" s="160">
        <v>74489</v>
      </c>
      <c r="F164" t="s">
        <v>233</v>
      </c>
      <c r="G164" s="4"/>
      <c r="H164" s="4"/>
      <c r="I164">
        <v>2022</v>
      </c>
      <c r="J164">
        <v>10</v>
      </c>
      <c r="K164" s="4" t="s">
        <v>209</v>
      </c>
      <c r="L164" t="s">
        <v>89</v>
      </c>
      <c r="N164" t="s">
        <v>89</v>
      </c>
      <c r="O164" t="s">
        <v>11</v>
      </c>
      <c r="P164" t="s">
        <v>104</v>
      </c>
    </row>
    <row r="165" spans="1:16" hidden="1">
      <c r="A165" t="s">
        <v>102</v>
      </c>
      <c r="B165" s="1" t="s">
        <v>234</v>
      </c>
      <c r="C165" t="s">
        <v>235</v>
      </c>
      <c r="D165" s="160">
        <v>38397</v>
      </c>
      <c r="F165" t="s">
        <v>236</v>
      </c>
      <c r="G165" s="4"/>
      <c r="H165" s="4"/>
      <c r="I165">
        <v>2022</v>
      </c>
      <c r="J165">
        <v>10</v>
      </c>
      <c r="K165" s="4" t="s">
        <v>209</v>
      </c>
      <c r="L165" t="s">
        <v>89</v>
      </c>
      <c r="N165" t="s">
        <v>89</v>
      </c>
      <c r="O165" t="s">
        <v>11</v>
      </c>
      <c r="P165" t="s">
        <v>104</v>
      </c>
    </row>
    <row r="166" spans="1:16" hidden="1">
      <c r="A166" t="s">
        <v>237</v>
      </c>
      <c r="B166" s="1" t="s">
        <v>238</v>
      </c>
      <c r="C166" t="s">
        <v>239</v>
      </c>
      <c r="D166" s="160">
        <v>157620</v>
      </c>
      <c r="G166" s="4"/>
      <c r="H166" s="4"/>
      <c r="I166">
        <v>2022</v>
      </c>
      <c r="J166">
        <v>10</v>
      </c>
      <c r="K166" s="4" t="s">
        <v>209</v>
      </c>
      <c r="L166" t="s">
        <v>89</v>
      </c>
      <c r="N166" t="s">
        <v>89</v>
      </c>
      <c r="O166" t="s">
        <v>18</v>
      </c>
      <c r="P166" t="s">
        <v>240</v>
      </c>
    </row>
    <row r="167" spans="1:16" hidden="1">
      <c r="A167" t="s">
        <v>161</v>
      </c>
      <c r="B167" s="1" t="s">
        <v>162</v>
      </c>
      <c r="C167" t="s">
        <v>163</v>
      </c>
      <c r="D167" s="160">
        <v>605481.78</v>
      </c>
      <c r="G167" s="4"/>
      <c r="H167" s="4"/>
      <c r="I167">
        <v>2022</v>
      </c>
      <c r="J167">
        <v>10</v>
      </c>
      <c r="K167" s="4" t="s">
        <v>209</v>
      </c>
      <c r="L167" t="s">
        <v>89</v>
      </c>
      <c r="N167" t="s">
        <v>89</v>
      </c>
      <c r="O167" t="s">
        <v>18</v>
      </c>
      <c r="P167" t="s">
        <v>164</v>
      </c>
    </row>
    <row r="168" spans="1:16" hidden="1">
      <c r="A168" t="s">
        <v>146</v>
      </c>
      <c r="B168" s="1" t="s">
        <v>147</v>
      </c>
      <c r="C168" t="s">
        <v>148</v>
      </c>
      <c r="D168" s="160">
        <v>29174.5</v>
      </c>
      <c r="G168" s="4"/>
      <c r="H168" s="4"/>
      <c r="I168">
        <v>2022</v>
      </c>
      <c r="J168">
        <v>10</v>
      </c>
      <c r="K168" s="4" t="s">
        <v>209</v>
      </c>
      <c r="L168" t="s">
        <v>89</v>
      </c>
      <c r="N168" t="s">
        <v>89</v>
      </c>
      <c r="O168" t="s">
        <v>18</v>
      </c>
      <c r="P168" t="s">
        <v>149</v>
      </c>
    </row>
    <row r="169" spans="1:16" hidden="1">
      <c r="A169" t="s">
        <v>86</v>
      </c>
      <c r="B169" s="1">
        <v>4503243471</v>
      </c>
      <c r="C169" t="s">
        <v>99</v>
      </c>
      <c r="D169" s="160">
        <v>6081.6</v>
      </c>
      <c r="G169" s="4"/>
      <c r="H169" s="4"/>
      <c r="I169">
        <v>2022</v>
      </c>
      <c r="J169">
        <v>11</v>
      </c>
      <c r="K169" s="4" t="s">
        <v>241</v>
      </c>
      <c r="L169" t="s">
        <v>89</v>
      </c>
      <c r="N169" t="s">
        <v>89</v>
      </c>
      <c r="O169" t="s">
        <v>9</v>
      </c>
      <c r="P169" t="s">
        <v>100</v>
      </c>
    </row>
    <row r="170" spans="1:16" hidden="1">
      <c r="A170" t="s">
        <v>102</v>
      </c>
      <c r="B170" s="1">
        <v>4503290109</v>
      </c>
      <c r="C170" t="s">
        <v>103</v>
      </c>
      <c r="D170" s="160">
        <v>8085514</v>
      </c>
      <c r="G170" s="4"/>
      <c r="H170" s="4"/>
      <c r="I170">
        <v>2022</v>
      </c>
      <c r="J170">
        <v>11</v>
      </c>
      <c r="K170" s="4" t="s">
        <v>241</v>
      </c>
      <c r="L170" t="s">
        <v>89</v>
      </c>
      <c r="N170" t="s">
        <v>89</v>
      </c>
      <c r="O170" t="s">
        <v>9</v>
      </c>
      <c r="P170" t="s">
        <v>104</v>
      </c>
    </row>
    <row r="171" spans="1:16" hidden="1">
      <c r="A171" t="s">
        <v>102</v>
      </c>
      <c r="B171" s="1">
        <v>4503312319</v>
      </c>
      <c r="C171" t="s">
        <v>110</v>
      </c>
      <c r="D171" s="160">
        <v>312613</v>
      </c>
      <c r="F171" t="s">
        <v>242</v>
      </c>
      <c r="G171" s="4"/>
      <c r="H171" s="4"/>
      <c r="I171">
        <v>2022</v>
      </c>
      <c r="J171">
        <v>11</v>
      </c>
      <c r="K171" s="4" t="s">
        <v>241</v>
      </c>
      <c r="L171" t="s">
        <v>89</v>
      </c>
      <c r="N171" t="s">
        <v>89</v>
      </c>
      <c r="O171" t="s">
        <v>9</v>
      </c>
      <c r="P171" t="s">
        <v>111</v>
      </c>
    </row>
    <row r="172" spans="1:16" hidden="1">
      <c r="A172" t="s">
        <v>116</v>
      </c>
      <c r="B172" s="1">
        <v>4503428513</v>
      </c>
      <c r="C172" t="s">
        <v>117</v>
      </c>
      <c r="D172" s="160">
        <v>961562</v>
      </c>
      <c r="F172" t="s">
        <v>243</v>
      </c>
      <c r="G172" s="4"/>
      <c r="H172" s="4"/>
      <c r="I172">
        <v>2022</v>
      </c>
      <c r="J172">
        <v>11</v>
      </c>
      <c r="K172" s="4" t="s">
        <v>241</v>
      </c>
      <c r="L172" t="s">
        <v>89</v>
      </c>
      <c r="N172" t="s">
        <v>89</v>
      </c>
      <c r="O172" t="s">
        <v>9</v>
      </c>
      <c r="P172" t="s">
        <v>118</v>
      </c>
    </row>
    <row r="173" spans="1:16" hidden="1">
      <c r="A173" t="s">
        <v>102</v>
      </c>
      <c r="B173" s="1">
        <v>4503432118</v>
      </c>
      <c r="C173" t="s">
        <v>119</v>
      </c>
      <c r="D173" s="160">
        <v>9229107</v>
      </c>
      <c r="F173" t="s">
        <v>244</v>
      </c>
      <c r="G173" s="4"/>
      <c r="H173" s="4"/>
      <c r="I173">
        <v>2022</v>
      </c>
      <c r="J173">
        <v>11</v>
      </c>
      <c r="K173" s="4" t="s">
        <v>241</v>
      </c>
      <c r="L173" t="s">
        <v>89</v>
      </c>
      <c r="N173" t="s">
        <v>89</v>
      </c>
      <c r="O173" t="s">
        <v>9</v>
      </c>
      <c r="P173" t="s">
        <v>120</v>
      </c>
    </row>
    <row r="174" spans="1:16" hidden="1">
      <c r="A174" t="s">
        <v>102</v>
      </c>
      <c r="B174" s="1">
        <v>4503432152</v>
      </c>
      <c r="C174" t="s">
        <v>121</v>
      </c>
      <c r="D174" s="160">
        <v>203422</v>
      </c>
      <c r="F174" t="s">
        <v>245</v>
      </c>
      <c r="G174" s="4"/>
      <c r="H174" s="4"/>
      <c r="I174">
        <v>2022</v>
      </c>
      <c r="J174">
        <v>11</v>
      </c>
      <c r="K174" s="4" t="s">
        <v>241</v>
      </c>
      <c r="L174" t="s">
        <v>89</v>
      </c>
      <c r="N174" t="s">
        <v>89</v>
      </c>
      <c r="O174" t="s">
        <v>9</v>
      </c>
      <c r="P174" t="s">
        <v>122</v>
      </c>
    </row>
    <row r="175" spans="1:16" hidden="1">
      <c r="A175" t="s">
        <v>139</v>
      </c>
      <c r="B175" s="1">
        <v>4503441102</v>
      </c>
      <c r="C175" t="s">
        <v>140</v>
      </c>
      <c r="D175" s="160">
        <v>108039</v>
      </c>
      <c r="E175">
        <v>6039</v>
      </c>
      <c r="G175" s="4"/>
      <c r="H175" s="4"/>
      <c r="I175">
        <v>2022</v>
      </c>
      <c r="J175">
        <v>11</v>
      </c>
      <c r="K175" s="4" t="s">
        <v>241</v>
      </c>
      <c r="L175" t="s">
        <v>89</v>
      </c>
      <c r="N175" t="s">
        <v>89</v>
      </c>
      <c r="O175" t="s">
        <v>9</v>
      </c>
      <c r="P175" t="s">
        <v>141</v>
      </c>
    </row>
    <row r="176" spans="1:16" hidden="1">
      <c r="A176" t="s">
        <v>123</v>
      </c>
      <c r="B176" s="1">
        <v>4503448403</v>
      </c>
      <c r="C176" t="s">
        <v>124</v>
      </c>
      <c r="D176" s="160">
        <v>2473832</v>
      </c>
      <c r="G176" s="4"/>
      <c r="H176" s="4"/>
      <c r="I176">
        <v>2022</v>
      </c>
      <c r="J176">
        <v>11</v>
      </c>
      <c r="K176" s="4" t="s">
        <v>241</v>
      </c>
      <c r="L176" t="s">
        <v>89</v>
      </c>
      <c r="N176" t="s">
        <v>89</v>
      </c>
      <c r="O176" t="s">
        <v>9</v>
      </c>
      <c r="P176" t="s">
        <v>125</v>
      </c>
    </row>
    <row r="177" spans="1:16" hidden="1">
      <c r="A177" t="s">
        <v>102</v>
      </c>
      <c r="B177" s="1">
        <v>4503489979</v>
      </c>
      <c r="C177" t="s">
        <v>144</v>
      </c>
      <c r="D177" s="160">
        <v>75482</v>
      </c>
      <c r="F177" t="s">
        <v>246</v>
      </c>
      <c r="G177" s="4"/>
      <c r="H177" s="4"/>
      <c r="I177">
        <v>2022</v>
      </c>
      <c r="J177">
        <v>11</v>
      </c>
      <c r="K177" s="4" t="s">
        <v>241</v>
      </c>
      <c r="L177" t="s">
        <v>89</v>
      </c>
      <c r="N177" t="s">
        <v>89</v>
      </c>
      <c r="O177" t="s">
        <v>9</v>
      </c>
      <c r="P177" t="s">
        <v>145</v>
      </c>
    </row>
    <row r="178" spans="1:16" hidden="1">
      <c r="A178" t="s">
        <v>187</v>
      </c>
      <c r="B178" s="1">
        <v>4590000334</v>
      </c>
      <c r="C178" t="s">
        <v>188</v>
      </c>
      <c r="D178" s="160">
        <v>22774</v>
      </c>
      <c r="E178">
        <v>1273.07</v>
      </c>
      <c r="F178" t="s">
        <v>247</v>
      </c>
      <c r="G178" s="4"/>
      <c r="H178" s="4"/>
      <c r="I178">
        <v>2022</v>
      </c>
      <c r="J178">
        <v>11</v>
      </c>
      <c r="K178" s="4" t="s">
        <v>241</v>
      </c>
      <c r="L178" t="s">
        <v>89</v>
      </c>
      <c r="N178" t="s">
        <v>89</v>
      </c>
      <c r="O178" t="s">
        <v>11</v>
      </c>
      <c r="P178" t="s">
        <v>190</v>
      </c>
    </row>
    <row r="179" spans="1:16" hidden="1">
      <c r="A179" t="s">
        <v>139</v>
      </c>
      <c r="B179" s="1">
        <v>4590000540</v>
      </c>
      <c r="C179" t="s">
        <v>157</v>
      </c>
      <c r="D179" s="160">
        <v>606925</v>
      </c>
      <c r="E179">
        <v>33927</v>
      </c>
      <c r="G179" s="4"/>
      <c r="H179" s="4"/>
      <c r="I179">
        <v>2022</v>
      </c>
      <c r="J179">
        <v>11</v>
      </c>
      <c r="K179" s="4" t="s">
        <v>241</v>
      </c>
      <c r="L179" t="s">
        <v>89</v>
      </c>
      <c r="N179" t="s">
        <v>89</v>
      </c>
      <c r="O179" t="s">
        <v>9</v>
      </c>
      <c r="P179" t="s">
        <v>156</v>
      </c>
    </row>
    <row r="180" spans="1:16" hidden="1">
      <c r="A180" t="s">
        <v>219</v>
      </c>
      <c r="B180" s="1">
        <v>4590001034</v>
      </c>
      <c r="C180" t="s">
        <v>248</v>
      </c>
      <c r="D180" s="160">
        <v>54516</v>
      </c>
      <c r="F180" t="s">
        <v>249</v>
      </c>
      <c r="G180" s="4"/>
      <c r="H180" s="4"/>
      <c r="I180">
        <v>2022</v>
      </c>
      <c r="J180">
        <v>11</v>
      </c>
      <c r="K180" s="4" t="s">
        <v>241</v>
      </c>
      <c r="L180" t="s">
        <v>89</v>
      </c>
      <c r="N180" t="s">
        <v>89</v>
      </c>
      <c r="O180" t="s">
        <v>13</v>
      </c>
      <c r="P180" t="s">
        <v>222</v>
      </c>
    </row>
    <row r="181" spans="1:16" hidden="1">
      <c r="A181" t="s">
        <v>102</v>
      </c>
      <c r="B181" s="1">
        <v>4590004028</v>
      </c>
      <c r="C181" t="s">
        <v>223</v>
      </c>
      <c r="D181" s="160">
        <v>238101.12</v>
      </c>
      <c r="G181" s="4"/>
      <c r="H181" s="4"/>
      <c r="I181">
        <v>2022</v>
      </c>
      <c r="J181">
        <v>11</v>
      </c>
      <c r="K181" s="4" t="s">
        <v>241</v>
      </c>
      <c r="L181" t="s">
        <v>89</v>
      </c>
      <c r="N181" t="s">
        <v>89</v>
      </c>
      <c r="O181" t="s">
        <v>11</v>
      </c>
      <c r="P181" t="s">
        <v>104</v>
      </c>
    </row>
    <row r="182" spans="1:16" hidden="1">
      <c r="A182" t="s">
        <v>91</v>
      </c>
      <c r="B182" s="1">
        <v>4590004044</v>
      </c>
      <c r="C182" t="s">
        <v>250</v>
      </c>
      <c r="D182" s="160">
        <v>423750</v>
      </c>
      <c r="F182" t="s">
        <v>251</v>
      </c>
      <c r="G182" s="4"/>
      <c r="H182" s="4"/>
      <c r="I182">
        <v>2022</v>
      </c>
      <c r="J182">
        <v>11</v>
      </c>
      <c r="K182" s="4" t="s">
        <v>241</v>
      </c>
      <c r="L182" t="s">
        <v>89</v>
      </c>
      <c r="N182" t="s">
        <v>89</v>
      </c>
      <c r="O182" t="s">
        <v>8</v>
      </c>
      <c r="P182" t="s">
        <v>252</v>
      </c>
    </row>
    <row r="183" spans="1:16" hidden="1">
      <c r="A183" t="s">
        <v>102</v>
      </c>
      <c r="B183" s="1">
        <v>4590004971</v>
      </c>
      <c r="C183" t="s">
        <v>253</v>
      </c>
      <c r="D183" s="160">
        <v>33076</v>
      </c>
      <c r="E183">
        <v>1849</v>
      </c>
      <c r="F183" t="s">
        <v>254</v>
      </c>
      <c r="G183" s="4"/>
      <c r="H183" s="4"/>
      <c r="I183">
        <v>2022</v>
      </c>
      <c r="J183">
        <v>11</v>
      </c>
      <c r="K183" s="4" t="s">
        <v>241</v>
      </c>
      <c r="L183" t="s">
        <v>89</v>
      </c>
      <c r="N183" t="s">
        <v>89</v>
      </c>
      <c r="O183" t="s">
        <v>9</v>
      </c>
      <c r="P183" t="s">
        <v>120</v>
      </c>
    </row>
    <row r="184" spans="1:16" hidden="1">
      <c r="A184" t="s">
        <v>91</v>
      </c>
      <c r="B184" s="1">
        <v>4590003763</v>
      </c>
      <c r="C184" t="s">
        <v>255</v>
      </c>
      <c r="D184" s="160">
        <v>83027.38</v>
      </c>
      <c r="F184" t="s">
        <v>256</v>
      </c>
      <c r="G184" s="4"/>
      <c r="H184" s="4"/>
      <c r="I184">
        <v>2022</v>
      </c>
      <c r="J184">
        <v>12</v>
      </c>
      <c r="K184" s="4" t="s">
        <v>257</v>
      </c>
      <c r="L184" t="s">
        <v>89</v>
      </c>
      <c r="N184" t="s">
        <v>89</v>
      </c>
      <c r="O184" t="s">
        <v>8</v>
      </c>
      <c r="P184" t="s">
        <v>258</v>
      </c>
    </row>
    <row r="185" spans="1:16" hidden="1">
      <c r="A185" t="s">
        <v>102</v>
      </c>
      <c r="B185" s="1">
        <v>4590005240</v>
      </c>
      <c r="C185" t="s">
        <v>197</v>
      </c>
      <c r="D185" s="160">
        <v>42200</v>
      </c>
      <c r="E185">
        <v>2358.98</v>
      </c>
      <c r="F185" t="s">
        <v>259</v>
      </c>
      <c r="G185" s="4"/>
      <c r="H185" s="4"/>
      <c r="I185">
        <v>2022</v>
      </c>
      <c r="J185">
        <v>11</v>
      </c>
      <c r="K185" s="4" t="s">
        <v>241</v>
      </c>
      <c r="L185" t="s">
        <v>89</v>
      </c>
      <c r="N185" t="s">
        <v>89</v>
      </c>
      <c r="O185" t="s">
        <v>9</v>
      </c>
      <c r="P185" t="s">
        <v>199</v>
      </c>
    </row>
    <row r="186" spans="1:16" hidden="1">
      <c r="A186" t="s">
        <v>102</v>
      </c>
      <c r="B186" s="1">
        <v>4590006189</v>
      </c>
      <c r="C186" t="s">
        <v>260</v>
      </c>
      <c r="D186" s="160">
        <v>258520</v>
      </c>
      <c r="F186" t="s">
        <v>261</v>
      </c>
      <c r="G186" s="4"/>
      <c r="H186" s="4"/>
      <c r="I186">
        <v>2022</v>
      </c>
      <c r="J186">
        <v>11</v>
      </c>
      <c r="K186" s="4" t="s">
        <v>241</v>
      </c>
      <c r="L186" t="s">
        <v>89</v>
      </c>
      <c r="N186" t="s">
        <v>89</v>
      </c>
      <c r="O186" t="s">
        <v>9</v>
      </c>
      <c r="P186" t="s">
        <v>262</v>
      </c>
    </row>
    <row r="187" spans="1:16" hidden="1">
      <c r="A187" t="s">
        <v>263</v>
      </c>
      <c r="B187" s="1">
        <v>4590006744</v>
      </c>
      <c r="C187" t="s">
        <v>264</v>
      </c>
      <c r="D187" s="160">
        <v>6175000</v>
      </c>
      <c r="G187" s="4"/>
      <c r="H187" s="4"/>
      <c r="I187">
        <v>2022</v>
      </c>
      <c r="J187">
        <v>11</v>
      </c>
      <c r="K187" s="4" t="s">
        <v>241</v>
      </c>
      <c r="L187" t="s">
        <v>89</v>
      </c>
      <c r="N187" t="s">
        <v>89</v>
      </c>
      <c r="O187" t="s">
        <v>9</v>
      </c>
      <c r="P187" t="s">
        <v>104</v>
      </c>
    </row>
    <row r="188" spans="1:16" hidden="1">
      <c r="A188" t="s">
        <v>265</v>
      </c>
      <c r="B188" s="1">
        <v>4590006750</v>
      </c>
      <c r="C188" t="s">
        <v>266</v>
      </c>
      <c r="D188" s="160">
        <v>2868170</v>
      </c>
      <c r="F188" t="s">
        <v>267</v>
      </c>
      <c r="G188" s="4"/>
      <c r="H188" s="4"/>
      <c r="I188">
        <v>2022</v>
      </c>
      <c r="J188">
        <v>11</v>
      </c>
      <c r="K188" s="4" t="s">
        <v>241</v>
      </c>
      <c r="L188" t="s">
        <v>89</v>
      </c>
      <c r="N188" t="s">
        <v>89</v>
      </c>
      <c r="O188" t="s">
        <v>8</v>
      </c>
      <c r="P188" t="s">
        <v>268</v>
      </c>
    </row>
    <row r="189" spans="1:16" hidden="1">
      <c r="A189" t="s">
        <v>269</v>
      </c>
      <c r="B189" s="1">
        <v>4590007599</v>
      </c>
      <c r="C189" t="s">
        <v>270</v>
      </c>
      <c r="D189" s="160">
        <v>2124000</v>
      </c>
      <c r="F189" t="s">
        <v>271</v>
      </c>
      <c r="G189" s="4"/>
      <c r="H189" s="4"/>
      <c r="I189">
        <v>2022</v>
      </c>
      <c r="J189">
        <v>11</v>
      </c>
      <c r="K189" s="4" t="s">
        <v>241</v>
      </c>
      <c r="L189" t="s">
        <v>89</v>
      </c>
      <c r="N189" t="s">
        <v>89</v>
      </c>
      <c r="O189" t="s">
        <v>9</v>
      </c>
      <c r="P189" t="s">
        <v>272</v>
      </c>
    </row>
    <row r="190" spans="1:16" hidden="1">
      <c r="A190" t="s">
        <v>126</v>
      </c>
      <c r="B190" s="1" t="s">
        <v>127</v>
      </c>
      <c r="C190" t="s">
        <v>128</v>
      </c>
      <c r="D190" s="160">
        <v>10918065</v>
      </c>
      <c r="F190" t="s">
        <v>273</v>
      </c>
      <c r="G190" s="4"/>
      <c r="H190" s="4"/>
      <c r="I190">
        <v>2022</v>
      </c>
      <c r="J190">
        <v>11</v>
      </c>
      <c r="K190" s="4" t="s">
        <v>241</v>
      </c>
      <c r="L190" t="s">
        <v>89</v>
      </c>
      <c r="N190" t="s">
        <v>89</v>
      </c>
      <c r="O190" t="s">
        <v>9</v>
      </c>
      <c r="P190" t="s">
        <v>129</v>
      </c>
    </row>
    <row r="191" spans="1:16" hidden="1">
      <c r="A191" t="s">
        <v>126</v>
      </c>
      <c r="B191" s="1" t="s">
        <v>130</v>
      </c>
      <c r="C191" t="s">
        <v>131</v>
      </c>
      <c r="D191" s="160">
        <v>1650539</v>
      </c>
      <c r="G191" s="4"/>
      <c r="H191" s="4"/>
      <c r="I191">
        <v>2022</v>
      </c>
      <c r="J191">
        <v>11</v>
      </c>
      <c r="K191" s="4" t="s">
        <v>241</v>
      </c>
      <c r="L191" t="s">
        <v>89</v>
      </c>
      <c r="N191" t="s">
        <v>89</v>
      </c>
      <c r="O191" t="s">
        <v>9</v>
      </c>
      <c r="P191" t="s">
        <v>129</v>
      </c>
    </row>
    <row r="192" spans="1:16" hidden="1">
      <c r="A192" t="s">
        <v>123</v>
      </c>
      <c r="B192" s="1" t="s">
        <v>201</v>
      </c>
      <c r="C192" t="s">
        <v>202</v>
      </c>
      <c r="D192" s="160">
        <v>148994</v>
      </c>
      <c r="F192" t="s">
        <v>274</v>
      </c>
      <c r="G192" s="4"/>
      <c r="H192" s="4"/>
      <c r="I192">
        <v>2022</v>
      </c>
      <c r="J192">
        <v>11</v>
      </c>
      <c r="K192" s="4" t="s">
        <v>241</v>
      </c>
      <c r="L192" t="s">
        <v>89</v>
      </c>
      <c r="N192" t="s">
        <v>89</v>
      </c>
      <c r="O192" t="s">
        <v>11</v>
      </c>
      <c r="P192" t="s">
        <v>190</v>
      </c>
    </row>
    <row r="193" spans="1:16" hidden="1">
      <c r="A193" t="s">
        <v>123</v>
      </c>
      <c r="B193" s="1" t="s">
        <v>204</v>
      </c>
      <c r="C193" t="s">
        <v>205</v>
      </c>
      <c r="D193" s="160">
        <v>122562</v>
      </c>
      <c r="G193" s="4"/>
      <c r="H193" s="4"/>
      <c r="I193">
        <v>2022</v>
      </c>
      <c r="J193">
        <v>11</v>
      </c>
      <c r="K193" s="4" t="s">
        <v>241</v>
      </c>
      <c r="L193" t="s">
        <v>89</v>
      </c>
      <c r="N193" t="s">
        <v>89</v>
      </c>
      <c r="O193" t="s">
        <v>11</v>
      </c>
      <c r="P193" t="s">
        <v>190</v>
      </c>
    </row>
    <row r="194" spans="1:16" hidden="1">
      <c r="A194" t="s">
        <v>275</v>
      </c>
      <c r="B194" s="1" t="s">
        <v>276</v>
      </c>
      <c r="C194" t="s">
        <v>277</v>
      </c>
      <c r="D194" s="160">
        <v>2645069.4900000002</v>
      </c>
      <c r="G194" s="4"/>
      <c r="H194" s="4"/>
      <c r="I194">
        <v>2022</v>
      </c>
      <c r="J194">
        <v>11</v>
      </c>
      <c r="K194" s="4" t="s">
        <v>241</v>
      </c>
      <c r="L194" t="s">
        <v>89</v>
      </c>
      <c r="N194" t="s">
        <v>89</v>
      </c>
      <c r="O194" t="s">
        <v>15</v>
      </c>
      <c r="P194" t="s">
        <v>278</v>
      </c>
    </row>
    <row r="195" spans="1:16" hidden="1">
      <c r="A195" t="s">
        <v>279</v>
      </c>
      <c r="B195" s="1" t="s">
        <v>280</v>
      </c>
      <c r="C195" t="s">
        <v>281</v>
      </c>
      <c r="D195" s="160">
        <v>1060176</v>
      </c>
      <c r="G195" s="4"/>
      <c r="H195" s="4"/>
      <c r="I195">
        <v>2022</v>
      </c>
      <c r="J195">
        <v>11</v>
      </c>
      <c r="K195" s="4" t="s">
        <v>241</v>
      </c>
      <c r="L195" t="s">
        <v>89</v>
      </c>
      <c r="N195" t="s">
        <v>89</v>
      </c>
      <c r="O195" t="s">
        <v>18</v>
      </c>
      <c r="P195" t="s">
        <v>282</v>
      </c>
    </row>
    <row r="196" spans="1:16" hidden="1">
      <c r="A196" t="s">
        <v>237</v>
      </c>
      <c r="B196" s="1" t="s">
        <v>238</v>
      </c>
      <c r="C196" t="s">
        <v>239</v>
      </c>
      <c r="D196" s="160">
        <v>65670</v>
      </c>
      <c r="G196" s="4"/>
      <c r="H196" s="4"/>
      <c r="I196">
        <v>2022</v>
      </c>
      <c r="J196">
        <v>11</v>
      </c>
      <c r="K196" s="4" t="s">
        <v>241</v>
      </c>
      <c r="L196" t="s">
        <v>89</v>
      </c>
      <c r="N196" t="s">
        <v>89</v>
      </c>
      <c r="O196" t="s">
        <v>18</v>
      </c>
      <c r="P196" t="s">
        <v>240</v>
      </c>
    </row>
    <row r="197" spans="1:16" hidden="1">
      <c r="A197" t="s">
        <v>161</v>
      </c>
      <c r="B197" s="1" t="s">
        <v>162</v>
      </c>
      <c r="C197" t="s">
        <v>163</v>
      </c>
      <c r="D197" s="160">
        <v>2246205.09</v>
      </c>
      <c r="G197" s="4"/>
      <c r="H197" s="4"/>
      <c r="I197">
        <v>2022</v>
      </c>
      <c r="J197">
        <v>11</v>
      </c>
      <c r="K197" s="4" t="s">
        <v>241</v>
      </c>
      <c r="L197" t="s">
        <v>89</v>
      </c>
      <c r="N197" t="s">
        <v>89</v>
      </c>
      <c r="O197" t="s">
        <v>18</v>
      </c>
      <c r="P197" t="s">
        <v>164</v>
      </c>
    </row>
    <row r="198" spans="1:16" hidden="1">
      <c r="A198" t="s">
        <v>146</v>
      </c>
      <c r="B198" s="1" t="s">
        <v>147</v>
      </c>
      <c r="C198" t="s">
        <v>148</v>
      </c>
      <c r="D198" s="160">
        <v>30580.5</v>
      </c>
      <c r="G198" s="4"/>
      <c r="H198" s="4"/>
      <c r="I198">
        <v>2022</v>
      </c>
      <c r="J198">
        <v>11</v>
      </c>
      <c r="K198" s="4" t="s">
        <v>241</v>
      </c>
      <c r="L198" t="s">
        <v>89</v>
      </c>
      <c r="N198" t="s">
        <v>89</v>
      </c>
      <c r="O198" t="s">
        <v>18</v>
      </c>
      <c r="P198" t="s">
        <v>149</v>
      </c>
    </row>
    <row r="199" spans="1:16" hidden="1">
      <c r="A199" t="s">
        <v>86</v>
      </c>
      <c r="B199" s="1">
        <v>4503243471</v>
      </c>
      <c r="C199" t="s">
        <v>99</v>
      </c>
      <c r="D199" s="160">
        <v>6081.6</v>
      </c>
      <c r="G199" s="4"/>
      <c r="H199" s="4"/>
      <c r="I199">
        <v>2022</v>
      </c>
      <c r="J199">
        <v>12</v>
      </c>
      <c r="K199" s="4" t="s">
        <v>257</v>
      </c>
      <c r="L199" t="s">
        <v>89</v>
      </c>
      <c r="N199" t="s">
        <v>89</v>
      </c>
      <c r="O199" t="s">
        <v>9</v>
      </c>
      <c r="P199" t="s">
        <v>100</v>
      </c>
    </row>
    <row r="200" spans="1:16" hidden="1">
      <c r="A200" t="s">
        <v>102</v>
      </c>
      <c r="B200" s="1">
        <v>4503290109</v>
      </c>
      <c r="C200" t="s">
        <v>103</v>
      </c>
      <c r="D200" s="160">
        <v>5626352</v>
      </c>
      <c r="G200" s="4"/>
      <c r="H200" s="4"/>
      <c r="I200">
        <v>2022</v>
      </c>
      <c r="J200">
        <v>12</v>
      </c>
      <c r="K200" s="4" t="s">
        <v>257</v>
      </c>
      <c r="L200" t="s">
        <v>89</v>
      </c>
      <c r="N200" t="s">
        <v>89</v>
      </c>
      <c r="O200" t="s">
        <v>9</v>
      </c>
      <c r="P200" t="s">
        <v>104</v>
      </c>
    </row>
    <row r="201" spans="1:16" hidden="1">
      <c r="A201" t="s">
        <v>102</v>
      </c>
      <c r="B201" s="1">
        <v>4503312319</v>
      </c>
      <c r="C201" t="s">
        <v>110</v>
      </c>
      <c r="D201" s="160">
        <v>828523</v>
      </c>
      <c r="F201" t="s">
        <v>283</v>
      </c>
      <c r="G201" s="4"/>
      <c r="H201" s="4"/>
      <c r="I201">
        <v>2022</v>
      </c>
      <c r="J201">
        <v>12</v>
      </c>
      <c r="K201" s="4" t="s">
        <v>257</v>
      </c>
      <c r="L201" t="s">
        <v>89</v>
      </c>
      <c r="N201" t="s">
        <v>89</v>
      </c>
      <c r="O201" t="s">
        <v>9</v>
      </c>
      <c r="P201" t="s">
        <v>111</v>
      </c>
    </row>
    <row r="202" spans="1:16" hidden="1">
      <c r="A202" t="s">
        <v>116</v>
      </c>
      <c r="B202" s="1">
        <v>4503428513</v>
      </c>
      <c r="C202" t="s">
        <v>117</v>
      </c>
      <c r="D202" s="160">
        <v>448503</v>
      </c>
      <c r="F202" t="s">
        <v>284</v>
      </c>
      <c r="G202" s="4"/>
      <c r="H202" s="4"/>
      <c r="I202">
        <v>2022</v>
      </c>
      <c r="J202">
        <v>12</v>
      </c>
      <c r="K202" s="4" t="s">
        <v>257</v>
      </c>
      <c r="L202" t="s">
        <v>89</v>
      </c>
      <c r="N202" t="s">
        <v>89</v>
      </c>
      <c r="O202" t="s">
        <v>9</v>
      </c>
      <c r="P202" t="s">
        <v>118</v>
      </c>
    </row>
    <row r="203" spans="1:16" hidden="1">
      <c r="A203" t="s">
        <v>102</v>
      </c>
      <c r="B203" s="1">
        <v>4503432118</v>
      </c>
      <c r="C203" t="s">
        <v>119</v>
      </c>
      <c r="D203" s="160">
        <v>2943530</v>
      </c>
      <c r="F203" t="s">
        <v>285</v>
      </c>
      <c r="G203" s="4"/>
      <c r="H203" s="4"/>
      <c r="I203">
        <v>2022</v>
      </c>
      <c r="J203">
        <v>12</v>
      </c>
      <c r="K203" s="4" t="s">
        <v>257</v>
      </c>
      <c r="L203" t="s">
        <v>89</v>
      </c>
      <c r="N203" t="s">
        <v>89</v>
      </c>
      <c r="O203" t="s">
        <v>9</v>
      </c>
      <c r="P203" t="s">
        <v>120</v>
      </c>
    </row>
    <row r="204" spans="1:16" hidden="1">
      <c r="A204" t="s">
        <v>102</v>
      </c>
      <c r="B204" s="1">
        <v>4503432152</v>
      </c>
      <c r="C204" t="s">
        <v>121</v>
      </c>
      <c r="D204" s="160">
        <v>511978</v>
      </c>
      <c r="F204" t="s">
        <v>286</v>
      </c>
      <c r="G204" s="4"/>
      <c r="H204" s="4"/>
      <c r="I204">
        <v>2022</v>
      </c>
      <c r="J204">
        <v>12</v>
      </c>
      <c r="K204" s="4" t="s">
        <v>257</v>
      </c>
      <c r="L204" t="s">
        <v>89</v>
      </c>
      <c r="N204" t="s">
        <v>89</v>
      </c>
      <c r="O204" t="s">
        <v>9</v>
      </c>
      <c r="P204" t="s">
        <v>122</v>
      </c>
    </row>
    <row r="205" spans="1:16" hidden="1">
      <c r="A205" t="s">
        <v>123</v>
      </c>
      <c r="B205" s="1">
        <v>4503448403</v>
      </c>
      <c r="C205" t="s">
        <v>124</v>
      </c>
      <c r="D205" s="160">
        <v>1059498.1100000001</v>
      </c>
      <c r="G205" s="4"/>
      <c r="H205" s="4"/>
      <c r="I205">
        <v>2022</v>
      </c>
      <c r="J205">
        <v>12</v>
      </c>
      <c r="K205" s="4" t="s">
        <v>257</v>
      </c>
      <c r="L205" t="s">
        <v>89</v>
      </c>
      <c r="N205" t="s">
        <v>89</v>
      </c>
      <c r="O205" t="s">
        <v>9</v>
      </c>
      <c r="P205" t="s">
        <v>125</v>
      </c>
    </row>
    <row r="206" spans="1:16" hidden="1">
      <c r="A206" t="s">
        <v>139</v>
      </c>
      <c r="B206" s="1">
        <v>4590000540</v>
      </c>
      <c r="C206" t="s">
        <v>157</v>
      </c>
      <c r="D206" s="160">
        <v>451712</v>
      </c>
      <c r="E206">
        <v>25251</v>
      </c>
      <c r="G206" s="4"/>
      <c r="H206" s="4"/>
      <c r="I206">
        <v>2022</v>
      </c>
      <c r="J206">
        <v>12</v>
      </c>
      <c r="K206" s="4" t="s">
        <v>257</v>
      </c>
      <c r="L206" t="s">
        <v>89</v>
      </c>
      <c r="N206" t="s">
        <v>89</v>
      </c>
      <c r="O206" t="s">
        <v>9</v>
      </c>
      <c r="P206" t="s">
        <v>156</v>
      </c>
    </row>
    <row r="207" spans="1:16" hidden="1">
      <c r="A207" t="s">
        <v>139</v>
      </c>
      <c r="B207" s="1">
        <v>4590000624</v>
      </c>
      <c r="C207" t="s">
        <v>191</v>
      </c>
      <c r="D207" s="160">
        <v>147874</v>
      </c>
      <c r="E207">
        <v>8266</v>
      </c>
      <c r="F207" t="s">
        <v>287</v>
      </c>
      <c r="G207" s="4"/>
      <c r="H207" s="4"/>
      <c r="I207">
        <v>2022</v>
      </c>
      <c r="J207">
        <v>12</v>
      </c>
      <c r="K207" s="4" t="s">
        <v>257</v>
      </c>
      <c r="L207" t="s">
        <v>89</v>
      </c>
      <c r="N207" t="s">
        <v>89</v>
      </c>
      <c r="O207" t="s">
        <v>9</v>
      </c>
      <c r="P207" t="s">
        <v>193</v>
      </c>
    </row>
    <row r="208" spans="1:16" hidden="1">
      <c r="A208" t="s">
        <v>288</v>
      </c>
      <c r="B208" s="1">
        <v>4590002149</v>
      </c>
      <c r="C208" t="s">
        <v>289</v>
      </c>
      <c r="D208" s="160">
        <v>150107</v>
      </c>
      <c r="F208" t="s">
        <v>290</v>
      </c>
      <c r="G208" s="4"/>
      <c r="H208" s="4"/>
      <c r="I208">
        <v>2022</v>
      </c>
      <c r="J208">
        <v>12</v>
      </c>
      <c r="K208" s="4" t="s">
        <v>257</v>
      </c>
      <c r="L208" t="s">
        <v>89</v>
      </c>
      <c r="N208" t="s">
        <v>89</v>
      </c>
      <c r="O208" t="s">
        <v>13</v>
      </c>
      <c r="P208" t="s">
        <v>291</v>
      </c>
    </row>
    <row r="209" spans="1:16" hidden="1">
      <c r="A209" t="s">
        <v>91</v>
      </c>
      <c r="B209" s="1">
        <v>4590005167</v>
      </c>
      <c r="C209" t="s">
        <v>292</v>
      </c>
      <c r="D209" s="160">
        <v>11272</v>
      </c>
      <c r="F209" t="s">
        <v>293</v>
      </c>
      <c r="G209" s="4"/>
      <c r="H209" s="4"/>
      <c r="I209">
        <v>2022</v>
      </c>
      <c r="J209">
        <v>11</v>
      </c>
      <c r="K209" s="4" t="s">
        <v>241</v>
      </c>
      <c r="L209" t="s">
        <v>89</v>
      </c>
      <c r="N209" t="s">
        <v>89</v>
      </c>
      <c r="O209" t="s">
        <v>8</v>
      </c>
      <c r="P209" t="s">
        <v>294</v>
      </c>
    </row>
    <row r="210" spans="1:16" hidden="1">
      <c r="A210" t="s">
        <v>91</v>
      </c>
      <c r="B210" s="1">
        <v>4590004044</v>
      </c>
      <c r="C210" t="s">
        <v>250</v>
      </c>
      <c r="D210" s="160">
        <v>211875</v>
      </c>
      <c r="F210" t="s">
        <v>295</v>
      </c>
      <c r="G210" s="4"/>
      <c r="H210" s="4"/>
      <c r="I210">
        <v>2022</v>
      </c>
      <c r="J210">
        <v>12</v>
      </c>
      <c r="K210" s="4" t="s">
        <v>257</v>
      </c>
      <c r="L210" t="s">
        <v>89</v>
      </c>
      <c r="N210" t="s">
        <v>89</v>
      </c>
      <c r="O210" t="s">
        <v>8</v>
      </c>
      <c r="P210" t="s">
        <v>252</v>
      </c>
    </row>
    <row r="211" spans="1:16" hidden="1">
      <c r="A211" t="s">
        <v>265</v>
      </c>
      <c r="B211" s="1">
        <v>4590007785</v>
      </c>
      <c r="C211" t="s">
        <v>296</v>
      </c>
      <c r="D211" s="160">
        <v>47460</v>
      </c>
      <c r="F211" t="s">
        <v>297</v>
      </c>
      <c r="G211" s="4">
        <v>45099</v>
      </c>
      <c r="H211" s="4">
        <v>45099</v>
      </c>
      <c r="I211">
        <v>2023</v>
      </c>
      <c r="J211">
        <v>6</v>
      </c>
      <c r="K211" s="4" t="s">
        <v>298</v>
      </c>
      <c r="L211" t="s">
        <v>89</v>
      </c>
      <c r="M211" t="s">
        <v>299</v>
      </c>
      <c r="N211" t="s">
        <v>89</v>
      </c>
      <c r="O211" t="s">
        <v>8</v>
      </c>
      <c r="P211" t="s">
        <v>300</v>
      </c>
    </row>
    <row r="212" spans="1:16" hidden="1">
      <c r="A212" t="s">
        <v>269</v>
      </c>
      <c r="B212" s="1">
        <v>4590007599</v>
      </c>
      <c r="C212" t="s">
        <v>270</v>
      </c>
      <c r="D212" s="160">
        <v>232030</v>
      </c>
      <c r="F212" t="s">
        <v>301</v>
      </c>
      <c r="G212" s="4"/>
      <c r="H212" s="4"/>
      <c r="I212">
        <v>2022</v>
      </c>
      <c r="J212">
        <v>12</v>
      </c>
      <c r="K212" s="4" t="s">
        <v>257</v>
      </c>
      <c r="L212" t="s">
        <v>89</v>
      </c>
      <c r="N212" t="s">
        <v>89</v>
      </c>
      <c r="O212" t="s">
        <v>9</v>
      </c>
      <c r="P212" t="s">
        <v>272</v>
      </c>
    </row>
    <row r="213" spans="1:16" hidden="1">
      <c r="A213" t="s">
        <v>102</v>
      </c>
      <c r="B213" s="1">
        <v>4590008240</v>
      </c>
      <c r="C213" t="s">
        <v>302</v>
      </c>
      <c r="D213" s="160">
        <v>2492280.0699999998</v>
      </c>
      <c r="G213" s="4"/>
      <c r="H213" s="4"/>
      <c r="I213">
        <v>2022</v>
      </c>
      <c r="J213">
        <v>12</v>
      </c>
      <c r="K213" s="4" t="s">
        <v>257</v>
      </c>
      <c r="L213" t="s">
        <v>89</v>
      </c>
      <c r="N213" t="s">
        <v>89</v>
      </c>
      <c r="O213" t="s">
        <v>9</v>
      </c>
      <c r="P213" t="s">
        <v>303</v>
      </c>
    </row>
    <row r="214" spans="1:16" hidden="1">
      <c r="A214" t="s">
        <v>126</v>
      </c>
      <c r="B214" s="1" t="s">
        <v>127</v>
      </c>
      <c r="C214" t="s">
        <v>128</v>
      </c>
      <c r="D214" s="160">
        <v>8936549</v>
      </c>
      <c r="F214" t="s">
        <v>304</v>
      </c>
      <c r="G214" s="4"/>
      <c r="H214" s="4"/>
      <c r="I214">
        <v>2022</v>
      </c>
      <c r="J214">
        <v>12</v>
      </c>
      <c r="K214" s="4" t="s">
        <v>257</v>
      </c>
      <c r="L214" t="s">
        <v>89</v>
      </c>
      <c r="N214" t="s">
        <v>89</v>
      </c>
      <c r="O214" t="s">
        <v>9</v>
      </c>
      <c r="P214" t="s">
        <v>129</v>
      </c>
    </row>
    <row r="215" spans="1:16" hidden="1">
      <c r="A215" t="s">
        <v>126</v>
      </c>
      <c r="B215" s="1" t="s">
        <v>130</v>
      </c>
      <c r="C215" t="s">
        <v>131</v>
      </c>
      <c r="D215" s="160">
        <v>365712</v>
      </c>
      <c r="G215" s="4"/>
      <c r="H215" s="4"/>
      <c r="I215">
        <v>2022</v>
      </c>
      <c r="J215">
        <v>12</v>
      </c>
      <c r="K215" s="4" t="s">
        <v>257</v>
      </c>
      <c r="L215" t="s">
        <v>89</v>
      </c>
      <c r="N215" t="s">
        <v>89</v>
      </c>
      <c r="O215" t="s">
        <v>9</v>
      </c>
      <c r="P215" t="s">
        <v>129</v>
      </c>
    </row>
    <row r="216" spans="1:16" hidden="1">
      <c r="A216" t="s">
        <v>275</v>
      </c>
      <c r="B216" s="1" t="s">
        <v>305</v>
      </c>
      <c r="C216" t="s">
        <v>306</v>
      </c>
      <c r="D216" s="160">
        <v>714772.61</v>
      </c>
      <c r="G216" s="4"/>
      <c r="H216" s="4"/>
      <c r="I216">
        <v>2022</v>
      </c>
      <c r="J216">
        <v>12</v>
      </c>
      <c r="K216" s="4" t="s">
        <v>257</v>
      </c>
      <c r="L216" t="s">
        <v>89</v>
      </c>
      <c r="N216" t="s">
        <v>89</v>
      </c>
      <c r="O216" t="s">
        <v>15</v>
      </c>
      <c r="P216" t="s">
        <v>278</v>
      </c>
    </row>
    <row r="217" spans="1:16" hidden="1">
      <c r="A217" t="s">
        <v>307</v>
      </c>
      <c r="B217" s="1" t="s">
        <v>308</v>
      </c>
      <c r="C217" t="s">
        <v>309</v>
      </c>
      <c r="D217" s="160">
        <v>66751.759999999995</v>
      </c>
      <c r="G217" s="4"/>
      <c r="H217" s="4"/>
      <c r="I217">
        <v>2022</v>
      </c>
      <c r="J217">
        <v>12</v>
      </c>
      <c r="K217" s="4" t="s">
        <v>257</v>
      </c>
      <c r="L217" t="s">
        <v>89</v>
      </c>
      <c r="N217" t="s">
        <v>89</v>
      </c>
      <c r="O217" t="s">
        <v>18</v>
      </c>
      <c r="P217" t="s">
        <v>310</v>
      </c>
    </row>
    <row r="218" spans="1:16" hidden="1">
      <c r="A218" t="s">
        <v>237</v>
      </c>
      <c r="B218" s="1" t="s">
        <v>238</v>
      </c>
      <c r="C218" t="s">
        <v>239</v>
      </c>
      <c r="D218" s="160">
        <v>71446</v>
      </c>
      <c r="G218" s="4"/>
      <c r="H218" s="4"/>
      <c r="I218">
        <v>2022</v>
      </c>
      <c r="J218">
        <v>12</v>
      </c>
      <c r="K218" s="4" t="s">
        <v>257</v>
      </c>
      <c r="L218" t="s">
        <v>89</v>
      </c>
      <c r="N218" t="s">
        <v>89</v>
      </c>
      <c r="O218" t="s">
        <v>18</v>
      </c>
      <c r="P218" t="s">
        <v>240</v>
      </c>
    </row>
    <row r="219" spans="1:16" hidden="1">
      <c r="A219" t="s">
        <v>161</v>
      </c>
      <c r="B219" s="1" t="s">
        <v>162</v>
      </c>
      <c r="C219" t="s">
        <v>163</v>
      </c>
      <c r="D219" s="160">
        <v>2618760.9700000002</v>
      </c>
      <c r="G219" s="4"/>
      <c r="H219" s="4"/>
      <c r="I219">
        <v>2022</v>
      </c>
      <c r="J219">
        <v>12</v>
      </c>
      <c r="K219" s="4" t="s">
        <v>257</v>
      </c>
      <c r="L219" t="s">
        <v>89</v>
      </c>
      <c r="N219" t="s">
        <v>89</v>
      </c>
      <c r="O219" t="s">
        <v>18</v>
      </c>
      <c r="P219" t="s">
        <v>164</v>
      </c>
    </row>
    <row r="220" spans="1:16" hidden="1">
      <c r="A220" t="s">
        <v>54</v>
      </c>
      <c r="B220" s="1">
        <v>4503243471</v>
      </c>
      <c r="C220" t="s">
        <v>99</v>
      </c>
      <c r="D220" s="160">
        <v>6081.6</v>
      </c>
      <c r="G220" s="4"/>
      <c r="H220" s="4"/>
      <c r="I220">
        <v>2023</v>
      </c>
      <c r="J220">
        <v>1</v>
      </c>
      <c r="K220" s="4" t="s">
        <v>311</v>
      </c>
      <c r="L220" t="s">
        <v>89</v>
      </c>
      <c r="N220" t="s">
        <v>89</v>
      </c>
      <c r="O220" t="s">
        <v>9</v>
      </c>
      <c r="P220" t="s">
        <v>100</v>
      </c>
    </row>
    <row r="221" spans="1:16" hidden="1">
      <c r="A221" t="s">
        <v>312</v>
      </c>
      <c r="B221" s="1">
        <v>4503290109</v>
      </c>
      <c r="C221" t="s">
        <v>103</v>
      </c>
      <c r="D221" s="160">
        <v>10066637</v>
      </c>
      <c r="G221" s="4"/>
      <c r="H221" s="4"/>
      <c r="I221">
        <v>2023</v>
      </c>
      <c r="J221">
        <v>1</v>
      </c>
      <c r="K221" s="4" t="s">
        <v>311</v>
      </c>
      <c r="L221" t="s">
        <v>89</v>
      </c>
      <c r="N221" t="s">
        <v>89</v>
      </c>
      <c r="O221" t="s">
        <v>9</v>
      </c>
      <c r="P221" t="s">
        <v>104</v>
      </c>
    </row>
    <row r="222" spans="1:16" hidden="1">
      <c r="A222" t="s">
        <v>313</v>
      </c>
      <c r="B222" s="1">
        <v>4503428513</v>
      </c>
      <c r="C222" t="s">
        <v>117</v>
      </c>
      <c r="D222" s="160">
        <v>743804</v>
      </c>
      <c r="G222" s="4"/>
      <c r="H222" s="4"/>
      <c r="I222">
        <v>2023</v>
      </c>
      <c r="J222">
        <v>1</v>
      </c>
      <c r="K222" s="4" t="s">
        <v>311</v>
      </c>
      <c r="L222" t="s">
        <v>89</v>
      </c>
      <c r="N222" t="s">
        <v>89</v>
      </c>
      <c r="O222" t="s">
        <v>9</v>
      </c>
      <c r="P222" t="s">
        <v>118</v>
      </c>
    </row>
    <row r="223" spans="1:16" hidden="1">
      <c r="A223" t="s">
        <v>312</v>
      </c>
      <c r="B223" s="1">
        <v>4503432118</v>
      </c>
      <c r="C223" t="s">
        <v>119</v>
      </c>
      <c r="D223" s="160">
        <v>9312377</v>
      </c>
      <c r="G223" s="4"/>
      <c r="H223" s="4"/>
      <c r="I223">
        <v>2023</v>
      </c>
      <c r="J223">
        <v>1</v>
      </c>
      <c r="K223" s="4" t="s">
        <v>311</v>
      </c>
      <c r="L223" t="s">
        <v>89</v>
      </c>
      <c r="N223" t="s">
        <v>89</v>
      </c>
      <c r="O223" t="s">
        <v>9</v>
      </c>
      <c r="P223" t="s">
        <v>120</v>
      </c>
    </row>
    <row r="224" spans="1:16" hidden="1">
      <c r="A224" t="s">
        <v>312</v>
      </c>
      <c r="B224" s="1">
        <v>4503432152</v>
      </c>
      <c r="C224" t="s">
        <v>121</v>
      </c>
      <c r="D224" s="160">
        <v>270268</v>
      </c>
      <c r="G224" s="4"/>
      <c r="H224" s="4"/>
      <c r="I224">
        <v>2023</v>
      </c>
      <c r="J224">
        <v>1</v>
      </c>
      <c r="K224" s="4" t="s">
        <v>311</v>
      </c>
      <c r="L224" t="s">
        <v>89</v>
      </c>
      <c r="N224" t="s">
        <v>89</v>
      </c>
      <c r="O224" t="s">
        <v>9</v>
      </c>
      <c r="P224" t="s">
        <v>122</v>
      </c>
    </row>
    <row r="225" spans="1:16" hidden="1">
      <c r="A225" t="s">
        <v>314</v>
      </c>
      <c r="B225" s="1">
        <v>4503441102</v>
      </c>
      <c r="C225" t="s">
        <v>140</v>
      </c>
      <c r="D225" s="160">
        <v>952851</v>
      </c>
      <c r="E225">
        <v>53264</v>
      </c>
      <c r="G225" s="4"/>
      <c r="H225" s="4"/>
      <c r="I225">
        <v>2023</v>
      </c>
      <c r="J225">
        <v>1</v>
      </c>
      <c r="K225" s="4" t="s">
        <v>311</v>
      </c>
      <c r="L225" t="s">
        <v>89</v>
      </c>
      <c r="N225" t="s">
        <v>89</v>
      </c>
      <c r="O225" t="s">
        <v>9</v>
      </c>
      <c r="P225" t="s">
        <v>141</v>
      </c>
    </row>
    <row r="226" spans="1:16" hidden="1">
      <c r="A226" t="s">
        <v>315</v>
      </c>
      <c r="B226" s="1">
        <v>4503448403</v>
      </c>
      <c r="C226" t="s">
        <v>124</v>
      </c>
      <c r="D226" s="160">
        <v>1333111.1300000001</v>
      </c>
      <c r="G226" s="4"/>
      <c r="H226" s="4"/>
      <c r="I226">
        <v>2023</v>
      </c>
      <c r="J226">
        <v>1</v>
      </c>
      <c r="K226" s="4" t="s">
        <v>311</v>
      </c>
      <c r="L226" t="s">
        <v>89</v>
      </c>
      <c r="N226" t="s">
        <v>89</v>
      </c>
      <c r="O226" t="s">
        <v>9</v>
      </c>
      <c r="P226" t="s">
        <v>125</v>
      </c>
    </row>
    <row r="227" spans="1:16" hidden="1">
      <c r="A227" t="s">
        <v>316</v>
      </c>
      <c r="B227" s="1">
        <v>4590000425</v>
      </c>
      <c r="C227" t="s">
        <v>220</v>
      </c>
      <c r="D227" s="160">
        <v>341589</v>
      </c>
      <c r="G227" s="4"/>
      <c r="H227" s="4"/>
      <c r="I227">
        <v>2023</v>
      </c>
      <c r="J227">
        <v>1</v>
      </c>
      <c r="K227" s="4" t="s">
        <v>311</v>
      </c>
      <c r="L227" t="s">
        <v>89</v>
      </c>
      <c r="N227" t="s">
        <v>89</v>
      </c>
      <c r="O227" t="s">
        <v>13</v>
      </c>
      <c r="P227" t="s">
        <v>222</v>
      </c>
    </row>
    <row r="228" spans="1:16" hidden="1">
      <c r="A228" t="s">
        <v>317</v>
      </c>
      <c r="B228" s="1">
        <v>4590000428</v>
      </c>
      <c r="C228" t="s">
        <v>318</v>
      </c>
      <c r="D228" s="160">
        <v>1471475</v>
      </c>
      <c r="G228" s="4"/>
      <c r="H228" s="4"/>
      <c r="I228">
        <v>2023</v>
      </c>
      <c r="J228">
        <v>1</v>
      </c>
      <c r="K228" s="4" t="s">
        <v>311</v>
      </c>
      <c r="L228" t="s">
        <v>89</v>
      </c>
      <c r="N228" t="s">
        <v>89</v>
      </c>
      <c r="O228" t="s">
        <v>13</v>
      </c>
      <c r="P228" t="s">
        <v>222</v>
      </c>
    </row>
    <row r="229" spans="1:16" hidden="1">
      <c r="A229" t="s">
        <v>314</v>
      </c>
      <c r="B229" s="1">
        <v>4590000539</v>
      </c>
      <c r="C229" t="s">
        <v>155</v>
      </c>
      <c r="D229" s="160">
        <v>56875</v>
      </c>
      <c r="E229">
        <v>3179</v>
      </c>
      <c r="G229" s="4"/>
      <c r="H229" s="4"/>
      <c r="I229">
        <v>2023</v>
      </c>
      <c r="J229">
        <v>1</v>
      </c>
      <c r="K229" s="4" t="s">
        <v>311</v>
      </c>
      <c r="L229" t="s">
        <v>89</v>
      </c>
      <c r="N229" t="s">
        <v>89</v>
      </c>
      <c r="O229" t="s">
        <v>11</v>
      </c>
      <c r="P229" t="s">
        <v>156</v>
      </c>
    </row>
    <row r="230" spans="1:16" hidden="1">
      <c r="A230" t="s">
        <v>314</v>
      </c>
      <c r="B230" s="1">
        <v>4590000540</v>
      </c>
      <c r="C230" t="s">
        <v>157</v>
      </c>
      <c r="D230" s="160">
        <v>379174</v>
      </c>
      <c r="E230">
        <v>21196</v>
      </c>
      <c r="G230" s="4"/>
      <c r="H230" s="4"/>
      <c r="I230">
        <v>2023</v>
      </c>
      <c r="J230">
        <v>1</v>
      </c>
      <c r="K230" s="4" t="s">
        <v>311</v>
      </c>
      <c r="L230" t="s">
        <v>89</v>
      </c>
      <c r="N230" t="s">
        <v>89</v>
      </c>
      <c r="O230" t="s">
        <v>9</v>
      </c>
      <c r="P230" t="s">
        <v>156</v>
      </c>
    </row>
    <row r="231" spans="1:16" hidden="1">
      <c r="A231" t="s">
        <v>316</v>
      </c>
      <c r="B231" s="1">
        <v>4590001034</v>
      </c>
      <c r="C231" t="s">
        <v>248</v>
      </c>
      <c r="D231" s="160">
        <v>128017</v>
      </c>
      <c r="G231" s="4"/>
      <c r="H231" s="4"/>
      <c r="I231">
        <v>2023</v>
      </c>
      <c r="J231">
        <v>1</v>
      </c>
      <c r="K231" s="4" t="s">
        <v>311</v>
      </c>
      <c r="L231" t="s">
        <v>89</v>
      </c>
      <c r="N231" t="s">
        <v>89</v>
      </c>
      <c r="O231" t="s">
        <v>13</v>
      </c>
      <c r="P231" t="s">
        <v>222</v>
      </c>
    </row>
    <row r="232" spans="1:16" hidden="1">
      <c r="A232" t="s">
        <v>319</v>
      </c>
      <c r="B232" s="1">
        <v>4590002149</v>
      </c>
      <c r="C232" t="s">
        <v>289</v>
      </c>
      <c r="D232" s="160">
        <v>128264</v>
      </c>
      <c r="G232" s="4"/>
      <c r="H232" s="4"/>
      <c r="I232">
        <v>2023</v>
      </c>
      <c r="J232">
        <v>1</v>
      </c>
      <c r="K232" s="4" t="s">
        <v>311</v>
      </c>
      <c r="L232" t="s">
        <v>89</v>
      </c>
      <c r="N232" t="s">
        <v>89</v>
      </c>
      <c r="O232" t="s">
        <v>13</v>
      </c>
      <c r="P232" t="s">
        <v>291</v>
      </c>
    </row>
    <row r="233" spans="1:16" hidden="1">
      <c r="A233" t="s">
        <v>313</v>
      </c>
      <c r="B233" s="1">
        <v>4590003895</v>
      </c>
      <c r="C233" t="s">
        <v>320</v>
      </c>
      <c r="D233" s="160">
        <v>36498</v>
      </c>
      <c r="G233" s="4"/>
      <c r="H233" s="4"/>
      <c r="I233">
        <v>2023</v>
      </c>
      <c r="J233">
        <v>1</v>
      </c>
      <c r="K233" s="4" t="s">
        <v>311</v>
      </c>
      <c r="L233" t="s">
        <v>89</v>
      </c>
      <c r="N233" t="s">
        <v>89</v>
      </c>
      <c r="O233" t="s">
        <v>9</v>
      </c>
      <c r="P233" t="s">
        <v>118</v>
      </c>
    </row>
    <row r="234" spans="1:16" hidden="1">
      <c r="A234" t="s">
        <v>312</v>
      </c>
      <c r="B234" s="1">
        <v>4590005093</v>
      </c>
      <c r="C234" t="s">
        <v>194</v>
      </c>
      <c r="D234" s="160">
        <v>839966</v>
      </c>
      <c r="G234" s="4"/>
      <c r="H234" s="4"/>
      <c r="I234">
        <v>2023</v>
      </c>
      <c r="J234">
        <v>1</v>
      </c>
      <c r="K234" s="4" t="s">
        <v>311</v>
      </c>
      <c r="L234" t="s">
        <v>89</v>
      </c>
      <c r="N234" t="s">
        <v>89</v>
      </c>
      <c r="O234" t="s">
        <v>9</v>
      </c>
      <c r="P234" t="s">
        <v>196</v>
      </c>
    </row>
    <row r="235" spans="1:16" hidden="1">
      <c r="A235" t="s">
        <v>321</v>
      </c>
      <c r="B235" s="1">
        <v>4590006293</v>
      </c>
      <c r="C235" t="s">
        <v>322</v>
      </c>
      <c r="D235" s="160">
        <v>42476</v>
      </c>
      <c r="G235" s="4"/>
      <c r="H235" s="4"/>
      <c r="I235">
        <v>2023</v>
      </c>
      <c r="J235">
        <v>1</v>
      </c>
      <c r="K235" s="4" t="s">
        <v>311</v>
      </c>
      <c r="L235" t="s">
        <v>89</v>
      </c>
      <c r="N235" t="s">
        <v>89</v>
      </c>
      <c r="O235" t="s">
        <v>9</v>
      </c>
      <c r="P235" t="s">
        <v>120</v>
      </c>
    </row>
    <row r="236" spans="1:16" hidden="1">
      <c r="A236" t="s">
        <v>54</v>
      </c>
      <c r="B236" s="1">
        <v>4590006707</v>
      </c>
      <c r="C236" t="s">
        <v>226</v>
      </c>
      <c r="D236" s="160">
        <v>3367834.67</v>
      </c>
      <c r="G236" s="4"/>
      <c r="H236" s="4"/>
      <c r="I236">
        <v>2023</v>
      </c>
      <c r="J236">
        <v>1</v>
      </c>
      <c r="K236" s="4" t="s">
        <v>311</v>
      </c>
      <c r="L236" t="s">
        <v>89</v>
      </c>
      <c r="N236" t="s">
        <v>89</v>
      </c>
      <c r="O236" t="s">
        <v>13</v>
      </c>
      <c r="P236" t="s">
        <v>227</v>
      </c>
    </row>
    <row r="237" spans="1:16" hidden="1">
      <c r="A237" t="s">
        <v>321</v>
      </c>
      <c r="B237" s="1">
        <v>4590006720</v>
      </c>
      <c r="C237" t="s">
        <v>323</v>
      </c>
      <c r="D237" s="160">
        <v>34259</v>
      </c>
      <c r="G237" s="4"/>
      <c r="H237" s="4"/>
      <c r="I237">
        <v>2023</v>
      </c>
      <c r="J237">
        <v>1</v>
      </c>
      <c r="K237" s="4" t="s">
        <v>311</v>
      </c>
      <c r="L237" t="s">
        <v>89</v>
      </c>
      <c r="N237" t="s">
        <v>89</v>
      </c>
      <c r="O237" t="s">
        <v>9</v>
      </c>
      <c r="P237" t="s">
        <v>120</v>
      </c>
    </row>
    <row r="238" spans="1:16" hidden="1">
      <c r="A238" t="s">
        <v>321</v>
      </c>
      <c r="B238" s="1">
        <v>4590008082</v>
      </c>
      <c r="C238" t="s">
        <v>324</v>
      </c>
      <c r="D238" s="160">
        <v>543706</v>
      </c>
      <c r="G238" s="4"/>
      <c r="H238" s="4"/>
      <c r="I238">
        <v>2023</v>
      </c>
      <c r="J238">
        <v>1</v>
      </c>
      <c r="K238" s="4" t="s">
        <v>311</v>
      </c>
      <c r="L238" t="s">
        <v>89</v>
      </c>
      <c r="N238" t="s">
        <v>89</v>
      </c>
      <c r="O238" t="s">
        <v>11</v>
      </c>
      <c r="P238" t="s">
        <v>122</v>
      </c>
    </row>
    <row r="239" spans="1:16" hidden="1">
      <c r="A239" t="s">
        <v>325</v>
      </c>
      <c r="B239" s="1" t="s">
        <v>326</v>
      </c>
      <c r="C239" t="s">
        <v>327</v>
      </c>
      <c r="D239" s="160">
        <v>257691.06</v>
      </c>
      <c r="F239" t="s">
        <v>328</v>
      </c>
      <c r="G239" s="4"/>
      <c r="H239" s="4"/>
      <c r="I239">
        <v>2023</v>
      </c>
      <c r="J239">
        <v>6</v>
      </c>
      <c r="K239" s="4" t="s">
        <v>298</v>
      </c>
      <c r="L239" t="s">
        <v>329</v>
      </c>
      <c r="M239" t="s">
        <v>330</v>
      </c>
      <c r="N239" t="s">
        <v>331</v>
      </c>
      <c r="O239" t="s">
        <v>18</v>
      </c>
      <c r="P239" t="s">
        <v>332</v>
      </c>
    </row>
    <row r="240" spans="1:16" hidden="1">
      <c r="A240" t="s">
        <v>333</v>
      </c>
      <c r="B240" s="1">
        <v>4590008319</v>
      </c>
      <c r="C240" t="s">
        <v>334</v>
      </c>
      <c r="D240" s="160">
        <v>355581</v>
      </c>
      <c r="G240" s="4"/>
      <c r="H240" s="4"/>
      <c r="I240">
        <v>2023</v>
      </c>
      <c r="J240">
        <v>1</v>
      </c>
      <c r="K240" s="4" t="s">
        <v>311</v>
      </c>
      <c r="L240" t="s">
        <v>89</v>
      </c>
      <c r="N240" t="s">
        <v>89</v>
      </c>
      <c r="O240" t="s">
        <v>9</v>
      </c>
      <c r="P240" t="s">
        <v>335</v>
      </c>
    </row>
    <row r="241" spans="1:16" hidden="1">
      <c r="A241" t="s">
        <v>336</v>
      </c>
      <c r="B241" s="1" t="s">
        <v>127</v>
      </c>
      <c r="C241" t="s">
        <v>128</v>
      </c>
      <c r="D241" s="160">
        <v>7748103.9999999981</v>
      </c>
      <c r="G241" s="4"/>
      <c r="H241" s="4"/>
      <c r="I241">
        <v>2023</v>
      </c>
      <c r="J241">
        <v>1</v>
      </c>
      <c r="K241" s="4" t="s">
        <v>311</v>
      </c>
      <c r="L241" t="s">
        <v>89</v>
      </c>
      <c r="N241" t="s">
        <v>89</v>
      </c>
      <c r="O241" t="s">
        <v>9</v>
      </c>
      <c r="P241" t="s">
        <v>129</v>
      </c>
    </row>
    <row r="242" spans="1:16" hidden="1">
      <c r="A242" t="s">
        <v>336</v>
      </c>
      <c r="B242" s="1" t="s">
        <v>130</v>
      </c>
      <c r="C242" t="s">
        <v>131</v>
      </c>
      <c r="D242" s="160">
        <v>2657657</v>
      </c>
      <c r="G242" s="4"/>
      <c r="H242" s="4"/>
      <c r="I242">
        <v>2023</v>
      </c>
      <c r="J242">
        <v>1</v>
      </c>
      <c r="K242" s="4" t="s">
        <v>311</v>
      </c>
      <c r="L242" t="s">
        <v>89</v>
      </c>
      <c r="N242" t="s">
        <v>89</v>
      </c>
      <c r="O242" t="s">
        <v>9</v>
      </c>
      <c r="P242" t="s">
        <v>129</v>
      </c>
    </row>
    <row r="243" spans="1:16" hidden="1">
      <c r="A243" t="s">
        <v>337</v>
      </c>
      <c r="B243" s="1" t="s">
        <v>133</v>
      </c>
      <c r="C243" t="s">
        <v>134</v>
      </c>
      <c r="D243" s="160">
        <v>423674</v>
      </c>
      <c r="G243" s="4"/>
      <c r="H243" s="4"/>
      <c r="I243">
        <v>2023</v>
      </c>
      <c r="J243">
        <v>1</v>
      </c>
      <c r="K243" s="4" t="s">
        <v>311</v>
      </c>
      <c r="L243" t="s">
        <v>89</v>
      </c>
      <c r="N243" t="s">
        <v>89</v>
      </c>
      <c r="O243" t="s">
        <v>9</v>
      </c>
      <c r="P243" t="s">
        <v>135</v>
      </c>
    </row>
    <row r="244" spans="1:16" hidden="1">
      <c r="A244" t="s">
        <v>337</v>
      </c>
      <c r="B244" s="1" t="s">
        <v>136</v>
      </c>
      <c r="C244" t="s">
        <v>137</v>
      </c>
      <c r="D244" s="160">
        <v>235377</v>
      </c>
      <c r="G244" s="4"/>
      <c r="H244" s="4"/>
      <c r="I244">
        <v>2023</v>
      </c>
      <c r="J244">
        <v>1</v>
      </c>
      <c r="K244" s="4" t="s">
        <v>311</v>
      </c>
      <c r="L244" t="s">
        <v>89</v>
      </c>
      <c r="N244" t="s">
        <v>89</v>
      </c>
      <c r="O244" t="s">
        <v>9</v>
      </c>
      <c r="P244" t="s">
        <v>135</v>
      </c>
    </row>
    <row r="245" spans="1:16" hidden="1">
      <c r="A245" t="s">
        <v>312</v>
      </c>
      <c r="B245" s="1" t="s">
        <v>231</v>
      </c>
      <c r="C245" t="s">
        <v>232</v>
      </c>
      <c r="D245" s="160">
        <v>114541</v>
      </c>
      <c r="G245" s="4"/>
      <c r="H245" s="4"/>
      <c r="I245">
        <v>2023</v>
      </c>
      <c r="J245">
        <v>1</v>
      </c>
      <c r="K245" s="4" t="s">
        <v>311</v>
      </c>
      <c r="L245" t="s">
        <v>89</v>
      </c>
      <c r="N245" t="s">
        <v>89</v>
      </c>
      <c r="O245" t="s">
        <v>11</v>
      </c>
      <c r="P245" t="s">
        <v>104</v>
      </c>
    </row>
    <row r="246" spans="1:16" hidden="1">
      <c r="A246" t="s">
        <v>312</v>
      </c>
      <c r="B246" s="1" t="s">
        <v>338</v>
      </c>
      <c r="C246" t="s">
        <v>339</v>
      </c>
      <c r="D246" s="160">
        <v>81528</v>
      </c>
      <c r="G246" s="4"/>
      <c r="H246" s="4"/>
      <c r="I246">
        <v>2023</v>
      </c>
      <c r="J246">
        <v>1</v>
      </c>
      <c r="K246" s="4" t="s">
        <v>311</v>
      </c>
      <c r="L246" t="s">
        <v>89</v>
      </c>
      <c r="N246" t="s">
        <v>89</v>
      </c>
      <c r="O246" t="s">
        <v>11</v>
      </c>
      <c r="P246" t="s">
        <v>120</v>
      </c>
    </row>
    <row r="247" spans="1:16" hidden="1">
      <c r="A247" t="s">
        <v>340</v>
      </c>
      <c r="B247" s="1" t="s">
        <v>305</v>
      </c>
      <c r="C247" t="s">
        <v>306</v>
      </c>
      <c r="D247" s="160">
        <v>46322.09</v>
      </c>
      <c r="G247" s="4"/>
      <c r="H247" s="4"/>
      <c r="I247">
        <v>2023</v>
      </c>
      <c r="J247">
        <v>1</v>
      </c>
      <c r="K247" s="4" t="s">
        <v>311</v>
      </c>
      <c r="L247" t="s">
        <v>89</v>
      </c>
      <c r="N247" t="s">
        <v>89</v>
      </c>
      <c r="O247" t="s">
        <v>15</v>
      </c>
      <c r="P247" t="s">
        <v>278</v>
      </c>
    </row>
    <row r="248" spans="1:16" hidden="1">
      <c r="A248" t="s">
        <v>341</v>
      </c>
      <c r="B248" s="1" t="s">
        <v>280</v>
      </c>
      <c r="C248" t="s">
        <v>281</v>
      </c>
      <c r="D248" s="160">
        <v>1060176</v>
      </c>
      <c r="G248" s="4"/>
      <c r="H248" s="4"/>
      <c r="I248">
        <v>2023</v>
      </c>
      <c r="J248">
        <v>1</v>
      </c>
      <c r="K248" s="4" t="s">
        <v>311</v>
      </c>
      <c r="L248" t="s">
        <v>89</v>
      </c>
      <c r="N248" t="s">
        <v>89</v>
      </c>
      <c r="O248" t="s">
        <v>18</v>
      </c>
      <c r="P248" t="s">
        <v>282</v>
      </c>
    </row>
    <row r="249" spans="1:16" hidden="1">
      <c r="A249" t="s">
        <v>237</v>
      </c>
      <c r="B249" s="1" t="s">
        <v>238</v>
      </c>
      <c r="C249" t="s">
        <v>239</v>
      </c>
      <c r="D249" s="160">
        <v>94071</v>
      </c>
      <c r="G249" s="4"/>
      <c r="H249" s="4"/>
      <c r="I249">
        <v>2023</v>
      </c>
      <c r="J249">
        <v>1</v>
      </c>
      <c r="K249" s="4" t="s">
        <v>311</v>
      </c>
      <c r="L249" t="s">
        <v>89</v>
      </c>
      <c r="N249" t="s">
        <v>89</v>
      </c>
      <c r="O249" t="s">
        <v>18</v>
      </c>
      <c r="P249" t="s">
        <v>240</v>
      </c>
    </row>
    <row r="250" spans="1:16" hidden="1">
      <c r="A250" t="s">
        <v>161</v>
      </c>
      <c r="B250" s="1" t="s">
        <v>162</v>
      </c>
      <c r="C250" t="s">
        <v>163</v>
      </c>
      <c r="D250" s="160">
        <v>802636.68</v>
      </c>
      <c r="G250" s="4"/>
      <c r="H250" s="4"/>
      <c r="I250">
        <v>2023</v>
      </c>
      <c r="J250">
        <v>1</v>
      </c>
      <c r="K250" s="4" t="s">
        <v>311</v>
      </c>
      <c r="L250" t="s">
        <v>89</v>
      </c>
      <c r="N250" t="s">
        <v>89</v>
      </c>
      <c r="O250" t="s">
        <v>18</v>
      </c>
      <c r="P250" t="s">
        <v>164</v>
      </c>
    </row>
    <row r="251" spans="1:16" hidden="1">
      <c r="A251" t="s">
        <v>86</v>
      </c>
      <c r="B251" s="1">
        <v>4503243471</v>
      </c>
      <c r="C251" t="s">
        <v>99</v>
      </c>
      <c r="D251" s="160">
        <v>6081.6</v>
      </c>
      <c r="G251" s="4"/>
      <c r="H251" s="4"/>
      <c r="I251">
        <v>2023</v>
      </c>
      <c r="J251">
        <v>2</v>
      </c>
      <c r="K251" s="4" t="s">
        <v>94</v>
      </c>
      <c r="L251" t="s">
        <v>89</v>
      </c>
      <c r="N251" t="s">
        <v>89</v>
      </c>
      <c r="O251" t="s">
        <v>9</v>
      </c>
      <c r="P251" t="s">
        <v>100</v>
      </c>
    </row>
    <row r="252" spans="1:16" hidden="1">
      <c r="A252" t="s">
        <v>102</v>
      </c>
      <c r="B252" s="1">
        <v>4503290109</v>
      </c>
      <c r="C252" t="s">
        <v>103</v>
      </c>
      <c r="D252" s="160">
        <v>5047629</v>
      </c>
      <c r="G252" s="4"/>
      <c r="H252" s="4"/>
      <c r="I252">
        <v>2023</v>
      </c>
      <c r="J252">
        <v>2</v>
      </c>
      <c r="K252" s="4" t="s">
        <v>94</v>
      </c>
      <c r="L252" t="s">
        <v>89</v>
      </c>
      <c r="N252" t="s">
        <v>89</v>
      </c>
      <c r="O252" t="s">
        <v>9</v>
      </c>
      <c r="P252" t="s">
        <v>104</v>
      </c>
    </row>
    <row r="253" spans="1:16" hidden="1">
      <c r="A253" t="s">
        <v>102</v>
      </c>
      <c r="B253" s="1">
        <v>4503312319</v>
      </c>
      <c r="C253" t="s">
        <v>110</v>
      </c>
      <c r="D253" s="160">
        <v>427572</v>
      </c>
      <c r="F253" t="s">
        <v>342</v>
      </c>
      <c r="G253" s="4"/>
      <c r="H253" s="4"/>
      <c r="I253">
        <v>2023</v>
      </c>
      <c r="J253">
        <v>2</v>
      </c>
      <c r="K253" s="4" t="s">
        <v>94</v>
      </c>
      <c r="L253" t="s">
        <v>89</v>
      </c>
      <c r="N253" t="s">
        <v>89</v>
      </c>
      <c r="O253" t="s">
        <v>9</v>
      </c>
      <c r="P253" t="s">
        <v>111</v>
      </c>
    </row>
    <row r="254" spans="1:16" hidden="1">
      <c r="A254" t="s">
        <v>116</v>
      </c>
      <c r="B254" s="1">
        <v>4503428513</v>
      </c>
      <c r="C254" t="s">
        <v>117</v>
      </c>
      <c r="D254" s="160">
        <v>1737663</v>
      </c>
      <c r="F254" t="s">
        <v>343</v>
      </c>
      <c r="G254" s="4"/>
      <c r="H254" s="4"/>
      <c r="I254">
        <v>2023</v>
      </c>
      <c r="J254">
        <v>2</v>
      </c>
      <c r="K254" s="4" t="s">
        <v>94</v>
      </c>
      <c r="L254" t="s">
        <v>89</v>
      </c>
      <c r="N254" t="s">
        <v>89</v>
      </c>
      <c r="O254" t="s">
        <v>9</v>
      </c>
      <c r="P254" t="s">
        <v>118</v>
      </c>
    </row>
    <row r="255" spans="1:16" hidden="1">
      <c r="A255" t="s">
        <v>102</v>
      </c>
      <c r="B255" s="1">
        <v>4503432118</v>
      </c>
      <c r="C255" t="s">
        <v>119</v>
      </c>
      <c r="D255" s="160">
        <v>9959442</v>
      </c>
      <c r="F255" t="s">
        <v>344</v>
      </c>
      <c r="G255" s="4"/>
      <c r="H255" s="4"/>
      <c r="I255">
        <v>2023</v>
      </c>
      <c r="J255">
        <v>2</v>
      </c>
      <c r="K255" s="4" t="s">
        <v>94</v>
      </c>
      <c r="L255" t="s">
        <v>89</v>
      </c>
      <c r="N255" t="s">
        <v>89</v>
      </c>
      <c r="O255" t="s">
        <v>9</v>
      </c>
      <c r="P255" t="s">
        <v>120</v>
      </c>
    </row>
    <row r="256" spans="1:16" hidden="1">
      <c r="A256" t="s">
        <v>102</v>
      </c>
      <c r="B256" s="1">
        <v>4503432152</v>
      </c>
      <c r="C256" t="s">
        <v>121</v>
      </c>
      <c r="D256" s="160">
        <v>72680</v>
      </c>
      <c r="F256" t="s">
        <v>345</v>
      </c>
      <c r="G256" s="4"/>
      <c r="H256" s="4"/>
      <c r="I256">
        <v>2023</v>
      </c>
      <c r="J256">
        <v>2</v>
      </c>
      <c r="K256" s="4" t="s">
        <v>94</v>
      </c>
      <c r="L256" t="s">
        <v>89</v>
      </c>
      <c r="N256" t="s">
        <v>89</v>
      </c>
      <c r="O256" t="s">
        <v>9</v>
      </c>
      <c r="P256" t="s">
        <v>122</v>
      </c>
    </row>
    <row r="257" spans="1:16" hidden="1">
      <c r="A257" t="s">
        <v>139</v>
      </c>
      <c r="B257" s="1">
        <v>4503441102</v>
      </c>
      <c r="C257" t="s">
        <v>140</v>
      </c>
      <c r="D257" s="160">
        <v>1208945</v>
      </c>
      <c r="E257">
        <v>67580</v>
      </c>
      <c r="G257" s="4"/>
      <c r="H257" s="4"/>
      <c r="I257">
        <v>2023</v>
      </c>
      <c r="J257">
        <v>2</v>
      </c>
      <c r="K257" s="4" t="s">
        <v>94</v>
      </c>
      <c r="L257" t="s">
        <v>89</v>
      </c>
      <c r="N257" t="s">
        <v>89</v>
      </c>
      <c r="O257" t="s">
        <v>9</v>
      </c>
      <c r="P257" t="s">
        <v>141</v>
      </c>
    </row>
    <row r="258" spans="1:16" hidden="1">
      <c r="A258" t="s">
        <v>123</v>
      </c>
      <c r="B258" s="1">
        <v>4503448403</v>
      </c>
      <c r="C258" t="s">
        <v>124</v>
      </c>
      <c r="D258" s="160">
        <v>1570604.13</v>
      </c>
      <c r="G258" s="4"/>
      <c r="H258" s="4"/>
      <c r="I258">
        <v>2023</v>
      </c>
      <c r="J258">
        <v>2</v>
      </c>
      <c r="K258" s="4" t="s">
        <v>94</v>
      </c>
      <c r="L258" t="s">
        <v>89</v>
      </c>
      <c r="N258" t="s">
        <v>89</v>
      </c>
      <c r="O258" t="s">
        <v>9</v>
      </c>
      <c r="P258" t="s">
        <v>125</v>
      </c>
    </row>
    <row r="259" spans="1:16" hidden="1">
      <c r="A259" t="s">
        <v>219</v>
      </c>
      <c r="B259" s="1">
        <v>4590000425</v>
      </c>
      <c r="C259" t="s">
        <v>220</v>
      </c>
      <c r="D259" s="160">
        <v>536466</v>
      </c>
      <c r="G259" s="4"/>
      <c r="H259" s="4"/>
      <c r="I259">
        <v>2023</v>
      </c>
      <c r="J259">
        <v>2</v>
      </c>
      <c r="K259" s="4" t="s">
        <v>94</v>
      </c>
      <c r="L259" t="s">
        <v>89</v>
      </c>
      <c r="N259" t="s">
        <v>89</v>
      </c>
      <c r="O259" t="s">
        <v>13</v>
      </c>
      <c r="P259" t="s">
        <v>222</v>
      </c>
    </row>
    <row r="260" spans="1:16" hidden="1">
      <c r="A260" t="s">
        <v>346</v>
      </c>
      <c r="B260" s="1">
        <v>4590000428</v>
      </c>
      <c r="C260" t="s">
        <v>318</v>
      </c>
      <c r="D260" s="160">
        <v>146491</v>
      </c>
      <c r="F260" t="s">
        <v>347</v>
      </c>
      <c r="G260" s="4"/>
      <c r="H260" s="4"/>
      <c r="I260">
        <v>2023</v>
      </c>
      <c r="J260">
        <v>2</v>
      </c>
      <c r="K260" s="4" t="s">
        <v>94</v>
      </c>
      <c r="L260" t="s">
        <v>89</v>
      </c>
      <c r="N260" t="s">
        <v>89</v>
      </c>
      <c r="O260" t="s">
        <v>13</v>
      </c>
      <c r="P260" t="s">
        <v>222</v>
      </c>
    </row>
    <row r="261" spans="1:16" hidden="1">
      <c r="A261" t="s">
        <v>139</v>
      </c>
      <c r="B261" s="1">
        <v>4590000540</v>
      </c>
      <c r="C261" t="s">
        <v>157</v>
      </c>
      <c r="D261" s="160">
        <v>273104</v>
      </c>
      <c r="E261">
        <v>15267</v>
      </c>
      <c r="G261" s="4"/>
      <c r="H261" s="4"/>
      <c r="I261">
        <v>2023</v>
      </c>
      <c r="J261">
        <v>2</v>
      </c>
      <c r="K261" s="4" t="s">
        <v>94</v>
      </c>
      <c r="L261" t="s">
        <v>89</v>
      </c>
      <c r="N261" t="s">
        <v>89</v>
      </c>
      <c r="O261" t="s">
        <v>9</v>
      </c>
      <c r="P261" t="s">
        <v>156</v>
      </c>
    </row>
    <row r="262" spans="1:16" hidden="1">
      <c r="A262" t="s">
        <v>219</v>
      </c>
      <c r="B262" s="1">
        <v>4590001034</v>
      </c>
      <c r="C262" t="s">
        <v>248</v>
      </c>
      <c r="D262" s="160">
        <v>63888</v>
      </c>
      <c r="F262" t="s">
        <v>348</v>
      </c>
      <c r="G262" s="4"/>
      <c r="H262" s="4"/>
      <c r="I262">
        <v>2023</v>
      </c>
      <c r="J262">
        <v>2</v>
      </c>
      <c r="K262" s="4" t="s">
        <v>94</v>
      </c>
      <c r="L262" t="s">
        <v>89</v>
      </c>
      <c r="N262" t="s">
        <v>89</v>
      </c>
      <c r="O262" t="s">
        <v>13</v>
      </c>
      <c r="P262" t="s">
        <v>222</v>
      </c>
    </row>
    <row r="263" spans="1:16" hidden="1">
      <c r="A263" t="s">
        <v>288</v>
      </c>
      <c r="B263" s="1">
        <v>4590002149</v>
      </c>
      <c r="C263" t="s">
        <v>289</v>
      </c>
      <c r="D263" s="160">
        <v>134693</v>
      </c>
      <c r="G263" s="4"/>
      <c r="H263" s="4"/>
      <c r="I263">
        <v>2023</v>
      </c>
      <c r="J263">
        <v>2</v>
      </c>
      <c r="K263" s="4" t="s">
        <v>94</v>
      </c>
      <c r="L263" t="s">
        <v>89</v>
      </c>
      <c r="N263" t="s">
        <v>89</v>
      </c>
      <c r="O263" t="s">
        <v>13</v>
      </c>
      <c r="P263" t="s">
        <v>291</v>
      </c>
    </row>
    <row r="264" spans="1:16" hidden="1">
      <c r="A264" t="s">
        <v>86</v>
      </c>
      <c r="B264" s="1">
        <v>4590002851</v>
      </c>
      <c r="C264" t="s">
        <v>349</v>
      </c>
      <c r="D264" s="160">
        <v>100880.34</v>
      </c>
      <c r="F264" t="s">
        <v>350</v>
      </c>
      <c r="G264" s="4"/>
      <c r="H264" s="4"/>
      <c r="I264">
        <v>2023</v>
      </c>
      <c r="J264">
        <v>2</v>
      </c>
      <c r="K264" s="4" t="s">
        <v>94</v>
      </c>
      <c r="L264" t="s">
        <v>89</v>
      </c>
      <c r="N264" t="s">
        <v>89</v>
      </c>
      <c r="O264" t="s">
        <v>13</v>
      </c>
      <c r="P264" t="s">
        <v>351</v>
      </c>
    </row>
    <row r="265" spans="1:16" hidden="1">
      <c r="A265" t="s">
        <v>102</v>
      </c>
      <c r="B265" s="1">
        <v>4590004029</v>
      </c>
      <c r="C265" t="s">
        <v>352</v>
      </c>
      <c r="D265" s="160">
        <v>298305</v>
      </c>
      <c r="F265" t="s">
        <v>353</v>
      </c>
      <c r="G265" s="4"/>
      <c r="H265" s="4"/>
      <c r="I265">
        <v>2023</v>
      </c>
      <c r="J265">
        <v>2</v>
      </c>
      <c r="K265" s="4" t="s">
        <v>94</v>
      </c>
      <c r="L265" t="s">
        <v>89</v>
      </c>
      <c r="N265" t="s">
        <v>89</v>
      </c>
      <c r="O265" t="s">
        <v>11</v>
      </c>
      <c r="P265" t="s">
        <v>120</v>
      </c>
    </row>
    <row r="266" spans="1:16" hidden="1">
      <c r="A266" t="s">
        <v>265</v>
      </c>
      <c r="B266" s="1">
        <v>4590006750</v>
      </c>
      <c r="C266" t="s">
        <v>266</v>
      </c>
      <c r="D266" s="160">
        <v>7119456</v>
      </c>
      <c r="F266" t="s">
        <v>354</v>
      </c>
      <c r="G266" s="4"/>
      <c r="H266" s="4"/>
      <c r="I266">
        <v>2023</v>
      </c>
      <c r="J266">
        <v>5</v>
      </c>
      <c r="K266" s="4" t="s">
        <v>355</v>
      </c>
      <c r="L266" t="s">
        <v>89</v>
      </c>
      <c r="N266" t="s">
        <v>89</v>
      </c>
      <c r="O266" t="s">
        <v>8</v>
      </c>
      <c r="P266" t="s">
        <v>268</v>
      </c>
    </row>
    <row r="267" spans="1:16" hidden="1">
      <c r="A267" t="s">
        <v>86</v>
      </c>
      <c r="B267" s="1">
        <v>4590008129</v>
      </c>
      <c r="C267" t="s">
        <v>356</v>
      </c>
      <c r="D267" s="160">
        <v>23257.83</v>
      </c>
      <c r="G267" s="4"/>
      <c r="H267" s="4"/>
      <c r="I267">
        <v>2023</v>
      </c>
      <c r="J267">
        <v>2</v>
      </c>
      <c r="K267" s="4" t="s">
        <v>94</v>
      </c>
      <c r="L267" t="s">
        <v>89</v>
      </c>
      <c r="N267" t="s">
        <v>89</v>
      </c>
      <c r="O267" t="s">
        <v>19</v>
      </c>
      <c r="P267" t="s">
        <v>357</v>
      </c>
    </row>
    <row r="268" spans="1:16" hidden="1">
      <c r="A268" t="s">
        <v>102</v>
      </c>
      <c r="B268" s="1">
        <v>4590008240</v>
      </c>
      <c r="C268" t="s">
        <v>302</v>
      </c>
      <c r="D268" s="160">
        <v>550622</v>
      </c>
      <c r="F268" t="s">
        <v>358</v>
      </c>
      <c r="G268" s="4"/>
      <c r="H268" s="4"/>
      <c r="I268">
        <v>2023</v>
      </c>
      <c r="J268">
        <v>2</v>
      </c>
      <c r="K268" s="4" t="s">
        <v>94</v>
      </c>
      <c r="L268" t="s">
        <v>89</v>
      </c>
      <c r="N268" t="s">
        <v>89</v>
      </c>
      <c r="O268" t="s">
        <v>9</v>
      </c>
      <c r="P268" t="s">
        <v>303</v>
      </c>
    </row>
    <row r="269" spans="1:16" hidden="1">
      <c r="A269" t="s">
        <v>123</v>
      </c>
      <c r="B269" s="1">
        <v>4590008674</v>
      </c>
      <c r="C269" t="s">
        <v>359</v>
      </c>
      <c r="D269" s="160">
        <v>61129</v>
      </c>
      <c r="F269" t="s">
        <v>360</v>
      </c>
      <c r="G269" s="4"/>
      <c r="H269" s="4"/>
      <c r="I269">
        <v>2023</v>
      </c>
      <c r="J269">
        <v>2</v>
      </c>
      <c r="K269" s="4" t="s">
        <v>94</v>
      </c>
      <c r="L269" t="s">
        <v>89</v>
      </c>
      <c r="N269" t="s">
        <v>89</v>
      </c>
      <c r="O269" t="s">
        <v>13</v>
      </c>
      <c r="P269" t="s">
        <v>361</v>
      </c>
    </row>
    <row r="270" spans="1:16" hidden="1">
      <c r="A270" t="s">
        <v>102</v>
      </c>
      <c r="B270" s="1">
        <v>4590009036</v>
      </c>
      <c r="C270" t="s">
        <v>362</v>
      </c>
      <c r="D270" s="160">
        <v>8973</v>
      </c>
      <c r="F270" t="s">
        <v>363</v>
      </c>
      <c r="G270" s="4"/>
      <c r="H270" s="4"/>
      <c r="I270">
        <v>2023</v>
      </c>
      <c r="J270">
        <v>2</v>
      </c>
      <c r="K270" s="4" t="s">
        <v>94</v>
      </c>
      <c r="L270" t="s">
        <v>89</v>
      </c>
      <c r="N270" t="s">
        <v>89</v>
      </c>
      <c r="O270" t="s">
        <v>9</v>
      </c>
      <c r="P270" t="s">
        <v>104</v>
      </c>
    </row>
    <row r="271" spans="1:16" hidden="1">
      <c r="A271" t="s">
        <v>307</v>
      </c>
      <c r="B271" s="1" t="s">
        <v>364</v>
      </c>
      <c r="C271" t="s">
        <v>365</v>
      </c>
      <c r="D271" s="160">
        <v>2246.0100000000002</v>
      </c>
      <c r="G271" s="4"/>
      <c r="H271" s="4"/>
      <c r="I271">
        <v>2023</v>
      </c>
      <c r="J271">
        <v>2</v>
      </c>
      <c r="K271" s="4" t="s">
        <v>94</v>
      </c>
      <c r="L271" t="s">
        <v>89</v>
      </c>
      <c r="N271" t="s">
        <v>89</v>
      </c>
      <c r="O271" t="s">
        <v>18</v>
      </c>
      <c r="P271" t="s">
        <v>310</v>
      </c>
    </row>
    <row r="272" spans="1:16" hidden="1">
      <c r="A272" t="s">
        <v>307</v>
      </c>
      <c r="B272" s="1" t="s">
        <v>366</v>
      </c>
      <c r="C272" t="s">
        <v>367</v>
      </c>
      <c r="D272" s="160">
        <v>1929.25</v>
      </c>
      <c r="G272" s="4"/>
      <c r="H272" s="4"/>
      <c r="I272">
        <v>2023</v>
      </c>
      <c r="J272">
        <v>2</v>
      </c>
      <c r="K272" s="4" t="s">
        <v>94</v>
      </c>
      <c r="L272" t="s">
        <v>89</v>
      </c>
      <c r="N272" t="s">
        <v>89</v>
      </c>
      <c r="O272" t="s">
        <v>18</v>
      </c>
      <c r="P272" t="s">
        <v>310</v>
      </c>
    </row>
    <row r="273" spans="1:16" hidden="1">
      <c r="A273" t="s">
        <v>126</v>
      </c>
      <c r="B273" s="1" t="s">
        <v>127</v>
      </c>
      <c r="C273" t="s">
        <v>128</v>
      </c>
      <c r="D273" s="160">
        <v>2922004</v>
      </c>
      <c r="F273" t="s">
        <v>368</v>
      </c>
      <c r="G273" s="4"/>
      <c r="H273" s="4"/>
      <c r="I273">
        <v>2023</v>
      </c>
      <c r="J273">
        <v>2</v>
      </c>
      <c r="K273" s="4" t="s">
        <v>94</v>
      </c>
      <c r="L273" t="s">
        <v>89</v>
      </c>
      <c r="N273" t="s">
        <v>89</v>
      </c>
      <c r="O273" t="s">
        <v>9</v>
      </c>
      <c r="P273" t="s">
        <v>129</v>
      </c>
    </row>
    <row r="274" spans="1:16" hidden="1">
      <c r="A274" t="s">
        <v>126</v>
      </c>
      <c r="B274" s="1" t="s">
        <v>130</v>
      </c>
      <c r="C274" t="s">
        <v>131</v>
      </c>
      <c r="D274" s="160">
        <v>399184</v>
      </c>
      <c r="G274" s="4"/>
      <c r="H274" s="4"/>
      <c r="I274">
        <v>2023</v>
      </c>
      <c r="J274">
        <v>2</v>
      </c>
      <c r="K274" s="4" t="s">
        <v>94</v>
      </c>
      <c r="L274" t="s">
        <v>89</v>
      </c>
      <c r="N274" t="s">
        <v>89</v>
      </c>
      <c r="O274" t="s">
        <v>9</v>
      </c>
      <c r="P274" t="s">
        <v>129</v>
      </c>
    </row>
    <row r="275" spans="1:16" hidden="1">
      <c r="A275" t="s">
        <v>132</v>
      </c>
      <c r="B275" s="1" t="s">
        <v>133</v>
      </c>
      <c r="C275" t="s">
        <v>134</v>
      </c>
      <c r="D275" s="160">
        <v>247322</v>
      </c>
      <c r="G275" s="4"/>
      <c r="H275" s="4"/>
      <c r="I275">
        <v>2023</v>
      </c>
      <c r="J275">
        <v>2</v>
      </c>
      <c r="K275" s="4" t="s">
        <v>94</v>
      </c>
      <c r="L275" t="s">
        <v>89</v>
      </c>
      <c r="N275" t="s">
        <v>89</v>
      </c>
      <c r="O275" t="s">
        <v>9</v>
      </c>
      <c r="P275" t="s">
        <v>135</v>
      </c>
    </row>
    <row r="276" spans="1:16" hidden="1">
      <c r="A276" t="s">
        <v>132</v>
      </c>
      <c r="B276" s="1" t="s">
        <v>136</v>
      </c>
      <c r="C276" t="s">
        <v>137</v>
      </c>
      <c r="D276" s="160">
        <v>86047</v>
      </c>
      <c r="G276" s="4"/>
      <c r="H276" s="4"/>
      <c r="I276">
        <v>2023</v>
      </c>
      <c r="J276">
        <v>2</v>
      </c>
      <c r="K276" s="4" t="s">
        <v>94</v>
      </c>
      <c r="L276" t="s">
        <v>89</v>
      </c>
      <c r="N276" t="s">
        <v>89</v>
      </c>
      <c r="O276" t="s">
        <v>9</v>
      </c>
      <c r="P276" t="s">
        <v>135</v>
      </c>
    </row>
    <row r="277" spans="1:16" hidden="1">
      <c r="A277" t="s">
        <v>102</v>
      </c>
      <c r="B277" s="1" t="s">
        <v>338</v>
      </c>
      <c r="C277" t="s">
        <v>339</v>
      </c>
      <c r="D277" s="160">
        <v>428150</v>
      </c>
      <c r="F277" t="s">
        <v>369</v>
      </c>
      <c r="G277" s="4"/>
      <c r="H277" s="4"/>
      <c r="I277">
        <v>2023</v>
      </c>
      <c r="J277">
        <v>2</v>
      </c>
      <c r="K277" s="4" t="s">
        <v>94</v>
      </c>
      <c r="L277" t="s">
        <v>89</v>
      </c>
      <c r="N277" t="s">
        <v>89</v>
      </c>
      <c r="O277" t="s">
        <v>11</v>
      </c>
      <c r="P277" t="s">
        <v>120</v>
      </c>
    </row>
    <row r="278" spans="1:16" hidden="1">
      <c r="A278" t="s">
        <v>102</v>
      </c>
      <c r="B278" s="1" t="s">
        <v>234</v>
      </c>
      <c r="C278" t="s">
        <v>235</v>
      </c>
      <c r="D278" s="160">
        <v>202105</v>
      </c>
      <c r="F278" t="s">
        <v>370</v>
      </c>
      <c r="G278" s="4"/>
      <c r="H278" s="4"/>
      <c r="I278">
        <v>2023</v>
      </c>
      <c r="J278">
        <v>2</v>
      </c>
      <c r="K278" s="4" t="s">
        <v>94</v>
      </c>
      <c r="L278" t="s">
        <v>89</v>
      </c>
      <c r="N278" t="s">
        <v>89</v>
      </c>
      <c r="O278" t="s">
        <v>11</v>
      </c>
      <c r="P278" t="s">
        <v>104</v>
      </c>
    </row>
    <row r="279" spans="1:16" hidden="1">
      <c r="A279" t="s">
        <v>102</v>
      </c>
      <c r="B279" s="1" t="s">
        <v>371</v>
      </c>
      <c r="C279" t="s">
        <v>372</v>
      </c>
      <c r="D279" s="160">
        <v>38937</v>
      </c>
      <c r="F279" t="s">
        <v>373</v>
      </c>
      <c r="G279" s="4"/>
      <c r="H279" s="4"/>
      <c r="I279">
        <v>2023</v>
      </c>
      <c r="J279">
        <v>2</v>
      </c>
      <c r="K279" s="4" t="s">
        <v>94</v>
      </c>
      <c r="L279" t="s">
        <v>89</v>
      </c>
      <c r="N279" t="s">
        <v>89</v>
      </c>
      <c r="O279" t="s">
        <v>11</v>
      </c>
      <c r="P279" t="s">
        <v>120</v>
      </c>
    </row>
    <row r="280" spans="1:16" hidden="1">
      <c r="A280" t="s">
        <v>275</v>
      </c>
      <c r="B280" s="1" t="s">
        <v>305</v>
      </c>
      <c r="C280" t="s">
        <v>306</v>
      </c>
      <c r="D280" s="160">
        <v>1826511.29</v>
      </c>
      <c r="G280" s="4"/>
      <c r="H280" s="4"/>
      <c r="I280">
        <v>2023</v>
      </c>
      <c r="J280">
        <v>2</v>
      </c>
      <c r="K280" s="4" t="s">
        <v>94</v>
      </c>
      <c r="L280" t="s">
        <v>89</v>
      </c>
      <c r="N280" t="s">
        <v>89</v>
      </c>
      <c r="O280" t="s">
        <v>15</v>
      </c>
      <c r="P280" t="s">
        <v>278</v>
      </c>
    </row>
    <row r="281" spans="1:16" hidden="1">
      <c r="A281" t="s">
        <v>279</v>
      </c>
      <c r="B281" s="1" t="s">
        <v>280</v>
      </c>
      <c r="C281" t="s">
        <v>281</v>
      </c>
      <c r="D281" s="160">
        <v>353392</v>
      </c>
      <c r="G281" s="4"/>
      <c r="H281" s="4"/>
      <c r="I281">
        <v>2023</v>
      </c>
      <c r="J281">
        <v>2</v>
      </c>
      <c r="K281" s="4" t="s">
        <v>94</v>
      </c>
      <c r="L281" t="s">
        <v>89</v>
      </c>
      <c r="N281" t="s">
        <v>89</v>
      </c>
      <c r="O281" t="s">
        <v>18</v>
      </c>
      <c r="P281" t="s">
        <v>282</v>
      </c>
    </row>
    <row r="282" spans="1:16" hidden="1">
      <c r="A282" t="s">
        <v>307</v>
      </c>
      <c r="B282" s="1" t="s">
        <v>374</v>
      </c>
      <c r="C282" t="s">
        <v>375</v>
      </c>
      <c r="D282" s="160">
        <v>926.3</v>
      </c>
      <c r="G282" s="4"/>
      <c r="H282" s="4"/>
      <c r="I282">
        <v>2023</v>
      </c>
      <c r="J282">
        <v>2</v>
      </c>
      <c r="K282" s="4" t="s">
        <v>94</v>
      </c>
      <c r="L282" t="s">
        <v>89</v>
      </c>
      <c r="N282" t="s">
        <v>89</v>
      </c>
      <c r="O282" t="s">
        <v>18</v>
      </c>
      <c r="P282" t="s">
        <v>310</v>
      </c>
    </row>
    <row r="283" spans="1:16" hidden="1">
      <c r="A283" t="s">
        <v>325</v>
      </c>
      <c r="B283" s="1" t="s">
        <v>326</v>
      </c>
      <c r="C283" t="s">
        <v>376</v>
      </c>
      <c r="D283" s="160">
        <v>385510.54</v>
      </c>
      <c r="G283" s="4"/>
      <c r="H283" s="4"/>
      <c r="I283">
        <v>2023</v>
      </c>
      <c r="J283">
        <v>2</v>
      </c>
      <c r="K283" s="4" t="s">
        <v>94</v>
      </c>
      <c r="L283" t="s">
        <v>89</v>
      </c>
      <c r="N283" t="s">
        <v>89</v>
      </c>
      <c r="O283" t="s">
        <v>18</v>
      </c>
      <c r="P283" t="s">
        <v>332</v>
      </c>
    </row>
    <row r="284" spans="1:16" hidden="1">
      <c r="A284" t="s">
        <v>161</v>
      </c>
      <c r="B284" s="1" t="s">
        <v>162</v>
      </c>
      <c r="C284" t="s">
        <v>163</v>
      </c>
      <c r="D284" s="160">
        <v>2807539.53</v>
      </c>
      <c r="G284" s="4"/>
      <c r="H284" s="4"/>
      <c r="I284">
        <v>2023</v>
      </c>
      <c r="J284">
        <v>2</v>
      </c>
      <c r="K284" s="4" t="s">
        <v>94</v>
      </c>
      <c r="L284" t="s">
        <v>89</v>
      </c>
      <c r="N284" t="s">
        <v>89</v>
      </c>
      <c r="O284" t="s">
        <v>18</v>
      </c>
      <c r="P284" t="s">
        <v>164</v>
      </c>
    </row>
    <row r="285" spans="1:16" hidden="1">
      <c r="A285" t="s">
        <v>86</v>
      </c>
      <c r="B285" s="1">
        <v>4503243471</v>
      </c>
      <c r="C285" t="s">
        <v>99</v>
      </c>
      <c r="D285" s="160">
        <v>6081.6</v>
      </c>
      <c r="G285" s="4"/>
      <c r="H285" s="4"/>
      <c r="I285">
        <v>2023</v>
      </c>
      <c r="J285">
        <v>3</v>
      </c>
      <c r="K285" s="4" t="s">
        <v>377</v>
      </c>
      <c r="L285" t="s">
        <v>89</v>
      </c>
      <c r="N285" t="s">
        <v>89</v>
      </c>
      <c r="O285" t="s">
        <v>9</v>
      </c>
      <c r="P285" t="s">
        <v>100</v>
      </c>
    </row>
    <row r="286" spans="1:16" hidden="1">
      <c r="A286" t="s">
        <v>102</v>
      </c>
      <c r="B286" s="1">
        <v>4503290109</v>
      </c>
      <c r="C286" t="s">
        <v>103</v>
      </c>
      <c r="D286" s="160">
        <v>3365898</v>
      </c>
      <c r="G286" s="4"/>
      <c r="H286" s="4"/>
      <c r="I286">
        <v>2023</v>
      </c>
      <c r="J286">
        <v>3</v>
      </c>
      <c r="K286" s="4" t="s">
        <v>377</v>
      </c>
      <c r="L286" t="s">
        <v>89</v>
      </c>
      <c r="N286" t="s">
        <v>89</v>
      </c>
      <c r="O286" t="s">
        <v>9</v>
      </c>
      <c r="P286" t="s">
        <v>104</v>
      </c>
    </row>
    <row r="287" spans="1:16" hidden="1">
      <c r="A287" t="s">
        <v>102</v>
      </c>
      <c r="B287" s="1">
        <v>4503312319</v>
      </c>
      <c r="C287" t="s">
        <v>110</v>
      </c>
      <c r="D287" s="160">
        <v>25093</v>
      </c>
      <c r="F287" t="s">
        <v>378</v>
      </c>
      <c r="G287" s="4"/>
      <c r="H287" s="4"/>
      <c r="I287">
        <v>2023</v>
      </c>
      <c r="J287">
        <v>3</v>
      </c>
      <c r="K287" s="4" t="s">
        <v>377</v>
      </c>
      <c r="L287" t="s">
        <v>89</v>
      </c>
      <c r="N287" t="s">
        <v>89</v>
      </c>
      <c r="O287" t="s">
        <v>9</v>
      </c>
      <c r="P287" t="s">
        <v>111</v>
      </c>
    </row>
    <row r="288" spans="1:16" hidden="1">
      <c r="A288" t="s">
        <v>116</v>
      </c>
      <c r="B288" s="1">
        <v>4503428513</v>
      </c>
      <c r="C288" t="s">
        <v>117</v>
      </c>
      <c r="D288" s="160">
        <v>1457780</v>
      </c>
      <c r="G288" s="4"/>
      <c r="H288" s="4"/>
      <c r="I288">
        <v>2023</v>
      </c>
      <c r="J288">
        <v>3</v>
      </c>
      <c r="K288" s="4" t="s">
        <v>377</v>
      </c>
      <c r="L288" t="s">
        <v>89</v>
      </c>
      <c r="N288" t="s">
        <v>89</v>
      </c>
      <c r="O288" t="s">
        <v>9</v>
      </c>
      <c r="P288" t="s">
        <v>118</v>
      </c>
    </row>
    <row r="289" spans="1:16" hidden="1">
      <c r="A289" t="s">
        <v>102</v>
      </c>
      <c r="B289" s="1">
        <v>4503432118</v>
      </c>
      <c r="C289" t="s">
        <v>119</v>
      </c>
      <c r="D289" s="160">
        <v>4272044</v>
      </c>
      <c r="F289" t="s">
        <v>379</v>
      </c>
      <c r="G289" s="4"/>
      <c r="H289" s="4"/>
      <c r="I289">
        <v>2023</v>
      </c>
      <c r="J289">
        <v>3</v>
      </c>
      <c r="K289" s="4" t="s">
        <v>377</v>
      </c>
      <c r="L289" t="s">
        <v>89</v>
      </c>
      <c r="N289" t="s">
        <v>89</v>
      </c>
      <c r="O289" t="s">
        <v>9</v>
      </c>
      <c r="P289" t="s">
        <v>120</v>
      </c>
    </row>
    <row r="290" spans="1:16" hidden="1">
      <c r="A290" t="s">
        <v>102</v>
      </c>
      <c r="B290" s="1">
        <v>4503432152</v>
      </c>
      <c r="C290" t="s">
        <v>121</v>
      </c>
      <c r="D290" s="160">
        <v>214996</v>
      </c>
      <c r="F290" t="s">
        <v>380</v>
      </c>
      <c r="G290" s="4"/>
      <c r="H290" s="4"/>
      <c r="I290">
        <v>2023</v>
      </c>
      <c r="J290">
        <v>3</v>
      </c>
      <c r="K290" s="4" t="s">
        <v>377</v>
      </c>
      <c r="L290" t="s">
        <v>89</v>
      </c>
      <c r="N290" t="s">
        <v>89</v>
      </c>
      <c r="O290" t="s">
        <v>9</v>
      </c>
      <c r="P290" t="s">
        <v>122</v>
      </c>
    </row>
    <row r="291" spans="1:16" hidden="1">
      <c r="A291" t="s">
        <v>139</v>
      </c>
      <c r="B291" s="1">
        <v>4503441102</v>
      </c>
      <c r="C291" t="s">
        <v>140</v>
      </c>
      <c r="D291" s="160">
        <v>764496</v>
      </c>
      <c r="E291">
        <v>42735</v>
      </c>
      <c r="G291" s="4"/>
      <c r="H291" s="4"/>
      <c r="I291">
        <v>2023</v>
      </c>
      <c r="J291">
        <v>3</v>
      </c>
      <c r="K291" s="4" t="s">
        <v>377</v>
      </c>
      <c r="L291" t="s">
        <v>89</v>
      </c>
      <c r="N291" t="s">
        <v>89</v>
      </c>
      <c r="O291" t="s">
        <v>9</v>
      </c>
      <c r="P291" t="s">
        <v>141</v>
      </c>
    </row>
    <row r="292" spans="1:16" hidden="1">
      <c r="A292" t="s">
        <v>123</v>
      </c>
      <c r="B292" s="1">
        <v>4503448403</v>
      </c>
      <c r="C292" t="s">
        <v>124</v>
      </c>
      <c r="D292" s="160">
        <v>1237227.1299999999</v>
      </c>
      <c r="G292" s="4"/>
      <c r="H292" s="4"/>
      <c r="I292">
        <v>2023</v>
      </c>
      <c r="J292">
        <v>3</v>
      </c>
      <c r="K292" s="4" t="s">
        <v>377</v>
      </c>
      <c r="L292" t="s">
        <v>89</v>
      </c>
      <c r="N292" t="s">
        <v>89</v>
      </c>
      <c r="O292" t="s">
        <v>9</v>
      </c>
      <c r="P292" t="s">
        <v>125</v>
      </c>
    </row>
    <row r="293" spans="1:16" hidden="1">
      <c r="A293" t="s">
        <v>102</v>
      </c>
      <c r="B293" s="1">
        <v>4503489979</v>
      </c>
      <c r="C293" t="s">
        <v>144</v>
      </c>
      <c r="D293" s="160">
        <v>169120</v>
      </c>
      <c r="F293" t="s">
        <v>381</v>
      </c>
      <c r="G293" s="4"/>
      <c r="H293" s="4"/>
      <c r="I293">
        <v>2023</v>
      </c>
      <c r="J293">
        <v>3</v>
      </c>
      <c r="K293" s="4" t="s">
        <v>377</v>
      </c>
      <c r="L293" t="s">
        <v>89</v>
      </c>
      <c r="N293" t="s">
        <v>89</v>
      </c>
      <c r="O293" t="s">
        <v>9</v>
      </c>
      <c r="P293" t="s">
        <v>145</v>
      </c>
    </row>
    <row r="294" spans="1:16" hidden="1">
      <c r="A294" t="s">
        <v>346</v>
      </c>
      <c r="B294" s="1">
        <v>4590000428</v>
      </c>
      <c r="C294" t="s">
        <v>318</v>
      </c>
      <c r="D294" s="160">
        <v>120254</v>
      </c>
      <c r="F294" t="s">
        <v>382</v>
      </c>
      <c r="G294" s="4"/>
      <c r="H294" s="4"/>
      <c r="I294">
        <v>2023</v>
      </c>
      <c r="J294">
        <v>3</v>
      </c>
      <c r="K294" s="4" t="s">
        <v>377</v>
      </c>
      <c r="L294" t="s">
        <v>89</v>
      </c>
      <c r="N294" t="s">
        <v>89</v>
      </c>
      <c r="O294" t="s">
        <v>13</v>
      </c>
      <c r="P294" t="s">
        <v>222</v>
      </c>
    </row>
    <row r="295" spans="1:16" hidden="1">
      <c r="A295" t="s">
        <v>139</v>
      </c>
      <c r="B295" s="1">
        <v>4590000540</v>
      </c>
      <c r="C295" t="s">
        <v>157</v>
      </c>
      <c r="D295" s="160">
        <v>232977</v>
      </c>
      <c r="E295">
        <v>13023</v>
      </c>
      <c r="G295" s="4"/>
      <c r="H295" s="4"/>
      <c r="I295">
        <v>2023</v>
      </c>
      <c r="J295">
        <v>3</v>
      </c>
      <c r="K295" s="4" t="s">
        <v>377</v>
      </c>
      <c r="L295" t="s">
        <v>89</v>
      </c>
      <c r="N295" t="s">
        <v>89</v>
      </c>
      <c r="O295" t="s">
        <v>9</v>
      </c>
      <c r="P295" t="s">
        <v>156</v>
      </c>
    </row>
    <row r="296" spans="1:16" hidden="1">
      <c r="A296" t="s">
        <v>288</v>
      </c>
      <c r="B296" s="1">
        <v>4590002149</v>
      </c>
      <c r="C296" t="s">
        <v>289</v>
      </c>
      <c r="D296" s="160">
        <v>187266</v>
      </c>
      <c r="G296" s="4"/>
      <c r="H296" s="4"/>
      <c r="I296">
        <v>2023</v>
      </c>
      <c r="J296">
        <v>3</v>
      </c>
      <c r="K296" s="4" t="s">
        <v>377</v>
      </c>
      <c r="L296" t="s">
        <v>89</v>
      </c>
      <c r="N296" t="s">
        <v>89</v>
      </c>
      <c r="O296" t="s">
        <v>13</v>
      </c>
      <c r="P296" t="s">
        <v>291</v>
      </c>
    </row>
    <row r="297" spans="1:16" hidden="1">
      <c r="A297" t="s">
        <v>116</v>
      </c>
      <c r="B297" s="1">
        <v>4590003895</v>
      </c>
      <c r="C297" t="s">
        <v>320</v>
      </c>
      <c r="D297" s="160">
        <v>270748</v>
      </c>
      <c r="F297" t="s">
        <v>383</v>
      </c>
      <c r="G297" s="4"/>
      <c r="H297" s="4"/>
      <c r="I297">
        <v>2023</v>
      </c>
      <c r="J297">
        <v>3</v>
      </c>
      <c r="K297" s="4" t="s">
        <v>377</v>
      </c>
      <c r="L297" t="s">
        <v>89</v>
      </c>
      <c r="N297" t="s">
        <v>89</v>
      </c>
      <c r="O297" t="s">
        <v>9</v>
      </c>
      <c r="P297" t="s">
        <v>118</v>
      </c>
    </row>
    <row r="298" spans="1:16" hidden="1">
      <c r="A298" t="s">
        <v>219</v>
      </c>
      <c r="B298" s="1">
        <v>4590003912</v>
      </c>
      <c r="C298" t="s">
        <v>384</v>
      </c>
      <c r="D298" s="160">
        <v>117343.63</v>
      </c>
      <c r="G298" s="4"/>
      <c r="H298" s="4"/>
      <c r="I298">
        <v>2023</v>
      </c>
      <c r="J298">
        <v>3</v>
      </c>
      <c r="K298" s="4" t="s">
        <v>377</v>
      </c>
      <c r="L298" t="s">
        <v>89</v>
      </c>
      <c r="N298" t="s">
        <v>89</v>
      </c>
      <c r="O298" t="s">
        <v>13</v>
      </c>
      <c r="P298" t="s">
        <v>222</v>
      </c>
    </row>
    <row r="299" spans="1:16" hidden="1">
      <c r="A299" t="s">
        <v>102</v>
      </c>
      <c r="B299" s="1">
        <v>4590004028</v>
      </c>
      <c r="C299" t="s">
        <v>223</v>
      </c>
      <c r="D299" s="160">
        <v>159324.51999999999</v>
      </c>
      <c r="G299" s="4"/>
      <c r="H299" s="4"/>
      <c r="I299">
        <v>2023</v>
      </c>
      <c r="J299">
        <v>3</v>
      </c>
      <c r="K299" s="4" t="s">
        <v>377</v>
      </c>
      <c r="L299" t="s">
        <v>89</v>
      </c>
      <c r="N299" t="s">
        <v>89</v>
      </c>
      <c r="O299" t="s">
        <v>11</v>
      </c>
      <c r="P299" t="s">
        <v>104</v>
      </c>
    </row>
    <row r="300" spans="1:16" hidden="1">
      <c r="A300" t="s">
        <v>102</v>
      </c>
      <c r="B300" s="1">
        <v>4590004029</v>
      </c>
      <c r="C300" t="s">
        <v>352</v>
      </c>
      <c r="D300" s="160">
        <v>764067</v>
      </c>
      <c r="F300" t="s">
        <v>385</v>
      </c>
      <c r="G300" s="4"/>
      <c r="H300" s="4"/>
      <c r="I300">
        <v>2023</v>
      </c>
      <c r="J300">
        <v>3</v>
      </c>
      <c r="K300" s="4" t="s">
        <v>377</v>
      </c>
      <c r="L300" t="s">
        <v>89</v>
      </c>
      <c r="N300" t="s">
        <v>89</v>
      </c>
      <c r="O300" t="s">
        <v>11</v>
      </c>
      <c r="P300" t="s">
        <v>120</v>
      </c>
    </row>
    <row r="301" spans="1:16" hidden="1">
      <c r="A301" t="s">
        <v>102</v>
      </c>
      <c r="B301" s="1">
        <v>4590004971</v>
      </c>
      <c r="C301" t="s">
        <v>253</v>
      </c>
      <c r="D301" s="160">
        <v>54072</v>
      </c>
      <c r="F301" t="s">
        <v>386</v>
      </c>
      <c r="G301" s="4"/>
      <c r="H301" s="4"/>
      <c r="I301">
        <v>2023</v>
      </c>
      <c r="J301">
        <v>3</v>
      </c>
      <c r="K301" s="4" t="s">
        <v>377</v>
      </c>
      <c r="L301" t="s">
        <v>89</v>
      </c>
      <c r="N301" t="s">
        <v>89</v>
      </c>
      <c r="O301" t="s">
        <v>9</v>
      </c>
      <c r="P301" t="s">
        <v>120</v>
      </c>
    </row>
    <row r="302" spans="1:16" hidden="1">
      <c r="A302" t="s">
        <v>102</v>
      </c>
      <c r="B302" s="1">
        <v>4590005093</v>
      </c>
      <c r="C302" t="s">
        <v>194</v>
      </c>
      <c r="D302" s="160">
        <v>183053</v>
      </c>
      <c r="F302" t="s">
        <v>387</v>
      </c>
      <c r="G302" s="4"/>
      <c r="H302" s="4"/>
      <c r="I302">
        <v>2023</v>
      </c>
      <c r="J302">
        <v>3</v>
      </c>
      <c r="K302" s="4" t="s">
        <v>377</v>
      </c>
      <c r="L302" t="s">
        <v>89</v>
      </c>
      <c r="N302" t="s">
        <v>89</v>
      </c>
      <c r="O302" t="s">
        <v>9</v>
      </c>
      <c r="P302" t="s">
        <v>196</v>
      </c>
    </row>
    <row r="303" spans="1:16" hidden="1">
      <c r="A303" t="s">
        <v>86</v>
      </c>
      <c r="B303" s="1">
        <v>4590006707</v>
      </c>
      <c r="C303" t="s">
        <v>226</v>
      </c>
      <c r="D303" s="160">
        <v>2766325.5</v>
      </c>
      <c r="F303" t="s">
        <v>388</v>
      </c>
      <c r="G303" s="4"/>
      <c r="H303" s="4"/>
      <c r="I303">
        <v>2023</v>
      </c>
      <c r="J303">
        <v>3</v>
      </c>
      <c r="K303" s="4" t="s">
        <v>377</v>
      </c>
      <c r="L303" t="s">
        <v>89</v>
      </c>
      <c r="N303" t="s">
        <v>89</v>
      </c>
      <c r="O303" t="s">
        <v>13</v>
      </c>
      <c r="P303" t="s">
        <v>227</v>
      </c>
    </row>
    <row r="304" spans="1:16" hidden="1">
      <c r="A304" t="s">
        <v>86</v>
      </c>
      <c r="B304" s="1">
        <v>4590008191</v>
      </c>
      <c r="C304" t="s">
        <v>389</v>
      </c>
      <c r="D304" s="160">
        <v>6340</v>
      </c>
      <c r="G304" s="4"/>
      <c r="H304" s="4"/>
      <c r="I304">
        <v>2023</v>
      </c>
      <c r="J304">
        <v>3</v>
      </c>
      <c r="K304" s="4" t="s">
        <v>377</v>
      </c>
      <c r="L304" t="s">
        <v>89</v>
      </c>
      <c r="N304" t="s">
        <v>89</v>
      </c>
      <c r="O304" t="s">
        <v>15</v>
      </c>
      <c r="P304" t="s">
        <v>278</v>
      </c>
    </row>
    <row r="305" spans="1:16" hidden="1">
      <c r="A305" t="s">
        <v>86</v>
      </c>
      <c r="B305" s="1">
        <v>4590008827</v>
      </c>
      <c r="C305" t="s">
        <v>390</v>
      </c>
      <c r="D305" s="160">
        <v>185202.34</v>
      </c>
      <c r="G305" s="4"/>
      <c r="H305" s="4"/>
      <c r="I305">
        <v>2023</v>
      </c>
      <c r="J305">
        <v>3</v>
      </c>
      <c r="K305" s="4" t="s">
        <v>377</v>
      </c>
      <c r="L305" t="s">
        <v>89</v>
      </c>
      <c r="N305" t="s">
        <v>89</v>
      </c>
      <c r="O305" t="s">
        <v>13</v>
      </c>
      <c r="P305" t="s">
        <v>222</v>
      </c>
    </row>
    <row r="306" spans="1:16" hidden="1">
      <c r="A306" t="s">
        <v>102</v>
      </c>
      <c r="B306" s="1">
        <v>4590009036</v>
      </c>
      <c r="C306" t="s">
        <v>362</v>
      </c>
      <c r="D306" s="160">
        <v>72888</v>
      </c>
      <c r="F306" t="s">
        <v>391</v>
      </c>
      <c r="G306" s="4"/>
      <c r="H306" s="4"/>
      <c r="I306">
        <v>2023</v>
      </c>
      <c r="J306">
        <v>3</v>
      </c>
      <c r="K306" s="4" t="s">
        <v>377</v>
      </c>
      <c r="L306" t="s">
        <v>89</v>
      </c>
      <c r="N306" t="s">
        <v>89</v>
      </c>
      <c r="O306" t="s">
        <v>9</v>
      </c>
      <c r="P306" t="s">
        <v>104</v>
      </c>
    </row>
    <row r="307" spans="1:16" hidden="1">
      <c r="A307" t="s">
        <v>307</v>
      </c>
      <c r="B307" s="1" t="s">
        <v>364</v>
      </c>
      <c r="C307" t="s">
        <v>365</v>
      </c>
      <c r="D307" s="160">
        <v>1200.07</v>
      </c>
      <c r="G307" s="4"/>
      <c r="H307" s="4"/>
      <c r="I307">
        <v>2023</v>
      </c>
      <c r="J307">
        <v>3</v>
      </c>
      <c r="K307" s="4" t="s">
        <v>377</v>
      </c>
      <c r="L307" t="s">
        <v>89</v>
      </c>
      <c r="N307" t="s">
        <v>89</v>
      </c>
      <c r="O307" t="s">
        <v>18</v>
      </c>
      <c r="P307" t="s">
        <v>310</v>
      </c>
    </row>
    <row r="308" spans="1:16" hidden="1">
      <c r="A308" t="s">
        <v>126</v>
      </c>
      <c r="B308" s="1" t="s">
        <v>127</v>
      </c>
      <c r="C308" t="s">
        <v>128</v>
      </c>
      <c r="D308" s="160">
        <v>3080184</v>
      </c>
      <c r="F308" t="s">
        <v>392</v>
      </c>
      <c r="G308" s="4"/>
      <c r="H308" s="4"/>
      <c r="I308">
        <v>2023</v>
      </c>
      <c r="J308">
        <v>3</v>
      </c>
      <c r="K308" s="4" t="s">
        <v>377</v>
      </c>
      <c r="L308" t="s">
        <v>89</v>
      </c>
      <c r="N308" t="s">
        <v>89</v>
      </c>
      <c r="O308" t="s">
        <v>9</v>
      </c>
      <c r="P308" t="s">
        <v>129</v>
      </c>
    </row>
    <row r="309" spans="1:16" hidden="1">
      <c r="A309" t="s">
        <v>126</v>
      </c>
      <c r="B309" s="1" t="s">
        <v>130</v>
      </c>
      <c r="C309" t="s">
        <v>131</v>
      </c>
      <c r="D309" s="160">
        <v>341816</v>
      </c>
      <c r="G309" s="4"/>
      <c r="H309" s="4"/>
      <c r="I309">
        <v>2023</v>
      </c>
      <c r="J309">
        <v>3</v>
      </c>
      <c r="K309" s="4" t="s">
        <v>377</v>
      </c>
      <c r="L309" t="s">
        <v>89</v>
      </c>
      <c r="N309" t="s">
        <v>89</v>
      </c>
      <c r="O309" t="s">
        <v>9</v>
      </c>
      <c r="P309" t="s">
        <v>129</v>
      </c>
    </row>
    <row r="310" spans="1:16" hidden="1">
      <c r="A310" t="s">
        <v>132</v>
      </c>
      <c r="B310" s="1" t="s">
        <v>133</v>
      </c>
      <c r="C310" t="s">
        <v>134</v>
      </c>
      <c r="D310" s="160">
        <v>129455</v>
      </c>
      <c r="G310" s="4"/>
      <c r="H310" s="4"/>
      <c r="I310">
        <v>2023</v>
      </c>
      <c r="J310">
        <v>3</v>
      </c>
      <c r="K310" s="4" t="s">
        <v>377</v>
      </c>
      <c r="L310" t="s">
        <v>89</v>
      </c>
      <c r="N310" t="s">
        <v>89</v>
      </c>
      <c r="O310" t="s">
        <v>9</v>
      </c>
      <c r="P310" t="s">
        <v>135</v>
      </c>
    </row>
    <row r="311" spans="1:16" hidden="1">
      <c r="A311" t="s">
        <v>132</v>
      </c>
      <c r="B311" s="1" t="s">
        <v>136</v>
      </c>
      <c r="C311" t="s">
        <v>137</v>
      </c>
      <c r="D311" s="160">
        <v>36012</v>
      </c>
      <c r="G311" s="4"/>
      <c r="H311" s="4"/>
      <c r="I311">
        <v>2023</v>
      </c>
      <c r="J311">
        <v>3</v>
      </c>
      <c r="K311" s="4" t="s">
        <v>377</v>
      </c>
      <c r="L311" t="s">
        <v>89</v>
      </c>
      <c r="N311" t="s">
        <v>89</v>
      </c>
      <c r="O311" t="s">
        <v>9</v>
      </c>
      <c r="P311" t="s">
        <v>135</v>
      </c>
    </row>
    <row r="312" spans="1:16" hidden="1">
      <c r="A312" t="s">
        <v>123</v>
      </c>
      <c r="B312" s="1" t="s">
        <v>201</v>
      </c>
      <c r="C312" t="s">
        <v>202</v>
      </c>
      <c r="D312" s="160">
        <v>2605938</v>
      </c>
      <c r="F312" t="s">
        <v>393</v>
      </c>
      <c r="G312" s="4"/>
      <c r="H312" s="4"/>
      <c r="I312">
        <v>2023</v>
      </c>
      <c r="J312">
        <v>3</v>
      </c>
      <c r="K312" s="4" t="s">
        <v>377</v>
      </c>
      <c r="L312" t="s">
        <v>89</v>
      </c>
      <c r="N312" t="s">
        <v>89</v>
      </c>
      <c r="O312" t="s">
        <v>11</v>
      </c>
      <c r="P312" t="s">
        <v>190</v>
      </c>
    </row>
    <row r="313" spans="1:16" hidden="1">
      <c r="A313" t="s">
        <v>123</v>
      </c>
      <c r="B313" s="1" t="s">
        <v>204</v>
      </c>
      <c r="C313" t="s">
        <v>205</v>
      </c>
      <c r="D313" s="160">
        <v>2920636</v>
      </c>
      <c r="G313" s="4"/>
      <c r="H313" s="4"/>
      <c r="I313">
        <v>2023</v>
      </c>
      <c r="J313">
        <v>3</v>
      </c>
      <c r="K313" s="4" t="s">
        <v>377</v>
      </c>
      <c r="L313" t="s">
        <v>89</v>
      </c>
      <c r="N313" t="s">
        <v>89</v>
      </c>
      <c r="O313" t="s">
        <v>11</v>
      </c>
      <c r="P313" t="s">
        <v>190</v>
      </c>
    </row>
    <row r="314" spans="1:16" hidden="1">
      <c r="A314" t="s">
        <v>102</v>
      </c>
      <c r="B314" s="1" t="s">
        <v>231</v>
      </c>
      <c r="C314" t="s">
        <v>232</v>
      </c>
      <c r="D314" s="160">
        <v>75647</v>
      </c>
      <c r="G314" s="4"/>
      <c r="H314" s="4"/>
      <c r="I314">
        <v>2023</v>
      </c>
      <c r="J314">
        <v>3</v>
      </c>
      <c r="K314" s="4" t="s">
        <v>377</v>
      </c>
      <c r="L314" t="s">
        <v>89</v>
      </c>
      <c r="N314" t="s">
        <v>89</v>
      </c>
      <c r="O314" t="s">
        <v>11</v>
      </c>
      <c r="P314" t="s">
        <v>104</v>
      </c>
    </row>
    <row r="315" spans="1:16" hidden="1">
      <c r="A315" t="s">
        <v>102</v>
      </c>
      <c r="B315" s="1" t="s">
        <v>338</v>
      </c>
      <c r="C315" t="s">
        <v>339</v>
      </c>
      <c r="D315" s="160">
        <v>2825</v>
      </c>
      <c r="G315" s="4"/>
      <c r="H315" s="4"/>
      <c r="I315">
        <v>2023</v>
      </c>
      <c r="J315">
        <v>3</v>
      </c>
      <c r="K315" s="4" t="s">
        <v>377</v>
      </c>
      <c r="L315" t="s">
        <v>89</v>
      </c>
      <c r="N315" t="s">
        <v>89</v>
      </c>
      <c r="O315" t="s">
        <v>11</v>
      </c>
      <c r="P315" t="s">
        <v>120</v>
      </c>
    </row>
    <row r="316" spans="1:16" hidden="1">
      <c r="A316" t="s">
        <v>394</v>
      </c>
      <c r="B316" s="1" t="s">
        <v>395</v>
      </c>
      <c r="C316" t="s">
        <v>396</v>
      </c>
      <c r="D316" s="160">
        <v>177829</v>
      </c>
      <c r="G316" s="4"/>
      <c r="H316" s="4"/>
      <c r="I316">
        <v>2023</v>
      </c>
      <c r="J316">
        <v>3</v>
      </c>
      <c r="K316" s="4" t="s">
        <v>377</v>
      </c>
      <c r="L316" t="s">
        <v>89</v>
      </c>
      <c r="N316" t="s">
        <v>89</v>
      </c>
      <c r="O316" t="s">
        <v>13</v>
      </c>
      <c r="P316" t="s">
        <v>361</v>
      </c>
    </row>
    <row r="317" spans="1:16" hidden="1">
      <c r="A317" t="s">
        <v>46</v>
      </c>
      <c r="B317" s="1" t="s">
        <v>397</v>
      </c>
      <c r="C317" t="s">
        <v>398</v>
      </c>
      <c r="D317" s="160">
        <v>2028</v>
      </c>
      <c r="F317" t="s">
        <v>399</v>
      </c>
      <c r="G317" s="4"/>
      <c r="H317" s="4"/>
      <c r="I317">
        <v>2023</v>
      </c>
      <c r="J317">
        <v>3</v>
      </c>
      <c r="K317" s="4" t="s">
        <v>377</v>
      </c>
      <c r="L317" t="s">
        <v>89</v>
      </c>
      <c r="N317" t="s">
        <v>89</v>
      </c>
      <c r="O317" t="s">
        <v>18</v>
      </c>
      <c r="P317" t="s">
        <v>400</v>
      </c>
    </row>
    <row r="318" spans="1:16" hidden="1">
      <c r="A318" t="s">
        <v>325</v>
      </c>
      <c r="B318" s="1" t="s">
        <v>326</v>
      </c>
      <c r="C318" t="s">
        <v>376</v>
      </c>
      <c r="D318" s="160">
        <v>146149.65</v>
      </c>
      <c r="G318" s="4"/>
      <c r="H318" s="4"/>
      <c r="I318">
        <v>2023</v>
      </c>
      <c r="J318">
        <v>3</v>
      </c>
      <c r="K318" s="4" t="s">
        <v>377</v>
      </c>
      <c r="L318" t="s">
        <v>89</v>
      </c>
      <c r="N318" t="s">
        <v>89</v>
      </c>
      <c r="O318" t="s">
        <v>18</v>
      </c>
      <c r="P318" t="s">
        <v>332</v>
      </c>
    </row>
    <row r="319" spans="1:16" hidden="1">
      <c r="A319" t="s">
        <v>161</v>
      </c>
      <c r="B319" s="1" t="s">
        <v>162</v>
      </c>
      <c r="C319" t="s">
        <v>163</v>
      </c>
      <c r="D319" s="160">
        <v>705887.74</v>
      </c>
      <c r="G319" s="4"/>
      <c r="H319" s="4"/>
      <c r="I319">
        <v>2023</v>
      </c>
      <c r="J319">
        <v>3</v>
      </c>
      <c r="K319" s="4" t="s">
        <v>377</v>
      </c>
      <c r="L319" t="s">
        <v>89</v>
      </c>
      <c r="N319" t="s">
        <v>89</v>
      </c>
      <c r="O319" t="s">
        <v>18</v>
      </c>
      <c r="P319" t="s">
        <v>164</v>
      </c>
    </row>
    <row r="320" spans="1:16" hidden="1">
      <c r="A320" t="s">
        <v>91</v>
      </c>
      <c r="B320" s="1">
        <v>4590005167</v>
      </c>
      <c r="C320" t="s">
        <v>292</v>
      </c>
      <c r="D320" s="160">
        <v>101451</v>
      </c>
      <c r="F320" t="s">
        <v>401</v>
      </c>
      <c r="G320" s="4">
        <v>45132</v>
      </c>
      <c r="H320" s="4">
        <v>45132</v>
      </c>
      <c r="I320">
        <v>2023</v>
      </c>
      <c r="J320">
        <v>7</v>
      </c>
      <c r="K320" s="4" t="s">
        <v>402</v>
      </c>
      <c r="L320" t="s">
        <v>95</v>
      </c>
      <c r="M320" t="s">
        <v>403</v>
      </c>
      <c r="N320" t="s">
        <v>404</v>
      </c>
      <c r="O320" t="s">
        <v>8</v>
      </c>
      <c r="P320" t="s">
        <v>294</v>
      </c>
    </row>
    <row r="321" spans="1:16" hidden="1">
      <c r="A321" t="s">
        <v>405</v>
      </c>
      <c r="B321" s="1" t="s">
        <v>406</v>
      </c>
      <c r="C321" t="s">
        <v>407</v>
      </c>
      <c r="D321" s="160">
        <v>5295236.74</v>
      </c>
      <c r="G321" s="4"/>
      <c r="H321" s="4"/>
      <c r="I321">
        <v>2023</v>
      </c>
      <c r="J321">
        <v>3</v>
      </c>
      <c r="K321" s="4" t="s">
        <v>377</v>
      </c>
      <c r="L321" t="s">
        <v>89</v>
      </c>
      <c r="N321" t="s">
        <v>89</v>
      </c>
      <c r="O321" t="s">
        <v>8</v>
      </c>
      <c r="P321" t="s">
        <v>408</v>
      </c>
    </row>
    <row r="322" spans="1:16" hidden="1">
      <c r="A322" t="s">
        <v>409</v>
      </c>
      <c r="B322" s="1" t="s">
        <v>410</v>
      </c>
      <c r="C322" t="s">
        <v>411</v>
      </c>
      <c r="D322" s="160">
        <v>5467.1</v>
      </c>
      <c r="G322" s="4"/>
      <c r="H322" s="4"/>
      <c r="I322">
        <v>2023</v>
      </c>
      <c r="J322">
        <v>3</v>
      </c>
      <c r="K322" s="4" t="s">
        <v>377</v>
      </c>
      <c r="L322" t="s">
        <v>89</v>
      </c>
      <c r="N322" t="s">
        <v>89</v>
      </c>
      <c r="O322" t="s">
        <v>18</v>
      </c>
      <c r="P322" t="s">
        <v>412</v>
      </c>
    </row>
    <row r="323" spans="1:16" hidden="1">
      <c r="A323" t="s">
        <v>86</v>
      </c>
      <c r="B323" s="1">
        <v>4503243471</v>
      </c>
      <c r="C323" t="s">
        <v>99</v>
      </c>
      <c r="D323" s="160">
        <v>18244.8</v>
      </c>
      <c r="G323" s="4"/>
      <c r="H323" s="4"/>
      <c r="I323">
        <v>2023</v>
      </c>
      <c r="J323">
        <v>4</v>
      </c>
      <c r="K323" s="4" t="s">
        <v>413</v>
      </c>
      <c r="L323" t="s">
        <v>89</v>
      </c>
      <c r="N323" t="s">
        <v>89</v>
      </c>
      <c r="O323" t="s">
        <v>9</v>
      </c>
      <c r="P323" t="s">
        <v>100</v>
      </c>
    </row>
    <row r="324" spans="1:16" hidden="1">
      <c r="A324" t="s">
        <v>102</v>
      </c>
      <c r="B324" s="1">
        <v>4503290109</v>
      </c>
      <c r="C324" t="s">
        <v>103</v>
      </c>
      <c r="D324" s="160">
        <v>4810771</v>
      </c>
      <c r="G324" s="4"/>
      <c r="H324" s="4"/>
      <c r="I324">
        <v>2023</v>
      </c>
      <c r="J324">
        <v>4</v>
      </c>
      <c r="K324" s="4" t="s">
        <v>413</v>
      </c>
      <c r="L324" t="s">
        <v>89</v>
      </c>
      <c r="N324" t="s">
        <v>89</v>
      </c>
      <c r="O324" t="s">
        <v>9</v>
      </c>
      <c r="P324" t="s">
        <v>104</v>
      </c>
    </row>
    <row r="325" spans="1:16" hidden="1">
      <c r="A325" t="s">
        <v>116</v>
      </c>
      <c r="B325" s="1">
        <v>4503428513</v>
      </c>
      <c r="C325" t="s">
        <v>117</v>
      </c>
      <c r="D325" s="160">
        <v>1205933</v>
      </c>
      <c r="F325" t="s">
        <v>414</v>
      </c>
      <c r="G325" s="4"/>
      <c r="H325" s="4"/>
      <c r="I325">
        <v>2023</v>
      </c>
      <c r="J325">
        <v>4</v>
      </c>
      <c r="K325" s="4" t="s">
        <v>413</v>
      </c>
      <c r="L325" t="s">
        <v>89</v>
      </c>
      <c r="N325" t="s">
        <v>89</v>
      </c>
      <c r="O325" t="s">
        <v>9</v>
      </c>
      <c r="P325" t="s">
        <v>118</v>
      </c>
    </row>
    <row r="326" spans="1:16" hidden="1">
      <c r="A326" t="s">
        <v>102</v>
      </c>
      <c r="B326" s="1">
        <v>4503432118</v>
      </c>
      <c r="C326" t="s">
        <v>119</v>
      </c>
      <c r="D326" s="160">
        <v>3410516</v>
      </c>
      <c r="G326" s="4"/>
      <c r="H326" s="4"/>
      <c r="I326">
        <v>2023</v>
      </c>
      <c r="J326">
        <v>4</v>
      </c>
      <c r="K326" s="4" t="s">
        <v>413</v>
      </c>
      <c r="L326" t="s">
        <v>89</v>
      </c>
      <c r="N326" t="s">
        <v>89</v>
      </c>
      <c r="O326" t="s">
        <v>9</v>
      </c>
      <c r="P326" t="s">
        <v>120</v>
      </c>
    </row>
    <row r="327" spans="1:16" hidden="1">
      <c r="A327" t="s">
        <v>102</v>
      </c>
      <c r="B327" s="1">
        <v>4503432152</v>
      </c>
      <c r="C327" t="s">
        <v>121</v>
      </c>
      <c r="D327" s="160">
        <v>85984</v>
      </c>
      <c r="G327" s="4"/>
      <c r="H327" s="4"/>
      <c r="I327">
        <v>2023</v>
      </c>
      <c r="J327">
        <v>4</v>
      </c>
      <c r="K327" s="4" t="s">
        <v>413</v>
      </c>
      <c r="L327" t="s">
        <v>89</v>
      </c>
      <c r="N327" t="s">
        <v>89</v>
      </c>
      <c r="O327" t="s">
        <v>9</v>
      </c>
      <c r="P327" t="s">
        <v>122</v>
      </c>
    </row>
    <row r="328" spans="1:16" hidden="1">
      <c r="A328" t="s">
        <v>139</v>
      </c>
      <c r="B328" s="1">
        <v>4503441102</v>
      </c>
      <c r="C328" t="s">
        <v>140</v>
      </c>
      <c r="D328" s="160">
        <v>729037</v>
      </c>
      <c r="E328">
        <v>40753</v>
      </c>
      <c r="G328" s="4"/>
      <c r="H328" s="4"/>
      <c r="I328">
        <v>2023</v>
      </c>
      <c r="J328">
        <v>4</v>
      </c>
      <c r="K328" s="4" t="s">
        <v>413</v>
      </c>
      <c r="L328" t="s">
        <v>89</v>
      </c>
      <c r="N328" t="s">
        <v>89</v>
      </c>
      <c r="O328" t="s">
        <v>9</v>
      </c>
      <c r="P328" t="s">
        <v>141</v>
      </c>
    </row>
    <row r="329" spans="1:16" hidden="1">
      <c r="A329" t="s">
        <v>123</v>
      </c>
      <c r="B329" s="1">
        <v>4503448403</v>
      </c>
      <c r="C329" t="s">
        <v>124</v>
      </c>
      <c r="D329" s="160">
        <v>1196108.18</v>
      </c>
      <c r="G329" s="4"/>
      <c r="H329" s="4"/>
      <c r="I329">
        <v>2023</v>
      </c>
      <c r="J329">
        <v>4</v>
      </c>
      <c r="K329" s="4" t="s">
        <v>413</v>
      </c>
      <c r="L329" t="s">
        <v>89</v>
      </c>
      <c r="N329" t="s">
        <v>89</v>
      </c>
      <c r="O329" t="s">
        <v>9</v>
      </c>
      <c r="P329" t="s">
        <v>125</v>
      </c>
    </row>
    <row r="330" spans="1:16" hidden="1">
      <c r="A330" t="s">
        <v>102</v>
      </c>
      <c r="B330" s="1">
        <v>4503489979</v>
      </c>
      <c r="C330" t="s">
        <v>144</v>
      </c>
      <c r="D330" s="160">
        <v>380781</v>
      </c>
      <c r="F330" t="s">
        <v>415</v>
      </c>
      <c r="G330" s="4"/>
      <c r="H330" s="4"/>
      <c r="I330">
        <v>2023</v>
      </c>
      <c r="J330">
        <v>4</v>
      </c>
      <c r="K330" s="4" t="s">
        <v>413</v>
      </c>
      <c r="L330" t="s">
        <v>89</v>
      </c>
      <c r="N330" t="s">
        <v>89</v>
      </c>
      <c r="O330" t="s">
        <v>9</v>
      </c>
      <c r="P330" t="s">
        <v>145</v>
      </c>
    </row>
    <row r="331" spans="1:16" hidden="1">
      <c r="A331" t="s">
        <v>219</v>
      </c>
      <c r="B331" s="1">
        <v>4590000425</v>
      </c>
      <c r="C331" t="s">
        <v>220</v>
      </c>
      <c r="D331" s="160">
        <v>563888</v>
      </c>
      <c r="G331" s="4"/>
      <c r="H331" s="4"/>
      <c r="I331">
        <v>2023</v>
      </c>
      <c r="J331">
        <v>4</v>
      </c>
      <c r="K331" s="4" t="s">
        <v>413</v>
      </c>
      <c r="L331" t="s">
        <v>89</v>
      </c>
      <c r="N331" t="s">
        <v>89</v>
      </c>
      <c r="O331" t="s">
        <v>13</v>
      </c>
      <c r="P331" t="s">
        <v>222</v>
      </c>
    </row>
    <row r="332" spans="1:16" hidden="1">
      <c r="A332" t="s">
        <v>346</v>
      </c>
      <c r="B332" s="1">
        <v>4590000428</v>
      </c>
      <c r="C332" t="s">
        <v>318</v>
      </c>
      <c r="D332" s="160">
        <v>1283526</v>
      </c>
      <c r="F332" t="s">
        <v>416</v>
      </c>
      <c r="G332" s="4"/>
      <c r="H332" s="4"/>
      <c r="I332">
        <v>2023</v>
      </c>
      <c r="J332">
        <v>4</v>
      </c>
      <c r="K332" s="4" t="s">
        <v>413</v>
      </c>
      <c r="L332" t="s">
        <v>89</v>
      </c>
      <c r="N332" t="s">
        <v>89</v>
      </c>
      <c r="O332" t="s">
        <v>13</v>
      </c>
      <c r="P332" t="s">
        <v>222</v>
      </c>
    </row>
    <row r="333" spans="1:16" hidden="1">
      <c r="A333" t="s">
        <v>139</v>
      </c>
      <c r="B333" s="1">
        <v>4590000539</v>
      </c>
      <c r="C333" t="s">
        <v>155</v>
      </c>
      <c r="D333" s="160">
        <v>585562</v>
      </c>
      <c r="E333">
        <v>32733</v>
      </c>
      <c r="G333" s="4"/>
      <c r="H333" s="4"/>
      <c r="I333">
        <v>2023</v>
      </c>
      <c r="J333">
        <v>4</v>
      </c>
      <c r="K333" s="4" t="s">
        <v>413</v>
      </c>
      <c r="L333" t="s">
        <v>89</v>
      </c>
      <c r="N333" t="s">
        <v>89</v>
      </c>
      <c r="O333" t="s">
        <v>11</v>
      </c>
      <c r="P333" t="s">
        <v>156</v>
      </c>
    </row>
    <row r="334" spans="1:16" hidden="1">
      <c r="A334" t="s">
        <v>417</v>
      </c>
      <c r="B334" s="1">
        <v>4590012802</v>
      </c>
      <c r="C334" t="s">
        <v>418</v>
      </c>
      <c r="D334" s="160">
        <v>21199.81</v>
      </c>
      <c r="F334" t="s">
        <v>419</v>
      </c>
      <c r="G334" s="4"/>
      <c r="H334" s="4"/>
      <c r="I334">
        <v>2023</v>
      </c>
      <c r="J334">
        <v>8</v>
      </c>
      <c r="K334" s="4" t="s">
        <v>420</v>
      </c>
      <c r="L334" t="s">
        <v>89</v>
      </c>
      <c r="N334" t="s">
        <v>89</v>
      </c>
      <c r="O334" t="s">
        <v>8</v>
      </c>
      <c r="P334" t="s">
        <v>252</v>
      </c>
    </row>
    <row r="335" spans="1:16" hidden="1">
      <c r="A335" t="s">
        <v>219</v>
      </c>
      <c r="B335" s="1">
        <v>4590001034</v>
      </c>
      <c r="C335" t="s">
        <v>248</v>
      </c>
      <c r="D335" s="160">
        <v>23717</v>
      </c>
      <c r="F335" t="s">
        <v>421</v>
      </c>
      <c r="G335" s="4"/>
      <c r="H335" s="4"/>
      <c r="I335">
        <v>2023</v>
      </c>
      <c r="J335">
        <v>4</v>
      </c>
      <c r="K335" s="4" t="s">
        <v>413</v>
      </c>
      <c r="L335" t="s">
        <v>89</v>
      </c>
      <c r="N335" t="s">
        <v>89</v>
      </c>
      <c r="O335" t="s">
        <v>13</v>
      </c>
      <c r="P335" t="s">
        <v>222</v>
      </c>
    </row>
    <row r="336" spans="1:16" hidden="1">
      <c r="A336" t="s">
        <v>288</v>
      </c>
      <c r="B336" s="1">
        <v>4590002149</v>
      </c>
      <c r="C336" t="s">
        <v>289</v>
      </c>
      <c r="D336" s="160">
        <v>130056</v>
      </c>
      <c r="G336" s="4"/>
      <c r="H336" s="4"/>
      <c r="I336">
        <v>2023</v>
      </c>
      <c r="J336">
        <v>4</v>
      </c>
      <c r="K336" s="4" t="s">
        <v>413</v>
      </c>
      <c r="L336" t="s">
        <v>89</v>
      </c>
      <c r="N336" t="s">
        <v>89</v>
      </c>
      <c r="O336" t="s">
        <v>13</v>
      </c>
      <c r="P336" t="s">
        <v>291</v>
      </c>
    </row>
    <row r="337" spans="1:16" hidden="1">
      <c r="A337" t="s">
        <v>219</v>
      </c>
      <c r="B337" s="1">
        <v>4590003912</v>
      </c>
      <c r="C337" t="s">
        <v>384</v>
      </c>
      <c r="D337" s="160">
        <v>77330.3</v>
      </c>
      <c r="F337" t="s">
        <v>422</v>
      </c>
      <c r="G337" s="4"/>
      <c r="H337" s="4"/>
      <c r="I337">
        <v>2023</v>
      </c>
      <c r="J337">
        <v>4</v>
      </c>
      <c r="K337" s="4" t="s">
        <v>413</v>
      </c>
      <c r="L337" t="s">
        <v>89</v>
      </c>
      <c r="N337" t="s">
        <v>89</v>
      </c>
      <c r="O337" t="s">
        <v>13</v>
      </c>
      <c r="P337" t="s">
        <v>222</v>
      </c>
    </row>
    <row r="338" spans="1:16" hidden="1">
      <c r="A338" t="s">
        <v>116</v>
      </c>
      <c r="B338" s="1">
        <v>4590004281</v>
      </c>
      <c r="C338" t="s">
        <v>423</v>
      </c>
      <c r="D338" s="160">
        <v>74192</v>
      </c>
      <c r="F338" t="s">
        <v>424</v>
      </c>
      <c r="G338" s="4"/>
      <c r="H338" s="4"/>
      <c r="I338">
        <v>2023</v>
      </c>
      <c r="J338">
        <v>4</v>
      </c>
      <c r="K338" s="4" t="s">
        <v>413</v>
      </c>
      <c r="L338" t="s">
        <v>89</v>
      </c>
      <c r="N338" t="s">
        <v>89</v>
      </c>
      <c r="O338" t="s">
        <v>11</v>
      </c>
      <c r="P338" t="s">
        <v>425</v>
      </c>
    </row>
    <row r="339" spans="1:16" hidden="1">
      <c r="A339" t="s">
        <v>269</v>
      </c>
      <c r="B339" s="1">
        <v>4590006293</v>
      </c>
      <c r="C339" t="s">
        <v>322</v>
      </c>
      <c r="D339" s="160">
        <v>87212</v>
      </c>
      <c r="F339" t="s">
        <v>426</v>
      </c>
      <c r="G339" s="4"/>
      <c r="H339" s="4"/>
      <c r="I339">
        <v>2023</v>
      </c>
      <c r="J339">
        <v>4</v>
      </c>
      <c r="K339" s="4" t="s">
        <v>413</v>
      </c>
      <c r="L339" t="s">
        <v>89</v>
      </c>
      <c r="N339" t="s">
        <v>89</v>
      </c>
      <c r="O339" t="s">
        <v>9</v>
      </c>
      <c r="P339" t="s">
        <v>120</v>
      </c>
    </row>
    <row r="340" spans="1:16" hidden="1">
      <c r="A340" t="s">
        <v>86</v>
      </c>
      <c r="B340" s="1">
        <v>4590006707</v>
      </c>
      <c r="C340" t="s">
        <v>226</v>
      </c>
      <c r="D340" s="160">
        <v>3843488</v>
      </c>
      <c r="F340" t="s">
        <v>427</v>
      </c>
      <c r="G340" s="4"/>
      <c r="H340" s="4"/>
      <c r="I340">
        <v>2023</v>
      </c>
      <c r="J340">
        <v>4</v>
      </c>
      <c r="K340" s="4" t="s">
        <v>413</v>
      </c>
      <c r="L340" t="s">
        <v>89</v>
      </c>
      <c r="N340" t="s">
        <v>89</v>
      </c>
      <c r="O340" t="s">
        <v>13</v>
      </c>
      <c r="P340" t="s">
        <v>227</v>
      </c>
    </row>
    <row r="341" spans="1:16" hidden="1">
      <c r="A341" t="s">
        <v>428</v>
      </c>
      <c r="B341" s="1">
        <v>4590008319</v>
      </c>
      <c r="C341" t="s">
        <v>334</v>
      </c>
      <c r="D341" s="160">
        <v>293555</v>
      </c>
      <c r="F341" t="s">
        <v>429</v>
      </c>
      <c r="G341" s="4"/>
      <c r="H341" s="4"/>
      <c r="I341">
        <v>2023</v>
      </c>
      <c r="J341">
        <v>4</v>
      </c>
      <c r="K341" s="4" t="s">
        <v>413</v>
      </c>
      <c r="L341" t="s">
        <v>89</v>
      </c>
      <c r="N341" t="s">
        <v>89</v>
      </c>
      <c r="O341" t="s">
        <v>9</v>
      </c>
      <c r="P341" t="s">
        <v>335</v>
      </c>
    </row>
    <row r="342" spans="1:16" hidden="1">
      <c r="A342" t="s">
        <v>86</v>
      </c>
      <c r="B342" s="1">
        <v>4590008827</v>
      </c>
      <c r="C342" t="s">
        <v>390</v>
      </c>
      <c r="D342" s="160">
        <v>4405.0200000000004</v>
      </c>
      <c r="F342" t="s">
        <v>430</v>
      </c>
      <c r="G342" s="4"/>
      <c r="H342" s="4"/>
      <c r="I342">
        <v>2023</v>
      </c>
      <c r="J342">
        <v>4</v>
      </c>
      <c r="K342" s="4" t="s">
        <v>413</v>
      </c>
      <c r="L342" t="s">
        <v>89</v>
      </c>
      <c r="N342" t="s">
        <v>89</v>
      </c>
      <c r="O342" t="s">
        <v>13</v>
      </c>
      <c r="P342" t="s">
        <v>222</v>
      </c>
    </row>
    <row r="343" spans="1:16" hidden="1">
      <c r="A343" t="s">
        <v>102</v>
      </c>
      <c r="B343" s="1">
        <v>4590009036</v>
      </c>
      <c r="C343" t="s">
        <v>362</v>
      </c>
      <c r="D343" s="160">
        <v>10155</v>
      </c>
      <c r="F343" t="s">
        <v>431</v>
      </c>
      <c r="G343" s="4"/>
      <c r="H343" s="4"/>
      <c r="I343">
        <v>2023</v>
      </c>
      <c r="J343">
        <v>4</v>
      </c>
      <c r="K343" s="4" t="s">
        <v>413</v>
      </c>
      <c r="L343" t="s">
        <v>89</v>
      </c>
      <c r="N343" t="s">
        <v>89</v>
      </c>
      <c r="O343" t="s">
        <v>9</v>
      </c>
      <c r="P343" t="s">
        <v>104</v>
      </c>
    </row>
    <row r="344" spans="1:16" hidden="1">
      <c r="A344" t="s">
        <v>432</v>
      </c>
      <c r="B344" s="1">
        <v>4590009958</v>
      </c>
      <c r="C344" t="s">
        <v>433</v>
      </c>
      <c r="D344" s="160">
        <v>147089.60000000001</v>
      </c>
      <c r="G344" s="4"/>
      <c r="H344" s="4"/>
      <c r="I344">
        <v>2023</v>
      </c>
      <c r="J344">
        <v>4</v>
      </c>
      <c r="K344" s="4" t="s">
        <v>413</v>
      </c>
      <c r="L344" t="s">
        <v>89</v>
      </c>
      <c r="N344" t="s">
        <v>89</v>
      </c>
      <c r="O344" t="s">
        <v>16</v>
      </c>
      <c r="P344" t="s">
        <v>434</v>
      </c>
    </row>
    <row r="345" spans="1:16" hidden="1">
      <c r="A345" t="s">
        <v>126</v>
      </c>
      <c r="B345" s="1" t="s">
        <v>127</v>
      </c>
      <c r="C345" t="s">
        <v>128</v>
      </c>
      <c r="D345" s="160">
        <v>2002915</v>
      </c>
      <c r="F345" t="s">
        <v>435</v>
      </c>
      <c r="G345" s="4"/>
      <c r="H345" s="4"/>
      <c r="I345">
        <v>2023</v>
      </c>
      <c r="J345">
        <v>4</v>
      </c>
      <c r="K345" s="4" t="s">
        <v>413</v>
      </c>
      <c r="L345" t="s">
        <v>89</v>
      </c>
      <c r="N345" t="s">
        <v>89</v>
      </c>
      <c r="O345" t="s">
        <v>9</v>
      </c>
      <c r="P345" t="s">
        <v>129</v>
      </c>
    </row>
    <row r="346" spans="1:16" hidden="1">
      <c r="A346" t="s">
        <v>126</v>
      </c>
      <c r="B346" s="1" t="s">
        <v>130</v>
      </c>
      <c r="C346" t="s">
        <v>131</v>
      </c>
      <c r="D346" s="160">
        <v>917809</v>
      </c>
      <c r="G346" s="4"/>
      <c r="H346" s="4"/>
      <c r="I346">
        <v>2023</v>
      </c>
      <c r="J346">
        <v>4</v>
      </c>
      <c r="K346" s="4" t="s">
        <v>413</v>
      </c>
      <c r="L346" t="s">
        <v>89</v>
      </c>
      <c r="N346" t="s">
        <v>89</v>
      </c>
      <c r="O346" t="s">
        <v>9</v>
      </c>
      <c r="P346" t="s">
        <v>129</v>
      </c>
    </row>
    <row r="347" spans="1:16" hidden="1">
      <c r="A347" t="s">
        <v>132</v>
      </c>
      <c r="B347" s="1" t="s">
        <v>133</v>
      </c>
      <c r="C347" t="s">
        <v>134</v>
      </c>
      <c r="D347" s="160">
        <v>186209</v>
      </c>
      <c r="G347" s="4"/>
      <c r="H347" s="4"/>
      <c r="I347">
        <v>2023</v>
      </c>
      <c r="J347">
        <v>4</v>
      </c>
      <c r="K347" s="4" t="s">
        <v>413</v>
      </c>
      <c r="L347" t="s">
        <v>89</v>
      </c>
      <c r="N347" t="s">
        <v>89</v>
      </c>
      <c r="O347" t="s">
        <v>9</v>
      </c>
      <c r="P347" t="s">
        <v>135</v>
      </c>
    </row>
    <row r="348" spans="1:16" hidden="1">
      <c r="A348" t="s">
        <v>102</v>
      </c>
      <c r="B348" s="1" t="s">
        <v>436</v>
      </c>
      <c r="C348" t="s">
        <v>437</v>
      </c>
      <c r="D348" s="160">
        <v>43341</v>
      </c>
      <c r="F348" t="s">
        <v>438</v>
      </c>
      <c r="G348" s="4"/>
      <c r="H348" s="4"/>
      <c r="I348">
        <v>2023</v>
      </c>
      <c r="J348">
        <v>4</v>
      </c>
      <c r="K348" s="4" t="s">
        <v>413</v>
      </c>
      <c r="L348" t="s">
        <v>89</v>
      </c>
      <c r="N348" t="s">
        <v>89</v>
      </c>
      <c r="O348" t="s">
        <v>11</v>
      </c>
      <c r="P348" t="s">
        <v>104</v>
      </c>
    </row>
    <row r="349" spans="1:16" hidden="1">
      <c r="A349" t="s">
        <v>394</v>
      </c>
      <c r="B349" s="1" t="s">
        <v>395</v>
      </c>
      <c r="C349" t="s">
        <v>396</v>
      </c>
      <c r="D349" s="160">
        <v>347112</v>
      </c>
      <c r="G349" s="4"/>
      <c r="H349" s="4"/>
      <c r="I349">
        <v>2023</v>
      </c>
      <c r="J349">
        <v>4</v>
      </c>
      <c r="K349" s="4" t="s">
        <v>413</v>
      </c>
      <c r="L349" t="s">
        <v>89</v>
      </c>
      <c r="N349" t="s">
        <v>89</v>
      </c>
      <c r="O349" t="s">
        <v>13</v>
      </c>
      <c r="P349" t="s">
        <v>361</v>
      </c>
    </row>
    <row r="350" spans="1:16" hidden="1">
      <c r="A350" t="s">
        <v>279</v>
      </c>
      <c r="B350" s="1" t="s">
        <v>280</v>
      </c>
      <c r="C350" t="s">
        <v>281</v>
      </c>
      <c r="D350" s="160">
        <v>530088</v>
      </c>
      <c r="G350" s="4"/>
      <c r="H350" s="4"/>
      <c r="I350">
        <v>2023</v>
      </c>
      <c r="J350">
        <v>4</v>
      </c>
      <c r="K350" s="4" t="s">
        <v>413</v>
      </c>
      <c r="L350" t="s">
        <v>89</v>
      </c>
      <c r="N350" t="s">
        <v>89</v>
      </c>
      <c r="O350" t="s">
        <v>18</v>
      </c>
      <c r="P350" t="s">
        <v>282</v>
      </c>
    </row>
    <row r="351" spans="1:16" hidden="1">
      <c r="A351" t="s">
        <v>325</v>
      </c>
      <c r="B351" s="1" t="s">
        <v>326</v>
      </c>
      <c r="C351" t="s">
        <v>376</v>
      </c>
      <c r="D351" s="160">
        <v>172549.65</v>
      </c>
      <c r="G351" s="4"/>
      <c r="H351" s="4"/>
      <c r="I351">
        <v>2023</v>
      </c>
      <c r="J351">
        <v>4</v>
      </c>
      <c r="K351" s="4" t="s">
        <v>413</v>
      </c>
      <c r="L351" t="s">
        <v>89</v>
      </c>
      <c r="N351" t="s">
        <v>89</v>
      </c>
      <c r="O351" t="s">
        <v>18</v>
      </c>
      <c r="P351" t="s">
        <v>332</v>
      </c>
    </row>
    <row r="352" spans="1:16" hidden="1">
      <c r="A352" t="s">
        <v>237</v>
      </c>
      <c r="B352" s="1" t="s">
        <v>238</v>
      </c>
      <c r="C352" t="s">
        <v>239</v>
      </c>
      <c r="D352" s="160">
        <v>337890</v>
      </c>
      <c r="G352" s="4"/>
      <c r="H352" s="4"/>
      <c r="I352">
        <v>2023</v>
      </c>
      <c r="J352">
        <v>4</v>
      </c>
      <c r="K352" s="4" t="s">
        <v>413</v>
      </c>
      <c r="L352" t="s">
        <v>89</v>
      </c>
      <c r="N352" t="s">
        <v>89</v>
      </c>
      <c r="O352" t="s">
        <v>18</v>
      </c>
      <c r="P352" t="s">
        <v>240</v>
      </c>
    </row>
    <row r="353" spans="1:16" hidden="1">
      <c r="A353" t="s">
        <v>161</v>
      </c>
      <c r="B353" s="1" t="s">
        <v>162</v>
      </c>
      <c r="C353" t="s">
        <v>163</v>
      </c>
      <c r="D353" s="160">
        <v>3626615.08</v>
      </c>
      <c r="G353" s="4"/>
      <c r="H353" s="4"/>
      <c r="I353">
        <v>2023</v>
      </c>
      <c r="J353">
        <v>4</v>
      </c>
      <c r="K353" s="4" t="s">
        <v>413</v>
      </c>
      <c r="L353" t="s">
        <v>89</v>
      </c>
      <c r="N353" t="s">
        <v>89</v>
      </c>
      <c r="O353" t="s">
        <v>18</v>
      </c>
      <c r="P353" t="s">
        <v>164</v>
      </c>
    </row>
    <row r="354" spans="1:16" hidden="1">
      <c r="A354" t="s">
        <v>102</v>
      </c>
      <c r="B354" s="1">
        <v>4503290109</v>
      </c>
      <c r="C354" t="s">
        <v>103</v>
      </c>
      <c r="D354" s="160">
        <v>2863211</v>
      </c>
      <c r="G354" s="4"/>
      <c r="H354" s="4"/>
      <c r="I354">
        <v>2023</v>
      </c>
      <c r="J354">
        <v>5</v>
      </c>
      <c r="K354" s="4" t="s">
        <v>355</v>
      </c>
      <c r="L354" t="s">
        <v>89</v>
      </c>
      <c r="N354" t="s">
        <v>89</v>
      </c>
      <c r="O354" t="s">
        <v>9</v>
      </c>
      <c r="P354" t="s">
        <v>104</v>
      </c>
    </row>
    <row r="355" spans="1:16" hidden="1">
      <c r="A355" t="s">
        <v>102</v>
      </c>
      <c r="B355" s="1">
        <v>4503312319</v>
      </c>
      <c r="C355" t="s">
        <v>110</v>
      </c>
      <c r="D355" s="160">
        <v>15442</v>
      </c>
      <c r="F355" t="s">
        <v>439</v>
      </c>
      <c r="G355" s="4"/>
      <c r="H355" s="4"/>
      <c r="I355">
        <v>2023</v>
      </c>
      <c r="J355">
        <v>5</v>
      </c>
      <c r="K355" s="4" t="s">
        <v>355</v>
      </c>
      <c r="L355" t="s">
        <v>89</v>
      </c>
      <c r="N355" t="s">
        <v>89</v>
      </c>
      <c r="O355" t="s">
        <v>9</v>
      </c>
      <c r="P355" t="s">
        <v>111</v>
      </c>
    </row>
    <row r="356" spans="1:16" hidden="1">
      <c r="A356" t="s">
        <v>116</v>
      </c>
      <c r="B356" s="1">
        <v>4503428513</v>
      </c>
      <c r="C356" t="s">
        <v>117</v>
      </c>
      <c r="D356" s="160">
        <v>474955</v>
      </c>
      <c r="F356" t="s">
        <v>440</v>
      </c>
      <c r="G356" s="4"/>
      <c r="H356" s="4"/>
      <c r="I356">
        <v>2023</v>
      </c>
      <c r="J356">
        <v>5</v>
      </c>
      <c r="K356" s="4" t="s">
        <v>355</v>
      </c>
      <c r="L356" t="s">
        <v>89</v>
      </c>
      <c r="N356" t="s">
        <v>89</v>
      </c>
      <c r="O356" t="s">
        <v>9</v>
      </c>
      <c r="P356" t="s">
        <v>118</v>
      </c>
    </row>
    <row r="357" spans="1:16" hidden="1">
      <c r="A357" t="s">
        <v>102</v>
      </c>
      <c r="B357" s="1">
        <v>4503432118</v>
      </c>
      <c r="C357" t="s">
        <v>119</v>
      </c>
      <c r="D357" s="160">
        <v>3130489</v>
      </c>
      <c r="G357" s="4"/>
      <c r="H357" s="4"/>
      <c r="I357">
        <v>2023</v>
      </c>
      <c r="J357">
        <v>5</v>
      </c>
      <c r="K357" s="4" t="s">
        <v>355</v>
      </c>
      <c r="L357" t="s">
        <v>89</v>
      </c>
      <c r="N357" t="s">
        <v>89</v>
      </c>
      <c r="O357" t="s">
        <v>9</v>
      </c>
      <c r="P357" t="s">
        <v>120</v>
      </c>
    </row>
    <row r="358" spans="1:16" hidden="1">
      <c r="A358" t="s">
        <v>102</v>
      </c>
      <c r="B358" s="1">
        <v>4503432152</v>
      </c>
      <c r="C358" t="s">
        <v>121</v>
      </c>
      <c r="D358" s="160">
        <v>4875</v>
      </c>
      <c r="F358" t="s">
        <v>441</v>
      </c>
      <c r="G358" s="4"/>
      <c r="H358" s="4"/>
      <c r="I358">
        <v>2023</v>
      </c>
      <c r="J358">
        <v>5</v>
      </c>
      <c r="K358" s="4" t="s">
        <v>355</v>
      </c>
      <c r="L358" t="s">
        <v>89</v>
      </c>
      <c r="N358" t="s">
        <v>89</v>
      </c>
      <c r="O358" t="s">
        <v>9</v>
      </c>
      <c r="P358" t="s">
        <v>122</v>
      </c>
    </row>
    <row r="359" spans="1:16" hidden="1">
      <c r="A359" t="s">
        <v>139</v>
      </c>
      <c r="B359" s="1">
        <v>4503441102</v>
      </c>
      <c r="C359" t="s">
        <v>140</v>
      </c>
      <c r="D359" s="160">
        <v>623811</v>
      </c>
      <c r="E359">
        <v>34871</v>
      </c>
      <c r="G359" s="4"/>
      <c r="H359" s="4"/>
      <c r="I359">
        <v>2023</v>
      </c>
      <c r="J359">
        <v>5</v>
      </c>
      <c r="K359" s="4" t="s">
        <v>355</v>
      </c>
      <c r="L359" t="s">
        <v>89</v>
      </c>
      <c r="N359" t="s">
        <v>89</v>
      </c>
      <c r="O359" t="s">
        <v>9</v>
      </c>
      <c r="P359" t="s">
        <v>141</v>
      </c>
    </row>
    <row r="360" spans="1:16" hidden="1">
      <c r="A360" t="s">
        <v>139</v>
      </c>
      <c r="B360" s="1">
        <v>4503441308</v>
      </c>
      <c r="C360" t="s">
        <v>142</v>
      </c>
      <c r="D360" s="160">
        <v>301844</v>
      </c>
      <c r="F360" t="s">
        <v>442</v>
      </c>
      <c r="G360" s="4"/>
      <c r="H360" s="4"/>
      <c r="I360">
        <v>2023</v>
      </c>
      <c r="J360">
        <v>5</v>
      </c>
      <c r="K360" s="4" t="s">
        <v>355</v>
      </c>
      <c r="L360" t="s">
        <v>89</v>
      </c>
      <c r="N360" t="s">
        <v>89</v>
      </c>
      <c r="O360" t="s">
        <v>9</v>
      </c>
      <c r="P360" t="s">
        <v>143</v>
      </c>
    </row>
    <row r="361" spans="1:16" hidden="1">
      <c r="A361" t="s">
        <v>123</v>
      </c>
      <c r="B361" s="1">
        <v>4503448403</v>
      </c>
      <c r="C361" t="s">
        <v>124</v>
      </c>
      <c r="D361" s="160">
        <v>596599.54</v>
      </c>
      <c r="G361" s="4"/>
      <c r="H361" s="4"/>
      <c r="I361">
        <v>2023</v>
      </c>
      <c r="J361">
        <v>5</v>
      </c>
      <c r="K361" s="4" t="s">
        <v>355</v>
      </c>
      <c r="L361" t="s">
        <v>89</v>
      </c>
      <c r="N361" t="s">
        <v>89</v>
      </c>
      <c r="O361" t="s">
        <v>9</v>
      </c>
      <c r="P361" t="s">
        <v>125</v>
      </c>
    </row>
    <row r="362" spans="1:16" hidden="1">
      <c r="A362" t="s">
        <v>102</v>
      </c>
      <c r="B362" s="1">
        <v>4503489979</v>
      </c>
      <c r="C362" t="s">
        <v>144</v>
      </c>
      <c r="D362" s="160">
        <v>219971</v>
      </c>
      <c r="F362" t="s">
        <v>443</v>
      </c>
      <c r="G362" s="4"/>
      <c r="H362" s="4"/>
      <c r="I362">
        <v>2023</v>
      </c>
      <c r="J362">
        <v>5</v>
      </c>
      <c r="K362" s="4" t="s">
        <v>355</v>
      </c>
      <c r="L362" t="s">
        <v>89</v>
      </c>
      <c r="N362" t="s">
        <v>89</v>
      </c>
      <c r="O362" t="s">
        <v>9</v>
      </c>
      <c r="P362" t="s">
        <v>145</v>
      </c>
    </row>
    <row r="363" spans="1:16" hidden="1">
      <c r="A363" t="s">
        <v>219</v>
      </c>
      <c r="B363" s="1">
        <v>4590000425</v>
      </c>
      <c r="C363" t="s">
        <v>220</v>
      </c>
      <c r="D363" s="160">
        <v>172568</v>
      </c>
      <c r="G363" s="4"/>
      <c r="H363" s="4"/>
      <c r="I363">
        <v>2023</v>
      </c>
      <c r="J363">
        <v>5</v>
      </c>
      <c r="K363" s="4" t="s">
        <v>355</v>
      </c>
      <c r="L363" t="s">
        <v>89</v>
      </c>
      <c r="N363" t="s">
        <v>89</v>
      </c>
      <c r="O363" t="s">
        <v>13</v>
      </c>
      <c r="P363" t="s">
        <v>222</v>
      </c>
    </row>
    <row r="364" spans="1:16" hidden="1">
      <c r="A364" t="s">
        <v>346</v>
      </c>
      <c r="B364" s="1">
        <v>4590000428</v>
      </c>
      <c r="C364" t="s">
        <v>318</v>
      </c>
      <c r="D364" s="160">
        <v>218714</v>
      </c>
      <c r="F364" t="s">
        <v>444</v>
      </c>
      <c r="G364" s="4"/>
      <c r="H364" s="4"/>
      <c r="I364">
        <v>2023</v>
      </c>
      <c r="J364">
        <v>5</v>
      </c>
      <c r="K364" s="4" t="s">
        <v>355</v>
      </c>
      <c r="L364" t="s">
        <v>89</v>
      </c>
      <c r="N364" t="s">
        <v>89</v>
      </c>
      <c r="O364" t="s">
        <v>13</v>
      </c>
      <c r="P364" t="s">
        <v>222</v>
      </c>
    </row>
    <row r="365" spans="1:16" hidden="1">
      <c r="A365" t="s">
        <v>139</v>
      </c>
      <c r="B365" s="1">
        <v>4590000539</v>
      </c>
      <c r="C365" t="s">
        <v>155</v>
      </c>
      <c r="D365" s="160">
        <v>475204</v>
      </c>
      <c r="E365">
        <v>26564</v>
      </c>
      <c r="G365" s="4"/>
      <c r="H365" s="4"/>
      <c r="I365">
        <v>2023</v>
      </c>
      <c r="J365">
        <v>5</v>
      </c>
      <c r="K365" s="4" t="s">
        <v>355</v>
      </c>
      <c r="L365" t="s">
        <v>89</v>
      </c>
      <c r="N365" t="s">
        <v>89</v>
      </c>
      <c r="O365" t="s">
        <v>11</v>
      </c>
      <c r="P365" t="s">
        <v>156</v>
      </c>
    </row>
    <row r="366" spans="1:16" hidden="1">
      <c r="A366" t="s">
        <v>219</v>
      </c>
      <c r="B366" s="1">
        <v>4590001034</v>
      </c>
      <c r="C366" t="s">
        <v>248</v>
      </c>
      <c r="D366" s="160">
        <v>2405</v>
      </c>
      <c r="F366" t="s">
        <v>445</v>
      </c>
      <c r="G366" s="4"/>
      <c r="H366" s="4"/>
      <c r="I366">
        <v>2023</v>
      </c>
      <c r="J366">
        <v>5</v>
      </c>
      <c r="K366" s="4" t="s">
        <v>355</v>
      </c>
      <c r="L366" t="s">
        <v>89</v>
      </c>
      <c r="N366" t="s">
        <v>89</v>
      </c>
      <c r="O366" t="s">
        <v>13</v>
      </c>
      <c r="P366" t="s">
        <v>222</v>
      </c>
    </row>
    <row r="367" spans="1:16" hidden="1">
      <c r="A367" t="s">
        <v>446</v>
      </c>
      <c r="B367" s="1">
        <v>4590001827</v>
      </c>
      <c r="C367" t="s">
        <v>447</v>
      </c>
      <c r="D367" s="160">
        <v>5443</v>
      </c>
      <c r="G367" s="4"/>
      <c r="H367" s="4"/>
      <c r="I367">
        <v>2023</v>
      </c>
      <c r="J367">
        <v>5</v>
      </c>
      <c r="K367" s="4" t="s">
        <v>355</v>
      </c>
      <c r="L367" t="s">
        <v>89</v>
      </c>
      <c r="N367" t="s">
        <v>89</v>
      </c>
      <c r="O367" t="s">
        <v>12</v>
      </c>
      <c r="P367" t="s">
        <v>448</v>
      </c>
    </row>
    <row r="368" spans="1:16" hidden="1">
      <c r="A368" t="s">
        <v>446</v>
      </c>
      <c r="B368" s="1">
        <v>4590002743</v>
      </c>
      <c r="C368" t="s">
        <v>449</v>
      </c>
      <c r="D368" s="160">
        <v>14815.65</v>
      </c>
      <c r="G368" s="4"/>
      <c r="H368" s="4"/>
      <c r="I368">
        <v>2023</v>
      </c>
      <c r="J368">
        <v>5</v>
      </c>
      <c r="K368" s="4" t="s">
        <v>355</v>
      </c>
      <c r="L368" t="s">
        <v>89</v>
      </c>
      <c r="N368" t="s">
        <v>89</v>
      </c>
      <c r="O368" t="s">
        <v>12</v>
      </c>
      <c r="P368" t="s">
        <v>448</v>
      </c>
    </row>
    <row r="369" spans="1:16" hidden="1">
      <c r="A369" t="s">
        <v>446</v>
      </c>
      <c r="B369" s="1">
        <v>4590002744</v>
      </c>
      <c r="C369" t="s">
        <v>450</v>
      </c>
      <c r="D369" s="160">
        <v>43093.63</v>
      </c>
      <c r="G369" s="4"/>
      <c r="H369" s="4"/>
      <c r="I369">
        <v>2023</v>
      </c>
      <c r="J369">
        <v>5</v>
      </c>
      <c r="K369" s="4" t="s">
        <v>355</v>
      </c>
      <c r="L369" t="s">
        <v>89</v>
      </c>
      <c r="N369" t="s">
        <v>89</v>
      </c>
      <c r="O369" t="s">
        <v>12</v>
      </c>
      <c r="P369" t="s">
        <v>448</v>
      </c>
    </row>
    <row r="370" spans="1:16" hidden="1">
      <c r="A370" t="s">
        <v>446</v>
      </c>
      <c r="B370" s="1">
        <v>4590003431</v>
      </c>
      <c r="C370" t="s">
        <v>451</v>
      </c>
      <c r="D370" s="160">
        <v>5100</v>
      </c>
      <c r="F370" t="s">
        <v>452</v>
      </c>
      <c r="G370" s="4"/>
      <c r="H370" s="4"/>
      <c r="I370">
        <v>2023</v>
      </c>
      <c r="J370">
        <v>5</v>
      </c>
      <c r="K370" s="4" t="s">
        <v>355</v>
      </c>
      <c r="L370" t="s">
        <v>89</v>
      </c>
      <c r="N370" t="s">
        <v>89</v>
      </c>
      <c r="O370" t="s">
        <v>12</v>
      </c>
      <c r="P370" t="s">
        <v>448</v>
      </c>
    </row>
    <row r="371" spans="1:16" hidden="1">
      <c r="A371" t="s">
        <v>219</v>
      </c>
      <c r="B371" s="1">
        <v>4590003912</v>
      </c>
      <c r="C371" t="s">
        <v>384</v>
      </c>
      <c r="D371" s="160">
        <v>170487.1</v>
      </c>
      <c r="F371" t="s">
        <v>453</v>
      </c>
      <c r="G371" s="4"/>
      <c r="H371" s="4"/>
      <c r="I371">
        <v>2023</v>
      </c>
      <c r="J371">
        <v>5</v>
      </c>
      <c r="K371" s="4" t="s">
        <v>355</v>
      </c>
      <c r="L371" t="s">
        <v>89</v>
      </c>
      <c r="N371" t="s">
        <v>89</v>
      </c>
      <c r="O371" t="s">
        <v>13</v>
      </c>
      <c r="P371" t="s">
        <v>222</v>
      </c>
    </row>
    <row r="372" spans="1:16" hidden="1">
      <c r="A372" t="s">
        <v>454</v>
      </c>
      <c r="B372" s="1">
        <v>4590006814</v>
      </c>
      <c r="C372" t="s">
        <v>455</v>
      </c>
      <c r="D372" s="160">
        <v>158250</v>
      </c>
      <c r="F372" t="s">
        <v>456</v>
      </c>
      <c r="G372" s="4">
        <v>45251</v>
      </c>
      <c r="H372" s="4">
        <v>45252</v>
      </c>
      <c r="I372">
        <v>2023</v>
      </c>
      <c r="J372">
        <v>11</v>
      </c>
      <c r="K372" s="4" t="s">
        <v>457</v>
      </c>
      <c r="L372" t="s">
        <v>89</v>
      </c>
      <c r="M372" t="s">
        <v>458</v>
      </c>
      <c r="N372" t="s">
        <v>89</v>
      </c>
      <c r="O372" t="s">
        <v>8</v>
      </c>
      <c r="P372" t="s">
        <v>300</v>
      </c>
    </row>
    <row r="373" spans="1:16" hidden="1">
      <c r="A373" t="s">
        <v>428</v>
      </c>
      <c r="B373" s="1">
        <v>4590008319</v>
      </c>
      <c r="C373" t="s">
        <v>334</v>
      </c>
      <c r="D373" s="160">
        <v>171915</v>
      </c>
      <c r="F373" t="s">
        <v>459</v>
      </c>
      <c r="G373" s="4"/>
      <c r="H373" s="4"/>
      <c r="I373">
        <v>2023</v>
      </c>
      <c r="J373">
        <v>5</v>
      </c>
      <c r="K373" s="4" t="s">
        <v>355</v>
      </c>
      <c r="L373" t="s">
        <v>89</v>
      </c>
      <c r="N373" t="s">
        <v>89</v>
      </c>
      <c r="O373" t="s">
        <v>9</v>
      </c>
      <c r="P373" t="s">
        <v>335</v>
      </c>
    </row>
    <row r="374" spans="1:16" hidden="1">
      <c r="A374" t="s">
        <v>123</v>
      </c>
      <c r="B374" s="1">
        <v>4590008674</v>
      </c>
      <c r="C374" t="s">
        <v>359</v>
      </c>
      <c r="D374" s="160">
        <v>239016</v>
      </c>
      <c r="F374" t="s">
        <v>460</v>
      </c>
      <c r="G374" s="4"/>
      <c r="H374" s="4"/>
      <c r="I374">
        <v>2023</v>
      </c>
      <c r="J374">
        <v>5</v>
      </c>
      <c r="K374" s="4" t="s">
        <v>355</v>
      </c>
      <c r="L374" t="s">
        <v>89</v>
      </c>
      <c r="N374" t="s">
        <v>89</v>
      </c>
      <c r="O374" t="s">
        <v>13</v>
      </c>
      <c r="P374" t="s">
        <v>361</v>
      </c>
    </row>
    <row r="375" spans="1:16" hidden="1">
      <c r="A375" t="s">
        <v>86</v>
      </c>
      <c r="B375" s="1">
        <v>4590008827</v>
      </c>
      <c r="C375" t="s">
        <v>390</v>
      </c>
      <c r="D375" s="160">
        <v>99676.09</v>
      </c>
      <c r="F375" t="s">
        <v>461</v>
      </c>
      <c r="G375" s="4"/>
      <c r="H375" s="4"/>
      <c r="I375">
        <v>2023</v>
      </c>
      <c r="J375">
        <v>5</v>
      </c>
      <c r="K375" s="4" t="s">
        <v>355</v>
      </c>
      <c r="L375" t="s">
        <v>89</v>
      </c>
      <c r="N375" t="s">
        <v>89</v>
      </c>
      <c r="O375" t="s">
        <v>13</v>
      </c>
      <c r="P375" t="s">
        <v>222</v>
      </c>
    </row>
    <row r="376" spans="1:16" hidden="1">
      <c r="A376" t="s">
        <v>86</v>
      </c>
      <c r="B376" s="1">
        <v>4590009148</v>
      </c>
      <c r="C376" t="s">
        <v>462</v>
      </c>
      <c r="D376" s="160">
        <v>35767</v>
      </c>
      <c r="F376" t="s">
        <v>463</v>
      </c>
      <c r="G376" s="4"/>
      <c r="H376" s="4"/>
      <c r="I376">
        <v>2023</v>
      </c>
      <c r="J376">
        <v>5</v>
      </c>
      <c r="K376" s="4" t="s">
        <v>355</v>
      </c>
      <c r="L376" t="s">
        <v>89</v>
      </c>
      <c r="N376" t="s">
        <v>89</v>
      </c>
      <c r="O376" t="s">
        <v>13</v>
      </c>
      <c r="P376" t="s">
        <v>361</v>
      </c>
    </row>
    <row r="377" spans="1:16" hidden="1">
      <c r="A377" t="s">
        <v>102</v>
      </c>
      <c r="B377" s="1">
        <v>4590010557</v>
      </c>
      <c r="C377" t="s">
        <v>464</v>
      </c>
      <c r="D377" s="160">
        <v>57388</v>
      </c>
      <c r="F377" t="s">
        <v>465</v>
      </c>
      <c r="G377" s="4"/>
      <c r="H377" s="4"/>
      <c r="I377">
        <v>2023</v>
      </c>
      <c r="J377">
        <v>5</v>
      </c>
      <c r="K377" s="4" t="s">
        <v>355</v>
      </c>
      <c r="L377" t="s">
        <v>89</v>
      </c>
      <c r="N377" t="s">
        <v>89</v>
      </c>
      <c r="O377" t="s">
        <v>9</v>
      </c>
      <c r="P377" t="s">
        <v>104</v>
      </c>
    </row>
    <row r="378" spans="1:16" hidden="1">
      <c r="A378" t="s">
        <v>126</v>
      </c>
      <c r="B378" s="1" t="s">
        <v>127</v>
      </c>
      <c r="C378" t="s">
        <v>128</v>
      </c>
      <c r="D378" s="160">
        <v>1502663</v>
      </c>
      <c r="F378" t="s">
        <v>466</v>
      </c>
      <c r="G378" s="4"/>
      <c r="H378" s="4"/>
      <c r="I378">
        <v>2023</v>
      </c>
      <c r="J378">
        <v>5</v>
      </c>
      <c r="K378" s="4" t="s">
        <v>355</v>
      </c>
      <c r="L378" t="s">
        <v>89</v>
      </c>
      <c r="N378" t="s">
        <v>89</v>
      </c>
      <c r="O378" t="s">
        <v>9</v>
      </c>
      <c r="P378" t="s">
        <v>129</v>
      </c>
    </row>
    <row r="379" spans="1:16" hidden="1">
      <c r="A379" t="s">
        <v>126</v>
      </c>
      <c r="B379" s="1" t="s">
        <v>130</v>
      </c>
      <c r="C379" t="s">
        <v>131</v>
      </c>
      <c r="D379" s="160">
        <v>369805</v>
      </c>
      <c r="G379" s="4"/>
      <c r="H379" s="4"/>
      <c r="I379">
        <v>2023</v>
      </c>
      <c r="J379">
        <v>5</v>
      </c>
      <c r="K379" s="4" t="s">
        <v>355</v>
      </c>
      <c r="L379" t="s">
        <v>89</v>
      </c>
      <c r="N379" t="s">
        <v>89</v>
      </c>
      <c r="O379" t="s">
        <v>9</v>
      </c>
      <c r="P379" t="s">
        <v>129</v>
      </c>
    </row>
    <row r="380" spans="1:16" hidden="1">
      <c r="A380" t="s">
        <v>132</v>
      </c>
      <c r="B380" s="1" t="s">
        <v>133</v>
      </c>
      <c r="C380" t="s">
        <v>134</v>
      </c>
      <c r="D380" s="160">
        <v>183957</v>
      </c>
      <c r="G380" s="4"/>
      <c r="H380" s="4"/>
      <c r="I380">
        <v>2023</v>
      </c>
      <c r="J380">
        <v>5</v>
      </c>
      <c r="K380" s="4" t="s">
        <v>355</v>
      </c>
      <c r="L380" t="s">
        <v>89</v>
      </c>
      <c r="N380" t="s">
        <v>89</v>
      </c>
      <c r="O380" t="s">
        <v>9</v>
      </c>
      <c r="P380" t="s">
        <v>135</v>
      </c>
    </row>
    <row r="381" spans="1:16" hidden="1">
      <c r="A381" t="s">
        <v>275</v>
      </c>
      <c r="B381" s="1" t="s">
        <v>305</v>
      </c>
      <c r="C381" t="s">
        <v>306</v>
      </c>
      <c r="D381" s="160">
        <v>3204636.27</v>
      </c>
      <c r="G381" s="4"/>
      <c r="H381" s="4"/>
      <c r="I381">
        <v>2023</v>
      </c>
      <c r="J381">
        <v>5</v>
      </c>
      <c r="K381" s="4" t="s">
        <v>355</v>
      </c>
      <c r="L381" t="s">
        <v>89</v>
      </c>
      <c r="N381" t="s">
        <v>89</v>
      </c>
      <c r="O381" t="s">
        <v>15</v>
      </c>
      <c r="P381" t="s">
        <v>278</v>
      </c>
    </row>
    <row r="382" spans="1:16" hidden="1">
      <c r="A382" t="s">
        <v>394</v>
      </c>
      <c r="B382" s="1" t="s">
        <v>395</v>
      </c>
      <c r="C382" t="s">
        <v>396</v>
      </c>
      <c r="D382" s="160">
        <v>306216</v>
      </c>
      <c r="G382" s="4"/>
      <c r="H382" s="4"/>
      <c r="I382">
        <v>2023</v>
      </c>
      <c r="J382">
        <v>5</v>
      </c>
      <c r="K382" s="4" t="s">
        <v>355</v>
      </c>
      <c r="L382" t="s">
        <v>89</v>
      </c>
      <c r="N382" t="s">
        <v>89</v>
      </c>
      <c r="O382" t="s">
        <v>13</v>
      </c>
      <c r="P382" t="s">
        <v>361</v>
      </c>
    </row>
    <row r="383" spans="1:16" hidden="1">
      <c r="A383" t="s">
        <v>279</v>
      </c>
      <c r="B383" s="1" t="s">
        <v>280</v>
      </c>
      <c r="C383" t="s">
        <v>281</v>
      </c>
      <c r="D383" s="160">
        <v>530088</v>
      </c>
      <c r="G383" s="4"/>
      <c r="H383" s="4"/>
      <c r="I383">
        <v>2023</v>
      </c>
      <c r="J383">
        <v>5</v>
      </c>
      <c r="K383" s="4" t="s">
        <v>355</v>
      </c>
      <c r="L383" t="s">
        <v>89</v>
      </c>
      <c r="N383" t="s">
        <v>89</v>
      </c>
      <c r="O383" t="s">
        <v>18</v>
      </c>
      <c r="P383" t="s">
        <v>282</v>
      </c>
    </row>
    <row r="384" spans="1:16" hidden="1">
      <c r="A384" t="s">
        <v>325</v>
      </c>
      <c r="B384" s="1" t="s">
        <v>326</v>
      </c>
      <c r="C384" t="s">
        <v>376</v>
      </c>
      <c r="D384" s="160">
        <v>146149.65</v>
      </c>
      <c r="G384" s="4"/>
      <c r="H384" s="4"/>
      <c r="I384">
        <v>2023</v>
      </c>
      <c r="J384">
        <v>5</v>
      </c>
      <c r="K384" s="4" t="s">
        <v>355</v>
      </c>
      <c r="L384" t="s">
        <v>89</v>
      </c>
      <c r="N384" t="s">
        <v>89</v>
      </c>
      <c r="O384" t="s">
        <v>18</v>
      </c>
      <c r="P384" t="s">
        <v>332</v>
      </c>
    </row>
    <row r="385" spans="1:16" hidden="1">
      <c r="A385" t="s">
        <v>237</v>
      </c>
      <c r="B385" s="1" t="s">
        <v>238</v>
      </c>
      <c r="C385" t="s">
        <v>239</v>
      </c>
      <c r="D385" s="160">
        <v>123971.61</v>
      </c>
      <c r="G385" s="4"/>
      <c r="H385" s="4"/>
      <c r="I385">
        <v>2023</v>
      </c>
      <c r="J385">
        <v>5</v>
      </c>
      <c r="K385" s="4" t="s">
        <v>355</v>
      </c>
      <c r="L385" t="s">
        <v>89</v>
      </c>
      <c r="N385" t="s">
        <v>89</v>
      </c>
      <c r="O385" t="s">
        <v>18</v>
      </c>
      <c r="P385" t="s">
        <v>240</v>
      </c>
    </row>
    <row r="386" spans="1:16" hidden="1">
      <c r="A386" t="s">
        <v>161</v>
      </c>
      <c r="B386" s="1" t="s">
        <v>162</v>
      </c>
      <c r="C386" t="s">
        <v>163</v>
      </c>
      <c r="D386" s="160">
        <v>792318.99</v>
      </c>
      <c r="G386" s="4"/>
      <c r="H386" s="4"/>
      <c r="I386">
        <v>2023</v>
      </c>
      <c r="J386">
        <v>5</v>
      </c>
      <c r="K386" s="4" t="s">
        <v>355</v>
      </c>
      <c r="L386" t="s">
        <v>89</v>
      </c>
      <c r="N386" t="s">
        <v>89</v>
      </c>
      <c r="O386" t="s">
        <v>18</v>
      </c>
      <c r="P386" t="s">
        <v>164</v>
      </c>
    </row>
    <row r="387" spans="1:16" hidden="1">
      <c r="A387" t="s">
        <v>102</v>
      </c>
      <c r="B387" s="1">
        <v>4503290109</v>
      </c>
      <c r="C387" t="s">
        <v>103</v>
      </c>
      <c r="D387" s="160">
        <v>3367236</v>
      </c>
      <c r="G387" s="4"/>
      <c r="H387" s="4"/>
      <c r="I387">
        <v>2023</v>
      </c>
      <c r="J387">
        <v>6</v>
      </c>
      <c r="K387" s="4" t="s">
        <v>298</v>
      </c>
      <c r="L387" t="s">
        <v>89</v>
      </c>
      <c r="N387" t="s">
        <v>89</v>
      </c>
      <c r="O387" t="s">
        <v>9</v>
      </c>
      <c r="P387" t="s">
        <v>104</v>
      </c>
    </row>
    <row r="388" spans="1:16" hidden="1">
      <c r="A388" t="s">
        <v>102</v>
      </c>
      <c r="B388" s="1">
        <v>4503312319</v>
      </c>
      <c r="C388" t="s">
        <v>110</v>
      </c>
      <c r="D388" s="160">
        <v>406933</v>
      </c>
      <c r="G388" s="4"/>
      <c r="H388" s="4"/>
      <c r="I388">
        <v>2023</v>
      </c>
      <c r="J388">
        <v>6</v>
      </c>
      <c r="K388" s="4" t="s">
        <v>298</v>
      </c>
      <c r="L388" t="s">
        <v>89</v>
      </c>
      <c r="N388" t="s">
        <v>89</v>
      </c>
      <c r="O388" t="s">
        <v>9</v>
      </c>
      <c r="P388" t="s">
        <v>111</v>
      </c>
    </row>
    <row r="389" spans="1:16" hidden="1">
      <c r="A389" t="s">
        <v>116</v>
      </c>
      <c r="B389" s="1">
        <v>4503428513</v>
      </c>
      <c r="C389" t="s">
        <v>117</v>
      </c>
      <c r="D389" s="160">
        <v>305019</v>
      </c>
      <c r="F389" t="s">
        <v>467</v>
      </c>
      <c r="G389" s="4"/>
      <c r="H389" s="4"/>
      <c r="I389">
        <v>2023</v>
      </c>
      <c r="J389">
        <v>6</v>
      </c>
      <c r="K389" s="4" t="s">
        <v>298</v>
      </c>
      <c r="L389" t="s">
        <v>89</v>
      </c>
      <c r="N389" t="s">
        <v>89</v>
      </c>
      <c r="O389" t="s">
        <v>9</v>
      </c>
      <c r="P389" t="s">
        <v>118</v>
      </c>
    </row>
    <row r="390" spans="1:16" hidden="1">
      <c r="A390" t="s">
        <v>102</v>
      </c>
      <c r="B390" s="1">
        <v>4503432118</v>
      </c>
      <c r="C390" t="s">
        <v>119</v>
      </c>
      <c r="D390" s="160">
        <v>3274236</v>
      </c>
      <c r="F390" t="s">
        <v>468</v>
      </c>
      <c r="G390" s="4"/>
      <c r="H390" s="4"/>
      <c r="I390">
        <v>2023</v>
      </c>
      <c r="J390">
        <v>6</v>
      </c>
      <c r="K390" s="4" t="s">
        <v>298</v>
      </c>
      <c r="L390" t="s">
        <v>89</v>
      </c>
      <c r="N390" t="s">
        <v>89</v>
      </c>
      <c r="O390" t="s">
        <v>9</v>
      </c>
      <c r="P390" t="s">
        <v>120</v>
      </c>
    </row>
    <row r="391" spans="1:16" hidden="1">
      <c r="A391" t="s">
        <v>102</v>
      </c>
      <c r="B391" s="1">
        <v>4503432152</v>
      </c>
      <c r="C391" t="s">
        <v>121</v>
      </c>
      <c r="D391" s="160">
        <v>1035087</v>
      </c>
      <c r="F391" t="s">
        <v>469</v>
      </c>
      <c r="G391" s="4"/>
      <c r="H391" s="4"/>
      <c r="I391">
        <v>2023</v>
      </c>
      <c r="J391">
        <v>6</v>
      </c>
      <c r="K391" s="4" t="s">
        <v>298</v>
      </c>
      <c r="L391" t="s">
        <v>89</v>
      </c>
      <c r="N391" t="s">
        <v>89</v>
      </c>
      <c r="O391" t="s">
        <v>9</v>
      </c>
      <c r="P391" t="s">
        <v>122</v>
      </c>
    </row>
    <row r="392" spans="1:16" hidden="1">
      <c r="A392" t="s">
        <v>139</v>
      </c>
      <c r="B392" s="1">
        <v>4503441102</v>
      </c>
      <c r="C392" t="s">
        <v>140</v>
      </c>
      <c r="D392" s="160">
        <v>140984</v>
      </c>
      <c r="E392">
        <v>7881</v>
      </c>
      <c r="G392" s="4"/>
      <c r="H392" s="4"/>
      <c r="I392">
        <v>2023</v>
      </c>
      <c r="J392">
        <v>6</v>
      </c>
      <c r="K392" s="4" t="s">
        <v>298</v>
      </c>
      <c r="L392" t="s">
        <v>89</v>
      </c>
      <c r="N392" t="s">
        <v>89</v>
      </c>
      <c r="O392" t="s">
        <v>9</v>
      </c>
      <c r="P392" t="s">
        <v>141</v>
      </c>
    </row>
    <row r="393" spans="1:16" hidden="1">
      <c r="A393" t="s">
        <v>123</v>
      </c>
      <c r="B393" s="1">
        <v>4503448403</v>
      </c>
      <c r="C393" t="s">
        <v>124</v>
      </c>
      <c r="D393" s="160">
        <v>238553</v>
      </c>
      <c r="G393" s="4"/>
      <c r="H393" s="4"/>
      <c r="I393">
        <v>2023</v>
      </c>
      <c r="J393">
        <v>6</v>
      </c>
      <c r="K393" s="4" t="s">
        <v>298</v>
      </c>
      <c r="L393" t="s">
        <v>89</v>
      </c>
      <c r="N393" t="s">
        <v>89</v>
      </c>
      <c r="O393" t="s">
        <v>9</v>
      </c>
      <c r="P393" t="s">
        <v>125</v>
      </c>
    </row>
    <row r="394" spans="1:16" hidden="1">
      <c r="A394" t="s">
        <v>102</v>
      </c>
      <c r="B394" s="1">
        <v>4503489979</v>
      </c>
      <c r="C394" t="s">
        <v>144</v>
      </c>
      <c r="D394" s="160">
        <v>545283</v>
      </c>
      <c r="F394" t="s">
        <v>470</v>
      </c>
      <c r="G394" s="4"/>
      <c r="H394" s="4"/>
      <c r="I394">
        <v>2023</v>
      </c>
      <c r="J394">
        <v>6</v>
      </c>
      <c r="K394" s="4" t="s">
        <v>298</v>
      </c>
      <c r="L394" t="s">
        <v>89</v>
      </c>
      <c r="N394" t="s">
        <v>89</v>
      </c>
      <c r="O394" t="s">
        <v>9</v>
      </c>
      <c r="P394" t="s">
        <v>145</v>
      </c>
    </row>
    <row r="395" spans="1:16" hidden="1">
      <c r="A395" t="s">
        <v>139</v>
      </c>
      <c r="B395" s="1">
        <v>4590000539</v>
      </c>
      <c r="C395" t="s">
        <v>155</v>
      </c>
      <c r="D395" s="160">
        <v>100565</v>
      </c>
      <c r="E395">
        <v>5622</v>
      </c>
      <c r="G395" s="4"/>
      <c r="H395" s="4"/>
      <c r="I395">
        <v>2023</v>
      </c>
      <c r="J395">
        <v>6</v>
      </c>
      <c r="K395" s="4" t="s">
        <v>298</v>
      </c>
      <c r="L395" t="s">
        <v>89</v>
      </c>
      <c r="N395" t="s">
        <v>89</v>
      </c>
      <c r="O395" t="s">
        <v>11</v>
      </c>
      <c r="P395" t="s">
        <v>156</v>
      </c>
    </row>
    <row r="396" spans="1:16" hidden="1">
      <c r="A396" t="s">
        <v>139</v>
      </c>
      <c r="B396" s="1">
        <v>4590000540</v>
      </c>
      <c r="C396" t="s">
        <v>157</v>
      </c>
      <c r="D396" s="160">
        <v>248175</v>
      </c>
      <c r="E396">
        <v>13873</v>
      </c>
      <c r="G396" s="4"/>
      <c r="H396" s="4"/>
      <c r="I396">
        <v>2023</v>
      </c>
      <c r="J396">
        <v>6</v>
      </c>
      <c r="K396" s="4" t="s">
        <v>298</v>
      </c>
      <c r="L396" t="s">
        <v>89</v>
      </c>
      <c r="N396" t="s">
        <v>89</v>
      </c>
      <c r="O396" t="s">
        <v>9</v>
      </c>
      <c r="P396" t="s">
        <v>156</v>
      </c>
    </row>
    <row r="397" spans="1:16" hidden="1">
      <c r="A397" t="s">
        <v>446</v>
      </c>
      <c r="B397" s="1">
        <v>4590001827</v>
      </c>
      <c r="C397" t="s">
        <v>447</v>
      </c>
      <c r="D397" s="160">
        <v>103369</v>
      </c>
      <c r="G397" s="4"/>
      <c r="H397" s="4"/>
      <c r="I397">
        <v>2023</v>
      </c>
      <c r="J397">
        <v>6</v>
      </c>
      <c r="K397" s="4" t="s">
        <v>298</v>
      </c>
      <c r="L397" t="s">
        <v>89</v>
      </c>
      <c r="N397" t="s">
        <v>89</v>
      </c>
      <c r="O397" t="s">
        <v>12</v>
      </c>
      <c r="P397" t="s">
        <v>448</v>
      </c>
    </row>
    <row r="398" spans="1:16" hidden="1">
      <c r="A398" t="s">
        <v>471</v>
      </c>
      <c r="B398" s="1">
        <v>4590005172</v>
      </c>
      <c r="C398" t="s">
        <v>472</v>
      </c>
      <c r="D398" s="160">
        <v>222735</v>
      </c>
      <c r="F398" t="s">
        <v>473</v>
      </c>
      <c r="G398" s="4"/>
      <c r="H398" s="4"/>
      <c r="I398">
        <v>2023</v>
      </c>
      <c r="J398">
        <v>11</v>
      </c>
      <c r="K398" s="4" t="s">
        <v>457</v>
      </c>
      <c r="L398" t="s">
        <v>89</v>
      </c>
      <c r="N398" t="s">
        <v>89</v>
      </c>
      <c r="O398" t="s">
        <v>8</v>
      </c>
      <c r="P398" t="s">
        <v>300</v>
      </c>
    </row>
    <row r="399" spans="1:16" hidden="1">
      <c r="A399" t="s">
        <v>219</v>
      </c>
      <c r="B399" s="1">
        <v>4590003912</v>
      </c>
      <c r="C399" t="s">
        <v>384</v>
      </c>
      <c r="D399" s="160">
        <v>21584.31</v>
      </c>
      <c r="F399" t="s">
        <v>474</v>
      </c>
      <c r="G399" s="4"/>
      <c r="H399" s="4"/>
      <c r="I399">
        <v>2023</v>
      </c>
      <c r="J399">
        <v>6</v>
      </c>
      <c r="K399" s="4" t="s">
        <v>298</v>
      </c>
      <c r="L399" t="s">
        <v>89</v>
      </c>
      <c r="N399" t="s">
        <v>89</v>
      </c>
      <c r="O399" t="s">
        <v>13</v>
      </c>
      <c r="P399" t="s">
        <v>222</v>
      </c>
    </row>
    <row r="400" spans="1:16" hidden="1">
      <c r="A400" t="s">
        <v>475</v>
      </c>
      <c r="B400" s="1">
        <v>4590005159</v>
      </c>
      <c r="C400" t="s">
        <v>476</v>
      </c>
      <c r="D400" s="160">
        <v>21278</v>
      </c>
      <c r="F400" t="s">
        <v>477</v>
      </c>
      <c r="G400" s="4"/>
      <c r="H400" s="4"/>
      <c r="I400">
        <v>2023</v>
      </c>
      <c r="J400">
        <v>11</v>
      </c>
      <c r="K400" s="4" t="s">
        <v>457</v>
      </c>
      <c r="L400" t="s">
        <v>95</v>
      </c>
      <c r="M400" t="s">
        <v>478</v>
      </c>
      <c r="N400" t="s">
        <v>479</v>
      </c>
      <c r="O400" t="s">
        <v>8</v>
      </c>
      <c r="P400" t="s">
        <v>480</v>
      </c>
    </row>
    <row r="401" spans="1:16" hidden="1">
      <c r="A401" t="s">
        <v>102</v>
      </c>
      <c r="B401" s="1">
        <v>4590004971</v>
      </c>
      <c r="C401" t="s">
        <v>253</v>
      </c>
      <c r="D401" s="160">
        <v>244801</v>
      </c>
      <c r="F401" t="s">
        <v>481</v>
      </c>
      <c r="G401" s="4"/>
      <c r="H401" s="4"/>
      <c r="I401">
        <v>2023</v>
      </c>
      <c r="J401">
        <v>6</v>
      </c>
      <c r="K401" s="4" t="s">
        <v>298</v>
      </c>
      <c r="L401" t="s">
        <v>89</v>
      </c>
      <c r="N401" t="s">
        <v>89</v>
      </c>
      <c r="O401" t="s">
        <v>9</v>
      </c>
      <c r="P401" t="s">
        <v>120</v>
      </c>
    </row>
    <row r="402" spans="1:16" hidden="1">
      <c r="A402" t="s">
        <v>269</v>
      </c>
      <c r="B402" s="1">
        <v>4590006293</v>
      </c>
      <c r="C402" t="s">
        <v>322</v>
      </c>
      <c r="D402" s="160">
        <v>38596</v>
      </c>
      <c r="G402" s="4"/>
      <c r="H402" s="4"/>
      <c r="I402">
        <v>2023</v>
      </c>
      <c r="J402">
        <v>6</v>
      </c>
      <c r="K402" s="4" t="s">
        <v>298</v>
      </c>
      <c r="L402" t="s">
        <v>89</v>
      </c>
      <c r="N402" t="s">
        <v>89</v>
      </c>
      <c r="O402" t="s">
        <v>9</v>
      </c>
      <c r="P402" t="s">
        <v>120</v>
      </c>
    </row>
    <row r="403" spans="1:16" hidden="1">
      <c r="A403" t="s">
        <v>265</v>
      </c>
      <c r="B403" s="1">
        <v>4590007798</v>
      </c>
      <c r="C403" t="s">
        <v>482</v>
      </c>
      <c r="D403" s="160">
        <v>56674</v>
      </c>
      <c r="F403" t="s">
        <v>483</v>
      </c>
      <c r="G403" s="4"/>
      <c r="H403" s="4"/>
      <c r="I403">
        <v>2023</v>
      </c>
      <c r="J403">
        <v>11</v>
      </c>
      <c r="K403" s="4" t="s">
        <v>457</v>
      </c>
      <c r="L403" t="s">
        <v>95</v>
      </c>
      <c r="M403" t="s">
        <v>484</v>
      </c>
      <c r="N403" t="s">
        <v>479</v>
      </c>
      <c r="O403" t="s">
        <v>8</v>
      </c>
      <c r="P403" t="s">
        <v>300</v>
      </c>
    </row>
    <row r="404" spans="1:16" hidden="1">
      <c r="A404" t="s">
        <v>86</v>
      </c>
      <c r="B404" s="1">
        <v>4590008827</v>
      </c>
      <c r="C404" t="s">
        <v>390</v>
      </c>
      <c r="D404" s="160">
        <v>29325.47</v>
      </c>
      <c r="F404" t="s">
        <v>485</v>
      </c>
      <c r="G404" s="4"/>
      <c r="H404" s="4"/>
      <c r="I404">
        <v>2023</v>
      </c>
      <c r="J404">
        <v>6</v>
      </c>
      <c r="K404" s="4" t="s">
        <v>298</v>
      </c>
      <c r="L404" t="s">
        <v>89</v>
      </c>
      <c r="N404" t="s">
        <v>89</v>
      </c>
      <c r="O404" t="s">
        <v>13</v>
      </c>
      <c r="P404" t="s">
        <v>222</v>
      </c>
    </row>
    <row r="405" spans="1:16" hidden="1">
      <c r="A405" t="s">
        <v>126</v>
      </c>
      <c r="B405" s="1">
        <v>4590009808</v>
      </c>
      <c r="C405" t="s">
        <v>486</v>
      </c>
      <c r="D405" s="160">
        <v>671430</v>
      </c>
      <c r="F405" t="s">
        <v>487</v>
      </c>
      <c r="G405" s="4"/>
      <c r="H405" s="4"/>
      <c r="I405">
        <v>2023</v>
      </c>
      <c r="J405">
        <v>6</v>
      </c>
      <c r="K405" s="4" t="s">
        <v>298</v>
      </c>
      <c r="L405" t="s">
        <v>89</v>
      </c>
      <c r="N405" t="s">
        <v>89</v>
      </c>
      <c r="O405" t="s">
        <v>9</v>
      </c>
      <c r="P405" t="s">
        <v>129</v>
      </c>
    </row>
    <row r="406" spans="1:16" hidden="1">
      <c r="A406" t="s">
        <v>86</v>
      </c>
      <c r="B406" s="1">
        <v>4590010418</v>
      </c>
      <c r="C406" t="s">
        <v>488</v>
      </c>
      <c r="D406" s="160">
        <v>6491.83</v>
      </c>
      <c r="G406" s="4"/>
      <c r="H406" s="4"/>
      <c r="I406">
        <v>2023</v>
      </c>
      <c r="J406">
        <v>6</v>
      </c>
      <c r="K406" s="4" t="s">
        <v>298</v>
      </c>
      <c r="L406" t="s">
        <v>89</v>
      </c>
      <c r="N406" t="s">
        <v>89</v>
      </c>
      <c r="O406" t="s">
        <v>10</v>
      </c>
      <c r="P406" t="s">
        <v>222</v>
      </c>
    </row>
    <row r="407" spans="1:16" hidden="1">
      <c r="A407" t="s">
        <v>54</v>
      </c>
      <c r="B407" s="1">
        <v>4590011081</v>
      </c>
      <c r="C407" t="s">
        <v>489</v>
      </c>
      <c r="D407" s="160">
        <v>1607.29</v>
      </c>
      <c r="F407" t="s">
        <v>490</v>
      </c>
      <c r="G407" s="4">
        <v>45495</v>
      </c>
      <c r="H407" s="4">
        <v>45496</v>
      </c>
      <c r="I407">
        <v>2024</v>
      </c>
      <c r="J407">
        <v>7</v>
      </c>
      <c r="K407" s="4" t="s">
        <v>491</v>
      </c>
      <c r="L407" t="s">
        <v>89</v>
      </c>
      <c r="M407" t="s">
        <v>492</v>
      </c>
      <c r="N407" t="s">
        <v>89</v>
      </c>
      <c r="O407" t="s">
        <v>13</v>
      </c>
      <c r="P407" t="s">
        <v>361</v>
      </c>
    </row>
    <row r="408" spans="1:16" hidden="1">
      <c r="A408" t="s">
        <v>86</v>
      </c>
      <c r="B408" s="1">
        <v>4590011098</v>
      </c>
      <c r="C408" t="s">
        <v>493</v>
      </c>
      <c r="D408" s="160">
        <v>23235.17</v>
      </c>
      <c r="F408" t="s">
        <v>494</v>
      </c>
      <c r="G408" s="4"/>
      <c r="H408" s="4"/>
      <c r="I408">
        <v>2023</v>
      </c>
      <c r="J408">
        <v>6</v>
      </c>
      <c r="K408" s="4" t="s">
        <v>298</v>
      </c>
      <c r="L408" t="s">
        <v>89</v>
      </c>
      <c r="N408" t="s">
        <v>89</v>
      </c>
      <c r="O408" t="s">
        <v>19</v>
      </c>
      <c r="P408" t="s">
        <v>222</v>
      </c>
    </row>
    <row r="409" spans="1:16" hidden="1">
      <c r="A409" t="s">
        <v>495</v>
      </c>
      <c r="B409" s="1">
        <v>4590011254</v>
      </c>
      <c r="C409" t="s">
        <v>496</v>
      </c>
      <c r="D409" s="160">
        <v>132459</v>
      </c>
      <c r="F409" t="s">
        <v>497</v>
      </c>
      <c r="G409" s="4"/>
      <c r="H409" s="4"/>
      <c r="I409">
        <v>2023</v>
      </c>
      <c r="J409">
        <v>6</v>
      </c>
      <c r="K409" s="4" t="s">
        <v>298</v>
      </c>
      <c r="L409" t="s">
        <v>89</v>
      </c>
      <c r="N409" t="s">
        <v>89</v>
      </c>
      <c r="O409" t="s">
        <v>9</v>
      </c>
      <c r="P409" t="s">
        <v>104</v>
      </c>
    </row>
    <row r="410" spans="1:16" hidden="1">
      <c r="A410" t="s">
        <v>86</v>
      </c>
      <c r="B410" s="1">
        <v>4590011320</v>
      </c>
      <c r="C410" t="s">
        <v>498</v>
      </c>
      <c r="D410" s="160">
        <v>103519.94</v>
      </c>
      <c r="G410" s="4"/>
      <c r="H410" s="4"/>
      <c r="I410">
        <v>2023</v>
      </c>
      <c r="J410">
        <v>6</v>
      </c>
      <c r="K410" s="4" t="s">
        <v>298</v>
      </c>
      <c r="L410" t="s">
        <v>89</v>
      </c>
      <c r="N410" t="s">
        <v>89</v>
      </c>
      <c r="O410" t="s">
        <v>9</v>
      </c>
      <c r="P410" t="s">
        <v>125</v>
      </c>
    </row>
    <row r="411" spans="1:16" hidden="1">
      <c r="A411" t="s">
        <v>86</v>
      </c>
      <c r="B411" s="1">
        <v>4590012251</v>
      </c>
      <c r="C411" t="s">
        <v>499</v>
      </c>
      <c r="D411" s="160">
        <v>121712.5</v>
      </c>
      <c r="E411">
        <v>10467.280000000001</v>
      </c>
      <c r="G411" s="4"/>
      <c r="H411" s="4"/>
      <c r="I411">
        <v>2023</v>
      </c>
      <c r="J411">
        <v>6</v>
      </c>
      <c r="K411" s="4" t="s">
        <v>298</v>
      </c>
      <c r="L411" t="s">
        <v>89</v>
      </c>
      <c r="N411" t="s">
        <v>89</v>
      </c>
      <c r="O411" t="s">
        <v>11</v>
      </c>
      <c r="P411" t="s">
        <v>500</v>
      </c>
    </row>
    <row r="412" spans="1:16" hidden="1">
      <c r="A412" t="s">
        <v>126</v>
      </c>
      <c r="B412" s="1" t="s">
        <v>127</v>
      </c>
      <c r="C412" t="s">
        <v>128</v>
      </c>
      <c r="D412" s="160">
        <v>1485139</v>
      </c>
      <c r="F412" t="s">
        <v>501</v>
      </c>
      <c r="G412" s="4"/>
      <c r="H412" s="4"/>
      <c r="I412">
        <v>2023</v>
      </c>
      <c r="J412">
        <v>6</v>
      </c>
      <c r="K412" s="4" t="s">
        <v>298</v>
      </c>
      <c r="L412" t="s">
        <v>89</v>
      </c>
      <c r="N412" t="s">
        <v>89</v>
      </c>
      <c r="O412" t="s">
        <v>9</v>
      </c>
      <c r="P412" t="s">
        <v>129</v>
      </c>
    </row>
    <row r="413" spans="1:16" hidden="1">
      <c r="A413" t="s">
        <v>126</v>
      </c>
      <c r="B413" s="1" t="s">
        <v>130</v>
      </c>
      <c r="C413" t="s">
        <v>131</v>
      </c>
      <c r="D413" s="160">
        <v>703124</v>
      </c>
      <c r="G413" s="4"/>
      <c r="H413" s="4"/>
      <c r="I413">
        <v>2023</v>
      </c>
      <c r="J413">
        <v>6</v>
      </c>
      <c r="K413" s="4" t="s">
        <v>298</v>
      </c>
      <c r="L413" t="s">
        <v>89</v>
      </c>
      <c r="N413" t="s">
        <v>89</v>
      </c>
      <c r="O413" t="s">
        <v>9</v>
      </c>
      <c r="P413" t="s">
        <v>129</v>
      </c>
    </row>
    <row r="414" spans="1:16" hidden="1">
      <c r="A414" t="s">
        <v>132</v>
      </c>
      <c r="B414" s="1" t="s">
        <v>133</v>
      </c>
      <c r="C414" t="s">
        <v>134</v>
      </c>
      <c r="D414" s="160">
        <v>14718</v>
      </c>
      <c r="G414" s="4"/>
      <c r="H414" s="4"/>
      <c r="I414">
        <v>2023</v>
      </c>
      <c r="J414">
        <v>6</v>
      </c>
      <c r="K414" s="4" t="s">
        <v>298</v>
      </c>
      <c r="L414" t="s">
        <v>89</v>
      </c>
      <c r="N414" t="s">
        <v>89</v>
      </c>
      <c r="O414" t="s">
        <v>9</v>
      </c>
      <c r="P414" t="s">
        <v>135</v>
      </c>
    </row>
    <row r="415" spans="1:16" hidden="1">
      <c r="A415" t="s">
        <v>275</v>
      </c>
      <c r="B415" s="1" t="s">
        <v>305</v>
      </c>
      <c r="C415" t="s">
        <v>306</v>
      </c>
      <c r="D415" s="160">
        <v>3349337.76</v>
      </c>
      <c r="G415" s="4"/>
      <c r="H415" s="4"/>
      <c r="I415">
        <v>2023</v>
      </c>
      <c r="J415">
        <v>6</v>
      </c>
      <c r="K415" s="4" t="s">
        <v>298</v>
      </c>
      <c r="L415" t="s">
        <v>89</v>
      </c>
      <c r="N415" t="s">
        <v>89</v>
      </c>
      <c r="O415" t="s">
        <v>15</v>
      </c>
      <c r="P415" t="s">
        <v>278</v>
      </c>
    </row>
    <row r="416" spans="1:16" hidden="1">
      <c r="A416" t="s">
        <v>394</v>
      </c>
      <c r="B416" s="1" t="s">
        <v>502</v>
      </c>
      <c r="C416" t="s">
        <v>503</v>
      </c>
      <c r="D416" s="160">
        <v>4162068.28</v>
      </c>
      <c r="F416" t="s">
        <v>504</v>
      </c>
      <c r="G416" s="4"/>
      <c r="H416" s="4"/>
      <c r="I416">
        <v>2023</v>
      </c>
      <c r="J416">
        <v>6</v>
      </c>
      <c r="K416" s="4" t="s">
        <v>298</v>
      </c>
      <c r="L416" t="s">
        <v>89</v>
      </c>
      <c r="N416" t="s">
        <v>89</v>
      </c>
      <c r="O416" t="s">
        <v>13</v>
      </c>
      <c r="P416" t="s">
        <v>361</v>
      </c>
    </row>
    <row r="417" spans="1:16" hidden="1">
      <c r="A417" t="s">
        <v>325</v>
      </c>
      <c r="B417" s="1" t="s">
        <v>326</v>
      </c>
      <c r="C417" t="s">
        <v>505</v>
      </c>
      <c r="D417" s="160">
        <v>132052.85</v>
      </c>
      <c r="G417" s="4"/>
      <c r="H417" s="4"/>
      <c r="I417">
        <v>2023</v>
      </c>
      <c r="J417">
        <v>5</v>
      </c>
      <c r="K417" s="4" t="s">
        <v>355</v>
      </c>
      <c r="L417" t="s">
        <v>89</v>
      </c>
      <c r="N417" t="s">
        <v>89</v>
      </c>
      <c r="O417" t="s">
        <v>18</v>
      </c>
      <c r="P417" t="s">
        <v>332</v>
      </c>
    </row>
    <row r="418" spans="1:16" hidden="1">
      <c r="A418" t="s">
        <v>325</v>
      </c>
      <c r="B418" s="1" t="s">
        <v>326</v>
      </c>
      <c r="C418" t="s">
        <v>506</v>
      </c>
      <c r="D418" s="160">
        <v>188152.85</v>
      </c>
      <c r="F418" t="s">
        <v>507</v>
      </c>
      <c r="G418" s="4"/>
      <c r="H418" s="4"/>
      <c r="I418">
        <v>2023</v>
      </c>
      <c r="J418">
        <v>7</v>
      </c>
      <c r="K418" s="4" t="s">
        <v>402</v>
      </c>
      <c r="L418" t="s">
        <v>329</v>
      </c>
      <c r="M418" t="s">
        <v>330</v>
      </c>
      <c r="N418" t="s">
        <v>404</v>
      </c>
      <c r="O418" t="s">
        <v>18</v>
      </c>
      <c r="P418" t="s">
        <v>332</v>
      </c>
    </row>
    <row r="419" spans="1:16" hidden="1">
      <c r="A419" t="s">
        <v>161</v>
      </c>
      <c r="B419" s="1" t="s">
        <v>162</v>
      </c>
      <c r="C419" t="s">
        <v>163</v>
      </c>
      <c r="D419" s="160">
        <v>4471.74</v>
      </c>
      <c r="F419" t="s">
        <v>508</v>
      </c>
      <c r="G419" s="4"/>
      <c r="H419" s="4"/>
      <c r="I419">
        <v>2023</v>
      </c>
      <c r="J419">
        <v>6</v>
      </c>
      <c r="K419" s="4" t="s">
        <v>298</v>
      </c>
      <c r="L419" t="s">
        <v>89</v>
      </c>
      <c r="N419" t="s">
        <v>89</v>
      </c>
      <c r="O419" t="s">
        <v>18</v>
      </c>
      <c r="P419" t="s">
        <v>164</v>
      </c>
    </row>
    <row r="420" spans="1:16" hidden="1">
      <c r="A420" t="s">
        <v>102</v>
      </c>
      <c r="B420" s="1">
        <v>4503290109</v>
      </c>
      <c r="C420" t="s">
        <v>103</v>
      </c>
      <c r="D420" s="160">
        <v>2303531</v>
      </c>
      <c r="G420" s="4"/>
      <c r="H420" s="4"/>
      <c r="I420">
        <v>2023</v>
      </c>
      <c r="J420">
        <v>7</v>
      </c>
      <c r="K420" s="4" t="s">
        <v>402</v>
      </c>
      <c r="L420" t="s">
        <v>89</v>
      </c>
      <c r="N420" t="s">
        <v>89</v>
      </c>
      <c r="O420" t="s">
        <v>9</v>
      </c>
      <c r="P420" t="s">
        <v>104</v>
      </c>
    </row>
    <row r="421" spans="1:16" hidden="1">
      <c r="A421" t="s">
        <v>102</v>
      </c>
      <c r="B421" s="1">
        <v>4503312319</v>
      </c>
      <c r="C421" t="s">
        <v>110</v>
      </c>
      <c r="D421" s="160">
        <v>30038</v>
      </c>
      <c r="F421" t="s">
        <v>509</v>
      </c>
      <c r="G421" s="4"/>
      <c r="H421" s="4"/>
      <c r="I421">
        <v>2023</v>
      </c>
      <c r="J421">
        <v>7</v>
      </c>
      <c r="K421" s="4" t="s">
        <v>402</v>
      </c>
      <c r="L421" t="s">
        <v>89</v>
      </c>
      <c r="N421" t="s">
        <v>89</v>
      </c>
      <c r="O421" t="s">
        <v>9</v>
      </c>
      <c r="P421" t="s">
        <v>111</v>
      </c>
    </row>
    <row r="422" spans="1:16" hidden="1">
      <c r="A422" t="s">
        <v>116</v>
      </c>
      <c r="B422" s="1">
        <v>4503428513</v>
      </c>
      <c r="C422" t="s">
        <v>117</v>
      </c>
      <c r="D422" s="160">
        <v>668418</v>
      </c>
      <c r="F422" t="s">
        <v>510</v>
      </c>
      <c r="G422" s="4"/>
      <c r="H422" s="4"/>
      <c r="I422">
        <v>2023</v>
      </c>
      <c r="J422">
        <v>7</v>
      </c>
      <c r="K422" s="4" t="s">
        <v>402</v>
      </c>
      <c r="L422" t="s">
        <v>89</v>
      </c>
      <c r="N422" t="s">
        <v>89</v>
      </c>
      <c r="O422" t="s">
        <v>9</v>
      </c>
      <c r="P422" t="s">
        <v>118</v>
      </c>
    </row>
    <row r="423" spans="1:16" hidden="1">
      <c r="A423" t="s">
        <v>102</v>
      </c>
      <c r="B423" s="1">
        <v>4503432118</v>
      </c>
      <c r="C423" t="s">
        <v>119</v>
      </c>
      <c r="D423" s="160">
        <v>3191079</v>
      </c>
      <c r="F423" t="s">
        <v>511</v>
      </c>
      <c r="G423" s="4"/>
      <c r="H423" s="4"/>
      <c r="I423">
        <v>2023</v>
      </c>
      <c r="J423">
        <v>7</v>
      </c>
      <c r="K423" s="4" t="s">
        <v>402</v>
      </c>
      <c r="L423" t="s">
        <v>89</v>
      </c>
      <c r="N423" t="s">
        <v>89</v>
      </c>
      <c r="O423" t="s">
        <v>9</v>
      </c>
      <c r="P423" t="s">
        <v>120</v>
      </c>
    </row>
    <row r="424" spans="1:16" hidden="1">
      <c r="A424" t="s">
        <v>102</v>
      </c>
      <c r="B424" s="1">
        <v>4503432152</v>
      </c>
      <c r="C424" t="s">
        <v>121</v>
      </c>
      <c r="D424" s="160">
        <v>47716</v>
      </c>
      <c r="F424" t="s">
        <v>512</v>
      </c>
      <c r="G424" s="4"/>
      <c r="H424" s="4"/>
      <c r="I424">
        <v>2023</v>
      </c>
      <c r="J424">
        <v>7</v>
      </c>
      <c r="K424" s="4" t="s">
        <v>402</v>
      </c>
      <c r="L424" t="s">
        <v>89</v>
      </c>
      <c r="N424" t="s">
        <v>89</v>
      </c>
      <c r="O424" t="s">
        <v>9</v>
      </c>
      <c r="P424" t="s">
        <v>122</v>
      </c>
    </row>
    <row r="425" spans="1:16" hidden="1">
      <c r="A425" t="s">
        <v>139</v>
      </c>
      <c r="B425" s="1">
        <v>4503441102</v>
      </c>
      <c r="C425" t="s">
        <v>140</v>
      </c>
      <c r="D425" s="160">
        <v>220920</v>
      </c>
      <c r="E425">
        <v>12349</v>
      </c>
      <c r="G425" s="4"/>
      <c r="H425" s="4"/>
      <c r="I425">
        <v>2023</v>
      </c>
      <c r="J425">
        <v>7</v>
      </c>
      <c r="K425" s="4" t="s">
        <v>402</v>
      </c>
      <c r="L425" t="s">
        <v>89</v>
      </c>
      <c r="N425" t="s">
        <v>89</v>
      </c>
      <c r="O425" t="s">
        <v>9</v>
      </c>
      <c r="P425" t="s">
        <v>141</v>
      </c>
    </row>
    <row r="426" spans="1:16" hidden="1">
      <c r="A426" t="s">
        <v>123</v>
      </c>
      <c r="B426" s="1">
        <v>4503448403</v>
      </c>
      <c r="C426" t="s">
        <v>124</v>
      </c>
      <c r="D426" s="160">
        <v>31469</v>
      </c>
      <c r="G426" s="4"/>
      <c r="H426" s="4"/>
      <c r="I426">
        <v>2023</v>
      </c>
      <c r="J426">
        <v>7</v>
      </c>
      <c r="K426" s="4" t="s">
        <v>402</v>
      </c>
      <c r="L426" t="s">
        <v>89</v>
      </c>
      <c r="N426" t="s">
        <v>89</v>
      </c>
      <c r="O426" t="s">
        <v>9</v>
      </c>
      <c r="P426" t="s">
        <v>125</v>
      </c>
    </row>
    <row r="427" spans="1:16" hidden="1">
      <c r="A427" t="s">
        <v>346</v>
      </c>
      <c r="B427" s="1">
        <v>4590000428</v>
      </c>
      <c r="C427" t="s">
        <v>318</v>
      </c>
      <c r="D427" s="160">
        <v>729267</v>
      </c>
      <c r="F427" t="s">
        <v>513</v>
      </c>
      <c r="G427" s="4"/>
      <c r="H427" s="4"/>
      <c r="I427">
        <v>2023</v>
      </c>
      <c r="J427">
        <v>7</v>
      </c>
      <c r="K427" s="4" t="s">
        <v>402</v>
      </c>
      <c r="L427" t="s">
        <v>89</v>
      </c>
      <c r="N427" t="s">
        <v>89</v>
      </c>
      <c r="O427" t="s">
        <v>13</v>
      </c>
      <c r="P427" t="s">
        <v>222</v>
      </c>
    </row>
    <row r="428" spans="1:16" hidden="1">
      <c r="A428" t="s">
        <v>139</v>
      </c>
      <c r="B428" s="1">
        <v>4590000539</v>
      </c>
      <c r="C428" t="s">
        <v>155</v>
      </c>
      <c r="D428" s="160">
        <v>52059</v>
      </c>
      <c r="E428">
        <v>2910</v>
      </c>
      <c r="G428" s="4"/>
      <c r="H428" s="4"/>
      <c r="I428">
        <v>2023</v>
      </c>
      <c r="J428">
        <v>7</v>
      </c>
      <c r="K428" s="4" t="s">
        <v>402</v>
      </c>
      <c r="L428" t="s">
        <v>89</v>
      </c>
      <c r="N428" t="s">
        <v>89</v>
      </c>
      <c r="O428" t="s">
        <v>11</v>
      </c>
      <c r="P428" t="s">
        <v>156</v>
      </c>
    </row>
    <row r="429" spans="1:16" hidden="1">
      <c r="A429" t="s">
        <v>139</v>
      </c>
      <c r="B429" s="1">
        <v>4590000540</v>
      </c>
      <c r="C429" t="s">
        <v>157</v>
      </c>
      <c r="D429" s="160">
        <v>111220</v>
      </c>
      <c r="E429">
        <v>6217</v>
      </c>
      <c r="G429" s="4"/>
      <c r="H429" s="4"/>
      <c r="I429">
        <v>2023</v>
      </c>
      <c r="J429">
        <v>7</v>
      </c>
      <c r="K429" s="4" t="s">
        <v>402</v>
      </c>
      <c r="L429" t="s">
        <v>89</v>
      </c>
      <c r="N429" t="s">
        <v>89</v>
      </c>
      <c r="O429" t="s">
        <v>9</v>
      </c>
      <c r="P429" t="s">
        <v>156</v>
      </c>
    </row>
    <row r="430" spans="1:16" hidden="1">
      <c r="A430" t="s">
        <v>446</v>
      </c>
      <c r="B430" s="1">
        <v>4590001827</v>
      </c>
      <c r="C430" t="s">
        <v>447</v>
      </c>
      <c r="D430" s="160">
        <v>69798</v>
      </c>
      <c r="F430" t="s">
        <v>514</v>
      </c>
      <c r="G430" s="4"/>
      <c r="H430" s="4"/>
      <c r="I430">
        <v>2023</v>
      </c>
      <c r="J430">
        <v>7</v>
      </c>
      <c r="K430" s="4" t="s">
        <v>402</v>
      </c>
      <c r="L430" t="s">
        <v>95</v>
      </c>
      <c r="M430" t="s">
        <v>515</v>
      </c>
      <c r="N430" t="s">
        <v>404</v>
      </c>
      <c r="O430" t="s">
        <v>12</v>
      </c>
      <c r="P430" t="s">
        <v>448</v>
      </c>
    </row>
    <row r="431" spans="1:16" hidden="1">
      <c r="A431" t="s">
        <v>446</v>
      </c>
      <c r="B431" s="1">
        <v>4590001828</v>
      </c>
      <c r="C431" t="s">
        <v>516</v>
      </c>
      <c r="D431" s="160">
        <v>107236</v>
      </c>
      <c r="G431" s="4"/>
      <c r="H431" s="4"/>
      <c r="I431">
        <v>2023</v>
      </c>
      <c r="J431">
        <v>7</v>
      </c>
      <c r="K431" s="4" t="s">
        <v>402</v>
      </c>
      <c r="L431" t="s">
        <v>89</v>
      </c>
      <c r="N431" t="s">
        <v>89</v>
      </c>
      <c r="O431" t="s">
        <v>12</v>
      </c>
      <c r="P431" t="s">
        <v>448</v>
      </c>
    </row>
    <row r="432" spans="1:16" hidden="1">
      <c r="A432" t="s">
        <v>219</v>
      </c>
      <c r="B432" s="1">
        <v>4590003912</v>
      </c>
      <c r="C432" t="s">
        <v>384</v>
      </c>
      <c r="D432" s="160">
        <v>134405</v>
      </c>
      <c r="G432" s="4"/>
      <c r="H432" s="4"/>
      <c r="I432">
        <v>2023</v>
      </c>
      <c r="J432">
        <v>7</v>
      </c>
      <c r="K432" s="4" t="s">
        <v>402</v>
      </c>
      <c r="L432" t="s">
        <v>89</v>
      </c>
      <c r="N432" t="s">
        <v>89</v>
      </c>
      <c r="O432" t="s">
        <v>13</v>
      </c>
      <c r="P432" t="s">
        <v>222</v>
      </c>
    </row>
    <row r="433" spans="1:16" hidden="1">
      <c r="A433" t="s">
        <v>116</v>
      </c>
      <c r="B433" s="1">
        <v>4590004117</v>
      </c>
      <c r="C433" t="s">
        <v>517</v>
      </c>
      <c r="D433" s="160">
        <v>26722</v>
      </c>
      <c r="F433" t="s">
        <v>518</v>
      </c>
      <c r="G433" s="4"/>
      <c r="H433" s="4"/>
      <c r="I433">
        <v>2023</v>
      </c>
      <c r="J433">
        <v>7</v>
      </c>
      <c r="K433" s="4" t="s">
        <v>402</v>
      </c>
      <c r="L433" t="s">
        <v>89</v>
      </c>
      <c r="N433" t="s">
        <v>89</v>
      </c>
      <c r="O433" t="s">
        <v>11</v>
      </c>
      <c r="P433" t="s">
        <v>519</v>
      </c>
    </row>
    <row r="434" spans="1:16" hidden="1">
      <c r="A434" t="s">
        <v>91</v>
      </c>
      <c r="B434" s="1">
        <v>4590008087</v>
      </c>
      <c r="C434" t="s">
        <v>520</v>
      </c>
      <c r="D434" s="160">
        <v>130215</v>
      </c>
      <c r="F434" t="s">
        <v>521</v>
      </c>
      <c r="G434" s="4">
        <v>45282</v>
      </c>
      <c r="H434" s="4">
        <v>45400</v>
      </c>
      <c r="I434">
        <v>2023</v>
      </c>
      <c r="J434">
        <v>12</v>
      </c>
      <c r="K434" s="4" t="s">
        <v>522</v>
      </c>
      <c r="L434" t="s">
        <v>89</v>
      </c>
      <c r="M434" t="s">
        <v>523</v>
      </c>
      <c r="N434" t="s">
        <v>89</v>
      </c>
      <c r="O434" t="s">
        <v>8</v>
      </c>
      <c r="P434" t="s">
        <v>300</v>
      </c>
    </row>
    <row r="435" spans="1:16" hidden="1">
      <c r="A435" t="s">
        <v>269</v>
      </c>
      <c r="B435" s="1">
        <v>4590006293</v>
      </c>
      <c r="C435" t="s">
        <v>322</v>
      </c>
      <c r="D435" s="160">
        <v>159257</v>
      </c>
      <c r="G435" s="4"/>
      <c r="H435" s="4"/>
      <c r="I435">
        <v>2023</v>
      </c>
      <c r="J435">
        <v>7</v>
      </c>
      <c r="K435" s="4" t="s">
        <v>402</v>
      </c>
      <c r="L435" t="s">
        <v>89</v>
      </c>
      <c r="N435" t="s">
        <v>89</v>
      </c>
      <c r="O435" t="s">
        <v>9</v>
      </c>
      <c r="P435" t="s">
        <v>120</v>
      </c>
    </row>
    <row r="436" spans="1:16" hidden="1">
      <c r="A436" t="s">
        <v>446</v>
      </c>
      <c r="B436" s="1">
        <v>4590006743</v>
      </c>
      <c r="C436" t="s">
        <v>524</v>
      </c>
      <c r="D436" s="160">
        <v>23122</v>
      </c>
      <c r="F436" t="s">
        <v>525</v>
      </c>
      <c r="G436" s="4">
        <v>45131</v>
      </c>
      <c r="H436" s="4"/>
      <c r="I436">
        <v>2023</v>
      </c>
      <c r="J436">
        <v>7</v>
      </c>
      <c r="K436" s="4" t="s">
        <v>402</v>
      </c>
      <c r="L436" t="s">
        <v>89</v>
      </c>
      <c r="M436" t="s">
        <v>526</v>
      </c>
      <c r="N436" t="s">
        <v>89</v>
      </c>
      <c r="O436" t="s">
        <v>12</v>
      </c>
      <c r="P436" t="s">
        <v>448</v>
      </c>
    </row>
    <row r="437" spans="1:16" hidden="1">
      <c r="A437" t="s">
        <v>86</v>
      </c>
      <c r="B437" s="1">
        <v>4590008207</v>
      </c>
      <c r="C437" t="s">
        <v>527</v>
      </c>
      <c r="D437" s="160">
        <v>5506</v>
      </c>
      <c r="E437">
        <v>1051</v>
      </c>
      <c r="G437" s="4"/>
      <c r="H437" s="4"/>
      <c r="I437">
        <v>2023</v>
      </c>
      <c r="J437">
        <v>7</v>
      </c>
      <c r="K437" s="4" t="s">
        <v>402</v>
      </c>
      <c r="L437" t="s">
        <v>89</v>
      </c>
      <c r="N437" t="s">
        <v>89</v>
      </c>
      <c r="O437" t="s">
        <v>14</v>
      </c>
      <c r="P437" t="s">
        <v>528</v>
      </c>
    </row>
    <row r="438" spans="1:16" hidden="1">
      <c r="A438" t="s">
        <v>86</v>
      </c>
      <c r="B438" s="1">
        <v>4590008827</v>
      </c>
      <c r="C438" t="s">
        <v>390</v>
      </c>
      <c r="D438" s="160">
        <v>97673.16</v>
      </c>
      <c r="F438" t="s">
        <v>529</v>
      </c>
      <c r="G438" s="4"/>
      <c r="H438" s="4"/>
      <c r="I438">
        <v>2023</v>
      </c>
      <c r="J438">
        <v>7</v>
      </c>
      <c r="K438" s="4" t="s">
        <v>402</v>
      </c>
      <c r="L438" t="s">
        <v>89</v>
      </c>
      <c r="N438" t="s">
        <v>89</v>
      </c>
      <c r="O438" t="s">
        <v>13</v>
      </c>
      <c r="P438" t="s">
        <v>222</v>
      </c>
    </row>
    <row r="439" spans="1:16" hidden="1">
      <c r="A439" t="s">
        <v>126</v>
      </c>
      <c r="B439" s="1">
        <v>4590009808</v>
      </c>
      <c r="C439" t="s">
        <v>486</v>
      </c>
      <c r="D439" s="160">
        <v>210597</v>
      </c>
      <c r="F439" t="s">
        <v>530</v>
      </c>
      <c r="G439" s="4"/>
      <c r="H439" s="4"/>
      <c r="I439">
        <v>2023</v>
      </c>
      <c r="J439">
        <v>7</v>
      </c>
      <c r="K439" s="4" t="s">
        <v>402</v>
      </c>
      <c r="L439" t="s">
        <v>89</v>
      </c>
      <c r="N439" t="s">
        <v>89</v>
      </c>
      <c r="O439" t="s">
        <v>9</v>
      </c>
      <c r="P439" t="s">
        <v>129</v>
      </c>
    </row>
    <row r="440" spans="1:16" hidden="1">
      <c r="A440" t="s">
        <v>86</v>
      </c>
      <c r="B440" s="1">
        <v>4590010418</v>
      </c>
      <c r="C440" t="s">
        <v>488</v>
      </c>
      <c r="D440" s="160">
        <v>2372.7800000000002</v>
      </c>
      <c r="G440" s="4"/>
      <c r="H440" s="4"/>
      <c r="I440">
        <v>2023</v>
      </c>
      <c r="J440">
        <v>7</v>
      </c>
      <c r="K440" s="4" t="s">
        <v>402</v>
      </c>
      <c r="L440" t="s">
        <v>89</v>
      </c>
      <c r="N440" t="s">
        <v>89</v>
      </c>
      <c r="O440" t="s">
        <v>10</v>
      </c>
      <c r="P440" t="s">
        <v>222</v>
      </c>
    </row>
    <row r="441" spans="1:16" hidden="1">
      <c r="A441" t="s">
        <v>495</v>
      </c>
      <c r="B441" s="1">
        <v>4590011254</v>
      </c>
      <c r="C441" t="s">
        <v>496</v>
      </c>
      <c r="D441" s="160">
        <v>12541</v>
      </c>
      <c r="F441" t="s">
        <v>531</v>
      </c>
      <c r="G441" s="4"/>
      <c r="H441" s="4"/>
      <c r="I441">
        <v>2023</v>
      </c>
      <c r="J441">
        <v>7</v>
      </c>
      <c r="K441" s="4" t="s">
        <v>402</v>
      </c>
      <c r="L441" t="s">
        <v>89</v>
      </c>
      <c r="N441" t="s">
        <v>89</v>
      </c>
      <c r="O441" t="s">
        <v>9</v>
      </c>
      <c r="P441" t="s">
        <v>104</v>
      </c>
    </row>
    <row r="442" spans="1:16" hidden="1">
      <c r="A442" t="s">
        <v>86</v>
      </c>
      <c r="B442" s="1">
        <v>4590011320</v>
      </c>
      <c r="C442" t="s">
        <v>498</v>
      </c>
      <c r="D442" s="160">
        <v>145337.31</v>
      </c>
      <c r="G442" s="4"/>
      <c r="H442" s="4"/>
      <c r="I442">
        <v>2023</v>
      </c>
      <c r="J442">
        <v>7</v>
      </c>
      <c r="K442" s="4" t="s">
        <v>402</v>
      </c>
      <c r="L442" t="s">
        <v>89</v>
      </c>
      <c r="N442" t="s">
        <v>89</v>
      </c>
      <c r="O442" t="s">
        <v>9</v>
      </c>
      <c r="P442" t="s">
        <v>125</v>
      </c>
    </row>
    <row r="443" spans="1:16" hidden="1">
      <c r="A443" t="s">
        <v>86</v>
      </c>
      <c r="B443" s="1">
        <v>4590012251</v>
      </c>
      <c r="C443" t="s">
        <v>499</v>
      </c>
      <c r="D443" s="160">
        <v>8287.5</v>
      </c>
      <c r="E443">
        <v>712.72</v>
      </c>
      <c r="G443" s="4"/>
      <c r="H443" s="4"/>
      <c r="I443">
        <v>2023</v>
      </c>
      <c r="J443">
        <v>7</v>
      </c>
      <c r="K443" s="4" t="s">
        <v>402</v>
      </c>
      <c r="L443" t="s">
        <v>89</v>
      </c>
      <c r="N443" t="s">
        <v>89</v>
      </c>
      <c r="O443" t="s">
        <v>11</v>
      </c>
      <c r="P443" t="s">
        <v>500</v>
      </c>
    </row>
    <row r="444" spans="1:16" hidden="1">
      <c r="A444" t="s">
        <v>86</v>
      </c>
      <c r="B444" s="1">
        <v>4590012300</v>
      </c>
      <c r="C444" t="s">
        <v>532</v>
      </c>
      <c r="D444" s="160">
        <v>425398.67</v>
      </c>
      <c r="E444">
        <v>23779.79</v>
      </c>
      <c r="F444" t="s">
        <v>533</v>
      </c>
      <c r="G444" s="4"/>
      <c r="H444" s="4"/>
      <c r="I444">
        <v>2023</v>
      </c>
      <c r="J444">
        <v>7</v>
      </c>
      <c r="K444" s="4" t="s">
        <v>402</v>
      </c>
      <c r="L444" t="s">
        <v>89</v>
      </c>
      <c r="N444" t="s">
        <v>89</v>
      </c>
      <c r="O444" t="s">
        <v>9</v>
      </c>
      <c r="P444" t="s">
        <v>534</v>
      </c>
    </row>
    <row r="445" spans="1:16" hidden="1">
      <c r="A445" t="s">
        <v>86</v>
      </c>
      <c r="B445" s="1">
        <v>4590012674</v>
      </c>
      <c r="C445" t="s">
        <v>535</v>
      </c>
      <c r="D445" s="160">
        <v>6500000</v>
      </c>
      <c r="F445" t="s">
        <v>536</v>
      </c>
      <c r="G445" s="4"/>
      <c r="H445" s="4"/>
      <c r="I445">
        <v>2023</v>
      </c>
      <c r="J445">
        <v>7</v>
      </c>
      <c r="K445" s="4" t="s">
        <v>402</v>
      </c>
      <c r="L445" t="s">
        <v>89</v>
      </c>
      <c r="N445" t="s">
        <v>89</v>
      </c>
      <c r="O445" t="s">
        <v>13</v>
      </c>
      <c r="P445" t="s">
        <v>537</v>
      </c>
    </row>
    <row r="446" spans="1:16" hidden="1">
      <c r="A446" t="s">
        <v>538</v>
      </c>
      <c r="B446" s="1">
        <v>4590012793</v>
      </c>
      <c r="C446" t="s">
        <v>539</v>
      </c>
      <c r="D446" s="160">
        <v>11000000</v>
      </c>
      <c r="F446" t="s">
        <v>540</v>
      </c>
      <c r="G446" s="4"/>
      <c r="H446" s="4"/>
      <c r="I446">
        <v>2023</v>
      </c>
      <c r="J446">
        <v>7</v>
      </c>
      <c r="K446" s="4" t="s">
        <v>402</v>
      </c>
      <c r="L446" t="s">
        <v>89</v>
      </c>
      <c r="N446" t="s">
        <v>89</v>
      </c>
      <c r="O446" t="s">
        <v>13</v>
      </c>
      <c r="P446" t="s">
        <v>537</v>
      </c>
    </row>
    <row r="447" spans="1:16" hidden="1">
      <c r="A447" t="s">
        <v>126</v>
      </c>
      <c r="B447" s="1" t="s">
        <v>127</v>
      </c>
      <c r="C447" t="s">
        <v>128</v>
      </c>
      <c r="D447" s="160">
        <v>2133453</v>
      </c>
      <c r="F447" t="s">
        <v>541</v>
      </c>
      <c r="G447" s="4"/>
      <c r="H447" s="4"/>
      <c r="I447">
        <v>2023</v>
      </c>
      <c r="J447">
        <v>7</v>
      </c>
      <c r="K447" s="4" t="s">
        <v>402</v>
      </c>
      <c r="L447" t="s">
        <v>89</v>
      </c>
      <c r="N447" t="s">
        <v>89</v>
      </c>
      <c r="O447" t="s">
        <v>9</v>
      </c>
      <c r="P447" t="s">
        <v>129</v>
      </c>
    </row>
    <row r="448" spans="1:16" hidden="1">
      <c r="A448" t="s">
        <v>126</v>
      </c>
      <c r="B448" s="1" t="s">
        <v>130</v>
      </c>
      <c r="C448" t="s">
        <v>131</v>
      </c>
      <c r="D448" s="160">
        <v>902167</v>
      </c>
      <c r="G448" s="4"/>
      <c r="H448" s="4"/>
      <c r="I448">
        <v>2023</v>
      </c>
      <c r="J448">
        <v>7</v>
      </c>
      <c r="K448" s="4" t="s">
        <v>402</v>
      </c>
      <c r="L448" t="s">
        <v>89</v>
      </c>
      <c r="N448" t="s">
        <v>89</v>
      </c>
      <c r="O448" t="s">
        <v>9</v>
      </c>
      <c r="P448" t="s">
        <v>129</v>
      </c>
    </row>
    <row r="449" spans="1:16" hidden="1">
      <c r="A449" t="s">
        <v>132</v>
      </c>
      <c r="B449" s="1" t="s">
        <v>136</v>
      </c>
      <c r="C449" t="s">
        <v>137</v>
      </c>
      <c r="D449" s="160">
        <v>17516</v>
      </c>
      <c r="G449" s="4"/>
      <c r="H449" s="4"/>
      <c r="I449">
        <v>2023</v>
      </c>
      <c r="J449">
        <v>7</v>
      </c>
      <c r="K449" s="4" t="s">
        <v>402</v>
      </c>
      <c r="L449" t="s">
        <v>89</v>
      </c>
      <c r="N449" t="s">
        <v>89</v>
      </c>
      <c r="O449" t="s">
        <v>9</v>
      </c>
      <c r="P449" t="s">
        <v>135</v>
      </c>
    </row>
    <row r="450" spans="1:16" hidden="1">
      <c r="A450" t="s">
        <v>542</v>
      </c>
      <c r="B450" s="1" t="s">
        <v>543</v>
      </c>
      <c r="C450" t="s">
        <v>544</v>
      </c>
      <c r="D450" s="160">
        <v>12884</v>
      </c>
      <c r="G450" s="4"/>
      <c r="H450" s="4"/>
      <c r="I450">
        <v>2023</v>
      </c>
      <c r="J450">
        <v>7</v>
      </c>
      <c r="K450" s="4" t="s">
        <v>402</v>
      </c>
      <c r="L450" t="s">
        <v>89</v>
      </c>
      <c r="N450" t="s">
        <v>89</v>
      </c>
      <c r="O450" t="s">
        <v>11</v>
      </c>
      <c r="P450" t="s">
        <v>545</v>
      </c>
    </row>
    <row r="451" spans="1:16" hidden="1">
      <c r="A451" t="s">
        <v>394</v>
      </c>
      <c r="B451" s="1" t="s">
        <v>395</v>
      </c>
      <c r="C451" t="s">
        <v>396</v>
      </c>
      <c r="D451" s="160">
        <v>767770</v>
      </c>
      <c r="G451" s="4"/>
      <c r="H451" s="4"/>
      <c r="I451">
        <v>2023</v>
      </c>
      <c r="J451">
        <v>7</v>
      </c>
      <c r="K451" s="4" t="s">
        <v>402</v>
      </c>
      <c r="L451" t="s">
        <v>89</v>
      </c>
      <c r="N451" t="s">
        <v>89</v>
      </c>
      <c r="O451" t="s">
        <v>13</v>
      </c>
      <c r="P451" t="s">
        <v>361</v>
      </c>
    </row>
    <row r="452" spans="1:16" hidden="1">
      <c r="A452" t="s">
        <v>394</v>
      </c>
      <c r="B452" s="1" t="s">
        <v>502</v>
      </c>
      <c r="C452" t="s">
        <v>503</v>
      </c>
      <c r="D452" s="160">
        <v>1696480.68</v>
      </c>
      <c r="F452" t="s">
        <v>546</v>
      </c>
      <c r="G452" s="4"/>
      <c r="H452" s="4"/>
      <c r="I452">
        <v>2023</v>
      </c>
      <c r="J452">
        <v>7</v>
      </c>
      <c r="K452" s="4" t="s">
        <v>402</v>
      </c>
      <c r="L452" t="s">
        <v>89</v>
      </c>
      <c r="N452" t="s">
        <v>89</v>
      </c>
      <c r="O452" t="s">
        <v>13</v>
      </c>
      <c r="P452" t="s">
        <v>361</v>
      </c>
    </row>
    <row r="453" spans="1:16" hidden="1">
      <c r="A453" t="s">
        <v>165</v>
      </c>
      <c r="C453" t="s">
        <v>547</v>
      </c>
      <c r="D453" s="160">
        <v>1582550.38</v>
      </c>
      <c r="F453" t="s">
        <v>548</v>
      </c>
      <c r="G453" s="4">
        <v>45133</v>
      </c>
      <c r="H453" s="4">
        <v>45133</v>
      </c>
      <c r="I453">
        <v>2023</v>
      </c>
      <c r="J453">
        <v>7</v>
      </c>
      <c r="K453" s="4" t="s">
        <v>402</v>
      </c>
      <c r="L453" t="s">
        <v>95</v>
      </c>
      <c r="N453" t="s">
        <v>549</v>
      </c>
      <c r="O453" t="s">
        <v>18</v>
      </c>
      <c r="P453" t="s">
        <v>550</v>
      </c>
    </row>
    <row r="454" spans="1:16" hidden="1">
      <c r="A454" t="s">
        <v>237</v>
      </c>
      <c r="B454" s="1" t="s">
        <v>238</v>
      </c>
      <c r="C454" t="s">
        <v>239</v>
      </c>
      <c r="D454" s="160">
        <v>102161.4</v>
      </c>
      <c r="G454" s="4"/>
      <c r="H454" s="4"/>
      <c r="I454">
        <v>2023</v>
      </c>
      <c r="J454">
        <v>7</v>
      </c>
      <c r="K454" s="4" t="s">
        <v>402</v>
      </c>
      <c r="L454" t="s">
        <v>89</v>
      </c>
      <c r="N454" t="s">
        <v>89</v>
      </c>
      <c r="O454" t="s">
        <v>18</v>
      </c>
      <c r="P454" t="s">
        <v>240</v>
      </c>
    </row>
    <row r="455" spans="1:16" hidden="1">
      <c r="A455" t="s">
        <v>161</v>
      </c>
      <c r="B455" s="1" t="s">
        <v>162</v>
      </c>
      <c r="C455" t="s">
        <v>163</v>
      </c>
      <c r="D455" s="160">
        <v>485691.54</v>
      </c>
      <c r="G455" s="4"/>
      <c r="H455" s="4"/>
      <c r="I455">
        <v>2023</v>
      </c>
      <c r="J455">
        <v>7</v>
      </c>
      <c r="K455" s="4" t="s">
        <v>402</v>
      </c>
      <c r="L455" t="s">
        <v>89</v>
      </c>
      <c r="N455" t="s">
        <v>89</v>
      </c>
      <c r="O455" t="s">
        <v>18</v>
      </c>
      <c r="P455" t="s">
        <v>164</v>
      </c>
    </row>
    <row r="456" spans="1:16" hidden="1">
      <c r="A456" t="s">
        <v>102</v>
      </c>
      <c r="B456" s="1">
        <v>4503290109</v>
      </c>
      <c r="C456" t="s">
        <v>103</v>
      </c>
      <c r="D456" s="160">
        <v>1479982</v>
      </c>
      <c r="G456" s="4"/>
      <c r="H456" s="4"/>
      <c r="I456">
        <v>2023</v>
      </c>
      <c r="J456">
        <v>8</v>
      </c>
      <c r="K456" s="4" t="s">
        <v>420</v>
      </c>
      <c r="L456" t="s">
        <v>89</v>
      </c>
      <c r="N456" t="s">
        <v>89</v>
      </c>
      <c r="O456" t="s">
        <v>9</v>
      </c>
      <c r="P456" t="s">
        <v>104</v>
      </c>
    </row>
    <row r="457" spans="1:16" hidden="1">
      <c r="A457" t="s">
        <v>116</v>
      </c>
      <c r="B457" s="1">
        <v>4503428513</v>
      </c>
      <c r="C457" t="s">
        <v>117</v>
      </c>
      <c r="D457" s="160">
        <v>682143</v>
      </c>
      <c r="F457" t="s">
        <v>551</v>
      </c>
      <c r="G457" s="4"/>
      <c r="H457" s="4"/>
      <c r="I457">
        <v>2023</v>
      </c>
      <c r="J457">
        <v>8</v>
      </c>
      <c r="K457" s="4" t="s">
        <v>420</v>
      </c>
      <c r="L457" t="s">
        <v>89</v>
      </c>
      <c r="N457" t="s">
        <v>89</v>
      </c>
      <c r="O457" t="s">
        <v>9</v>
      </c>
      <c r="P457" t="s">
        <v>118</v>
      </c>
    </row>
    <row r="458" spans="1:16" hidden="1">
      <c r="A458" t="s">
        <v>102</v>
      </c>
      <c r="B458" s="1">
        <v>4503432118</v>
      </c>
      <c r="C458" t="s">
        <v>119</v>
      </c>
      <c r="D458" s="160">
        <v>2642440</v>
      </c>
      <c r="F458" t="s">
        <v>552</v>
      </c>
      <c r="G458" s="4"/>
      <c r="H458" s="4"/>
      <c r="I458">
        <v>2023</v>
      </c>
      <c r="J458">
        <v>8</v>
      </c>
      <c r="K458" s="4" t="s">
        <v>420</v>
      </c>
      <c r="L458" t="s">
        <v>89</v>
      </c>
      <c r="N458" t="s">
        <v>89</v>
      </c>
      <c r="O458" t="s">
        <v>9</v>
      </c>
      <c r="P458" t="s">
        <v>120</v>
      </c>
    </row>
    <row r="459" spans="1:16" hidden="1">
      <c r="A459" t="s">
        <v>102</v>
      </c>
      <c r="B459" s="1">
        <v>4503432152</v>
      </c>
      <c r="C459" t="s">
        <v>121</v>
      </c>
      <c r="D459" s="160">
        <v>1069415</v>
      </c>
      <c r="G459" s="4"/>
      <c r="H459" s="4"/>
      <c r="I459">
        <v>2023</v>
      </c>
      <c r="J459">
        <v>8</v>
      </c>
      <c r="K459" s="4" t="s">
        <v>420</v>
      </c>
      <c r="L459" t="s">
        <v>89</v>
      </c>
      <c r="N459" t="s">
        <v>89</v>
      </c>
      <c r="O459" t="s">
        <v>9</v>
      </c>
      <c r="P459" t="s">
        <v>122</v>
      </c>
    </row>
    <row r="460" spans="1:16" hidden="1">
      <c r="A460" t="s">
        <v>139</v>
      </c>
      <c r="B460" s="1">
        <v>4503441102</v>
      </c>
      <c r="C460" t="s">
        <v>140</v>
      </c>
      <c r="D460" s="160">
        <v>49185</v>
      </c>
      <c r="E460">
        <v>2749</v>
      </c>
      <c r="G460" s="4"/>
      <c r="H460" s="4"/>
      <c r="I460">
        <v>2023</v>
      </c>
      <c r="J460">
        <v>8</v>
      </c>
      <c r="K460" s="4" t="s">
        <v>420</v>
      </c>
      <c r="L460" t="s">
        <v>89</v>
      </c>
      <c r="N460" t="s">
        <v>89</v>
      </c>
      <c r="O460" t="s">
        <v>9</v>
      </c>
      <c r="P460" t="s">
        <v>141</v>
      </c>
    </row>
    <row r="461" spans="1:16" hidden="1">
      <c r="A461" t="s">
        <v>102</v>
      </c>
      <c r="B461" s="1">
        <v>4503489979</v>
      </c>
      <c r="C461" t="s">
        <v>144</v>
      </c>
      <c r="D461" s="160">
        <v>83783</v>
      </c>
      <c r="F461" t="s">
        <v>553</v>
      </c>
      <c r="G461" s="4"/>
      <c r="H461" s="4"/>
      <c r="I461">
        <v>2023</v>
      </c>
      <c r="J461">
        <v>8</v>
      </c>
      <c r="K461" s="4" t="s">
        <v>420</v>
      </c>
      <c r="L461" t="s">
        <v>89</v>
      </c>
      <c r="N461" t="s">
        <v>89</v>
      </c>
      <c r="O461" t="s">
        <v>9</v>
      </c>
      <c r="P461" t="s">
        <v>145</v>
      </c>
    </row>
    <row r="462" spans="1:16" hidden="1">
      <c r="A462" t="s">
        <v>219</v>
      </c>
      <c r="B462" s="1">
        <v>4590000425</v>
      </c>
      <c r="C462" t="s">
        <v>220</v>
      </c>
      <c r="D462" s="160">
        <v>270607</v>
      </c>
      <c r="G462" s="4"/>
      <c r="H462" s="4"/>
      <c r="I462">
        <v>2023</v>
      </c>
      <c r="J462">
        <v>8</v>
      </c>
      <c r="K462" s="4" t="s">
        <v>420</v>
      </c>
      <c r="L462" t="s">
        <v>89</v>
      </c>
      <c r="N462" t="s">
        <v>89</v>
      </c>
      <c r="O462" t="s">
        <v>13</v>
      </c>
      <c r="P462" t="s">
        <v>222</v>
      </c>
    </row>
    <row r="463" spans="1:16" hidden="1">
      <c r="A463" t="s">
        <v>219</v>
      </c>
      <c r="B463" s="1">
        <v>4590003912</v>
      </c>
      <c r="C463" t="s">
        <v>384</v>
      </c>
      <c r="D463" s="160">
        <v>46189.95</v>
      </c>
      <c r="F463" t="s">
        <v>554</v>
      </c>
      <c r="G463" s="4"/>
      <c r="H463" s="4"/>
      <c r="I463">
        <v>2023</v>
      </c>
      <c r="J463">
        <v>8</v>
      </c>
      <c r="K463" s="4" t="s">
        <v>420</v>
      </c>
      <c r="L463" t="s">
        <v>89</v>
      </c>
      <c r="N463" t="s">
        <v>89</v>
      </c>
      <c r="O463" t="s">
        <v>13</v>
      </c>
      <c r="P463" t="s">
        <v>222</v>
      </c>
    </row>
    <row r="464" spans="1:16" hidden="1">
      <c r="A464" t="s">
        <v>102</v>
      </c>
      <c r="B464" s="1">
        <v>4590004028</v>
      </c>
      <c r="C464" t="s">
        <v>223</v>
      </c>
      <c r="D464" s="160">
        <v>56583.44</v>
      </c>
      <c r="G464" s="4"/>
      <c r="H464" s="4"/>
      <c r="I464">
        <v>2023</v>
      </c>
      <c r="J464">
        <v>8</v>
      </c>
      <c r="K464" s="4" t="s">
        <v>420</v>
      </c>
      <c r="L464" t="s">
        <v>89</v>
      </c>
      <c r="N464" t="s">
        <v>89</v>
      </c>
      <c r="O464" t="s">
        <v>11</v>
      </c>
      <c r="P464" t="s">
        <v>104</v>
      </c>
    </row>
    <row r="465" spans="1:16" hidden="1">
      <c r="A465" t="s">
        <v>102</v>
      </c>
      <c r="B465" s="1">
        <v>4590004971</v>
      </c>
      <c r="C465" t="s">
        <v>253</v>
      </c>
      <c r="D465" s="160">
        <v>5592</v>
      </c>
      <c r="F465" t="s">
        <v>555</v>
      </c>
      <c r="G465" s="4"/>
      <c r="H465" s="4"/>
      <c r="I465">
        <v>2023</v>
      </c>
      <c r="J465">
        <v>8</v>
      </c>
      <c r="K465" s="4" t="s">
        <v>420</v>
      </c>
      <c r="L465" t="s">
        <v>89</v>
      </c>
      <c r="N465" t="s">
        <v>89</v>
      </c>
      <c r="O465" t="s">
        <v>9</v>
      </c>
      <c r="P465" t="s">
        <v>120</v>
      </c>
    </row>
    <row r="466" spans="1:16" hidden="1">
      <c r="A466" t="s">
        <v>102</v>
      </c>
      <c r="B466" s="1">
        <v>4590006189</v>
      </c>
      <c r="C466" t="s">
        <v>260</v>
      </c>
      <c r="D466" s="160">
        <v>248691</v>
      </c>
      <c r="F466" t="s">
        <v>556</v>
      </c>
      <c r="G466" s="4"/>
      <c r="H466" s="4"/>
      <c r="I466">
        <v>2023</v>
      </c>
      <c r="J466">
        <v>8</v>
      </c>
      <c r="K466" s="4" t="s">
        <v>420</v>
      </c>
      <c r="L466" t="s">
        <v>89</v>
      </c>
      <c r="N466" t="s">
        <v>89</v>
      </c>
      <c r="O466" t="s">
        <v>9</v>
      </c>
      <c r="P466" t="s">
        <v>262</v>
      </c>
    </row>
    <row r="467" spans="1:16" hidden="1">
      <c r="A467" t="s">
        <v>557</v>
      </c>
      <c r="B467" s="1">
        <v>4590008486</v>
      </c>
      <c r="C467" t="s">
        <v>558</v>
      </c>
      <c r="D467" s="160">
        <v>270404</v>
      </c>
      <c r="F467" t="s">
        <v>559</v>
      </c>
      <c r="G467" s="4"/>
      <c r="H467" s="4"/>
      <c r="I467">
        <v>2023</v>
      </c>
      <c r="J467">
        <v>8</v>
      </c>
      <c r="K467" s="4" t="s">
        <v>420</v>
      </c>
      <c r="L467" t="s">
        <v>89</v>
      </c>
      <c r="N467" t="s">
        <v>89</v>
      </c>
      <c r="O467" t="s">
        <v>10</v>
      </c>
      <c r="P467" t="s">
        <v>361</v>
      </c>
    </row>
    <row r="468" spans="1:16" hidden="1">
      <c r="A468" t="s">
        <v>86</v>
      </c>
      <c r="B468" s="1">
        <v>4590008827</v>
      </c>
      <c r="C468" t="s">
        <v>390</v>
      </c>
      <c r="D468" s="160">
        <v>300813.71000000002</v>
      </c>
      <c r="F468" t="s">
        <v>560</v>
      </c>
      <c r="G468" s="4"/>
      <c r="H468" s="4"/>
      <c r="I468">
        <v>2023</v>
      </c>
      <c r="J468">
        <v>8</v>
      </c>
      <c r="K468" s="4" t="s">
        <v>420</v>
      </c>
      <c r="L468" t="s">
        <v>89</v>
      </c>
      <c r="N468" t="s">
        <v>89</v>
      </c>
      <c r="O468" t="s">
        <v>13</v>
      </c>
      <c r="P468" t="s">
        <v>222</v>
      </c>
    </row>
    <row r="469" spans="1:16" hidden="1">
      <c r="A469" t="s">
        <v>394</v>
      </c>
      <c r="B469" s="1">
        <v>4590009466</v>
      </c>
      <c r="C469" t="s">
        <v>561</v>
      </c>
      <c r="D469" s="160">
        <v>402225</v>
      </c>
      <c r="F469" t="s">
        <v>562</v>
      </c>
      <c r="G469" s="4"/>
      <c r="H469" s="4"/>
      <c r="I469">
        <v>2023</v>
      </c>
      <c r="J469">
        <v>8</v>
      </c>
      <c r="K469" s="4" t="s">
        <v>420</v>
      </c>
      <c r="L469" t="s">
        <v>89</v>
      </c>
      <c r="N469" t="s">
        <v>89</v>
      </c>
      <c r="O469" t="s">
        <v>13</v>
      </c>
      <c r="P469" t="s">
        <v>563</v>
      </c>
    </row>
    <row r="470" spans="1:16" hidden="1">
      <c r="A470" t="s">
        <v>126</v>
      </c>
      <c r="B470" s="1">
        <v>4590009808</v>
      </c>
      <c r="C470" t="s">
        <v>486</v>
      </c>
      <c r="D470" s="160">
        <v>69835</v>
      </c>
      <c r="F470" t="s">
        <v>564</v>
      </c>
      <c r="G470" s="4"/>
      <c r="H470" s="4"/>
      <c r="I470">
        <v>2023</v>
      </c>
      <c r="J470">
        <v>8</v>
      </c>
      <c r="K470" s="4" t="s">
        <v>420</v>
      </c>
      <c r="L470" t="s">
        <v>89</v>
      </c>
      <c r="N470" t="s">
        <v>89</v>
      </c>
      <c r="O470" t="s">
        <v>9</v>
      </c>
      <c r="P470" t="s">
        <v>129</v>
      </c>
    </row>
    <row r="471" spans="1:16" hidden="1">
      <c r="A471" t="s">
        <v>86</v>
      </c>
      <c r="B471" s="1">
        <v>4590010418</v>
      </c>
      <c r="C471" t="s">
        <v>488</v>
      </c>
      <c r="D471" s="160">
        <v>11383.67</v>
      </c>
      <c r="G471" s="4"/>
      <c r="H471" s="4"/>
      <c r="I471">
        <v>2023</v>
      </c>
      <c r="J471">
        <v>8</v>
      </c>
      <c r="K471" s="4" t="s">
        <v>420</v>
      </c>
      <c r="L471" t="s">
        <v>89</v>
      </c>
      <c r="N471" t="s">
        <v>89</v>
      </c>
      <c r="O471" t="s">
        <v>10</v>
      </c>
      <c r="P471" t="s">
        <v>222</v>
      </c>
    </row>
    <row r="472" spans="1:16" hidden="1">
      <c r="A472" t="s">
        <v>86</v>
      </c>
      <c r="B472" s="1">
        <v>4590011098</v>
      </c>
      <c r="C472" t="s">
        <v>493</v>
      </c>
      <c r="D472" s="160">
        <v>89442.91</v>
      </c>
      <c r="F472" t="s">
        <v>565</v>
      </c>
      <c r="G472" s="4"/>
      <c r="H472" s="4"/>
      <c r="I472">
        <v>2023</v>
      </c>
      <c r="J472">
        <v>8</v>
      </c>
      <c r="K472" s="4" t="s">
        <v>420</v>
      </c>
      <c r="L472" t="s">
        <v>89</v>
      </c>
      <c r="N472" t="s">
        <v>89</v>
      </c>
      <c r="O472" t="s">
        <v>19</v>
      </c>
      <c r="P472" t="s">
        <v>222</v>
      </c>
    </row>
    <row r="473" spans="1:16" hidden="1">
      <c r="A473" t="s">
        <v>86</v>
      </c>
      <c r="B473" s="1">
        <v>4590011320</v>
      </c>
      <c r="C473" t="s">
        <v>498</v>
      </c>
      <c r="D473" s="160">
        <v>48145.15</v>
      </c>
      <c r="G473" s="4"/>
      <c r="H473" s="4"/>
      <c r="I473">
        <v>2023</v>
      </c>
      <c r="J473">
        <v>8</v>
      </c>
      <c r="K473" s="4" t="s">
        <v>420</v>
      </c>
      <c r="L473" t="s">
        <v>89</v>
      </c>
      <c r="N473" t="s">
        <v>89</v>
      </c>
      <c r="O473" t="s">
        <v>9</v>
      </c>
      <c r="P473" t="s">
        <v>125</v>
      </c>
    </row>
    <row r="474" spans="1:16" hidden="1">
      <c r="A474" t="s">
        <v>566</v>
      </c>
      <c r="B474" s="1">
        <v>4590013561</v>
      </c>
      <c r="C474" t="s">
        <v>567</v>
      </c>
      <c r="D474" s="160">
        <v>25786</v>
      </c>
      <c r="F474" t="s">
        <v>568</v>
      </c>
      <c r="G474" s="4">
        <v>45648</v>
      </c>
      <c r="H474" s="4">
        <v>45648</v>
      </c>
      <c r="I474">
        <v>2023</v>
      </c>
      <c r="J474">
        <v>12</v>
      </c>
      <c r="K474" s="4" t="s">
        <v>522</v>
      </c>
      <c r="L474" t="s">
        <v>89</v>
      </c>
      <c r="N474" t="s">
        <v>89</v>
      </c>
      <c r="O474" t="s">
        <v>8</v>
      </c>
      <c r="P474" t="s">
        <v>300</v>
      </c>
    </row>
    <row r="475" spans="1:16" hidden="1">
      <c r="A475" t="s">
        <v>569</v>
      </c>
      <c r="B475" s="1">
        <v>4590012881</v>
      </c>
      <c r="C475" t="s">
        <v>570</v>
      </c>
      <c r="D475" s="160">
        <v>508031.05</v>
      </c>
      <c r="F475" t="s">
        <v>571</v>
      </c>
      <c r="G475" s="4"/>
      <c r="H475" s="4"/>
      <c r="I475">
        <v>2023</v>
      </c>
      <c r="J475">
        <v>8</v>
      </c>
      <c r="K475" s="4" t="s">
        <v>420</v>
      </c>
      <c r="L475" t="s">
        <v>89</v>
      </c>
      <c r="N475" t="s">
        <v>89</v>
      </c>
      <c r="O475" t="s">
        <v>13</v>
      </c>
      <c r="P475" t="s">
        <v>572</v>
      </c>
    </row>
    <row r="476" spans="1:16" hidden="1">
      <c r="A476" t="s">
        <v>126</v>
      </c>
      <c r="B476" s="1" t="s">
        <v>127</v>
      </c>
      <c r="C476" t="s">
        <v>128</v>
      </c>
      <c r="D476" s="160">
        <v>5526885</v>
      </c>
      <c r="F476" t="s">
        <v>573</v>
      </c>
      <c r="G476" s="4"/>
      <c r="H476" s="4"/>
      <c r="I476">
        <v>2023</v>
      </c>
      <c r="J476">
        <v>8</v>
      </c>
      <c r="K476" s="4" t="s">
        <v>420</v>
      </c>
      <c r="L476" t="s">
        <v>89</v>
      </c>
      <c r="N476" t="s">
        <v>89</v>
      </c>
      <c r="O476" t="s">
        <v>9</v>
      </c>
      <c r="P476" t="s">
        <v>129</v>
      </c>
    </row>
    <row r="477" spans="1:16" hidden="1">
      <c r="A477" t="s">
        <v>126</v>
      </c>
      <c r="B477" s="1" t="s">
        <v>130</v>
      </c>
      <c r="C477" t="s">
        <v>131</v>
      </c>
      <c r="D477" s="160">
        <v>728284</v>
      </c>
      <c r="G477" s="4"/>
      <c r="H477" s="4"/>
      <c r="I477">
        <v>2023</v>
      </c>
      <c r="J477">
        <v>8</v>
      </c>
      <c r="K477" s="4" t="s">
        <v>420</v>
      </c>
      <c r="L477" t="s">
        <v>89</v>
      </c>
      <c r="N477" t="s">
        <v>89</v>
      </c>
      <c r="O477" t="s">
        <v>9</v>
      </c>
      <c r="P477" t="s">
        <v>129</v>
      </c>
    </row>
    <row r="478" spans="1:16" hidden="1">
      <c r="A478" t="s">
        <v>102</v>
      </c>
      <c r="B478" s="1" t="s">
        <v>231</v>
      </c>
      <c r="C478" t="s">
        <v>232</v>
      </c>
      <c r="D478" s="160">
        <v>36094</v>
      </c>
      <c r="G478" s="4"/>
      <c r="H478" s="4"/>
      <c r="I478">
        <v>2023</v>
      </c>
      <c r="J478">
        <v>8</v>
      </c>
      <c r="K478" s="4" t="s">
        <v>420</v>
      </c>
      <c r="L478" t="s">
        <v>89</v>
      </c>
      <c r="N478" t="s">
        <v>89</v>
      </c>
      <c r="O478" t="s">
        <v>11</v>
      </c>
      <c r="P478" t="s">
        <v>104</v>
      </c>
    </row>
    <row r="479" spans="1:16" hidden="1">
      <c r="A479" t="s">
        <v>102</v>
      </c>
      <c r="B479" s="1" t="s">
        <v>338</v>
      </c>
      <c r="C479" t="s">
        <v>339</v>
      </c>
      <c r="D479" s="160">
        <v>302421</v>
      </c>
      <c r="F479" t="s">
        <v>574</v>
      </c>
      <c r="G479" s="4"/>
      <c r="H479" s="4"/>
      <c r="I479">
        <v>2023</v>
      </c>
      <c r="J479">
        <v>8</v>
      </c>
      <c r="K479" s="4" t="s">
        <v>420</v>
      </c>
      <c r="L479" t="s">
        <v>89</v>
      </c>
      <c r="N479" t="s">
        <v>89</v>
      </c>
      <c r="O479" t="s">
        <v>11</v>
      </c>
      <c r="P479" t="s">
        <v>120</v>
      </c>
    </row>
    <row r="480" spans="1:16" hidden="1">
      <c r="A480" t="s">
        <v>102</v>
      </c>
      <c r="B480" s="1" t="s">
        <v>234</v>
      </c>
      <c r="C480" t="s">
        <v>235</v>
      </c>
      <c r="D480" s="160">
        <v>44720</v>
      </c>
      <c r="F480" t="s">
        <v>575</v>
      </c>
      <c r="G480" s="4"/>
      <c r="H480" s="4"/>
      <c r="I480">
        <v>2023</v>
      </c>
      <c r="J480">
        <v>8</v>
      </c>
      <c r="K480" s="4" t="s">
        <v>420</v>
      </c>
      <c r="L480" t="s">
        <v>89</v>
      </c>
      <c r="N480" t="s">
        <v>89</v>
      </c>
      <c r="O480" t="s">
        <v>11</v>
      </c>
      <c r="P480" t="s">
        <v>104</v>
      </c>
    </row>
    <row r="481" spans="1:16" hidden="1">
      <c r="A481" t="s">
        <v>275</v>
      </c>
      <c r="B481" s="1" t="s">
        <v>305</v>
      </c>
      <c r="C481" t="s">
        <v>306</v>
      </c>
      <c r="D481" s="160">
        <v>5709214.75</v>
      </c>
      <c r="G481" s="4"/>
      <c r="H481" s="4"/>
      <c r="I481">
        <v>2023</v>
      </c>
      <c r="J481">
        <v>8</v>
      </c>
      <c r="K481" s="4" t="s">
        <v>420</v>
      </c>
      <c r="L481" t="s">
        <v>89</v>
      </c>
      <c r="N481" t="s">
        <v>89</v>
      </c>
      <c r="O481" t="s">
        <v>15</v>
      </c>
      <c r="P481" t="s">
        <v>278</v>
      </c>
    </row>
    <row r="482" spans="1:16" hidden="1">
      <c r="A482" t="s">
        <v>542</v>
      </c>
      <c r="B482" s="1" t="s">
        <v>543</v>
      </c>
      <c r="C482" t="s">
        <v>544</v>
      </c>
      <c r="D482" s="160">
        <v>32209</v>
      </c>
      <c r="G482" s="4"/>
      <c r="H482" s="4"/>
      <c r="I482">
        <v>2023</v>
      </c>
      <c r="J482">
        <v>8</v>
      </c>
      <c r="K482" s="4" t="s">
        <v>420</v>
      </c>
      <c r="L482" t="s">
        <v>89</v>
      </c>
      <c r="N482" t="s">
        <v>89</v>
      </c>
      <c r="O482" t="s">
        <v>11</v>
      </c>
      <c r="P482" t="s">
        <v>545</v>
      </c>
    </row>
    <row r="483" spans="1:16" hidden="1">
      <c r="A483" t="s">
        <v>86</v>
      </c>
      <c r="B483" s="1" t="s">
        <v>576</v>
      </c>
      <c r="C483" t="s">
        <v>577</v>
      </c>
      <c r="D483" s="160">
        <v>4705</v>
      </c>
      <c r="F483" t="s">
        <v>578</v>
      </c>
      <c r="G483" s="4"/>
      <c r="H483" s="4"/>
      <c r="I483">
        <v>2023</v>
      </c>
      <c r="J483">
        <v>8</v>
      </c>
      <c r="K483" s="4" t="s">
        <v>420</v>
      </c>
      <c r="L483" t="s">
        <v>89</v>
      </c>
      <c r="N483" t="s">
        <v>89</v>
      </c>
      <c r="O483" t="s">
        <v>11</v>
      </c>
      <c r="P483" t="s">
        <v>129</v>
      </c>
    </row>
    <row r="484" spans="1:16" hidden="1">
      <c r="A484" t="s">
        <v>394</v>
      </c>
      <c r="B484" s="1" t="s">
        <v>395</v>
      </c>
      <c r="C484" t="s">
        <v>396</v>
      </c>
      <c r="D484" s="160">
        <v>150877</v>
      </c>
      <c r="G484" s="4"/>
      <c r="H484" s="4"/>
      <c r="I484">
        <v>2023</v>
      </c>
      <c r="J484">
        <v>8</v>
      </c>
      <c r="K484" s="4" t="s">
        <v>420</v>
      </c>
      <c r="L484" t="s">
        <v>89</v>
      </c>
      <c r="N484" t="s">
        <v>89</v>
      </c>
      <c r="O484" t="s">
        <v>13</v>
      </c>
      <c r="P484" t="s">
        <v>361</v>
      </c>
    </row>
    <row r="485" spans="1:16" hidden="1">
      <c r="A485" t="s">
        <v>394</v>
      </c>
      <c r="B485" s="1" t="s">
        <v>502</v>
      </c>
      <c r="C485" t="s">
        <v>503</v>
      </c>
      <c r="D485" s="160">
        <v>4149440.52</v>
      </c>
      <c r="F485" t="s">
        <v>579</v>
      </c>
      <c r="G485" s="4"/>
      <c r="H485" s="4"/>
      <c r="I485">
        <v>2023</v>
      </c>
      <c r="J485">
        <v>8</v>
      </c>
      <c r="K485" s="4" t="s">
        <v>420</v>
      </c>
      <c r="L485" t="s">
        <v>89</v>
      </c>
      <c r="N485" t="s">
        <v>89</v>
      </c>
      <c r="O485" t="s">
        <v>13</v>
      </c>
      <c r="P485" t="s">
        <v>361</v>
      </c>
    </row>
    <row r="486" spans="1:16" hidden="1">
      <c r="A486" t="s">
        <v>165</v>
      </c>
      <c r="C486" t="s">
        <v>547</v>
      </c>
      <c r="D486" s="160">
        <v>353408.91</v>
      </c>
      <c r="F486" t="s">
        <v>580</v>
      </c>
      <c r="G486" s="4">
        <v>45154</v>
      </c>
      <c r="H486" s="4">
        <v>45154</v>
      </c>
      <c r="I486">
        <v>2023</v>
      </c>
      <c r="J486">
        <v>8</v>
      </c>
      <c r="K486" s="4" t="s">
        <v>420</v>
      </c>
      <c r="L486" t="s">
        <v>95</v>
      </c>
      <c r="N486" t="s">
        <v>581</v>
      </c>
      <c r="O486" t="s">
        <v>18</v>
      </c>
      <c r="P486" t="s">
        <v>550</v>
      </c>
    </row>
    <row r="487" spans="1:16" hidden="1">
      <c r="A487" t="s">
        <v>161</v>
      </c>
      <c r="B487" s="1" t="s">
        <v>162</v>
      </c>
      <c r="C487" t="s">
        <v>163</v>
      </c>
      <c r="D487" s="160">
        <v>345110.15</v>
      </c>
      <c r="G487" s="4"/>
      <c r="H487" s="4"/>
      <c r="I487">
        <v>2023</v>
      </c>
      <c r="J487">
        <v>8</v>
      </c>
      <c r="K487" s="4" t="s">
        <v>420</v>
      </c>
      <c r="L487" t="s">
        <v>89</v>
      </c>
      <c r="N487" t="s">
        <v>89</v>
      </c>
      <c r="O487" t="s">
        <v>18</v>
      </c>
      <c r="P487" t="s">
        <v>164</v>
      </c>
    </row>
    <row r="488" spans="1:16" hidden="1">
      <c r="A488" t="s">
        <v>102</v>
      </c>
      <c r="B488" s="1">
        <v>4503290109</v>
      </c>
      <c r="C488" t="s">
        <v>103</v>
      </c>
      <c r="D488" s="160">
        <v>2215779</v>
      </c>
      <c r="G488" s="4"/>
      <c r="H488" s="4"/>
      <c r="I488">
        <v>2023</v>
      </c>
      <c r="J488">
        <v>9</v>
      </c>
      <c r="K488" s="4" t="s">
        <v>582</v>
      </c>
      <c r="L488" t="s">
        <v>89</v>
      </c>
      <c r="N488" t="s">
        <v>89</v>
      </c>
      <c r="O488" t="s">
        <v>9</v>
      </c>
      <c r="P488" t="s">
        <v>104</v>
      </c>
    </row>
    <row r="489" spans="1:16" hidden="1">
      <c r="A489" t="s">
        <v>116</v>
      </c>
      <c r="B489" s="1">
        <v>4503428513</v>
      </c>
      <c r="C489" t="s">
        <v>117</v>
      </c>
      <c r="D489" s="160">
        <v>832221</v>
      </c>
      <c r="G489" s="4"/>
      <c r="H489" s="4"/>
      <c r="I489">
        <v>2023</v>
      </c>
      <c r="J489">
        <v>9</v>
      </c>
      <c r="K489" s="4" t="s">
        <v>582</v>
      </c>
      <c r="L489" t="s">
        <v>89</v>
      </c>
      <c r="N489" t="s">
        <v>89</v>
      </c>
      <c r="O489" t="s">
        <v>9</v>
      </c>
      <c r="P489" t="s">
        <v>118</v>
      </c>
    </row>
    <row r="490" spans="1:16" hidden="1">
      <c r="A490" t="s">
        <v>102</v>
      </c>
      <c r="B490" s="1">
        <v>4503432118</v>
      </c>
      <c r="C490" t="s">
        <v>119</v>
      </c>
      <c r="D490" s="160">
        <v>2532686</v>
      </c>
      <c r="G490" s="4"/>
      <c r="H490" s="4"/>
      <c r="I490">
        <v>2023</v>
      </c>
      <c r="J490">
        <v>9</v>
      </c>
      <c r="K490" s="4" t="s">
        <v>582</v>
      </c>
      <c r="L490" t="s">
        <v>89</v>
      </c>
      <c r="N490" t="s">
        <v>89</v>
      </c>
      <c r="O490" t="s">
        <v>9</v>
      </c>
      <c r="P490" t="s">
        <v>120</v>
      </c>
    </row>
    <row r="491" spans="1:16" hidden="1">
      <c r="A491" t="s">
        <v>102</v>
      </c>
      <c r="B491" s="1">
        <v>4503432152</v>
      </c>
      <c r="C491" t="s">
        <v>121</v>
      </c>
      <c r="D491" s="160">
        <v>83419</v>
      </c>
      <c r="G491" s="4"/>
      <c r="H491" s="4"/>
      <c r="I491">
        <v>2023</v>
      </c>
      <c r="J491">
        <v>9</v>
      </c>
      <c r="K491" s="4" t="s">
        <v>582</v>
      </c>
      <c r="L491" t="s">
        <v>89</v>
      </c>
      <c r="N491" t="s">
        <v>89</v>
      </c>
      <c r="O491" t="s">
        <v>9</v>
      </c>
      <c r="P491" t="s">
        <v>122</v>
      </c>
    </row>
    <row r="492" spans="1:16" hidden="1">
      <c r="A492" t="s">
        <v>139</v>
      </c>
      <c r="B492" s="1">
        <v>4503441102</v>
      </c>
      <c r="C492" t="s">
        <v>140</v>
      </c>
      <c r="D492" s="160">
        <v>402028</v>
      </c>
      <c r="E492">
        <v>22473</v>
      </c>
      <c r="G492" s="4"/>
      <c r="H492" s="4"/>
      <c r="I492">
        <v>2023</v>
      </c>
      <c r="J492">
        <v>9</v>
      </c>
      <c r="K492" s="4" t="s">
        <v>582</v>
      </c>
      <c r="L492" t="s">
        <v>89</v>
      </c>
      <c r="N492" t="s">
        <v>89</v>
      </c>
      <c r="O492" t="s">
        <v>9</v>
      </c>
      <c r="P492" t="s">
        <v>141</v>
      </c>
    </row>
    <row r="493" spans="1:16" hidden="1">
      <c r="A493" t="s">
        <v>102</v>
      </c>
      <c r="B493" s="1">
        <v>4503489979</v>
      </c>
      <c r="C493" t="s">
        <v>144</v>
      </c>
      <c r="D493" s="160">
        <v>325414</v>
      </c>
      <c r="G493" s="4"/>
      <c r="H493" s="4"/>
      <c r="I493">
        <v>2023</v>
      </c>
      <c r="J493">
        <v>9</v>
      </c>
      <c r="K493" s="4" t="s">
        <v>582</v>
      </c>
      <c r="L493" t="s">
        <v>89</v>
      </c>
      <c r="N493" t="s">
        <v>89</v>
      </c>
      <c r="O493" t="s">
        <v>9</v>
      </c>
      <c r="P493" t="s">
        <v>145</v>
      </c>
    </row>
    <row r="494" spans="1:16" hidden="1">
      <c r="A494" t="s">
        <v>139</v>
      </c>
      <c r="B494" s="1">
        <v>4590002290</v>
      </c>
      <c r="C494" t="s">
        <v>583</v>
      </c>
      <c r="D494" s="160">
        <v>144305</v>
      </c>
      <c r="E494">
        <v>8067</v>
      </c>
      <c r="G494" s="4"/>
      <c r="H494" s="4"/>
      <c r="I494">
        <v>2023</v>
      </c>
      <c r="J494">
        <v>9</v>
      </c>
      <c r="K494" s="4" t="s">
        <v>582</v>
      </c>
      <c r="L494" t="s">
        <v>89</v>
      </c>
      <c r="N494" t="s">
        <v>89</v>
      </c>
      <c r="O494" t="s">
        <v>11</v>
      </c>
      <c r="P494" t="s">
        <v>584</v>
      </c>
    </row>
    <row r="495" spans="1:16" hidden="1">
      <c r="A495" t="s">
        <v>585</v>
      </c>
      <c r="B495" s="1">
        <v>4590002292</v>
      </c>
      <c r="C495" t="s">
        <v>586</v>
      </c>
      <c r="D495" s="160">
        <v>142893</v>
      </c>
      <c r="E495">
        <v>7988</v>
      </c>
      <c r="G495" s="4"/>
      <c r="H495" s="4"/>
      <c r="I495">
        <v>2023</v>
      </c>
      <c r="J495">
        <v>9</v>
      </c>
      <c r="K495" s="4" t="s">
        <v>582</v>
      </c>
      <c r="L495" t="s">
        <v>89</v>
      </c>
      <c r="N495" t="s">
        <v>89</v>
      </c>
      <c r="O495" t="s">
        <v>11</v>
      </c>
      <c r="P495" t="s">
        <v>584</v>
      </c>
    </row>
    <row r="496" spans="1:16" hidden="1">
      <c r="A496" t="s">
        <v>219</v>
      </c>
      <c r="B496" s="1">
        <v>4590003912</v>
      </c>
      <c r="C496" t="s">
        <v>384</v>
      </c>
      <c r="D496" s="160">
        <v>19377.84</v>
      </c>
      <c r="F496" t="s">
        <v>587</v>
      </c>
      <c r="G496" s="4"/>
      <c r="H496" s="4"/>
      <c r="I496">
        <v>2023</v>
      </c>
      <c r="J496">
        <v>9</v>
      </c>
      <c r="K496" s="4" t="s">
        <v>582</v>
      </c>
      <c r="L496" t="s">
        <v>89</v>
      </c>
      <c r="N496" t="s">
        <v>89</v>
      </c>
      <c r="O496" t="s">
        <v>13</v>
      </c>
      <c r="P496" t="s">
        <v>222</v>
      </c>
    </row>
    <row r="497" spans="1:16" hidden="1">
      <c r="A497" t="s">
        <v>116</v>
      </c>
      <c r="B497" s="1">
        <v>4590004117</v>
      </c>
      <c r="C497" t="s">
        <v>517</v>
      </c>
      <c r="D497" s="160">
        <v>17266</v>
      </c>
      <c r="G497" s="4"/>
      <c r="H497" s="4"/>
      <c r="I497">
        <v>2023</v>
      </c>
      <c r="J497">
        <v>9</v>
      </c>
      <c r="K497" s="4" t="s">
        <v>582</v>
      </c>
      <c r="L497" t="s">
        <v>89</v>
      </c>
      <c r="N497" t="s">
        <v>89</v>
      </c>
      <c r="O497" t="s">
        <v>11</v>
      </c>
      <c r="P497" t="s">
        <v>519</v>
      </c>
    </row>
    <row r="498" spans="1:16" hidden="1">
      <c r="A498" t="s">
        <v>102</v>
      </c>
      <c r="B498" s="1">
        <v>4590005240</v>
      </c>
      <c r="C498" t="s">
        <v>197</v>
      </c>
      <c r="D498" s="160">
        <v>223978</v>
      </c>
      <c r="E498">
        <v>12520.37</v>
      </c>
      <c r="G498" s="4"/>
      <c r="H498" s="4"/>
      <c r="I498">
        <v>2023</v>
      </c>
      <c r="J498">
        <v>9</v>
      </c>
      <c r="K498" s="4" t="s">
        <v>582</v>
      </c>
      <c r="L498" t="s">
        <v>89</v>
      </c>
      <c r="N498" t="s">
        <v>89</v>
      </c>
      <c r="O498" t="s">
        <v>9</v>
      </c>
      <c r="P498" t="s">
        <v>199</v>
      </c>
    </row>
    <row r="499" spans="1:16" hidden="1">
      <c r="A499" t="s">
        <v>102</v>
      </c>
      <c r="B499" s="1">
        <v>4590006189</v>
      </c>
      <c r="C499" t="s">
        <v>260</v>
      </c>
      <c r="D499" s="160">
        <v>596404</v>
      </c>
      <c r="G499" s="4"/>
      <c r="H499" s="4"/>
      <c r="I499">
        <v>2023</v>
      </c>
      <c r="J499">
        <v>9</v>
      </c>
      <c r="K499" s="4" t="s">
        <v>582</v>
      </c>
      <c r="L499" t="s">
        <v>89</v>
      </c>
      <c r="N499" t="s">
        <v>89</v>
      </c>
      <c r="O499" t="s">
        <v>9</v>
      </c>
      <c r="P499" t="s">
        <v>262</v>
      </c>
    </row>
    <row r="500" spans="1:16" hidden="1">
      <c r="A500" t="s">
        <v>86</v>
      </c>
      <c r="B500" s="1">
        <v>4590008827</v>
      </c>
      <c r="C500" t="s">
        <v>390</v>
      </c>
      <c r="D500" s="160">
        <v>206508.93</v>
      </c>
      <c r="F500" t="s">
        <v>588</v>
      </c>
      <c r="G500" s="4"/>
      <c r="H500" s="4"/>
      <c r="I500">
        <v>2023</v>
      </c>
      <c r="J500">
        <v>9</v>
      </c>
      <c r="K500" s="4" t="s">
        <v>582</v>
      </c>
      <c r="L500" t="s">
        <v>89</v>
      </c>
      <c r="N500" t="s">
        <v>89</v>
      </c>
      <c r="O500" t="s">
        <v>13</v>
      </c>
      <c r="P500" t="s">
        <v>222</v>
      </c>
    </row>
    <row r="501" spans="1:16" hidden="1">
      <c r="A501" t="s">
        <v>126</v>
      </c>
      <c r="B501" s="1">
        <v>4590009808</v>
      </c>
      <c r="C501" t="s">
        <v>486</v>
      </c>
      <c r="D501" s="160">
        <v>54721</v>
      </c>
      <c r="G501" s="4"/>
      <c r="H501" s="4"/>
      <c r="I501">
        <v>2023</v>
      </c>
      <c r="J501">
        <v>9</v>
      </c>
      <c r="K501" s="4" t="s">
        <v>582</v>
      </c>
      <c r="L501" t="s">
        <v>89</v>
      </c>
      <c r="N501" t="s">
        <v>89</v>
      </c>
      <c r="O501" t="s">
        <v>9</v>
      </c>
      <c r="P501" t="s">
        <v>129</v>
      </c>
    </row>
    <row r="502" spans="1:16" hidden="1">
      <c r="A502" t="s">
        <v>86</v>
      </c>
      <c r="B502" s="1">
        <v>4590011320</v>
      </c>
      <c r="C502" t="s">
        <v>498</v>
      </c>
      <c r="D502" s="160">
        <v>96525.06</v>
      </c>
      <c r="G502" s="4"/>
      <c r="H502" s="4"/>
      <c r="I502">
        <v>2023</v>
      </c>
      <c r="J502">
        <v>9</v>
      </c>
      <c r="K502" s="4" t="s">
        <v>582</v>
      </c>
      <c r="L502" t="s">
        <v>89</v>
      </c>
      <c r="N502" t="s">
        <v>89</v>
      </c>
      <c r="O502" t="s">
        <v>9</v>
      </c>
      <c r="P502" t="s">
        <v>125</v>
      </c>
    </row>
    <row r="503" spans="1:16" hidden="1">
      <c r="A503" t="s">
        <v>589</v>
      </c>
      <c r="B503" s="1">
        <v>4590012310</v>
      </c>
      <c r="C503" t="s">
        <v>590</v>
      </c>
      <c r="D503" s="160">
        <v>135355</v>
      </c>
      <c r="F503" t="s">
        <v>591</v>
      </c>
      <c r="G503" s="4"/>
      <c r="H503" s="4"/>
      <c r="I503">
        <v>2023</v>
      </c>
      <c r="J503">
        <v>9</v>
      </c>
      <c r="K503" s="4" t="s">
        <v>582</v>
      </c>
      <c r="L503" t="s">
        <v>89</v>
      </c>
      <c r="N503" t="s">
        <v>89</v>
      </c>
      <c r="O503" t="s">
        <v>9</v>
      </c>
      <c r="P503" t="s">
        <v>592</v>
      </c>
    </row>
    <row r="504" spans="1:16" hidden="1">
      <c r="A504" t="s">
        <v>86</v>
      </c>
      <c r="B504" s="1">
        <v>4590012872</v>
      </c>
      <c r="C504" t="s">
        <v>593</v>
      </c>
      <c r="D504" s="160">
        <v>408000</v>
      </c>
      <c r="F504" t="s">
        <v>594</v>
      </c>
      <c r="G504" s="4"/>
      <c r="H504" s="4"/>
      <c r="I504">
        <v>2023</v>
      </c>
      <c r="J504">
        <v>9</v>
      </c>
      <c r="K504" s="4" t="s">
        <v>582</v>
      </c>
      <c r="L504" t="s">
        <v>89</v>
      </c>
      <c r="N504" t="s">
        <v>89</v>
      </c>
      <c r="O504" t="s">
        <v>9</v>
      </c>
      <c r="P504" t="s">
        <v>120</v>
      </c>
    </row>
    <row r="505" spans="1:16" hidden="1">
      <c r="A505" t="s">
        <v>86</v>
      </c>
      <c r="B505" s="1">
        <v>4590012982</v>
      </c>
      <c r="C505" t="s">
        <v>595</v>
      </c>
      <c r="D505" s="160">
        <v>416916</v>
      </c>
      <c r="G505" s="4"/>
      <c r="H505" s="4"/>
      <c r="I505">
        <v>2023</v>
      </c>
      <c r="J505">
        <v>9</v>
      </c>
      <c r="K505" s="4" t="s">
        <v>582</v>
      </c>
      <c r="L505" t="s">
        <v>89</v>
      </c>
      <c r="N505" t="s">
        <v>89</v>
      </c>
      <c r="O505" t="s">
        <v>9</v>
      </c>
      <c r="P505" t="s">
        <v>104</v>
      </c>
    </row>
    <row r="506" spans="1:16" hidden="1">
      <c r="A506" t="s">
        <v>126</v>
      </c>
      <c r="B506" s="1" t="s">
        <v>127</v>
      </c>
      <c r="C506" t="s">
        <v>128</v>
      </c>
      <c r="D506" s="160">
        <v>2927140</v>
      </c>
      <c r="G506" s="4"/>
      <c r="H506" s="4"/>
      <c r="I506">
        <v>2023</v>
      </c>
      <c r="J506">
        <v>9</v>
      </c>
      <c r="K506" s="4" t="s">
        <v>582</v>
      </c>
      <c r="L506" t="s">
        <v>89</v>
      </c>
      <c r="N506" t="s">
        <v>89</v>
      </c>
      <c r="O506" t="s">
        <v>9</v>
      </c>
      <c r="P506" t="s">
        <v>129</v>
      </c>
    </row>
    <row r="507" spans="1:16" hidden="1">
      <c r="A507" t="s">
        <v>126</v>
      </c>
      <c r="B507" s="1" t="s">
        <v>130</v>
      </c>
      <c r="C507" t="s">
        <v>131</v>
      </c>
      <c r="D507" s="160">
        <v>1089594</v>
      </c>
      <c r="G507" s="4"/>
      <c r="H507" s="4"/>
      <c r="I507">
        <v>2023</v>
      </c>
      <c r="J507">
        <v>9</v>
      </c>
      <c r="K507" s="4" t="s">
        <v>582</v>
      </c>
      <c r="L507" t="s">
        <v>89</v>
      </c>
      <c r="N507" t="s">
        <v>89</v>
      </c>
      <c r="O507" t="s">
        <v>9</v>
      </c>
      <c r="P507" t="s">
        <v>129</v>
      </c>
    </row>
    <row r="508" spans="1:16" hidden="1">
      <c r="A508" t="s">
        <v>275</v>
      </c>
      <c r="B508" s="1" t="s">
        <v>305</v>
      </c>
      <c r="C508" t="s">
        <v>306</v>
      </c>
      <c r="D508" s="160">
        <v>3909695.68</v>
      </c>
      <c r="G508" s="4"/>
      <c r="H508" s="4"/>
      <c r="I508">
        <v>2023</v>
      </c>
      <c r="J508">
        <v>9</v>
      </c>
      <c r="K508" s="4" t="s">
        <v>582</v>
      </c>
      <c r="L508" t="s">
        <v>89</v>
      </c>
      <c r="N508" t="s">
        <v>89</v>
      </c>
      <c r="O508" t="s">
        <v>15</v>
      </c>
      <c r="P508" t="s">
        <v>278</v>
      </c>
    </row>
    <row r="509" spans="1:16" hidden="1">
      <c r="A509" t="s">
        <v>542</v>
      </c>
      <c r="B509" s="1" t="s">
        <v>543</v>
      </c>
      <c r="C509" t="s">
        <v>544</v>
      </c>
      <c r="D509" s="160">
        <v>37790</v>
      </c>
      <c r="G509" s="4"/>
      <c r="H509" s="4"/>
      <c r="I509">
        <v>2023</v>
      </c>
      <c r="J509">
        <v>9</v>
      </c>
      <c r="K509" s="4" t="s">
        <v>582</v>
      </c>
      <c r="L509" t="s">
        <v>89</v>
      </c>
      <c r="N509" t="s">
        <v>89</v>
      </c>
      <c r="O509" t="s">
        <v>11</v>
      </c>
      <c r="P509" t="s">
        <v>545</v>
      </c>
    </row>
    <row r="510" spans="1:16" hidden="1">
      <c r="A510" t="s">
        <v>394</v>
      </c>
      <c r="B510" s="1" t="s">
        <v>502</v>
      </c>
      <c r="C510" t="s">
        <v>503</v>
      </c>
      <c r="D510" s="160">
        <v>4122495.69</v>
      </c>
      <c r="F510" t="s">
        <v>596</v>
      </c>
      <c r="G510" s="4"/>
      <c r="H510" s="4"/>
      <c r="I510">
        <v>2023</v>
      </c>
      <c r="J510">
        <v>9</v>
      </c>
      <c r="K510" s="4" t="s">
        <v>582</v>
      </c>
      <c r="L510" t="s">
        <v>89</v>
      </c>
      <c r="N510" t="s">
        <v>89</v>
      </c>
      <c r="O510" t="s">
        <v>13</v>
      </c>
      <c r="P510" t="s">
        <v>361</v>
      </c>
    </row>
    <row r="511" spans="1:16" hidden="1">
      <c r="A511" t="s">
        <v>325</v>
      </c>
      <c r="B511" s="1" t="s">
        <v>326</v>
      </c>
      <c r="C511" t="s">
        <v>597</v>
      </c>
      <c r="D511" s="160">
        <v>182152.85</v>
      </c>
      <c r="F511" t="s">
        <v>598</v>
      </c>
      <c r="G511" s="4"/>
      <c r="H511" s="4"/>
      <c r="I511">
        <v>2023</v>
      </c>
      <c r="J511">
        <v>8</v>
      </c>
      <c r="K511" s="4" t="s">
        <v>420</v>
      </c>
      <c r="L511" t="s">
        <v>329</v>
      </c>
      <c r="M511" t="s">
        <v>330</v>
      </c>
      <c r="N511" t="s">
        <v>599</v>
      </c>
      <c r="O511" t="s">
        <v>18</v>
      </c>
      <c r="P511" t="s">
        <v>332</v>
      </c>
    </row>
    <row r="512" spans="1:16" hidden="1">
      <c r="A512" t="s">
        <v>237</v>
      </c>
      <c r="B512" s="1" t="s">
        <v>238</v>
      </c>
      <c r="C512" t="s">
        <v>239</v>
      </c>
      <c r="D512" s="160">
        <v>45275.27</v>
      </c>
      <c r="G512" s="4"/>
      <c r="H512" s="4"/>
      <c r="I512">
        <v>2023</v>
      </c>
      <c r="J512">
        <v>9</v>
      </c>
      <c r="K512" s="4" t="s">
        <v>582</v>
      </c>
      <c r="L512" t="s">
        <v>89</v>
      </c>
      <c r="N512" t="s">
        <v>89</v>
      </c>
      <c r="O512" t="s">
        <v>18</v>
      </c>
      <c r="P512" t="s">
        <v>240</v>
      </c>
    </row>
    <row r="513" spans="1:16" hidden="1">
      <c r="A513" t="s">
        <v>161</v>
      </c>
      <c r="B513" s="1" t="s">
        <v>162</v>
      </c>
      <c r="C513" t="s">
        <v>163</v>
      </c>
      <c r="D513" s="160">
        <v>98221.46</v>
      </c>
      <c r="G513" s="4"/>
      <c r="H513" s="4"/>
      <c r="I513">
        <v>2023</v>
      </c>
      <c r="J513">
        <v>9</v>
      </c>
      <c r="K513" s="4" t="s">
        <v>582</v>
      </c>
      <c r="L513" t="s">
        <v>89</v>
      </c>
      <c r="N513" t="s">
        <v>89</v>
      </c>
      <c r="O513" t="s">
        <v>18</v>
      </c>
      <c r="P513" t="s">
        <v>164</v>
      </c>
    </row>
    <row r="514" spans="1:16" hidden="1">
      <c r="A514" t="s">
        <v>102</v>
      </c>
      <c r="B514" s="1">
        <v>4503290109</v>
      </c>
      <c r="C514" t="s">
        <v>103</v>
      </c>
      <c r="D514" s="160">
        <v>1432965</v>
      </c>
      <c r="G514" s="4"/>
      <c r="H514" s="4"/>
      <c r="I514">
        <v>2023</v>
      </c>
      <c r="J514">
        <v>10</v>
      </c>
      <c r="K514" s="4" t="s">
        <v>600</v>
      </c>
      <c r="L514" t="s">
        <v>89</v>
      </c>
      <c r="N514" t="s">
        <v>89</v>
      </c>
      <c r="O514" t="s">
        <v>9</v>
      </c>
      <c r="P514" t="s">
        <v>104</v>
      </c>
    </row>
    <row r="515" spans="1:16" hidden="1">
      <c r="A515" t="s">
        <v>116</v>
      </c>
      <c r="B515" s="1">
        <v>4503428513</v>
      </c>
      <c r="C515" t="s">
        <v>117</v>
      </c>
      <c r="D515" s="160">
        <v>356993</v>
      </c>
      <c r="G515" s="4"/>
      <c r="H515" s="4"/>
      <c r="I515">
        <v>2023</v>
      </c>
      <c r="J515">
        <v>10</v>
      </c>
      <c r="K515" s="4" t="s">
        <v>600</v>
      </c>
      <c r="L515" t="s">
        <v>89</v>
      </c>
      <c r="N515" t="s">
        <v>89</v>
      </c>
      <c r="O515" t="s">
        <v>9</v>
      </c>
      <c r="P515" t="s">
        <v>118</v>
      </c>
    </row>
    <row r="516" spans="1:16" hidden="1">
      <c r="A516" t="s">
        <v>102</v>
      </c>
      <c r="B516" s="1">
        <v>4503432118</v>
      </c>
      <c r="C516" t="s">
        <v>119</v>
      </c>
      <c r="D516" s="160">
        <v>2117488</v>
      </c>
      <c r="G516" s="4"/>
      <c r="H516" s="4"/>
      <c r="I516">
        <v>2023</v>
      </c>
      <c r="J516">
        <v>10</v>
      </c>
      <c r="K516" s="4" t="s">
        <v>600</v>
      </c>
      <c r="L516" t="s">
        <v>89</v>
      </c>
      <c r="N516" t="s">
        <v>89</v>
      </c>
      <c r="O516" t="s">
        <v>9</v>
      </c>
      <c r="P516" t="s">
        <v>120</v>
      </c>
    </row>
    <row r="517" spans="1:16" hidden="1">
      <c r="A517" t="s">
        <v>102</v>
      </c>
      <c r="B517" s="1">
        <v>4503432152</v>
      </c>
      <c r="C517" t="s">
        <v>121</v>
      </c>
      <c r="D517" s="160">
        <v>153210</v>
      </c>
      <c r="G517" s="4"/>
      <c r="H517" s="4"/>
      <c r="I517">
        <v>2023</v>
      </c>
      <c r="J517">
        <v>10</v>
      </c>
      <c r="K517" s="4" t="s">
        <v>600</v>
      </c>
      <c r="L517" t="s">
        <v>89</v>
      </c>
      <c r="N517" t="s">
        <v>89</v>
      </c>
      <c r="O517" t="s">
        <v>9</v>
      </c>
      <c r="P517" t="s">
        <v>122</v>
      </c>
    </row>
    <row r="518" spans="1:16" hidden="1">
      <c r="A518" t="s">
        <v>139</v>
      </c>
      <c r="B518" s="1">
        <v>4503441102</v>
      </c>
      <c r="C518" t="s">
        <v>140</v>
      </c>
      <c r="D518" s="160">
        <v>319150</v>
      </c>
      <c r="E518">
        <v>17840</v>
      </c>
      <c r="G518" s="4"/>
      <c r="H518" s="4"/>
      <c r="I518">
        <v>2023</v>
      </c>
      <c r="J518">
        <v>10</v>
      </c>
      <c r="K518" s="4" t="s">
        <v>600</v>
      </c>
      <c r="L518" t="s">
        <v>89</v>
      </c>
      <c r="N518" t="s">
        <v>89</v>
      </c>
      <c r="O518" t="s">
        <v>9</v>
      </c>
      <c r="P518" t="s">
        <v>141</v>
      </c>
    </row>
    <row r="519" spans="1:16" hidden="1">
      <c r="A519" t="s">
        <v>139</v>
      </c>
      <c r="B519" s="1">
        <v>4590002290</v>
      </c>
      <c r="C519" t="s">
        <v>583</v>
      </c>
      <c r="D519" s="160">
        <v>42087</v>
      </c>
      <c r="E519">
        <v>2353</v>
      </c>
      <c r="G519" s="4"/>
      <c r="H519" s="4"/>
      <c r="I519">
        <v>2023</v>
      </c>
      <c r="J519">
        <v>10</v>
      </c>
      <c r="K519" s="4" t="s">
        <v>600</v>
      </c>
      <c r="L519" t="s">
        <v>89</v>
      </c>
      <c r="N519" t="s">
        <v>89</v>
      </c>
      <c r="O519" t="s">
        <v>11</v>
      </c>
      <c r="P519" t="s">
        <v>584</v>
      </c>
    </row>
    <row r="520" spans="1:16" hidden="1">
      <c r="A520" t="s">
        <v>446</v>
      </c>
      <c r="B520" s="1">
        <v>4590003431</v>
      </c>
      <c r="C520" t="s">
        <v>451</v>
      </c>
      <c r="D520" s="160">
        <v>27044</v>
      </c>
      <c r="G520" s="4"/>
      <c r="H520" s="4"/>
      <c r="I520">
        <v>2023</v>
      </c>
      <c r="J520">
        <v>10</v>
      </c>
      <c r="K520" s="4" t="s">
        <v>600</v>
      </c>
      <c r="L520" t="s">
        <v>89</v>
      </c>
      <c r="M520" t="s">
        <v>601</v>
      </c>
      <c r="N520" t="s">
        <v>89</v>
      </c>
      <c r="O520" t="s">
        <v>12</v>
      </c>
      <c r="P520" t="s">
        <v>448</v>
      </c>
    </row>
    <row r="521" spans="1:16" hidden="1">
      <c r="A521" t="s">
        <v>325</v>
      </c>
      <c r="B521" s="1" t="s">
        <v>326</v>
      </c>
      <c r="C521" t="s">
        <v>602</v>
      </c>
      <c r="D521" s="160">
        <v>247191.06</v>
      </c>
      <c r="F521" t="s">
        <v>603</v>
      </c>
      <c r="G521" s="4"/>
      <c r="H521" s="4"/>
      <c r="I521">
        <v>2023</v>
      </c>
      <c r="J521">
        <v>9</v>
      </c>
      <c r="K521" s="4" t="s">
        <v>582</v>
      </c>
      <c r="L521" t="s">
        <v>329</v>
      </c>
      <c r="M521" t="s">
        <v>330</v>
      </c>
      <c r="N521" t="s">
        <v>604</v>
      </c>
      <c r="O521" t="s">
        <v>18</v>
      </c>
      <c r="P521" t="s">
        <v>332</v>
      </c>
    </row>
    <row r="522" spans="1:16" hidden="1">
      <c r="A522" t="s">
        <v>116</v>
      </c>
      <c r="B522" s="1">
        <v>4590004281</v>
      </c>
      <c r="C522" t="s">
        <v>423</v>
      </c>
      <c r="D522" s="160">
        <v>336271.49</v>
      </c>
      <c r="G522" s="4"/>
      <c r="H522" s="4"/>
      <c r="I522">
        <v>2023</v>
      </c>
      <c r="J522">
        <v>10</v>
      </c>
      <c r="K522" s="4" t="s">
        <v>600</v>
      </c>
      <c r="L522" t="s">
        <v>89</v>
      </c>
      <c r="N522" t="s">
        <v>89</v>
      </c>
      <c r="O522" t="s">
        <v>11</v>
      </c>
      <c r="P522" t="s">
        <v>425</v>
      </c>
    </row>
    <row r="523" spans="1:16" hidden="1">
      <c r="A523" t="s">
        <v>102</v>
      </c>
      <c r="B523" s="1">
        <v>4590005240</v>
      </c>
      <c r="C523" t="s">
        <v>197</v>
      </c>
      <c r="D523" s="160">
        <v>24898.53</v>
      </c>
      <c r="E523">
        <v>1391.83</v>
      </c>
      <c r="G523" s="4"/>
      <c r="H523" s="4"/>
      <c r="I523">
        <v>2023</v>
      </c>
      <c r="J523">
        <v>10</v>
      </c>
      <c r="K523" s="4" t="s">
        <v>600</v>
      </c>
      <c r="L523" t="s">
        <v>89</v>
      </c>
      <c r="N523" t="s">
        <v>89</v>
      </c>
      <c r="O523" t="s">
        <v>9</v>
      </c>
      <c r="P523" t="s">
        <v>199</v>
      </c>
    </row>
    <row r="524" spans="1:16" hidden="1">
      <c r="A524" t="s">
        <v>102</v>
      </c>
      <c r="B524" s="1">
        <v>4590006189</v>
      </c>
      <c r="C524" t="s">
        <v>260</v>
      </c>
      <c r="D524" s="160">
        <v>91781</v>
      </c>
      <c r="G524" s="4"/>
      <c r="H524" s="4"/>
      <c r="I524">
        <v>2023</v>
      </c>
      <c r="J524">
        <v>10</v>
      </c>
      <c r="K524" s="4" t="s">
        <v>600</v>
      </c>
      <c r="L524" t="s">
        <v>89</v>
      </c>
      <c r="N524" t="s">
        <v>89</v>
      </c>
      <c r="O524" t="s">
        <v>9</v>
      </c>
      <c r="P524" t="s">
        <v>262</v>
      </c>
    </row>
    <row r="525" spans="1:16" hidden="1">
      <c r="A525" t="s">
        <v>54</v>
      </c>
      <c r="B525" s="1">
        <v>4590014651</v>
      </c>
      <c r="C525" t="s">
        <v>605</v>
      </c>
      <c r="D525" s="160">
        <v>260019</v>
      </c>
      <c r="F525" t="s">
        <v>606</v>
      </c>
      <c r="G525" s="4"/>
      <c r="H525" s="4"/>
      <c r="I525">
        <v>2023</v>
      </c>
      <c r="J525">
        <v>12</v>
      </c>
      <c r="K525" s="4" t="s">
        <v>522</v>
      </c>
      <c r="L525" t="s">
        <v>95</v>
      </c>
      <c r="M525" t="s">
        <v>607</v>
      </c>
      <c r="N525" t="s">
        <v>608</v>
      </c>
      <c r="O525" t="s">
        <v>8</v>
      </c>
      <c r="P525" t="s">
        <v>300</v>
      </c>
    </row>
    <row r="526" spans="1:16" hidden="1">
      <c r="A526" t="s">
        <v>86</v>
      </c>
      <c r="B526" s="1">
        <v>4590010418</v>
      </c>
      <c r="C526" t="s">
        <v>488</v>
      </c>
      <c r="D526" s="160">
        <v>12210.86</v>
      </c>
      <c r="G526" s="4"/>
      <c r="H526" s="4"/>
      <c r="I526">
        <v>2023</v>
      </c>
      <c r="J526">
        <v>10</v>
      </c>
      <c r="K526" s="4" t="s">
        <v>600</v>
      </c>
      <c r="L526" t="s">
        <v>89</v>
      </c>
      <c r="N526" t="s">
        <v>89</v>
      </c>
      <c r="O526" t="s">
        <v>10</v>
      </c>
      <c r="P526" t="s">
        <v>222</v>
      </c>
    </row>
    <row r="527" spans="1:16" hidden="1">
      <c r="A527" t="s">
        <v>86</v>
      </c>
      <c r="B527" s="1">
        <v>4590012923</v>
      </c>
      <c r="C527" t="s">
        <v>609</v>
      </c>
      <c r="D527" s="160">
        <v>95964</v>
      </c>
      <c r="F527" t="s">
        <v>610</v>
      </c>
      <c r="G527" s="4">
        <v>45225</v>
      </c>
      <c r="H527" s="4"/>
      <c r="I527">
        <v>2023</v>
      </c>
      <c r="J527">
        <v>10</v>
      </c>
      <c r="K527" s="4" t="s">
        <v>600</v>
      </c>
      <c r="L527" t="s">
        <v>89</v>
      </c>
      <c r="N527" t="s">
        <v>89</v>
      </c>
      <c r="O527" t="s">
        <v>12</v>
      </c>
      <c r="P527" t="s">
        <v>434</v>
      </c>
    </row>
    <row r="528" spans="1:16" hidden="1">
      <c r="A528" t="s">
        <v>86</v>
      </c>
      <c r="B528" s="1">
        <v>4590013431</v>
      </c>
      <c r="C528" t="s">
        <v>611</v>
      </c>
      <c r="D528" s="160">
        <v>27027.71</v>
      </c>
      <c r="G528" s="4"/>
      <c r="H528" s="4"/>
      <c r="I528">
        <v>2023</v>
      </c>
      <c r="J528">
        <v>10</v>
      </c>
      <c r="K528" s="4" t="s">
        <v>600</v>
      </c>
      <c r="L528" t="s">
        <v>89</v>
      </c>
      <c r="N528" t="s">
        <v>89</v>
      </c>
      <c r="O528" t="s">
        <v>9</v>
      </c>
      <c r="P528" t="s">
        <v>300</v>
      </c>
    </row>
    <row r="529" spans="1:16" hidden="1">
      <c r="A529" t="s">
        <v>86</v>
      </c>
      <c r="B529" s="1">
        <v>4590013572</v>
      </c>
      <c r="C529" t="s">
        <v>612</v>
      </c>
      <c r="D529" s="160">
        <v>256705.9</v>
      </c>
      <c r="G529" s="4"/>
      <c r="H529" s="4"/>
      <c r="I529">
        <v>2023</v>
      </c>
      <c r="J529">
        <v>10</v>
      </c>
      <c r="K529" s="4" t="s">
        <v>600</v>
      </c>
      <c r="L529" t="s">
        <v>89</v>
      </c>
      <c r="N529" t="s">
        <v>89</v>
      </c>
      <c r="O529" t="s">
        <v>9</v>
      </c>
      <c r="P529" t="s">
        <v>613</v>
      </c>
    </row>
    <row r="530" spans="1:16" hidden="1">
      <c r="A530" t="s">
        <v>86</v>
      </c>
      <c r="B530" s="1">
        <v>4590013806</v>
      </c>
      <c r="C530" t="s">
        <v>614</v>
      </c>
      <c r="D530" s="160">
        <v>661674</v>
      </c>
      <c r="G530" s="4"/>
      <c r="H530" s="4"/>
      <c r="I530">
        <v>2023</v>
      </c>
      <c r="J530">
        <v>10</v>
      </c>
      <c r="K530" s="4" t="s">
        <v>600</v>
      </c>
      <c r="L530" t="s">
        <v>89</v>
      </c>
      <c r="N530" t="s">
        <v>89</v>
      </c>
      <c r="O530" t="s">
        <v>9</v>
      </c>
      <c r="P530" t="s">
        <v>613</v>
      </c>
    </row>
    <row r="531" spans="1:16" hidden="1">
      <c r="A531" t="s">
        <v>86</v>
      </c>
      <c r="B531" s="1">
        <v>4590013807</v>
      </c>
      <c r="C531" t="s">
        <v>615</v>
      </c>
      <c r="D531" s="160">
        <v>1313687.25</v>
      </c>
      <c r="G531" s="4"/>
      <c r="H531" s="4"/>
      <c r="I531">
        <v>2023</v>
      </c>
      <c r="J531">
        <v>10</v>
      </c>
      <c r="K531" s="4" t="s">
        <v>600</v>
      </c>
      <c r="L531" t="s">
        <v>89</v>
      </c>
      <c r="N531" t="s">
        <v>89</v>
      </c>
      <c r="O531" t="s">
        <v>9</v>
      </c>
      <c r="P531" t="s">
        <v>613</v>
      </c>
    </row>
    <row r="532" spans="1:16" hidden="1">
      <c r="A532" t="s">
        <v>86</v>
      </c>
      <c r="B532" s="1">
        <v>4590013808</v>
      </c>
      <c r="C532" t="s">
        <v>616</v>
      </c>
      <c r="D532" s="160">
        <v>104910</v>
      </c>
      <c r="G532" s="4"/>
      <c r="H532" s="4"/>
      <c r="I532">
        <v>2023</v>
      </c>
      <c r="J532">
        <v>10</v>
      </c>
      <c r="K532" s="4" t="s">
        <v>600</v>
      </c>
      <c r="L532" t="s">
        <v>89</v>
      </c>
      <c r="N532" t="s">
        <v>89</v>
      </c>
      <c r="O532" t="s">
        <v>9</v>
      </c>
      <c r="P532" t="s">
        <v>613</v>
      </c>
    </row>
    <row r="533" spans="1:16" hidden="1">
      <c r="A533" t="s">
        <v>86</v>
      </c>
      <c r="B533" s="1">
        <v>4590013809</v>
      </c>
      <c r="C533" t="s">
        <v>617</v>
      </c>
      <c r="D533" s="160">
        <v>7083604.0199999996</v>
      </c>
      <c r="G533" s="4"/>
      <c r="H533" s="4"/>
      <c r="I533">
        <v>2023</v>
      </c>
      <c r="J533">
        <v>10</v>
      </c>
      <c r="K533" s="4" t="s">
        <v>600</v>
      </c>
      <c r="L533" t="s">
        <v>89</v>
      </c>
      <c r="N533" t="s">
        <v>89</v>
      </c>
      <c r="O533" t="s">
        <v>9</v>
      </c>
      <c r="P533" t="s">
        <v>613</v>
      </c>
    </row>
    <row r="534" spans="1:16" hidden="1">
      <c r="A534" t="s">
        <v>86</v>
      </c>
      <c r="B534" s="1">
        <v>4590013810</v>
      </c>
      <c r="C534" t="s">
        <v>618</v>
      </c>
      <c r="D534" s="160">
        <v>5008794.91</v>
      </c>
      <c r="G534" s="4"/>
      <c r="H534" s="4"/>
      <c r="I534">
        <v>2023</v>
      </c>
      <c r="J534">
        <v>10</v>
      </c>
      <c r="K534" s="4" t="s">
        <v>600</v>
      </c>
      <c r="L534" t="s">
        <v>89</v>
      </c>
      <c r="N534" t="s">
        <v>89</v>
      </c>
      <c r="O534" t="s">
        <v>9</v>
      </c>
      <c r="P534" t="s">
        <v>613</v>
      </c>
    </row>
    <row r="535" spans="1:16" hidden="1">
      <c r="A535" t="s">
        <v>86</v>
      </c>
      <c r="B535" s="1">
        <v>4590013811</v>
      </c>
      <c r="C535" t="s">
        <v>619</v>
      </c>
      <c r="D535" s="160">
        <v>577980.02</v>
      </c>
      <c r="G535" s="4"/>
      <c r="H535" s="4"/>
      <c r="I535">
        <v>2023</v>
      </c>
      <c r="J535">
        <v>10</v>
      </c>
      <c r="K535" s="4" t="s">
        <v>600</v>
      </c>
      <c r="L535" t="s">
        <v>89</v>
      </c>
      <c r="N535" t="s">
        <v>89</v>
      </c>
      <c r="O535" t="s">
        <v>9</v>
      </c>
      <c r="P535" t="s">
        <v>613</v>
      </c>
    </row>
    <row r="536" spans="1:16" hidden="1">
      <c r="A536" t="s">
        <v>126</v>
      </c>
      <c r="B536" s="1" t="s">
        <v>127</v>
      </c>
      <c r="C536" t="s">
        <v>128</v>
      </c>
      <c r="D536" s="160">
        <v>1248187</v>
      </c>
      <c r="G536" s="4"/>
      <c r="H536" s="4"/>
      <c r="I536">
        <v>2023</v>
      </c>
      <c r="J536">
        <v>10</v>
      </c>
      <c r="K536" s="4" t="s">
        <v>600</v>
      </c>
      <c r="L536" t="s">
        <v>89</v>
      </c>
      <c r="N536" t="s">
        <v>89</v>
      </c>
      <c r="O536" t="s">
        <v>9</v>
      </c>
      <c r="P536" t="s">
        <v>129</v>
      </c>
    </row>
    <row r="537" spans="1:16" hidden="1">
      <c r="A537" t="s">
        <v>126</v>
      </c>
      <c r="B537" s="1" t="s">
        <v>130</v>
      </c>
      <c r="C537" t="s">
        <v>131</v>
      </c>
      <c r="D537" s="160">
        <v>945765</v>
      </c>
      <c r="G537" s="4"/>
      <c r="H537" s="4"/>
      <c r="I537">
        <v>2023</v>
      </c>
      <c r="J537">
        <v>10</v>
      </c>
      <c r="K537" s="4" t="s">
        <v>600</v>
      </c>
      <c r="L537" t="s">
        <v>89</v>
      </c>
      <c r="N537" t="s">
        <v>89</v>
      </c>
      <c r="O537" t="s">
        <v>9</v>
      </c>
      <c r="P537" t="s">
        <v>129</v>
      </c>
    </row>
    <row r="538" spans="1:16" hidden="1">
      <c r="A538" t="s">
        <v>102</v>
      </c>
      <c r="B538" s="1" t="s">
        <v>338</v>
      </c>
      <c r="C538" t="s">
        <v>339</v>
      </c>
      <c r="D538" s="160">
        <v>40931</v>
      </c>
      <c r="G538" s="4"/>
      <c r="H538" s="4"/>
      <c r="I538">
        <v>2023</v>
      </c>
      <c r="J538">
        <v>10</v>
      </c>
      <c r="K538" s="4" t="s">
        <v>600</v>
      </c>
      <c r="L538" t="s">
        <v>89</v>
      </c>
      <c r="N538" t="s">
        <v>89</v>
      </c>
      <c r="O538" t="s">
        <v>11</v>
      </c>
      <c r="P538" t="s">
        <v>120</v>
      </c>
    </row>
    <row r="539" spans="1:16" hidden="1">
      <c r="A539" t="s">
        <v>275</v>
      </c>
      <c r="B539" s="1" t="s">
        <v>305</v>
      </c>
      <c r="C539" t="s">
        <v>306</v>
      </c>
      <c r="D539" s="160">
        <v>1852533.56</v>
      </c>
      <c r="G539" s="4"/>
      <c r="H539" s="4"/>
      <c r="I539">
        <v>2023</v>
      </c>
      <c r="J539">
        <v>10</v>
      </c>
      <c r="K539" s="4" t="s">
        <v>600</v>
      </c>
      <c r="L539" t="s">
        <v>89</v>
      </c>
      <c r="N539" t="s">
        <v>89</v>
      </c>
      <c r="O539" t="s">
        <v>15</v>
      </c>
      <c r="P539" t="s">
        <v>278</v>
      </c>
    </row>
    <row r="540" spans="1:16" hidden="1">
      <c r="A540" t="s">
        <v>394</v>
      </c>
      <c r="B540" s="1" t="s">
        <v>502</v>
      </c>
      <c r="C540" t="s">
        <v>503</v>
      </c>
      <c r="D540" s="160">
        <v>1994686.39</v>
      </c>
      <c r="G540" s="4"/>
      <c r="H540" s="4"/>
      <c r="I540">
        <v>2023</v>
      </c>
      <c r="J540">
        <v>10</v>
      </c>
      <c r="K540" s="4" t="s">
        <v>600</v>
      </c>
      <c r="L540" t="s">
        <v>89</v>
      </c>
      <c r="N540" t="s">
        <v>89</v>
      </c>
      <c r="O540" t="s">
        <v>13</v>
      </c>
      <c r="P540" t="s">
        <v>361</v>
      </c>
    </row>
    <row r="541" spans="1:16" hidden="1">
      <c r="A541" t="s">
        <v>86</v>
      </c>
      <c r="B541" s="1">
        <v>4590004044</v>
      </c>
      <c r="C541" t="s">
        <v>250</v>
      </c>
      <c r="D541" s="160">
        <v>1017000</v>
      </c>
      <c r="F541" t="s">
        <v>620</v>
      </c>
      <c r="G541" s="4">
        <v>45436</v>
      </c>
      <c r="H541" s="4">
        <v>45436</v>
      </c>
      <c r="I541">
        <v>2024</v>
      </c>
      <c r="J541">
        <v>5</v>
      </c>
      <c r="K541" s="4" t="s">
        <v>621</v>
      </c>
      <c r="L541" t="s">
        <v>89</v>
      </c>
      <c r="M541" t="s">
        <v>492</v>
      </c>
      <c r="N541" t="s">
        <v>89</v>
      </c>
      <c r="O541" t="s">
        <v>8</v>
      </c>
      <c r="P541" t="s">
        <v>252</v>
      </c>
    </row>
    <row r="542" spans="1:16" hidden="1">
      <c r="A542" t="s">
        <v>405</v>
      </c>
      <c r="B542" s="1" t="s">
        <v>406</v>
      </c>
      <c r="C542" t="s">
        <v>407</v>
      </c>
      <c r="D542" s="160">
        <v>6456886.2000000002</v>
      </c>
      <c r="G542" s="4"/>
      <c r="H542" s="4"/>
      <c r="I542">
        <v>2023</v>
      </c>
      <c r="J542">
        <v>10</v>
      </c>
      <c r="K542" s="4" t="s">
        <v>600</v>
      </c>
      <c r="L542" t="s">
        <v>89</v>
      </c>
      <c r="N542" t="s">
        <v>89</v>
      </c>
      <c r="O542" t="s">
        <v>8</v>
      </c>
      <c r="P542" t="s">
        <v>408</v>
      </c>
    </row>
    <row r="543" spans="1:16" hidden="1">
      <c r="A543" t="s">
        <v>622</v>
      </c>
      <c r="B543" s="1" t="s">
        <v>623</v>
      </c>
      <c r="C543" t="s">
        <v>624</v>
      </c>
      <c r="D543" s="160">
        <v>55438</v>
      </c>
      <c r="G543" s="4"/>
      <c r="H543" s="4"/>
      <c r="I543">
        <v>2023</v>
      </c>
      <c r="J543">
        <v>10</v>
      </c>
      <c r="K543" s="4" t="s">
        <v>600</v>
      </c>
      <c r="L543" t="s">
        <v>625</v>
      </c>
      <c r="M543" t="s">
        <v>626</v>
      </c>
      <c r="N543" t="s">
        <v>627</v>
      </c>
      <c r="O543" t="s">
        <v>18</v>
      </c>
      <c r="P543" t="s">
        <v>628</v>
      </c>
    </row>
    <row r="544" spans="1:16" hidden="1">
      <c r="A544" t="s">
        <v>102</v>
      </c>
      <c r="B544" s="1">
        <v>4503290109</v>
      </c>
      <c r="C544" t="s">
        <v>103</v>
      </c>
      <c r="D544" s="160">
        <v>2266418</v>
      </c>
      <c r="G544" s="4"/>
      <c r="H544" s="4"/>
      <c r="I544">
        <v>2023</v>
      </c>
      <c r="J544">
        <v>11</v>
      </c>
      <c r="K544" s="4" t="s">
        <v>457</v>
      </c>
      <c r="L544" t="s">
        <v>89</v>
      </c>
      <c r="N544" t="s">
        <v>89</v>
      </c>
      <c r="O544" t="s">
        <v>9</v>
      </c>
      <c r="P544" t="s">
        <v>104</v>
      </c>
    </row>
    <row r="545" spans="1:16" hidden="1">
      <c r="A545" t="s">
        <v>116</v>
      </c>
      <c r="B545" s="1">
        <v>4503428513</v>
      </c>
      <c r="C545" t="s">
        <v>117</v>
      </c>
      <c r="D545" s="160">
        <v>274002</v>
      </c>
      <c r="G545" s="4"/>
      <c r="H545" s="4"/>
      <c r="I545">
        <v>2023</v>
      </c>
      <c r="J545">
        <v>11</v>
      </c>
      <c r="K545" s="4" t="s">
        <v>457</v>
      </c>
      <c r="L545" t="s">
        <v>89</v>
      </c>
      <c r="N545" t="s">
        <v>89</v>
      </c>
      <c r="O545" t="s">
        <v>9</v>
      </c>
      <c r="P545" t="s">
        <v>118</v>
      </c>
    </row>
    <row r="546" spans="1:16" hidden="1">
      <c r="A546" t="s">
        <v>102</v>
      </c>
      <c r="B546" s="1">
        <v>4503432118</v>
      </c>
      <c r="C546" t="s">
        <v>119</v>
      </c>
      <c r="D546" s="160">
        <v>2076652</v>
      </c>
      <c r="G546" s="4"/>
      <c r="H546" s="4"/>
      <c r="I546">
        <v>2023</v>
      </c>
      <c r="J546">
        <v>11</v>
      </c>
      <c r="K546" s="4" t="s">
        <v>457</v>
      </c>
      <c r="L546" t="s">
        <v>89</v>
      </c>
      <c r="N546" t="s">
        <v>89</v>
      </c>
      <c r="O546" t="s">
        <v>9</v>
      </c>
      <c r="P546" t="s">
        <v>120</v>
      </c>
    </row>
    <row r="547" spans="1:16" hidden="1">
      <c r="A547" t="s">
        <v>102</v>
      </c>
      <c r="B547" s="1">
        <v>4503432152</v>
      </c>
      <c r="C547" t="s">
        <v>121</v>
      </c>
      <c r="D547" s="160">
        <v>156441</v>
      </c>
      <c r="G547" s="4"/>
      <c r="H547" s="4"/>
      <c r="I547">
        <v>2023</v>
      </c>
      <c r="J547">
        <v>11</v>
      </c>
      <c r="K547" s="4" t="s">
        <v>457</v>
      </c>
      <c r="L547" t="s">
        <v>89</v>
      </c>
      <c r="N547" t="s">
        <v>89</v>
      </c>
      <c r="O547" t="s">
        <v>9</v>
      </c>
      <c r="P547" t="s">
        <v>122</v>
      </c>
    </row>
    <row r="548" spans="1:16" hidden="1">
      <c r="A548" t="s">
        <v>139</v>
      </c>
      <c r="B548" s="1">
        <v>4503441102</v>
      </c>
      <c r="C548" t="s">
        <v>140</v>
      </c>
      <c r="D548" s="160">
        <v>225390</v>
      </c>
      <c r="E548">
        <v>12599</v>
      </c>
      <c r="G548" s="4"/>
      <c r="H548" s="4"/>
      <c r="I548">
        <v>2023</v>
      </c>
      <c r="J548">
        <v>11</v>
      </c>
      <c r="K548" s="4" t="s">
        <v>457</v>
      </c>
      <c r="L548" t="s">
        <v>89</v>
      </c>
      <c r="N548" t="s">
        <v>89</v>
      </c>
      <c r="O548" t="s">
        <v>9</v>
      </c>
      <c r="P548" t="s">
        <v>141</v>
      </c>
    </row>
    <row r="549" spans="1:16" hidden="1">
      <c r="A549" t="s">
        <v>102</v>
      </c>
      <c r="B549" s="1">
        <v>4503489979</v>
      </c>
      <c r="C549" t="s">
        <v>144</v>
      </c>
      <c r="D549" s="160">
        <v>60193</v>
      </c>
      <c r="G549" s="4"/>
      <c r="H549" s="4"/>
      <c r="I549">
        <v>2023</v>
      </c>
      <c r="J549">
        <v>11</v>
      </c>
      <c r="K549" s="4" t="s">
        <v>457</v>
      </c>
      <c r="L549" t="s">
        <v>89</v>
      </c>
      <c r="N549" t="s">
        <v>89</v>
      </c>
      <c r="O549" t="s">
        <v>9</v>
      </c>
      <c r="P549" t="s">
        <v>145</v>
      </c>
    </row>
    <row r="550" spans="1:16" hidden="1">
      <c r="A550" t="s">
        <v>629</v>
      </c>
      <c r="B550" s="1">
        <v>4590002149</v>
      </c>
      <c r="C550" t="s">
        <v>289</v>
      </c>
      <c r="D550" s="160">
        <v>234034</v>
      </c>
      <c r="F550" t="s">
        <v>630</v>
      </c>
      <c r="G550" s="4">
        <v>45100</v>
      </c>
      <c r="H550" s="4"/>
      <c r="I550">
        <v>2023</v>
      </c>
      <c r="J550">
        <v>11</v>
      </c>
      <c r="K550" s="4" t="s">
        <v>457</v>
      </c>
      <c r="L550" t="s">
        <v>89</v>
      </c>
      <c r="M550" t="s">
        <v>631</v>
      </c>
      <c r="N550" t="s">
        <v>89</v>
      </c>
      <c r="O550" t="s">
        <v>13</v>
      </c>
      <c r="P550" t="s">
        <v>291</v>
      </c>
    </row>
    <row r="551" spans="1:16" hidden="1">
      <c r="A551" t="s">
        <v>139</v>
      </c>
      <c r="B551" s="1">
        <v>4590002291</v>
      </c>
      <c r="C551" t="s">
        <v>632</v>
      </c>
      <c r="D551" s="160">
        <v>23331.42</v>
      </c>
      <c r="E551">
        <v>1304.23</v>
      </c>
      <c r="F551" t="s">
        <v>633</v>
      </c>
      <c r="G551" s="4"/>
      <c r="H551" s="4"/>
      <c r="I551">
        <v>2023</v>
      </c>
      <c r="J551">
        <v>11</v>
      </c>
      <c r="K551" s="4" t="s">
        <v>457</v>
      </c>
      <c r="L551" t="s">
        <v>89</v>
      </c>
      <c r="N551" t="s">
        <v>89</v>
      </c>
      <c r="O551" t="s">
        <v>11</v>
      </c>
      <c r="P551" t="s">
        <v>584</v>
      </c>
    </row>
    <row r="552" spans="1:16" hidden="1">
      <c r="A552" t="s">
        <v>634</v>
      </c>
      <c r="B552" s="1">
        <v>4590003997</v>
      </c>
      <c r="C552" t="s">
        <v>635</v>
      </c>
      <c r="D552" s="160">
        <v>48335.76</v>
      </c>
      <c r="G552" s="4"/>
      <c r="H552" s="4"/>
      <c r="I552">
        <v>2023</v>
      </c>
      <c r="J552">
        <v>11</v>
      </c>
      <c r="K552" s="4" t="s">
        <v>457</v>
      </c>
      <c r="L552" t="s">
        <v>89</v>
      </c>
      <c r="N552" t="s">
        <v>89</v>
      </c>
      <c r="O552" t="s">
        <v>11</v>
      </c>
      <c r="P552" t="s">
        <v>584</v>
      </c>
    </row>
    <row r="553" spans="1:16" hidden="1">
      <c r="A553" t="s">
        <v>116</v>
      </c>
      <c r="B553" s="1">
        <v>4590004281</v>
      </c>
      <c r="C553" t="s">
        <v>423</v>
      </c>
      <c r="D553" s="160">
        <v>51392</v>
      </c>
      <c r="G553" s="4"/>
      <c r="H553" s="4"/>
      <c r="I553">
        <v>2023</v>
      </c>
      <c r="J553">
        <v>11</v>
      </c>
      <c r="K553" s="4" t="s">
        <v>457</v>
      </c>
      <c r="L553" t="s">
        <v>89</v>
      </c>
      <c r="N553" t="s">
        <v>89</v>
      </c>
      <c r="O553" t="s">
        <v>11</v>
      </c>
      <c r="P553" t="s">
        <v>425</v>
      </c>
    </row>
    <row r="554" spans="1:16" hidden="1">
      <c r="A554" t="s">
        <v>102</v>
      </c>
      <c r="B554" s="1">
        <v>4590004971</v>
      </c>
      <c r="C554" t="s">
        <v>253</v>
      </c>
      <c r="D554" s="160">
        <v>72341</v>
      </c>
      <c r="G554" s="4"/>
      <c r="H554" s="4"/>
      <c r="I554">
        <v>2023</v>
      </c>
      <c r="J554">
        <v>11</v>
      </c>
      <c r="K554" s="4" t="s">
        <v>457</v>
      </c>
      <c r="L554" t="s">
        <v>89</v>
      </c>
      <c r="N554" t="s">
        <v>89</v>
      </c>
      <c r="O554" t="s">
        <v>9</v>
      </c>
      <c r="P554" t="s">
        <v>120</v>
      </c>
    </row>
    <row r="555" spans="1:16" hidden="1">
      <c r="A555" t="s">
        <v>265</v>
      </c>
      <c r="B555" s="1">
        <v>4590006750</v>
      </c>
      <c r="C555" t="s">
        <v>266</v>
      </c>
      <c r="D555" s="160">
        <v>548984</v>
      </c>
      <c r="F555" t="s">
        <v>636</v>
      </c>
      <c r="G555" s="4">
        <v>45315</v>
      </c>
      <c r="H555" s="4">
        <v>45317</v>
      </c>
      <c r="I555">
        <v>2024</v>
      </c>
      <c r="J555">
        <v>1</v>
      </c>
      <c r="K555" s="4" t="s">
        <v>637</v>
      </c>
      <c r="L555" t="s">
        <v>95</v>
      </c>
      <c r="M555" t="s">
        <v>638</v>
      </c>
      <c r="N555" t="s">
        <v>639</v>
      </c>
      <c r="O555" t="s">
        <v>8</v>
      </c>
      <c r="P555" t="s">
        <v>268</v>
      </c>
    </row>
    <row r="556" spans="1:16" hidden="1">
      <c r="A556" t="s">
        <v>454</v>
      </c>
      <c r="B556" s="1">
        <v>4590006814</v>
      </c>
      <c r="C556" t="s">
        <v>455</v>
      </c>
      <c r="D556" s="160">
        <v>14128</v>
      </c>
      <c r="F556" t="s">
        <v>640</v>
      </c>
      <c r="G556" s="4">
        <v>45317</v>
      </c>
      <c r="H556" s="4">
        <v>45318</v>
      </c>
      <c r="I556">
        <v>2024</v>
      </c>
      <c r="J556">
        <v>1</v>
      </c>
      <c r="K556" s="4" t="s">
        <v>637</v>
      </c>
      <c r="L556" t="s">
        <v>95</v>
      </c>
      <c r="M556" t="s">
        <v>641</v>
      </c>
      <c r="N556" t="s">
        <v>642</v>
      </c>
      <c r="O556" t="s">
        <v>8</v>
      </c>
      <c r="P556" t="s">
        <v>300</v>
      </c>
    </row>
    <row r="557" spans="1:16" hidden="1">
      <c r="A557" t="s">
        <v>102</v>
      </c>
      <c r="B557" s="1">
        <v>4590006189</v>
      </c>
      <c r="C557" t="s">
        <v>260</v>
      </c>
      <c r="D557" s="160">
        <v>118993</v>
      </c>
      <c r="G557" s="4"/>
      <c r="H557" s="4"/>
      <c r="I557">
        <v>2023</v>
      </c>
      <c r="J557">
        <v>11</v>
      </c>
      <c r="K557" s="4" t="s">
        <v>457</v>
      </c>
      <c r="L557" t="s">
        <v>89</v>
      </c>
      <c r="N557" t="s">
        <v>89</v>
      </c>
      <c r="O557" t="s">
        <v>9</v>
      </c>
      <c r="P557" t="s">
        <v>262</v>
      </c>
    </row>
    <row r="558" spans="1:16" hidden="1">
      <c r="A558" t="s">
        <v>643</v>
      </c>
      <c r="B558" s="1">
        <v>4590006628</v>
      </c>
      <c r="C558" t="s">
        <v>644</v>
      </c>
      <c r="D558" s="160">
        <v>33419.730000000003</v>
      </c>
      <c r="E558">
        <v>1868.16</v>
      </c>
      <c r="F558" t="s">
        <v>645</v>
      </c>
      <c r="G558" s="4"/>
      <c r="H558" s="4"/>
      <c r="I558">
        <v>2023</v>
      </c>
      <c r="J558">
        <v>11</v>
      </c>
      <c r="K558" s="4" t="s">
        <v>457</v>
      </c>
      <c r="L558" t="s">
        <v>89</v>
      </c>
      <c r="N558" t="s">
        <v>89</v>
      </c>
      <c r="O558" t="s">
        <v>12</v>
      </c>
      <c r="P558" t="s">
        <v>584</v>
      </c>
    </row>
    <row r="559" spans="1:16" hidden="1">
      <c r="A559" t="s">
        <v>643</v>
      </c>
      <c r="B559" s="1">
        <v>4590006629</v>
      </c>
      <c r="C559" t="s">
        <v>646</v>
      </c>
      <c r="D559" s="160">
        <v>10901.21</v>
      </c>
      <c r="E559">
        <v>609.38</v>
      </c>
      <c r="F559" t="s">
        <v>647</v>
      </c>
      <c r="G559" s="4"/>
      <c r="H559" s="4"/>
      <c r="I559">
        <v>2023</v>
      </c>
      <c r="J559">
        <v>11</v>
      </c>
      <c r="K559" s="4" t="s">
        <v>457</v>
      </c>
      <c r="L559" t="s">
        <v>89</v>
      </c>
      <c r="N559" t="s">
        <v>89</v>
      </c>
      <c r="O559" t="s">
        <v>12</v>
      </c>
      <c r="P559" t="s">
        <v>584</v>
      </c>
    </row>
    <row r="560" spans="1:16" hidden="1">
      <c r="A560" t="s">
        <v>325</v>
      </c>
      <c r="B560" s="1" t="s">
        <v>326</v>
      </c>
      <c r="C560" t="s">
        <v>648</v>
      </c>
      <c r="D560" s="160">
        <v>171952.85</v>
      </c>
      <c r="F560" t="s">
        <v>649</v>
      </c>
      <c r="G560" s="4"/>
      <c r="H560" s="4"/>
      <c r="I560">
        <v>2023</v>
      </c>
      <c r="J560">
        <v>10</v>
      </c>
      <c r="K560" s="4" t="s">
        <v>600</v>
      </c>
      <c r="L560" t="s">
        <v>329</v>
      </c>
      <c r="M560" t="s">
        <v>330</v>
      </c>
      <c r="N560" t="s">
        <v>627</v>
      </c>
      <c r="O560" t="s">
        <v>18</v>
      </c>
      <c r="P560" t="s">
        <v>332</v>
      </c>
    </row>
    <row r="561" spans="1:16" hidden="1">
      <c r="A561" t="s">
        <v>139</v>
      </c>
      <c r="B561" s="1">
        <v>4590008115</v>
      </c>
      <c r="C561" t="s">
        <v>650</v>
      </c>
      <c r="D561" s="160">
        <v>69266</v>
      </c>
      <c r="E561">
        <v>3872</v>
      </c>
      <c r="F561" t="s">
        <v>651</v>
      </c>
      <c r="G561" s="4"/>
      <c r="H561" s="4"/>
      <c r="I561">
        <v>2023</v>
      </c>
      <c r="J561">
        <v>11</v>
      </c>
      <c r="K561" s="4" t="s">
        <v>457</v>
      </c>
      <c r="L561" t="s">
        <v>89</v>
      </c>
      <c r="N561" t="s">
        <v>89</v>
      </c>
      <c r="O561" t="s">
        <v>10</v>
      </c>
      <c r="P561" t="s">
        <v>584</v>
      </c>
    </row>
    <row r="562" spans="1:16" hidden="1">
      <c r="A562" t="s">
        <v>139</v>
      </c>
      <c r="B562" s="1">
        <v>4590008116</v>
      </c>
      <c r="C562" t="s">
        <v>652</v>
      </c>
      <c r="D562" s="160">
        <v>55726</v>
      </c>
      <c r="E562">
        <v>3115</v>
      </c>
      <c r="F562" t="s">
        <v>653</v>
      </c>
      <c r="G562" s="4"/>
      <c r="H562" s="4"/>
      <c r="I562">
        <v>2023</v>
      </c>
      <c r="J562">
        <v>11</v>
      </c>
      <c r="K562" s="4" t="s">
        <v>457</v>
      </c>
      <c r="L562" t="s">
        <v>89</v>
      </c>
      <c r="N562" t="s">
        <v>89</v>
      </c>
      <c r="O562" t="s">
        <v>10</v>
      </c>
      <c r="P562" t="s">
        <v>584</v>
      </c>
    </row>
    <row r="563" spans="1:16" hidden="1">
      <c r="A563" t="s">
        <v>654</v>
      </c>
      <c r="B563" s="1">
        <v>4590008170</v>
      </c>
      <c r="C563" t="s">
        <v>655</v>
      </c>
      <c r="D563" s="160">
        <v>14852</v>
      </c>
      <c r="G563" s="4"/>
      <c r="H563" s="4"/>
      <c r="I563">
        <v>2023</v>
      </c>
      <c r="J563">
        <v>11</v>
      </c>
      <c r="K563" s="4" t="s">
        <v>457</v>
      </c>
      <c r="L563" t="s">
        <v>89</v>
      </c>
      <c r="N563" t="s">
        <v>89</v>
      </c>
      <c r="O563" t="s">
        <v>9</v>
      </c>
      <c r="P563" t="s">
        <v>425</v>
      </c>
    </row>
    <row r="564" spans="1:16" hidden="1">
      <c r="A564" t="s">
        <v>102</v>
      </c>
      <c r="B564" s="1">
        <v>4590009036</v>
      </c>
      <c r="C564" t="s">
        <v>362</v>
      </c>
      <c r="D564" s="160">
        <v>33959</v>
      </c>
      <c r="G564" s="4"/>
      <c r="H564" s="4"/>
      <c r="I564">
        <v>2023</v>
      </c>
      <c r="J564">
        <v>11</v>
      </c>
      <c r="K564" s="4" t="s">
        <v>457</v>
      </c>
      <c r="L564" t="s">
        <v>89</v>
      </c>
      <c r="N564" t="s">
        <v>89</v>
      </c>
      <c r="O564" t="s">
        <v>9</v>
      </c>
      <c r="P564" t="s">
        <v>104</v>
      </c>
    </row>
    <row r="565" spans="1:16" hidden="1">
      <c r="A565" t="s">
        <v>394</v>
      </c>
      <c r="B565" s="1">
        <v>4590009466</v>
      </c>
      <c r="C565" t="s">
        <v>561</v>
      </c>
      <c r="D565" s="160">
        <v>650478</v>
      </c>
      <c r="G565" s="4"/>
      <c r="H565" s="4"/>
      <c r="I565">
        <v>2023</v>
      </c>
      <c r="J565">
        <v>11</v>
      </c>
      <c r="K565" s="4" t="s">
        <v>457</v>
      </c>
      <c r="L565" t="s">
        <v>89</v>
      </c>
      <c r="N565" t="s">
        <v>89</v>
      </c>
      <c r="O565" t="s">
        <v>13</v>
      </c>
      <c r="P565" t="s">
        <v>563</v>
      </c>
    </row>
    <row r="566" spans="1:16" hidden="1">
      <c r="A566" t="s">
        <v>102</v>
      </c>
      <c r="B566" s="1">
        <v>4590010557</v>
      </c>
      <c r="C566" t="s">
        <v>464</v>
      </c>
      <c r="D566" s="160">
        <v>108612</v>
      </c>
      <c r="G566" s="4"/>
      <c r="H566" s="4"/>
      <c r="I566">
        <v>2023</v>
      </c>
      <c r="J566">
        <v>11</v>
      </c>
      <c r="K566" s="4" t="s">
        <v>457</v>
      </c>
      <c r="L566" t="s">
        <v>89</v>
      </c>
      <c r="N566" t="s">
        <v>89</v>
      </c>
      <c r="O566" t="s">
        <v>9</v>
      </c>
      <c r="P566" t="s">
        <v>104</v>
      </c>
    </row>
    <row r="567" spans="1:16" hidden="1">
      <c r="A567" t="s">
        <v>656</v>
      </c>
      <c r="B567" s="1">
        <v>4590012687</v>
      </c>
      <c r="C567" t="s">
        <v>657</v>
      </c>
      <c r="D567" s="160">
        <v>84843.78</v>
      </c>
      <c r="G567" s="4"/>
      <c r="H567" s="4"/>
      <c r="I567">
        <v>2023</v>
      </c>
      <c r="J567">
        <v>11</v>
      </c>
      <c r="K567" s="4" t="s">
        <v>457</v>
      </c>
      <c r="L567" t="s">
        <v>89</v>
      </c>
      <c r="N567" t="s">
        <v>89</v>
      </c>
      <c r="O567" t="s">
        <v>9</v>
      </c>
      <c r="P567" t="s">
        <v>129</v>
      </c>
    </row>
    <row r="568" spans="1:16" hidden="1">
      <c r="A568" t="s">
        <v>86</v>
      </c>
      <c r="B568" s="1">
        <v>4590012982</v>
      </c>
      <c r="C568" t="s">
        <v>595</v>
      </c>
      <c r="D568" s="160">
        <v>19475</v>
      </c>
      <c r="G568" s="4"/>
      <c r="H568" s="4"/>
      <c r="I568">
        <v>2023</v>
      </c>
      <c r="J568">
        <v>11</v>
      </c>
      <c r="K568" s="4" t="s">
        <v>457</v>
      </c>
      <c r="L568" t="s">
        <v>89</v>
      </c>
      <c r="N568" t="s">
        <v>89</v>
      </c>
      <c r="O568" t="s">
        <v>9</v>
      </c>
      <c r="P568" t="s">
        <v>104</v>
      </c>
    </row>
    <row r="569" spans="1:16" hidden="1">
      <c r="A569" t="s">
        <v>86</v>
      </c>
      <c r="B569" s="1">
        <v>4590013060</v>
      </c>
      <c r="C569" t="s">
        <v>658</v>
      </c>
      <c r="D569" s="160">
        <v>76766.73</v>
      </c>
      <c r="G569" s="4"/>
      <c r="H569" s="4"/>
      <c r="I569">
        <v>2023</v>
      </c>
      <c r="J569">
        <v>11</v>
      </c>
      <c r="K569" s="4" t="s">
        <v>457</v>
      </c>
      <c r="L569" t="s">
        <v>89</v>
      </c>
      <c r="N569" t="s">
        <v>89</v>
      </c>
      <c r="O569" t="s">
        <v>12</v>
      </c>
      <c r="P569" t="s">
        <v>434</v>
      </c>
    </row>
    <row r="570" spans="1:16" hidden="1">
      <c r="A570" t="s">
        <v>86</v>
      </c>
      <c r="B570" s="1">
        <v>4590013061</v>
      </c>
      <c r="C570" t="s">
        <v>659</v>
      </c>
      <c r="D570" s="160">
        <v>115150.1</v>
      </c>
      <c r="F570" t="s">
        <v>660</v>
      </c>
      <c r="G570" s="4">
        <v>45264</v>
      </c>
      <c r="H570" s="4"/>
      <c r="I570">
        <v>2023</v>
      </c>
      <c r="J570">
        <v>11</v>
      </c>
      <c r="K570" s="4" t="s">
        <v>457</v>
      </c>
      <c r="L570" t="s">
        <v>89</v>
      </c>
      <c r="N570" t="s">
        <v>89</v>
      </c>
      <c r="O570" t="s">
        <v>12</v>
      </c>
      <c r="P570" t="s">
        <v>434</v>
      </c>
    </row>
    <row r="571" spans="1:16" hidden="1">
      <c r="A571" t="s">
        <v>86</v>
      </c>
      <c r="B571" s="1">
        <v>4590013062</v>
      </c>
      <c r="C571" t="s">
        <v>661</v>
      </c>
      <c r="D571" s="160">
        <v>93809.87</v>
      </c>
      <c r="F571" t="s">
        <v>662</v>
      </c>
      <c r="G571" s="4">
        <v>45264</v>
      </c>
      <c r="H571" s="4"/>
      <c r="I571">
        <v>2023</v>
      </c>
      <c r="J571">
        <v>11</v>
      </c>
      <c r="K571" s="4" t="s">
        <v>457</v>
      </c>
      <c r="L571" t="s">
        <v>89</v>
      </c>
      <c r="N571" t="s">
        <v>89</v>
      </c>
      <c r="O571" t="s">
        <v>12</v>
      </c>
      <c r="P571" t="s">
        <v>434</v>
      </c>
    </row>
    <row r="572" spans="1:16" hidden="1">
      <c r="A572" t="s">
        <v>86</v>
      </c>
      <c r="B572" s="1">
        <v>4590013063</v>
      </c>
      <c r="C572" t="s">
        <v>663</v>
      </c>
      <c r="D572" s="160">
        <v>93809.87</v>
      </c>
      <c r="G572" s="4"/>
      <c r="H572" s="4"/>
      <c r="I572">
        <v>2023</v>
      </c>
      <c r="J572">
        <v>11</v>
      </c>
      <c r="K572" s="4" t="s">
        <v>457</v>
      </c>
      <c r="L572" t="s">
        <v>89</v>
      </c>
      <c r="N572" t="s">
        <v>89</v>
      </c>
      <c r="O572" t="s">
        <v>12</v>
      </c>
      <c r="P572" t="s">
        <v>434</v>
      </c>
    </row>
    <row r="573" spans="1:16" hidden="1">
      <c r="A573" t="s">
        <v>102</v>
      </c>
      <c r="B573" s="1">
        <v>4590013482</v>
      </c>
      <c r="C573" t="s">
        <v>664</v>
      </c>
      <c r="D573" s="160">
        <v>20768</v>
      </c>
      <c r="G573" s="4"/>
      <c r="H573" s="4"/>
      <c r="I573">
        <v>2023</v>
      </c>
      <c r="J573">
        <v>11</v>
      </c>
      <c r="K573" s="4" t="s">
        <v>457</v>
      </c>
      <c r="L573" t="s">
        <v>89</v>
      </c>
      <c r="N573" t="s">
        <v>89</v>
      </c>
      <c r="O573" t="s">
        <v>9</v>
      </c>
      <c r="P573" t="s">
        <v>104</v>
      </c>
    </row>
    <row r="574" spans="1:16" hidden="1">
      <c r="A574" t="s">
        <v>86</v>
      </c>
      <c r="B574" s="1">
        <v>4590013603</v>
      </c>
      <c r="C574" t="s">
        <v>665</v>
      </c>
      <c r="D574" s="160">
        <v>182627.5</v>
      </c>
      <c r="F574" t="s">
        <v>666</v>
      </c>
      <c r="G574" s="4"/>
      <c r="H574" s="4"/>
      <c r="I574">
        <v>2023</v>
      </c>
      <c r="J574">
        <v>11</v>
      </c>
      <c r="K574" s="4" t="s">
        <v>457</v>
      </c>
      <c r="L574" t="s">
        <v>89</v>
      </c>
      <c r="N574" t="s">
        <v>89</v>
      </c>
      <c r="O574" t="s">
        <v>9</v>
      </c>
      <c r="P574" t="s">
        <v>104</v>
      </c>
    </row>
    <row r="575" spans="1:16" hidden="1">
      <c r="A575" t="s">
        <v>102</v>
      </c>
      <c r="B575" s="1">
        <v>4590013633</v>
      </c>
      <c r="C575" t="s">
        <v>667</v>
      </c>
      <c r="D575" s="160">
        <v>88274</v>
      </c>
      <c r="G575" s="4"/>
      <c r="H575" s="4"/>
      <c r="I575">
        <v>2023</v>
      </c>
      <c r="J575">
        <v>11</v>
      </c>
      <c r="K575" s="4" t="s">
        <v>457</v>
      </c>
      <c r="L575" t="s">
        <v>89</v>
      </c>
      <c r="N575" t="s">
        <v>89</v>
      </c>
      <c r="O575" t="s">
        <v>9</v>
      </c>
      <c r="P575" t="s">
        <v>104</v>
      </c>
    </row>
    <row r="576" spans="1:16" hidden="1">
      <c r="A576" t="s">
        <v>668</v>
      </c>
      <c r="B576" s="1">
        <v>4590013675</v>
      </c>
      <c r="C576" t="s">
        <v>669</v>
      </c>
      <c r="D576" s="160">
        <v>23101</v>
      </c>
      <c r="G576" s="4"/>
      <c r="H576" s="4"/>
      <c r="I576">
        <v>2023</v>
      </c>
      <c r="J576">
        <v>11</v>
      </c>
      <c r="K576" s="4" t="s">
        <v>457</v>
      </c>
      <c r="L576" t="s">
        <v>89</v>
      </c>
      <c r="N576" t="s">
        <v>89</v>
      </c>
      <c r="O576" t="s">
        <v>9</v>
      </c>
      <c r="P576" t="s">
        <v>129</v>
      </c>
    </row>
    <row r="577" spans="1:16" hidden="1">
      <c r="A577" t="s">
        <v>102</v>
      </c>
      <c r="B577" s="1">
        <v>4590013804</v>
      </c>
      <c r="C577" t="s">
        <v>670</v>
      </c>
      <c r="D577" s="160">
        <v>749171</v>
      </c>
      <c r="G577" s="4"/>
      <c r="H577" s="4"/>
      <c r="I577">
        <v>2023</v>
      </c>
      <c r="J577">
        <v>11</v>
      </c>
      <c r="K577" s="4" t="s">
        <v>457</v>
      </c>
      <c r="L577" t="s">
        <v>89</v>
      </c>
      <c r="N577" t="s">
        <v>89</v>
      </c>
      <c r="O577" t="s">
        <v>9</v>
      </c>
      <c r="P577" t="s">
        <v>120</v>
      </c>
    </row>
    <row r="578" spans="1:16" hidden="1">
      <c r="A578" t="s">
        <v>102</v>
      </c>
      <c r="B578" s="1">
        <v>4590013928</v>
      </c>
      <c r="C578" t="s">
        <v>671</v>
      </c>
      <c r="D578" s="160">
        <v>1726</v>
      </c>
      <c r="G578" s="4"/>
      <c r="H578" s="4"/>
      <c r="I578">
        <v>2023</v>
      </c>
      <c r="J578">
        <v>11</v>
      </c>
      <c r="K578" s="4" t="s">
        <v>457</v>
      </c>
      <c r="L578" t="s">
        <v>89</v>
      </c>
      <c r="N578" t="s">
        <v>89</v>
      </c>
      <c r="O578" t="s">
        <v>9</v>
      </c>
      <c r="P578" t="s">
        <v>104</v>
      </c>
    </row>
    <row r="579" spans="1:16" hidden="1">
      <c r="A579" t="s">
        <v>672</v>
      </c>
      <c r="B579" s="1">
        <v>4590014008</v>
      </c>
      <c r="C579" t="s">
        <v>673</v>
      </c>
      <c r="D579" s="160">
        <v>23431574.059999999</v>
      </c>
      <c r="F579" t="s">
        <v>674</v>
      </c>
      <c r="G579" s="4"/>
      <c r="H579" s="4"/>
      <c r="I579">
        <v>2023</v>
      </c>
      <c r="J579">
        <v>11</v>
      </c>
      <c r="K579" s="4" t="s">
        <v>457</v>
      </c>
      <c r="L579" t="s">
        <v>89</v>
      </c>
      <c r="N579" t="s">
        <v>89</v>
      </c>
      <c r="O579" t="s">
        <v>13</v>
      </c>
      <c r="P579" t="s">
        <v>537</v>
      </c>
    </row>
    <row r="580" spans="1:16" hidden="1">
      <c r="A580" t="s">
        <v>54</v>
      </c>
      <c r="B580" s="1">
        <v>4590014289</v>
      </c>
      <c r="C580" t="s">
        <v>675</v>
      </c>
      <c r="D580" s="160">
        <v>5637347.3300000001</v>
      </c>
      <c r="F580" t="s">
        <v>676</v>
      </c>
      <c r="G580" s="4"/>
      <c r="H580" s="4"/>
      <c r="I580">
        <v>2023</v>
      </c>
      <c r="J580">
        <v>11</v>
      </c>
      <c r="K580" s="4" t="s">
        <v>457</v>
      </c>
      <c r="L580" t="s">
        <v>89</v>
      </c>
      <c r="N580" t="s">
        <v>89</v>
      </c>
      <c r="O580" t="s">
        <v>13</v>
      </c>
      <c r="P580" t="s">
        <v>537</v>
      </c>
    </row>
    <row r="581" spans="1:16" hidden="1">
      <c r="A581" t="s">
        <v>126</v>
      </c>
      <c r="B581" s="1" t="s">
        <v>127</v>
      </c>
      <c r="C581" t="s">
        <v>128</v>
      </c>
      <c r="D581" s="160">
        <v>2013345</v>
      </c>
      <c r="G581" s="4"/>
      <c r="H581" s="4"/>
      <c r="I581">
        <v>2023</v>
      </c>
      <c r="J581">
        <v>11</v>
      </c>
      <c r="K581" s="4" t="s">
        <v>457</v>
      </c>
      <c r="L581" t="s">
        <v>89</v>
      </c>
      <c r="N581" t="s">
        <v>89</v>
      </c>
      <c r="O581" t="s">
        <v>9</v>
      </c>
      <c r="P581" t="s">
        <v>129</v>
      </c>
    </row>
    <row r="582" spans="1:16" hidden="1">
      <c r="A582" t="s">
        <v>126</v>
      </c>
      <c r="B582" s="1" t="s">
        <v>130</v>
      </c>
      <c r="C582" t="s">
        <v>131</v>
      </c>
      <c r="D582" s="160">
        <v>866726</v>
      </c>
      <c r="G582" s="4"/>
      <c r="H582" s="4"/>
      <c r="I582">
        <v>2023</v>
      </c>
      <c r="J582">
        <v>11</v>
      </c>
      <c r="K582" s="4" t="s">
        <v>457</v>
      </c>
      <c r="L582" t="s">
        <v>89</v>
      </c>
      <c r="N582" t="s">
        <v>89</v>
      </c>
      <c r="O582" t="s">
        <v>9</v>
      </c>
      <c r="P582" t="s">
        <v>129</v>
      </c>
    </row>
    <row r="583" spans="1:16" hidden="1">
      <c r="A583" t="s">
        <v>102</v>
      </c>
      <c r="B583" s="1" t="s">
        <v>371</v>
      </c>
      <c r="C583" t="s">
        <v>372</v>
      </c>
      <c r="D583" s="160">
        <v>32478</v>
      </c>
      <c r="G583" s="4"/>
      <c r="H583" s="4"/>
      <c r="I583">
        <v>2023</v>
      </c>
      <c r="J583">
        <v>11</v>
      </c>
      <c r="K583" s="4" t="s">
        <v>457</v>
      </c>
      <c r="L583" t="s">
        <v>89</v>
      </c>
      <c r="N583" t="s">
        <v>89</v>
      </c>
      <c r="O583" t="s">
        <v>11</v>
      </c>
      <c r="P583" t="s">
        <v>120</v>
      </c>
    </row>
    <row r="584" spans="1:16" hidden="1">
      <c r="A584" t="s">
        <v>275</v>
      </c>
      <c r="B584" s="1" t="s">
        <v>276</v>
      </c>
      <c r="C584" t="s">
        <v>277</v>
      </c>
      <c r="D584" s="160">
        <v>35501.78</v>
      </c>
      <c r="G584" s="4"/>
      <c r="H584" s="4"/>
      <c r="I584">
        <v>2023</v>
      </c>
      <c r="J584">
        <v>11</v>
      </c>
      <c r="K584" s="4" t="s">
        <v>457</v>
      </c>
      <c r="L584" t="s">
        <v>89</v>
      </c>
      <c r="N584" t="s">
        <v>89</v>
      </c>
      <c r="O584" t="s">
        <v>15</v>
      </c>
      <c r="P584" t="s">
        <v>278</v>
      </c>
    </row>
    <row r="585" spans="1:16" hidden="1">
      <c r="A585" t="s">
        <v>275</v>
      </c>
      <c r="B585" s="1" t="s">
        <v>305</v>
      </c>
      <c r="C585" t="s">
        <v>306</v>
      </c>
      <c r="D585" s="160">
        <v>1075136.31</v>
      </c>
      <c r="G585" s="4"/>
      <c r="H585" s="4"/>
      <c r="I585">
        <v>2023</v>
      </c>
      <c r="J585">
        <v>11</v>
      </c>
      <c r="K585" s="4" t="s">
        <v>457</v>
      </c>
      <c r="L585" t="s">
        <v>89</v>
      </c>
      <c r="N585" t="s">
        <v>89</v>
      </c>
      <c r="O585" t="s">
        <v>15</v>
      </c>
      <c r="P585" t="s">
        <v>278</v>
      </c>
    </row>
    <row r="586" spans="1:16" hidden="1">
      <c r="A586" t="s">
        <v>394</v>
      </c>
      <c r="B586" s="1" t="s">
        <v>502</v>
      </c>
      <c r="C586" t="s">
        <v>503</v>
      </c>
      <c r="D586" s="160">
        <v>381841.85</v>
      </c>
      <c r="G586" s="4"/>
      <c r="H586" s="4"/>
      <c r="I586">
        <v>2023</v>
      </c>
      <c r="J586">
        <v>11</v>
      </c>
      <c r="K586" s="4" t="s">
        <v>457</v>
      </c>
      <c r="L586" t="s">
        <v>89</v>
      </c>
      <c r="N586" t="s">
        <v>89</v>
      </c>
      <c r="O586" t="s">
        <v>13</v>
      </c>
      <c r="P586" t="s">
        <v>361</v>
      </c>
    </row>
    <row r="587" spans="1:16" hidden="1">
      <c r="A587" t="s">
        <v>325</v>
      </c>
      <c r="B587" s="1" t="s">
        <v>326</v>
      </c>
      <c r="C587" t="s">
        <v>677</v>
      </c>
      <c r="D587" s="160">
        <v>205253.6</v>
      </c>
      <c r="F587" t="s">
        <v>678</v>
      </c>
      <c r="G587" s="4"/>
      <c r="H587" s="4"/>
      <c r="I587">
        <v>2023</v>
      </c>
      <c r="J587">
        <v>11</v>
      </c>
      <c r="K587" s="4" t="s">
        <v>457</v>
      </c>
      <c r="L587" t="s">
        <v>329</v>
      </c>
      <c r="N587" t="s">
        <v>479</v>
      </c>
      <c r="O587" t="s">
        <v>18</v>
      </c>
      <c r="P587" t="s">
        <v>332</v>
      </c>
    </row>
    <row r="588" spans="1:16" hidden="1">
      <c r="A588" t="s">
        <v>161</v>
      </c>
      <c r="B588" s="1" t="s">
        <v>162</v>
      </c>
      <c r="C588" t="s">
        <v>163</v>
      </c>
      <c r="D588" s="160">
        <v>2326.3200000000002</v>
      </c>
      <c r="G588" s="4"/>
      <c r="H588" s="4"/>
      <c r="I588">
        <v>2023</v>
      </c>
      <c r="J588">
        <v>11</v>
      </c>
      <c r="K588" s="4" t="s">
        <v>457</v>
      </c>
      <c r="L588" t="s">
        <v>89</v>
      </c>
      <c r="N588" t="s">
        <v>89</v>
      </c>
      <c r="O588" t="s">
        <v>18</v>
      </c>
      <c r="P588" t="s">
        <v>164</v>
      </c>
    </row>
    <row r="589" spans="1:16" hidden="1">
      <c r="A589" t="s">
        <v>405</v>
      </c>
      <c r="B589" s="1" t="s">
        <v>406</v>
      </c>
      <c r="C589" t="s">
        <v>407</v>
      </c>
      <c r="D589" s="160">
        <v>6713230.71</v>
      </c>
      <c r="G589" s="4"/>
      <c r="H589" s="4"/>
      <c r="I589">
        <v>2023</v>
      </c>
      <c r="J589">
        <v>11</v>
      </c>
      <c r="K589" s="4" t="s">
        <v>457</v>
      </c>
      <c r="L589" t="s">
        <v>89</v>
      </c>
      <c r="N589" t="s">
        <v>89</v>
      </c>
      <c r="O589" t="s">
        <v>8</v>
      </c>
      <c r="P589" t="s">
        <v>408</v>
      </c>
    </row>
    <row r="590" spans="1:16" hidden="1">
      <c r="A590" t="s">
        <v>679</v>
      </c>
      <c r="B590" s="1">
        <v>4590015038</v>
      </c>
      <c r="C590" t="s">
        <v>680</v>
      </c>
      <c r="D590" s="160">
        <v>48962.400000000001</v>
      </c>
      <c r="F590" t="s">
        <v>681</v>
      </c>
      <c r="G590" s="4">
        <v>45344</v>
      </c>
      <c r="H590" s="4">
        <v>45350</v>
      </c>
      <c r="I590">
        <v>2024</v>
      </c>
      <c r="J590">
        <v>2</v>
      </c>
      <c r="K590" s="4" t="s">
        <v>682</v>
      </c>
      <c r="L590" t="s">
        <v>89</v>
      </c>
      <c r="M590" t="s">
        <v>683</v>
      </c>
      <c r="N590" t="s">
        <v>89</v>
      </c>
      <c r="O590" t="s">
        <v>8</v>
      </c>
      <c r="P590" t="s">
        <v>98</v>
      </c>
    </row>
    <row r="591" spans="1:16" hidden="1">
      <c r="A591" t="s">
        <v>102</v>
      </c>
      <c r="B591" s="1">
        <v>4503290109</v>
      </c>
      <c r="C591" t="s">
        <v>103</v>
      </c>
      <c r="D591" s="160">
        <v>2162761</v>
      </c>
      <c r="G591" s="4"/>
      <c r="H591" s="4"/>
      <c r="I591">
        <v>2023</v>
      </c>
      <c r="J591">
        <v>12</v>
      </c>
      <c r="K591" s="4" t="s">
        <v>522</v>
      </c>
      <c r="L591" t="s">
        <v>89</v>
      </c>
      <c r="N591" t="s">
        <v>89</v>
      </c>
      <c r="O591" t="s">
        <v>9</v>
      </c>
      <c r="P591" t="s">
        <v>104</v>
      </c>
    </row>
    <row r="592" spans="1:16" hidden="1">
      <c r="A592" t="s">
        <v>116</v>
      </c>
      <c r="B592" s="1">
        <v>4503428513</v>
      </c>
      <c r="C592" t="s">
        <v>117</v>
      </c>
      <c r="D592" s="160">
        <v>594077</v>
      </c>
      <c r="G592" s="4"/>
      <c r="H592" s="4"/>
      <c r="I592">
        <v>2023</v>
      </c>
      <c r="J592">
        <v>12</v>
      </c>
      <c r="K592" s="4" t="s">
        <v>522</v>
      </c>
      <c r="L592" t="s">
        <v>89</v>
      </c>
      <c r="N592" t="s">
        <v>89</v>
      </c>
      <c r="O592" t="s">
        <v>9</v>
      </c>
      <c r="P592" t="s">
        <v>118</v>
      </c>
    </row>
    <row r="593" spans="1:16" hidden="1">
      <c r="A593" t="s">
        <v>102</v>
      </c>
      <c r="B593" s="1">
        <v>4503432118</v>
      </c>
      <c r="C593" t="s">
        <v>119</v>
      </c>
      <c r="D593" s="160">
        <v>1879030</v>
      </c>
      <c r="G593" s="4"/>
      <c r="H593" s="4"/>
      <c r="I593">
        <v>2023</v>
      </c>
      <c r="J593">
        <v>12</v>
      </c>
      <c r="K593" s="4" t="s">
        <v>522</v>
      </c>
      <c r="L593" t="s">
        <v>89</v>
      </c>
      <c r="N593" t="s">
        <v>89</v>
      </c>
      <c r="O593" t="s">
        <v>9</v>
      </c>
      <c r="P593" t="s">
        <v>120</v>
      </c>
    </row>
    <row r="594" spans="1:16" hidden="1">
      <c r="A594" t="s">
        <v>139</v>
      </c>
      <c r="B594" s="1">
        <v>4503441308</v>
      </c>
      <c r="C594" t="s">
        <v>142</v>
      </c>
      <c r="D594" s="160">
        <v>368658</v>
      </c>
      <c r="G594" s="4"/>
      <c r="H594" s="4"/>
      <c r="I594">
        <v>2023</v>
      </c>
      <c r="J594">
        <v>12</v>
      </c>
      <c r="K594" s="4" t="s">
        <v>522</v>
      </c>
      <c r="L594" t="s">
        <v>89</v>
      </c>
      <c r="N594" t="s">
        <v>89</v>
      </c>
      <c r="O594" t="s">
        <v>9</v>
      </c>
      <c r="P594" t="s">
        <v>143</v>
      </c>
    </row>
    <row r="595" spans="1:16" hidden="1">
      <c r="A595" t="s">
        <v>123</v>
      </c>
      <c r="B595" s="1">
        <v>4503448403</v>
      </c>
      <c r="C595" t="s">
        <v>124</v>
      </c>
      <c r="D595" s="160">
        <v>1814716</v>
      </c>
      <c r="G595" s="4"/>
      <c r="H595" s="4"/>
      <c r="I595">
        <v>2023</v>
      </c>
      <c r="J595">
        <v>12</v>
      </c>
      <c r="K595" s="4" t="s">
        <v>522</v>
      </c>
      <c r="L595" t="s">
        <v>89</v>
      </c>
      <c r="N595" t="s">
        <v>89</v>
      </c>
      <c r="O595" t="s">
        <v>9</v>
      </c>
      <c r="P595" t="s">
        <v>125</v>
      </c>
    </row>
    <row r="596" spans="1:16" hidden="1">
      <c r="A596" t="s">
        <v>139</v>
      </c>
      <c r="B596" s="1">
        <v>4590000624</v>
      </c>
      <c r="C596" t="s">
        <v>191</v>
      </c>
      <c r="D596" s="160">
        <v>214289</v>
      </c>
      <c r="E596">
        <v>11979</v>
      </c>
      <c r="G596" s="4"/>
      <c r="H596" s="4"/>
      <c r="I596">
        <v>2023</v>
      </c>
      <c r="J596">
        <v>12</v>
      </c>
      <c r="K596" s="4" t="s">
        <v>522</v>
      </c>
      <c r="L596" t="s">
        <v>89</v>
      </c>
      <c r="N596" t="s">
        <v>89</v>
      </c>
      <c r="O596" t="s">
        <v>9</v>
      </c>
      <c r="P596" t="s">
        <v>193</v>
      </c>
    </row>
    <row r="597" spans="1:16" hidden="1">
      <c r="A597" t="s">
        <v>139</v>
      </c>
      <c r="B597" s="1">
        <v>4590002290</v>
      </c>
      <c r="C597" t="s">
        <v>583</v>
      </c>
      <c r="D597" s="160">
        <v>17252.740000000002</v>
      </c>
      <c r="E597">
        <v>964.43</v>
      </c>
      <c r="G597" s="4"/>
      <c r="H597" s="4"/>
      <c r="I597">
        <v>2023</v>
      </c>
      <c r="J597">
        <v>12</v>
      </c>
      <c r="K597" s="4" t="s">
        <v>522</v>
      </c>
      <c r="L597" t="s">
        <v>89</v>
      </c>
      <c r="N597" t="s">
        <v>89</v>
      </c>
      <c r="O597" t="s">
        <v>11</v>
      </c>
      <c r="P597" t="s">
        <v>584</v>
      </c>
    </row>
    <row r="598" spans="1:16" hidden="1">
      <c r="A598" t="s">
        <v>585</v>
      </c>
      <c r="B598" s="1">
        <v>4590002292</v>
      </c>
      <c r="C598" t="s">
        <v>586</v>
      </c>
      <c r="D598" s="160">
        <v>46614.39</v>
      </c>
      <c r="E598">
        <v>2605.7399999999998</v>
      </c>
      <c r="G598" s="4"/>
      <c r="H598" s="4"/>
      <c r="I598">
        <v>2023</v>
      </c>
      <c r="J598">
        <v>12</v>
      </c>
      <c r="K598" s="4" t="s">
        <v>522</v>
      </c>
      <c r="L598" t="s">
        <v>89</v>
      </c>
      <c r="N598" t="s">
        <v>89</v>
      </c>
      <c r="O598" t="s">
        <v>11</v>
      </c>
      <c r="P598" t="s">
        <v>584</v>
      </c>
    </row>
    <row r="599" spans="1:16" hidden="1">
      <c r="A599" t="s">
        <v>446</v>
      </c>
      <c r="B599" s="1">
        <v>4590002743</v>
      </c>
      <c r="C599" t="s">
        <v>449</v>
      </c>
      <c r="D599" s="160">
        <v>23848.29</v>
      </c>
      <c r="G599" s="4"/>
      <c r="H599" s="4"/>
      <c r="I599">
        <v>2023</v>
      </c>
      <c r="J599">
        <v>12</v>
      </c>
      <c r="K599" s="4" t="s">
        <v>522</v>
      </c>
      <c r="L599" t="s">
        <v>89</v>
      </c>
      <c r="N599" t="s">
        <v>89</v>
      </c>
      <c r="O599" t="s">
        <v>12</v>
      </c>
      <c r="P599" t="s">
        <v>448</v>
      </c>
    </row>
    <row r="600" spans="1:16" hidden="1">
      <c r="A600" t="s">
        <v>446</v>
      </c>
      <c r="B600" s="1">
        <v>4590002744</v>
      </c>
      <c r="C600" t="s">
        <v>450</v>
      </c>
      <c r="D600" s="160">
        <v>16239.67</v>
      </c>
      <c r="G600" s="4"/>
      <c r="H600" s="4"/>
      <c r="I600">
        <v>2023</v>
      </c>
      <c r="J600">
        <v>12</v>
      </c>
      <c r="K600" s="4" t="s">
        <v>522</v>
      </c>
      <c r="L600" t="s">
        <v>89</v>
      </c>
      <c r="N600" t="s">
        <v>89</v>
      </c>
      <c r="O600" t="s">
        <v>12</v>
      </c>
      <c r="P600" t="s">
        <v>448</v>
      </c>
    </row>
    <row r="601" spans="1:16" hidden="1">
      <c r="A601" t="s">
        <v>102</v>
      </c>
      <c r="B601" s="1">
        <v>4590006189</v>
      </c>
      <c r="C601" t="s">
        <v>260</v>
      </c>
      <c r="D601" s="160">
        <v>27303</v>
      </c>
      <c r="G601" s="4"/>
      <c r="H601" s="4"/>
      <c r="I601">
        <v>2023</v>
      </c>
      <c r="J601">
        <v>12</v>
      </c>
      <c r="K601" s="4" t="s">
        <v>522</v>
      </c>
      <c r="L601" t="s">
        <v>89</v>
      </c>
      <c r="N601" t="s">
        <v>89</v>
      </c>
      <c r="O601" t="s">
        <v>9</v>
      </c>
      <c r="P601" t="s">
        <v>262</v>
      </c>
    </row>
    <row r="602" spans="1:16" hidden="1">
      <c r="A602" t="s">
        <v>46</v>
      </c>
      <c r="B602" s="1" t="s">
        <v>684</v>
      </c>
      <c r="C602" t="s">
        <v>685</v>
      </c>
      <c r="D602" s="160">
        <v>1575</v>
      </c>
      <c r="F602" t="s">
        <v>686</v>
      </c>
      <c r="G602" s="4"/>
      <c r="H602" s="4"/>
      <c r="I602">
        <v>2023</v>
      </c>
      <c r="J602">
        <v>11</v>
      </c>
      <c r="K602" s="4" t="s">
        <v>457</v>
      </c>
      <c r="L602" t="s">
        <v>89</v>
      </c>
      <c r="N602" t="s">
        <v>89</v>
      </c>
      <c r="O602" t="s">
        <v>18</v>
      </c>
      <c r="P602" t="s">
        <v>550</v>
      </c>
    </row>
    <row r="603" spans="1:16" hidden="1">
      <c r="A603" t="s">
        <v>269</v>
      </c>
      <c r="B603" s="1">
        <v>4590008082</v>
      </c>
      <c r="C603" t="s">
        <v>324</v>
      </c>
      <c r="D603" s="160">
        <v>177982</v>
      </c>
      <c r="G603" s="4"/>
      <c r="H603" s="4"/>
      <c r="I603">
        <v>2023</v>
      </c>
      <c r="J603">
        <v>12</v>
      </c>
      <c r="K603" s="4" t="s">
        <v>522</v>
      </c>
      <c r="L603" t="s">
        <v>89</v>
      </c>
      <c r="N603" t="s">
        <v>89</v>
      </c>
      <c r="O603" t="s">
        <v>11</v>
      </c>
      <c r="P603" t="s">
        <v>122</v>
      </c>
    </row>
    <row r="604" spans="1:16" hidden="1">
      <c r="A604" t="s">
        <v>687</v>
      </c>
      <c r="B604" s="1">
        <v>4590004119</v>
      </c>
      <c r="C604" t="s">
        <v>688</v>
      </c>
      <c r="D604" s="160">
        <v>26897.02</v>
      </c>
      <c r="F604" t="s">
        <v>689</v>
      </c>
      <c r="G604" s="4">
        <v>45350</v>
      </c>
      <c r="H604" s="4">
        <v>45350</v>
      </c>
      <c r="I604">
        <v>2024</v>
      </c>
      <c r="J604">
        <v>2</v>
      </c>
      <c r="K604" s="4" t="s">
        <v>682</v>
      </c>
      <c r="L604" t="s">
        <v>89</v>
      </c>
      <c r="N604" t="s">
        <v>89</v>
      </c>
      <c r="O604" t="s">
        <v>8</v>
      </c>
      <c r="P604" t="s">
        <v>300</v>
      </c>
    </row>
    <row r="605" spans="1:16" hidden="1">
      <c r="A605" t="s">
        <v>654</v>
      </c>
      <c r="B605" s="1">
        <v>4590008170</v>
      </c>
      <c r="C605" t="s">
        <v>655</v>
      </c>
      <c r="D605" s="160">
        <v>75865.81</v>
      </c>
      <c r="G605" s="4"/>
      <c r="H605" s="4"/>
      <c r="I605">
        <v>2023</v>
      </c>
      <c r="J605">
        <v>12</v>
      </c>
      <c r="K605" s="4" t="s">
        <v>522</v>
      </c>
      <c r="L605" t="s">
        <v>89</v>
      </c>
      <c r="N605" t="s">
        <v>89</v>
      </c>
      <c r="O605" t="s">
        <v>9</v>
      </c>
      <c r="P605" t="s">
        <v>425</v>
      </c>
    </row>
    <row r="606" spans="1:16" hidden="1">
      <c r="A606" t="s">
        <v>86</v>
      </c>
      <c r="B606" s="1">
        <v>4590011320</v>
      </c>
      <c r="C606" t="s">
        <v>498</v>
      </c>
      <c r="D606" s="160">
        <v>163956.87</v>
      </c>
      <c r="G606" s="4"/>
      <c r="H606" s="4"/>
      <c r="I606">
        <v>2023</v>
      </c>
      <c r="J606">
        <v>12</v>
      </c>
      <c r="K606" s="4" t="s">
        <v>522</v>
      </c>
      <c r="L606" t="s">
        <v>89</v>
      </c>
      <c r="N606" t="s">
        <v>89</v>
      </c>
      <c r="O606" t="s">
        <v>9</v>
      </c>
      <c r="P606" t="s">
        <v>125</v>
      </c>
    </row>
    <row r="607" spans="1:16" hidden="1">
      <c r="A607" t="s">
        <v>690</v>
      </c>
      <c r="B607" s="1">
        <v>4590013059</v>
      </c>
      <c r="C607" t="s">
        <v>691</v>
      </c>
      <c r="D607" s="160">
        <v>116443.25</v>
      </c>
      <c r="G607" s="4"/>
      <c r="H607" s="4"/>
      <c r="I607">
        <v>2023</v>
      </c>
      <c r="J607">
        <v>12</v>
      </c>
      <c r="K607" s="4" t="s">
        <v>522</v>
      </c>
      <c r="L607" t="s">
        <v>89</v>
      </c>
      <c r="M607" t="s">
        <v>526</v>
      </c>
      <c r="N607" t="s">
        <v>89</v>
      </c>
      <c r="O607" t="s">
        <v>11</v>
      </c>
      <c r="P607" t="s">
        <v>434</v>
      </c>
    </row>
    <row r="608" spans="1:16" hidden="1">
      <c r="A608" t="s">
        <v>126</v>
      </c>
      <c r="B608" s="1">
        <v>4590013430</v>
      </c>
      <c r="C608" t="s">
        <v>692</v>
      </c>
      <c r="D608" s="160">
        <v>196523</v>
      </c>
      <c r="G608" s="4"/>
      <c r="H608" s="4"/>
      <c r="I608">
        <v>2023</v>
      </c>
      <c r="J608">
        <v>12</v>
      </c>
      <c r="K608" s="4" t="s">
        <v>522</v>
      </c>
      <c r="L608" t="s">
        <v>89</v>
      </c>
      <c r="N608" t="s">
        <v>89</v>
      </c>
      <c r="O608" t="s">
        <v>11</v>
      </c>
      <c r="P608" t="s">
        <v>129</v>
      </c>
    </row>
    <row r="609" spans="1:16" hidden="1">
      <c r="A609" t="s">
        <v>126</v>
      </c>
      <c r="B609" s="1">
        <v>4590013480</v>
      </c>
      <c r="C609" t="s">
        <v>693</v>
      </c>
      <c r="D609" s="160">
        <v>19737</v>
      </c>
      <c r="G609" s="4"/>
      <c r="H609" s="4"/>
      <c r="I609">
        <v>2023</v>
      </c>
      <c r="J609">
        <v>12</v>
      </c>
      <c r="K609" s="4" t="s">
        <v>522</v>
      </c>
      <c r="L609" t="s">
        <v>89</v>
      </c>
      <c r="N609" t="s">
        <v>89</v>
      </c>
      <c r="O609" t="s">
        <v>11</v>
      </c>
      <c r="P609" t="s">
        <v>129</v>
      </c>
    </row>
    <row r="610" spans="1:16" hidden="1">
      <c r="A610" t="s">
        <v>126</v>
      </c>
      <c r="B610" s="1">
        <v>4590013481</v>
      </c>
      <c r="C610" t="s">
        <v>694</v>
      </c>
      <c r="D610" s="160">
        <v>35640</v>
      </c>
      <c r="G610" s="4"/>
      <c r="H610" s="4"/>
      <c r="I610">
        <v>2023</v>
      </c>
      <c r="J610">
        <v>12</v>
      </c>
      <c r="K610" s="4" t="s">
        <v>522</v>
      </c>
      <c r="L610" t="s">
        <v>89</v>
      </c>
      <c r="N610" t="s">
        <v>89</v>
      </c>
      <c r="O610" t="s">
        <v>11</v>
      </c>
      <c r="P610" t="s">
        <v>129</v>
      </c>
    </row>
    <row r="611" spans="1:16" hidden="1">
      <c r="A611" t="s">
        <v>102</v>
      </c>
      <c r="B611" s="1">
        <v>4590013482</v>
      </c>
      <c r="C611" t="s">
        <v>664</v>
      </c>
      <c r="D611" s="160">
        <v>24662</v>
      </c>
      <c r="G611" s="4"/>
      <c r="H611" s="4"/>
      <c r="I611">
        <v>2023</v>
      </c>
      <c r="J611">
        <v>12</v>
      </c>
      <c r="K611" s="4" t="s">
        <v>522</v>
      </c>
      <c r="L611" t="s">
        <v>89</v>
      </c>
      <c r="N611" t="s">
        <v>89</v>
      </c>
      <c r="O611" t="s">
        <v>9</v>
      </c>
      <c r="P611" t="s">
        <v>104</v>
      </c>
    </row>
    <row r="612" spans="1:16" hidden="1">
      <c r="A612" t="s">
        <v>86</v>
      </c>
      <c r="B612" s="1">
        <v>4590013495</v>
      </c>
      <c r="C612" t="s">
        <v>695</v>
      </c>
      <c r="D612" s="160">
        <v>79291</v>
      </c>
      <c r="G612" s="4"/>
      <c r="H612" s="4"/>
      <c r="I612">
        <v>2023</v>
      </c>
      <c r="J612">
        <v>12</v>
      </c>
      <c r="K612" s="4" t="s">
        <v>522</v>
      </c>
      <c r="L612" t="s">
        <v>89</v>
      </c>
      <c r="N612" t="s">
        <v>89</v>
      </c>
      <c r="O612" t="s">
        <v>9</v>
      </c>
      <c r="P612" t="s">
        <v>120</v>
      </c>
    </row>
    <row r="613" spans="1:16" hidden="1">
      <c r="A613" t="s">
        <v>687</v>
      </c>
      <c r="B613" s="1">
        <v>4590003763</v>
      </c>
      <c r="C613" t="s">
        <v>255</v>
      </c>
      <c r="D613" s="160">
        <v>10487.1</v>
      </c>
      <c r="F613" t="s">
        <v>696</v>
      </c>
      <c r="G613" s="4">
        <v>45379</v>
      </c>
      <c r="H613" s="4">
        <v>45379</v>
      </c>
      <c r="I613">
        <v>2024</v>
      </c>
      <c r="J613">
        <v>3</v>
      </c>
      <c r="K613" s="4" t="s">
        <v>697</v>
      </c>
      <c r="L613" t="s">
        <v>89</v>
      </c>
      <c r="M613" t="s">
        <v>698</v>
      </c>
      <c r="N613" t="s">
        <v>89</v>
      </c>
      <c r="O613" t="s">
        <v>8</v>
      </c>
      <c r="P613" t="s">
        <v>258</v>
      </c>
    </row>
    <row r="614" spans="1:16" hidden="1">
      <c r="A614" t="s">
        <v>86</v>
      </c>
      <c r="B614" s="1">
        <v>4590013563</v>
      </c>
      <c r="C614" t="s">
        <v>390</v>
      </c>
      <c r="D614" s="160">
        <v>57877.57</v>
      </c>
      <c r="G614" s="4"/>
      <c r="H614" s="4"/>
      <c r="I614">
        <v>2023</v>
      </c>
      <c r="J614">
        <v>12</v>
      </c>
      <c r="K614" s="4" t="s">
        <v>522</v>
      </c>
      <c r="L614" t="s">
        <v>89</v>
      </c>
      <c r="N614" t="s">
        <v>89</v>
      </c>
      <c r="O614" t="s">
        <v>13</v>
      </c>
      <c r="P614" t="s">
        <v>222</v>
      </c>
    </row>
    <row r="615" spans="1:16" hidden="1">
      <c r="A615" t="s">
        <v>102</v>
      </c>
      <c r="B615" s="1">
        <v>4590013571</v>
      </c>
      <c r="C615" t="s">
        <v>699</v>
      </c>
      <c r="D615" s="160">
        <v>20119</v>
      </c>
      <c r="E615">
        <v>20119</v>
      </c>
      <c r="G615" s="4"/>
      <c r="H615" s="4"/>
      <c r="I615">
        <v>2023</v>
      </c>
      <c r="J615">
        <v>12</v>
      </c>
      <c r="K615" s="4" t="s">
        <v>522</v>
      </c>
      <c r="L615" t="s">
        <v>89</v>
      </c>
      <c r="N615" t="s">
        <v>89</v>
      </c>
      <c r="O615" t="s">
        <v>9</v>
      </c>
      <c r="P615" t="s">
        <v>120</v>
      </c>
    </row>
    <row r="616" spans="1:16" hidden="1">
      <c r="A616" t="s">
        <v>668</v>
      </c>
      <c r="B616" s="1">
        <v>4590013675</v>
      </c>
      <c r="C616" t="s">
        <v>669</v>
      </c>
      <c r="D616" s="160">
        <v>13607</v>
      </c>
      <c r="G616" s="4"/>
      <c r="H616" s="4"/>
      <c r="I616">
        <v>2023</v>
      </c>
      <c r="J616">
        <v>12</v>
      </c>
      <c r="K616" s="4" t="s">
        <v>522</v>
      </c>
      <c r="L616" t="s">
        <v>89</v>
      </c>
      <c r="N616" t="s">
        <v>89</v>
      </c>
      <c r="O616" t="s">
        <v>9</v>
      </c>
      <c r="P616" t="s">
        <v>129</v>
      </c>
    </row>
    <row r="617" spans="1:16" hidden="1">
      <c r="A617" t="s">
        <v>102</v>
      </c>
      <c r="B617" s="1">
        <v>4590013803</v>
      </c>
      <c r="C617" t="s">
        <v>700</v>
      </c>
      <c r="D617" s="160">
        <v>689784</v>
      </c>
      <c r="G617" s="4"/>
      <c r="H617" s="4"/>
      <c r="I617">
        <v>2023</v>
      </c>
      <c r="J617">
        <v>12</v>
      </c>
      <c r="K617" s="4" t="s">
        <v>522</v>
      </c>
      <c r="L617" t="s">
        <v>89</v>
      </c>
      <c r="N617" t="s">
        <v>89</v>
      </c>
      <c r="O617" t="s">
        <v>9</v>
      </c>
      <c r="P617" t="s">
        <v>120</v>
      </c>
    </row>
    <row r="618" spans="1:16" hidden="1">
      <c r="A618" t="s">
        <v>102</v>
      </c>
      <c r="B618" s="1">
        <v>4590013804</v>
      </c>
      <c r="C618" t="s">
        <v>670</v>
      </c>
      <c r="D618" s="160">
        <v>1238808</v>
      </c>
      <c r="G618" s="4"/>
      <c r="H618" s="4"/>
      <c r="I618">
        <v>2023</v>
      </c>
      <c r="J618">
        <v>12</v>
      </c>
      <c r="K618" s="4" t="s">
        <v>522</v>
      </c>
      <c r="L618" t="s">
        <v>89</v>
      </c>
      <c r="N618" t="s">
        <v>89</v>
      </c>
      <c r="O618" t="s">
        <v>9</v>
      </c>
      <c r="P618" t="s">
        <v>120</v>
      </c>
    </row>
    <row r="619" spans="1:16" hidden="1">
      <c r="A619" t="s">
        <v>54</v>
      </c>
      <c r="B619" s="1">
        <v>4590014102</v>
      </c>
      <c r="C619" t="s">
        <v>701</v>
      </c>
      <c r="D619" s="160">
        <v>236363.11</v>
      </c>
      <c r="G619" s="4"/>
      <c r="H619" s="4"/>
      <c r="I619">
        <v>2023</v>
      </c>
      <c r="J619">
        <v>12</v>
      </c>
      <c r="K619" s="4" t="s">
        <v>522</v>
      </c>
      <c r="L619" t="s">
        <v>89</v>
      </c>
      <c r="N619" t="s">
        <v>89</v>
      </c>
      <c r="O619" t="s">
        <v>13</v>
      </c>
      <c r="P619" t="s">
        <v>222</v>
      </c>
    </row>
    <row r="620" spans="1:16" hidden="1">
      <c r="A620" t="s">
        <v>102</v>
      </c>
      <c r="B620" s="1">
        <v>4590014401</v>
      </c>
      <c r="C620" t="s">
        <v>702</v>
      </c>
      <c r="D620" s="160">
        <v>6264381</v>
      </c>
      <c r="G620" s="4"/>
      <c r="H620" s="4"/>
      <c r="I620">
        <v>2023</v>
      </c>
      <c r="J620">
        <v>12</v>
      </c>
      <c r="K620" s="4" t="s">
        <v>522</v>
      </c>
      <c r="L620" t="s">
        <v>89</v>
      </c>
      <c r="N620" t="s">
        <v>89</v>
      </c>
      <c r="O620" t="s">
        <v>9</v>
      </c>
      <c r="P620" t="s">
        <v>120</v>
      </c>
    </row>
    <row r="621" spans="1:16" hidden="1">
      <c r="A621" t="s">
        <v>102</v>
      </c>
      <c r="B621" s="1">
        <v>4590014629</v>
      </c>
      <c r="C621" t="s">
        <v>703</v>
      </c>
      <c r="D621" s="160">
        <v>12628</v>
      </c>
      <c r="G621" s="4"/>
      <c r="H621" s="4"/>
      <c r="I621">
        <v>2023</v>
      </c>
      <c r="J621">
        <v>12</v>
      </c>
      <c r="K621" s="4" t="s">
        <v>522</v>
      </c>
      <c r="L621" t="s">
        <v>89</v>
      </c>
      <c r="N621" t="s">
        <v>89</v>
      </c>
      <c r="O621" t="s">
        <v>9</v>
      </c>
      <c r="P621" t="s">
        <v>120</v>
      </c>
    </row>
    <row r="622" spans="1:16" hidden="1">
      <c r="A622" t="s">
        <v>704</v>
      </c>
      <c r="B622" s="1">
        <v>4590015432</v>
      </c>
      <c r="C622" t="s">
        <v>705</v>
      </c>
      <c r="D622" s="160">
        <v>9259</v>
      </c>
      <c r="F622" t="s">
        <v>706</v>
      </c>
      <c r="G622" s="4">
        <v>45379</v>
      </c>
      <c r="H622" s="4">
        <v>45379</v>
      </c>
      <c r="I622">
        <v>2024</v>
      </c>
      <c r="J622">
        <v>3</v>
      </c>
      <c r="K622" s="4" t="s">
        <v>697</v>
      </c>
      <c r="L622" t="s">
        <v>89</v>
      </c>
      <c r="N622" t="s">
        <v>89</v>
      </c>
      <c r="O622" t="s">
        <v>8</v>
      </c>
      <c r="P622" t="s">
        <v>300</v>
      </c>
    </row>
    <row r="623" spans="1:16" hidden="1">
      <c r="A623" t="s">
        <v>102</v>
      </c>
      <c r="B623" s="1">
        <v>4590014674</v>
      </c>
      <c r="C623" t="s">
        <v>707</v>
      </c>
      <c r="D623" s="160">
        <v>830528.51</v>
      </c>
      <c r="G623" s="4"/>
      <c r="H623" s="4"/>
      <c r="I623">
        <v>2023</v>
      </c>
      <c r="J623">
        <v>12</v>
      </c>
      <c r="K623" s="4" t="s">
        <v>522</v>
      </c>
      <c r="L623" t="s">
        <v>89</v>
      </c>
      <c r="N623" t="s">
        <v>89</v>
      </c>
      <c r="O623" t="s">
        <v>9</v>
      </c>
      <c r="P623" t="s">
        <v>120</v>
      </c>
    </row>
    <row r="624" spans="1:16" hidden="1">
      <c r="A624" t="s">
        <v>102</v>
      </c>
      <c r="B624" s="1">
        <v>4590014675</v>
      </c>
      <c r="C624" t="s">
        <v>708</v>
      </c>
      <c r="D624" s="160">
        <v>215909.35</v>
      </c>
      <c r="G624" s="4"/>
      <c r="H624" s="4"/>
      <c r="I624">
        <v>2023</v>
      </c>
      <c r="J624">
        <v>12</v>
      </c>
      <c r="K624" s="4" t="s">
        <v>522</v>
      </c>
      <c r="L624" t="s">
        <v>89</v>
      </c>
      <c r="N624" t="s">
        <v>89</v>
      </c>
      <c r="O624" t="s">
        <v>9</v>
      </c>
      <c r="P624" t="s">
        <v>104</v>
      </c>
    </row>
    <row r="625" spans="1:16" hidden="1">
      <c r="A625" t="s">
        <v>46</v>
      </c>
      <c r="B625" s="1" t="s">
        <v>709</v>
      </c>
      <c r="C625" t="s">
        <v>710</v>
      </c>
      <c r="D625" s="160">
        <v>1575</v>
      </c>
      <c r="F625" t="s">
        <v>711</v>
      </c>
      <c r="G625" s="4"/>
      <c r="H625" s="4"/>
      <c r="I625">
        <v>2023</v>
      </c>
      <c r="J625">
        <v>12</v>
      </c>
      <c r="K625" s="4" t="s">
        <v>522</v>
      </c>
      <c r="L625" t="s">
        <v>89</v>
      </c>
      <c r="N625" t="s">
        <v>89</v>
      </c>
      <c r="O625" t="s">
        <v>18</v>
      </c>
      <c r="P625">
        <v>0</v>
      </c>
    </row>
    <row r="626" spans="1:16" hidden="1">
      <c r="A626" t="s">
        <v>126</v>
      </c>
      <c r="B626" s="1" t="s">
        <v>127</v>
      </c>
      <c r="C626" t="s">
        <v>128</v>
      </c>
      <c r="D626" s="160">
        <v>2148731</v>
      </c>
      <c r="G626" s="4"/>
      <c r="H626" s="4"/>
      <c r="I626">
        <v>2023</v>
      </c>
      <c r="J626">
        <v>12</v>
      </c>
      <c r="K626" s="4" t="s">
        <v>522</v>
      </c>
      <c r="L626" t="s">
        <v>89</v>
      </c>
      <c r="N626" t="s">
        <v>89</v>
      </c>
      <c r="O626" t="s">
        <v>9</v>
      </c>
      <c r="P626" t="s">
        <v>129</v>
      </c>
    </row>
    <row r="627" spans="1:16" hidden="1">
      <c r="A627" t="s">
        <v>126</v>
      </c>
      <c r="B627" s="1" t="s">
        <v>130</v>
      </c>
      <c r="C627" t="s">
        <v>131</v>
      </c>
      <c r="D627" s="160">
        <v>340175</v>
      </c>
      <c r="G627" s="4"/>
      <c r="H627" s="4"/>
      <c r="I627">
        <v>2023</v>
      </c>
      <c r="J627">
        <v>12</v>
      </c>
      <c r="K627" s="4" t="s">
        <v>522</v>
      </c>
      <c r="L627" t="s">
        <v>89</v>
      </c>
      <c r="N627" t="s">
        <v>89</v>
      </c>
      <c r="O627" t="s">
        <v>9</v>
      </c>
      <c r="P627" t="s">
        <v>129</v>
      </c>
    </row>
    <row r="628" spans="1:16" hidden="1">
      <c r="A628" t="s">
        <v>132</v>
      </c>
      <c r="B628" s="1" t="s">
        <v>136</v>
      </c>
      <c r="C628" t="s">
        <v>137</v>
      </c>
      <c r="D628" s="160">
        <v>222627</v>
      </c>
      <c r="G628" s="4"/>
      <c r="H628" s="4"/>
      <c r="I628">
        <v>2023</v>
      </c>
      <c r="J628">
        <v>12</v>
      </c>
      <c r="K628" s="4" t="s">
        <v>522</v>
      </c>
      <c r="L628" t="s">
        <v>89</v>
      </c>
      <c r="N628" t="s">
        <v>89</v>
      </c>
      <c r="O628" t="s">
        <v>9</v>
      </c>
      <c r="P628" t="s">
        <v>135</v>
      </c>
    </row>
    <row r="629" spans="1:16" hidden="1">
      <c r="A629" t="s">
        <v>123</v>
      </c>
      <c r="B629" s="1" t="s">
        <v>201</v>
      </c>
      <c r="C629" t="s">
        <v>202</v>
      </c>
      <c r="D629" s="160">
        <v>808949</v>
      </c>
      <c r="G629" s="4"/>
      <c r="H629" s="4"/>
      <c r="I629">
        <v>2023</v>
      </c>
      <c r="J629">
        <v>12</v>
      </c>
      <c r="K629" s="4" t="s">
        <v>522</v>
      </c>
      <c r="L629" t="s">
        <v>89</v>
      </c>
      <c r="N629" t="s">
        <v>89</v>
      </c>
      <c r="O629" t="s">
        <v>11</v>
      </c>
      <c r="P629" t="s">
        <v>190</v>
      </c>
    </row>
    <row r="630" spans="1:16" hidden="1">
      <c r="A630" t="s">
        <v>123</v>
      </c>
      <c r="B630" s="1" t="s">
        <v>204</v>
      </c>
      <c r="C630" t="s">
        <v>205</v>
      </c>
      <c r="D630" s="160">
        <v>310138</v>
      </c>
      <c r="G630" s="4"/>
      <c r="H630" s="4"/>
      <c r="I630">
        <v>2023</v>
      </c>
      <c r="J630">
        <v>12</v>
      </c>
      <c r="K630" s="4" t="s">
        <v>522</v>
      </c>
      <c r="L630" t="s">
        <v>89</v>
      </c>
      <c r="N630" t="s">
        <v>89</v>
      </c>
      <c r="O630" t="s">
        <v>11</v>
      </c>
      <c r="P630" t="s">
        <v>190</v>
      </c>
    </row>
    <row r="631" spans="1:16" hidden="1">
      <c r="A631" t="s">
        <v>46</v>
      </c>
      <c r="B631" s="1" t="s">
        <v>712</v>
      </c>
      <c r="C631" t="s">
        <v>713</v>
      </c>
      <c r="D631" s="160">
        <v>1575</v>
      </c>
      <c r="F631" t="s">
        <v>714</v>
      </c>
      <c r="G631" s="4"/>
      <c r="H631" s="4"/>
      <c r="I631">
        <v>2023</v>
      </c>
      <c r="J631">
        <v>12</v>
      </c>
      <c r="K631" s="4" t="s">
        <v>522</v>
      </c>
      <c r="L631" t="s">
        <v>89</v>
      </c>
      <c r="N631" t="s">
        <v>89</v>
      </c>
      <c r="O631" t="s">
        <v>18</v>
      </c>
      <c r="P631" t="s">
        <v>550</v>
      </c>
    </row>
    <row r="632" spans="1:16" hidden="1">
      <c r="A632" t="s">
        <v>161</v>
      </c>
      <c r="B632" s="1" t="s">
        <v>162</v>
      </c>
      <c r="C632" t="s">
        <v>163</v>
      </c>
      <c r="D632" s="160">
        <v>6376.86</v>
      </c>
      <c r="G632" s="4"/>
      <c r="H632" s="4"/>
      <c r="I632">
        <v>2023</v>
      </c>
      <c r="J632">
        <v>12</v>
      </c>
      <c r="K632" s="4" t="s">
        <v>522</v>
      </c>
      <c r="L632" t="s">
        <v>89</v>
      </c>
      <c r="N632" t="s">
        <v>89</v>
      </c>
      <c r="O632" t="s">
        <v>18</v>
      </c>
      <c r="P632" t="s">
        <v>164</v>
      </c>
    </row>
    <row r="633" spans="1:16" hidden="1">
      <c r="A633" t="s">
        <v>405</v>
      </c>
      <c r="B633" s="1" t="s">
        <v>406</v>
      </c>
      <c r="C633" t="s">
        <v>407</v>
      </c>
      <c r="D633" s="160">
        <v>1016646.95</v>
      </c>
      <c r="G633" s="4"/>
      <c r="H633" s="4"/>
      <c r="I633">
        <v>2023</v>
      </c>
      <c r="J633">
        <v>12</v>
      </c>
      <c r="K633" s="4" t="s">
        <v>522</v>
      </c>
      <c r="L633" t="s">
        <v>89</v>
      </c>
      <c r="N633" t="s">
        <v>89</v>
      </c>
      <c r="O633" t="s">
        <v>8</v>
      </c>
      <c r="P633" t="s">
        <v>408</v>
      </c>
    </row>
    <row r="634" spans="1:16" hidden="1">
      <c r="A634" t="s">
        <v>54</v>
      </c>
      <c r="B634" s="1">
        <v>4590014284</v>
      </c>
      <c r="C634" t="s">
        <v>715</v>
      </c>
      <c r="D634" s="160">
        <v>3250.5</v>
      </c>
      <c r="F634" t="s">
        <v>716</v>
      </c>
      <c r="G634" s="4"/>
      <c r="H634" s="4"/>
      <c r="I634">
        <v>2023</v>
      </c>
      <c r="J634">
        <v>12</v>
      </c>
      <c r="K634" s="4" t="s">
        <v>522</v>
      </c>
      <c r="L634" t="s">
        <v>89</v>
      </c>
      <c r="N634" t="s">
        <v>89</v>
      </c>
      <c r="O634" t="s">
        <v>13</v>
      </c>
      <c r="P634" t="s">
        <v>222</v>
      </c>
    </row>
    <row r="635" spans="1:16" hidden="1">
      <c r="A635" t="s">
        <v>672</v>
      </c>
      <c r="B635" s="1">
        <v>4590014008</v>
      </c>
      <c r="C635" t="s">
        <v>673</v>
      </c>
      <c r="D635" s="160">
        <v>10144748.939999999</v>
      </c>
      <c r="F635" t="s">
        <v>717</v>
      </c>
      <c r="G635" s="4">
        <v>45282</v>
      </c>
      <c r="H635" s="4"/>
      <c r="I635">
        <v>2023</v>
      </c>
      <c r="J635">
        <v>12</v>
      </c>
      <c r="K635" s="4" t="s">
        <v>522</v>
      </c>
      <c r="L635" t="s">
        <v>89</v>
      </c>
      <c r="N635" t="s">
        <v>89</v>
      </c>
      <c r="O635" t="s">
        <v>13</v>
      </c>
      <c r="P635" t="s">
        <v>537</v>
      </c>
    </row>
    <row r="636" spans="1:16" hidden="1">
      <c r="A636" t="s">
        <v>86</v>
      </c>
      <c r="B636" s="1">
        <v>4590012674</v>
      </c>
      <c r="C636" t="s">
        <v>535</v>
      </c>
      <c r="D636" s="160">
        <v>3813881</v>
      </c>
      <c r="F636" t="s">
        <v>718</v>
      </c>
      <c r="G636" s="4">
        <v>45286</v>
      </c>
      <c r="H636" s="4"/>
      <c r="I636">
        <v>2023</v>
      </c>
      <c r="J636">
        <v>12</v>
      </c>
      <c r="K636" s="4" t="s">
        <v>522</v>
      </c>
      <c r="L636" t="s">
        <v>89</v>
      </c>
      <c r="N636" t="s">
        <v>89</v>
      </c>
      <c r="O636" t="s">
        <v>13</v>
      </c>
      <c r="P636" t="s">
        <v>537</v>
      </c>
    </row>
    <row r="637" spans="1:16" hidden="1">
      <c r="A637" t="s">
        <v>102</v>
      </c>
      <c r="B637" s="1">
        <v>4503290109</v>
      </c>
      <c r="C637" t="s">
        <v>103</v>
      </c>
      <c r="D637" s="160">
        <v>1783000</v>
      </c>
      <c r="G637" s="4"/>
      <c r="H637" s="4"/>
      <c r="I637">
        <v>2024</v>
      </c>
      <c r="J637">
        <v>1</v>
      </c>
      <c r="K637" s="4" t="s">
        <v>637</v>
      </c>
      <c r="L637" t="s">
        <v>89</v>
      </c>
      <c r="N637" t="s">
        <v>89</v>
      </c>
      <c r="O637" t="s">
        <v>9</v>
      </c>
      <c r="P637" t="s">
        <v>104</v>
      </c>
    </row>
    <row r="638" spans="1:16" hidden="1">
      <c r="A638" t="s">
        <v>102</v>
      </c>
      <c r="B638" s="1">
        <v>4503432118</v>
      </c>
      <c r="C638" t="s">
        <v>119</v>
      </c>
      <c r="D638" s="160">
        <v>1296094</v>
      </c>
      <c r="G638" s="4"/>
      <c r="H638" s="4"/>
      <c r="I638">
        <v>2024</v>
      </c>
      <c r="J638">
        <v>1</v>
      </c>
      <c r="K638" s="4" t="s">
        <v>637</v>
      </c>
      <c r="L638" t="s">
        <v>89</v>
      </c>
      <c r="N638" t="s">
        <v>89</v>
      </c>
      <c r="O638" t="s">
        <v>9</v>
      </c>
      <c r="P638" t="s">
        <v>120</v>
      </c>
    </row>
    <row r="639" spans="1:16" hidden="1">
      <c r="A639" t="s">
        <v>102</v>
      </c>
      <c r="B639" s="1">
        <v>4503432152</v>
      </c>
      <c r="C639" t="s">
        <v>121</v>
      </c>
      <c r="D639" s="160">
        <v>311760</v>
      </c>
      <c r="G639" s="4"/>
      <c r="H639" s="4"/>
      <c r="I639">
        <v>2024</v>
      </c>
      <c r="J639">
        <v>1</v>
      </c>
      <c r="K639" s="4" t="s">
        <v>637</v>
      </c>
      <c r="L639" t="s">
        <v>89</v>
      </c>
      <c r="N639" t="s">
        <v>89</v>
      </c>
      <c r="O639" t="s">
        <v>9</v>
      </c>
      <c r="P639" t="s">
        <v>122</v>
      </c>
    </row>
    <row r="640" spans="1:16" hidden="1">
      <c r="A640" t="s">
        <v>139</v>
      </c>
      <c r="B640" s="1">
        <v>4503441102</v>
      </c>
      <c r="C640" t="s">
        <v>140</v>
      </c>
      <c r="D640" s="160">
        <v>281975</v>
      </c>
      <c r="E640">
        <v>15762</v>
      </c>
      <c r="G640" s="4"/>
      <c r="H640" s="4"/>
      <c r="I640">
        <v>2024</v>
      </c>
      <c r="J640">
        <v>1</v>
      </c>
      <c r="K640" s="4" t="s">
        <v>637</v>
      </c>
      <c r="L640" t="s">
        <v>89</v>
      </c>
      <c r="N640" t="s">
        <v>89</v>
      </c>
      <c r="O640" t="s">
        <v>9</v>
      </c>
      <c r="P640" t="s">
        <v>141</v>
      </c>
    </row>
    <row r="641" spans="1:16" hidden="1">
      <c r="A641" t="s">
        <v>139</v>
      </c>
      <c r="B641" s="1">
        <v>4590002290</v>
      </c>
      <c r="C641" t="s">
        <v>583</v>
      </c>
      <c r="D641" s="160">
        <v>67914.649999999994</v>
      </c>
      <c r="E641">
        <v>3796.43</v>
      </c>
      <c r="G641" s="4"/>
      <c r="H641" s="4"/>
      <c r="I641">
        <v>2024</v>
      </c>
      <c r="J641">
        <v>1</v>
      </c>
      <c r="K641" s="4" t="s">
        <v>637</v>
      </c>
      <c r="L641" t="s">
        <v>89</v>
      </c>
      <c r="N641" t="s">
        <v>89</v>
      </c>
      <c r="O641" t="s">
        <v>11</v>
      </c>
      <c r="P641" t="s">
        <v>584</v>
      </c>
    </row>
    <row r="642" spans="1:16" hidden="1">
      <c r="A642" t="s">
        <v>585</v>
      </c>
      <c r="B642" s="1">
        <v>4590002292</v>
      </c>
      <c r="C642" t="s">
        <v>586</v>
      </c>
      <c r="D642" s="160">
        <v>69108.89</v>
      </c>
      <c r="E642">
        <v>3863.19</v>
      </c>
      <c r="G642" s="4"/>
      <c r="H642" s="4"/>
      <c r="I642">
        <v>2024</v>
      </c>
      <c r="J642">
        <v>1</v>
      </c>
      <c r="K642" s="4" t="s">
        <v>637</v>
      </c>
      <c r="L642" t="s">
        <v>89</v>
      </c>
      <c r="N642" t="s">
        <v>89</v>
      </c>
      <c r="O642" t="s">
        <v>11</v>
      </c>
      <c r="P642" t="s">
        <v>584</v>
      </c>
    </row>
    <row r="643" spans="1:16" hidden="1">
      <c r="A643" t="s">
        <v>634</v>
      </c>
      <c r="B643" s="1">
        <v>4590003997</v>
      </c>
      <c r="C643" t="s">
        <v>635</v>
      </c>
      <c r="D643" s="160">
        <v>42206.1</v>
      </c>
      <c r="E643">
        <v>2359.3200000000002</v>
      </c>
      <c r="G643" s="4"/>
      <c r="H643" s="4"/>
      <c r="I643">
        <v>2024</v>
      </c>
      <c r="J643">
        <v>1</v>
      </c>
      <c r="K643" s="4" t="s">
        <v>637</v>
      </c>
      <c r="L643" t="s">
        <v>89</v>
      </c>
      <c r="N643" t="s">
        <v>89</v>
      </c>
      <c r="O643" t="s">
        <v>11</v>
      </c>
      <c r="P643" t="s">
        <v>584</v>
      </c>
    </row>
    <row r="644" spans="1:16" hidden="1">
      <c r="A644" t="s">
        <v>719</v>
      </c>
      <c r="B644" s="1">
        <v>4590003998</v>
      </c>
      <c r="C644" t="s">
        <v>720</v>
      </c>
      <c r="D644" s="160">
        <v>1469390.15</v>
      </c>
      <c r="F644" t="s">
        <v>721</v>
      </c>
      <c r="G644" s="4">
        <v>45317</v>
      </c>
      <c r="H644" s="4"/>
      <c r="I644">
        <v>2024</v>
      </c>
      <c r="J644">
        <v>1</v>
      </c>
      <c r="K644" s="4" t="s">
        <v>637</v>
      </c>
      <c r="L644" t="s">
        <v>89</v>
      </c>
      <c r="N644" t="s">
        <v>89</v>
      </c>
      <c r="O644" t="s">
        <v>12</v>
      </c>
      <c r="P644" t="s">
        <v>722</v>
      </c>
    </row>
    <row r="645" spans="1:16" hidden="1">
      <c r="A645" t="s">
        <v>102</v>
      </c>
      <c r="B645" s="1">
        <v>4590004029</v>
      </c>
      <c r="C645" t="s">
        <v>352</v>
      </c>
      <c r="D645" s="160">
        <v>500770</v>
      </c>
      <c r="G645" s="4"/>
      <c r="H645" s="4"/>
      <c r="I645">
        <v>2024</v>
      </c>
      <c r="J645">
        <v>1</v>
      </c>
      <c r="K645" s="4" t="s">
        <v>637</v>
      </c>
      <c r="L645" t="s">
        <v>89</v>
      </c>
      <c r="N645" t="s">
        <v>89</v>
      </c>
      <c r="O645" t="s">
        <v>11</v>
      </c>
      <c r="P645" t="s">
        <v>120</v>
      </c>
    </row>
    <row r="646" spans="1:16" hidden="1">
      <c r="A646" t="s">
        <v>102</v>
      </c>
      <c r="B646" s="1">
        <v>4590006189</v>
      </c>
      <c r="C646" t="s">
        <v>260</v>
      </c>
      <c r="D646" s="160">
        <v>190243</v>
      </c>
      <c r="G646" s="4"/>
      <c r="H646" s="4"/>
      <c r="I646">
        <v>2024</v>
      </c>
      <c r="J646">
        <v>1</v>
      </c>
      <c r="K646" s="4" t="s">
        <v>637</v>
      </c>
      <c r="L646" t="s">
        <v>89</v>
      </c>
      <c r="N646" t="s">
        <v>89</v>
      </c>
      <c r="O646" t="s">
        <v>9</v>
      </c>
      <c r="P646" t="s">
        <v>262</v>
      </c>
    </row>
    <row r="647" spans="1:16" hidden="1">
      <c r="A647" t="s">
        <v>269</v>
      </c>
      <c r="B647" s="1">
        <v>4590006720</v>
      </c>
      <c r="C647" t="s">
        <v>323</v>
      </c>
      <c r="D647" s="160">
        <v>98587</v>
      </c>
      <c r="G647" s="4"/>
      <c r="H647" s="4"/>
      <c r="I647">
        <v>2024</v>
      </c>
      <c r="J647">
        <v>1</v>
      </c>
      <c r="K647" s="4" t="s">
        <v>637</v>
      </c>
      <c r="L647" t="s">
        <v>89</v>
      </c>
      <c r="N647" t="s">
        <v>89</v>
      </c>
      <c r="O647" t="s">
        <v>9</v>
      </c>
      <c r="P647" t="s">
        <v>120</v>
      </c>
    </row>
    <row r="648" spans="1:16" hidden="1">
      <c r="A648" t="s">
        <v>723</v>
      </c>
      <c r="B648" s="1">
        <v>4590007798</v>
      </c>
      <c r="C648" t="s">
        <v>482</v>
      </c>
      <c r="D648" s="160">
        <v>59248</v>
      </c>
      <c r="F648" t="s">
        <v>724</v>
      </c>
      <c r="G648" s="4">
        <v>45379</v>
      </c>
      <c r="H648" s="4">
        <v>45379</v>
      </c>
      <c r="I648">
        <v>2024</v>
      </c>
      <c r="J648">
        <v>3</v>
      </c>
      <c r="K648" s="4" t="s">
        <v>697</v>
      </c>
      <c r="L648" t="s">
        <v>95</v>
      </c>
      <c r="M648" t="s">
        <v>725</v>
      </c>
      <c r="N648" t="s">
        <v>726</v>
      </c>
      <c r="O648" t="s">
        <v>8</v>
      </c>
      <c r="P648" t="s">
        <v>300</v>
      </c>
    </row>
    <row r="649" spans="1:16" hidden="1">
      <c r="A649" t="s">
        <v>454</v>
      </c>
      <c r="B649" s="1">
        <v>4590006814</v>
      </c>
      <c r="C649" t="s">
        <v>455</v>
      </c>
      <c r="D649" s="160">
        <v>137845</v>
      </c>
      <c r="F649" t="s">
        <v>727</v>
      </c>
      <c r="G649" s="4" t="s">
        <v>728</v>
      </c>
      <c r="H649" s="4" t="s">
        <v>728</v>
      </c>
      <c r="I649">
        <v>2024</v>
      </c>
      <c r="J649">
        <v>3</v>
      </c>
      <c r="K649" s="4" t="s">
        <v>697</v>
      </c>
      <c r="L649" t="s">
        <v>89</v>
      </c>
      <c r="N649" t="s">
        <v>89</v>
      </c>
      <c r="O649" t="s">
        <v>8</v>
      </c>
      <c r="P649" t="s">
        <v>300</v>
      </c>
    </row>
    <row r="650" spans="1:16" hidden="1">
      <c r="A650" t="s">
        <v>654</v>
      </c>
      <c r="B650" s="1">
        <v>4590008170</v>
      </c>
      <c r="C650" t="s">
        <v>655</v>
      </c>
      <c r="D650" s="160">
        <v>8925.39</v>
      </c>
      <c r="G650" s="4"/>
      <c r="H650" s="4"/>
      <c r="I650">
        <v>2024</v>
      </c>
      <c r="J650">
        <v>1</v>
      </c>
      <c r="K650" s="4" t="s">
        <v>637</v>
      </c>
      <c r="L650" t="s">
        <v>89</v>
      </c>
      <c r="N650" t="s">
        <v>89</v>
      </c>
      <c r="O650" t="s">
        <v>9</v>
      </c>
      <c r="P650" t="s">
        <v>425</v>
      </c>
    </row>
    <row r="651" spans="1:16" hidden="1">
      <c r="A651" t="s">
        <v>394</v>
      </c>
      <c r="B651" s="1">
        <v>4590009466</v>
      </c>
      <c r="C651" t="s">
        <v>561</v>
      </c>
      <c r="D651" s="160">
        <v>375238</v>
      </c>
      <c r="G651" s="4"/>
      <c r="H651" s="4"/>
      <c r="I651">
        <v>2024</v>
      </c>
      <c r="J651">
        <v>1</v>
      </c>
      <c r="K651" s="4" t="s">
        <v>637</v>
      </c>
      <c r="L651" t="s">
        <v>89</v>
      </c>
      <c r="N651" t="s">
        <v>89</v>
      </c>
      <c r="O651" t="s">
        <v>13</v>
      </c>
      <c r="P651" t="s">
        <v>563</v>
      </c>
    </row>
    <row r="652" spans="1:16" hidden="1">
      <c r="A652" t="s">
        <v>116</v>
      </c>
      <c r="B652" s="1">
        <v>4590009963</v>
      </c>
      <c r="C652" t="s">
        <v>729</v>
      </c>
      <c r="D652" s="160">
        <v>1017194</v>
      </c>
      <c r="G652" s="4"/>
      <c r="H652" s="4"/>
      <c r="I652">
        <v>2024</v>
      </c>
      <c r="J652">
        <v>1</v>
      </c>
      <c r="K652" s="4" t="s">
        <v>637</v>
      </c>
      <c r="L652" t="s">
        <v>89</v>
      </c>
      <c r="N652" t="s">
        <v>89</v>
      </c>
      <c r="O652" t="s">
        <v>9</v>
      </c>
      <c r="P652" t="s">
        <v>118</v>
      </c>
    </row>
    <row r="653" spans="1:16" hidden="1">
      <c r="A653" t="s">
        <v>126</v>
      </c>
      <c r="B653" s="1">
        <v>4590013430</v>
      </c>
      <c r="C653" t="s">
        <v>692</v>
      </c>
      <c r="D653" s="160">
        <v>98261</v>
      </c>
      <c r="G653" s="4"/>
      <c r="H653" s="4"/>
      <c r="I653">
        <v>2024</v>
      </c>
      <c r="J653">
        <v>1</v>
      </c>
      <c r="K653" s="4" t="s">
        <v>637</v>
      </c>
      <c r="L653" t="s">
        <v>89</v>
      </c>
      <c r="N653" t="s">
        <v>89</v>
      </c>
      <c r="O653" t="s">
        <v>11</v>
      </c>
      <c r="P653" t="s">
        <v>129</v>
      </c>
    </row>
    <row r="654" spans="1:16" hidden="1">
      <c r="A654" t="s">
        <v>102</v>
      </c>
      <c r="B654" s="1">
        <v>4590013571</v>
      </c>
      <c r="C654" t="s">
        <v>699</v>
      </c>
      <c r="D654" s="160">
        <v>13629</v>
      </c>
      <c r="G654" s="4"/>
      <c r="H654" s="4"/>
      <c r="I654">
        <v>2024</v>
      </c>
      <c r="J654">
        <v>1</v>
      </c>
      <c r="K654" s="4" t="s">
        <v>637</v>
      </c>
      <c r="L654" t="s">
        <v>89</v>
      </c>
      <c r="N654" t="s">
        <v>89</v>
      </c>
      <c r="O654" t="s">
        <v>9</v>
      </c>
      <c r="P654" t="s">
        <v>120</v>
      </c>
    </row>
    <row r="655" spans="1:16" hidden="1">
      <c r="A655" t="s">
        <v>86</v>
      </c>
      <c r="B655" s="1">
        <v>4590013572</v>
      </c>
      <c r="C655" t="s">
        <v>612</v>
      </c>
      <c r="D655" s="160">
        <v>138703.54</v>
      </c>
      <c r="G655" s="4"/>
      <c r="H655" s="4"/>
      <c r="I655">
        <v>2024</v>
      </c>
      <c r="J655">
        <v>1</v>
      </c>
      <c r="K655" s="4" t="s">
        <v>637</v>
      </c>
      <c r="L655" t="s">
        <v>89</v>
      </c>
      <c r="N655" t="s">
        <v>89</v>
      </c>
      <c r="O655" t="s">
        <v>9</v>
      </c>
      <c r="P655" t="s">
        <v>613</v>
      </c>
    </row>
    <row r="656" spans="1:16" hidden="1">
      <c r="A656" t="s">
        <v>668</v>
      </c>
      <c r="B656" s="1">
        <v>4590013675</v>
      </c>
      <c r="C656" t="s">
        <v>669</v>
      </c>
      <c r="D656" s="160">
        <v>2967</v>
      </c>
      <c r="G656" s="4"/>
      <c r="H656" s="4"/>
      <c r="I656">
        <v>2024</v>
      </c>
      <c r="J656">
        <v>1</v>
      </c>
      <c r="K656" s="4" t="s">
        <v>637</v>
      </c>
      <c r="L656" t="s">
        <v>89</v>
      </c>
      <c r="N656" t="s">
        <v>89</v>
      </c>
      <c r="O656" t="s">
        <v>9</v>
      </c>
      <c r="P656" t="s">
        <v>129</v>
      </c>
    </row>
    <row r="657" spans="1:16" hidden="1">
      <c r="A657" t="s">
        <v>102</v>
      </c>
      <c r="B657" s="1">
        <v>4590013928</v>
      </c>
      <c r="C657" t="s">
        <v>671</v>
      </c>
      <c r="D657" s="160">
        <v>14472</v>
      </c>
      <c r="G657" s="4"/>
      <c r="H657" s="4"/>
      <c r="I657">
        <v>2024</v>
      </c>
      <c r="J657">
        <v>1</v>
      </c>
      <c r="K657" s="4" t="s">
        <v>637</v>
      </c>
      <c r="L657" t="s">
        <v>89</v>
      </c>
      <c r="N657" t="s">
        <v>89</v>
      </c>
      <c r="O657" t="s">
        <v>9</v>
      </c>
      <c r="P657" t="s">
        <v>104</v>
      </c>
    </row>
    <row r="658" spans="1:16" hidden="1">
      <c r="A658" t="s">
        <v>54</v>
      </c>
      <c r="B658" s="1">
        <v>4590014289</v>
      </c>
      <c r="C658" t="s">
        <v>675</v>
      </c>
      <c r="D658" s="160">
        <v>2054460.19</v>
      </c>
      <c r="G658" s="4"/>
      <c r="H658" s="4"/>
      <c r="I658">
        <v>2024</v>
      </c>
      <c r="J658">
        <v>1</v>
      </c>
      <c r="K658" s="4" t="s">
        <v>637</v>
      </c>
      <c r="L658" t="s">
        <v>89</v>
      </c>
      <c r="N658" t="s">
        <v>89</v>
      </c>
      <c r="O658" t="s">
        <v>13</v>
      </c>
      <c r="P658" t="s">
        <v>537</v>
      </c>
    </row>
    <row r="659" spans="1:16" hidden="1">
      <c r="A659" t="s">
        <v>102</v>
      </c>
      <c r="B659" s="1">
        <v>4590014630</v>
      </c>
      <c r="C659" t="s">
        <v>730</v>
      </c>
      <c r="D659" s="160">
        <v>58279.42</v>
      </c>
      <c r="G659" s="4"/>
      <c r="H659" s="4"/>
      <c r="I659">
        <v>2024</v>
      </c>
      <c r="J659">
        <v>1</v>
      </c>
      <c r="K659" s="4" t="s">
        <v>637</v>
      </c>
      <c r="L659" t="s">
        <v>89</v>
      </c>
      <c r="N659" t="s">
        <v>89</v>
      </c>
      <c r="O659" t="s">
        <v>9</v>
      </c>
      <c r="P659" t="s">
        <v>120</v>
      </c>
    </row>
    <row r="660" spans="1:16" hidden="1">
      <c r="A660" t="s">
        <v>102</v>
      </c>
      <c r="B660" s="1">
        <v>4590014676</v>
      </c>
      <c r="C660" t="s">
        <v>731</v>
      </c>
      <c r="D660" s="160">
        <v>141128</v>
      </c>
      <c r="E660">
        <v>7889.06</v>
      </c>
      <c r="G660" s="4"/>
      <c r="H660" s="4"/>
      <c r="I660">
        <v>2024</v>
      </c>
      <c r="J660">
        <v>1</v>
      </c>
      <c r="K660" s="4" t="s">
        <v>637</v>
      </c>
      <c r="L660" t="s">
        <v>89</v>
      </c>
      <c r="N660" t="s">
        <v>89</v>
      </c>
      <c r="O660" t="s">
        <v>9</v>
      </c>
      <c r="P660" t="s">
        <v>732</v>
      </c>
    </row>
    <row r="661" spans="1:16" hidden="1">
      <c r="A661" t="s">
        <v>102</v>
      </c>
      <c r="B661" s="1">
        <v>4590015058</v>
      </c>
      <c r="C661" t="s">
        <v>733</v>
      </c>
      <c r="D661" s="160">
        <v>4142540.4</v>
      </c>
      <c r="G661" s="4"/>
      <c r="H661" s="4"/>
      <c r="I661">
        <v>2024</v>
      </c>
      <c r="J661">
        <v>1</v>
      </c>
      <c r="K661" s="4" t="s">
        <v>637</v>
      </c>
      <c r="L661" t="s">
        <v>89</v>
      </c>
      <c r="N661" t="s">
        <v>89</v>
      </c>
      <c r="O661" t="s">
        <v>9</v>
      </c>
      <c r="P661" t="s">
        <v>120</v>
      </c>
    </row>
    <row r="662" spans="1:16" hidden="1">
      <c r="A662" t="s">
        <v>312</v>
      </c>
      <c r="B662" s="1">
        <v>4590015143</v>
      </c>
      <c r="C662" t="s">
        <v>734</v>
      </c>
      <c r="D662" s="160">
        <v>571700</v>
      </c>
      <c r="G662" s="4"/>
      <c r="H662" s="4"/>
      <c r="I662">
        <v>2024</v>
      </c>
      <c r="J662">
        <v>1</v>
      </c>
      <c r="K662" s="4" t="s">
        <v>637</v>
      </c>
      <c r="L662" t="s">
        <v>89</v>
      </c>
      <c r="N662" t="s">
        <v>89</v>
      </c>
      <c r="O662" t="s">
        <v>9</v>
      </c>
      <c r="P662" t="s">
        <v>120</v>
      </c>
    </row>
    <row r="663" spans="1:16" hidden="1">
      <c r="A663" t="s">
        <v>54</v>
      </c>
      <c r="B663" s="1" t="s">
        <v>735</v>
      </c>
      <c r="C663" t="s">
        <v>736</v>
      </c>
      <c r="D663" s="160">
        <v>23025366.879999999</v>
      </c>
      <c r="G663" s="4"/>
      <c r="H663" s="4"/>
      <c r="I663">
        <v>2024</v>
      </c>
      <c r="J663">
        <v>1</v>
      </c>
      <c r="K663" s="4" t="s">
        <v>637</v>
      </c>
      <c r="L663" t="s">
        <v>89</v>
      </c>
      <c r="N663" t="s">
        <v>89</v>
      </c>
      <c r="O663" t="s">
        <v>13</v>
      </c>
      <c r="P663" t="s">
        <v>537</v>
      </c>
    </row>
    <row r="664" spans="1:16" hidden="1">
      <c r="A664" t="s">
        <v>126</v>
      </c>
      <c r="B664" s="1" t="s">
        <v>127</v>
      </c>
      <c r="C664" t="s">
        <v>128</v>
      </c>
      <c r="D664" s="160">
        <v>1845069</v>
      </c>
      <c r="G664" s="4"/>
      <c r="H664" s="4"/>
      <c r="I664">
        <v>2024</v>
      </c>
      <c r="J664">
        <v>1</v>
      </c>
      <c r="K664" s="4" t="s">
        <v>637</v>
      </c>
      <c r="L664" t="s">
        <v>89</v>
      </c>
      <c r="N664" t="s">
        <v>89</v>
      </c>
      <c r="O664" t="s">
        <v>9</v>
      </c>
      <c r="P664" t="s">
        <v>129</v>
      </c>
    </row>
    <row r="665" spans="1:16" hidden="1">
      <c r="A665" t="s">
        <v>126</v>
      </c>
      <c r="B665" s="1" t="s">
        <v>130</v>
      </c>
      <c r="C665" t="s">
        <v>131</v>
      </c>
      <c r="D665" s="160">
        <v>325877</v>
      </c>
      <c r="G665" s="4"/>
      <c r="H665" s="4"/>
      <c r="I665">
        <v>2024</v>
      </c>
      <c r="J665">
        <v>1</v>
      </c>
      <c r="K665" s="4" t="s">
        <v>637</v>
      </c>
      <c r="L665" t="s">
        <v>89</v>
      </c>
      <c r="N665" t="s">
        <v>89</v>
      </c>
      <c r="O665" t="s">
        <v>9</v>
      </c>
      <c r="P665" t="s">
        <v>129</v>
      </c>
    </row>
    <row r="666" spans="1:16" hidden="1">
      <c r="A666" t="s">
        <v>123</v>
      </c>
      <c r="B666" s="1" t="s">
        <v>201</v>
      </c>
      <c r="C666" t="s">
        <v>202</v>
      </c>
      <c r="D666" s="160">
        <v>107025</v>
      </c>
      <c r="G666" s="4"/>
      <c r="H666" s="4"/>
      <c r="I666">
        <v>2024</v>
      </c>
      <c r="J666">
        <v>1</v>
      </c>
      <c r="K666" s="4" t="s">
        <v>637</v>
      </c>
      <c r="L666" t="s">
        <v>89</v>
      </c>
      <c r="N666" t="s">
        <v>89</v>
      </c>
      <c r="O666" t="s">
        <v>11</v>
      </c>
      <c r="P666" t="s">
        <v>190</v>
      </c>
    </row>
    <row r="667" spans="1:16" hidden="1">
      <c r="A667" t="s">
        <v>123</v>
      </c>
      <c r="B667" s="1" t="s">
        <v>204</v>
      </c>
      <c r="C667" t="s">
        <v>205</v>
      </c>
      <c r="D667" s="160">
        <v>40683</v>
      </c>
      <c r="G667" s="4"/>
      <c r="H667" s="4"/>
      <c r="I667">
        <v>2024</v>
      </c>
      <c r="J667">
        <v>1</v>
      </c>
      <c r="K667" s="4" t="s">
        <v>637</v>
      </c>
      <c r="L667" t="s">
        <v>89</v>
      </c>
      <c r="N667" t="s">
        <v>89</v>
      </c>
      <c r="O667" t="s">
        <v>11</v>
      </c>
      <c r="P667" t="s">
        <v>190</v>
      </c>
    </row>
    <row r="668" spans="1:16" hidden="1">
      <c r="A668" t="s">
        <v>102</v>
      </c>
      <c r="B668" s="1" t="s">
        <v>371</v>
      </c>
      <c r="C668" t="s">
        <v>372</v>
      </c>
      <c r="D668" s="160">
        <v>170796</v>
      </c>
      <c r="G668" s="4"/>
      <c r="H668" s="4"/>
      <c r="I668">
        <v>2024</v>
      </c>
      <c r="J668">
        <v>1</v>
      </c>
      <c r="K668" s="4" t="s">
        <v>637</v>
      </c>
      <c r="L668" t="s">
        <v>89</v>
      </c>
      <c r="N668" t="s">
        <v>89</v>
      </c>
      <c r="O668" t="s">
        <v>11</v>
      </c>
      <c r="P668" t="s">
        <v>120</v>
      </c>
    </row>
    <row r="669" spans="1:16" hidden="1">
      <c r="A669" t="s">
        <v>737</v>
      </c>
      <c r="B669" s="1" t="s">
        <v>738</v>
      </c>
      <c r="C669" t="s">
        <v>739</v>
      </c>
      <c r="D669" s="160">
        <v>4200</v>
      </c>
      <c r="F669" t="s">
        <v>740</v>
      </c>
      <c r="G669" s="4"/>
      <c r="H669" s="4"/>
      <c r="I669">
        <v>2024</v>
      </c>
      <c r="J669">
        <v>1</v>
      </c>
      <c r="K669" s="4" t="s">
        <v>637</v>
      </c>
      <c r="L669" t="s">
        <v>89</v>
      </c>
      <c r="N669" t="s">
        <v>89</v>
      </c>
      <c r="O669" t="s">
        <v>12</v>
      </c>
      <c r="P669" t="s">
        <v>190</v>
      </c>
    </row>
    <row r="670" spans="1:16" hidden="1">
      <c r="A670" t="s">
        <v>737</v>
      </c>
      <c r="B670" s="1" t="s">
        <v>741</v>
      </c>
      <c r="C670" t="s">
        <v>742</v>
      </c>
      <c r="D670" s="160">
        <v>4200</v>
      </c>
      <c r="F670" t="s">
        <v>743</v>
      </c>
      <c r="G670" s="4"/>
      <c r="H670" s="4"/>
      <c r="I670">
        <v>2024</v>
      </c>
      <c r="J670">
        <v>1</v>
      </c>
      <c r="K670" s="4" t="s">
        <v>637</v>
      </c>
      <c r="L670" t="s">
        <v>89</v>
      </c>
      <c r="N670" t="s">
        <v>89</v>
      </c>
      <c r="O670" t="s">
        <v>12</v>
      </c>
      <c r="P670" t="s">
        <v>190</v>
      </c>
    </row>
    <row r="671" spans="1:16" hidden="1">
      <c r="A671" t="s">
        <v>394</v>
      </c>
      <c r="B671" s="1" t="s">
        <v>502</v>
      </c>
      <c r="C671" t="s">
        <v>503</v>
      </c>
      <c r="D671" s="160">
        <v>1277163</v>
      </c>
      <c r="G671" s="4"/>
      <c r="H671" s="4"/>
      <c r="I671">
        <v>2024</v>
      </c>
      <c r="J671">
        <v>1</v>
      </c>
      <c r="K671" s="4" t="s">
        <v>637</v>
      </c>
      <c r="L671" t="s">
        <v>89</v>
      </c>
      <c r="N671" t="s">
        <v>89</v>
      </c>
      <c r="O671" t="s">
        <v>13</v>
      </c>
      <c r="P671" t="s">
        <v>361</v>
      </c>
    </row>
    <row r="672" spans="1:16" hidden="1">
      <c r="A672" t="s">
        <v>237</v>
      </c>
      <c r="B672" s="1" t="s">
        <v>238</v>
      </c>
      <c r="C672" t="s">
        <v>239</v>
      </c>
      <c r="D672" s="160">
        <v>37217.57</v>
      </c>
      <c r="F672" t="s">
        <v>744</v>
      </c>
      <c r="G672" s="4"/>
      <c r="H672" s="4"/>
      <c r="I672">
        <v>2024</v>
      </c>
      <c r="J672">
        <v>1</v>
      </c>
      <c r="K672" s="4" t="s">
        <v>637</v>
      </c>
      <c r="L672" t="s">
        <v>89</v>
      </c>
      <c r="N672" t="s">
        <v>89</v>
      </c>
      <c r="O672" t="s">
        <v>18</v>
      </c>
      <c r="P672" t="s">
        <v>240</v>
      </c>
    </row>
    <row r="673" spans="1:16" hidden="1">
      <c r="A673" t="s">
        <v>325</v>
      </c>
      <c r="B673" s="1" t="s">
        <v>326</v>
      </c>
      <c r="C673" t="s">
        <v>745</v>
      </c>
      <c r="D673" s="160">
        <v>171952.85</v>
      </c>
      <c r="F673" t="s">
        <v>746</v>
      </c>
      <c r="G673" s="4"/>
      <c r="H673" s="4"/>
      <c r="I673">
        <v>2024</v>
      </c>
      <c r="J673">
        <v>1</v>
      </c>
      <c r="K673" s="4" t="s">
        <v>637</v>
      </c>
      <c r="L673" t="s">
        <v>329</v>
      </c>
      <c r="N673" t="s">
        <v>747</v>
      </c>
      <c r="O673" t="s">
        <v>18</v>
      </c>
      <c r="P673" t="s">
        <v>332</v>
      </c>
    </row>
    <row r="674" spans="1:16" hidden="1">
      <c r="A674" t="s">
        <v>54</v>
      </c>
      <c r="B674" s="1">
        <v>4590013412</v>
      </c>
      <c r="C674" t="s">
        <v>748</v>
      </c>
      <c r="D674" s="160">
        <v>357732.59</v>
      </c>
      <c r="F674" t="s">
        <v>749</v>
      </c>
      <c r="G674" s="4">
        <v>45344</v>
      </c>
      <c r="H674" s="4">
        <v>45345</v>
      </c>
      <c r="I674">
        <v>2024</v>
      </c>
      <c r="J674">
        <v>2</v>
      </c>
      <c r="K674" s="4" t="s">
        <v>682</v>
      </c>
      <c r="L674" t="s">
        <v>89</v>
      </c>
      <c r="N674" t="s">
        <v>89</v>
      </c>
      <c r="O674" t="s">
        <v>13</v>
      </c>
      <c r="P674" t="s">
        <v>222</v>
      </c>
    </row>
    <row r="675" spans="1:16" hidden="1">
      <c r="A675" t="s">
        <v>54</v>
      </c>
      <c r="B675" s="1">
        <v>4590013563</v>
      </c>
      <c r="C675" t="s">
        <v>390</v>
      </c>
      <c r="D675" s="160">
        <v>49323.18</v>
      </c>
      <c r="F675" t="s">
        <v>750</v>
      </c>
      <c r="G675" s="4">
        <v>45344</v>
      </c>
      <c r="H675" s="4">
        <v>45345</v>
      </c>
      <c r="I675">
        <v>2024</v>
      </c>
      <c r="J675">
        <v>2</v>
      </c>
      <c r="K675" s="4" t="s">
        <v>682</v>
      </c>
      <c r="L675" t="s">
        <v>89</v>
      </c>
      <c r="N675" t="s">
        <v>89</v>
      </c>
      <c r="O675" t="s">
        <v>13</v>
      </c>
      <c r="P675" t="s">
        <v>222</v>
      </c>
    </row>
    <row r="676" spans="1:16" hidden="1">
      <c r="A676" t="s">
        <v>54</v>
      </c>
      <c r="B676" s="1">
        <v>4590014284</v>
      </c>
      <c r="C676" t="s">
        <v>715</v>
      </c>
      <c r="D676" s="160">
        <v>12516.55</v>
      </c>
      <c r="F676" t="s">
        <v>751</v>
      </c>
      <c r="G676" s="4">
        <v>45341</v>
      </c>
      <c r="H676" s="4">
        <v>45343</v>
      </c>
      <c r="I676">
        <v>2024</v>
      </c>
      <c r="J676">
        <v>2</v>
      </c>
      <c r="K676" s="4" t="s">
        <v>682</v>
      </c>
      <c r="L676" t="s">
        <v>89</v>
      </c>
      <c r="N676" t="s">
        <v>89</v>
      </c>
      <c r="O676" t="s">
        <v>13</v>
      </c>
      <c r="P676" t="s">
        <v>222</v>
      </c>
    </row>
    <row r="677" spans="1:16" hidden="1">
      <c r="A677" t="s">
        <v>315</v>
      </c>
      <c r="B677" s="1">
        <v>4503448403</v>
      </c>
      <c r="C677" t="s">
        <v>124</v>
      </c>
      <c r="D677" s="160">
        <v>693107.09</v>
      </c>
      <c r="F677" t="s">
        <v>752</v>
      </c>
      <c r="G677" s="4">
        <v>45344</v>
      </c>
      <c r="H677" s="4">
        <v>45352</v>
      </c>
      <c r="I677">
        <v>2024</v>
      </c>
      <c r="J677">
        <v>2</v>
      </c>
      <c r="K677" s="4" t="s">
        <v>682</v>
      </c>
      <c r="L677" t="s">
        <v>89</v>
      </c>
      <c r="N677" t="s">
        <v>89</v>
      </c>
      <c r="O677" t="s">
        <v>9</v>
      </c>
      <c r="P677" t="s">
        <v>125</v>
      </c>
    </row>
    <row r="678" spans="1:16" hidden="1">
      <c r="A678" t="s">
        <v>314</v>
      </c>
      <c r="B678" s="1">
        <v>4590000540</v>
      </c>
      <c r="C678" t="s">
        <v>157</v>
      </c>
      <c r="D678" s="160">
        <v>60184</v>
      </c>
      <c r="E678">
        <v>3364</v>
      </c>
      <c r="F678" t="s">
        <v>753</v>
      </c>
      <c r="G678" s="4">
        <v>45349</v>
      </c>
      <c r="H678" s="4">
        <v>45350</v>
      </c>
      <c r="I678">
        <v>2024</v>
      </c>
      <c r="J678">
        <v>2</v>
      </c>
      <c r="K678" s="4" t="s">
        <v>682</v>
      </c>
      <c r="L678" t="s">
        <v>89</v>
      </c>
      <c r="N678" t="s">
        <v>89</v>
      </c>
      <c r="O678" t="s">
        <v>9</v>
      </c>
      <c r="P678" t="s">
        <v>156</v>
      </c>
    </row>
    <row r="679" spans="1:16" hidden="1">
      <c r="A679" t="s">
        <v>314</v>
      </c>
      <c r="B679" s="1">
        <v>4590002290</v>
      </c>
      <c r="C679" t="s">
        <v>583</v>
      </c>
      <c r="D679" s="160">
        <v>10040.01</v>
      </c>
      <c r="E679">
        <v>561.24</v>
      </c>
      <c r="F679" t="s">
        <v>754</v>
      </c>
      <c r="G679" s="4">
        <v>45345</v>
      </c>
      <c r="H679" s="4">
        <v>45346</v>
      </c>
      <c r="I679">
        <v>2024</v>
      </c>
      <c r="J679">
        <v>2</v>
      </c>
      <c r="K679" s="4" t="s">
        <v>682</v>
      </c>
      <c r="L679" t="s">
        <v>89</v>
      </c>
      <c r="N679" t="s">
        <v>89</v>
      </c>
      <c r="O679" t="s">
        <v>11</v>
      </c>
      <c r="P679" t="s">
        <v>584</v>
      </c>
    </row>
    <row r="680" spans="1:16" hidden="1">
      <c r="A680" t="s">
        <v>314</v>
      </c>
      <c r="B680" s="1">
        <v>4590002291</v>
      </c>
      <c r="C680" t="s">
        <v>632</v>
      </c>
      <c r="D680" s="160">
        <v>12199.89</v>
      </c>
      <c r="E680">
        <v>681.97</v>
      </c>
      <c r="F680" t="s">
        <v>755</v>
      </c>
      <c r="G680" s="4">
        <v>45345</v>
      </c>
      <c r="H680" s="4">
        <v>45346</v>
      </c>
      <c r="I680">
        <v>2024</v>
      </c>
      <c r="J680">
        <v>2</v>
      </c>
      <c r="K680" s="4" t="s">
        <v>682</v>
      </c>
      <c r="L680" t="s">
        <v>89</v>
      </c>
      <c r="N680" t="s">
        <v>89</v>
      </c>
      <c r="O680" t="s">
        <v>11</v>
      </c>
      <c r="P680" t="s">
        <v>584</v>
      </c>
    </row>
    <row r="681" spans="1:16" hidden="1">
      <c r="A681" t="s">
        <v>756</v>
      </c>
      <c r="B681" s="1">
        <v>4590005159</v>
      </c>
      <c r="C681" t="s">
        <v>476</v>
      </c>
      <c r="D681" s="160">
        <v>21277.96</v>
      </c>
      <c r="F681" t="s">
        <v>757</v>
      </c>
      <c r="G681" s="4">
        <v>45379</v>
      </c>
      <c r="H681" s="4">
        <v>45379</v>
      </c>
      <c r="I681">
        <v>2024</v>
      </c>
      <c r="J681">
        <v>3</v>
      </c>
      <c r="K681" s="4" t="s">
        <v>697</v>
      </c>
      <c r="L681" t="s">
        <v>89</v>
      </c>
      <c r="M681" t="s">
        <v>758</v>
      </c>
      <c r="N681" t="s">
        <v>89</v>
      </c>
      <c r="O681" t="s">
        <v>8</v>
      </c>
      <c r="P681" t="s">
        <v>480</v>
      </c>
    </row>
    <row r="682" spans="1:16" hidden="1">
      <c r="A682" t="s">
        <v>759</v>
      </c>
      <c r="B682" s="1">
        <v>4590013345</v>
      </c>
      <c r="C682" t="s">
        <v>760</v>
      </c>
      <c r="D682" s="160">
        <v>2164306.4</v>
      </c>
      <c r="F682" t="s">
        <v>761</v>
      </c>
      <c r="G682" s="4">
        <v>45341</v>
      </c>
      <c r="H682" s="4">
        <v>45342</v>
      </c>
      <c r="I682">
        <v>2024</v>
      </c>
      <c r="J682">
        <v>2</v>
      </c>
      <c r="K682" s="4" t="s">
        <v>682</v>
      </c>
      <c r="L682" t="s">
        <v>89</v>
      </c>
      <c r="N682" t="s">
        <v>89</v>
      </c>
      <c r="O682" t="s">
        <v>13</v>
      </c>
      <c r="P682" t="s">
        <v>227</v>
      </c>
    </row>
    <row r="683" spans="1:16" hidden="1">
      <c r="A683" t="s">
        <v>54</v>
      </c>
      <c r="B683" s="1">
        <v>4590014289</v>
      </c>
      <c r="C683" t="s">
        <v>675</v>
      </c>
      <c r="D683" s="160">
        <v>1520116.89</v>
      </c>
      <c r="F683" t="s">
        <v>762</v>
      </c>
      <c r="G683" s="4">
        <v>45341</v>
      </c>
      <c r="H683" s="4">
        <v>45343</v>
      </c>
      <c r="I683">
        <v>2024</v>
      </c>
      <c r="J683">
        <v>2</v>
      </c>
      <c r="K683" s="4" t="s">
        <v>682</v>
      </c>
      <c r="L683" t="s">
        <v>89</v>
      </c>
      <c r="N683" t="s">
        <v>89</v>
      </c>
      <c r="O683" t="s">
        <v>13</v>
      </c>
      <c r="P683" t="s">
        <v>537</v>
      </c>
    </row>
    <row r="684" spans="1:16" hidden="1">
      <c r="A684" t="s">
        <v>325</v>
      </c>
      <c r="B684" s="1" t="s">
        <v>326</v>
      </c>
      <c r="C684" t="s">
        <v>763</v>
      </c>
      <c r="D684" s="160">
        <v>84600</v>
      </c>
      <c r="F684" t="s">
        <v>764</v>
      </c>
      <c r="G684" s="4">
        <v>45324</v>
      </c>
      <c r="H684" s="4">
        <v>45357</v>
      </c>
      <c r="I684">
        <v>2024</v>
      </c>
      <c r="J684">
        <v>3</v>
      </c>
      <c r="K684" s="4" t="s">
        <v>697</v>
      </c>
      <c r="L684" t="s">
        <v>329</v>
      </c>
      <c r="N684" t="s">
        <v>765</v>
      </c>
      <c r="O684" t="s">
        <v>18</v>
      </c>
      <c r="P684" t="s">
        <v>332</v>
      </c>
    </row>
    <row r="685" spans="1:16" hidden="1">
      <c r="A685" t="s">
        <v>723</v>
      </c>
      <c r="B685" s="1">
        <v>4590006750</v>
      </c>
      <c r="C685" t="s">
        <v>266</v>
      </c>
      <c r="D685" s="160">
        <v>2785485</v>
      </c>
      <c r="F685" t="s">
        <v>766</v>
      </c>
      <c r="G685" s="4">
        <v>45405</v>
      </c>
      <c r="H685" s="4">
        <v>45405</v>
      </c>
      <c r="I685">
        <v>2024</v>
      </c>
      <c r="J685">
        <v>4</v>
      </c>
      <c r="K685" s="4" t="s">
        <v>767</v>
      </c>
      <c r="L685" t="s">
        <v>89</v>
      </c>
      <c r="M685" t="s">
        <v>768</v>
      </c>
      <c r="N685" t="s">
        <v>89</v>
      </c>
      <c r="O685" t="s">
        <v>8</v>
      </c>
      <c r="P685" t="s">
        <v>268</v>
      </c>
    </row>
    <row r="686" spans="1:16" hidden="1">
      <c r="A686" t="s">
        <v>86</v>
      </c>
      <c r="B686" s="1">
        <v>4590013486</v>
      </c>
      <c r="C686" t="s">
        <v>769</v>
      </c>
      <c r="D686" s="160">
        <v>31408</v>
      </c>
      <c r="F686" t="s">
        <v>770</v>
      </c>
      <c r="G686" s="4">
        <v>45436</v>
      </c>
      <c r="H686" s="4">
        <v>45436</v>
      </c>
      <c r="I686">
        <v>2024</v>
      </c>
      <c r="J686">
        <v>5</v>
      </c>
      <c r="K686" s="4" t="s">
        <v>621</v>
      </c>
      <c r="L686" t="s">
        <v>89</v>
      </c>
      <c r="M686" t="s">
        <v>492</v>
      </c>
      <c r="N686" t="s">
        <v>89</v>
      </c>
      <c r="O686" t="s">
        <v>8</v>
      </c>
      <c r="P686" t="s">
        <v>300</v>
      </c>
    </row>
    <row r="687" spans="1:16" hidden="1">
      <c r="A687" t="s">
        <v>54</v>
      </c>
      <c r="B687" s="1" t="s">
        <v>735</v>
      </c>
      <c r="C687" t="s">
        <v>736</v>
      </c>
      <c r="D687" s="160">
        <v>12210895.4</v>
      </c>
      <c r="F687" t="s">
        <v>771</v>
      </c>
      <c r="G687" s="4">
        <v>45341</v>
      </c>
      <c r="H687" s="4">
        <v>45346</v>
      </c>
      <c r="I687">
        <v>2024</v>
      </c>
      <c r="J687">
        <v>2</v>
      </c>
      <c r="K687" s="4" t="s">
        <v>682</v>
      </c>
      <c r="L687" t="s">
        <v>89</v>
      </c>
      <c r="N687" t="s">
        <v>89</v>
      </c>
      <c r="O687" t="s">
        <v>13</v>
      </c>
      <c r="P687" t="s">
        <v>537</v>
      </c>
    </row>
    <row r="688" spans="1:16" hidden="1">
      <c r="A688" t="s">
        <v>569</v>
      </c>
      <c r="B688" s="1">
        <v>4590015297</v>
      </c>
      <c r="C688" t="s">
        <v>772</v>
      </c>
      <c r="D688" s="160">
        <v>79589.67</v>
      </c>
      <c r="F688" t="s">
        <v>773</v>
      </c>
      <c r="G688" s="4">
        <v>45344</v>
      </c>
      <c r="H688" s="4">
        <v>45345</v>
      </c>
      <c r="I688">
        <v>2024</v>
      </c>
      <c r="J688">
        <v>2</v>
      </c>
      <c r="K688" s="4" t="s">
        <v>682</v>
      </c>
      <c r="L688" t="s">
        <v>89</v>
      </c>
      <c r="N688" t="s">
        <v>89</v>
      </c>
      <c r="O688" t="s">
        <v>13</v>
      </c>
      <c r="P688" t="s">
        <v>774</v>
      </c>
    </row>
    <row r="689" spans="1:16" hidden="1">
      <c r="A689" t="s">
        <v>54</v>
      </c>
      <c r="B689" s="1" t="s">
        <v>133</v>
      </c>
      <c r="C689" t="s">
        <v>134</v>
      </c>
      <c r="D689" s="160">
        <v>131020</v>
      </c>
      <c r="F689" t="s">
        <v>775</v>
      </c>
      <c r="G689" s="4">
        <v>45344</v>
      </c>
      <c r="H689" s="4">
        <v>45346</v>
      </c>
      <c r="I689">
        <v>2024</v>
      </c>
      <c r="J689">
        <v>2</v>
      </c>
      <c r="K689" s="4" t="s">
        <v>682</v>
      </c>
      <c r="L689" t="s">
        <v>89</v>
      </c>
      <c r="N689" t="s">
        <v>89</v>
      </c>
      <c r="O689" t="s">
        <v>9</v>
      </c>
      <c r="P689" t="s">
        <v>135</v>
      </c>
    </row>
    <row r="690" spans="1:16" hidden="1">
      <c r="A690" t="s">
        <v>312</v>
      </c>
      <c r="B690" s="1">
        <v>4503290109</v>
      </c>
      <c r="C690" t="s">
        <v>103</v>
      </c>
      <c r="D690" s="160">
        <v>2158063</v>
      </c>
      <c r="F690" t="s">
        <v>776</v>
      </c>
      <c r="G690" s="4">
        <v>45349</v>
      </c>
      <c r="H690" s="4">
        <v>45351</v>
      </c>
      <c r="I690">
        <v>2024</v>
      </c>
      <c r="J690">
        <v>2</v>
      </c>
      <c r="K690" s="4" t="s">
        <v>682</v>
      </c>
      <c r="L690" t="s">
        <v>89</v>
      </c>
      <c r="N690" t="s">
        <v>89</v>
      </c>
      <c r="O690" t="s">
        <v>9</v>
      </c>
      <c r="P690" t="s">
        <v>104</v>
      </c>
    </row>
    <row r="691" spans="1:16" hidden="1">
      <c r="A691" t="s">
        <v>312</v>
      </c>
      <c r="B691" s="1">
        <v>4503312319</v>
      </c>
      <c r="C691" t="s">
        <v>110</v>
      </c>
      <c r="D691" s="160">
        <v>6875</v>
      </c>
      <c r="F691" t="s">
        <v>777</v>
      </c>
      <c r="G691" s="4">
        <v>45349</v>
      </c>
      <c r="H691" s="4">
        <v>45350</v>
      </c>
      <c r="I691">
        <v>2024</v>
      </c>
      <c r="J691">
        <v>2</v>
      </c>
      <c r="K691" s="4" t="s">
        <v>682</v>
      </c>
      <c r="L691" t="s">
        <v>89</v>
      </c>
      <c r="N691" t="s">
        <v>89</v>
      </c>
      <c r="O691" t="s">
        <v>9</v>
      </c>
      <c r="P691" t="s">
        <v>111</v>
      </c>
    </row>
    <row r="692" spans="1:16" hidden="1">
      <c r="A692" t="s">
        <v>313</v>
      </c>
      <c r="B692" s="1">
        <v>4503428513</v>
      </c>
      <c r="C692" t="s">
        <v>117</v>
      </c>
      <c r="D692" s="160">
        <v>497375</v>
      </c>
      <c r="F692" t="s">
        <v>778</v>
      </c>
      <c r="G692" s="4">
        <v>45349</v>
      </c>
      <c r="H692" s="4">
        <v>45350</v>
      </c>
      <c r="I692">
        <v>2024</v>
      </c>
      <c r="J692">
        <v>2</v>
      </c>
      <c r="K692" s="4" t="s">
        <v>682</v>
      </c>
      <c r="L692" t="s">
        <v>89</v>
      </c>
      <c r="N692" t="s">
        <v>89</v>
      </c>
      <c r="O692" t="s">
        <v>9</v>
      </c>
      <c r="P692" t="s">
        <v>118</v>
      </c>
    </row>
    <row r="693" spans="1:16" hidden="1">
      <c r="A693" t="s">
        <v>102</v>
      </c>
      <c r="B693" s="1">
        <v>4503432118</v>
      </c>
      <c r="C693" t="s">
        <v>119</v>
      </c>
      <c r="D693" s="160">
        <v>1385684</v>
      </c>
      <c r="F693" t="s">
        <v>779</v>
      </c>
      <c r="G693" s="4">
        <v>45349</v>
      </c>
      <c r="H693" s="4">
        <v>45350</v>
      </c>
      <c r="I693">
        <v>2024</v>
      </c>
      <c r="J693">
        <v>2</v>
      </c>
      <c r="K693" s="4" t="s">
        <v>682</v>
      </c>
      <c r="L693" t="s">
        <v>89</v>
      </c>
      <c r="N693" t="s">
        <v>89</v>
      </c>
      <c r="O693" t="s">
        <v>9</v>
      </c>
      <c r="P693" t="s">
        <v>120</v>
      </c>
    </row>
    <row r="694" spans="1:16" hidden="1">
      <c r="A694" t="s">
        <v>312</v>
      </c>
      <c r="B694" s="1">
        <v>4503432152</v>
      </c>
      <c r="C694" t="s">
        <v>121</v>
      </c>
      <c r="D694" s="160">
        <v>337419</v>
      </c>
      <c r="F694" t="s">
        <v>780</v>
      </c>
      <c r="G694" s="4">
        <v>45349</v>
      </c>
      <c r="H694" s="4">
        <v>45350</v>
      </c>
      <c r="I694">
        <v>2024</v>
      </c>
      <c r="J694">
        <v>2</v>
      </c>
      <c r="K694" s="4" t="s">
        <v>682</v>
      </c>
      <c r="L694" t="s">
        <v>89</v>
      </c>
      <c r="N694" t="s">
        <v>89</v>
      </c>
      <c r="O694" t="s">
        <v>9</v>
      </c>
      <c r="P694" t="s">
        <v>122</v>
      </c>
    </row>
    <row r="695" spans="1:16" hidden="1">
      <c r="A695" t="s">
        <v>314</v>
      </c>
      <c r="B695" s="1">
        <v>4503441102</v>
      </c>
      <c r="C695" t="s">
        <v>140</v>
      </c>
      <c r="D695" s="160">
        <v>108839</v>
      </c>
      <c r="E695">
        <v>6084</v>
      </c>
      <c r="F695" t="s">
        <v>781</v>
      </c>
      <c r="G695" s="4">
        <v>45345</v>
      </c>
      <c r="H695" s="4">
        <v>45351</v>
      </c>
      <c r="I695">
        <v>2024</v>
      </c>
      <c r="J695">
        <v>2</v>
      </c>
      <c r="K695" s="4" t="s">
        <v>682</v>
      </c>
      <c r="L695" t="s">
        <v>89</v>
      </c>
      <c r="N695" t="s">
        <v>89</v>
      </c>
      <c r="O695" t="s">
        <v>9</v>
      </c>
      <c r="P695" t="s">
        <v>141</v>
      </c>
    </row>
    <row r="696" spans="1:16" hidden="1">
      <c r="A696" t="s">
        <v>312</v>
      </c>
      <c r="B696" s="1">
        <v>4590004029</v>
      </c>
      <c r="C696" t="s">
        <v>352</v>
      </c>
      <c r="D696" s="160">
        <v>1059798</v>
      </c>
      <c r="F696" t="s">
        <v>782</v>
      </c>
      <c r="G696" s="4">
        <v>45349</v>
      </c>
      <c r="H696" s="4">
        <v>45350</v>
      </c>
      <c r="I696">
        <v>2024</v>
      </c>
      <c r="J696">
        <v>2</v>
      </c>
      <c r="K696" s="4" t="s">
        <v>682</v>
      </c>
      <c r="L696" t="s">
        <v>89</v>
      </c>
      <c r="N696" t="s">
        <v>89</v>
      </c>
      <c r="O696" t="s">
        <v>11</v>
      </c>
      <c r="P696" t="s">
        <v>120</v>
      </c>
    </row>
    <row r="697" spans="1:16" hidden="1">
      <c r="A697" t="s">
        <v>321</v>
      </c>
      <c r="B697" s="1">
        <v>4590008082</v>
      </c>
      <c r="C697" t="s">
        <v>324</v>
      </c>
      <c r="D697" s="160">
        <v>116748</v>
      </c>
      <c r="F697" t="s">
        <v>783</v>
      </c>
      <c r="G697" s="4">
        <v>45349</v>
      </c>
      <c r="H697" s="4">
        <v>45350</v>
      </c>
      <c r="I697">
        <v>2024</v>
      </c>
      <c r="J697">
        <v>2</v>
      </c>
      <c r="K697" s="4" t="s">
        <v>682</v>
      </c>
      <c r="L697" t="s">
        <v>89</v>
      </c>
      <c r="N697" t="s">
        <v>89</v>
      </c>
      <c r="O697" t="s">
        <v>11</v>
      </c>
      <c r="P697" t="s">
        <v>122</v>
      </c>
    </row>
    <row r="698" spans="1:16" hidden="1">
      <c r="A698" t="s">
        <v>784</v>
      </c>
      <c r="B698" s="1">
        <v>4590008170</v>
      </c>
      <c r="C698" t="s">
        <v>655</v>
      </c>
      <c r="D698" s="160">
        <v>39524.81</v>
      </c>
      <c r="F698" t="s">
        <v>785</v>
      </c>
      <c r="G698" s="4">
        <v>45344</v>
      </c>
      <c r="H698" s="4">
        <v>45346</v>
      </c>
      <c r="I698">
        <v>2024</v>
      </c>
      <c r="J698">
        <v>2</v>
      </c>
      <c r="K698" s="4" t="s">
        <v>682</v>
      </c>
      <c r="L698" t="s">
        <v>89</v>
      </c>
      <c r="N698" t="s">
        <v>89</v>
      </c>
      <c r="O698" t="s">
        <v>9</v>
      </c>
      <c r="P698" t="s">
        <v>425</v>
      </c>
    </row>
    <row r="699" spans="1:16" hidden="1">
      <c r="A699" t="s">
        <v>786</v>
      </c>
      <c r="B699" s="1">
        <v>4590011084</v>
      </c>
      <c r="C699" t="s">
        <v>787</v>
      </c>
      <c r="D699" s="160">
        <v>967.93</v>
      </c>
      <c r="F699" t="s">
        <v>788</v>
      </c>
      <c r="G699" s="4">
        <v>45345</v>
      </c>
      <c r="H699" s="4">
        <v>45346</v>
      </c>
      <c r="I699">
        <v>2024</v>
      </c>
      <c r="J699">
        <v>2</v>
      </c>
      <c r="K699" s="4" t="s">
        <v>682</v>
      </c>
      <c r="L699" t="s">
        <v>89</v>
      </c>
      <c r="N699" t="s">
        <v>89</v>
      </c>
      <c r="O699" t="s">
        <v>13</v>
      </c>
      <c r="P699" t="s">
        <v>361</v>
      </c>
    </row>
    <row r="700" spans="1:16" hidden="1">
      <c r="A700" t="s">
        <v>789</v>
      </c>
      <c r="B700" s="1">
        <v>4590012855</v>
      </c>
      <c r="C700" t="s">
        <v>790</v>
      </c>
      <c r="D700" s="160">
        <v>227355</v>
      </c>
      <c r="F700" t="s">
        <v>791</v>
      </c>
      <c r="G700" s="4">
        <v>45349</v>
      </c>
      <c r="H700" s="4">
        <v>45350</v>
      </c>
      <c r="I700">
        <v>2024</v>
      </c>
      <c r="J700">
        <v>2</v>
      </c>
      <c r="K700" s="4" t="s">
        <v>682</v>
      </c>
      <c r="L700" t="s">
        <v>89</v>
      </c>
      <c r="N700" t="s">
        <v>89</v>
      </c>
      <c r="O700" t="s">
        <v>9</v>
      </c>
      <c r="P700" t="s">
        <v>129</v>
      </c>
    </row>
    <row r="701" spans="1:16" hidden="1">
      <c r="A701" t="s">
        <v>165</v>
      </c>
      <c r="C701" t="s">
        <v>792</v>
      </c>
      <c r="D701" s="160">
        <v>11878.35</v>
      </c>
      <c r="E701">
        <v>664</v>
      </c>
      <c r="F701" t="s">
        <v>793</v>
      </c>
      <c r="G701" s="4">
        <v>45327</v>
      </c>
      <c r="H701" s="4">
        <v>45327</v>
      </c>
      <c r="I701">
        <v>2024</v>
      </c>
      <c r="J701">
        <v>2</v>
      </c>
      <c r="K701" s="4" t="s">
        <v>682</v>
      </c>
      <c r="L701" t="s">
        <v>89</v>
      </c>
      <c r="N701" t="s">
        <v>89</v>
      </c>
      <c r="O701" t="s">
        <v>18</v>
      </c>
      <c r="P701" t="s">
        <v>550</v>
      </c>
    </row>
    <row r="702" spans="1:16" hidden="1">
      <c r="A702" t="s">
        <v>312</v>
      </c>
      <c r="B702" s="1">
        <v>4590013633</v>
      </c>
      <c r="C702" t="s">
        <v>667</v>
      </c>
      <c r="D702" s="160">
        <v>44137</v>
      </c>
      <c r="F702" t="s">
        <v>794</v>
      </c>
      <c r="G702" s="4">
        <v>45344</v>
      </c>
      <c r="H702" s="4">
        <v>45346</v>
      </c>
      <c r="I702">
        <v>2024</v>
      </c>
      <c r="J702">
        <v>2</v>
      </c>
      <c r="K702" s="4" t="s">
        <v>682</v>
      </c>
      <c r="L702" t="s">
        <v>89</v>
      </c>
      <c r="N702" t="s">
        <v>89</v>
      </c>
      <c r="O702" t="s">
        <v>9</v>
      </c>
      <c r="P702" t="s">
        <v>104</v>
      </c>
    </row>
    <row r="703" spans="1:16" hidden="1">
      <c r="A703" t="s">
        <v>312</v>
      </c>
      <c r="B703" s="1">
        <v>4590013803</v>
      </c>
      <c r="C703" t="s">
        <v>700</v>
      </c>
      <c r="D703" s="160">
        <v>93604</v>
      </c>
      <c r="F703" t="s">
        <v>795</v>
      </c>
      <c r="G703" s="4">
        <v>45344</v>
      </c>
      <c r="H703" s="4">
        <v>45346</v>
      </c>
      <c r="I703">
        <v>2024</v>
      </c>
      <c r="J703">
        <v>2</v>
      </c>
      <c r="K703" s="4" t="s">
        <v>682</v>
      </c>
      <c r="L703" t="s">
        <v>89</v>
      </c>
      <c r="N703" t="s">
        <v>89</v>
      </c>
      <c r="O703" t="s">
        <v>9</v>
      </c>
      <c r="P703" t="s">
        <v>120</v>
      </c>
    </row>
    <row r="704" spans="1:16" hidden="1">
      <c r="A704" t="s">
        <v>312</v>
      </c>
      <c r="B704" s="1">
        <v>4590013804</v>
      </c>
      <c r="C704" t="s">
        <v>670</v>
      </c>
      <c r="D704" s="160">
        <v>190506</v>
      </c>
      <c r="F704" t="s">
        <v>796</v>
      </c>
      <c r="G704" s="4">
        <v>45349</v>
      </c>
      <c r="H704" s="4">
        <v>45350</v>
      </c>
      <c r="I704">
        <v>2024</v>
      </c>
      <c r="J704">
        <v>2</v>
      </c>
      <c r="K704" s="4" t="s">
        <v>682</v>
      </c>
      <c r="L704" t="s">
        <v>89</v>
      </c>
      <c r="N704" t="s">
        <v>89</v>
      </c>
      <c r="O704" t="s">
        <v>9</v>
      </c>
      <c r="P704" t="s">
        <v>120</v>
      </c>
    </row>
    <row r="705" spans="1:16" hidden="1">
      <c r="A705" t="s">
        <v>312</v>
      </c>
      <c r="B705" s="1">
        <v>4590014630</v>
      </c>
      <c r="C705" t="s">
        <v>730</v>
      </c>
      <c r="D705" s="160">
        <v>31370</v>
      </c>
      <c r="F705" t="s">
        <v>797</v>
      </c>
      <c r="G705" s="4">
        <v>45349</v>
      </c>
      <c r="H705" s="4">
        <v>45350</v>
      </c>
      <c r="I705">
        <v>2024</v>
      </c>
      <c r="J705">
        <v>2</v>
      </c>
      <c r="K705" s="4" t="s">
        <v>682</v>
      </c>
      <c r="L705" t="s">
        <v>89</v>
      </c>
      <c r="N705" t="s">
        <v>89</v>
      </c>
      <c r="O705" t="s">
        <v>9</v>
      </c>
      <c r="P705" t="s">
        <v>120</v>
      </c>
    </row>
    <row r="706" spans="1:16" hidden="1">
      <c r="A706" t="s">
        <v>687</v>
      </c>
      <c r="B706" s="1">
        <v>4590006814</v>
      </c>
      <c r="C706" t="s">
        <v>455</v>
      </c>
      <c r="D706" s="160">
        <v>27055</v>
      </c>
      <c r="F706" t="s">
        <v>798</v>
      </c>
      <c r="G706" s="4">
        <v>45408</v>
      </c>
      <c r="H706" s="4">
        <v>45408</v>
      </c>
      <c r="I706">
        <v>2024</v>
      </c>
      <c r="J706">
        <v>4</v>
      </c>
      <c r="K706" s="4" t="s">
        <v>767</v>
      </c>
      <c r="L706" t="s">
        <v>89</v>
      </c>
      <c r="M706" t="s">
        <v>758</v>
      </c>
      <c r="N706" t="s">
        <v>89</v>
      </c>
      <c r="O706" t="s">
        <v>8</v>
      </c>
      <c r="P706" t="s">
        <v>300</v>
      </c>
    </row>
    <row r="707" spans="1:16" hidden="1">
      <c r="A707" t="s">
        <v>799</v>
      </c>
      <c r="B707" s="1">
        <v>4590015373</v>
      </c>
      <c r="C707" t="s">
        <v>800</v>
      </c>
      <c r="D707" s="160">
        <v>2356722</v>
      </c>
      <c r="F707" t="s">
        <v>801</v>
      </c>
      <c r="G707" s="4">
        <v>45345</v>
      </c>
      <c r="H707" s="4">
        <v>45346</v>
      </c>
      <c r="I707">
        <v>2024</v>
      </c>
      <c r="J707">
        <v>2</v>
      </c>
      <c r="K707" s="4" t="s">
        <v>682</v>
      </c>
      <c r="L707" t="s">
        <v>89</v>
      </c>
      <c r="M707" t="s">
        <v>802</v>
      </c>
      <c r="N707" t="s">
        <v>89</v>
      </c>
      <c r="O707" t="s">
        <v>13</v>
      </c>
      <c r="P707" t="s">
        <v>291</v>
      </c>
    </row>
    <row r="708" spans="1:16" hidden="1">
      <c r="A708" t="s">
        <v>54</v>
      </c>
      <c r="B708" s="1" t="s">
        <v>127</v>
      </c>
      <c r="C708" t="s">
        <v>128</v>
      </c>
      <c r="D708" s="160">
        <v>6441702</v>
      </c>
      <c r="F708" t="s">
        <v>803</v>
      </c>
      <c r="G708" s="4">
        <v>45349</v>
      </c>
      <c r="H708" s="4">
        <v>45350</v>
      </c>
      <c r="I708">
        <v>2024</v>
      </c>
      <c r="J708">
        <v>2</v>
      </c>
      <c r="K708" s="4" t="s">
        <v>682</v>
      </c>
      <c r="L708" t="s">
        <v>89</v>
      </c>
      <c r="N708" t="s">
        <v>89</v>
      </c>
      <c r="O708" t="s">
        <v>9</v>
      </c>
      <c r="P708" t="s">
        <v>129</v>
      </c>
    </row>
    <row r="709" spans="1:16" hidden="1">
      <c r="A709" t="s">
        <v>54</v>
      </c>
      <c r="B709" s="1" t="s">
        <v>136</v>
      </c>
      <c r="C709" t="s">
        <v>137</v>
      </c>
      <c r="D709" s="160">
        <v>111143</v>
      </c>
      <c r="F709" t="s">
        <v>804</v>
      </c>
      <c r="G709" s="4">
        <v>45345</v>
      </c>
      <c r="H709" s="4">
        <v>45346</v>
      </c>
      <c r="I709">
        <v>2024</v>
      </c>
      <c r="J709">
        <v>2</v>
      </c>
      <c r="K709" s="4" t="s">
        <v>682</v>
      </c>
      <c r="L709" t="s">
        <v>89</v>
      </c>
      <c r="N709" t="s">
        <v>89</v>
      </c>
      <c r="O709" t="s">
        <v>9</v>
      </c>
      <c r="P709" t="s">
        <v>135</v>
      </c>
    </row>
    <row r="710" spans="1:16" hidden="1">
      <c r="A710" t="s">
        <v>54</v>
      </c>
      <c r="B710" s="1" t="s">
        <v>371</v>
      </c>
      <c r="C710" t="s">
        <v>372</v>
      </c>
      <c r="D710" s="160">
        <v>86981</v>
      </c>
      <c r="F710" t="s">
        <v>805</v>
      </c>
      <c r="G710" s="4">
        <v>45349</v>
      </c>
      <c r="H710" s="4">
        <v>45350</v>
      </c>
      <c r="I710">
        <v>2024</v>
      </c>
      <c r="J710">
        <v>2</v>
      </c>
      <c r="K710" s="4" t="s">
        <v>682</v>
      </c>
      <c r="L710" t="s">
        <v>89</v>
      </c>
      <c r="N710" t="s">
        <v>89</v>
      </c>
      <c r="O710" t="s">
        <v>11</v>
      </c>
      <c r="P710" t="s">
        <v>120</v>
      </c>
    </row>
    <row r="711" spans="1:16" hidden="1">
      <c r="A711" t="s">
        <v>54</v>
      </c>
      <c r="B711" s="1" t="s">
        <v>502</v>
      </c>
      <c r="C711" t="s">
        <v>503</v>
      </c>
      <c r="D711" s="160">
        <v>358843.52</v>
      </c>
      <c r="F711" t="s">
        <v>806</v>
      </c>
      <c r="G711" s="4">
        <v>45345</v>
      </c>
      <c r="H711" s="4">
        <v>45346</v>
      </c>
      <c r="I711">
        <v>2024</v>
      </c>
      <c r="J711">
        <v>2</v>
      </c>
      <c r="K711" s="4" t="s">
        <v>682</v>
      </c>
      <c r="L711" t="s">
        <v>89</v>
      </c>
      <c r="N711" t="s">
        <v>89</v>
      </c>
      <c r="O711" t="s">
        <v>13</v>
      </c>
      <c r="P711" t="s">
        <v>361</v>
      </c>
    </row>
    <row r="712" spans="1:16" hidden="1">
      <c r="A712" t="s">
        <v>807</v>
      </c>
      <c r="B712" s="1">
        <v>4590013632</v>
      </c>
      <c r="C712" t="s">
        <v>808</v>
      </c>
      <c r="D712" s="160">
        <v>16016.23</v>
      </c>
      <c r="F712" t="s">
        <v>809</v>
      </c>
      <c r="G712" s="4"/>
      <c r="H712" s="4"/>
      <c r="I712">
        <v>2024</v>
      </c>
      <c r="J712">
        <v>2</v>
      </c>
      <c r="K712" s="4" t="s">
        <v>682</v>
      </c>
      <c r="L712" t="s">
        <v>89</v>
      </c>
      <c r="N712" t="s">
        <v>89</v>
      </c>
      <c r="O712" t="s">
        <v>11</v>
      </c>
      <c r="P712" t="s">
        <v>190</v>
      </c>
    </row>
    <row r="713" spans="1:16" hidden="1">
      <c r="A713" t="s">
        <v>810</v>
      </c>
      <c r="B713" s="1">
        <v>4590010394</v>
      </c>
      <c r="C713" t="s">
        <v>811</v>
      </c>
      <c r="D713" s="160">
        <v>4821.87</v>
      </c>
      <c r="F713" t="s">
        <v>812</v>
      </c>
      <c r="G713" s="4">
        <v>45345</v>
      </c>
      <c r="H713" s="4">
        <v>45346</v>
      </c>
      <c r="I713">
        <v>2024</v>
      </c>
      <c r="J713">
        <v>2</v>
      </c>
      <c r="K713" s="4" t="s">
        <v>682</v>
      </c>
      <c r="L713" t="s">
        <v>89</v>
      </c>
      <c r="M713" t="s">
        <v>458</v>
      </c>
      <c r="N713" t="s">
        <v>89</v>
      </c>
      <c r="O713" t="s">
        <v>13</v>
      </c>
      <c r="P713" t="s">
        <v>361</v>
      </c>
    </row>
    <row r="714" spans="1:16" hidden="1">
      <c r="A714" t="s">
        <v>813</v>
      </c>
      <c r="B714" s="1">
        <v>4590010395</v>
      </c>
      <c r="C714" t="s">
        <v>814</v>
      </c>
      <c r="D714" s="160">
        <v>3214.58</v>
      </c>
      <c r="F714" t="s">
        <v>815</v>
      </c>
      <c r="G714" s="4">
        <v>45345</v>
      </c>
      <c r="H714" s="4">
        <v>45350</v>
      </c>
      <c r="I714">
        <v>2024</v>
      </c>
      <c r="J714">
        <v>2</v>
      </c>
      <c r="K714" s="4" t="s">
        <v>682</v>
      </c>
      <c r="L714" t="s">
        <v>95</v>
      </c>
      <c r="M714" t="s">
        <v>816</v>
      </c>
      <c r="N714" t="s">
        <v>817</v>
      </c>
      <c r="O714" t="s">
        <v>16</v>
      </c>
      <c r="P714" t="s">
        <v>361</v>
      </c>
    </row>
    <row r="715" spans="1:16" hidden="1">
      <c r="A715" t="s">
        <v>165</v>
      </c>
      <c r="C715" t="s">
        <v>818</v>
      </c>
      <c r="D715" s="160">
        <v>1181836.47</v>
      </c>
      <c r="F715" t="s">
        <v>819</v>
      </c>
      <c r="G715" s="4">
        <v>45331</v>
      </c>
      <c r="H715" s="4">
        <v>45331</v>
      </c>
      <c r="I715">
        <v>2024</v>
      </c>
      <c r="J715">
        <v>2</v>
      </c>
      <c r="K715" s="4" t="s">
        <v>682</v>
      </c>
      <c r="L715" t="s">
        <v>95</v>
      </c>
      <c r="N715" t="s">
        <v>820</v>
      </c>
      <c r="O715" t="s">
        <v>18</v>
      </c>
      <c r="P715" t="s">
        <v>550</v>
      </c>
    </row>
    <row r="716" spans="1:16" hidden="1">
      <c r="A716" t="s">
        <v>321</v>
      </c>
      <c r="B716" s="1">
        <v>4590007599</v>
      </c>
      <c r="C716" t="s">
        <v>270</v>
      </c>
      <c r="D716" s="160">
        <v>24801.78</v>
      </c>
      <c r="F716" t="s">
        <v>821</v>
      </c>
      <c r="G716" s="4">
        <v>45349</v>
      </c>
      <c r="H716" s="4">
        <v>45350</v>
      </c>
      <c r="I716">
        <v>2024</v>
      </c>
      <c r="J716">
        <v>2</v>
      </c>
      <c r="K716" s="4" t="s">
        <v>682</v>
      </c>
      <c r="L716" t="s">
        <v>89</v>
      </c>
      <c r="N716" t="s">
        <v>89</v>
      </c>
      <c r="O716" t="s">
        <v>9</v>
      </c>
      <c r="P716" t="s">
        <v>272</v>
      </c>
    </row>
    <row r="717" spans="1:16" hidden="1">
      <c r="A717" t="s">
        <v>822</v>
      </c>
      <c r="B717" s="1">
        <v>4590009466</v>
      </c>
      <c r="C717" t="s">
        <v>561</v>
      </c>
      <c r="D717" s="160">
        <v>1711559</v>
      </c>
      <c r="F717" t="s">
        <v>823</v>
      </c>
      <c r="G717" s="4">
        <v>45345</v>
      </c>
      <c r="H717" s="4">
        <v>45349</v>
      </c>
      <c r="I717">
        <v>2024</v>
      </c>
      <c r="J717">
        <v>2</v>
      </c>
      <c r="K717" s="4" t="s">
        <v>682</v>
      </c>
      <c r="L717" t="s">
        <v>89</v>
      </c>
      <c r="N717" t="s">
        <v>89</v>
      </c>
      <c r="O717" t="s">
        <v>13</v>
      </c>
      <c r="P717" t="s">
        <v>563</v>
      </c>
    </row>
    <row r="718" spans="1:16" hidden="1">
      <c r="A718" t="s">
        <v>312</v>
      </c>
      <c r="B718" s="1">
        <v>4590015143</v>
      </c>
      <c r="C718" t="s">
        <v>734</v>
      </c>
      <c r="D718" s="160">
        <v>6018</v>
      </c>
      <c r="F718" t="s">
        <v>824</v>
      </c>
      <c r="G718" s="4">
        <v>45349</v>
      </c>
      <c r="H718" s="4">
        <v>45350</v>
      </c>
      <c r="I718">
        <v>2024</v>
      </c>
      <c r="J718">
        <v>2</v>
      </c>
      <c r="K718" s="4" t="s">
        <v>682</v>
      </c>
      <c r="L718" t="s">
        <v>89</v>
      </c>
      <c r="N718" t="s">
        <v>89</v>
      </c>
      <c r="O718" t="s">
        <v>9</v>
      </c>
      <c r="P718" t="s">
        <v>120</v>
      </c>
    </row>
    <row r="719" spans="1:16" hidden="1">
      <c r="A719" t="s">
        <v>54</v>
      </c>
      <c r="B719" s="1" t="s">
        <v>201</v>
      </c>
      <c r="C719" t="s">
        <v>202</v>
      </c>
      <c r="D719" s="160">
        <v>181915</v>
      </c>
      <c r="F719" t="s">
        <v>825</v>
      </c>
      <c r="G719" s="4">
        <v>45349</v>
      </c>
      <c r="H719" s="4">
        <v>45350</v>
      </c>
      <c r="I719">
        <v>2024</v>
      </c>
      <c r="J719">
        <v>2</v>
      </c>
      <c r="K719" s="4" t="s">
        <v>682</v>
      </c>
      <c r="L719" t="s">
        <v>89</v>
      </c>
      <c r="N719" t="s">
        <v>89</v>
      </c>
      <c r="O719" t="s">
        <v>11</v>
      </c>
      <c r="P719" t="s">
        <v>190</v>
      </c>
    </row>
    <row r="720" spans="1:16" hidden="1">
      <c r="A720" t="s">
        <v>54</v>
      </c>
      <c r="B720" s="1" t="s">
        <v>204</v>
      </c>
      <c r="C720" t="s">
        <v>205</v>
      </c>
      <c r="D720" s="160">
        <v>121588</v>
      </c>
      <c r="F720" t="s">
        <v>826</v>
      </c>
      <c r="G720" s="4">
        <v>45349</v>
      </c>
      <c r="H720" s="4">
        <v>45350</v>
      </c>
      <c r="I720">
        <v>2024</v>
      </c>
      <c r="J720">
        <v>2</v>
      </c>
      <c r="K720" s="4" t="s">
        <v>682</v>
      </c>
      <c r="L720" t="s">
        <v>89</v>
      </c>
      <c r="N720" t="s">
        <v>89</v>
      </c>
      <c r="O720" t="s">
        <v>11</v>
      </c>
      <c r="P720" t="s">
        <v>190</v>
      </c>
    </row>
    <row r="721" spans="1:16" hidden="1">
      <c r="A721" t="s">
        <v>237</v>
      </c>
      <c r="B721" s="1" t="s">
        <v>827</v>
      </c>
      <c r="C721" t="s">
        <v>828</v>
      </c>
      <c r="D721" s="160">
        <v>20280.25</v>
      </c>
      <c r="F721" t="s">
        <v>829</v>
      </c>
      <c r="G721" s="4">
        <v>45348</v>
      </c>
      <c r="H721" s="4">
        <v>45348</v>
      </c>
      <c r="I721">
        <v>2024</v>
      </c>
      <c r="J721">
        <v>2</v>
      </c>
      <c r="K721" s="4" t="s">
        <v>682</v>
      </c>
      <c r="L721" t="s">
        <v>89</v>
      </c>
      <c r="N721" t="s">
        <v>89</v>
      </c>
      <c r="O721" t="s">
        <v>18</v>
      </c>
      <c r="P721" t="s">
        <v>240</v>
      </c>
    </row>
    <row r="722" spans="1:16" hidden="1">
      <c r="A722" t="s">
        <v>830</v>
      </c>
      <c r="B722" s="1">
        <v>20230315002</v>
      </c>
      <c r="C722" t="s">
        <v>831</v>
      </c>
      <c r="D722" s="160">
        <v>641809.98</v>
      </c>
      <c r="E722">
        <v>31185.55</v>
      </c>
      <c r="F722" t="s">
        <v>832</v>
      </c>
      <c r="G722" s="4">
        <v>45350</v>
      </c>
      <c r="H722" s="4">
        <v>45350</v>
      </c>
      <c r="I722">
        <v>2024</v>
      </c>
      <c r="J722">
        <v>2</v>
      </c>
      <c r="K722" s="4" t="s">
        <v>682</v>
      </c>
      <c r="L722" t="s">
        <v>95</v>
      </c>
      <c r="N722" t="s">
        <v>833</v>
      </c>
      <c r="O722" t="s">
        <v>18</v>
      </c>
      <c r="P722" t="s">
        <v>834</v>
      </c>
    </row>
    <row r="723" spans="1:16" hidden="1">
      <c r="A723" t="s">
        <v>807</v>
      </c>
      <c r="B723" s="1">
        <v>4590011384</v>
      </c>
      <c r="C723" t="s">
        <v>835</v>
      </c>
      <c r="D723" s="160">
        <v>102343.84</v>
      </c>
      <c r="F723" t="s">
        <v>836</v>
      </c>
      <c r="G723" s="4">
        <v>45335</v>
      </c>
      <c r="H723" s="4">
        <v>45335</v>
      </c>
      <c r="I723">
        <v>2024</v>
      </c>
      <c r="J723">
        <v>2</v>
      </c>
      <c r="K723" s="4" t="s">
        <v>682</v>
      </c>
      <c r="L723" t="s">
        <v>837</v>
      </c>
      <c r="N723" t="s">
        <v>838</v>
      </c>
      <c r="O723" t="s">
        <v>16</v>
      </c>
      <c r="P723" t="s">
        <v>839</v>
      </c>
    </row>
    <row r="724" spans="1:16" hidden="1">
      <c r="A724" t="s">
        <v>840</v>
      </c>
      <c r="B724" s="1" t="s">
        <v>326</v>
      </c>
      <c r="C724" t="s">
        <v>841</v>
      </c>
      <c r="D724" s="160">
        <v>156652.85</v>
      </c>
      <c r="F724" t="s">
        <v>842</v>
      </c>
      <c r="G724" s="4">
        <v>45324</v>
      </c>
      <c r="H724" s="4">
        <v>45324</v>
      </c>
      <c r="I724">
        <v>2024</v>
      </c>
      <c r="J724">
        <v>2</v>
      </c>
      <c r="K724" s="4" t="s">
        <v>682</v>
      </c>
      <c r="L724" t="s">
        <v>95</v>
      </c>
      <c r="N724" t="s">
        <v>765</v>
      </c>
      <c r="O724" t="s">
        <v>18</v>
      </c>
      <c r="P724" t="s">
        <v>332</v>
      </c>
    </row>
    <row r="725" spans="1:16" hidden="1">
      <c r="A725" t="s">
        <v>843</v>
      </c>
      <c r="B725" s="1">
        <v>4590015039</v>
      </c>
      <c r="C725" t="s">
        <v>844</v>
      </c>
      <c r="D725" s="160">
        <v>30042.6</v>
      </c>
      <c r="F725" t="s">
        <v>845</v>
      </c>
      <c r="G725" s="4">
        <v>45344</v>
      </c>
      <c r="H725" s="4">
        <v>45475</v>
      </c>
      <c r="I725">
        <v>2024</v>
      </c>
      <c r="J725">
        <v>2</v>
      </c>
      <c r="K725" s="4" t="s">
        <v>682</v>
      </c>
      <c r="L725" t="s">
        <v>89</v>
      </c>
      <c r="M725" t="s">
        <v>299</v>
      </c>
      <c r="N725" t="s">
        <v>89</v>
      </c>
      <c r="O725" t="s">
        <v>8</v>
      </c>
      <c r="P725" t="s">
        <v>98</v>
      </c>
    </row>
    <row r="726" spans="1:16" hidden="1">
      <c r="A726" t="s">
        <v>846</v>
      </c>
      <c r="B726" s="1">
        <v>4400837508</v>
      </c>
      <c r="C726" t="s">
        <v>847</v>
      </c>
      <c r="D726" s="160">
        <v>38469</v>
      </c>
      <c r="F726" t="s">
        <v>848</v>
      </c>
      <c r="G726" s="4" t="s">
        <v>849</v>
      </c>
      <c r="H726" s="4" t="s">
        <v>849</v>
      </c>
      <c r="I726">
        <v>2024</v>
      </c>
      <c r="J726">
        <v>2</v>
      </c>
      <c r="K726" s="4" t="s">
        <v>682</v>
      </c>
      <c r="L726" t="s">
        <v>89</v>
      </c>
      <c r="N726" t="s">
        <v>89</v>
      </c>
      <c r="O726" t="s">
        <v>18</v>
      </c>
      <c r="P726" t="s">
        <v>550</v>
      </c>
    </row>
    <row r="727" spans="1:16" hidden="1">
      <c r="A727" t="s">
        <v>405</v>
      </c>
      <c r="B727" s="1" t="s">
        <v>850</v>
      </c>
      <c r="C727" t="s">
        <v>851</v>
      </c>
      <c r="D727" s="160">
        <v>224569.13</v>
      </c>
      <c r="E727">
        <v>12553.41</v>
      </c>
      <c r="F727" t="s">
        <v>852</v>
      </c>
      <c r="G727" s="4" t="s">
        <v>853</v>
      </c>
      <c r="H727" s="4" t="s">
        <v>853</v>
      </c>
      <c r="I727">
        <v>2024</v>
      </c>
      <c r="J727">
        <v>2</v>
      </c>
      <c r="K727" s="4" t="s">
        <v>682</v>
      </c>
      <c r="L727" t="s">
        <v>89</v>
      </c>
      <c r="N727" t="s">
        <v>89</v>
      </c>
      <c r="O727" t="s">
        <v>8</v>
      </c>
      <c r="P727" t="s">
        <v>408</v>
      </c>
    </row>
    <row r="728" spans="1:16" hidden="1">
      <c r="A728" t="s">
        <v>854</v>
      </c>
      <c r="C728" t="s">
        <v>818</v>
      </c>
      <c r="D728" s="160">
        <v>116428.78</v>
      </c>
      <c r="F728" t="s">
        <v>855</v>
      </c>
      <c r="G728" s="4">
        <v>45331</v>
      </c>
      <c r="H728" s="4">
        <v>45331</v>
      </c>
      <c r="I728">
        <v>2024</v>
      </c>
      <c r="J728">
        <v>2</v>
      </c>
      <c r="K728" s="4" t="s">
        <v>682</v>
      </c>
      <c r="L728" t="s">
        <v>89</v>
      </c>
      <c r="N728" t="s">
        <v>89</v>
      </c>
      <c r="O728" t="s">
        <v>18</v>
      </c>
      <c r="P728" t="s">
        <v>550</v>
      </c>
    </row>
    <row r="729" spans="1:16" hidden="1">
      <c r="A729" t="s">
        <v>856</v>
      </c>
      <c r="B729" s="1">
        <v>4590013410</v>
      </c>
      <c r="C729" t="s">
        <v>857</v>
      </c>
      <c r="D729" s="160">
        <v>32263.07</v>
      </c>
      <c r="E729">
        <v>1803.51</v>
      </c>
      <c r="F729" t="s">
        <v>858</v>
      </c>
      <c r="G729" s="4">
        <v>45344</v>
      </c>
      <c r="H729" s="4">
        <v>45346</v>
      </c>
      <c r="I729">
        <v>2024</v>
      </c>
      <c r="J729">
        <v>2</v>
      </c>
      <c r="K729" s="4" t="s">
        <v>682</v>
      </c>
      <c r="L729" t="s">
        <v>837</v>
      </c>
      <c r="M729" t="s">
        <v>859</v>
      </c>
      <c r="N729" t="s">
        <v>860</v>
      </c>
      <c r="O729" t="s">
        <v>13</v>
      </c>
      <c r="P729" t="s">
        <v>361</v>
      </c>
    </row>
    <row r="730" spans="1:16" hidden="1">
      <c r="A730" t="s">
        <v>846</v>
      </c>
      <c r="B730" s="1">
        <v>4400772471</v>
      </c>
      <c r="C730" t="s">
        <v>861</v>
      </c>
      <c r="D730" s="160">
        <v>81711.87</v>
      </c>
      <c r="F730" t="s">
        <v>862</v>
      </c>
      <c r="G730" s="4" t="s">
        <v>863</v>
      </c>
      <c r="H730" s="4" t="s">
        <v>863</v>
      </c>
      <c r="I730">
        <v>2024</v>
      </c>
      <c r="J730">
        <v>2</v>
      </c>
      <c r="K730" s="4" t="s">
        <v>682</v>
      </c>
      <c r="L730" t="s">
        <v>89</v>
      </c>
      <c r="N730" t="s">
        <v>89</v>
      </c>
      <c r="P730" t="s">
        <v>550</v>
      </c>
    </row>
    <row r="731" spans="1:16" hidden="1">
      <c r="A731" t="s">
        <v>846</v>
      </c>
      <c r="B731" s="1">
        <v>4400772471</v>
      </c>
      <c r="C731" t="s">
        <v>864</v>
      </c>
      <c r="D731" s="160">
        <v>59108.76</v>
      </c>
      <c r="F731" t="s">
        <v>865</v>
      </c>
      <c r="G731" s="4" t="s">
        <v>863</v>
      </c>
      <c r="H731" s="4" t="s">
        <v>863</v>
      </c>
      <c r="I731">
        <v>2024</v>
      </c>
      <c r="J731">
        <v>2</v>
      </c>
      <c r="K731" s="4" t="s">
        <v>682</v>
      </c>
      <c r="L731" t="s">
        <v>89</v>
      </c>
      <c r="N731" t="s">
        <v>89</v>
      </c>
      <c r="P731" t="s">
        <v>550</v>
      </c>
    </row>
    <row r="732" spans="1:16" hidden="1">
      <c r="A732" t="s">
        <v>846</v>
      </c>
      <c r="B732" s="1">
        <v>4400772471</v>
      </c>
      <c r="C732" t="s">
        <v>866</v>
      </c>
      <c r="D732" s="160">
        <v>11821.75</v>
      </c>
      <c r="F732" t="s">
        <v>867</v>
      </c>
      <c r="G732" s="4" t="s">
        <v>863</v>
      </c>
      <c r="H732" s="4" t="s">
        <v>863</v>
      </c>
      <c r="I732">
        <v>2024</v>
      </c>
      <c r="J732">
        <v>2</v>
      </c>
      <c r="K732" s="4" t="s">
        <v>682</v>
      </c>
      <c r="L732" t="s">
        <v>89</v>
      </c>
      <c r="N732" t="s">
        <v>89</v>
      </c>
      <c r="P732" t="s">
        <v>550</v>
      </c>
    </row>
    <row r="733" spans="1:16" hidden="1">
      <c r="A733" t="s">
        <v>846</v>
      </c>
      <c r="B733" s="1">
        <v>4400772471</v>
      </c>
      <c r="C733" t="s">
        <v>868</v>
      </c>
      <c r="D733" s="160">
        <v>22030.6</v>
      </c>
      <c r="F733" t="s">
        <v>869</v>
      </c>
      <c r="G733" s="4" t="s">
        <v>863</v>
      </c>
      <c r="H733" s="4" t="s">
        <v>863</v>
      </c>
      <c r="I733">
        <v>2024</v>
      </c>
      <c r="J733">
        <v>2</v>
      </c>
      <c r="K733" s="4" t="s">
        <v>682</v>
      </c>
      <c r="L733" t="s">
        <v>89</v>
      </c>
      <c r="N733" t="s">
        <v>89</v>
      </c>
      <c r="P733" t="s">
        <v>550</v>
      </c>
    </row>
    <row r="734" spans="1:16" hidden="1">
      <c r="A734" t="s">
        <v>846</v>
      </c>
      <c r="B734" s="1">
        <v>4400772471</v>
      </c>
      <c r="C734" t="s">
        <v>870</v>
      </c>
      <c r="D734" s="160">
        <v>56750.02</v>
      </c>
      <c r="F734" t="s">
        <v>871</v>
      </c>
      <c r="G734" s="4" t="s">
        <v>863</v>
      </c>
      <c r="H734" s="4" t="s">
        <v>863</v>
      </c>
      <c r="I734">
        <v>2024</v>
      </c>
      <c r="J734">
        <v>2</v>
      </c>
      <c r="K734" s="4" t="s">
        <v>682</v>
      </c>
      <c r="L734" t="s">
        <v>89</v>
      </c>
      <c r="N734" t="s">
        <v>89</v>
      </c>
      <c r="P734" t="s">
        <v>550</v>
      </c>
    </row>
    <row r="735" spans="1:16" hidden="1">
      <c r="A735" t="s">
        <v>846</v>
      </c>
      <c r="B735" s="1">
        <v>4400772471</v>
      </c>
      <c r="C735" t="s">
        <v>872</v>
      </c>
      <c r="D735" s="160">
        <v>59.29</v>
      </c>
      <c r="F735" t="s">
        <v>873</v>
      </c>
      <c r="G735" s="4" t="s">
        <v>863</v>
      </c>
      <c r="H735" s="4" t="s">
        <v>863</v>
      </c>
      <c r="I735">
        <v>2024</v>
      </c>
      <c r="J735">
        <v>2</v>
      </c>
      <c r="K735" s="4" t="s">
        <v>682</v>
      </c>
      <c r="L735" t="s">
        <v>89</v>
      </c>
      <c r="N735" t="s">
        <v>89</v>
      </c>
      <c r="P735" t="s">
        <v>550</v>
      </c>
    </row>
    <row r="736" spans="1:16" hidden="1">
      <c r="A736" t="s">
        <v>405</v>
      </c>
      <c r="B736" s="1" t="s">
        <v>874</v>
      </c>
      <c r="C736" t="s">
        <v>875</v>
      </c>
      <c r="D736" s="160">
        <v>2481401.9500000002</v>
      </c>
      <c r="E736">
        <v>138710.37</v>
      </c>
      <c r="F736" t="s">
        <v>876</v>
      </c>
      <c r="G736" s="4" t="s">
        <v>863</v>
      </c>
      <c r="H736" s="4" t="s">
        <v>863</v>
      </c>
      <c r="I736">
        <v>2024</v>
      </c>
      <c r="J736">
        <v>2</v>
      </c>
      <c r="K736" s="4" t="s">
        <v>682</v>
      </c>
      <c r="L736" t="s">
        <v>89</v>
      </c>
      <c r="N736" t="s">
        <v>89</v>
      </c>
      <c r="O736" t="s">
        <v>8</v>
      </c>
      <c r="P736" t="s">
        <v>408</v>
      </c>
    </row>
    <row r="737" spans="1:16" hidden="1">
      <c r="A737" t="s">
        <v>877</v>
      </c>
      <c r="B737" s="1">
        <v>4590014161</v>
      </c>
      <c r="C737" t="s">
        <v>878</v>
      </c>
      <c r="D737" s="160">
        <v>20000</v>
      </c>
      <c r="E737">
        <v>1118</v>
      </c>
      <c r="F737" t="s">
        <v>879</v>
      </c>
      <c r="G737" s="4">
        <v>45352</v>
      </c>
      <c r="H737" s="4">
        <v>45352</v>
      </c>
      <c r="I737">
        <v>2024</v>
      </c>
      <c r="J737">
        <v>2</v>
      </c>
      <c r="K737" s="4" t="s">
        <v>682</v>
      </c>
      <c r="L737" t="s">
        <v>89</v>
      </c>
      <c r="M737" t="s">
        <v>758</v>
      </c>
      <c r="N737" t="s">
        <v>89</v>
      </c>
      <c r="O737" t="s">
        <v>18</v>
      </c>
      <c r="P737" t="s">
        <v>880</v>
      </c>
    </row>
    <row r="738" spans="1:16" hidden="1">
      <c r="A738" t="s">
        <v>881</v>
      </c>
      <c r="B738" s="1">
        <v>4590015793</v>
      </c>
      <c r="C738" t="s">
        <v>882</v>
      </c>
      <c r="D738" s="160">
        <v>30000</v>
      </c>
      <c r="E738">
        <v>1677</v>
      </c>
      <c r="F738" t="s">
        <v>883</v>
      </c>
      <c r="G738" s="4">
        <v>45352</v>
      </c>
      <c r="H738" s="4">
        <v>45356</v>
      </c>
      <c r="I738">
        <v>2024</v>
      </c>
      <c r="J738">
        <v>2</v>
      </c>
      <c r="K738" s="4" t="s">
        <v>682</v>
      </c>
      <c r="L738" t="s">
        <v>89</v>
      </c>
      <c r="M738" t="s">
        <v>758</v>
      </c>
      <c r="N738" t="s">
        <v>89</v>
      </c>
      <c r="O738" t="s">
        <v>11</v>
      </c>
      <c r="P738" t="s">
        <v>880</v>
      </c>
    </row>
    <row r="739" spans="1:16" hidden="1">
      <c r="A739" t="s">
        <v>405</v>
      </c>
      <c r="B739" s="1" t="s">
        <v>874</v>
      </c>
      <c r="C739" t="s">
        <v>407</v>
      </c>
      <c r="D739" s="160">
        <v>393534.6</v>
      </c>
      <c r="E739">
        <v>21998.58</v>
      </c>
      <c r="F739" t="s">
        <v>884</v>
      </c>
      <c r="G739" s="4">
        <v>45343</v>
      </c>
      <c r="H739" s="4"/>
      <c r="I739">
        <v>2024</v>
      </c>
      <c r="J739">
        <v>2</v>
      </c>
      <c r="K739" s="4" t="s">
        <v>682</v>
      </c>
      <c r="L739" t="s">
        <v>89</v>
      </c>
      <c r="N739" t="s">
        <v>89</v>
      </c>
      <c r="O739" t="s">
        <v>8</v>
      </c>
      <c r="P739" t="s">
        <v>408</v>
      </c>
    </row>
    <row r="740" spans="1:16" hidden="1">
      <c r="A740" t="s">
        <v>86</v>
      </c>
      <c r="B740" s="1">
        <v>4590006750</v>
      </c>
      <c r="C740" t="s">
        <v>266</v>
      </c>
      <c r="D740" s="160">
        <v>1228501</v>
      </c>
      <c r="F740" t="s">
        <v>885</v>
      </c>
      <c r="G740" s="4">
        <v>45473</v>
      </c>
      <c r="H740" s="4">
        <v>45473</v>
      </c>
      <c r="I740">
        <v>2024</v>
      </c>
      <c r="J740">
        <v>6</v>
      </c>
      <c r="K740" s="4" t="s">
        <v>886</v>
      </c>
      <c r="L740" t="s">
        <v>89</v>
      </c>
      <c r="M740" t="s">
        <v>492</v>
      </c>
      <c r="N740" t="s">
        <v>89</v>
      </c>
      <c r="O740" t="s">
        <v>8</v>
      </c>
      <c r="P740" t="s">
        <v>268</v>
      </c>
    </row>
    <row r="741" spans="1:16" hidden="1">
      <c r="A741" t="s">
        <v>846</v>
      </c>
      <c r="B741" s="1">
        <v>4400837527</v>
      </c>
      <c r="D741" s="160">
        <v>75453</v>
      </c>
      <c r="F741" t="s">
        <v>887</v>
      </c>
      <c r="G741" s="4">
        <v>45363</v>
      </c>
      <c r="H741" s="4">
        <v>45365</v>
      </c>
      <c r="I741">
        <v>2024</v>
      </c>
      <c r="J741">
        <v>3</v>
      </c>
      <c r="K741" s="4" t="s">
        <v>697</v>
      </c>
      <c r="L741" t="s">
        <v>89</v>
      </c>
      <c r="N741" t="s">
        <v>89</v>
      </c>
      <c r="P741" t="s">
        <v>550</v>
      </c>
    </row>
    <row r="742" spans="1:16" hidden="1">
      <c r="A742" t="s">
        <v>846</v>
      </c>
      <c r="B742" s="1">
        <v>4400837542</v>
      </c>
      <c r="C742" t="s">
        <v>550</v>
      </c>
      <c r="D742" s="160">
        <v>75453</v>
      </c>
      <c r="F742" t="s">
        <v>888</v>
      </c>
      <c r="G742" s="4">
        <v>45363</v>
      </c>
      <c r="H742" s="4">
        <v>45365</v>
      </c>
      <c r="I742">
        <v>2024</v>
      </c>
      <c r="J742">
        <v>3</v>
      </c>
      <c r="K742" s="4" t="s">
        <v>697</v>
      </c>
      <c r="L742" t="s">
        <v>89</v>
      </c>
      <c r="N742" t="s">
        <v>89</v>
      </c>
      <c r="P742" t="s">
        <v>550</v>
      </c>
    </row>
    <row r="743" spans="1:16" hidden="1">
      <c r="A743" t="s">
        <v>846</v>
      </c>
      <c r="B743" s="1">
        <v>4400837524</v>
      </c>
      <c r="C743" t="s">
        <v>550</v>
      </c>
      <c r="D743" s="160">
        <v>75453</v>
      </c>
      <c r="F743" t="s">
        <v>889</v>
      </c>
      <c r="G743" s="4">
        <v>45363</v>
      </c>
      <c r="H743" s="4">
        <v>45365</v>
      </c>
      <c r="I743">
        <v>2024</v>
      </c>
      <c r="J743">
        <v>3</v>
      </c>
      <c r="K743" s="4" t="s">
        <v>697</v>
      </c>
      <c r="L743" t="s">
        <v>89</v>
      </c>
      <c r="N743" t="s">
        <v>89</v>
      </c>
      <c r="P743" t="s">
        <v>550</v>
      </c>
    </row>
    <row r="744" spans="1:16" hidden="1">
      <c r="A744" t="s">
        <v>846</v>
      </c>
      <c r="B744" s="1">
        <v>4400837529</v>
      </c>
      <c r="C744" t="s">
        <v>550</v>
      </c>
      <c r="D744" s="160">
        <v>75453</v>
      </c>
      <c r="F744" t="s">
        <v>890</v>
      </c>
      <c r="G744" s="4">
        <v>45363</v>
      </c>
      <c r="H744" s="4">
        <v>45365</v>
      </c>
      <c r="I744">
        <v>2024</v>
      </c>
      <c r="J744">
        <v>3</v>
      </c>
      <c r="K744" s="4" t="s">
        <v>697</v>
      </c>
      <c r="L744" t="s">
        <v>89</v>
      </c>
      <c r="N744" t="s">
        <v>89</v>
      </c>
      <c r="P744" t="s">
        <v>550</v>
      </c>
    </row>
    <row r="745" spans="1:16" hidden="1">
      <c r="A745" t="s">
        <v>846</v>
      </c>
      <c r="B745" s="1">
        <v>4400819529</v>
      </c>
      <c r="C745" t="s">
        <v>550</v>
      </c>
      <c r="D745" s="160">
        <v>1135</v>
      </c>
      <c r="F745" t="s">
        <v>891</v>
      </c>
      <c r="G745" s="4">
        <v>45370</v>
      </c>
      <c r="H745" s="4">
        <v>45377</v>
      </c>
      <c r="I745">
        <v>2024</v>
      </c>
      <c r="J745">
        <v>3</v>
      </c>
      <c r="K745" s="4" t="s">
        <v>697</v>
      </c>
      <c r="L745" t="s">
        <v>625</v>
      </c>
      <c r="N745" t="s">
        <v>892</v>
      </c>
      <c r="P745" t="s">
        <v>550</v>
      </c>
    </row>
    <row r="746" spans="1:16" hidden="1">
      <c r="A746" t="s">
        <v>846</v>
      </c>
      <c r="B746" s="1">
        <v>4400819528</v>
      </c>
      <c r="C746" t="s">
        <v>550</v>
      </c>
      <c r="D746" s="160">
        <v>1135</v>
      </c>
      <c r="F746" t="s">
        <v>893</v>
      </c>
      <c r="G746" s="4">
        <v>45370</v>
      </c>
      <c r="H746" s="4">
        <v>45377</v>
      </c>
      <c r="I746">
        <v>2024</v>
      </c>
      <c r="J746">
        <v>3</v>
      </c>
      <c r="K746" s="4" t="s">
        <v>697</v>
      </c>
      <c r="L746" t="s">
        <v>625</v>
      </c>
      <c r="N746" t="s">
        <v>892</v>
      </c>
      <c r="P746" t="s">
        <v>550</v>
      </c>
    </row>
    <row r="747" spans="1:16" hidden="1">
      <c r="A747" t="s">
        <v>846</v>
      </c>
      <c r="B747" s="1">
        <v>4400819974</v>
      </c>
      <c r="C747" t="s">
        <v>550</v>
      </c>
      <c r="D747" s="160">
        <v>1135</v>
      </c>
      <c r="F747" t="s">
        <v>894</v>
      </c>
      <c r="G747" s="4">
        <v>45370</v>
      </c>
      <c r="H747" s="4">
        <v>45377</v>
      </c>
      <c r="I747">
        <v>2024</v>
      </c>
      <c r="J747">
        <v>3</v>
      </c>
      <c r="K747" s="4" t="s">
        <v>697</v>
      </c>
      <c r="L747" t="s">
        <v>625</v>
      </c>
      <c r="N747" t="s">
        <v>892</v>
      </c>
      <c r="P747" t="s">
        <v>550</v>
      </c>
    </row>
    <row r="748" spans="1:16" hidden="1">
      <c r="A748" t="s">
        <v>846</v>
      </c>
      <c r="B748" s="1">
        <v>4400819977</v>
      </c>
      <c r="C748" t="s">
        <v>550</v>
      </c>
      <c r="D748" s="160">
        <v>1135</v>
      </c>
      <c r="F748" t="s">
        <v>895</v>
      </c>
      <c r="G748" s="4">
        <v>45370</v>
      </c>
      <c r="H748" s="4">
        <v>45377</v>
      </c>
      <c r="I748">
        <v>2024</v>
      </c>
      <c r="J748">
        <v>3</v>
      </c>
      <c r="K748" s="4" t="s">
        <v>697</v>
      </c>
      <c r="L748" t="s">
        <v>625</v>
      </c>
      <c r="N748" t="s">
        <v>892</v>
      </c>
      <c r="P748" t="s">
        <v>550</v>
      </c>
    </row>
    <row r="749" spans="1:16" hidden="1">
      <c r="A749" t="s">
        <v>846</v>
      </c>
      <c r="B749" s="1">
        <v>4400819978</v>
      </c>
      <c r="C749" t="s">
        <v>550</v>
      </c>
      <c r="D749" s="160">
        <v>1135</v>
      </c>
      <c r="F749" t="s">
        <v>896</v>
      </c>
      <c r="G749" s="4">
        <v>45370</v>
      </c>
      <c r="H749" s="4">
        <v>45377</v>
      </c>
      <c r="I749">
        <v>2024</v>
      </c>
      <c r="J749">
        <v>3</v>
      </c>
      <c r="K749" s="4" t="s">
        <v>697</v>
      </c>
      <c r="L749" t="s">
        <v>625</v>
      </c>
      <c r="N749" t="s">
        <v>892</v>
      </c>
      <c r="P749" t="s">
        <v>550</v>
      </c>
    </row>
    <row r="750" spans="1:16" hidden="1">
      <c r="A750" t="s">
        <v>846</v>
      </c>
      <c r="B750" s="1">
        <v>4400819986</v>
      </c>
      <c r="C750" t="s">
        <v>550</v>
      </c>
      <c r="D750" s="160">
        <v>1135</v>
      </c>
      <c r="F750" t="s">
        <v>897</v>
      </c>
      <c r="G750" s="4">
        <v>45370</v>
      </c>
      <c r="H750" s="4">
        <v>45377</v>
      </c>
      <c r="I750">
        <v>2024</v>
      </c>
      <c r="J750">
        <v>3</v>
      </c>
      <c r="K750" s="4" t="s">
        <v>697</v>
      </c>
      <c r="L750" t="s">
        <v>625</v>
      </c>
      <c r="N750" t="s">
        <v>892</v>
      </c>
      <c r="P750" t="s">
        <v>550</v>
      </c>
    </row>
    <row r="751" spans="1:16" hidden="1">
      <c r="A751" t="s">
        <v>846</v>
      </c>
      <c r="B751" s="1">
        <v>4400819935</v>
      </c>
      <c r="C751" t="s">
        <v>550</v>
      </c>
      <c r="D751" s="160">
        <v>3799</v>
      </c>
      <c r="F751" t="s">
        <v>898</v>
      </c>
      <c r="G751" s="4">
        <v>45370</v>
      </c>
      <c r="H751" s="4">
        <v>45377</v>
      </c>
      <c r="I751">
        <v>2024</v>
      </c>
      <c r="J751">
        <v>3</v>
      </c>
      <c r="K751" s="4" t="s">
        <v>697</v>
      </c>
      <c r="L751" t="s">
        <v>625</v>
      </c>
      <c r="N751" t="s">
        <v>892</v>
      </c>
      <c r="P751" t="s">
        <v>550</v>
      </c>
    </row>
    <row r="752" spans="1:16" hidden="1">
      <c r="A752" t="s">
        <v>846</v>
      </c>
      <c r="B752" s="1">
        <v>4400820284</v>
      </c>
      <c r="C752" t="s">
        <v>550</v>
      </c>
      <c r="D752" s="160">
        <v>3799</v>
      </c>
      <c r="F752" t="s">
        <v>899</v>
      </c>
      <c r="G752" s="4">
        <v>45370</v>
      </c>
      <c r="H752" s="4">
        <v>45377</v>
      </c>
      <c r="I752">
        <v>2024</v>
      </c>
      <c r="J752">
        <v>3</v>
      </c>
      <c r="K752" s="4" t="s">
        <v>697</v>
      </c>
      <c r="L752" t="s">
        <v>625</v>
      </c>
      <c r="N752" t="s">
        <v>892</v>
      </c>
      <c r="P752" t="s">
        <v>550</v>
      </c>
    </row>
    <row r="753" spans="1:16" hidden="1">
      <c r="A753" t="s">
        <v>846</v>
      </c>
      <c r="B753" s="1">
        <v>4400822580</v>
      </c>
      <c r="C753" t="s">
        <v>550</v>
      </c>
      <c r="D753" s="160">
        <v>1135</v>
      </c>
      <c r="F753" t="s">
        <v>900</v>
      </c>
      <c r="G753" s="4">
        <v>45370</v>
      </c>
      <c r="H753" s="4">
        <v>45377</v>
      </c>
      <c r="I753">
        <v>2024</v>
      </c>
      <c r="J753">
        <v>3</v>
      </c>
      <c r="K753" s="4" t="s">
        <v>697</v>
      </c>
      <c r="L753" t="s">
        <v>95</v>
      </c>
      <c r="N753" t="s">
        <v>892</v>
      </c>
      <c r="P753" t="s">
        <v>550</v>
      </c>
    </row>
    <row r="754" spans="1:16" hidden="1">
      <c r="A754" t="s">
        <v>846</v>
      </c>
      <c r="B754" s="1">
        <v>4400822504</v>
      </c>
      <c r="C754" t="s">
        <v>550</v>
      </c>
      <c r="D754" s="160">
        <v>1135</v>
      </c>
      <c r="F754" t="s">
        <v>901</v>
      </c>
      <c r="G754" s="4">
        <v>45370</v>
      </c>
      <c r="H754" s="4">
        <v>45377</v>
      </c>
      <c r="I754">
        <v>2024</v>
      </c>
      <c r="J754">
        <v>3</v>
      </c>
      <c r="K754" s="4" t="s">
        <v>697</v>
      </c>
      <c r="L754" t="s">
        <v>95</v>
      </c>
      <c r="N754" t="s">
        <v>892</v>
      </c>
      <c r="P754" t="s">
        <v>550</v>
      </c>
    </row>
    <row r="755" spans="1:16" hidden="1">
      <c r="A755" t="s">
        <v>846</v>
      </c>
      <c r="B755" s="1">
        <v>4400822589</v>
      </c>
      <c r="C755" t="s">
        <v>550</v>
      </c>
      <c r="D755" s="160">
        <v>1135</v>
      </c>
      <c r="F755" t="s">
        <v>902</v>
      </c>
      <c r="G755" s="4">
        <v>45370</v>
      </c>
      <c r="H755" s="4">
        <v>45377</v>
      </c>
      <c r="I755">
        <v>2024</v>
      </c>
      <c r="J755">
        <v>3</v>
      </c>
      <c r="K755" s="4" t="s">
        <v>697</v>
      </c>
      <c r="L755" t="s">
        <v>95</v>
      </c>
      <c r="N755" t="s">
        <v>892</v>
      </c>
      <c r="P755" t="s">
        <v>550</v>
      </c>
    </row>
    <row r="756" spans="1:16" hidden="1">
      <c r="A756" t="s">
        <v>846</v>
      </c>
      <c r="B756" s="1">
        <v>4400824143</v>
      </c>
      <c r="C756" t="s">
        <v>550</v>
      </c>
      <c r="D756" s="160">
        <v>1135</v>
      </c>
      <c r="F756" t="s">
        <v>903</v>
      </c>
      <c r="G756" s="4">
        <v>45370</v>
      </c>
      <c r="H756" s="4">
        <v>45377</v>
      </c>
      <c r="I756">
        <v>2024</v>
      </c>
      <c r="J756">
        <v>3</v>
      </c>
      <c r="K756" s="4" t="s">
        <v>697</v>
      </c>
      <c r="L756" t="s">
        <v>95</v>
      </c>
      <c r="N756" t="s">
        <v>892</v>
      </c>
      <c r="P756" t="s">
        <v>550</v>
      </c>
    </row>
    <row r="757" spans="1:16" hidden="1">
      <c r="A757" t="s">
        <v>846</v>
      </c>
      <c r="B757" s="1">
        <v>4400822585</v>
      </c>
      <c r="C757" t="s">
        <v>550</v>
      </c>
      <c r="D757" s="160">
        <v>3799</v>
      </c>
      <c r="F757" t="s">
        <v>904</v>
      </c>
      <c r="G757" s="4">
        <v>45370</v>
      </c>
      <c r="H757" s="4">
        <v>45377</v>
      </c>
      <c r="I757">
        <v>2024</v>
      </c>
      <c r="J757">
        <v>3</v>
      </c>
      <c r="K757" s="4" t="s">
        <v>697</v>
      </c>
      <c r="L757" t="s">
        <v>95</v>
      </c>
      <c r="N757" t="s">
        <v>892</v>
      </c>
      <c r="P757" t="s">
        <v>550</v>
      </c>
    </row>
    <row r="758" spans="1:16" hidden="1">
      <c r="A758" t="s">
        <v>846</v>
      </c>
      <c r="B758" s="1">
        <v>4400822500</v>
      </c>
      <c r="C758" t="s">
        <v>550</v>
      </c>
      <c r="D758" s="160">
        <v>3799</v>
      </c>
      <c r="F758" t="s">
        <v>905</v>
      </c>
      <c r="G758" s="4">
        <v>45370</v>
      </c>
      <c r="H758" s="4">
        <v>45377</v>
      </c>
      <c r="I758">
        <v>2024</v>
      </c>
      <c r="J758">
        <v>3</v>
      </c>
      <c r="K758" s="4" t="s">
        <v>697</v>
      </c>
      <c r="L758" t="s">
        <v>95</v>
      </c>
      <c r="N758" t="s">
        <v>892</v>
      </c>
      <c r="P758" t="s">
        <v>550</v>
      </c>
    </row>
    <row r="759" spans="1:16" hidden="1">
      <c r="A759" t="s">
        <v>846</v>
      </c>
      <c r="B759" s="1">
        <v>4400822631</v>
      </c>
      <c r="C759" t="s">
        <v>550</v>
      </c>
      <c r="D759" s="160">
        <v>3799</v>
      </c>
      <c r="F759" t="s">
        <v>906</v>
      </c>
      <c r="G759" s="4">
        <v>45370</v>
      </c>
      <c r="H759" s="4">
        <v>45377</v>
      </c>
      <c r="I759">
        <v>2024</v>
      </c>
      <c r="J759">
        <v>3</v>
      </c>
      <c r="K759" s="4" t="s">
        <v>697</v>
      </c>
      <c r="L759" t="s">
        <v>95</v>
      </c>
      <c r="N759" t="s">
        <v>892</v>
      </c>
      <c r="P759" t="s">
        <v>550</v>
      </c>
    </row>
    <row r="760" spans="1:16" hidden="1">
      <c r="A760" t="s">
        <v>846</v>
      </c>
      <c r="B760" s="1">
        <v>4400834624</v>
      </c>
      <c r="C760" t="s">
        <v>550</v>
      </c>
      <c r="D760" s="160">
        <v>2399</v>
      </c>
      <c r="F760" t="s">
        <v>907</v>
      </c>
      <c r="G760" s="4">
        <v>45370</v>
      </c>
      <c r="H760" s="4">
        <v>45377</v>
      </c>
      <c r="I760">
        <v>2024</v>
      </c>
      <c r="J760">
        <v>3</v>
      </c>
      <c r="K760" s="4" t="s">
        <v>697</v>
      </c>
      <c r="L760" t="s">
        <v>625</v>
      </c>
      <c r="N760" t="s">
        <v>892</v>
      </c>
      <c r="P760" t="s">
        <v>550</v>
      </c>
    </row>
    <row r="761" spans="1:16" hidden="1">
      <c r="A761" t="s">
        <v>846</v>
      </c>
      <c r="B761" s="1">
        <v>4400834416</v>
      </c>
      <c r="C761" t="s">
        <v>550</v>
      </c>
      <c r="D761" s="160">
        <v>2850</v>
      </c>
      <c r="F761" t="s">
        <v>908</v>
      </c>
      <c r="G761" s="4">
        <v>45370</v>
      </c>
      <c r="H761" s="4">
        <v>45377</v>
      </c>
      <c r="I761">
        <v>2024</v>
      </c>
      <c r="J761">
        <v>3</v>
      </c>
      <c r="K761" s="4" t="s">
        <v>697</v>
      </c>
      <c r="L761" t="s">
        <v>95</v>
      </c>
      <c r="N761" t="s">
        <v>892</v>
      </c>
      <c r="P761" t="s">
        <v>550</v>
      </c>
    </row>
    <row r="762" spans="1:16" hidden="1">
      <c r="A762" t="s">
        <v>846</v>
      </c>
      <c r="B762" s="1">
        <v>4400842932</v>
      </c>
      <c r="C762" t="s">
        <v>550</v>
      </c>
      <c r="D762" s="160">
        <v>12096</v>
      </c>
      <c r="F762" t="s">
        <v>909</v>
      </c>
      <c r="G762" s="4">
        <v>45370</v>
      </c>
      <c r="H762" s="4">
        <v>45377</v>
      </c>
      <c r="I762">
        <v>2024</v>
      </c>
      <c r="J762">
        <v>3</v>
      </c>
      <c r="K762" s="4" t="s">
        <v>697</v>
      </c>
      <c r="L762" t="s">
        <v>625</v>
      </c>
      <c r="N762" t="s">
        <v>892</v>
      </c>
      <c r="P762" t="s">
        <v>550</v>
      </c>
    </row>
    <row r="763" spans="1:16" hidden="1">
      <c r="A763" t="s">
        <v>846</v>
      </c>
      <c r="B763" s="1">
        <v>4400844859</v>
      </c>
      <c r="C763" t="s">
        <v>550</v>
      </c>
      <c r="D763" s="160">
        <v>3800</v>
      </c>
      <c r="F763" t="s">
        <v>910</v>
      </c>
      <c r="G763" s="4">
        <v>45370</v>
      </c>
      <c r="H763" s="4">
        <v>45377</v>
      </c>
      <c r="I763">
        <v>2024</v>
      </c>
      <c r="J763">
        <v>3</v>
      </c>
      <c r="K763" s="4" t="s">
        <v>697</v>
      </c>
      <c r="L763" t="s">
        <v>625</v>
      </c>
      <c r="N763" t="s">
        <v>892</v>
      </c>
      <c r="P763" t="s">
        <v>550</v>
      </c>
    </row>
    <row r="764" spans="1:16" hidden="1">
      <c r="A764" t="s">
        <v>846</v>
      </c>
      <c r="B764" s="1">
        <v>4400850638</v>
      </c>
      <c r="C764" t="s">
        <v>550</v>
      </c>
      <c r="D764" s="160">
        <v>3160</v>
      </c>
      <c r="F764" t="s">
        <v>911</v>
      </c>
      <c r="G764" s="4">
        <v>45370</v>
      </c>
      <c r="H764" s="4">
        <v>45377</v>
      </c>
      <c r="I764">
        <v>2024</v>
      </c>
      <c r="J764">
        <v>3</v>
      </c>
      <c r="K764" s="4" t="s">
        <v>697</v>
      </c>
      <c r="L764" t="s">
        <v>625</v>
      </c>
      <c r="N764" t="s">
        <v>892</v>
      </c>
      <c r="P764" t="s">
        <v>550</v>
      </c>
    </row>
    <row r="765" spans="1:16" hidden="1">
      <c r="A765" t="s">
        <v>312</v>
      </c>
      <c r="B765" s="1">
        <v>4503432152</v>
      </c>
      <c r="C765" t="s">
        <v>121</v>
      </c>
      <c r="D765" s="160">
        <v>90782</v>
      </c>
      <c r="F765" t="s">
        <v>912</v>
      </c>
      <c r="G765" s="4">
        <v>45379</v>
      </c>
      <c r="H765" s="4">
        <v>45379</v>
      </c>
      <c r="I765">
        <v>2024</v>
      </c>
      <c r="J765">
        <v>3</v>
      </c>
      <c r="K765" s="4" t="s">
        <v>697</v>
      </c>
      <c r="L765" t="s">
        <v>89</v>
      </c>
      <c r="N765" t="s">
        <v>89</v>
      </c>
      <c r="O765" t="s">
        <v>9</v>
      </c>
      <c r="P765" t="s">
        <v>122</v>
      </c>
    </row>
    <row r="766" spans="1:16" hidden="1">
      <c r="A766" t="s">
        <v>312</v>
      </c>
      <c r="B766" s="1">
        <v>4503489979</v>
      </c>
      <c r="C766" t="s">
        <v>144</v>
      </c>
      <c r="D766" s="160">
        <v>332186</v>
      </c>
      <c r="F766" t="s">
        <v>913</v>
      </c>
      <c r="G766" s="4">
        <v>45379</v>
      </c>
      <c r="H766" s="4">
        <v>45380</v>
      </c>
      <c r="I766">
        <v>2024</v>
      </c>
      <c r="J766">
        <v>3</v>
      </c>
      <c r="K766" s="4" t="s">
        <v>697</v>
      </c>
      <c r="L766" t="s">
        <v>89</v>
      </c>
      <c r="N766" t="s">
        <v>89</v>
      </c>
      <c r="O766" t="s">
        <v>9</v>
      </c>
      <c r="P766" t="s">
        <v>145</v>
      </c>
    </row>
    <row r="767" spans="1:16" hidden="1">
      <c r="A767" t="s">
        <v>314</v>
      </c>
      <c r="B767" s="1">
        <v>4590000540</v>
      </c>
      <c r="C767" t="s">
        <v>157</v>
      </c>
      <c r="D767" s="160">
        <v>17253</v>
      </c>
      <c r="F767" t="s">
        <v>914</v>
      </c>
      <c r="G767" s="4">
        <v>45379</v>
      </c>
      <c r="H767" s="4">
        <v>45379</v>
      </c>
      <c r="I767">
        <v>2024</v>
      </c>
      <c r="J767">
        <v>3</v>
      </c>
      <c r="K767" s="4" t="s">
        <v>697</v>
      </c>
      <c r="L767" t="s">
        <v>89</v>
      </c>
      <c r="M767" t="s">
        <v>915</v>
      </c>
      <c r="N767" t="s">
        <v>89</v>
      </c>
      <c r="O767" t="s">
        <v>9</v>
      </c>
      <c r="P767" t="s">
        <v>156</v>
      </c>
    </row>
    <row r="768" spans="1:16" hidden="1">
      <c r="A768" t="s">
        <v>314</v>
      </c>
      <c r="B768" s="1">
        <v>4590002291</v>
      </c>
      <c r="C768" t="s">
        <v>632</v>
      </c>
      <c r="D768" s="160">
        <v>20502.38</v>
      </c>
      <c r="F768" t="s">
        <v>916</v>
      </c>
      <c r="G768" s="4">
        <v>45379</v>
      </c>
      <c r="H768" s="4">
        <v>45379</v>
      </c>
      <c r="I768">
        <v>2024</v>
      </c>
      <c r="J768">
        <v>3</v>
      </c>
      <c r="K768" s="4" t="s">
        <v>697</v>
      </c>
      <c r="L768" t="s">
        <v>89</v>
      </c>
      <c r="M768" t="s">
        <v>526</v>
      </c>
      <c r="N768" t="s">
        <v>89</v>
      </c>
      <c r="O768" t="s">
        <v>11</v>
      </c>
      <c r="P768" t="s">
        <v>584</v>
      </c>
    </row>
    <row r="769" spans="1:16" hidden="1">
      <c r="A769" t="s">
        <v>86</v>
      </c>
      <c r="B769" s="1">
        <v>4590006750</v>
      </c>
      <c r="C769" t="s">
        <v>266</v>
      </c>
      <c r="D769" s="160">
        <v>992071</v>
      </c>
      <c r="F769" t="s">
        <v>917</v>
      </c>
      <c r="G769" s="4">
        <v>45436</v>
      </c>
      <c r="H769" s="4">
        <v>45436</v>
      </c>
      <c r="I769">
        <v>2024</v>
      </c>
      <c r="J769">
        <v>5</v>
      </c>
      <c r="K769" s="4" t="s">
        <v>621</v>
      </c>
      <c r="L769" t="s">
        <v>89</v>
      </c>
      <c r="M769" t="s">
        <v>918</v>
      </c>
      <c r="N769" t="s">
        <v>89</v>
      </c>
      <c r="O769" t="s">
        <v>8</v>
      </c>
      <c r="P769" t="s">
        <v>268</v>
      </c>
    </row>
    <row r="770" spans="1:16" hidden="1">
      <c r="A770" t="s">
        <v>919</v>
      </c>
      <c r="B770" s="1">
        <v>4590003895</v>
      </c>
      <c r="C770" t="s">
        <v>320</v>
      </c>
      <c r="D770" s="160">
        <v>292258.61</v>
      </c>
      <c r="F770" t="s">
        <v>920</v>
      </c>
      <c r="G770" s="4">
        <v>45379</v>
      </c>
      <c r="H770" s="4">
        <v>45379</v>
      </c>
      <c r="I770">
        <v>2024</v>
      </c>
      <c r="J770">
        <v>3</v>
      </c>
      <c r="K770" s="4" t="s">
        <v>697</v>
      </c>
      <c r="L770" t="s">
        <v>89</v>
      </c>
      <c r="N770" t="s">
        <v>89</v>
      </c>
      <c r="O770" t="s">
        <v>9</v>
      </c>
      <c r="P770" t="s">
        <v>118</v>
      </c>
    </row>
    <row r="771" spans="1:16" hidden="1">
      <c r="A771" t="s">
        <v>921</v>
      </c>
      <c r="B771" s="1">
        <v>4590005172</v>
      </c>
      <c r="C771" t="s">
        <v>472</v>
      </c>
      <c r="D771" s="160">
        <v>498782.13</v>
      </c>
      <c r="F771" t="s">
        <v>922</v>
      </c>
      <c r="G771" s="4">
        <v>45405</v>
      </c>
      <c r="H771" s="4">
        <v>45374</v>
      </c>
      <c r="I771">
        <v>2024</v>
      </c>
      <c r="J771">
        <v>4</v>
      </c>
      <c r="K771" s="4" t="s">
        <v>767</v>
      </c>
      <c r="L771" t="s">
        <v>89</v>
      </c>
      <c r="M771" t="s">
        <v>492</v>
      </c>
      <c r="N771" t="s">
        <v>89</v>
      </c>
      <c r="O771" t="s">
        <v>8</v>
      </c>
      <c r="P771" t="s">
        <v>300</v>
      </c>
    </row>
    <row r="772" spans="1:16" hidden="1">
      <c r="A772" t="s">
        <v>312</v>
      </c>
      <c r="B772" s="1">
        <v>4590004029</v>
      </c>
      <c r="C772" t="s">
        <v>352</v>
      </c>
      <c r="D772" s="160">
        <v>128383.91</v>
      </c>
      <c r="F772" t="s">
        <v>923</v>
      </c>
      <c r="G772" s="4">
        <v>45379</v>
      </c>
      <c r="H772" s="4">
        <v>45379</v>
      </c>
      <c r="I772">
        <v>2024</v>
      </c>
      <c r="J772">
        <v>3</v>
      </c>
      <c r="K772" s="4" t="s">
        <v>697</v>
      </c>
      <c r="L772" t="s">
        <v>89</v>
      </c>
      <c r="N772" t="s">
        <v>89</v>
      </c>
      <c r="O772" t="s">
        <v>11</v>
      </c>
      <c r="P772" t="s">
        <v>120</v>
      </c>
    </row>
    <row r="773" spans="1:16" hidden="1">
      <c r="A773" t="s">
        <v>314</v>
      </c>
      <c r="B773" s="1">
        <v>4590004610</v>
      </c>
      <c r="C773" t="s">
        <v>924</v>
      </c>
      <c r="D773" s="160">
        <v>67615</v>
      </c>
      <c r="F773" t="s">
        <v>925</v>
      </c>
      <c r="G773" s="4">
        <v>45379</v>
      </c>
      <c r="H773" s="4">
        <v>45379</v>
      </c>
      <c r="I773">
        <v>2024</v>
      </c>
      <c r="J773">
        <v>3</v>
      </c>
      <c r="K773" s="4" t="s">
        <v>697</v>
      </c>
      <c r="L773" t="s">
        <v>89</v>
      </c>
      <c r="N773" t="s">
        <v>89</v>
      </c>
      <c r="O773" t="s">
        <v>11</v>
      </c>
      <c r="P773" t="s">
        <v>584</v>
      </c>
    </row>
    <row r="774" spans="1:16" hidden="1">
      <c r="A774" t="s">
        <v>926</v>
      </c>
      <c r="B774" s="1">
        <v>4590004636</v>
      </c>
      <c r="C774" t="s">
        <v>927</v>
      </c>
      <c r="D774" s="160">
        <v>152085.35999999999</v>
      </c>
      <c r="F774" t="s">
        <v>890</v>
      </c>
      <c r="G774" s="4">
        <v>45379</v>
      </c>
      <c r="H774" s="4">
        <v>45379</v>
      </c>
      <c r="I774">
        <v>2024</v>
      </c>
      <c r="J774">
        <v>3</v>
      </c>
      <c r="K774" s="4" t="s">
        <v>697</v>
      </c>
      <c r="L774" t="s">
        <v>95</v>
      </c>
      <c r="N774" t="s">
        <v>726</v>
      </c>
      <c r="O774" t="s">
        <v>12</v>
      </c>
      <c r="P774" t="s">
        <v>928</v>
      </c>
    </row>
    <row r="775" spans="1:16" hidden="1">
      <c r="A775" t="s">
        <v>312</v>
      </c>
      <c r="B775" s="1">
        <v>4590005240</v>
      </c>
      <c r="C775" t="s">
        <v>197</v>
      </c>
      <c r="D775" s="160">
        <v>4323.6499999999996</v>
      </c>
      <c r="F775" t="s">
        <v>929</v>
      </c>
      <c r="G775" s="4">
        <v>45379</v>
      </c>
      <c r="H775" s="4">
        <v>45379</v>
      </c>
      <c r="I775">
        <v>2024</v>
      </c>
      <c r="J775">
        <v>3</v>
      </c>
      <c r="K775" s="4" t="s">
        <v>697</v>
      </c>
      <c r="L775" t="s">
        <v>89</v>
      </c>
      <c r="M775" t="s">
        <v>526</v>
      </c>
      <c r="N775" t="s">
        <v>89</v>
      </c>
      <c r="O775" t="s">
        <v>9</v>
      </c>
      <c r="P775" t="s">
        <v>199</v>
      </c>
    </row>
    <row r="776" spans="1:16" hidden="1">
      <c r="A776" t="s">
        <v>86</v>
      </c>
      <c r="B776" s="1">
        <v>4590007798</v>
      </c>
      <c r="C776" t="s">
        <v>930</v>
      </c>
      <c r="D776" s="160">
        <v>74115.199999999997</v>
      </c>
      <c r="F776" t="s">
        <v>931</v>
      </c>
      <c r="G776" s="4">
        <v>45436</v>
      </c>
      <c r="H776" s="4">
        <v>45436</v>
      </c>
      <c r="I776">
        <v>2024</v>
      </c>
      <c r="J776">
        <v>5</v>
      </c>
      <c r="K776" s="4" t="s">
        <v>621</v>
      </c>
      <c r="L776" t="s">
        <v>95</v>
      </c>
      <c r="M776" t="s">
        <v>932</v>
      </c>
      <c r="N776" t="s">
        <v>933</v>
      </c>
      <c r="O776" t="s">
        <v>8</v>
      </c>
      <c r="P776" t="s">
        <v>300</v>
      </c>
    </row>
    <row r="777" spans="1:16" hidden="1">
      <c r="A777" t="s">
        <v>934</v>
      </c>
      <c r="B777" s="1">
        <v>4590006871</v>
      </c>
      <c r="C777" t="s">
        <v>935</v>
      </c>
      <c r="D777" s="160">
        <v>218639</v>
      </c>
      <c r="F777" t="s">
        <v>936</v>
      </c>
      <c r="G777" s="4">
        <v>45379</v>
      </c>
      <c r="H777" s="4">
        <v>45379</v>
      </c>
      <c r="I777">
        <v>2024</v>
      </c>
      <c r="J777">
        <v>3</v>
      </c>
      <c r="K777" s="4" t="s">
        <v>697</v>
      </c>
      <c r="L777" t="s">
        <v>89</v>
      </c>
      <c r="N777" t="s">
        <v>89</v>
      </c>
      <c r="O777" t="s">
        <v>10</v>
      </c>
      <c r="P777" t="s">
        <v>135</v>
      </c>
    </row>
    <row r="778" spans="1:16" hidden="1">
      <c r="A778" t="s">
        <v>937</v>
      </c>
      <c r="B778" s="1">
        <v>4590015828</v>
      </c>
      <c r="C778" t="s">
        <v>938</v>
      </c>
      <c r="D778" s="160">
        <v>139633.82</v>
      </c>
      <c r="F778" t="s">
        <v>939</v>
      </c>
      <c r="G778" s="4">
        <v>45379</v>
      </c>
      <c r="H778" s="4">
        <v>45379</v>
      </c>
      <c r="I778">
        <v>2024</v>
      </c>
      <c r="J778">
        <v>3</v>
      </c>
      <c r="K778" s="4" t="s">
        <v>697</v>
      </c>
      <c r="L778" t="s">
        <v>89</v>
      </c>
      <c r="M778" t="s">
        <v>940</v>
      </c>
      <c r="N778" t="s">
        <v>89</v>
      </c>
      <c r="O778" t="s">
        <v>9</v>
      </c>
      <c r="P778" t="s">
        <v>104</v>
      </c>
    </row>
    <row r="779" spans="1:16" hidden="1">
      <c r="A779" t="s">
        <v>336</v>
      </c>
      <c r="B779" s="1">
        <v>4590009808</v>
      </c>
      <c r="C779" t="s">
        <v>486</v>
      </c>
      <c r="D779" s="160">
        <v>63220</v>
      </c>
      <c r="F779" t="s">
        <v>941</v>
      </c>
      <c r="G779" s="4">
        <v>45379</v>
      </c>
      <c r="H779" s="4">
        <v>45379</v>
      </c>
      <c r="I779">
        <v>2024</v>
      </c>
      <c r="J779">
        <v>3</v>
      </c>
      <c r="K779" s="4" t="s">
        <v>697</v>
      </c>
      <c r="L779" t="s">
        <v>89</v>
      </c>
      <c r="N779" t="s">
        <v>89</v>
      </c>
      <c r="O779" t="s">
        <v>9</v>
      </c>
      <c r="P779" t="s">
        <v>129</v>
      </c>
    </row>
    <row r="780" spans="1:16" hidden="1">
      <c r="A780" t="s">
        <v>942</v>
      </c>
      <c r="B780" s="1">
        <v>4590011320</v>
      </c>
      <c r="C780" t="s">
        <v>498</v>
      </c>
      <c r="D780" s="160">
        <v>46347.3</v>
      </c>
      <c r="F780" t="s">
        <v>943</v>
      </c>
      <c r="G780" s="4">
        <v>45379</v>
      </c>
      <c r="H780" s="4">
        <v>45379</v>
      </c>
      <c r="I780">
        <v>2024</v>
      </c>
      <c r="J780">
        <v>3</v>
      </c>
      <c r="K780" s="4" t="s">
        <v>697</v>
      </c>
      <c r="L780" t="s">
        <v>89</v>
      </c>
      <c r="N780" t="s">
        <v>89</v>
      </c>
      <c r="O780" t="s">
        <v>9</v>
      </c>
      <c r="P780" t="s">
        <v>125</v>
      </c>
    </row>
    <row r="781" spans="1:16" hidden="1">
      <c r="A781" t="s">
        <v>54</v>
      </c>
      <c r="B781" s="1">
        <v>4590013324</v>
      </c>
      <c r="C781" t="s">
        <v>944</v>
      </c>
      <c r="D781" s="160">
        <v>589598</v>
      </c>
      <c r="F781" t="s">
        <v>945</v>
      </c>
      <c r="G781" s="4">
        <v>45372</v>
      </c>
      <c r="H781" s="4">
        <v>45373</v>
      </c>
      <c r="I781">
        <v>2024</v>
      </c>
      <c r="J781">
        <v>3</v>
      </c>
      <c r="K781" s="4" t="s">
        <v>697</v>
      </c>
      <c r="L781" t="s">
        <v>89</v>
      </c>
      <c r="N781" t="s">
        <v>89</v>
      </c>
      <c r="O781" t="s">
        <v>13</v>
      </c>
      <c r="P781" t="s">
        <v>946</v>
      </c>
    </row>
    <row r="782" spans="1:16" hidden="1">
      <c r="A782" t="s">
        <v>54</v>
      </c>
      <c r="B782" s="1">
        <v>4590013412</v>
      </c>
      <c r="C782" t="s">
        <v>748</v>
      </c>
      <c r="D782" s="160">
        <v>101737.85</v>
      </c>
      <c r="F782" t="s">
        <v>947</v>
      </c>
      <c r="G782" s="4">
        <v>45372</v>
      </c>
      <c r="H782" s="4">
        <v>45373</v>
      </c>
      <c r="I782">
        <v>2024</v>
      </c>
      <c r="J782">
        <v>3</v>
      </c>
      <c r="K782" s="4" t="s">
        <v>697</v>
      </c>
      <c r="L782" t="s">
        <v>89</v>
      </c>
      <c r="M782" t="s">
        <v>526</v>
      </c>
      <c r="N782" t="s">
        <v>89</v>
      </c>
      <c r="O782" t="s">
        <v>13</v>
      </c>
      <c r="P782" t="s">
        <v>222</v>
      </c>
    </row>
    <row r="783" spans="1:16" hidden="1">
      <c r="A783" t="s">
        <v>948</v>
      </c>
      <c r="B783" s="1">
        <v>4590013433</v>
      </c>
      <c r="C783" t="s">
        <v>949</v>
      </c>
      <c r="D783" s="160">
        <v>5525.76</v>
      </c>
      <c r="F783" t="s">
        <v>950</v>
      </c>
      <c r="G783" s="4">
        <v>45379</v>
      </c>
      <c r="H783" s="4">
        <v>45379</v>
      </c>
      <c r="I783">
        <v>2024</v>
      </c>
      <c r="J783">
        <v>3</v>
      </c>
      <c r="K783" s="4" t="s">
        <v>697</v>
      </c>
      <c r="L783" t="s">
        <v>89</v>
      </c>
      <c r="M783" t="s">
        <v>951</v>
      </c>
      <c r="N783" t="s">
        <v>89</v>
      </c>
      <c r="O783" t="s">
        <v>11</v>
      </c>
      <c r="P783" t="s">
        <v>135</v>
      </c>
    </row>
    <row r="784" spans="1:16" hidden="1">
      <c r="A784" t="s">
        <v>54</v>
      </c>
      <c r="B784" s="1">
        <v>4590013563</v>
      </c>
      <c r="C784" t="s">
        <v>390</v>
      </c>
      <c r="D784" s="160">
        <v>170282.8</v>
      </c>
      <c r="F784" t="s">
        <v>952</v>
      </c>
      <c r="G784" s="4">
        <v>45372</v>
      </c>
      <c r="H784" s="4">
        <v>45373</v>
      </c>
      <c r="I784">
        <v>2024</v>
      </c>
      <c r="J784">
        <v>3</v>
      </c>
      <c r="K784" s="4" t="s">
        <v>697</v>
      </c>
      <c r="L784" t="s">
        <v>89</v>
      </c>
      <c r="N784" t="s">
        <v>89</v>
      </c>
      <c r="O784" t="s">
        <v>13</v>
      </c>
      <c r="P784" t="s">
        <v>222</v>
      </c>
    </row>
    <row r="785" spans="1:16" hidden="1">
      <c r="A785" t="s">
        <v>312</v>
      </c>
      <c r="B785" s="1">
        <v>4590013571</v>
      </c>
      <c r="C785" t="s">
        <v>699</v>
      </c>
      <c r="D785" s="160">
        <v>44781.32</v>
      </c>
      <c r="F785" t="s">
        <v>953</v>
      </c>
      <c r="G785" s="4">
        <v>45379</v>
      </c>
      <c r="H785" s="4">
        <v>45379</v>
      </c>
      <c r="I785">
        <v>2024</v>
      </c>
      <c r="J785">
        <v>3</v>
      </c>
      <c r="K785" s="4" t="s">
        <v>697</v>
      </c>
      <c r="L785" t="s">
        <v>89</v>
      </c>
      <c r="N785" t="s">
        <v>89</v>
      </c>
      <c r="O785" t="s">
        <v>9</v>
      </c>
      <c r="P785" t="s">
        <v>120</v>
      </c>
    </row>
    <row r="786" spans="1:16" hidden="1">
      <c r="A786" t="s">
        <v>54</v>
      </c>
      <c r="B786" s="1">
        <v>4590014102</v>
      </c>
      <c r="C786" t="s">
        <v>701</v>
      </c>
      <c r="D786" s="160">
        <v>396933.55</v>
      </c>
      <c r="F786" t="s">
        <v>954</v>
      </c>
      <c r="G786" s="4">
        <v>45373</v>
      </c>
      <c r="H786" s="4">
        <v>45373</v>
      </c>
      <c r="I786">
        <v>2024</v>
      </c>
      <c r="J786">
        <v>3</v>
      </c>
      <c r="K786" s="4" t="s">
        <v>697</v>
      </c>
      <c r="L786" t="s">
        <v>89</v>
      </c>
      <c r="M786" t="s">
        <v>526</v>
      </c>
      <c r="N786" t="s">
        <v>89</v>
      </c>
      <c r="O786" t="s">
        <v>13</v>
      </c>
      <c r="P786" t="s">
        <v>222</v>
      </c>
    </row>
    <row r="787" spans="1:16" hidden="1">
      <c r="A787" t="s">
        <v>54</v>
      </c>
      <c r="B787" s="1">
        <v>4590014289</v>
      </c>
      <c r="C787" t="s">
        <v>675</v>
      </c>
      <c r="D787" s="160">
        <v>1356524.52</v>
      </c>
      <c r="F787" t="s">
        <v>955</v>
      </c>
      <c r="G787" s="4">
        <v>45371</v>
      </c>
      <c r="H787" s="4">
        <v>45372</v>
      </c>
      <c r="I787">
        <v>2024</v>
      </c>
      <c r="J787">
        <v>3</v>
      </c>
      <c r="K787" s="4" t="s">
        <v>697</v>
      </c>
      <c r="L787" t="s">
        <v>89</v>
      </c>
      <c r="N787" t="s">
        <v>89</v>
      </c>
      <c r="O787" t="s">
        <v>13</v>
      </c>
      <c r="P787" t="s">
        <v>537</v>
      </c>
    </row>
    <row r="788" spans="1:16" hidden="1">
      <c r="A788" t="s">
        <v>569</v>
      </c>
      <c r="B788" s="1">
        <v>4590015297</v>
      </c>
      <c r="C788" t="s">
        <v>772</v>
      </c>
      <c r="D788" s="160">
        <v>96257.43</v>
      </c>
      <c r="F788" t="s">
        <v>956</v>
      </c>
      <c r="G788" s="4">
        <v>45373</v>
      </c>
      <c r="H788" s="4">
        <v>45373</v>
      </c>
      <c r="I788">
        <v>2024</v>
      </c>
      <c r="J788">
        <v>3</v>
      </c>
      <c r="K788" s="4" t="s">
        <v>697</v>
      </c>
      <c r="L788" t="s">
        <v>89</v>
      </c>
      <c r="N788" t="s">
        <v>89</v>
      </c>
      <c r="O788" t="s">
        <v>13</v>
      </c>
      <c r="P788" t="s">
        <v>774</v>
      </c>
    </row>
    <row r="789" spans="1:16" hidden="1">
      <c r="A789" t="s">
        <v>957</v>
      </c>
      <c r="B789" s="1">
        <v>4590015367</v>
      </c>
      <c r="C789" t="s">
        <v>958</v>
      </c>
      <c r="D789" s="160">
        <v>577.20000000000005</v>
      </c>
      <c r="F789" t="s">
        <v>959</v>
      </c>
      <c r="G789" s="4">
        <v>45372</v>
      </c>
      <c r="H789" s="4">
        <v>45373</v>
      </c>
      <c r="I789">
        <v>2024</v>
      </c>
      <c r="J789">
        <v>3</v>
      </c>
      <c r="K789" s="4" t="s">
        <v>697</v>
      </c>
      <c r="L789" t="s">
        <v>89</v>
      </c>
      <c r="M789" t="s">
        <v>758</v>
      </c>
      <c r="N789" t="s">
        <v>89</v>
      </c>
      <c r="O789" t="s">
        <v>19</v>
      </c>
      <c r="P789" t="s">
        <v>222</v>
      </c>
    </row>
    <row r="790" spans="1:16" hidden="1">
      <c r="A790" t="s">
        <v>86</v>
      </c>
      <c r="B790" s="1">
        <v>4590006629</v>
      </c>
      <c r="C790" t="s">
        <v>646</v>
      </c>
      <c r="D790" s="160">
        <v>8184.72</v>
      </c>
      <c r="E790">
        <v>457.53</v>
      </c>
      <c r="F790" t="s">
        <v>960</v>
      </c>
      <c r="G790" s="4">
        <v>45436</v>
      </c>
      <c r="H790" s="4">
        <v>45436</v>
      </c>
      <c r="I790">
        <v>2024</v>
      </c>
      <c r="J790">
        <v>5</v>
      </c>
      <c r="K790" s="4" t="s">
        <v>621</v>
      </c>
      <c r="L790" t="s">
        <v>89</v>
      </c>
      <c r="M790" t="s">
        <v>698</v>
      </c>
      <c r="N790" t="s">
        <v>89</v>
      </c>
      <c r="O790" t="s">
        <v>8</v>
      </c>
      <c r="P790" t="s">
        <v>584</v>
      </c>
    </row>
    <row r="791" spans="1:16" hidden="1">
      <c r="A791" t="s">
        <v>704</v>
      </c>
      <c r="B791" s="1">
        <v>4590017205</v>
      </c>
      <c r="C791" t="s">
        <v>961</v>
      </c>
      <c r="D791" s="160">
        <v>9259</v>
      </c>
      <c r="F791" t="s">
        <v>962</v>
      </c>
      <c r="G791" s="4">
        <v>45405</v>
      </c>
      <c r="H791" s="4">
        <v>45405</v>
      </c>
      <c r="I791">
        <v>2024</v>
      </c>
      <c r="J791">
        <v>4</v>
      </c>
      <c r="K791" s="4" t="s">
        <v>767</v>
      </c>
      <c r="L791" t="s">
        <v>89</v>
      </c>
      <c r="M791" t="s">
        <v>963</v>
      </c>
      <c r="N791" t="s">
        <v>89</v>
      </c>
      <c r="O791" t="s">
        <v>8</v>
      </c>
      <c r="P791" t="s">
        <v>300</v>
      </c>
    </row>
    <row r="792" spans="1:16" hidden="1">
      <c r="A792" t="s">
        <v>54</v>
      </c>
      <c r="B792" s="1" t="s">
        <v>127</v>
      </c>
      <c r="C792" t="s">
        <v>128</v>
      </c>
      <c r="D792" s="160">
        <v>2712369</v>
      </c>
      <c r="F792" t="s">
        <v>964</v>
      </c>
      <c r="G792" s="4">
        <v>45379</v>
      </c>
      <c r="H792" s="4">
        <v>45379</v>
      </c>
      <c r="I792">
        <v>2024</v>
      </c>
      <c r="J792">
        <v>3</v>
      </c>
      <c r="K792" s="4" t="s">
        <v>697</v>
      </c>
      <c r="L792" t="s">
        <v>89</v>
      </c>
      <c r="N792" t="s">
        <v>89</v>
      </c>
      <c r="O792" t="s">
        <v>9</v>
      </c>
      <c r="P792" t="s">
        <v>129</v>
      </c>
    </row>
    <row r="793" spans="1:16" hidden="1">
      <c r="A793" t="s">
        <v>54</v>
      </c>
      <c r="B793" s="1" t="s">
        <v>735</v>
      </c>
      <c r="C793" t="s">
        <v>736</v>
      </c>
      <c r="D793" s="160">
        <v>3797612.69</v>
      </c>
      <c r="F793" t="s">
        <v>965</v>
      </c>
      <c r="G793" s="4">
        <v>45371</v>
      </c>
      <c r="H793" s="4">
        <v>45372</v>
      </c>
      <c r="I793">
        <v>2024</v>
      </c>
      <c r="J793">
        <v>3</v>
      </c>
      <c r="K793" s="4" t="s">
        <v>697</v>
      </c>
      <c r="L793" t="s">
        <v>89</v>
      </c>
      <c r="M793" t="s">
        <v>966</v>
      </c>
      <c r="N793" t="s">
        <v>89</v>
      </c>
      <c r="O793" t="s">
        <v>13</v>
      </c>
      <c r="P793" t="s">
        <v>537</v>
      </c>
    </row>
    <row r="794" spans="1:16" hidden="1">
      <c r="A794" t="s">
        <v>54</v>
      </c>
      <c r="B794" s="1" t="s">
        <v>967</v>
      </c>
      <c r="C794" t="s">
        <v>968</v>
      </c>
      <c r="D794" s="160">
        <v>9750000</v>
      </c>
      <c r="F794" t="s">
        <v>969</v>
      </c>
      <c r="G794" s="4">
        <v>45371</v>
      </c>
      <c r="H794" s="4">
        <v>45372</v>
      </c>
      <c r="I794">
        <v>2024</v>
      </c>
      <c r="J794">
        <v>3</v>
      </c>
      <c r="K794" s="4" t="s">
        <v>697</v>
      </c>
      <c r="L794" t="s">
        <v>89</v>
      </c>
      <c r="N794" t="s">
        <v>89</v>
      </c>
      <c r="O794" t="s">
        <v>13</v>
      </c>
      <c r="P794" t="s">
        <v>537</v>
      </c>
    </row>
    <row r="795" spans="1:16" hidden="1">
      <c r="A795" t="s">
        <v>54</v>
      </c>
      <c r="B795" s="1">
        <v>4590015978</v>
      </c>
      <c r="C795" t="s">
        <v>970</v>
      </c>
      <c r="D795" s="160">
        <v>400707</v>
      </c>
      <c r="F795" t="s">
        <v>971</v>
      </c>
      <c r="G795" s="4">
        <v>45371</v>
      </c>
      <c r="H795" s="4">
        <v>45372</v>
      </c>
      <c r="I795">
        <v>2024</v>
      </c>
      <c r="J795">
        <v>3</v>
      </c>
      <c r="K795" s="4" t="s">
        <v>697</v>
      </c>
      <c r="L795" t="s">
        <v>89</v>
      </c>
      <c r="N795" t="s">
        <v>89</v>
      </c>
      <c r="O795" t="s">
        <v>13</v>
      </c>
      <c r="P795" t="s">
        <v>537</v>
      </c>
    </row>
    <row r="796" spans="1:16" hidden="1">
      <c r="A796" t="s">
        <v>86</v>
      </c>
      <c r="B796" s="1">
        <v>4590006628</v>
      </c>
      <c r="C796" t="s">
        <v>644</v>
      </c>
      <c r="D796" s="160">
        <v>24502.59</v>
      </c>
      <c r="E796">
        <v>1369.69</v>
      </c>
      <c r="F796" t="s">
        <v>972</v>
      </c>
      <c r="G796" s="4">
        <v>45436</v>
      </c>
      <c r="H796" s="4">
        <v>45436</v>
      </c>
      <c r="I796">
        <v>2024</v>
      </c>
      <c r="J796">
        <v>5</v>
      </c>
      <c r="K796" s="4" t="s">
        <v>621</v>
      </c>
      <c r="L796" t="s">
        <v>89</v>
      </c>
      <c r="M796" t="s">
        <v>698</v>
      </c>
      <c r="N796" t="s">
        <v>89</v>
      </c>
      <c r="O796" t="s">
        <v>8</v>
      </c>
      <c r="P796" t="s">
        <v>584</v>
      </c>
    </row>
    <row r="797" spans="1:16" hidden="1">
      <c r="A797" t="s">
        <v>846</v>
      </c>
      <c r="B797" s="1">
        <v>4400844277</v>
      </c>
      <c r="C797" t="s">
        <v>550</v>
      </c>
      <c r="D797" s="160">
        <v>38469</v>
      </c>
      <c r="F797" t="s">
        <v>973</v>
      </c>
      <c r="G797" s="4">
        <v>45371</v>
      </c>
      <c r="H797" s="4">
        <v>45377</v>
      </c>
      <c r="I797">
        <v>2024</v>
      </c>
      <c r="J797">
        <v>3</v>
      </c>
      <c r="K797" s="4" t="s">
        <v>697</v>
      </c>
      <c r="L797" t="s">
        <v>625</v>
      </c>
      <c r="N797" t="s">
        <v>974</v>
      </c>
      <c r="P797" t="s">
        <v>550</v>
      </c>
    </row>
    <row r="798" spans="1:16" hidden="1">
      <c r="A798" t="s">
        <v>846</v>
      </c>
      <c r="B798" s="1">
        <v>4400842335</v>
      </c>
      <c r="C798" t="s">
        <v>550</v>
      </c>
      <c r="D798" s="160">
        <v>760</v>
      </c>
      <c r="F798" t="s">
        <v>975</v>
      </c>
      <c r="G798" s="4">
        <v>45371</v>
      </c>
      <c r="H798" s="4">
        <v>45377</v>
      </c>
      <c r="I798">
        <v>2024</v>
      </c>
      <c r="J798">
        <v>3</v>
      </c>
      <c r="K798" s="4" t="s">
        <v>697</v>
      </c>
      <c r="L798" t="s">
        <v>625</v>
      </c>
      <c r="N798" t="s">
        <v>974</v>
      </c>
      <c r="P798" t="s">
        <v>550</v>
      </c>
    </row>
    <row r="799" spans="1:16" hidden="1">
      <c r="A799" t="s">
        <v>846</v>
      </c>
      <c r="B799" s="1">
        <v>4400847889</v>
      </c>
      <c r="C799" t="s">
        <v>550</v>
      </c>
      <c r="D799" s="160">
        <v>76550</v>
      </c>
      <c r="F799" t="s">
        <v>976</v>
      </c>
      <c r="G799" s="4">
        <v>45371</v>
      </c>
      <c r="H799" s="4">
        <v>45377</v>
      </c>
      <c r="I799">
        <v>2024</v>
      </c>
      <c r="J799">
        <v>3</v>
      </c>
      <c r="K799" s="4" t="s">
        <v>697</v>
      </c>
      <c r="L799" t="s">
        <v>625</v>
      </c>
      <c r="N799" t="s">
        <v>974</v>
      </c>
      <c r="P799" t="s">
        <v>550</v>
      </c>
    </row>
    <row r="800" spans="1:16" hidden="1">
      <c r="A800" t="s">
        <v>846</v>
      </c>
      <c r="B800" s="1">
        <v>4400851510</v>
      </c>
      <c r="C800" t="s">
        <v>550</v>
      </c>
      <c r="D800" s="160">
        <v>760</v>
      </c>
      <c r="F800" t="s">
        <v>977</v>
      </c>
      <c r="G800" s="4">
        <v>45371</v>
      </c>
      <c r="H800" s="4">
        <v>45377</v>
      </c>
      <c r="I800">
        <v>2024</v>
      </c>
      <c r="J800">
        <v>3</v>
      </c>
      <c r="K800" s="4" t="s">
        <v>697</v>
      </c>
      <c r="L800" t="s">
        <v>625</v>
      </c>
      <c r="N800" t="s">
        <v>974</v>
      </c>
      <c r="P800" t="s">
        <v>550</v>
      </c>
    </row>
    <row r="801" spans="1:16" hidden="1">
      <c r="A801" t="s">
        <v>978</v>
      </c>
      <c r="B801" s="1">
        <v>4590015164</v>
      </c>
      <c r="C801" t="s">
        <v>979</v>
      </c>
      <c r="D801" s="160">
        <v>42854.63</v>
      </c>
      <c r="F801" t="s">
        <v>980</v>
      </c>
      <c r="G801" s="4">
        <v>45379</v>
      </c>
      <c r="H801" s="4">
        <v>45379</v>
      </c>
      <c r="I801">
        <v>2024</v>
      </c>
      <c r="J801">
        <v>3</v>
      </c>
      <c r="K801" s="4" t="s">
        <v>697</v>
      </c>
      <c r="L801" t="s">
        <v>89</v>
      </c>
      <c r="M801" t="s">
        <v>981</v>
      </c>
      <c r="N801" t="s">
        <v>89</v>
      </c>
      <c r="O801" t="s">
        <v>9</v>
      </c>
      <c r="P801" t="s">
        <v>584</v>
      </c>
    </row>
    <row r="802" spans="1:16" hidden="1">
      <c r="A802" t="s">
        <v>982</v>
      </c>
      <c r="B802" s="1">
        <v>4513455889</v>
      </c>
      <c r="C802" t="s">
        <v>983</v>
      </c>
      <c r="D802" s="160">
        <v>32397.42</v>
      </c>
      <c r="F802" t="s">
        <v>984</v>
      </c>
      <c r="G802" s="4">
        <v>45391</v>
      </c>
      <c r="H802" s="4">
        <v>45391</v>
      </c>
      <c r="I802">
        <v>2024</v>
      </c>
      <c r="J802">
        <v>3</v>
      </c>
      <c r="K802" s="4" t="s">
        <v>697</v>
      </c>
      <c r="L802" t="s">
        <v>89</v>
      </c>
      <c r="N802" t="s">
        <v>89</v>
      </c>
      <c r="O802" t="s">
        <v>18</v>
      </c>
      <c r="P802" t="s">
        <v>985</v>
      </c>
    </row>
    <row r="803" spans="1:16" hidden="1">
      <c r="A803" t="s">
        <v>982</v>
      </c>
      <c r="B803" s="1">
        <v>4513459035</v>
      </c>
      <c r="C803" t="s">
        <v>986</v>
      </c>
      <c r="D803" s="160">
        <v>63748.800000000003</v>
      </c>
      <c r="F803" t="s">
        <v>987</v>
      </c>
      <c r="G803" s="4">
        <v>45378</v>
      </c>
      <c r="H803" s="4">
        <v>45379</v>
      </c>
      <c r="I803">
        <v>2024</v>
      </c>
      <c r="J803">
        <v>3</v>
      </c>
      <c r="K803" s="4" t="s">
        <v>697</v>
      </c>
      <c r="L803" t="s">
        <v>89</v>
      </c>
      <c r="N803" t="s">
        <v>89</v>
      </c>
      <c r="O803" t="s">
        <v>18</v>
      </c>
      <c r="P803" t="s">
        <v>985</v>
      </c>
    </row>
    <row r="804" spans="1:16" hidden="1">
      <c r="A804" t="s">
        <v>988</v>
      </c>
      <c r="B804" s="1" t="s">
        <v>989</v>
      </c>
      <c r="C804" t="s">
        <v>407</v>
      </c>
      <c r="D804" s="160">
        <v>10334.42</v>
      </c>
      <c r="F804" t="s">
        <v>990</v>
      </c>
      <c r="G804" s="4">
        <v>45378</v>
      </c>
      <c r="H804" s="4">
        <v>45388</v>
      </c>
      <c r="I804">
        <v>2024</v>
      </c>
      <c r="J804">
        <v>3</v>
      </c>
      <c r="K804" s="4" t="s">
        <v>697</v>
      </c>
      <c r="L804" t="s">
        <v>89</v>
      </c>
      <c r="N804" t="s">
        <v>89</v>
      </c>
      <c r="O804" t="s">
        <v>8</v>
      </c>
      <c r="P804" t="s">
        <v>408</v>
      </c>
    </row>
    <row r="805" spans="1:16" hidden="1">
      <c r="A805" t="s">
        <v>988</v>
      </c>
      <c r="B805" s="1" t="s">
        <v>874</v>
      </c>
      <c r="C805" t="s">
        <v>407</v>
      </c>
      <c r="D805" s="160">
        <v>79819.39</v>
      </c>
      <c r="F805" t="s">
        <v>991</v>
      </c>
      <c r="G805" s="4">
        <v>45378</v>
      </c>
      <c r="H805" s="4">
        <v>45378</v>
      </c>
      <c r="I805">
        <v>2024</v>
      </c>
      <c r="J805">
        <v>3</v>
      </c>
      <c r="K805" s="4" t="s">
        <v>697</v>
      </c>
      <c r="L805" t="s">
        <v>89</v>
      </c>
      <c r="N805" t="s">
        <v>89</v>
      </c>
      <c r="O805" t="s">
        <v>8</v>
      </c>
      <c r="P805" t="s">
        <v>408</v>
      </c>
    </row>
    <row r="806" spans="1:16" hidden="1">
      <c r="A806" t="s">
        <v>312</v>
      </c>
      <c r="B806" s="1">
        <v>4503290109</v>
      </c>
      <c r="C806" t="s">
        <v>103</v>
      </c>
      <c r="D806" s="160">
        <v>2277054</v>
      </c>
      <c r="F806" t="s">
        <v>992</v>
      </c>
      <c r="G806" s="4">
        <v>45379</v>
      </c>
      <c r="H806" s="4">
        <v>45379</v>
      </c>
      <c r="I806">
        <v>2024</v>
      </c>
      <c r="J806">
        <v>3</v>
      </c>
      <c r="K806" s="4" t="s">
        <v>697</v>
      </c>
      <c r="L806" t="s">
        <v>89</v>
      </c>
      <c r="N806" t="s">
        <v>89</v>
      </c>
      <c r="O806" t="s">
        <v>9</v>
      </c>
      <c r="P806" t="s">
        <v>104</v>
      </c>
    </row>
    <row r="807" spans="1:16" hidden="1">
      <c r="A807" t="s">
        <v>102</v>
      </c>
      <c r="B807" s="1">
        <v>4503432118</v>
      </c>
      <c r="C807" t="s">
        <v>119</v>
      </c>
      <c r="D807" s="160">
        <v>632441</v>
      </c>
      <c r="F807" t="s">
        <v>993</v>
      </c>
      <c r="G807" s="4">
        <v>45379</v>
      </c>
      <c r="H807" s="4">
        <v>45379</v>
      </c>
      <c r="I807">
        <v>2024</v>
      </c>
      <c r="J807">
        <v>3</v>
      </c>
      <c r="K807" s="4" t="s">
        <v>697</v>
      </c>
      <c r="L807" t="s">
        <v>89</v>
      </c>
      <c r="N807" t="s">
        <v>89</v>
      </c>
      <c r="O807" t="s">
        <v>9</v>
      </c>
      <c r="P807" t="s">
        <v>120</v>
      </c>
    </row>
    <row r="808" spans="1:16" hidden="1">
      <c r="A808" t="s">
        <v>312</v>
      </c>
      <c r="B808" s="1">
        <v>4590006189</v>
      </c>
      <c r="C808" t="s">
        <v>260</v>
      </c>
      <c r="D808" s="160">
        <v>563651</v>
      </c>
      <c r="F808" t="s">
        <v>994</v>
      </c>
      <c r="G808" s="4">
        <v>45379</v>
      </c>
      <c r="H808" s="4">
        <v>45379</v>
      </c>
      <c r="I808">
        <v>2024</v>
      </c>
      <c r="J808">
        <v>3</v>
      </c>
      <c r="K808" s="4" t="s">
        <v>697</v>
      </c>
      <c r="L808" t="s">
        <v>89</v>
      </c>
      <c r="M808" t="s">
        <v>526</v>
      </c>
      <c r="N808" t="s">
        <v>89</v>
      </c>
      <c r="O808" t="s">
        <v>9</v>
      </c>
      <c r="P808" t="s">
        <v>262</v>
      </c>
    </row>
    <row r="809" spans="1:16" hidden="1">
      <c r="A809" t="s">
        <v>995</v>
      </c>
      <c r="B809" s="1">
        <v>4590010774</v>
      </c>
      <c r="C809" t="s">
        <v>996</v>
      </c>
      <c r="D809" s="160">
        <v>489494.45</v>
      </c>
      <c r="E809">
        <v>27362.74</v>
      </c>
      <c r="F809" t="s">
        <v>997</v>
      </c>
      <c r="G809" s="4">
        <v>45379</v>
      </c>
      <c r="H809" s="4">
        <v>45379</v>
      </c>
      <c r="I809">
        <v>2024</v>
      </c>
      <c r="J809">
        <v>3</v>
      </c>
      <c r="K809" s="4" t="s">
        <v>697</v>
      </c>
      <c r="L809" t="s">
        <v>89</v>
      </c>
      <c r="M809" t="s">
        <v>526</v>
      </c>
      <c r="N809" t="s">
        <v>89</v>
      </c>
      <c r="O809" t="s">
        <v>11</v>
      </c>
      <c r="P809" t="s">
        <v>584</v>
      </c>
    </row>
    <row r="810" spans="1:16" hidden="1">
      <c r="A810" t="s">
        <v>995</v>
      </c>
      <c r="B810" s="1">
        <v>4590010913</v>
      </c>
      <c r="C810" t="s">
        <v>998</v>
      </c>
      <c r="D810" s="160">
        <v>134211.51</v>
      </c>
      <c r="E810">
        <v>7502.42</v>
      </c>
      <c r="F810" t="s">
        <v>999</v>
      </c>
      <c r="G810" s="4">
        <v>45379</v>
      </c>
      <c r="H810" s="4">
        <v>45379</v>
      </c>
      <c r="I810">
        <v>2024</v>
      </c>
      <c r="J810">
        <v>3</v>
      </c>
      <c r="K810" s="4" t="s">
        <v>697</v>
      </c>
      <c r="L810" t="s">
        <v>89</v>
      </c>
      <c r="M810" t="s">
        <v>526</v>
      </c>
      <c r="N810" t="s">
        <v>89</v>
      </c>
      <c r="O810" t="s">
        <v>11</v>
      </c>
      <c r="P810" t="s">
        <v>584</v>
      </c>
    </row>
    <row r="811" spans="1:16" hidden="1">
      <c r="A811" t="s">
        <v>312</v>
      </c>
      <c r="B811" s="1">
        <v>4590013803</v>
      </c>
      <c r="C811" t="s">
        <v>700</v>
      </c>
      <c r="D811" s="160">
        <v>401181</v>
      </c>
      <c r="F811" t="s">
        <v>1000</v>
      </c>
      <c r="G811" s="4">
        <v>45380</v>
      </c>
      <c r="H811" s="4">
        <v>45380</v>
      </c>
      <c r="I811">
        <v>2024</v>
      </c>
      <c r="J811">
        <v>3</v>
      </c>
      <c r="K811" s="4" t="s">
        <v>697</v>
      </c>
      <c r="L811" t="s">
        <v>89</v>
      </c>
      <c r="N811" t="s">
        <v>89</v>
      </c>
      <c r="O811" t="s">
        <v>9</v>
      </c>
      <c r="P811" t="s">
        <v>120</v>
      </c>
    </row>
    <row r="812" spans="1:16" hidden="1">
      <c r="A812" t="s">
        <v>54</v>
      </c>
      <c r="B812" s="1" t="s">
        <v>201</v>
      </c>
      <c r="C812" t="s">
        <v>202</v>
      </c>
      <c r="D812" s="160">
        <v>58354.75</v>
      </c>
      <c r="F812" t="s">
        <v>1001</v>
      </c>
      <c r="G812" s="4">
        <v>45379</v>
      </c>
      <c r="H812" s="4">
        <v>45379</v>
      </c>
      <c r="I812">
        <v>2024</v>
      </c>
      <c r="J812">
        <v>3</v>
      </c>
      <c r="K812" s="4" t="s">
        <v>697</v>
      </c>
      <c r="L812" t="s">
        <v>89</v>
      </c>
      <c r="M812" t="s">
        <v>526</v>
      </c>
      <c r="N812" t="s">
        <v>89</v>
      </c>
      <c r="O812" t="s">
        <v>11</v>
      </c>
      <c r="P812" t="s">
        <v>190</v>
      </c>
    </row>
    <row r="813" spans="1:16" hidden="1">
      <c r="A813" t="s">
        <v>1002</v>
      </c>
      <c r="B813" s="1">
        <v>4590016125</v>
      </c>
      <c r="C813" t="s">
        <v>1003</v>
      </c>
      <c r="D813" s="160">
        <v>104491.39</v>
      </c>
      <c r="F813" t="s">
        <v>1004</v>
      </c>
      <c r="G813" s="4">
        <v>45379</v>
      </c>
      <c r="H813" s="4">
        <v>45379</v>
      </c>
      <c r="I813">
        <v>2024</v>
      </c>
      <c r="J813">
        <v>3</v>
      </c>
      <c r="K813" s="4" t="s">
        <v>697</v>
      </c>
      <c r="L813" t="s">
        <v>89</v>
      </c>
      <c r="N813" t="s">
        <v>89</v>
      </c>
      <c r="O813" t="s">
        <v>11</v>
      </c>
      <c r="P813" t="s">
        <v>584</v>
      </c>
    </row>
    <row r="814" spans="1:16" hidden="1">
      <c r="A814" t="s">
        <v>312</v>
      </c>
      <c r="B814" s="1">
        <v>4590016257</v>
      </c>
      <c r="C814" t="s">
        <v>1005</v>
      </c>
      <c r="D814" s="160">
        <v>68026.33</v>
      </c>
      <c r="F814" t="s">
        <v>1006</v>
      </c>
      <c r="G814" s="4">
        <v>45379</v>
      </c>
      <c r="H814" s="4">
        <v>45379</v>
      </c>
      <c r="I814">
        <v>2024</v>
      </c>
      <c r="J814">
        <v>3</v>
      </c>
      <c r="K814" s="4" t="s">
        <v>697</v>
      </c>
      <c r="L814" t="s">
        <v>89</v>
      </c>
      <c r="N814" t="s">
        <v>89</v>
      </c>
      <c r="O814" t="s">
        <v>9</v>
      </c>
      <c r="P814" t="s">
        <v>104</v>
      </c>
    </row>
    <row r="815" spans="1:16" hidden="1">
      <c r="A815" t="s">
        <v>846</v>
      </c>
      <c r="B815" s="1">
        <v>4400837502</v>
      </c>
      <c r="C815" t="s">
        <v>550</v>
      </c>
      <c r="D815" s="160">
        <v>39604</v>
      </c>
      <c r="F815" t="s">
        <v>1007</v>
      </c>
      <c r="G815" s="4">
        <v>45377</v>
      </c>
      <c r="H815" s="4">
        <v>45379</v>
      </c>
      <c r="I815">
        <v>2024</v>
      </c>
      <c r="J815">
        <v>3</v>
      </c>
      <c r="K815" s="4" t="s">
        <v>697</v>
      </c>
      <c r="L815" t="s">
        <v>89</v>
      </c>
      <c r="N815" t="s">
        <v>89</v>
      </c>
      <c r="P815" t="s">
        <v>550</v>
      </c>
    </row>
    <row r="816" spans="1:16" hidden="1">
      <c r="A816" t="s">
        <v>846</v>
      </c>
      <c r="B816" s="1">
        <v>4400837507</v>
      </c>
      <c r="C816" t="s">
        <v>550</v>
      </c>
      <c r="D816" s="160">
        <v>39604</v>
      </c>
      <c r="F816" t="s">
        <v>1008</v>
      </c>
      <c r="G816" s="4">
        <v>45377</v>
      </c>
      <c r="H816" s="4">
        <v>45379</v>
      </c>
      <c r="I816">
        <v>2024</v>
      </c>
      <c r="J816">
        <v>3</v>
      </c>
      <c r="K816" s="4" t="s">
        <v>697</v>
      </c>
      <c r="L816" t="s">
        <v>89</v>
      </c>
      <c r="N816" t="s">
        <v>89</v>
      </c>
      <c r="P816" t="s">
        <v>550</v>
      </c>
    </row>
    <row r="817" spans="1:16" hidden="1">
      <c r="A817" t="s">
        <v>846</v>
      </c>
      <c r="B817" s="1">
        <v>4400854441</v>
      </c>
      <c r="C817" t="s">
        <v>550</v>
      </c>
      <c r="D817" s="160">
        <v>76550</v>
      </c>
      <c r="F817" t="s">
        <v>1009</v>
      </c>
      <c r="G817" s="4">
        <v>45377</v>
      </c>
      <c r="H817" s="4">
        <v>45379</v>
      </c>
      <c r="I817">
        <v>2024</v>
      </c>
      <c r="J817">
        <v>3</v>
      </c>
      <c r="K817" s="4" t="s">
        <v>697</v>
      </c>
      <c r="L817" t="s">
        <v>89</v>
      </c>
      <c r="N817" t="s">
        <v>89</v>
      </c>
      <c r="P817" t="s">
        <v>550</v>
      </c>
    </row>
    <row r="818" spans="1:16" hidden="1">
      <c r="A818" t="s">
        <v>846</v>
      </c>
      <c r="B818" s="1">
        <v>4400834416</v>
      </c>
      <c r="C818" t="s">
        <v>550</v>
      </c>
      <c r="D818" s="160">
        <v>2850</v>
      </c>
      <c r="F818" t="s">
        <v>1010</v>
      </c>
      <c r="G818" s="4">
        <v>45379</v>
      </c>
      <c r="H818" s="4">
        <v>45379</v>
      </c>
      <c r="I818">
        <v>2024</v>
      </c>
      <c r="J818">
        <v>3</v>
      </c>
      <c r="K818" s="4" t="s">
        <v>697</v>
      </c>
      <c r="L818" t="s">
        <v>89</v>
      </c>
      <c r="N818" t="s">
        <v>89</v>
      </c>
      <c r="P818" t="s">
        <v>550</v>
      </c>
    </row>
    <row r="819" spans="1:16" hidden="1">
      <c r="A819" t="s">
        <v>1011</v>
      </c>
      <c r="B819" s="1">
        <v>4590011083</v>
      </c>
      <c r="C819" t="s">
        <v>1012</v>
      </c>
      <c r="D819" s="160">
        <v>3214.56</v>
      </c>
      <c r="F819" t="s">
        <v>1013</v>
      </c>
      <c r="G819" s="4">
        <v>45379</v>
      </c>
      <c r="H819" s="4">
        <v>45379</v>
      </c>
      <c r="I819">
        <v>2024</v>
      </c>
      <c r="J819">
        <v>3</v>
      </c>
      <c r="K819" s="4" t="s">
        <v>697</v>
      </c>
      <c r="L819" t="s">
        <v>89</v>
      </c>
      <c r="M819" t="s">
        <v>758</v>
      </c>
      <c r="N819" t="s">
        <v>89</v>
      </c>
      <c r="O819" t="s">
        <v>13</v>
      </c>
      <c r="P819" t="s">
        <v>361</v>
      </c>
    </row>
    <row r="820" spans="1:16" hidden="1">
      <c r="A820" t="s">
        <v>1014</v>
      </c>
      <c r="B820" s="1">
        <v>4590010397</v>
      </c>
      <c r="C820" t="s">
        <v>1015</v>
      </c>
      <c r="D820" s="160">
        <v>3214.58</v>
      </c>
      <c r="F820" t="s">
        <v>1016</v>
      </c>
      <c r="G820" s="4">
        <v>45379</v>
      </c>
      <c r="H820" s="4">
        <v>45379</v>
      </c>
      <c r="I820">
        <v>2024</v>
      </c>
      <c r="J820">
        <v>3</v>
      </c>
      <c r="K820" s="4" t="s">
        <v>697</v>
      </c>
      <c r="L820" t="s">
        <v>89</v>
      </c>
      <c r="M820" t="s">
        <v>1017</v>
      </c>
      <c r="N820" t="s">
        <v>89</v>
      </c>
      <c r="O820" t="s">
        <v>13</v>
      </c>
      <c r="P820" t="s">
        <v>361</v>
      </c>
    </row>
    <row r="821" spans="1:16" hidden="1">
      <c r="A821" t="s">
        <v>1018</v>
      </c>
      <c r="B821" s="1">
        <v>4590010420</v>
      </c>
      <c r="C821" t="s">
        <v>1019</v>
      </c>
      <c r="D821" s="160">
        <v>3491.02</v>
      </c>
      <c r="F821" t="s">
        <v>1020</v>
      </c>
      <c r="G821" s="4">
        <v>45379</v>
      </c>
      <c r="H821" s="4">
        <v>45379</v>
      </c>
      <c r="I821">
        <v>2024</v>
      </c>
      <c r="J821">
        <v>3</v>
      </c>
      <c r="K821" s="4" t="s">
        <v>697</v>
      </c>
      <c r="L821" t="s">
        <v>89</v>
      </c>
      <c r="M821" t="s">
        <v>526</v>
      </c>
      <c r="N821" t="s">
        <v>89</v>
      </c>
      <c r="O821" t="s">
        <v>16</v>
      </c>
      <c r="P821" t="s">
        <v>361</v>
      </c>
    </row>
    <row r="822" spans="1:16" hidden="1">
      <c r="A822" t="s">
        <v>1021</v>
      </c>
      <c r="B822" s="1">
        <v>4590010362</v>
      </c>
      <c r="C822" t="s">
        <v>1022</v>
      </c>
      <c r="D822" s="160">
        <v>6429.12</v>
      </c>
      <c r="F822" t="s">
        <v>1023</v>
      </c>
      <c r="G822" s="4">
        <v>45379</v>
      </c>
      <c r="H822" s="4">
        <v>45379</v>
      </c>
      <c r="I822">
        <v>2024</v>
      </c>
      <c r="J822">
        <v>3</v>
      </c>
      <c r="K822" s="4" t="s">
        <v>697</v>
      </c>
      <c r="L822" t="s">
        <v>89</v>
      </c>
      <c r="N822" t="s">
        <v>89</v>
      </c>
      <c r="O822" t="s">
        <v>16</v>
      </c>
      <c r="P822" t="s">
        <v>361</v>
      </c>
    </row>
    <row r="823" spans="1:16" hidden="1">
      <c r="A823" t="s">
        <v>54</v>
      </c>
      <c r="B823" s="1" t="s">
        <v>502</v>
      </c>
      <c r="C823" t="s">
        <v>503</v>
      </c>
      <c r="D823" s="160">
        <v>142515.54</v>
      </c>
      <c r="F823" t="s">
        <v>1024</v>
      </c>
      <c r="G823" s="4">
        <v>45379</v>
      </c>
      <c r="H823" s="4">
        <v>45379</v>
      </c>
      <c r="I823">
        <v>2024</v>
      </c>
      <c r="J823">
        <v>3</v>
      </c>
      <c r="K823" s="4" t="s">
        <v>697</v>
      </c>
      <c r="L823" t="s">
        <v>89</v>
      </c>
      <c r="N823" t="s">
        <v>89</v>
      </c>
      <c r="O823" t="s">
        <v>13</v>
      </c>
      <c r="P823" t="s">
        <v>361</v>
      </c>
    </row>
    <row r="824" spans="1:16" hidden="1">
      <c r="A824" t="s">
        <v>799</v>
      </c>
      <c r="B824" s="1">
        <v>4590015373</v>
      </c>
      <c r="C824" t="s">
        <v>800</v>
      </c>
      <c r="D824" s="160">
        <v>151825</v>
      </c>
      <c r="F824" t="s">
        <v>1025</v>
      </c>
      <c r="G824" s="4">
        <v>45379</v>
      </c>
      <c r="H824" s="4">
        <v>45379</v>
      </c>
      <c r="I824">
        <v>2024</v>
      </c>
      <c r="J824">
        <v>3</v>
      </c>
      <c r="K824" s="4" t="s">
        <v>697</v>
      </c>
      <c r="L824" t="s">
        <v>95</v>
      </c>
      <c r="M824" t="s">
        <v>1026</v>
      </c>
      <c r="N824" t="s">
        <v>726</v>
      </c>
      <c r="O824" t="s">
        <v>13</v>
      </c>
      <c r="P824" t="s">
        <v>291</v>
      </c>
    </row>
    <row r="825" spans="1:16" hidden="1">
      <c r="A825" t="s">
        <v>54</v>
      </c>
      <c r="B825" s="1">
        <v>4590016630</v>
      </c>
      <c r="C825" t="s">
        <v>1027</v>
      </c>
      <c r="D825" s="160">
        <v>1124519</v>
      </c>
      <c r="F825" t="s">
        <v>1028</v>
      </c>
      <c r="G825" s="4">
        <v>45379</v>
      </c>
      <c r="H825" s="4">
        <v>45379</v>
      </c>
      <c r="I825">
        <v>2024</v>
      </c>
      <c r="J825">
        <v>3</v>
      </c>
      <c r="K825" s="4" t="s">
        <v>697</v>
      </c>
      <c r="L825" t="s">
        <v>89</v>
      </c>
      <c r="N825" t="s">
        <v>89</v>
      </c>
      <c r="O825" t="s">
        <v>13</v>
      </c>
      <c r="P825" t="s">
        <v>563</v>
      </c>
    </row>
    <row r="826" spans="1:16" hidden="1">
      <c r="A826" t="s">
        <v>314</v>
      </c>
      <c r="B826" s="1">
        <v>4503441102</v>
      </c>
      <c r="C826" t="s">
        <v>140</v>
      </c>
      <c r="D826" s="160">
        <v>108644</v>
      </c>
      <c r="E826">
        <v>6073</v>
      </c>
      <c r="F826" t="s">
        <v>1029</v>
      </c>
      <c r="G826" s="4">
        <v>45380</v>
      </c>
      <c r="H826" s="4">
        <v>45351</v>
      </c>
      <c r="I826">
        <v>2024</v>
      </c>
      <c r="J826">
        <v>3</v>
      </c>
      <c r="K826" s="4" t="s">
        <v>697</v>
      </c>
      <c r="L826" t="s">
        <v>89</v>
      </c>
      <c r="N826" t="s">
        <v>89</v>
      </c>
      <c r="O826" t="s">
        <v>9</v>
      </c>
      <c r="P826" t="s">
        <v>141</v>
      </c>
    </row>
    <row r="827" spans="1:16" hidden="1">
      <c r="A827" t="s">
        <v>54</v>
      </c>
      <c r="B827" s="1" t="s">
        <v>204</v>
      </c>
      <c r="C827" t="s">
        <v>205</v>
      </c>
      <c r="D827" s="160">
        <v>38733.47</v>
      </c>
      <c r="F827" t="s">
        <v>1030</v>
      </c>
      <c r="G827" s="4">
        <v>45380</v>
      </c>
      <c r="H827" s="4">
        <v>45351</v>
      </c>
      <c r="I827">
        <v>2024</v>
      </c>
      <c r="J827">
        <v>3</v>
      </c>
      <c r="K827" s="4" t="s">
        <v>697</v>
      </c>
      <c r="L827" t="s">
        <v>89</v>
      </c>
      <c r="M827" t="s">
        <v>1031</v>
      </c>
      <c r="N827" t="s">
        <v>89</v>
      </c>
      <c r="O827" t="s">
        <v>11</v>
      </c>
      <c r="P827" t="s">
        <v>190</v>
      </c>
    </row>
    <row r="828" spans="1:16" hidden="1">
      <c r="A828" t="s">
        <v>846</v>
      </c>
      <c r="B828" s="1">
        <v>4400819976</v>
      </c>
      <c r="C828" t="s">
        <v>550</v>
      </c>
      <c r="D828" s="160">
        <v>1135</v>
      </c>
      <c r="F828" t="s">
        <v>1032</v>
      </c>
      <c r="G828" s="4">
        <v>45387</v>
      </c>
      <c r="H828" s="4">
        <v>45390</v>
      </c>
      <c r="I828">
        <v>2024</v>
      </c>
      <c r="J828">
        <v>4</v>
      </c>
      <c r="K828" s="4" t="s">
        <v>767</v>
      </c>
      <c r="L828" t="s">
        <v>625</v>
      </c>
      <c r="N828" t="s">
        <v>1033</v>
      </c>
      <c r="P828" t="s">
        <v>550</v>
      </c>
    </row>
    <row r="829" spans="1:16" hidden="1">
      <c r="A829" t="s">
        <v>846</v>
      </c>
      <c r="B829" s="1">
        <v>4400824164</v>
      </c>
      <c r="C829" t="s">
        <v>550</v>
      </c>
      <c r="D829" s="160">
        <v>1135</v>
      </c>
      <c r="F829" t="s">
        <v>1034</v>
      </c>
      <c r="G829" s="4">
        <v>45387</v>
      </c>
      <c r="H829" s="4">
        <v>45390</v>
      </c>
      <c r="I829">
        <v>2024</v>
      </c>
      <c r="J829">
        <v>4</v>
      </c>
      <c r="K829" s="4" t="s">
        <v>767</v>
      </c>
      <c r="L829" t="s">
        <v>625</v>
      </c>
      <c r="N829" t="s">
        <v>1033</v>
      </c>
      <c r="P829" t="s">
        <v>550</v>
      </c>
    </row>
    <row r="830" spans="1:16" hidden="1">
      <c r="A830" t="s">
        <v>846</v>
      </c>
      <c r="B830" s="1">
        <v>4400824165</v>
      </c>
      <c r="C830" t="s">
        <v>550</v>
      </c>
      <c r="D830" s="160">
        <v>1135</v>
      </c>
      <c r="F830" t="s">
        <v>1035</v>
      </c>
      <c r="G830" s="4">
        <v>45387</v>
      </c>
      <c r="H830" s="4">
        <v>45390</v>
      </c>
      <c r="I830">
        <v>2024</v>
      </c>
      <c r="J830">
        <v>4</v>
      </c>
      <c r="K830" s="4" t="s">
        <v>767</v>
      </c>
      <c r="L830" t="s">
        <v>625</v>
      </c>
      <c r="N830" t="s">
        <v>1033</v>
      </c>
      <c r="P830" t="s">
        <v>550</v>
      </c>
    </row>
    <row r="831" spans="1:16" hidden="1">
      <c r="A831" t="s">
        <v>846</v>
      </c>
      <c r="B831" s="1">
        <v>4400824191</v>
      </c>
      <c r="C831" t="s">
        <v>550</v>
      </c>
      <c r="D831" s="160">
        <v>1135</v>
      </c>
      <c r="F831" t="s">
        <v>1036</v>
      </c>
      <c r="G831" s="4">
        <v>45387</v>
      </c>
      <c r="H831" s="4">
        <v>45390</v>
      </c>
      <c r="I831">
        <v>2024</v>
      </c>
      <c r="J831">
        <v>4</v>
      </c>
      <c r="K831" s="4" t="s">
        <v>767</v>
      </c>
      <c r="L831" t="s">
        <v>625</v>
      </c>
      <c r="N831" t="s">
        <v>1033</v>
      </c>
      <c r="P831" t="s">
        <v>550</v>
      </c>
    </row>
    <row r="832" spans="1:16" hidden="1">
      <c r="A832" t="s">
        <v>846</v>
      </c>
      <c r="B832" s="1">
        <v>4400833162</v>
      </c>
      <c r="C832" t="s">
        <v>550</v>
      </c>
      <c r="D832" s="160">
        <v>3572</v>
      </c>
      <c r="F832" t="s">
        <v>1037</v>
      </c>
      <c r="G832" s="4">
        <v>45387</v>
      </c>
      <c r="H832" s="4">
        <v>45390</v>
      </c>
      <c r="I832">
        <v>2024</v>
      </c>
      <c r="J832">
        <v>4</v>
      </c>
      <c r="K832" s="4" t="s">
        <v>767</v>
      </c>
      <c r="L832" t="s">
        <v>625</v>
      </c>
      <c r="N832" t="s">
        <v>1033</v>
      </c>
      <c r="P832" t="s">
        <v>550</v>
      </c>
    </row>
    <row r="833" spans="1:16" hidden="1">
      <c r="A833" t="s">
        <v>846</v>
      </c>
      <c r="B833" s="1">
        <v>4400837575</v>
      </c>
      <c r="C833" t="s">
        <v>550</v>
      </c>
      <c r="D833" s="160">
        <v>25371</v>
      </c>
      <c r="F833" t="s">
        <v>1038</v>
      </c>
      <c r="G833" s="4">
        <v>45387</v>
      </c>
      <c r="H833" s="4">
        <v>45390</v>
      </c>
      <c r="I833">
        <v>2024</v>
      </c>
      <c r="J833">
        <v>4</v>
      </c>
      <c r="K833" s="4" t="s">
        <v>767</v>
      </c>
      <c r="L833" t="s">
        <v>625</v>
      </c>
      <c r="N833" t="s">
        <v>1033</v>
      </c>
      <c r="P833" t="s">
        <v>550</v>
      </c>
    </row>
    <row r="834" spans="1:16" hidden="1">
      <c r="A834" t="s">
        <v>846</v>
      </c>
      <c r="B834" s="1">
        <v>4400850639</v>
      </c>
      <c r="C834" t="s">
        <v>550</v>
      </c>
      <c r="D834" s="160">
        <v>3160</v>
      </c>
      <c r="F834" t="s">
        <v>1039</v>
      </c>
      <c r="G834" s="4">
        <v>45387</v>
      </c>
      <c r="H834" s="4">
        <v>45390</v>
      </c>
      <c r="I834">
        <v>2024</v>
      </c>
      <c r="J834">
        <v>4</v>
      </c>
      <c r="K834" s="4" t="s">
        <v>767</v>
      </c>
      <c r="L834" t="s">
        <v>625</v>
      </c>
      <c r="N834" t="s">
        <v>1033</v>
      </c>
      <c r="P834" t="s">
        <v>550</v>
      </c>
    </row>
    <row r="835" spans="1:16" hidden="1">
      <c r="A835" t="s">
        <v>846</v>
      </c>
      <c r="B835" s="1">
        <v>4400854059</v>
      </c>
      <c r="C835" t="s">
        <v>550</v>
      </c>
      <c r="D835" s="160">
        <v>1135</v>
      </c>
      <c r="F835" t="s">
        <v>1040</v>
      </c>
      <c r="G835" s="4">
        <v>45387</v>
      </c>
      <c r="H835" s="4">
        <v>45390</v>
      </c>
      <c r="I835">
        <v>2024</v>
      </c>
      <c r="J835">
        <v>4</v>
      </c>
      <c r="K835" s="4" t="s">
        <v>767</v>
      </c>
      <c r="L835" t="s">
        <v>625</v>
      </c>
      <c r="N835" t="s">
        <v>1033</v>
      </c>
      <c r="P835" t="s">
        <v>550</v>
      </c>
    </row>
    <row r="836" spans="1:16" hidden="1">
      <c r="A836" t="s">
        <v>846</v>
      </c>
      <c r="B836" s="1">
        <v>4400772471</v>
      </c>
      <c r="C836" t="s">
        <v>1041</v>
      </c>
      <c r="D836" s="160">
        <v>81711.87</v>
      </c>
      <c r="F836" t="s">
        <v>1042</v>
      </c>
      <c r="G836" s="4">
        <v>45379</v>
      </c>
      <c r="H836" s="4">
        <v>45385</v>
      </c>
      <c r="I836">
        <v>2024</v>
      </c>
      <c r="J836">
        <v>4</v>
      </c>
      <c r="K836" s="4" t="s">
        <v>767</v>
      </c>
      <c r="L836" t="s">
        <v>625</v>
      </c>
      <c r="N836" t="s">
        <v>726</v>
      </c>
      <c r="P836" t="s">
        <v>550</v>
      </c>
    </row>
    <row r="837" spans="1:16" hidden="1">
      <c r="A837" t="s">
        <v>846</v>
      </c>
      <c r="B837" s="1">
        <v>4400772471</v>
      </c>
      <c r="C837" t="s">
        <v>1043</v>
      </c>
      <c r="D837" s="160">
        <v>81711.87</v>
      </c>
      <c r="F837" t="s">
        <v>1044</v>
      </c>
      <c r="G837" s="4">
        <v>45379</v>
      </c>
      <c r="H837" s="4">
        <v>45385</v>
      </c>
      <c r="I837">
        <v>2024</v>
      </c>
      <c r="J837">
        <v>4</v>
      </c>
      <c r="K837" s="4" t="s">
        <v>767</v>
      </c>
      <c r="L837" t="s">
        <v>625</v>
      </c>
      <c r="N837" t="s">
        <v>726</v>
      </c>
      <c r="P837" t="s">
        <v>550</v>
      </c>
    </row>
    <row r="838" spans="1:16" hidden="1">
      <c r="A838" t="s">
        <v>846</v>
      </c>
      <c r="B838" s="1">
        <v>4400772471</v>
      </c>
      <c r="C838" t="s">
        <v>1045</v>
      </c>
      <c r="D838" s="160">
        <v>32684.75</v>
      </c>
      <c r="F838" t="s">
        <v>1046</v>
      </c>
      <c r="G838" s="4">
        <v>45379</v>
      </c>
      <c r="H838" s="4">
        <v>45385</v>
      </c>
      <c r="I838">
        <v>2024</v>
      </c>
      <c r="J838">
        <v>4</v>
      </c>
      <c r="K838" s="4" t="s">
        <v>767</v>
      </c>
      <c r="L838" t="s">
        <v>625</v>
      </c>
      <c r="N838" t="s">
        <v>726</v>
      </c>
      <c r="P838" t="s">
        <v>550</v>
      </c>
    </row>
    <row r="839" spans="1:16" hidden="1">
      <c r="A839" t="s">
        <v>846</v>
      </c>
      <c r="B839" s="1">
        <v>4400842757</v>
      </c>
      <c r="C839" t="s">
        <v>550</v>
      </c>
      <c r="D839" s="160">
        <v>75453</v>
      </c>
      <c r="F839" t="s">
        <v>1047</v>
      </c>
      <c r="G839" s="4">
        <v>45387</v>
      </c>
      <c r="H839" s="4">
        <v>45390</v>
      </c>
      <c r="I839">
        <v>2024</v>
      </c>
      <c r="J839">
        <v>4</v>
      </c>
      <c r="K839" s="4" t="s">
        <v>767</v>
      </c>
      <c r="L839" t="s">
        <v>625</v>
      </c>
      <c r="N839" t="s">
        <v>1033</v>
      </c>
      <c r="P839" t="s">
        <v>550</v>
      </c>
    </row>
    <row r="840" spans="1:16" hidden="1">
      <c r="A840" t="s">
        <v>846</v>
      </c>
      <c r="B840" s="1">
        <v>4400851516</v>
      </c>
      <c r="C840" t="s">
        <v>550</v>
      </c>
      <c r="D840" s="160">
        <v>760</v>
      </c>
      <c r="F840" t="s">
        <v>1048</v>
      </c>
      <c r="G840" s="4">
        <v>45387</v>
      </c>
      <c r="H840" s="4">
        <v>45390</v>
      </c>
      <c r="I840">
        <v>2024</v>
      </c>
      <c r="J840">
        <v>4</v>
      </c>
      <c r="K840" s="4" t="s">
        <v>767</v>
      </c>
      <c r="L840" t="s">
        <v>625</v>
      </c>
      <c r="N840" t="s">
        <v>1033</v>
      </c>
      <c r="P840" t="s">
        <v>550</v>
      </c>
    </row>
    <row r="841" spans="1:16" hidden="1">
      <c r="A841" t="s">
        <v>846</v>
      </c>
      <c r="B841" s="1">
        <v>4400855536</v>
      </c>
      <c r="C841" t="s">
        <v>550</v>
      </c>
      <c r="D841" s="160">
        <v>1895</v>
      </c>
      <c r="F841" t="s">
        <v>1049</v>
      </c>
      <c r="G841" s="4">
        <v>45387</v>
      </c>
      <c r="H841" s="4">
        <v>45390</v>
      </c>
      <c r="I841">
        <v>2024</v>
      </c>
      <c r="J841">
        <v>4</v>
      </c>
      <c r="K841" s="4" t="s">
        <v>767</v>
      </c>
      <c r="L841" t="s">
        <v>625</v>
      </c>
      <c r="N841" t="s">
        <v>1033</v>
      </c>
      <c r="P841" t="s">
        <v>550</v>
      </c>
    </row>
    <row r="842" spans="1:16" hidden="1">
      <c r="A842" t="s">
        <v>846</v>
      </c>
      <c r="B842" s="1">
        <v>4400855666</v>
      </c>
      <c r="C842" t="s">
        <v>550</v>
      </c>
      <c r="D842" s="160">
        <v>75453</v>
      </c>
      <c r="F842" t="s">
        <v>1050</v>
      </c>
      <c r="G842" s="4">
        <v>45387</v>
      </c>
      <c r="H842" s="4">
        <v>45390</v>
      </c>
      <c r="I842">
        <v>2024</v>
      </c>
      <c r="J842">
        <v>4</v>
      </c>
      <c r="K842" s="4" t="s">
        <v>767</v>
      </c>
      <c r="L842" t="s">
        <v>625</v>
      </c>
      <c r="N842" t="s">
        <v>1033</v>
      </c>
      <c r="P842" t="s">
        <v>550</v>
      </c>
    </row>
    <row r="843" spans="1:16" hidden="1">
      <c r="A843" t="s">
        <v>846</v>
      </c>
      <c r="B843" s="1">
        <v>4400858927</v>
      </c>
      <c r="C843" t="s">
        <v>1051</v>
      </c>
      <c r="D843" s="160">
        <v>27216</v>
      </c>
      <c r="F843" t="s">
        <v>1052</v>
      </c>
      <c r="G843" s="4">
        <v>45387</v>
      </c>
      <c r="H843" s="4">
        <v>45390</v>
      </c>
      <c r="I843">
        <v>2024</v>
      </c>
      <c r="J843">
        <v>4</v>
      </c>
      <c r="K843" s="4" t="s">
        <v>767</v>
      </c>
      <c r="L843" t="s">
        <v>625</v>
      </c>
      <c r="N843" t="s">
        <v>1033</v>
      </c>
      <c r="P843" t="s">
        <v>550</v>
      </c>
    </row>
    <row r="844" spans="1:16" hidden="1">
      <c r="A844" t="s">
        <v>846</v>
      </c>
      <c r="B844" s="1">
        <v>4400859143</v>
      </c>
      <c r="C844" t="s">
        <v>1053</v>
      </c>
      <c r="D844" s="160">
        <v>27216</v>
      </c>
      <c r="F844" t="s">
        <v>1054</v>
      </c>
      <c r="G844" s="4">
        <v>45387</v>
      </c>
      <c r="H844" s="4">
        <v>45390</v>
      </c>
      <c r="I844">
        <v>2024</v>
      </c>
      <c r="J844">
        <v>4</v>
      </c>
      <c r="K844" s="4" t="s">
        <v>767</v>
      </c>
      <c r="L844" t="s">
        <v>625</v>
      </c>
      <c r="N844" t="s">
        <v>1033</v>
      </c>
      <c r="P844" t="s">
        <v>550</v>
      </c>
    </row>
    <row r="845" spans="1:16" hidden="1">
      <c r="A845" t="s">
        <v>846</v>
      </c>
      <c r="B845" s="1">
        <v>4400859144</v>
      </c>
      <c r="C845" t="s">
        <v>1055</v>
      </c>
      <c r="D845" s="160">
        <v>27216</v>
      </c>
      <c r="F845" t="s">
        <v>1056</v>
      </c>
      <c r="G845" s="4">
        <v>45387</v>
      </c>
      <c r="H845" s="4">
        <v>45390</v>
      </c>
      <c r="I845">
        <v>2024</v>
      </c>
      <c r="J845">
        <v>4</v>
      </c>
      <c r="K845" s="4" t="s">
        <v>767</v>
      </c>
      <c r="L845" t="s">
        <v>625</v>
      </c>
      <c r="N845" t="s">
        <v>1033</v>
      </c>
      <c r="P845" t="s">
        <v>550</v>
      </c>
    </row>
    <row r="846" spans="1:16" hidden="1">
      <c r="A846" t="s">
        <v>988</v>
      </c>
      <c r="B846" s="1" t="s">
        <v>1057</v>
      </c>
      <c r="C846" t="s">
        <v>407</v>
      </c>
      <c r="D846" s="160">
        <v>569975.79</v>
      </c>
      <c r="F846" t="s">
        <v>1058</v>
      </c>
      <c r="G846" s="4">
        <v>45378</v>
      </c>
      <c r="H846" s="4">
        <v>45378</v>
      </c>
      <c r="I846">
        <v>2024</v>
      </c>
      <c r="J846">
        <v>3</v>
      </c>
      <c r="K846" s="4" t="s">
        <v>697</v>
      </c>
      <c r="L846" t="s">
        <v>89</v>
      </c>
      <c r="N846" t="s">
        <v>89</v>
      </c>
      <c r="O846" t="s">
        <v>8</v>
      </c>
      <c r="P846" t="s">
        <v>408</v>
      </c>
    </row>
    <row r="847" spans="1:16" hidden="1">
      <c r="A847" t="s">
        <v>237</v>
      </c>
      <c r="B847" s="1" t="s">
        <v>238</v>
      </c>
      <c r="C847" t="s">
        <v>239</v>
      </c>
      <c r="D847" s="160">
        <v>32001.85</v>
      </c>
      <c r="F847" t="s">
        <v>1059</v>
      </c>
      <c r="G847" s="4" t="s">
        <v>1060</v>
      </c>
      <c r="H847" s="4" t="s">
        <v>1061</v>
      </c>
      <c r="I847">
        <v>2024</v>
      </c>
      <c r="J847">
        <v>4</v>
      </c>
      <c r="K847" s="4" t="s">
        <v>767</v>
      </c>
      <c r="L847" t="s">
        <v>89</v>
      </c>
      <c r="N847" t="s">
        <v>89</v>
      </c>
      <c r="O847" t="s">
        <v>18</v>
      </c>
      <c r="P847" t="s">
        <v>240</v>
      </c>
    </row>
    <row r="848" spans="1:16" hidden="1">
      <c r="A848" t="s">
        <v>846</v>
      </c>
      <c r="B848" s="1">
        <v>4400854379</v>
      </c>
      <c r="C848" t="s">
        <v>1062</v>
      </c>
      <c r="D848" s="160">
        <v>29941</v>
      </c>
      <c r="F848" t="s">
        <v>1063</v>
      </c>
      <c r="G848" s="4">
        <v>45393</v>
      </c>
      <c r="H848" s="4">
        <v>45393</v>
      </c>
      <c r="I848">
        <v>2024</v>
      </c>
      <c r="J848">
        <v>4</v>
      </c>
      <c r="K848" s="4" t="s">
        <v>767</v>
      </c>
      <c r="L848" t="s">
        <v>625</v>
      </c>
      <c r="N848" t="s">
        <v>1064</v>
      </c>
      <c r="P848" t="s">
        <v>550</v>
      </c>
    </row>
    <row r="849" spans="1:16" hidden="1">
      <c r="A849" t="s">
        <v>846</v>
      </c>
      <c r="B849" s="1">
        <v>4400816699</v>
      </c>
      <c r="C849" t="s">
        <v>1065</v>
      </c>
      <c r="D849" s="160">
        <v>1296</v>
      </c>
      <c r="F849" t="s">
        <v>1066</v>
      </c>
      <c r="G849" s="4">
        <v>45393</v>
      </c>
      <c r="H849" s="4">
        <v>45393</v>
      </c>
      <c r="I849">
        <v>2024</v>
      </c>
      <c r="J849">
        <v>4</v>
      </c>
      <c r="K849" s="4" t="s">
        <v>767</v>
      </c>
      <c r="L849" t="s">
        <v>625</v>
      </c>
      <c r="N849" t="s">
        <v>1064</v>
      </c>
      <c r="P849" t="s">
        <v>550</v>
      </c>
    </row>
    <row r="850" spans="1:16" hidden="1">
      <c r="A850" t="s">
        <v>846</v>
      </c>
      <c r="B850" s="1">
        <v>4400853946</v>
      </c>
      <c r="C850" t="s">
        <v>1067</v>
      </c>
      <c r="D850" s="160">
        <v>3799</v>
      </c>
      <c r="F850" t="s">
        <v>1068</v>
      </c>
      <c r="G850" s="4">
        <v>45393</v>
      </c>
      <c r="H850" s="4">
        <v>45393</v>
      </c>
      <c r="I850">
        <v>2024</v>
      </c>
      <c r="J850">
        <v>4</v>
      </c>
      <c r="K850" s="4" t="s">
        <v>767</v>
      </c>
      <c r="L850" t="s">
        <v>625</v>
      </c>
      <c r="N850" t="s">
        <v>1064</v>
      </c>
      <c r="P850" t="s">
        <v>550</v>
      </c>
    </row>
    <row r="851" spans="1:16" hidden="1">
      <c r="A851" t="s">
        <v>161</v>
      </c>
      <c r="B851" s="1" t="s">
        <v>162</v>
      </c>
      <c r="C851" t="s">
        <v>1069</v>
      </c>
      <c r="D851" s="160">
        <v>2326.3200000000002</v>
      </c>
      <c r="F851" t="s">
        <v>1070</v>
      </c>
      <c r="G851" s="4">
        <v>45399</v>
      </c>
      <c r="H851" s="4">
        <v>45399</v>
      </c>
      <c r="I851">
        <v>2024</v>
      </c>
      <c r="J851">
        <v>4</v>
      </c>
      <c r="K851" s="4" t="s">
        <v>767</v>
      </c>
      <c r="L851" t="s">
        <v>89</v>
      </c>
      <c r="N851" t="s">
        <v>89</v>
      </c>
      <c r="O851" t="s">
        <v>18</v>
      </c>
      <c r="P851" t="s">
        <v>164</v>
      </c>
    </row>
    <row r="852" spans="1:16" hidden="1">
      <c r="A852" t="s">
        <v>161</v>
      </c>
      <c r="B852" s="1">
        <v>2958</v>
      </c>
      <c r="C852" t="s">
        <v>1071</v>
      </c>
      <c r="D852" s="160">
        <v>17413</v>
      </c>
      <c r="F852" t="s">
        <v>1072</v>
      </c>
      <c r="G852" s="4">
        <v>45399</v>
      </c>
      <c r="H852" s="4">
        <v>45399</v>
      </c>
      <c r="I852">
        <v>2024</v>
      </c>
      <c r="J852">
        <v>4</v>
      </c>
      <c r="K852" s="4" t="s">
        <v>767</v>
      </c>
      <c r="L852" t="s">
        <v>89</v>
      </c>
      <c r="N852" t="s">
        <v>89</v>
      </c>
      <c r="O852" t="s">
        <v>18</v>
      </c>
      <c r="P852" t="s">
        <v>550</v>
      </c>
    </row>
    <row r="853" spans="1:16" hidden="1">
      <c r="A853" t="s">
        <v>161</v>
      </c>
      <c r="B853" s="1">
        <v>2957</v>
      </c>
      <c r="C853" t="s">
        <v>1073</v>
      </c>
      <c r="D853" s="160">
        <v>8538.2000000000007</v>
      </c>
      <c r="F853" t="s">
        <v>1074</v>
      </c>
      <c r="G853" s="4">
        <v>45399</v>
      </c>
      <c r="H853" s="4">
        <v>45399</v>
      </c>
      <c r="I853">
        <v>2024</v>
      </c>
      <c r="J853">
        <v>4</v>
      </c>
      <c r="K853" s="4" t="s">
        <v>767</v>
      </c>
      <c r="L853" t="s">
        <v>89</v>
      </c>
      <c r="N853" t="s">
        <v>89</v>
      </c>
      <c r="O853" t="s">
        <v>18</v>
      </c>
      <c r="P853" t="s">
        <v>164</v>
      </c>
    </row>
    <row r="854" spans="1:16" hidden="1">
      <c r="A854" t="s">
        <v>86</v>
      </c>
      <c r="B854" s="1">
        <v>4590013324</v>
      </c>
      <c r="C854" t="s">
        <v>944</v>
      </c>
      <c r="D854" s="160">
        <v>108772</v>
      </c>
      <c r="F854" t="s">
        <v>1075</v>
      </c>
      <c r="G854" s="4">
        <v>45404</v>
      </c>
      <c r="H854" s="4">
        <v>45404</v>
      </c>
      <c r="I854">
        <v>2024</v>
      </c>
      <c r="J854">
        <v>4</v>
      </c>
      <c r="K854" s="4" t="s">
        <v>767</v>
      </c>
      <c r="L854" t="s">
        <v>89</v>
      </c>
      <c r="M854" t="s">
        <v>802</v>
      </c>
      <c r="N854" t="s">
        <v>89</v>
      </c>
      <c r="O854" t="s">
        <v>13</v>
      </c>
      <c r="P854" t="s">
        <v>946</v>
      </c>
    </row>
    <row r="855" spans="1:16" hidden="1">
      <c r="A855" t="s">
        <v>54</v>
      </c>
      <c r="B855" s="1">
        <v>4590014289</v>
      </c>
      <c r="C855" t="s">
        <v>675</v>
      </c>
      <c r="D855" s="160">
        <v>5440319.6900000004</v>
      </c>
      <c r="F855" t="s">
        <v>1076</v>
      </c>
      <c r="G855" s="4">
        <v>45401</v>
      </c>
      <c r="H855" s="4">
        <v>45404</v>
      </c>
      <c r="I855">
        <v>2024</v>
      </c>
      <c r="J855">
        <v>4</v>
      </c>
      <c r="K855" s="4" t="s">
        <v>767</v>
      </c>
      <c r="L855" t="s">
        <v>89</v>
      </c>
      <c r="M855" t="s">
        <v>802</v>
      </c>
      <c r="N855" t="s">
        <v>89</v>
      </c>
      <c r="O855" t="s">
        <v>13</v>
      </c>
      <c r="P855" t="s">
        <v>537</v>
      </c>
    </row>
    <row r="856" spans="1:16" hidden="1">
      <c r="A856" t="s">
        <v>569</v>
      </c>
      <c r="B856" s="1">
        <v>4590015297</v>
      </c>
      <c r="C856" t="s">
        <v>772</v>
      </c>
      <c r="D856" s="160">
        <v>289096.98</v>
      </c>
      <c r="F856" t="s">
        <v>1077</v>
      </c>
      <c r="G856" s="4">
        <v>45404</v>
      </c>
      <c r="H856" s="4">
        <v>45404</v>
      </c>
      <c r="I856">
        <v>2024</v>
      </c>
      <c r="J856">
        <v>4</v>
      </c>
      <c r="K856" s="4" t="s">
        <v>767</v>
      </c>
      <c r="L856" t="s">
        <v>89</v>
      </c>
      <c r="M856" t="s">
        <v>802</v>
      </c>
      <c r="N856" t="s">
        <v>89</v>
      </c>
      <c r="O856" t="s">
        <v>13</v>
      </c>
      <c r="P856" t="s">
        <v>774</v>
      </c>
    </row>
    <row r="857" spans="1:16" hidden="1">
      <c r="A857" t="s">
        <v>54</v>
      </c>
      <c r="B857" s="1">
        <v>4590016630</v>
      </c>
      <c r="C857" t="s">
        <v>1027</v>
      </c>
      <c r="D857" s="160">
        <v>245510</v>
      </c>
      <c r="F857" t="s">
        <v>1078</v>
      </c>
      <c r="G857" s="4">
        <v>45405</v>
      </c>
      <c r="H857" s="4">
        <v>45406</v>
      </c>
      <c r="I857">
        <v>2024</v>
      </c>
      <c r="J857">
        <v>4</v>
      </c>
      <c r="K857" s="4" t="s">
        <v>767</v>
      </c>
      <c r="L857" t="s">
        <v>89</v>
      </c>
      <c r="M857" t="s">
        <v>802</v>
      </c>
      <c r="N857" t="s">
        <v>89</v>
      </c>
      <c r="O857" t="s">
        <v>13</v>
      </c>
      <c r="P857" t="s">
        <v>563</v>
      </c>
    </row>
    <row r="858" spans="1:16" hidden="1">
      <c r="A858" t="s">
        <v>846</v>
      </c>
      <c r="B858" s="1">
        <v>4400821520</v>
      </c>
      <c r="C858" t="s">
        <v>1079</v>
      </c>
      <c r="D858" s="160">
        <v>1135</v>
      </c>
      <c r="F858" t="s">
        <v>1080</v>
      </c>
      <c r="G858" s="4">
        <v>45404</v>
      </c>
      <c r="H858" s="4">
        <v>45404</v>
      </c>
      <c r="I858">
        <v>2024</v>
      </c>
      <c r="J858">
        <v>4</v>
      </c>
      <c r="K858" s="4" t="s">
        <v>767</v>
      </c>
      <c r="L858" t="s">
        <v>625</v>
      </c>
      <c r="N858" t="s">
        <v>1081</v>
      </c>
      <c r="P858" t="s">
        <v>550</v>
      </c>
    </row>
    <row r="859" spans="1:16" hidden="1">
      <c r="A859" t="s">
        <v>846</v>
      </c>
      <c r="B859" s="1">
        <v>4400819975</v>
      </c>
      <c r="C859" t="s">
        <v>1082</v>
      </c>
      <c r="D859" s="160">
        <v>1135</v>
      </c>
      <c r="F859" t="s">
        <v>1083</v>
      </c>
      <c r="G859" s="4">
        <v>45404</v>
      </c>
      <c r="H859" s="4">
        <v>45404</v>
      </c>
      <c r="I859">
        <v>2024</v>
      </c>
      <c r="J859">
        <v>4</v>
      </c>
      <c r="K859" s="4" t="s">
        <v>767</v>
      </c>
      <c r="L859" t="s">
        <v>625</v>
      </c>
      <c r="N859" t="s">
        <v>1081</v>
      </c>
      <c r="P859" t="s">
        <v>550</v>
      </c>
    </row>
    <row r="860" spans="1:16" hidden="1">
      <c r="A860" t="s">
        <v>846</v>
      </c>
      <c r="B860" s="1">
        <v>4400820281</v>
      </c>
      <c r="C860" t="s">
        <v>1084</v>
      </c>
      <c r="D860" s="160">
        <v>3799</v>
      </c>
      <c r="F860" t="s">
        <v>1085</v>
      </c>
      <c r="G860" s="4">
        <v>45404</v>
      </c>
      <c r="H860" s="4">
        <v>45404</v>
      </c>
      <c r="I860">
        <v>2024</v>
      </c>
      <c r="J860">
        <v>4</v>
      </c>
      <c r="K860" s="4" t="s">
        <v>767</v>
      </c>
      <c r="L860" t="s">
        <v>625</v>
      </c>
      <c r="N860" t="s">
        <v>1081</v>
      </c>
      <c r="P860" t="s">
        <v>550</v>
      </c>
    </row>
    <row r="861" spans="1:16" hidden="1">
      <c r="A861" t="s">
        <v>846</v>
      </c>
      <c r="B861" s="1">
        <v>4400824054</v>
      </c>
      <c r="C861" t="s">
        <v>1086</v>
      </c>
      <c r="D861" s="160">
        <v>1135</v>
      </c>
      <c r="F861" t="s">
        <v>1087</v>
      </c>
      <c r="G861" s="4">
        <v>45404</v>
      </c>
      <c r="H861" s="4">
        <v>45404</v>
      </c>
      <c r="I861">
        <v>2024</v>
      </c>
      <c r="J861">
        <v>4</v>
      </c>
      <c r="K861" s="4" t="s">
        <v>767</v>
      </c>
      <c r="L861" t="s">
        <v>625</v>
      </c>
      <c r="N861" t="s">
        <v>1081</v>
      </c>
      <c r="P861" t="s">
        <v>550</v>
      </c>
    </row>
    <row r="862" spans="1:16" hidden="1">
      <c r="A862" t="s">
        <v>846</v>
      </c>
      <c r="B862" s="1">
        <v>4400824162</v>
      </c>
      <c r="C862" t="s">
        <v>1088</v>
      </c>
      <c r="D862" s="160">
        <v>1135</v>
      </c>
      <c r="F862" t="s">
        <v>1089</v>
      </c>
      <c r="G862" s="4">
        <v>45404</v>
      </c>
      <c r="H862" s="4">
        <v>45404</v>
      </c>
      <c r="I862">
        <v>2024</v>
      </c>
      <c r="J862">
        <v>4</v>
      </c>
      <c r="K862" s="4" t="s">
        <v>767</v>
      </c>
      <c r="L862" t="s">
        <v>625</v>
      </c>
      <c r="N862" t="s">
        <v>1081</v>
      </c>
      <c r="P862" t="s">
        <v>550</v>
      </c>
    </row>
    <row r="863" spans="1:16" hidden="1">
      <c r="A863" t="s">
        <v>846</v>
      </c>
      <c r="B863" s="1">
        <v>4400824167</v>
      </c>
      <c r="C863" t="s">
        <v>1090</v>
      </c>
      <c r="D863" s="160">
        <v>1135</v>
      </c>
      <c r="F863" t="s">
        <v>1091</v>
      </c>
      <c r="G863" s="4">
        <v>45404</v>
      </c>
      <c r="H863" s="4">
        <v>45404</v>
      </c>
      <c r="I863">
        <v>2024</v>
      </c>
      <c r="J863">
        <v>4</v>
      </c>
      <c r="K863" s="4" t="s">
        <v>767</v>
      </c>
      <c r="L863" t="s">
        <v>625</v>
      </c>
      <c r="N863" t="s">
        <v>1081</v>
      </c>
      <c r="P863" t="s">
        <v>550</v>
      </c>
    </row>
    <row r="864" spans="1:16" hidden="1">
      <c r="A864" t="s">
        <v>846</v>
      </c>
      <c r="B864" s="1">
        <v>4400837526</v>
      </c>
      <c r="C864" t="s">
        <v>1092</v>
      </c>
      <c r="D864" s="160">
        <v>75453</v>
      </c>
      <c r="F864" t="s">
        <v>1093</v>
      </c>
      <c r="G864" s="4">
        <v>45404</v>
      </c>
      <c r="H864" s="4">
        <v>45404</v>
      </c>
      <c r="I864">
        <v>2024</v>
      </c>
      <c r="J864">
        <v>4</v>
      </c>
      <c r="K864" s="4" t="s">
        <v>767</v>
      </c>
      <c r="L864" t="s">
        <v>625</v>
      </c>
      <c r="N864" t="s">
        <v>1081</v>
      </c>
      <c r="P864" t="s">
        <v>550</v>
      </c>
    </row>
    <row r="865" spans="1:16" hidden="1">
      <c r="A865" t="s">
        <v>846</v>
      </c>
      <c r="B865" s="1">
        <v>4400842747</v>
      </c>
      <c r="C865" t="s">
        <v>1094</v>
      </c>
      <c r="D865" s="160">
        <v>75453</v>
      </c>
      <c r="F865" t="s">
        <v>1095</v>
      </c>
      <c r="G865" s="4">
        <v>45404</v>
      </c>
      <c r="H865" s="4">
        <v>45404</v>
      </c>
      <c r="I865">
        <v>2024</v>
      </c>
      <c r="J865">
        <v>4</v>
      </c>
      <c r="K865" s="4" t="s">
        <v>767</v>
      </c>
      <c r="L865" t="s">
        <v>625</v>
      </c>
      <c r="N865" t="s">
        <v>1081</v>
      </c>
      <c r="P865" t="s">
        <v>550</v>
      </c>
    </row>
    <row r="866" spans="1:16" hidden="1">
      <c r="A866" t="s">
        <v>846</v>
      </c>
      <c r="B866" s="1">
        <v>4400842850</v>
      </c>
      <c r="C866" t="s">
        <v>1096</v>
      </c>
      <c r="D866" s="160">
        <v>75453</v>
      </c>
      <c r="F866" t="s">
        <v>1097</v>
      </c>
      <c r="G866" s="4">
        <v>45404</v>
      </c>
      <c r="H866" s="4">
        <v>45404</v>
      </c>
      <c r="I866">
        <v>2024</v>
      </c>
      <c r="J866">
        <v>4</v>
      </c>
      <c r="K866" s="4" t="s">
        <v>767</v>
      </c>
      <c r="L866" t="s">
        <v>625</v>
      </c>
      <c r="N866" t="s">
        <v>1081</v>
      </c>
      <c r="P866" t="s">
        <v>550</v>
      </c>
    </row>
    <row r="867" spans="1:16" hidden="1">
      <c r="A867" t="s">
        <v>846</v>
      </c>
      <c r="B867" s="1">
        <v>4400842761</v>
      </c>
      <c r="C867" t="s">
        <v>1098</v>
      </c>
      <c r="D867" s="160">
        <v>75453</v>
      </c>
      <c r="F867" t="s">
        <v>1099</v>
      </c>
      <c r="G867" s="4">
        <v>45404</v>
      </c>
      <c r="H867" s="4">
        <v>45404</v>
      </c>
      <c r="I867">
        <v>2024</v>
      </c>
      <c r="J867">
        <v>4</v>
      </c>
      <c r="K867" s="4" t="s">
        <v>767</v>
      </c>
      <c r="L867" t="s">
        <v>625</v>
      </c>
      <c r="N867" t="s">
        <v>1081</v>
      </c>
      <c r="P867" t="s">
        <v>550</v>
      </c>
    </row>
    <row r="868" spans="1:16" hidden="1">
      <c r="A868" t="s">
        <v>846</v>
      </c>
      <c r="B868" s="1">
        <v>4400843881</v>
      </c>
      <c r="C868" t="s">
        <v>1100</v>
      </c>
      <c r="D868" s="160">
        <v>69307</v>
      </c>
      <c r="F868" t="s">
        <v>1101</v>
      </c>
      <c r="G868" s="4">
        <v>45404</v>
      </c>
      <c r="H868" s="4">
        <v>45404</v>
      </c>
      <c r="I868">
        <v>2024</v>
      </c>
      <c r="J868">
        <v>4</v>
      </c>
      <c r="K868" s="4" t="s">
        <v>767</v>
      </c>
      <c r="L868" t="s">
        <v>625</v>
      </c>
      <c r="N868" t="s">
        <v>1081</v>
      </c>
      <c r="P868" t="s">
        <v>550</v>
      </c>
    </row>
    <row r="869" spans="1:16" hidden="1">
      <c r="A869" t="s">
        <v>846</v>
      </c>
      <c r="B869" s="1">
        <v>4400843882</v>
      </c>
      <c r="C869" t="s">
        <v>1102</v>
      </c>
      <c r="D869" s="160">
        <v>69307</v>
      </c>
      <c r="F869" t="s">
        <v>1103</v>
      </c>
      <c r="G869" s="4">
        <v>45404</v>
      </c>
      <c r="H869" s="4">
        <v>45404</v>
      </c>
      <c r="I869">
        <v>2024</v>
      </c>
      <c r="J869">
        <v>4</v>
      </c>
      <c r="K869" s="4" t="s">
        <v>767</v>
      </c>
      <c r="L869" t="s">
        <v>625</v>
      </c>
      <c r="N869" t="s">
        <v>1081</v>
      </c>
      <c r="P869" t="s">
        <v>550</v>
      </c>
    </row>
    <row r="870" spans="1:16" hidden="1">
      <c r="A870" t="s">
        <v>846</v>
      </c>
      <c r="B870" s="1">
        <v>4400843883</v>
      </c>
      <c r="C870" t="s">
        <v>1104</v>
      </c>
      <c r="D870" s="160">
        <v>69307</v>
      </c>
      <c r="F870" t="s">
        <v>1105</v>
      </c>
      <c r="G870" s="4">
        <v>45404</v>
      </c>
      <c r="H870" s="4">
        <v>45404</v>
      </c>
      <c r="I870">
        <v>2024</v>
      </c>
      <c r="J870">
        <v>4</v>
      </c>
      <c r="K870" s="4" t="s">
        <v>767</v>
      </c>
      <c r="L870" t="s">
        <v>625</v>
      </c>
      <c r="N870" t="s">
        <v>1081</v>
      </c>
      <c r="P870" t="s">
        <v>550</v>
      </c>
    </row>
    <row r="871" spans="1:16" hidden="1">
      <c r="A871" t="s">
        <v>846</v>
      </c>
      <c r="B871" s="1">
        <v>4400843868</v>
      </c>
      <c r="C871" t="s">
        <v>1106</v>
      </c>
      <c r="D871" s="160">
        <v>98189</v>
      </c>
      <c r="F871" t="s">
        <v>1107</v>
      </c>
      <c r="G871" s="4">
        <v>45404</v>
      </c>
      <c r="H871" s="4">
        <v>45404</v>
      </c>
      <c r="I871">
        <v>2024</v>
      </c>
      <c r="J871">
        <v>4</v>
      </c>
      <c r="K871" s="4" t="s">
        <v>767</v>
      </c>
      <c r="L871" t="s">
        <v>625</v>
      </c>
      <c r="N871" t="s">
        <v>1081</v>
      </c>
      <c r="P871" t="s">
        <v>550</v>
      </c>
    </row>
    <row r="872" spans="1:16" hidden="1">
      <c r="A872" t="s">
        <v>846</v>
      </c>
      <c r="B872" s="1">
        <v>4400847883</v>
      </c>
      <c r="C872" t="s">
        <v>1108</v>
      </c>
      <c r="D872" s="160">
        <v>78412</v>
      </c>
      <c r="F872" t="s">
        <v>1109</v>
      </c>
      <c r="G872" s="4">
        <v>45404</v>
      </c>
      <c r="H872" s="4">
        <v>45404</v>
      </c>
      <c r="I872">
        <v>2024</v>
      </c>
      <c r="J872">
        <v>4</v>
      </c>
      <c r="K872" s="4" t="s">
        <v>767</v>
      </c>
      <c r="L872" t="s">
        <v>625</v>
      </c>
      <c r="N872" t="s">
        <v>1081</v>
      </c>
      <c r="P872" t="s">
        <v>550</v>
      </c>
    </row>
    <row r="873" spans="1:16" hidden="1">
      <c r="A873" t="s">
        <v>846</v>
      </c>
      <c r="B873" s="1">
        <v>4400847885</v>
      </c>
      <c r="C873" t="s">
        <v>1110</v>
      </c>
      <c r="D873" s="160">
        <v>76550</v>
      </c>
      <c r="F873" t="s">
        <v>1111</v>
      </c>
      <c r="G873" s="4">
        <v>45404</v>
      </c>
      <c r="H873" s="4">
        <v>45404</v>
      </c>
      <c r="I873">
        <v>2024</v>
      </c>
      <c r="J873">
        <v>4</v>
      </c>
      <c r="K873" s="4" t="s">
        <v>767</v>
      </c>
      <c r="L873" t="s">
        <v>625</v>
      </c>
      <c r="N873" t="s">
        <v>1081</v>
      </c>
      <c r="P873" t="s">
        <v>550</v>
      </c>
    </row>
    <row r="874" spans="1:16" hidden="1">
      <c r="A874" t="s">
        <v>846</v>
      </c>
      <c r="B874" s="1">
        <v>4400854358</v>
      </c>
      <c r="C874" t="s">
        <v>1112</v>
      </c>
      <c r="D874" s="160">
        <v>29720</v>
      </c>
      <c r="F874" t="s">
        <v>1113</v>
      </c>
      <c r="G874" s="4">
        <v>45404</v>
      </c>
      <c r="H874" s="4">
        <v>45404</v>
      </c>
      <c r="I874">
        <v>2024</v>
      </c>
      <c r="J874">
        <v>4</v>
      </c>
      <c r="K874" s="4" t="s">
        <v>767</v>
      </c>
      <c r="L874" t="s">
        <v>625</v>
      </c>
      <c r="N874" t="s">
        <v>1081</v>
      </c>
      <c r="P874" t="s">
        <v>550</v>
      </c>
    </row>
    <row r="875" spans="1:16" hidden="1">
      <c r="A875" t="s">
        <v>846</v>
      </c>
      <c r="B875" s="1">
        <v>4400861580</v>
      </c>
      <c r="C875" t="s">
        <v>1114</v>
      </c>
      <c r="D875" s="160">
        <v>1135</v>
      </c>
      <c r="F875" t="s">
        <v>1115</v>
      </c>
      <c r="G875" s="4">
        <v>45404</v>
      </c>
      <c r="H875" s="4">
        <v>45404</v>
      </c>
      <c r="I875">
        <v>2024</v>
      </c>
      <c r="J875">
        <v>4</v>
      </c>
      <c r="K875" s="4" t="s">
        <v>767</v>
      </c>
      <c r="L875" t="s">
        <v>625</v>
      </c>
      <c r="N875" t="s">
        <v>1081</v>
      </c>
      <c r="P875" t="s">
        <v>550</v>
      </c>
    </row>
    <row r="876" spans="1:16" hidden="1">
      <c r="A876" t="s">
        <v>846</v>
      </c>
      <c r="B876" s="1">
        <v>4400855534</v>
      </c>
      <c r="C876" t="s">
        <v>1116</v>
      </c>
      <c r="D876" s="160">
        <v>1895</v>
      </c>
      <c r="F876" t="s">
        <v>1117</v>
      </c>
      <c r="G876" s="4">
        <v>45404</v>
      </c>
      <c r="H876" s="4">
        <v>45404</v>
      </c>
      <c r="I876">
        <v>2024</v>
      </c>
      <c r="J876">
        <v>4</v>
      </c>
      <c r="K876" s="4" t="s">
        <v>767</v>
      </c>
      <c r="L876" t="s">
        <v>625</v>
      </c>
      <c r="N876" t="s">
        <v>1081</v>
      </c>
      <c r="P876" t="s">
        <v>550</v>
      </c>
    </row>
    <row r="877" spans="1:16" hidden="1">
      <c r="A877" t="s">
        <v>846</v>
      </c>
      <c r="B877" s="1">
        <v>4400842788</v>
      </c>
      <c r="C877" t="s">
        <v>1118</v>
      </c>
      <c r="D877" s="160">
        <v>70646</v>
      </c>
      <c r="F877" t="s">
        <v>1119</v>
      </c>
      <c r="G877" s="4">
        <v>45404</v>
      </c>
      <c r="H877" s="4">
        <v>45404</v>
      </c>
      <c r="I877">
        <v>2024</v>
      </c>
      <c r="J877">
        <v>4</v>
      </c>
      <c r="K877" s="4" t="s">
        <v>767</v>
      </c>
      <c r="L877" t="s">
        <v>625</v>
      </c>
      <c r="N877" t="s">
        <v>1081</v>
      </c>
      <c r="P877" t="s">
        <v>550</v>
      </c>
    </row>
    <row r="878" spans="1:16" hidden="1">
      <c r="A878" t="s">
        <v>988</v>
      </c>
      <c r="B878" s="1" t="s">
        <v>406</v>
      </c>
      <c r="C878" t="s">
        <v>407</v>
      </c>
      <c r="D878" s="160">
        <v>56713.78</v>
      </c>
      <c r="F878" t="s">
        <v>1120</v>
      </c>
      <c r="G878" s="4">
        <v>45405</v>
      </c>
      <c r="H878" s="4">
        <v>45405</v>
      </c>
      <c r="I878">
        <v>2024</v>
      </c>
      <c r="J878">
        <v>4</v>
      </c>
      <c r="K878" s="4" t="s">
        <v>767</v>
      </c>
      <c r="L878" t="s">
        <v>89</v>
      </c>
      <c r="N878" t="s">
        <v>89</v>
      </c>
      <c r="O878" t="s">
        <v>8</v>
      </c>
      <c r="P878" t="s">
        <v>408</v>
      </c>
    </row>
    <row r="879" spans="1:16" hidden="1">
      <c r="A879" t="s">
        <v>988</v>
      </c>
      <c r="B879" s="1" t="s">
        <v>989</v>
      </c>
      <c r="C879" t="s">
        <v>407</v>
      </c>
      <c r="D879" s="160">
        <v>10334.41</v>
      </c>
      <c r="F879" t="s">
        <v>1121</v>
      </c>
      <c r="G879" s="4">
        <v>45405</v>
      </c>
      <c r="H879" s="4">
        <v>45405</v>
      </c>
      <c r="I879">
        <v>2024</v>
      </c>
      <c r="J879">
        <v>4</v>
      </c>
      <c r="K879" s="4" t="s">
        <v>767</v>
      </c>
      <c r="L879" t="s">
        <v>89</v>
      </c>
      <c r="N879" t="s">
        <v>89</v>
      </c>
      <c r="O879" t="s">
        <v>8</v>
      </c>
      <c r="P879" t="s">
        <v>408</v>
      </c>
    </row>
    <row r="880" spans="1:16" hidden="1">
      <c r="A880" t="s">
        <v>988</v>
      </c>
      <c r="B880" s="1" t="s">
        <v>874</v>
      </c>
      <c r="C880" t="s">
        <v>407</v>
      </c>
      <c r="D880" s="160">
        <v>17251.27</v>
      </c>
      <c r="F880" t="s">
        <v>1122</v>
      </c>
      <c r="G880" s="4">
        <v>45405</v>
      </c>
      <c r="H880" s="4">
        <v>45405</v>
      </c>
      <c r="I880">
        <v>2024</v>
      </c>
      <c r="J880">
        <v>4</v>
      </c>
      <c r="K880" s="4" t="s">
        <v>767</v>
      </c>
      <c r="L880" t="s">
        <v>89</v>
      </c>
      <c r="N880" t="s">
        <v>89</v>
      </c>
      <c r="O880" t="s">
        <v>8</v>
      </c>
      <c r="P880" t="s">
        <v>408</v>
      </c>
    </row>
    <row r="881" spans="1:16" hidden="1">
      <c r="A881" t="s">
        <v>54</v>
      </c>
      <c r="B881" s="1" t="s">
        <v>502</v>
      </c>
      <c r="C881" t="s">
        <v>503</v>
      </c>
      <c r="D881" s="160">
        <v>139155.54</v>
      </c>
      <c r="F881" t="s">
        <v>1123</v>
      </c>
      <c r="G881" s="4">
        <v>45406</v>
      </c>
      <c r="H881" s="4">
        <v>45406</v>
      </c>
      <c r="I881">
        <v>2024</v>
      </c>
      <c r="J881">
        <v>4</v>
      </c>
      <c r="K881" s="4" t="s">
        <v>767</v>
      </c>
      <c r="L881" t="s">
        <v>89</v>
      </c>
      <c r="M881" t="s">
        <v>802</v>
      </c>
      <c r="N881" t="s">
        <v>89</v>
      </c>
      <c r="O881" t="s">
        <v>13</v>
      </c>
      <c r="P881" t="s">
        <v>361</v>
      </c>
    </row>
    <row r="882" spans="1:16" hidden="1">
      <c r="A882" t="s">
        <v>54</v>
      </c>
      <c r="B882" s="1">
        <v>4590014289</v>
      </c>
      <c r="C882" t="s">
        <v>675</v>
      </c>
      <c r="D882" s="160">
        <v>2577968.13</v>
      </c>
      <c r="F882" t="s">
        <v>1124</v>
      </c>
      <c r="G882" s="4">
        <v>45286</v>
      </c>
      <c r="H882" s="4">
        <v>45291</v>
      </c>
      <c r="I882">
        <v>2023</v>
      </c>
      <c r="J882">
        <v>12</v>
      </c>
      <c r="K882" s="4" t="s">
        <v>522</v>
      </c>
      <c r="L882" t="s">
        <v>89</v>
      </c>
      <c r="N882" t="s">
        <v>89</v>
      </c>
      <c r="O882" t="s">
        <v>13</v>
      </c>
      <c r="P882" t="s">
        <v>537</v>
      </c>
    </row>
    <row r="883" spans="1:16" hidden="1">
      <c r="A883" t="s">
        <v>846</v>
      </c>
      <c r="B883" s="1">
        <v>4400837525</v>
      </c>
      <c r="C883" t="s">
        <v>1125</v>
      </c>
      <c r="D883" s="160">
        <v>75453</v>
      </c>
      <c r="F883" t="s">
        <v>1126</v>
      </c>
      <c r="G883" s="4">
        <v>45406</v>
      </c>
      <c r="H883" s="4">
        <v>45408</v>
      </c>
      <c r="I883">
        <v>2024</v>
      </c>
      <c r="J883">
        <v>4</v>
      </c>
      <c r="K883" s="4" t="s">
        <v>767</v>
      </c>
      <c r="L883" t="s">
        <v>625</v>
      </c>
      <c r="N883" t="s">
        <v>1127</v>
      </c>
      <c r="P883" t="s">
        <v>550</v>
      </c>
    </row>
    <row r="884" spans="1:16" hidden="1">
      <c r="A884" t="s">
        <v>846</v>
      </c>
      <c r="B884" s="1">
        <v>4400842745</v>
      </c>
      <c r="C884" t="s">
        <v>1128</v>
      </c>
      <c r="D884" s="160">
        <v>75453</v>
      </c>
      <c r="F884" t="s">
        <v>1129</v>
      </c>
      <c r="G884" s="4">
        <v>45406</v>
      </c>
      <c r="H884" s="4">
        <v>45408</v>
      </c>
      <c r="I884">
        <v>2024</v>
      </c>
      <c r="J884">
        <v>4</v>
      </c>
      <c r="K884" s="4" t="s">
        <v>767</v>
      </c>
      <c r="L884" t="s">
        <v>625</v>
      </c>
      <c r="N884" t="s">
        <v>1127</v>
      </c>
      <c r="P884" t="s">
        <v>550</v>
      </c>
    </row>
    <row r="885" spans="1:16" hidden="1">
      <c r="A885" t="s">
        <v>846</v>
      </c>
      <c r="B885" s="1">
        <v>4400843754</v>
      </c>
      <c r="C885" t="s">
        <v>1130</v>
      </c>
      <c r="D885" s="160">
        <v>98189</v>
      </c>
      <c r="F885" t="s">
        <v>1131</v>
      </c>
      <c r="G885" s="4">
        <v>45406</v>
      </c>
      <c r="H885" s="4">
        <v>45408</v>
      </c>
      <c r="I885">
        <v>2024</v>
      </c>
      <c r="J885">
        <v>4</v>
      </c>
      <c r="K885" s="4" t="s">
        <v>767</v>
      </c>
      <c r="L885" t="s">
        <v>625</v>
      </c>
      <c r="N885" t="s">
        <v>1127</v>
      </c>
      <c r="P885" t="s">
        <v>550</v>
      </c>
    </row>
    <row r="886" spans="1:16" hidden="1">
      <c r="A886" t="s">
        <v>846</v>
      </c>
      <c r="B886" s="1">
        <v>4400847923</v>
      </c>
      <c r="C886" t="s">
        <v>1132</v>
      </c>
      <c r="D886" s="160">
        <v>75453</v>
      </c>
      <c r="F886" t="s">
        <v>1133</v>
      </c>
      <c r="G886" s="4">
        <v>45406</v>
      </c>
      <c r="H886" s="4">
        <v>45408</v>
      </c>
      <c r="I886">
        <v>2024</v>
      </c>
      <c r="J886">
        <v>4</v>
      </c>
      <c r="K886" s="4" t="s">
        <v>767</v>
      </c>
      <c r="L886" t="s">
        <v>625</v>
      </c>
      <c r="N886" t="s">
        <v>1127</v>
      </c>
      <c r="P886" t="s">
        <v>550</v>
      </c>
    </row>
    <row r="887" spans="1:16" hidden="1">
      <c r="A887" t="s">
        <v>846</v>
      </c>
      <c r="B887" s="1">
        <v>4400847920</v>
      </c>
      <c r="C887" t="s">
        <v>1134</v>
      </c>
      <c r="D887" s="160">
        <v>75453</v>
      </c>
      <c r="F887" t="s">
        <v>1135</v>
      </c>
      <c r="G887" s="4">
        <v>45406</v>
      </c>
      <c r="H887" s="4">
        <v>45408</v>
      </c>
      <c r="I887">
        <v>2024</v>
      </c>
      <c r="J887">
        <v>4</v>
      </c>
      <c r="K887" s="4" t="s">
        <v>767</v>
      </c>
      <c r="L887" t="s">
        <v>625</v>
      </c>
      <c r="N887" t="s">
        <v>1127</v>
      </c>
      <c r="P887" t="s">
        <v>550</v>
      </c>
    </row>
    <row r="888" spans="1:16" hidden="1">
      <c r="A888" t="s">
        <v>830</v>
      </c>
      <c r="B888" s="1">
        <v>20230315002</v>
      </c>
      <c r="C888" t="s">
        <v>831</v>
      </c>
      <c r="D888" s="160">
        <v>1111372.72</v>
      </c>
      <c r="F888" t="s">
        <v>1136</v>
      </c>
      <c r="G888" s="4">
        <v>45411</v>
      </c>
      <c r="H888" s="4">
        <v>45411</v>
      </c>
      <c r="I888">
        <v>2024</v>
      </c>
      <c r="J888">
        <v>4</v>
      </c>
      <c r="K888" s="4" t="s">
        <v>767</v>
      </c>
      <c r="L888" t="s">
        <v>95</v>
      </c>
      <c r="N888" t="s">
        <v>1137</v>
      </c>
      <c r="O888" t="s">
        <v>18</v>
      </c>
      <c r="P888" t="s">
        <v>834</v>
      </c>
    </row>
    <row r="889" spans="1:16" hidden="1">
      <c r="A889" t="s">
        <v>312</v>
      </c>
      <c r="B889" s="1">
        <v>4503290109</v>
      </c>
      <c r="C889" t="s">
        <v>103</v>
      </c>
      <c r="D889" s="160">
        <v>2753476</v>
      </c>
      <c r="F889" t="s">
        <v>1138</v>
      </c>
      <c r="G889" s="4">
        <v>45408</v>
      </c>
      <c r="H889" s="4">
        <v>45408</v>
      </c>
      <c r="I889">
        <v>2024</v>
      </c>
      <c r="J889">
        <v>4</v>
      </c>
      <c r="K889" s="4" t="s">
        <v>767</v>
      </c>
      <c r="L889" t="s">
        <v>89</v>
      </c>
      <c r="M889" t="s">
        <v>802</v>
      </c>
      <c r="N889" t="s">
        <v>89</v>
      </c>
      <c r="O889" t="s">
        <v>9</v>
      </c>
      <c r="P889" t="s">
        <v>104</v>
      </c>
    </row>
    <row r="890" spans="1:16" hidden="1">
      <c r="A890" t="s">
        <v>312</v>
      </c>
      <c r="B890" s="1">
        <v>4503398624</v>
      </c>
      <c r="C890" t="s">
        <v>112</v>
      </c>
      <c r="D890" s="160">
        <v>290757</v>
      </c>
      <c r="F890" t="s">
        <v>1139</v>
      </c>
      <c r="G890" s="4">
        <v>45411</v>
      </c>
      <c r="H890" s="4">
        <v>45411</v>
      </c>
      <c r="I890">
        <v>2024</v>
      </c>
      <c r="J890">
        <v>4</v>
      </c>
      <c r="K890" s="4" t="s">
        <v>767</v>
      </c>
      <c r="L890" t="s">
        <v>89</v>
      </c>
      <c r="M890" t="s">
        <v>802</v>
      </c>
      <c r="N890" t="s">
        <v>89</v>
      </c>
      <c r="O890" t="s">
        <v>9</v>
      </c>
      <c r="P890" t="s">
        <v>113</v>
      </c>
    </row>
    <row r="891" spans="1:16" hidden="1">
      <c r="A891" t="s">
        <v>312</v>
      </c>
      <c r="B891" s="1">
        <v>4503423409</v>
      </c>
      <c r="C891" t="s">
        <v>114</v>
      </c>
      <c r="D891" s="160">
        <v>65069</v>
      </c>
      <c r="E891">
        <v>3637</v>
      </c>
      <c r="F891" t="s">
        <v>1140</v>
      </c>
      <c r="G891" s="4">
        <v>45411</v>
      </c>
      <c r="H891" s="4">
        <v>45411</v>
      </c>
      <c r="I891">
        <v>2024</v>
      </c>
      <c r="J891">
        <v>4</v>
      </c>
      <c r="K891" s="4" t="s">
        <v>767</v>
      </c>
      <c r="L891" t="s">
        <v>89</v>
      </c>
      <c r="M891" t="s">
        <v>802</v>
      </c>
      <c r="N891" t="s">
        <v>89</v>
      </c>
      <c r="O891" t="s">
        <v>9</v>
      </c>
      <c r="P891" t="s">
        <v>113</v>
      </c>
    </row>
    <row r="892" spans="1:16" hidden="1">
      <c r="A892" t="s">
        <v>313</v>
      </c>
      <c r="B892" s="1">
        <v>4503428513</v>
      </c>
      <c r="C892" t="s">
        <v>117</v>
      </c>
      <c r="D892" s="160">
        <v>254357</v>
      </c>
      <c r="F892" t="s">
        <v>1141</v>
      </c>
      <c r="G892" s="4">
        <v>45411</v>
      </c>
      <c r="H892" s="4">
        <v>45411</v>
      </c>
      <c r="I892">
        <v>2024</v>
      </c>
      <c r="J892">
        <v>4</v>
      </c>
      <c r="K892" s="4" t="s">
        <v>767</v>
      </c>
      <c r="L892" t="s">
        <v>89</v>
      </c>
      <c r="M892" t="s">
        <v>802</v>
      </c>
      <c r="N892" t="s">
        <v>89</v>
      </c>
      <c r="O892" t="s">
        <v>9</v>
      </c>
      <c r="P892" t="s">
        <v>118</v>
      </c>
    </row>
    <row r="893" spans="1:16" hidden="1">
      <c r="A893" t="s">
        <v>312</v>
      </c>
      <c r="B893" s="1">
        <v>4503432118</v>
      </c>
      <c r="C893" t="s">
        <v>119</v>
      </c>
      <c r="D893" s="160">
        <v>3866171</v>
      </c>
      <c r="F893" t="s">
        <v>1142</v>
      </c>
      <c r="G893" s="4">
        <v>45411</v>
      </c>
      <c r="H893" s="4">
        <v>45411</v>
      </c>
      <c r="I893">
        <v>2024</v>
      </c>
      <c r="J893">
        <v>4</v>
      </c>
      <c r="K893" s="4" t="s">
        <v>767</v>
      </c>
      <c r="L893" t="s">
        <v>89</v>
      </c>
      <c r="M893" t="s">
        <v>802</v>
      </c>
      <c r="N893" t="s">
        <v>89</v>
      </c>
      <c r="O893" t="s">
        <v>9</v>
      </c>
      <c r="P893" t="s">
        <v>120</v>
      </c>
    </row>
    <row r="894" spans="1:16" hidden="1">
      <c r="A894" t="s">
        <v>314</v>
      </c>
      <c r="B894" s="1">
        <v>4503441102</v>
      </c>
      <c r="C894" t="s">
        <v>140</v>
      </c>
      <c r="D894" s="160">
        <v>181902</v>
      </c>
      <c r="E894">
        <v>10168</v>
      </c>
      <c r="F894" t="s">
        <v>1143</v>
      </c>
      <c r="G894" s="4">
        <v>45408</v>
      </c>
      <c r="H894" s="4">
        <v>45408</v>
      </c>
      <c r="I894">
        <v>2024</v>
      </c>
      <c r="J894">
        <v>4</v>
      </c>
      <c r="K894" s="4" t="s">
        <v>767</v>
      </c>
      <c r="L894" t="s">
        <v>89</v>
      </c>
      <c r="M894" t="s">
        <v>802</v>
      </c>
      <c r="N894" t="s">
        <v>89</v>
      </c>
      <c r="O894" t="s">
        <v>9</v>
      </c>
      <c r="P894" t="s">
        <v>141</v>
      </c>
    </row>
    <row r="895" spans="1:16" hidden="1">
      <c r="A895" t="s">
        <v>314</v>
      </c>
      <c r="B895" s="1">
        <v>4503441308</v>
      </c>
      <c r="C895" t="s">
        <v>142</v>
      </c>
      <c r="D895" s="160">
        <v>202144</v>
      </c>
      <c r="F895" t="s">
        <v>1144</v>
      </c>
      <c r="G895" s="4">
        <v>45411</v>
      </c>
      <c r="H895" s="4">
        <v>45411</v>
      </c>
      <c r="I895">
        <v>2024</v>
      </c>
      <c r="J895">
        <v>4</v>
      </c>
      <c r="K895" s="4" t="s">
        <v>767</v>
      </c>
      <c r="L895" t="s">
        <v>89</v>
      </c>
      <c r="M895" t="s">
        <v>802</v>
      </c>
      <c r="N895" t="s">
        <v>89</v>
      </c>
      <c r="O895" t="s">
        <v>9</v>
      </c>
      <c r="P895" t="s">
        <v>143</v>
      </c>
    </row>
    <row r="896" spans="1:16" hidden="1">
      <c r="A896" t="s">
        <v>314</v>
      </c>
      <c r="B896" s="1">
        <v>4590000539</v>
      </c>
      <c r="C896" t="s">
        <v>155</v>
      </c>
      <c r="D896" s="160">
        <v>53021</v>
      </c>
      <c r="E896">
        <v>2964</v>
      </c>
      <c r="F896" t="s">
        <v>1145</v>
      </c>
      <c r="G896" s="4">
        <v>45408</v>
      </c>
      <c r="H896" s="4">
        <v>45408</v>
      </c>
      <c r="I896">
        <v>2024</v>
      </c>
      <c r="J896">
        <v>4</v>
      </c>
      <c r="K896" s="4" t="s">
        <v>767</v>
      </c>
      <c r="L896" t="s">
        <v>89</v>
      </c>
      <c r="M896" t="s">
        <v>802</v>
      </c>
      <c r="N896" t="s">
        <v>89</v>
      </c>
      <c r="O896" t="s">
        <v>11</v>
      </c>
      <c r="P896" t="s">
        <v>156</v>
      </c>
    </row>
    <row r="897" spans="1:16" hidden="1">
      <c r="A897" t="s">
        <v>314</v>
      </c>
      <c r="B897" s="1">
        <v>4590000540</v>
      </c>
      <c r="C897" t="s">
        <v>157</v>
      </c>
      <c r="D897" s="160">
        <v>17865</v>
      </c>
      <c r="E897">
        <v>999</v>
      </c>
      <c r="F897" t="s">
        <v>1146</v>
      </c>
      <c r="G897" s="4">
        <v>45408</v>
      </c>
      <c r="H897" s="4">
        <v>45408</v>
      </c>
      <c r="I897">
        <v>2024</v>
      </c>
      <c r="J897">
        <v>4</v>
      </c>
      <c r="K897" s="4" t="s">
        <v>767</v>
      </c>
      <c r="L897" t="s">
        <v>89</v>
      </c>
      <c r="M897" t="s">
        <v>1147</v>
      </c>
      <c r="N897" t="s">
        <v>89</v>
      </c>
      <c r="O897" t="s">
        <v>9</v>
      </c>
      <c r="P897" t="s">
        <v>156</v>
      </c>
    </row>
    <row r="898" spans="1:16" hidden="1">
      <c r="A898" t="s">
        <v>312</v>
      </c>
      <c r="B898" s="1">
        <v>4590004029</v>
      </c>
      <c r="C898" t="s">
        <v>352</v>
      </c>
      <c r="D898" s="160">
        <v>8850.24</v>
      </c>
      <c r="F898" t="s">
        <v>1148</v>
      </c>
      <c r="G898" s="4">
        <v>45411</v>
      </c>
      <c r="H898" s="4">
        <v>45411</v>
      </c>
      <c r="I898">
        <v>2024</v>
      </c>
      <c r="J898">
        <v>4</v>
      </c>
      <c r="K898" s="4" t="s">
        <v>767</v>
      </c>
      <c r="L898" t="s">
        <v>89</v>
      </c>
      <c r="M898" t="s">
        <v>802</v>
      </c>
      <c r="N898" t="s">
        <v>89</v>
      </c>
      <c r="O898" t="s">
        <v>11</v>
      </c>
      <c r="P898" t="s">
        <v>120</v>
      </c>
    </row>
    <row r="899" spans="1:16" hidden="1">
      <c r="A899" t="s">
        <v>926</v>
      </c>
      <c r="B899" s="1">
        <v>4590004636</v>
      </c>
      <c r="C899" t="s">
        <v>927</v>
      </c>
      <c r="D899" s="160">
        <v>219227.77</v>
      </c>
      <c r="F899" t="s">
        <v>1149</v>
      </c>
      <c r="G899" s="4">
        <v>45408</v>
      </c>
      <c r="H899" s="4">
        <v>45408</v>
      </c>
      <c r="I899">
        <v>2024</v>
      </c>
      <c r="J899">
        <v>4</v>
      </c>
      <c r="K899" s="4" t="s">
        <v>767</v>
      </c>
      <c r="L899" t="s">
        <v>89</v>
      </c>
      <c r="M899" t="s">
        <v>698</v>
      </c>
      <c r="N899" t="s">
        <v>89</v>
      </c>
      <c r="O899" t="s">
        <v>12</v>
      </c>
      <c r="P899" t="s">
        <v>928</v>
      </c>
    </row>
    <row r="900" spans="1:16" hidden="1">
      <c r="A900" t="s">
        <v>91</v>
      </c>
      <c r="B900" s="1">
        <v>4590004118</v>
      </c>
      <c r="C900" t="s">
        <v>92</v>
      </c>
      <c r="D900" s="160">
        <v>47758.32</v>
      </c>
      <c r="G900" s="4"/>
      <c r="H900" s="4"/>
      <c r="I900">
        <v>2022</v>
      </c>
      <c r="J900">
        <v>12</v>
      </c>
      <c r="K900" s="4" t="s">
        <v>257</v>
      </c>
      <c r="L900" t="s">
        <v>89</v>
      </c>
      <c r="N900" t="s">
        <v>89</v>
      </c>
      <c r="O900" t="s">
        <v>8</v>
      </c>
      <c r="P900" t="s">
        <v>98</v>
      </c>
    </row>
    <row r="901" spans="1:16" hidden="1">
      <c r="A901" t="s">
        <v>312</v>
      </c>
      <c r="B901" s="1">
        <v>4590006189</v>
      </c>
      <c r="C901" t="s">
        <v>260</v>
      </c>
      <c r="D901" s="160">
        <v>1636643</v>
      </c>
      <c r="F901" t="s">
        <v>1150</v>
      </c>
      <c r="G901" s="4">
        <v>45411</v>
      </c>
      <c r="H901" s="4">
        <v>45411</v>
      </c>
      <c r="I901">
        <v>2024</v>
      </c>
      <c r="J901">
        <v>4</v>
      </c>
      <c r="K901" s="4" t="s">
        <v>767</v>
      </c>
      <c r="L901" t="s">
        <v>89</v>
      </c>
      <c r="M901" t="s">
        <v>1151</v>
      </c>
      <c r="N901" t="s">
        <v>89</v>
      </c>
      <c r="O901" t="s">
        <v>9</v>
      </c>
      <c r="P901" t="s">
        <v>262</v>
      </c>
    </row>
    <row r="902" spans="1:16" hidden="1">
      <c r="A902" t="s">
        <v>687</v>
      </c>
      <c r="B902" s="1">
        <v>4590008087</v>
      </c>
      <c r="C902" t="s">
        <v>520</v>
      </c>
      <c r="D902" s="160">
        <v>32554</v>
      </c>
      <c r="G902" s="4"/>
      <c r="H902" s="4"/>
      <c r="I902">
        <v>2023</v>
      </c>
      <c r="J902">
        <v>1</v>
      </c>
      <c r="K902" s="4" t="s">
        <v>311</v>
      </c>
      <c r="L902" t="s">
        <v>89</v>
      </c>
      <c r="M902" t="s">
        <v>1152</v>
      </c>
      <c r="N902" t="s">
        <v>89</v>
      </c>
      <c r="O902" t="s">
        <v>8</v>
      </c>
      <c r="P902" t="s">
        <v>300</v>
      </c>
    </row>
    <row r="903" spans="1:16" hidden="1">
      <c r="A903" t="s">
        <v>1153</v>
      </c>
      <c r="B903" s="1" t="s">
        <v>1154</v>
      </c>
      <c r="C903" t="s">
        <v>1155</v>
      </c>
      <c r="D903" s="160">
        <v>125640</v>
      </c>
      <c r="G903" s="4"/>
      <c r="H903" s="4"/>
      <c r="I903">
        <v>2023</v>
      </c>
      <c r="J903">
        <v>3</v>
      </c>
      <c r="K903" s="4" t="s">
        <v>377</v>
      </c>
      <c r="L903" t="s">
        <v>89</v>
      </c>
      <c r="N903" t="s">
        <v>89</v>
      </c>
      <c r="O903" t="s">
        <v>8</v>
      </c>
      <c r="P903" t="s">
        <v>1156</v>
      </c>
    </row>
    <row r="904" spans="1:16" hidden="1">
      <c r="A904" t="s">
        <v>934</v>
      </c>
      <c r="B904" s="1">
        <v>4590006871</v>
      </c>
      <c r="C904" t="s">
        <v>935</v>
      </c>
      <c r="D904" s="160">
        <v>259718</v>
      </c>
      <c r="F904" t="s">
        <v>1157</v>
      </c>
      <c r="G904" s="4">
        <v>45408</v>
      </c>
      <c r="H904" s="4">
        <v>45408</v>
      </c>
      <c r="I904">
        <v>2024</v>
      </c>
      <c r="J904">
        <v>4</v>
      </c>
      <c r="K904" s="4" t="s">
        <v>767</v>
      </c>
      <c r="L904" t="s">
        <v>89</v>
      </c>
      <c r="M904" t="s">
        <v>802</v>
      </c>
      <c r="N904" t="s">
        <v>89</v>
      </c>
      <c r="O904" t="s">
        <v>10</v>
      </c>
      <c r="P904" t="s">
        <v>135</v>
      </c>
    </row>
    <row r="905" spans="1:16" hidden="1">
      <c r="A905" t="s">
        <v>321</v>
      </c>
      <c r="B905" s="1">
        <v>4590008082</v>
      </c>
      <c r="C905" t="s">
        <v>324</v>
      </c>
      <c r="D905" s="160">
        <v>148812</v>
      </c>
      <c r="F905" t="s">
        <v>1158</v>
      </c>
      <c r="G905" s="4">
        <v>45408</v>
      </c>
      <c r="H905" s="4">
        <v>45408</v>
      </c>
      <c r="I905">
        <v>2024</v>
      </c>
      <c r="J905">
        <v>4</v>
      </c>
      <c r="K905" s="4" t="s">
        <v>767</v>
      </c>
      <c r="L905" t="s">
        <v>89</v>
      </c>
      <c r="M905" t="s">
        <v>1159</v>
      </c>
      <c r="N905" t="s">
        <v>89</v>
      </c>
      <c r="O905" t="s">
        <v>11</v>
      </c>
      <c r="P905" t="s">
        <v>122</v>
      </c>
    </row>
    <row r="906" spans="1:16" hidden="1">
      <c r="A906" t="s">
        <v>314</v>
      </c>
      <c r="B906" s="1">
        <v>4590008115</v>
      </c>
      <c r="C906" t="s">
        <v>650</v>
      </c>
      <c r="D906" s="160">
        <v>13358.49</v>
      </c>
      <c r="E906">
        <v>716.85</v>
      </c>
      <c r="F906" t="s">
        <v>1160</v>
      </c>
      <c r="G906" s="4">
        <v>45408</v>
      </c>
      <c r="H906" s="4">
        <v>45408</v>
      </c>
      <c r="I906">
        <v>2024</v>
      </c>
      <c r="J906">
        <v>4</v>
      </c>
      <c r="K906" s="4" t="s">
        <v>767</v>
      </c>
      <c r="L906" t="s">
        <v>89</v>
      </c>
      <c r="M906" t="s">
        <v>523</v>
      </c>
      <c r="N906" t="s">
        <v>89</v>
      </c>
      <c r="O906" t="s">
        <v>10</v>
      </c>
      <c r="P906" t="s">
        <v>584</v>
      </c>
    </row>
    <row r="907" spans="1:16" hidden="1">
      <c r="A907" t="s">
        <v>314</v>
      </c>
      <c r="B907" s="1">
        <v>4590008116</v>
      </c>
      <c r="C907" t="s">
        <v>652</v>
      </c>
      <c r="D907" s="160">
        <v>12206.62</v>
      </c>
      <c r="E907">
        <v>647.54</v>
      </c>
      <c r="F907" t="s">
        <v>1161</v>
      </c>
      <c r="G907" s="4">
        <v>45408</v>
      </c>
      <c r="H907" s="4">
        <v>45408</v>
      </c>
      <c r="I907">
        <v>2024</v>
      </c>
      <c r="J907">
        <v>4</v>
      </c>
      <c r="K907" s="4" t="s">
        <v>767</v>
      </c>
      <c r="L907" t="s">
        <v>89</v>
      </c>
      <c r="M907" t="s">
        <v>1151</v>
      </c>
      <c r="N907" t="s">
        <v>89</v>
      </c>
      <c r="O907" t="s">
        <v>10</v>
      </c>
      <c r="P907" t="s">
        <v>584</v>
      </c>
    </row>
    <row r="908" spans="1:16" hidden="1">
      <c r="A908" t="s">
        <v>313</v>
      </c>
      <c r="B908" s="1">
        <v>4590009963</v>
      </c>
      <c r="C908" t="s">
        <v>729</v>
      </c>
      <c r="D908" s="160">
        <v>615595</v>
      </c>
      <c r="F908" t="s">
        <v>1162</v>
      </c>
      <c r="G908" s="4">
        <v>45411</v>
      </c>
      <c r="H908" s="4">
        <v>45411</v>
      </c>
      <c r="I908">
        <v>2024</v>
      </c>
      <c r="J908">
        <v>4</v>
      </c>
      <c r="K908" s="4" t="s">
        <v>767</v>
      </c>
      <c r="L908" t="s">
        <v>89</v>
      </c>
      <c r="M908" t="s">
        <v>802</v>
      </c>
      <c r="N908" t="s">
        <v>89</v>
      </c>
      <c r="O908" t="s">
        <v>9</v>
      </c>
      <c r="P908" t="s">
        <v>118</v>
      </c>
    </row>
    <row r="909" spans="1:16" hidden="1">
      <c r="A909" t="s">
        <v>1163</v>
      </c>
      <c r="B909" s="1">
        <v>4590011208</v>
      </c>
      <c r="C909" t="s">
        <v>1164</v>
      </c>
      <c r="D909" s="160">
        <v>23512</v>
      </c>
      <c r="F909" t="s">
        <v>1165</v>
      </c>
      <c r="G909" s="4">
        <v>45411</v>
      </c>
      <c r="H909" s="4">
        <v>45411</v>
      </c>
      <c r="I909">
        <v>2024</v>
      </c>
      <c r="J909">
        <v>4</v>
      </c>
      <c r="K909" s="4" t="s">
        <v>767</v>
      </c>
      <c r="L909" t="s">
        <v>89</v>
      </c>
      <c r="M909" t="s">
        <v>1166</v>
      </c>
      <c r="N909" t="s">
        <v>89</v>
      </c>
      <c r="O909" t="s">
        <v>13</v>
      </c>
      <c r="P909" t="s">
        <v>1167</v>
      </c>
    </row>
    <row r="910" spans="1:16" hidden="1">
      <c r="A910" t="s">
        <v>1168</v>
      </c>
      <c r="B910" s="1">
        <v>4590013485</v>
      </c>
      <c r="C910" t="s">
        <v>1169</v>
      </c>
      <c r="D910" s="160">
        <v>10915.35</v>
      </c>
      <c r="F910" t="s">
        <v>1170</v>
      </c>
      <c r="G910" s="4">
        <v>45408</v>
      </c>
      <c r="H910" s="4">
        <v>45408</v>
      </c>
      <c r="I910">
        <v>2024</v>
      </c>
      <c r="J910">
        <v>4</v>
      </c>
      <c r="K910" s="4" t="s">
        <v>767</v>
      </c>
      <c r="L910" t="s">
        <v>89</v>
      </c>
      <c r="M910" t="s">
        <v>758</v>
      </c>
      <c r="N910" t="s">
        <v>89</v>
      </c>
      <c r="O910" t="s">
        <v>12</v>
      </c>
      <c r="P910" t="s">
        <v>120</v>
      </c>
    </row>
    <row r="911" spans="1:16" hidden="1">
      <c r="A911" t="s">
        <v>312</v>
      </c>
      <c r="B911" s="1">
        <v>4590013571</v>
      </c>
      <c r="C911" t="s">
        <v>699</v>
      </c>
      <c r="D911" s="160">
        <v>7788.06</v>
      </c>
      <c r="F911" t="s">
        <v>1171</v>
      </c>
      <c r="G911" s="4">
        <v>45408</v>
      </c>
      <c r="H911" s="4">
        <v>45408</v>
      </c>
      <c r="I911">
        <v>2024</v>
      </c>
      <c r="J911">
        <v>4</v>
      </c>
      <c r="K911" s="4" t="s">
        <v>767</v>
      </c>
      <c r="L911" t="s">
        <v>89</v>
      </c>
      <c r="M911" t="s">
        <v>802</v>
      </c>
      <c r="N911" t="s">
        <v>89</v>
      </c>
      <c r="O911" t="s">
        <v>9</v>
      </c>
      <c r="P911" t="s">
        <v>120</v>
      </c>
    </row>
    <row r="912" spans="1:16" hidden="1">
      <c r="A912" t="s">
        <v>807</v>
      </c>
      <c r="B912" s="1">
        <v>4590013632</v>
      </c>
      <c r="C912" t="s">
        <v>808</v>
      </c>
      <c r="D912" s="160">
        <v>842.96</v>
      </c>
      <c r="F912" t="s">
        <v>1172</v>
      </c>
      <c r="G912" s="4">
        <v>45411</v>
      </c>
      <c r="H912" s="4">
        <v>45411</v>
      </c>
      <c r="I912">
        <v>2024</v>
      </c>
      <c r="J912">
        <v>4</v>
      </c>
      <c r="K912" s="4" t="s">
        <v>767</v>
      </c>
      <c r="L912" t="s">
        <v>89</v>
      </c>
      <c r="M912" t="s">
        <v>1173</v>
      </c>
      <c r="N912" t="s">
        <v>89</v>
      </c>
      <c r="O912" t="s">
        <v>11</v>
      </c>
      <c r="P912" t="s">
        <v>190</v>
      </c>
    </row>
    <row r="913" spans="1:16" hidden="1">
      <c r="A913" t="s">
        <v>312</v>
      </c>
      <c r="B913" s="1">
        <v>4590013633</v>
      </c>
      <c r="C913" t="s">
        <v>667</v>
      </c>
      <c r="D913" s="160">
        <v>8827.4</v>
      </c>
      <c r="F913" t="s">
        <v>1174</v>
      </c>
      <c r="G913" s="4">
        <v>45406</v>
      </c>
      <c r="H913" s="4">
        <v>45406</v>
      </c>
      <c r="I913">
        <v>2024</v>
      </c>
      <c r="J913">
        <v>4</v>
      </c>
      <c r="K913" s="4" t="s">
        <v>767</v>
      </c>
      <c r="L913" t="s">
        <v>89</v>
      </c>
      <c r="M913" t="s">
        <v>802</v>
      </c>
      <c r="N913" t="s">
        <v>89</v>
      </c>
      <c r="O913" t="s">
        <v>9</v>
      </c>
      <c r="P913" t="s">
        <v>104</v>
      </c>
    </row>
    <row r="914" spans="1:16" hidden="1">
      <c r="A914" t="s">
        <v>312</v>
      </c>
      <c r="B914" s="1">
        <v>4590014187</v>
      </c>
      <c r="C914" t="s">
        <v>1175</v>
      </c>
      <c r="D914" s="160">
        <v>15970.88</v>
      </c>
      <c r="F914" t="s">
        <v>1176</v>
      </c>
      <c r="G914" s="4">
        <v>45408</v>
      </c>
      <c r="H914" s="4">
        <v>45408</v>
      </c>
      <c r="I914">
        <v>2024</v>
      </c>
      <c r="J914">
        <v>4</v>
      </c>
      <c r="K914" s="4" t="s">
        <v>767</v>
      </c>
      <c r="L914" t="s">
        <v>89</v>
      </c>
      <c r="M914" t="s">
        <v>802</v>
      </c>
      <c r="N914" t="s">
        <v>89</v>
      </c>
      <c r="O914" t="s">
        <v>9</v>
      </c>
      <c r="P914" t="s">
        <v>120</v>
      </c>
    </row>
    <row r="915" spans="1:16" hidden="1">
      <c r="A915" t="s">
        <v>978</v>
      </c>
      <c r="B915" s="1">
        <v>4590015164</v>
      </c>
      <c r="C915" t="s">
        <v>979</v>
      </c>
      <c r="D915" s="160">
        <v>4465.37</v>
      </c>
      <c r="F915" t="s">
        <v>1177</v>
      </c>
      <c r="G915" s="4">
        <v>45408</v>
      </c>
      <c r="H915" s="4">
        <v>45408</v>
      </c>
      <c r="I915">
        <v>2024</v>
      </c>
      <c r="J915">
        <v>4</v>
      </c>
      <c r="K915" s="4" t="s">
        <v>767</v>
      </c>
      <c r="L915" t="s">
        <v>89</v>
      </c>
      <c r="M915" t="s">
        <v>802</v>
      </c>
      <c r="N915" t="s">
        <v>89</v>
      </c>
      <c r="O915" t="s">
        <v>9</v>
      </c>
      <c r="P915" t="s">
        <v>584</v>
      </c>
    </row>
    <row r="916" spans="1:16" hidden="1">
      <c r="A916" t="s">
        <v>312</v>
      </c>
      <c r="B916" s="1">
        <v>4590016257</v>
      </c>
      <c r="C916" t="s">
        <v>1005</v>
      </c>
      <c r="D916" s="160">
        <v>3248.24</v>
      </c>
      <c r="F916" t="s">
        <v>1178</v>
      </c>
      <c r="G916" s="4">
        <v>45408</v>
      </c>
      <c r="H916" s="4">
        <v>45408</v>
      </c>
      <c r="I916">
        <v>2024</v>
      </c>
      <c r="J916">
        <v>4</v>
      </c>
      <c r="K916" s="4" t="s">
        <v>767</v>
      </c>
      <c r="L916" t="s">
        <v>89</v>
      </c>
      <c r="M916" t="s">
        <v>802</v>
      </c>
      <c r="N916" t="s">
        <v>89</v>
      </c>
      <c r="O916" t="s">
        <v>9</v>
      </c>
      <c r="P916" t="s">
        <v>104</v>
      </c>
    </row>
    <row r="917" spans="1:16" hidden="1">
      <c r="A917" t="s">
        <v>1179</v>
      </c>
      <c r="B917" s="1">
        <v>4590017093</v>
      </c>
      <c r="C917" t="s">
        <v>1180</v>
      </c>
      <c r="D917" s="160">
        <v>36374.57</v>
      </c>
      <c r="E917">
        <v>2033.34</v>
      </c>
      <c r="F917" t="s">
        <v>1181</v>
      </c>
      <c r="G917" s="4">
        <v>45408</v>
      </c>
      <c r="H917" s="4">
        <v>45408</v>
      </c>
      <c r="I917">
        <v>2024</v>
      </c>
      <c r="J917">
        <v>4</v>
      </c>
      <c r="K917" s="4" t="s">
        <v>767</v>
      </c>
      <c r="L917" t="s">
        <v>89</v>
      </c>
      <c r="M917" t="s">
        <v>802</v>
      </c>
      <c r="N917" t="s">
        <v>89</v>
      </c>
      <c r="O917" t="s">
        <v>11</v>
      </c>
      <c r="P917" t="s">
        <v>584</v>
      </c>
    </row>
    <row r="918" spans="1:16" hidden="1">
      <c r="A918" t="s">
        <v>91</v>
      </c>
      <c r="B918" s="1">
        <v>4590000896</v>
      </c>
      <c r="C918" t="s">
        <v>1182</v>
      </c>
      <c r="D918" s="160">
        <v>86940</v>
      </c>
      <c r="G918" s="4"/>
      <c r="H918" s="4"/>
      <c r="I918">
        <v>2023</v>
      </c>
      <c r="J918">
        <v>4</v>
      </c>
      <c r="K918" s="4" t="s">
        <v>413</v>
      </c>
      <c r="L918" t="s">
        <v>89</v>
      </c>
      <c r="N918" t="s">
        <v>89</v>
      </c>
      <c r="O918" t="s">
        <v>8</v>
      </c>
      <c r="P918" t="s">
        <v>1183</v>
      </c>
    </row>
    <row r="919" spans="1:16" hidden="1">
      <c r="A919" t="s">
        <v>336</v>
      </c>
      <c r="B919" s="1" t="s">
        <v>130</v>
      </c>
      <c r="C919" t="s">
        <v>131</v>
      </c>
      <c r="D919" s="160">
        <v>365100</v>
      </c>
      <c r="F919" t="s">
        <v>1184</v>
      </c>
      <c r="G919" s="4">
        <v>45411</v>
      </c>
      <c r="H919" s="4">
        <v>45411</v>
      </c>
      <c r="I919">
        <v>2024</v>
      </c>
      <c r="J919">
        <v>4</v>
      </c>
      <c r="K919" s="4" t="s">
        <v>767</v>
      </c>
      <c r="L919" t="s">
        <v>89</v>
      </c>
      <c r="M919" t="s">
        <v>802</v>
      </c>
      <c r="N919" t="s">
        <v>89</v>
      </c>
      <c r="O919" t="s">
        <v>9</v>
      </c>
      <c r="P919" t="s">
        <v>129</v>
      </c>
    </row>
    <row r="920" spans="1:16" hidden="1">
      <c r="A920" t="s">
        <v>337</v>
      </c>
      <c r="B920" s="1" t="s">
        <v>136</v>
      </c>
      <c r="C920" t="s">
        <v>137</v>
      </c>
      <c r="D920" s="160">
        <v>235720.5</v>
      </c>
      <c r="F920" t="s">
        <v>1185</v>
      </c>
      <c r="G920" s="4">
        <v>45411</v>
      </c>
      <c r="H920" s="4">
        <v>45411</v>
      </c>
      <c r="I920">
        <v>2024</v>
      </c>
      <c r="J920">
        <v>4</v>
      </c>
      <c r="K920" s="4" t="s">
        <v>767</v>
      </c>
      <c r="L920" t="s">
        <v>89</v>
      </c>
      <c r="M920" t="s">
        <v>802</v>
      </c>
      <c r="N920" t="s">
        <v>89</v>
      </c>
      <c r="O920" t="s">
        <v>9</v>
      </c>
      <c r="P920" t="s">
        <v>135</v>
      </c>
    </row>
    <row r="921" spans="1:16" hidden="1">
      <c r="A921" t="s">
        <v>315</v>
      </c>
      <c r="B921" s="1" t="s">
        <v>201</v>
      </c>
      <c r="C921" t="s">
        <v>202</v>
      </c>
      <c r="D921" s="160">
        <v>60082.96</v>
      </c>
      <c r="F921" t="s">
        <v>1186</v>
      </c>
      <c r="G921" s="4">
        <v>45411</v>
      </c>
      <c r="H921" s="4">
        <v>45411</v>
      </c>
      <c r="I921">
        <v>2024</v>
      </c>
      <c r="J921">
        <v>4</v>
      </c>
      <c r="K921" s="4" t="s">
        <v>767</v>
      </c>
      <c r="L921" t="s">
        <v>89</v>
      </c>
      <c r="M921" t="s">
        <v>1151</v>
      </c>
      <c r="N921" t="s">
        <v>89</v>
      </c>
      <c r="O921" t="s">
        <v>11</v>
      </c>
      <c r="P921" t="s">
        <v>190</v>
      </c>
    </row>
    <row r="922" spans="1:16" hidden="1">
      <c r="A922" t="s">
        <v>315</v>
      </c>
      <c r="B922" s="1" t="s">
        <v>204</v>
      </c>
      <c r="C922" t="s">
        <v>205</v>
      </c>
      <c r="D922" s="160">
        <v>139281.13</v>
      </c>
      <c r="F922" t="s">
        <v>1187</v>
      </c>
      <c r="G922" s="4">
        <v>45408</v>
      </c>
      <c r="H922" s="4">
        <v>45408</v>
      </c>
      <c r="I922">
        <v>2024</v>
      </c>
      <c r="J922">
        <v>4</v>
      </c>
      <c r="K922" s="4" t="s">
        <v>767</v>
      </c>
      <c r="L922" t="s">
        <v>89</v>
      </c>
      <c r="M922" t="s">
        <v>1151</v>
      </c>
      <c r="N922" t="s">
        <v>89</v>
      </c>
      <c r="O922" t="s">
        <v>11</v>
      </c>
      <c r="P922" t="s">
        <v>190</v>
      </c>
    </row>
    <row r="923" spans="1:16" hidden="1">
      <c r="A923" t="s">
        <v>312</v>
      </c>
      <c r="B923" s="1" t="s">
        <v>231</v>
      </c>
      <c r="C923" t="s">
        <v>232</v>
      </c>
      <c r="D923" s="160">
        <v>34253</v>
      </c>
      <c r="F923" t="s">
        <v>1188</v>
      </c>
      <c r="G923" s="4">
        <v>45408</v>
      </c>
      <c r="H923" s="4">
        <v>45408</v>
      </c>
      <c r="I923">
        <v>2024</v>
      </c>
      <c r="J923">
        <v>4</v>
      </c>
      <c r="K923" s="4" t="s">
        <v>767</v>
      </c>
      <c r="L923" t="s">
        <v>89</v>
      </c>
      <c r="M923" t="s">
        <v>802</v>
      </c>
      <c r="N923" t="s">
        <v>89</v>
      </c>
      <c r="O923" t="s">
        <v>11</v>
      </c>
      <c r="P923" t="s">
        <v>104</v>
      </c>
    </row>
    <row r="924" spans="1:16" hidden="1">
      <c r="A924" t="s">
        <v>312</v>
      </c>
      <c r="B924" s="1" t="s">
        <v>371</v>
      </c>
      <c r="C924" t="s">
        <v>372</v>
      </c>
      <c r="D924" s="160">
        <v>43712.78</v>
      </c>
      <c r="F924" t="s">
        <v>1189</v>
      </c>
      <c r="G924" s="4">
        <v>45411</v>
      </c>
      <c r="H924" s="4">
        <v>45411</v>
      </c>
      <c r="I924">
        <v>2024</v>
      </c>
      <c r="J924">
        <v>4</v>
      </c>
      <c r="K924" s="4" t="s">
        <v>767</v>
      </c>
      <c r="L924" t="s">
        <v>89</v>
      </c>
      <c r="M924" t="s">
        <v>802</v>
      </c>
      <c r="N924" t="s">
        <v>89</v>
      </c>
      <c r="O924" t="s">
        <v>11</v>
      </c>
      <c r="P924" t="s">
        <v>120</v>
      </c>
    </row>
    <row r="925" spans="1:16" hidden="1">
      <c r="A925" t="s">
        <v>1168</v>
      </c>
      <c r="B925" s="1" t="s">
        <v>1190</v>
      </c>
      <c r="C925" t="s">
        <v>1191</v>
      </c>
      <c r="D925" s="160">
        <v>4200</v>
      </c>
      <c r="F925" t="s">
        <v>1192</v>
      </c>
      <c r="G925" s="4">
        <v>45408</v>
      </c>
      <c r="H925" s="4">
        <v>45408</v>
      </c>
      <c r="I925">
        <v>2024</v>
      </c>
      <c r="J925">
        <v>4</v>
      </c>
      <c r="K925" s="4" t="s">
        <v>767</v>
      </c>
      <c r="L925" t="s">
        <v>89</v>
      </c>
      <c r="M925" t="s">
        <v>758</v>
      </c>
      <c r="N925" t="s">
        <v>89</v>
      </c>
      <c r="O925" t="s">
        <v>12</v>
      </c>
      <c r="P925" t="s">
        <v>190</v>
      </c>
    </row>
    <row r="926" spans="1:16" hidden="1">
      <c r="A926" t="s">
        <v>1168</v>
      </c>
      <c r="B926" s="1" t="s">
        <v>1193</v>
      </c>
      <c r="C926" t="s">
        <v>1194</v>
      </c>
      <c r="D926" s="160">
        <v>4200</v>
      </c>
      <c r="F926" t="s">
        <v>1195</v>
      </c>
      <c r="G926" s="4">
        <v>45408</v>
      </c>
      <c r="H926" s="4">
        <v>45408</v>
      </c>
      <c r="I926">
        <v>2024</v>
      </c>
      <c r="J926">
        <v>4</v>
      </c>
      <c r="K926" s="4" t="s">
        <v>767</v>
      </c>
      <c r="L926" t="s">
        <v>89</v>
      </c>
      <c r="M926" t="s">
        <v>758</v>
      </c>
      <c r="N926" t="s">
        <v>89</v>
      </c>
      <c r="O926" t="s">
        <v>12</v>
      </c>
      <c r="P926" t="s">
        <v>190</v>
      </c>
    </row>
    <row r="927" spans="1:16" hidden="1">
      <c r="A927" t="s">
        <v>1168</v>
      </c>
      <c r="B927" s="1" t="s">
        <v>1196</v>
      </c>
      <c r="C927" t="s">
        <v>1197</v>
      </c>
      <c r="D927" s="160">
        <v>4200</v>
      </c>
      <c r="F927" t="s">
        <v>1198</v>
      </c>
      <c r="G927" s="4">
        <v>45408</v>
      </c>
      <c r="H927" s="4">
        <v>45408</v>
      </c>
      <c r="I927">
        <v>2024</v>
      </c>
      <c r="J927">
        <v>4</v>
      </c>
      <c r="K927" s="4" t="s">
        <v>767</v>
      </c>
      <c r="L927" t="s">
        <v>89</v>
      </c>
      <c r="M927" t="s">
        <v>758</v>
      </c>
      <c r="N927" t="s">
        <v>89</v>
      </c>
      <c r="O927" t="s">
        <v>12</v>
      </c>
      <c r="P927" t="s">
        <v>190</v>
      </c>
    </row>
    <row r="928" spans="1:16" hidden="1">
      <c r="A928" t="s">
        <v>1168</v>
      </c>
      <c r="B928" s="1" t="s">
        <v>1199</v>
      </c>
      <c r="C928" t="s">
        <v>1200</v>
      </c>
      <c r="D928" s="160">
        <v>4200</v>
      </c>
      <c r="F928" t="s">
        <v>1201</v>
      </c>
      <c r="G928" s="4">
        <v>45408</v>
      </c>
      <c r="H928" s="4">
        <v>45408</v>
      </c>
      <c r="I928">
        <v>2024</v>
      </c>
      <c r="J928">
        <v>4</v>
      </c>
      <c r="K928" s="4" t="s">
        <v>767</v>
      </c>
      <c r="L928" t="s">
        <v>89</v>
      </c>
      <c r="M928" t="s">
        <v>758</v>
      </c>
      <c r="N928" t="s">
        <v>89</v>
      </c>
      <c r="O928" t="s">
        <v>12</v>
      </c>
      <c r="P928" t="s">
        <v>190</v>
      </c>
    </row>
    <row r="929" spans="1:16" hidden="1">
      <c r="A929" t="s">
        <v>1168</v>
      </c>
      <c r="B929" s="1" t="s">
        <v>1202</v>
      </c>
      <c r="C929" t="s">
        <v>1203</v>
      </c>
      <c r="D929" s="160">
        <v>4200</v>
      </c>
      <c r="F929" t="s">
        <v>1204</v>
      </c>
      <c r="G929" s="4">
        <v>45408</v>
      </c>
      <c r="H929" s="4">
        <v>45408</v>
      </c>
      <c r="I929">
        <v>2024</v>
      </c>
      <c r="J929">
        <v>4</v>
      </c>
      <c r="K929" s="4" t="s">
        <v>767</v>
      </c>
      <c r="L929" t="s">
        <v>89</v>
      </c>
      <c r="M929" t="s">
        <v>758</v>
      </c>
      <c r="N929" t="s">
        <v>89</v>
      </c>
      <c r="O929" t="s">
        <v>12</v>
      </c>
      <c r="P929" t="s">
        <v>190</v>
      </c>
    </row>
    <row r="930" spans="1:16" hidden="1">
      <c r="A930" t="s">
        <v>1205</v>
      </c>
      <c r="B930" s="1" t="s">
        <v>576</v>
      </c>
      <c r="C930" t="s">
        <v>577</v>
      </c>
      <c r="D930" s="160">
        <v>31160</v>
      </c>
      <c r="F930" t="s">
        <v>1206</v>
      </c>
      <c r="G930" s="4">
        <v>45405</v>
      </c>
      <c r="H930" s="4">
        <v>45408</v>
      </c>
      <c r="I930">
        <v>2024</v>
      </c>
      <c r="J930">
        <v>4</v>
      </c>
      <c r="K930" s="4" t="s">
        <v>767</v>
      </c>
      <c r="L930" t="s">
        <v>89</v>
      </c>
      <c r="M930" t="s">
        <v>683</v>
      </c>
      <c r="N930" t="s">
        <v>89</v>
      </c>
      <c r="O930" t="s">
        <v>11</v>
      </c>
      <c r="P930" t="s">
        <v>129</v>
      </c>
    </row>
    <row r="931" spans="1:16" hidden="1">
      <c r="A931" t="s">
        <v>1205</v>
      </c>
      <c r="B931" s="1" t="s">
        <v>543</v>
      </c>
      <c r="C931" t="s">
        <v>544</v>
      </c>
      <c r="D931" s="160">
        <v>24906</v>
      </c>
      <c r="F931" t="s">
        <v>1207</v>
      </c>
      <c r="G931" s="4">
        <v>45408</v>
      </c>
      <c r="H931" s="4">
        <v>45408</v>
      </c>
      <c r="I931">
        <v>2024</v>
      </c>
      <c r="J931">
        <v>4</v>
      </c>
      <c r="K931" s="4" t="s">
        <v>767</v>
      </c>
      <c r="L931" t="s">
        <v>89</v>
      </c>
      <c r="M931" t="s">
        <v>1208</v>
      </c>
      <c r="N931" t="s">
        <v>89</v>
      </c>
      <c r="O931" t="s">
        <v>11</v>
      </c>
      <c r="P931" t="s">
        <v>545</v>
      </c>
    </row>
    <row r="932" spans="1:16" hidden="1">
      <c r="A932" t="s">
        <v>237</v>
      </c>
      <c r="B932" s="1" t="s">
        <v>238</v>
      </c>
      <c r="C932" t="s">
        <v>239</v>
      </c>
      <c r="D932" s="160">
        <v>29919.4</v>
      </c>
      <c r="F932" t="s">
        <v>1209</v>
      </c>
      <c r="G932" s="4">
        <v>45413</v>
      </c>
      <c r="H932" s="4">
        <v>45413</v>
      </c>
      <c r="I932">
        <v>2024</v>
      </c>
      <c r="J932">
        <v>5</v>
      </c>
      <c r="K932" s="4" t="s">
        <v>621</v>
      </c>
      <c r="L932" t="s">
        <v>89</v>
      </c>
      <c r="N932" t="s">
        <v>89</v>
      </c>
      <c r="O932" t="s">
        <v>18</v>
      </c>
      <c r="P932" t="s">
        <v>240</v>
      </c>
    </row>
    <row r="933" spans="1:16" hidden="1">
      <c r="A933" t="s">
        <v>830</v>
      </c>
      <c r="B933" s="1">
        <v>20230315002</v>
      </c>
      <c r="C933" t="s">
        <v>831</v>
      </c>
      <c r="D933" s="160">
        <v>1097529.92</v>
      </c>
      <c r="F933" t="s">
        <v>1210</v>
      </c>
      <c r="G933" s="4">
        <v>45411</v>
      </c>
      <c r="H933" s="4">
        <v>45415</v>
      </c>
      <c r="I933">
        <v>2024</v>
      </c>
      <c r="J933">
        <v>5</v>
      </c>
      <c r="K933" s="4" t="s">
        <v>621</v>
      </c>
      <c r="L933" t="s">
        <v>89</v>
      </c>
      <c r="M933">
        <v>1097529.92</v>
      </c>
      <c r="N933" t="s">
        <v>89</v>
      </c>
      <c r="O933" t="s">
        <v>18</v>
      </c>
      <c r="P933" t="s">
        <v>834</v>
      </c>
    </row>
    <row r="934" spans="1:16" hidden="1">
      <c r="A934" t="s">
        <v>161</v>
      </c>
      <c r="B934" s="1">
        <v>2958</v>
      </c>
      <c r="C934" t="s">
        <v>1071</v>
      </c>
      <c r="D934" s="160">
        <v>17413</v>
      </c>
      <c r="F934" t="s">
        <v>1211</v>
      </c>
      <c r="G934" s="4">
        <v>45414</v>
      </c>
      <c r="H934" s="4">
        <v>45414</v>
      </c>
      <c r="I934">
        <v>2024</v>
      </c>
      <c r="J934">
        <v>5</v>
      </c>
      <c r="K934" s="4" t="s">
        <v>621</v>
      </c>
      <c r="L934" t="s">
        <v>89</v>
      </c>
      <c r="N934" t="s">
        <v>89</v>
      </c>
      <c r="O934" t="s">
        <v>18</v>
      </c>
      <c r="P934" t="s">
        <v>550</v>
      </c>
    </row>
    <row r="935" spans="1:16" hidden="1">
      <c r="A935" t="s">
        <v>161</v>
      </c>
      <c r="B935" s="1">
        <v>2957</v>
      </c>
      <c r="C935" t="s">
        <v>1073</v>
      </c>
      <c r="D935" s="160">
        <v>8538.2000000000007</v>
      </c>
      <c r="F935" t="s">
        <v>1212</v>
      </c>
      <c r="G935" s="4">
        <v>45414</v>
      </c>
      <c r="H935" s="4">
        <v>45414</v>
      </c>
      <c r="I935">
        <v>2024</v>
      </c>
      <c r="J935">
        <v>5</v>
      </c>
      <c r="K935" s="4" t="s">
        <v>621</v>
      </c>
      <c r="L935" t="s">
        <v>95</v>
      </c>
      <c r="N935" t="s">
        <v>1213</v>
      </c>
      <c r="O935" t="s">
        <v>18</v>
      </c>
      <c r="P935" t="s">
        <v>164</v>
      </c>
    </row>
    <row r="936" spans="1:16" hidden="1">
      <c r="A936" t="s">
        <v>336</v>
      </c>
      <c r="B936" s="1" t="s">
        <v>127</v>
      </c>
      <c r="C936" t="s">
        <v>128</v>
      </c>
      <c r="D936" s="160">
        <v>2486799</v>
      </c>
      <c r="F936" t="s">
        <v>1214</v>
      </c>
      <c r="G936" s="4">
        <v>45412</v>
      </c>
      <c r="H936" s="4">
        <v>45412</v>
      </c>
      <c r="I936">
        <v>2024</v>
      </c>
      <c r="J936">
        <v>4</v>
      </c>
      <c r="K936" s="4" t="s">
        <v>767</v>
      </c>
      <c r="L936" t="s">
        <v>89</v>
      </c>
      <c r="M936" t="s">
        <v>802</v>
      </c>
      <c r="N936" t="s">
        <v>89</v>
      </c>
      <c r="O936" t="s">
        <v>9</v>
      </c>
      <c r="P936" t="s">
        <v>129</v>
      </c>
    </row>
    <row r="937" spans="1:16" hidden="1">
      <c r="A937" t="s">
        <v>846</v>
      </c>
      <c r="B937" s="1">
        <v>4400855532</v>
      </c>
      <c r="C937" t="s">
        <v>1215</v>
      </c>
      <c r="D937" s="160">
        <v>1895</v>
      </c>
      <c r="F937" t="s">
        <v>1216</v>
      </c>
      <c r="G937" s="4">
        <v>45413</v>
      </c>
      <c r="H937" s="4">
        <v>45413</v>
      </c>
      <c r="I937">
        <v>2024</v>
      </c>
      <c r="J937">
        <v>5</v>
      </c>
      <c r="K937" s="4" t="s">
        <v>621</v>
      </c>
      <c r="L937" t="s">
        <v>625</v>
      </c>
      <c r="N937" t="s">
        <v>1217</v>
      </c>
      <c r="P937" t="s">
        <v>550</v>
      </c>
    </row>
    <row r="938" spans="1:16" hidden="1">
      <c r="A938" t="s">
        <v>846</v>
      </c>
      <c r="B938" s="1">
        <v>4400847886</v>
      </c>
      <c r="C938" t="s">
        <v>1218</v>
      </c>
      <c r="D938" s="160">
        <v>75453</v>
      </c>
      <c r="F938" t="s">
        <v>1219</v>
      </c>
      <c r="G938" s="4">
        <v>45413</v>
      </c>
      <c r="H938" s="4">
        <v>45413</v>
      </c>
      <c r="I938">
        <v>2024</v>
      </c>
      <c r="J938">
        <v>5</v>
      </c>
      <c r="K938" s="4" t="s">
        <v>621</v>
      </c>
      <c r="L938" t="s">
        <v>625</v>
      </c>
      <c r="N938" t="s">
        <v>1217</v>
      </c>
      <c r="P938" t="s">
        <v>550</v>
      </c>
    </row>
    <row r="939" spans="1:16" hidden="1">
      <c r="A939" t="s">
        <v>846</v>
      </c>
      <c r="B939" s="1">
        <v>4400842132</v>
      </c>
      <c r="C939" t="s">
        <v>1220</v>
      </c>
      <c r="D939" s="160">
        <v>1135</v>
      </c>
      <c r="F939" t="s">
        <v>1221</v>
      </c>
      <c r="G939" s="4">
        <v>45413</v>
      </c>
      <c r="H939" s="4">
        <v>45413</v>
      </c>
      <c r="I939">
        <v>2024</v>
      </c>
      <c r="J939">
        <v>5</v>
      </c>
      <c r="K939" s="4" t="s">
        <v>621</v>
      </c>
      <c r="L939" t="s">
        <v>625</v>
      </c>
      <c r="N939" t="s">
        <v>1217</v>
      </c>
      <c r="P939" t="s">
        <v>550</v>
      </c>
    </row>
    <row r="940" spans="1:16" hidden="1">
      <c r="A940" t="s">
        <v>846</v>
      </c>
      <c r="B940" s="1">
        <v>4400843953</v>
      </c>
      <c r="C940" t="s">
        <v>1222</v>
      </c>
      <c r="D940" s="160">
        <v>98189</v>
      </c>
      <c r="F940" t="s">
        <v>1223</v>
      </c>
      <c r="G940" s="4">
        <v>45413</v>
      </c>
      <c r="H940" s="4">
        <v>45413</v>
      </c>
      <c r="I940">
        <v>2024</v>
      </c>
      <c r="J940">
        <v>5</v>
      </c>
      <c r="K940" s="4" t="s">
        <v>621</v>
      </c>
      <c r="L940" t="s">
        <v>625</v>
      </c>
      <c r="N940" t="s">
        <v>1217</v>
      </c>
      <c r="P940" t="s">
        <v>550</v>
      </c>
    </row>
    <row r="941" spans="1:16" hidden="1">
      <c r="A941" t="s">
        <v>846</v>
      </c>
      <c r="B941" s="1">
        <v>4400843814</v>
      </c>
      <c r="C941" t="s">
        <v>1224</v>
      </c>
      <c r="D941" s="160">
        <v>98189</v>
      </c>
      <c r="F941" t="s">
        <v>1225</v>
      </c>
      <c r="G941" s="4">
        <v>45413</v>
      </c>
      <c r="H941" s="4">
        <v>45413</v>
      </c>
      <c r="I941">
        <v>2024</v>
      </c>
      <c r="J941">
        <v>5</v>
      </c>
      <c r="K941" s="4" t="s">
        <v>621</v>
      </c>
      <c r="L941" t="s">
        <v>625</v>
      </c>
      <c r="N941" t="s">
        <v>1217</v>
      </c>
      <c r="P941" t="s">
        <v>550</v>
      </c>
    </row>
    <row r="942" spans="1:16" hidden="1">
      <c r="A942" t="s">
        <v>846</v>
      </c>
      <c r="B942" s="1">
        <v>4400843808</v>
      </c>
      <c r="C942" t="s">
        <v>1226</v>
      </c>
      <c r="D942" s="160">
        <v>98189</v>
      </c>
      <c r="F942" t="s">
        <v>1227</v>
      </c>
      <c r="G942" s="4">
        <v>45413</v>
      </c>
      <c r="H942" s="4">
        <v>45413</v>
      </c>
      <c r="I942">
        <v>2024</v>
      </c>
      <c r="J942">
        <v>5</v>
      </c>
      <c r="K942" s="4" t="s">
        <v>621</v>
      </c>
      <c r="L942" t="s">
        <v>625</v>
      </c>
      <c r="N942" t="s">
        <v>1217</v>
      </c>
      <c r="P942" t="s">
        <v>550</v>
      </c>
    </row>
    <row r="943" spans="1:16" hidden="1">
      <c r="A943" t="s">
        <v>846</v>
      </c>
      <c r="B943" s="1">
        <v>4400843806</v>
      </c>
      <c r="C943" t="s">
        <v>1228</v>
      </c>
      <c r="D943" s="160">
        <v>98189</v>
      </c>
      <c r="F943" t="s">
        <v>1229</v>
      </c>
      <c r="G943" s="4">
        <v>45413</v>
      </c>
      <c r="H943" s="4">
        <v>45413</v>
      </c>
      <c r="I943">
        <v>2024</v>
      </c>
      <c r="J943">
        <v>5</v>
      </c>
      <c r="K943" s="4" t="s">
        <v>621</v>
      </c>
      <c r="L943" t="s">
        <v>625</v>
      </c>
      <c r="N943" t="s">
        <v>1217</v>
      </c>
      <c r="P943" t="s">
        <v>550</v>
      </c>
    </row>
    <row r="944" spans="1:16" hidden="1">
      <c r="A944" t="s">
        <v>846</v>
      </c>
      <c r="B944" s="1">
        <v>4400843732</v>
      </c>
      <c r="C944" t="s">
        <v>1230</v>
      </c>
      <c r="D944" s="160">
        <v>98189</v>
      </c>
      <c r="F944" t="s">
        <v>1231</v>
      </c>
      <c r="G944" s="4">
        <v>45413</v>
      </c>
      <c r="H944" s="4">
        <v>45413</v>
      </c>
      <c r="I944">
        <v>2024</v>
      </c>
      <c r="J944">
        <v>5</v>
      </c>
      <c r="K944" s="4" t="s">
        <v>621</v>
      </c>
      <c r="L944" t="s">
        <v>625</v>
      </c>
      <c r="N944" t="s">
        <v>1217</v>
      </c>
      <c r="P944" t="s">
        <v>550</v>
      </c>
    </row>
    <row r="945" spans="1:16" hidden="1">
      <c r="A945" t="s">
        <v>846</v>
      </c>
      <c r="B945" s="1">
        <v>4400843734</v>
      </c>
      <c r="C945" t="s">
        <v>1232</v>
      </c>
      <c r="D945" s="160">
        <v>98189</v>
      </c>
      <c r="F945" t="s">
        <v>1233</v>
      </c>
      <c r="G945" s="4">
        <v>45413</v>
      </c>
      <c r="H945" s="4">
        <v>45413</v>
      </c>
      <c r="I945">
        <v>2024</v>
      </c>
      <c r="J945">
        <v>5</v>
      </c>
      <c r="K945" s="4" t="s">
        <v>621</v>
      </c>
      <c r="L945" t="s">
        <v>625</v>
      </c>
      <c r="N945" t="s">
        <v>1217</v>
      </c>
      <c r="P945" t="s">
        <v>550</v>
      </c>
    </row>
    <row r="946" spans="1:16" hidden="1">
      <c r="A946" t="s">
        <v>54</v>
      </c>
      <c r="B946" s="1">
        <v>4590014284</v>
      </c>
      <c r="C946" t="s">
        <v>715</v>
      </c>
      <c r="D946" s="160">
        <v>485.45</v>
      </c>
      <c r="F946" t="s">
        <v>1234</v>
      </c>
      <c r="G946" s="4">
        <v>45420</v>
      </c>
      <c r="H946" s="4">
        <v>45419</v>
      </c>
      <c r="I946">
        <v>2024</v>
      </c>
      <c r="J946">
        <v>5</v>
      </c>
      <c r="K946" s="4" t="s">
        <v>621</v>
      </c>
      <c r="L946" t="s">
        <v>89</v>
      </c>
      <c r="M946" t="s">
        <v>1151</v>
      </c>
      <c r="N946" t="s">
        <v>89</v>
      </c>
      <c r="O946" t="s">
        <v>13</v>
      </c>
      <c r="P946" t="s">
        <v>222</v>
      </c>
    </row>
    <row r="947" spans="1:16" hidden="1">
      <c r="A947" t="s">
        <v>54</v>
      </c>
      <c r="B947" s="1" t="s">
        <v>1235</v>
      </c>
      <c r="C947" t="s">
        <v>1236</v>
      </c>
      <c r="D947" s="160">
        <v>10725019.359999999</v>
      </c>
      <c r="F947" t="s">
        <v>1237</v>
      </c>
      <c r="G947" s="4">
        <v>45420</v>
      </c>
      <c r="H947" s="4">
        <v>45419</v>
      </c>
      <c r="I947">
        <v>2024</v>
      </c>
      <c r="J947">
        <v>4</v>
      </c>
      <c r="K947" s="4" t="s">
        <v>767</v>
      </c>
      <c r="L947" t="s">
        <v>89</v>
      </c>
      <c r="M947" t="s">
        <v>802</v>
      </c>
      <c r="N947" t="s">
        <v>89</v>
      </c>
      <c r="O947" t="s">
        <v>13</v>
      </c>
      <c r="P947" t="s">
        <v>537</v>
      </c>
    </row>
    <row r="948" spans="1:16" hidden="1">
      <c r="A948" t="s">
        <v>54</v>
      </c>
      <c r="B948" s="1" t="s">
        <v>1238</v>
      </c>
      <c r="C948" t="s">
        <v>1239</v>
      </c>
      <c r="D948" s="160">
        <v>1500000</v>
      </c>
      <c r="F948" t="s">
        <v>1240</v>
      </c>
      <c r="G948" s="4">
        <v>45420</v>
      </c>
      <c r="H948" s="4">
        <v>45419</v>
      </c>
      <c r="I948">
        <v>2024</v>
      </c>
      <c r="J948">
        <v>4</v>
      </c>
      <c r="K948" s="4" t="s">
        <v>767</v>
      </c>
      <c r="L948" t="s">
        <v>89</v>
      </c>
      <c r="M948" t="s">
        <v>802</v>
      </c>
      <c r="N948" t="s">
        <v>89</v>
      </c>
      <c r="O948" t="s">
        <v>13</v>
      </c>
      <c r="P948" t="s">
        <v>537</v>
      </c>
    </row>
    <row r="949" spans="1:16" hidden="1">
      <c r="A949" t="s">
        <v>161</v>
      </c>
      <c r="B949" s="1" t="s">
        <v>162</v>
      </c>
      <c r="C949" t="s">
        <v>1069</v>
      </c>
      <c r="D949" s="160">
        <v>2326.3200000000002</v>
      </c>
      <c r="F949" t="s">
        <v>1241</v>
      </c>
      <c r="G949" s="4">
        <v>45420</v>
      </c>
      <c r="H949" s="4">
        <v>45420</v>
      </c>
      <c r="I949">
        <v>2024</v>
      </c>
      <c r="J949">
        <v>5</v>
      </c>
      <c r="K949" s="4" t="s">
        <v>621</v>
      </c>
      <c r="L949" t="s">
        <v>89</v>
      </c>
      <c r="N949" t="s">
        <v>89</v>
      </c>
      <c r="O949" t="s">
        <v>18</v>
      </c>
      <c r="P949" t="s">
        <v>164</v>
      </c>
    </row>
    <row r="950" spans="1:16" hidden="1">
      <c r="A950" t="s">
        <v>86</v>
      </c>
      <c r="B950" s="1">
        <v>4590015793</v>
      </c>
      <c r="C950" t="s">
        <v>1242</v>
      </c>
      <c r="D950" s="160">
        <v>30000</v>
      </c>
      <c r="F950" t="s">
        <v>1243</v>
      </c>
      <c r="G950" s="4">
        <v>45422</v>
      </c>
      <c r="H950" s="4">
        <v>45422</v>
      </c>
      <c r="I950">
        <v>2024</v>
      </c>
      <c r="J950">
        <v>5</v>
      </c>
      <c r="K950" s="4" t="s">
        <v>621</v>
      </c>
      <c r="L950" t="s">
        <v>89</v>
      </c>
      <c r="M950" t="s">
        <v>299</v>
      </c>
      <c r="N950" t="s">
        <v>89</v>
      </c>
      <c r="O950" t="s">
        <v>11</v>
      </c>
      <c r="P950" t="s">
        <v>880</v>
      </c>
    </row>
    <row r="951" spans="1:16" hidden="1">
      <c r="A951" t="s">
        <v>86</v>
      </c>
      <c r="B951" s="1">
        <v>4590017212</v>
      </c>
      <c r="C951" t="s">
        <v>1242</v>
      </c>
      <c r="D951" s="160">
        <v>10000</v>
      </c>
      <c r="F951" t="s">
        <v>1243</v>
      </c>
      <c r="G951" s="4">
        <v>45422</v>
      </c>
      <c r="H951" s="4">
        <v>45426</v>
      </c>
      <c r="I951">
        <v>2024</v>
      </c>
      <c r="J951">
        <v>5</v>
      </c>
      <c r="K951" s="4" t="s">
        <v>621</v>
      </c>
      <c r="L951" t="s">
        <v>95</v>
      </c>
      <c r="N951" t="s">
        <v>1244</v>
      </c>
      <c r="O951" t="s">
        <v>11</v>
      </c>
      <c r="P951" t="s">
        <v>1245</v>
      </c>
    </row>
    <row r="952" spans="1:16" hidden="1">
      <c r="A952" t="s">
        <v>830</v>
      </c>
      <c r="B952" s="1">
        <v>20230315002</v>
      </c>
      <c r="C952" t="s">
        <v>831</v>
      </c>
      <c r="D952" s="160">
        <v>149580.24</v>
      </c>
      <c r="F952" t="s">
        <v>1246</v>
      </c>
      <c r="G952" s="4">
        <v>45429</v>
      </c>
      <c r="H952" s="4">
        <v>45429</v>
      </c>
      <c r="I952">
        <v>2024</v>
      </c>
      <c r="J952">
        <v>5</v>
      </c>
      <c r="K952" s="4" t="s">
        <v>621</v>
      </c>
      <c r="L952" t="s">
        <v>89</v>
      </c>
      <c r="N952" t="s">
        <v>89</v>
      </c>
      <c r="O952" t="s">
        <v>18</v>
      </c>
      <c r="P952" t="s">
        <v>834</v>
      </c>
    </row>
    <row r="953" spans="1:16" hidden="1">
      <c r="A953" t="s">
        <v>86</v>
      </c>
      <c r="B953" s="1" t="s">
        <v>133</v>
      </c>
      <c r="C953" t="s">
        <v>134</v>
      </c>
      <c r="D953" s="160">
        <v>226865.7</v>
      </c>
      <c r="F953" t="s">
        <v>1247</v>
      </c>
      <c r="G953" s="4">
        <v>45435</v>
      </c>
      <c r="H953" s="4">
        <v>45435</v>
      </c>
      <c r="I953">
        <v>2024</v>
      </c>
      <c r="J953">
        <v>5</v>
      </c>
      <c r="K953" s="4" t="s">
        <v>621</v>
      </c>
      <c r="L953" t="s">
        <v>89</v>
      </c>
      <c r="M953" t="s">
        <v>758</v>
      </c>
      <c r="N953" t="s">
        <v>89</v>
      </c>
      <c r="O953" t="s">
        <v>9</v>
      </c>
      <c r="P953" t="s">
        <v>135</v>
      </c>
    </row>
    <row r="954" spans="1:16" hidden="1">
      <c r="A954" t="s">
        <v>86</v>
      </c>
      <c r="B954" s="1">
        <v>4590013495</v>
      </c>
      <c r="C954" t="s">
        <v>695</v>
      </c>
      <c r="D954" s="160">
        <v>19822.34</v>
      </c>
      <c r="F954" t="s">
        <v>1248</v>
      </c>
      <c r="G954" s="4">
        <v>45435</v>
      </c>
      <c r="H954" s="4">
        <v>45435</v>
      </c>
      <c r="I954">
        <v>2024</v>
      </c>
      <c r="J954">
        <v>5</v>
      </c>
      <c r="K954" s="4" t="s">
        <v>621</v>
      </c>
      <c r="L954" t="s">
        <v>89</v>
      </c>
      <c r="M954" t="s">
        <v>1249</v>
      </c>
      <c r="N954" t="s">
        <v>89</v>
      </c>
      <c r="O954" t="s">
        <v>9</v>
      </c>
      <c r="P954" t="s">
        <v>120</v>
      </c>
    </row>
    <row r="955" spans="1:16" hidden="1">
      <c r="A955" t="s">
        <v>86</v>
      </c>
      <c r="B955" s="1">
        <v>4590013804</v>
      </c>
      <c r="C955" t="s">
        <v>670</v>
      </c>
      <c r="D955" s="160">
        <v>220089.7</v>
      </c>
      <c r="F955" t="s">
        <v>1250</v>
      </c>
      <c r="G955" s="4">
        <v>45435</v>
      </c>
      <c r="H955" s="4">
        <v>45435</v>
      </c>
      <c r="I955">
        <v>2024</v>
      </c>
      <c r="J955">
        <v>5</v>
      </c>
      <c r="K955" s="4" t="s">
        <v>621</v>
      </c>
      <c r="L955" t="s">
        <v>89</v>
      </c>
      <c r="M955" t="s">
        <v>1249</v>
      </c>
      <c r="N955" t="s">
        <v>89</v>
      </c>
      <c r="O955" t="s">
        <v>9</v>
      </c>
      <c r="P955" t="s">
        <v>120</v>
      </c>
    </row>
    <row r="956" spans="1:16" hidden="1">
      <c r="A956" t="s">
        <v>86</v>
      </c>
      <c r="B956" s="1">
        <v>4590006871</v>
      </c>
      <c r="C956" t="s">
        <v>935</v>
      </c>
      <c r="D956" s="160">
        <v>212785</v>
      </c>
      <c r="F956" t="s">
        <v>1251</v>
      </c>
      <c r="G956" s="4">
        <v>45435</v>
      </c>
      <c r="H956" s="4">
        <v>45435</v>
      </c>
      <c r="I956">
        <v>2024</v>
      </c>
      <c r="J956">
        <v>5</v>
      </c>
      <c r="K956" s="4" t="s">
        <v>621</v>
      </c>
      <c r="L956" t="s">
        <v>89</v>
      </c>
      <c r="M956" t="s">
        <v>1249</v>
      </c>
      <c r="N956" t="s">
        <v>89</v>
      </c>
      <c r="O956" t="s">
        <v>10</v>
      </c>
      <c r="P956" t="s">
        <v>135</v>
      </c>
    </row>
    <row r="957" spans="1:16" hidden="1">
      <c r="A957" t="s">
        <v>86</v>
      </c>
      <c r="B957" s="1" t="s">
        <v>136</v>
      </c>
      <c r="C957" t="s">
        <v>1252</v>
      </c>
      <c r="D957" s="160">
        <v>110883.64</v>
      </c>
      <c r="F957" t="s">
        <v>1253</v>
      </c>
      <c r="G957" s="4">
        <v>45435</v>
      </c>
      <c r="H957" s="4">
        <v>45435</v>
      </c>
      <c r="I957">
        <v>2024</v>
      </c>
      <c r="J957">
        <v>5</v>
      </c>
      <c r="K957" s="4" t="s">
        <v>621</v>
      </c>
      <c r="L957" t="s">
        <v>89</v>
      </c>
      <c r="M957" t="s">
        <v>1249</v>
      </c>
      <c r="N957" t="s">
        <v>89</v>
      </c>
      <c r="O957" t="s">
        <v>9</v>
      </c>
      <c r="P957" t="s">
        <v>135</v>
      </c>
    </row>
    <row r="958" spans="1:16" hidden="1">
      <c r="A958" t="s">
        <v>86</v>
      </c>
      <c r="B958" s="1" t="s">
        <v>130</v>
      </c>
      <c r="C958" t="s">
        <v>131</v>
      </c>
      <c r="D958" s="160">
        <v>2651042</v>
      </c>
      <c r="F958" t="s">
        <v>1254</v>
      </c>
      <c r="G958" s="4">
        <v>45435</v>
      </c>
      <c r="H958" s="4">
        <v>45435</v>
      </c>
      <c r="I958">
        <v>2024</v>
      </c>
      <c r="J958">
        <v>5</v>
      </c>
      <c r="K958" s="4" t="s">
        <v>621</v>
      </c>
      <c r="L958" t="s">
        <v>89</v>
      </c>
      <c r="M958" t="s">
        <v>1249</v>
      </c>
      <c r="N958" t="s">
        <v>89</v>
      </c>
      <c r="O958" t="s">
        <v>9</v>
      </c>
      <c r="P958" t="s">
        <v>129</v>
      </c>
    </row>
    <row r="959" spans="1:16" hidden="1">
      <c r="A959" t="s">
        <v>86</v>
      </c>
      <c r="B959" s="1" t="s">
        <v>127</v>
      </c>
      <c r="C959" t="s">
        <v>128</v>
      </c>
      <c r="D959" s="160">
        <v>5058396</v>
      </c>
      <c r="F959" t="s">
        <v>1255</v>
      </c>
      <c r="G959" s="4">
        <v>45435</v>
      </c>
      <c r="H959" s="4">
        <v>45435</v>
      </c>
      <c r="I959">
        <v>2024</v>
      </c>
      <c r="J959">
        <v>5</v>
      </c>
      <c r="K959" s="4" t="s">
        <v>621</v>
      </c>
      <c r="L959" t="s">
        <v>89</v>
      </c>
      <c r="M959" t="s">
        <v>1249</v>
      </c>
      <c r="N959" t="s">
        <v>89</v>
      </c>
      <c r="O959" t="s">
        <v>9</v>
      </c>
      <c r="P959" t="s">
        <v>129</v>
      </c>
    </row>
    <row r="960" spans="1:16" hidden="1">
      <c r="A960" t="s">
        <v>86</v>
      </c>
      <c r="B960" s="1" t="s">
        <v>436</v>
      </c>
      <c r="C960" t="s">
        <v>437</v>
      </c>
      <c r="D960" s="160">
        <v>147056</v>
      </c>
      <c r="F960" t="s">
        <v>1256</v>
      </c>
      <c r="G960" s="4">
        <v>45435</v>
      </c>
      <c r="H960" s="4">
        <v>45435</v>
      </c>
      <c r="I960">
        <v>2024</v>
      </c>
      <c r="J960">
        <v>5</v>
      </c>
      <c r="K960" s="4" t="s">
        <v>621</v>
      </c>
      <c r="L960" t="s">
        <v>89</v>
      </c>
      <c r="M960" t="s">
        <v>1257</v>
      </c>
      <c r="N960" t="s">
        <v>89</v>
      </c>
      <c r="O960" t="s">
        <v>11</v>
      </c>
      <c r="P960" t="s">
        <v>104</v>
      </c>
    </row>
    <row r="961" spans="1:16" hidden="1">
      <c r="A961" t="s">
        <v>86</v>
      </c>
      <c r="B961" s="1">
        <v>4590013482</v>
      </c>
      <c r="C961" t="s">
        <v>664</v>
      </c>
      <c r="D961" s="160">
        <v>37642</v>
      </c>
      <c r="F961" t="s">
        <v>1258</v>
      </c>
      <c r="G961" s="4">
        <v>45435</v>
      </c>
      <c r="H961" s="4">
        <v>45435</v>
      </c>
      <c r="I961">
        <v>2024</v>
      </c>
      <c r="J961">
        <v>5</v>
      </c>
      <c r="K961" s="4" t="s">
        <v>621</v>
      </c>
      <c r="L961" t="s">
        <v>89</v>
      </c>
      <c r="M961" t="s">
        <v>1249</v>
      </c>
      <c r="N961" t="s">
        <v>89</v>
      </c>
      <c r="O961" t="s">
        <v>9</v>
      </c>
      <c r="P961" t="s">
        <v>104</v>
      </c>
    </row>
    <row r="962" spans="1:16" hidden="1">
      <c r="A962" t="s">
        <v>86</v>
      </c>
      <c r="B962" s="1">
        <v>4590004028</v>
      </c>
      <c r="C962" t="s">
        <v>223</v>
      </c>
      <c r="D962" s="160">
        <v>89716.63</v>
      </c>
      <c r="F962" t="s">
        <v>1259</v>
      </c>
      <c r="G962" s="4">
        <v>45435</v>
      </c>
      <c r="H962" s="4">
        <v>45435</v>
      </c>
      <c r="I962">
        <v>2024</v>
      </c>
      <c r="J962">
        <v>5</v>
      </c>
      <c r="K962" s="4" t="s">
        <v>621</v>
      </c>
      <c r="L962" t="s">
        <v>89</v>
      </c>
      <c r="M962" t="s">
        <v>1249</v>
      </c>
      <c r="N962" t="s">
        <v>89</v>
      </c>
      <c r="O962" t="s">
        <v>11</v>
      </c>
      <c r="P962" t="s">
        <v>104</v>
      </c>
    </row>
    <row r="963" spans="1:16" hidden="1">
      <c r="A963" t="s">
        <v>86</v>
      </c>
      <c r="B963" s="1" t="s">
        <v>234</v>
      </c>
      <c r="C963" t="s">
        <v>235</v>
      </c>
      <c r="D963" s="160">
        <v>15452</v>
      </c>
      <c r="F963" t="s">
        <v>1260</v>
      </c>
      <c r="G963" s="4">
        <v>45436</v>
      </c>
      <c r="H963" s="4">
        <v>45436</v>
      </c>
      <c r="I963">
        <v>2024</v>
      </c>
      <c r="J963">
        <v>5</v>
      </c>
      <c r="K963" s="4" t="s">
        <v>621</v>
      </c>
      <c r="L963" t="s">
        <v>89</v>
      </c>
      <c r="M963" t="s">
        <v>1249</v>
      </c>
      <c r="N963" t="s">
        <v>89</v>
      </c>
      <c r="O963" t="s">
        <v>11</v>
      </c>
      <c r="P963" t="s">
        <v>104</v>
      </c>
    </row>
    <row r="964" spans="1:16" hidden="1">
      <c r="A964" t="s">
        <v>86</v>
      </c>
      <c r="B964" s="1">
        <v>4503290109</v>
      </c>
      <c r="C964" t="s">
        <v>1261</v>
      </c>
      <c r="D964" s="160">
        <v>3367559</v>
      </c>
      <c r="F964" t="s">
        <v>1262</v>
      </c>
      <c r="G964" s="4">
        <v>45436</v>
      </c>
      <c r="H964" s="4">
        <v>45436</v>
      </c>
      <c r="I964">
        <v>2024</v>
      </c>
      <c r="J964">
        <v>5</v>
      </c>
      <c r="K964" s="4" t="s">
        <v>621</v>
      </c>
      <c r="L964" t="s">
        <v>89</v>
      </c>
      <c r="M964" t="s">
        <v>758</v>
      </c>
      <c r="N964" t="s">
        <v>89</v>
      </c>
      <c r="O964" t="s">
        <v>9</v>
      </c>
      <c r="P964" t="s">
        <v>104</v>
      </c>
    </row>
    <row r="965" spans="1:16" hidden="1">
      <c r="A965" t="s">
        <v>86</v>
      </c>
      <c r="B965" s="1">
        <v>4503428513</v>
      </c>
      <c r="C965" t="s">
        <v>1263</v>
      </c>
      <c r="D965" s="160">
        <v>3716767</v>
      </c>
      <c r="F965" t="s">
        <v>1264</v>
      </c>
      <c r="G965" s="4">
        <v>45436</v>
      </c>
      <c r="H965" s="4">
        <v>45436</v>
      </c>
      <c r="I965">
        <v>2024</v>
      </c>
      <c r="J965">
        <v>5</v>
      </c>
      <c r="K965" s="4" t="s">
        <v>621</v>
      </c>
      <c r="L965" t="s">
        <v>89</v>
      </c>
      <c r="M965" t="s">
        <v>1249</v>
      </c>
      <c r="N965" t="s">
        <v>89</v>
      </c>
      <c r="O965" t="s">
        <v>9</v>
      </c>
      <c r="P965" t="s">
        <v>118</v>
      </c>
    </row>
    <row r="966" spans="1:16" hidden="1">
      <c r="A966" t="s">
        <v>86</v>
      </c>
      <c r="B966" s="1">
        <v>4590000334</v>
      </c>
      <c r="C966" t="s">
        <v>188</v>
      </c>
      <c r="D966" s="160">
        <v>12707.52</v>
      </c>
      <c r="F966" t="s">
        <v>1265</v>
      </c>
      <c r="G966" s="4">
        <v>45436</v>
      </c>
      <c r="H966" s="4">
        <v>45436</v>
      </c>
      <c r="I966">
        <v>2024</v>
      </c>
      <c r="J966">
        <v>5</v>
      </c>
      <c r="K966" s="4" t="s">
        <v>621</v>
      </c>
      <c r="L966" t="s">
        <v>89</v>
      </c>
      <c r="M966" t="s">
        <v>1249</v>
      </c>
      <c r="N966" t="s">
        <v>89</v>
      </c>
      <c r="O966" t="s">
        <v>11</v>
      </c>
      <c r="P966" t="s">
        <v>190</v>
      </c>
    </row>
    <row r="967" spans="1:16" hidden="1">
      <c r="A967" t="s">
        <v>86</v>
      </c>
      <c r="B967" s="1">
        <v>4590003895</v>
      </c>
      <c r="C967" t="s">
        <v>320</v>
      </c>
      <c r="D967" s="160">
        <v>34621</v>
      </c>
      <c r="F967" t="s">
        <v>1266</v>
      </c>
      <c r="G967" s="4">
        <v>45436</v>
      </c>
      <c r="H967" s="4">
        <v>45436</v>
      </c>
      <c r="I967">
        <v>2024</v>
      </c>
      <c r="J967">
        <v>5</v>
      </c>
      <c r="K967" s="4" t="s">
        <v>621</v>
      </c>
      <c r="L967" t="s">
        <v>89</v>
      </c>
      <c r="M967" t="s">
        <v>1249</v>
      </c>
      <c r="N967" t="s">
        <v>89</v>
      </c>
      <c r="O967" t="s">
        <v>9</v>
      </c>
      <c r="P967" t="s">
        <v>118</v>
      </c>
    </row>
    <row r="968" spans="1:16" hidden="1">
      <c r="A968" t="s">
        <v>91</v>
      </c>
      <c r="B968" s="1">
        <v>4590003763</v>
      </c>
      <c r="C968" t="s">
        <v>255</v>
      </c>
      <c r="D968" s="160">
        <v>32773.440000000002</v>
      </c>
      <c r="F968" t="s">
        <v>1267</v>
      </c>
      <c r="G968" s="4">
        <v>45113</v>
      </c>
      <c r="H968" s="4">
        <v>45113</v>
      </c>
      <c r="I968">
        <v>2023</v>
      </c>
      <c r="J968">
        <v>6</v>
      </c>
      <c r="K968" s="4" t="s">
        <v>298</v>
      </c>
      <c r="L968" t="s">
        <v>89</v>
      </c>
      <c r="N968" t="s">
        <v>89</v>
      </c>
      <c r="O968" t="s">
        <v>8</v>
      </c>
      <c r="P968" t="s">
        <v>258</v>
      </c>
    </row>
    <row r="969" spans="1:16" hidden="1">
      <c r="A969" t="s">
        <v>91</v>
      </c>
      <c r="B969" s="1">
        <v>4590004044</v>
      </c>
      <c r="C969" t="s">
        <v>250</v>
      </c>
      <c r="D969" s="160">
        <v>466125</v>
      </c>
      <c r="G969" s="4"/>
      <c r="H969" s="4"/>
      <c r="I969">
        <v>2023</v>
      </c>
      <c r="J969">
        <v>6</v>
      </c>
      <c r="K969" s="4" t="s">
        <v>298</v>
      </c>
      <c r="L969" t="s">
        <v>89</v>
      </c>
      <c r="N969" t="s">
        <v>89</v>
      </c>
      <c r="O969" t="s">
        <v>8</v>
      </c>
      <c r="P969" t="s">
        <v>252</v>
      </c>
    </row>
    <row r="970" spans="1:16" hidden="1">
      <c r="A970" t="s">
        <v>265</v>
      </c>
      <c r="B970" s="1">
        <v>4590006750</v>
      </c>
      <c r="C970" t="s">
        <v>266</v>
      </c>
      <c r="D970" s="160">
        <v>4134250</v>
      </c>
      <c r="F970" t="s">
        <v>1268</v>
      </c>
      <c r="G970" s="4"/>
      <c r="H970" s="4"/>
      <c r="I970">
        <v>2023</v>
      </c>
      <c r="J970">
        <v>10</v>
      </c>
      <c r="K970" s="4" t="s">
        <v>600</v>
      </c>
      <c r="L970" t="s">
        <v>89</v>
      </c>
      <c r="N970" t="s">
        <v>89</v>
      </c>
      <c r="O970" t="s">
        <v>8</v>
      </c>
      <c r="P970" t="s">
        <v>268</v>
      </c>
    </row>
    <row r="971" spans="1:16" hidden="1">
      <c r="A971" t="s">
        <v>265</v>
      </c>
      <c r="B971" s="1">
        <v>4590006750</v>
      </c>
      <c r="C971" t="s">
        <v>266</v>
      </c>
      <c r="D971" s="160">
        <v>253612</v>
      </c>
      <c r="F971" t="s">
        <v>1269</v>
      </c>
      <c r="G971" s="4"/>
      <c r="H971" s="4"/>
      <c r="I971">
        <v>2023</v>
      </c>
      <c r="J971">
        <v>12</v>
      </c>
      <c r="K971" s="4" t="s">
        <v>522</v>
      </c>
      <c r="L971" t="s">
        <v>89</v>
      </c>
      <c r="M971" t="s">
        <v>458</v>
      </c>
      <c r="N971" t="s">
        <v>89</v>
      </c>
      <c r="O971" t="s">
        <v>8</v>
      </c>
      <c r="P971" t="s">
        <v>268</v>
      </c>
    </row>
    <row r="972" spans="1:16" hidden="1">
      <c r="A972" t="s">
        <v>86</v>
      </c>
      <c r="B972" s="1" t="s">
        <v>201</v>
      </c>
      <c r="C972" t="s">
        <v>202</v>
      </c>
      <c r="D972" s="160">
        <v>28704.26</v>
      </c>
      <c r="F972" t="s">
        <v>1270</v>
      </c>
      <c r="G972" s="4">
        <v>45436</v>
      </c>
      <c r="H972" s="4">
        <v>45436</v>
      </c>
      <c r="I972">
        <v>2024</v>
      </c>
      <c r="J972">
        <v>5</v>
      </c>
      <c r="K972" s="4" t="s">
        <v>621</v>
      </c>
      <c r="L972" t="s">
        <v>89</v>
      </c>
      <c r="M972" t="s">
        <v>758</v>
      </c>
      <c r="N972" t="s">
        <v>89</v>
      </c>
      <c r="O972" t="s">
        <v>11</v>
      </c>
      <c r="P972" t="s">
        <v>190</v>
      </c>
    </row>
    <row r="973" spans="1:16" hidden="1">
      <c r="A973" t="s">
        <v>86</v>
      </c>
      <c r="B973" s="1" t="s">
        <v>204</v>
      </c>
      <c r="C973" t="s">
        <v>205</v>
      </c>
      <c r="D973" s="160">
        <v>72254.75</v>
      </c>
      <c r="F973" t="s">
        <v>1271</v>
      </c>
      <c r="G973" s="4">
        <v>45436</v>
      </c>
      <c r="H973" s="4">
        <v>45436</v>
      </c>
      <c r="I973">
        <v>2024</v>
      </c>
      <c r="J973">
        <v>5</v>
      </c>
      <c r="K973" s="4" t="s">
        <v>621</v>
      </c>
      <c r="L973" t="s">
        <v>89</v>
      </c>
      <c r="M973" t="s">
        <v>1272</v>
      </c>
      <c r="N973" t="s">
        <v>89</v>
      </c>
      <c r="O973" t="s">
        <v>11</v>
      </c>
      <c r="P973" t="s">
        <v>190</v>
      </c>
    </row>
    <row r="974" spans="1:16" hidden="1">
      <c r="A974" t="s">
        <v>86</v>
      </c>
      <c r="B974" s="1">
        <v>4590013430</v>
      </c>
      <c r="C974" t="s">
        <v>692</v>
      </c>
      <c r="D974" s="160">
        <v>32754.3</v>
      </c>
      <c r="F974" t="s">
        <v>1273</v>
      </c>
      <c r="G974" s="4">
        <v>45436</v>
      </c>
      <c r="H974" s="4">
        <v>45436</v>
      </c>
      <c r="I974">
        <v>2024</v>
      </c>
      <c r="J974">
        <v>5</v>
      </c>
      <c r="K974" s="4" t="s">
        <v>621</v>
      </c>
      <c r="L974" t="s">
        <v>89</v>
      </c>
      <c r="M974" t="s">
        <v>1249</v>
      </c>
      <c r="N974" t="s">
        <v>89</v>
      </c>
      <c r="O974" t="s">
        <v>11</v>
      </c>
      <c r="P974" t="s">
        <v>129</v>
      </c>
    </row>
    <row r="975" spans="1:16" hidden="1">
      <c r="A975" t="s">
        <v>86</v>
      </c>
      <c r="B975" s="1">
        <v>4590009963</v>
      </c>
      <c r="C975" t="s">
        <v>729</v>
      </c>
      <c r="D975" s="160">
        <v>70064</v>
      </c>
      <c r="F975" t="s">
        <v>1274</v>
      </c>
      <c r="G975" s="4">
        <v>45436</v>
      </c>
      <c r="H975" s="4">
        <v>45436</v>
      </c>
      <c r="I975">
        <v>2024</v>
      </c>
      <c r="J975">
        <v>5</v>
      </c>
      <c r="K975" s="4" t="s">
        <v>621</v>
      </c>
      <c r="L975" t="s">
        <v>89</v>
      </c>
      <c r="M975" t="s">
        <v>1249</v>
      </c>
      <c r="N975" t="s">
        <v>89</v>
      </c>
      <c r="O975" t="s">
        <v>9</v>
      </c>
      <c r="P975" t="s">
        <v>118</v>
      </c>
    </row>
    <row r="976" spans="1:16" hidden="1">
      <c r="A976" t="s">
        <v>86</v>
      </c>
      <c r="B976" s="1">
        <v>4590014805</v>
      </c>
      <c r="C976" t="s">
        <v>1275</v>
      </c>
      <c r="D976" s="160">
        <v>318918</v>
      </c>
      <c r="F976" t="s">
        <v>1276</v>
      </c>
      <c r="G976" s="4">
        <v>45436</v>
      </c>
      <c r="H976" s="4">
        <v>45436</v>
      </c>
      <c r="I976">
        <v>2024</v>
      </c>
      <c r="J976">
        <v>5</v>
      </c>
      <c r="K976" s="4" t="s">
        <v>621</v>
      </c>
      <c r="L976" t="s">
        <v>89</v>
      </c>
      <c r="M976" t="s">
        <v>1272</v>
      </c>
      <c r="N976" t="s">
        <v>89</v>
      </c>
      <c r="O976" t="s">
        <v>11</v>
      </c>
      <c r="P976" t="s">
        <v>118</v>
      </c>
    </row>
    <row r="977" spans="1:16" hidden="1">
      <c r="A977" t="s">
        <v>86</v>
      </c>
      <c r="B977" s="1">
        <v>4590013412</v>
      </c>
      <c r="C977" t="s">
        <v>1277</v>
      </c>
      <c r="D977" s="160">
        <v>73650.149999999994</v>
      </c>
      <c r="F977" t="s">
        <v>1278</v>
      </c>
      <c r="G977" s="4">
        <v>45434</v>
      </c>
      <c r="H977" s="4">
        <v>45434</v>
      </c>
      <c r="I977">
        <v>2024</v>
      </c>
      <c r="J977">
        <v>5</v>
      </c>
      <c r="K977" s="4" t="s">
        <v>621</v>
      </c>
      <c r="L977" t="s">
        <v>89</v>
      </c>
      <c r="M977" t="s">
        <v>1279</v>
      </c>
      <c r="N977" t="s">
        <v>89</v>
      </c>
      <c r="O977" t="s">
        <v>13</v>
      </c>
      <c r="P977" t="s">
        <v>222</v>
      </c>
    </row>
    <row r="978" spans="1:16" hidden="1">
      <c r="A978" t="s">
        <v>86</v>
      </c>
      <c r="B978" s="1">
        <v>4590015828</v>
      </c>
      <c r="C978" t="s">
        <v>938</v>
      </c>
      <c r="D978" s="160">
        <v>7349.15</v>
      </c>
      <c r="E978">
        <v>410.82</v>
      </c>
      <c r="F978" t="s">
        <v>1280</v>
      </c>
      <c r="G978" s="4">
        <v>45436</v>
      </c>
      <c r="H978" s="4">
        <v>45436</v>
      </c>
      <c r="I978">
        <v>2024</v>
      </c>
      <c r="J978">
        <v>5</v>
      </c>
      <c r="K978" s="4" t="s">
        <v>621</v>
      </c>
      <c r="L978" t="s">
        <v>89</v>
      </c>
      <c r="M978" t="s">
        <v>1151</v>
      </c>
      <c r="N978" t="s">
        <v>89</v>
      </c>
      <c r="O978" t="s">
        <v>9</v>
      </c>
      <c r="P978" t="s">
        <v>104</v>
      </c>
    </row>
    <row r="979" spans="1:16" hidden="1">
      <c r="A979" t="s">
        <v>687</v>
      </c>
      <c r="B979" s="1">
        <v>4590006814</v>
      </c>
      <c r="C979" t="s">
        <v>455</v>
      </c>
      <c r="D979" s="160">
        <v>25300</v>
      </c>
      <c r="F979" t="s">
        <v>1281</v>
      </c>
      <c r="G979" s="4">
        <v>45468</v>
      </c>
      <c r="H979" s="4">
        <v>45468</v>
      </c>
      <c r="I979">
        <v>2024</v>
      </c>
      <c r="J979">
        <v>6</v>
      </c>
      <c r="K979" s="4" t="s">
        <v>886</v>
      </c>
      <c r="L979" t="s">
        <v>89</v>
      </c>
      <c r="M979" t="s">
        <v>492</v>
      </c>
      <c r="N979" t="s">
        <v>89</v>
      </c>
      <c r="O979" t="s">
        <v>8</v>
      </c>
      <c r="P979" t="s">
        <v>300</v>
      </c>
    </row>
    <row r="980" spans="1:16" hidden="1">
      <c r="A980" t="s">
        <v>86</v>
      </c>
      <c r="B980" s="1">
        <v>4503489979</v>
      </c>
      <c r="C980" t="s">
        <v>144</v>
      </c>
      <c r="D980" s="160">
        <v>176108</v>
      </c>
      <c r="F980" t="s">
        <v>1282</v>
      </c>
      <c r="G980" s="4">
        <v>45436</v>
      </c>
      <c r="H980" s="4">
        <v>45436</v>
      </c>
      <c r="I980">
        <v>2024</v>
      </c>
      <c r="J980">
        <v>5</v>
      </c>
      <c r="K980" s="4" t="s">
        <v>621</v>
      </c>
      <c r="L980" t="s">
        <v>89</v>
      </c>
      <c r="M980" t="s">
        <v>1249</v>
      </c>
      <c r="N980" t="s">
        <v>89</v>
      </c>
      <c r="O980" t="s">
        <v>9</v>
      </c>
      <c r="P980" t="s">
        <v>145</v>
      </c>
    </row>
    <row r="981" spans="1:16" hidden="1">
      <c r="A981" t="s">
        <v>86</v>
      </c>
      <c r="B981" s="1">
        <v>4590008082</v>
      </c>
      <c r="C981" t="s">
        <v>324</v>
      </c>
      <c r="D981" s="160">
        <v>119205</v>
      </c>
      <c r="F981" t="s">
        <v>1283</v>
      </c>
      <c r="G981" s="4">
        <v>45436</v>
      </c>
      <c r="H981" s="4">
        <v>45436</v>
      </c>
      <c r="I981">
        <v>2024</v>
      </c>
      <c r="J981">
        <v>5</v>
      </c>
      <c r="K981" s="4" t="s">
        <v>621</v>
      </c>
      <c r="L981" t="s">
        <v>89</v>
      </c>
      <c r="M981" t="s">
        <v>1279</v>
      </c>
      <c r="N981" t="s">
        <v>89</v>
      </c>
      <c r="O981" t="s">
        <v>11</v>
      </c>
      <c r="P981" t="s">
        <v>122</v>
      </c>
    </row>
    <row r="982" spans="1:16" hidden="1">
      <c r="A982" t="s">
        <v>86</v>
      </c>
      <c r="B982" s="1">
        <v>4590013571</v>
      </c>
      <c r="C982" t="s">
        <v>699</v>
      </c>
      <c r="D982" s="160">
        <v>1947.01</v>
      </c>
      <c r="F982" t="s">
        <v>1284</v>
      </c>
      <c r="G982" s="4">
        <v>45436</v>
      </c>
      <c r="H982" s="4">
        <v>45436</v>
      </c>
      <c r="I982">
        <v>2024</v>
      </c>
      <c r="J982">
        <v>5</v>
      </c>
      <c r="K982" s="4" t="s">
        <v>621</v>
      </c>
      <c r="L982" t="s">
        <v>89</v>
      </c>
      <c r="M982" t="s">
        <v>1249</v>
      </c>
      <c r="N982" t="s">
        <v>89</v>
      </c>
      <c r="O982" t="s">
        <v>9</v>
      </c>
      <c r="P982" t="s">
        <v>120</v>
      </c>
    </row>
    <row r="983" spans="1:16" hidden="1">
      <c r="A983" t="s">
        <v>86</v>
      </c>
      <c r="B983" s="1">
        <v>4590013803</v>
      </c>
      <c r="C983" t="s">
        <v>700</v>
      </c>
      <c r="D983" s="160">
        <v>283169.89</v>
      </c>
      <c r="F983" t="s">
        <v>1285</v>
      </c>
      <c r="G983" s="4">
        <v>45436</v>
      </c>
      <c r="H983" s="4">
        <v>45436</v>
      </c>
      <c r="I983">
        <v>2024</v>
      </c>
      <c r="J983">
        <v>5</v>
      </c>
      <c r="K983" s="4" t="s">
        <v>621</v>
      </c>
      <c r="L983" t="s">
        <v>89</v>
      </c>
      <c r="M983" t="s">
        <v>1249</v>
      </c>
      <c r="N983" t="s">
        <v>89</v>
      </c>
      <c r="O983" t="s">
        <v>9</v>
      </c>
      <c r="P983" t="s">
        <v>120</v>
      </c>
    </row>
    <row r="984" spans="1:16" hidden="1">
      <c r="A984" t="s">
        <v>86</v>
      </c>
      <c r="B984" s="1">
        <v>4590015143</v>
      </c>
      <c r="C984" t="s">
        <v>734</v>
      </c>
      <c r="D984" s="160">
        <v>24072</v>
      </c>
      <c r="F984" t="s">
        <v>1286</v>
      </c>
      <c r="G984" s="4">
        <v>45436</v>
      </c>
      <c r="H984" s="4">
        <v>45436</v>
      </c>
      <c r="I984">
        <v>2024</v>
      </c>
      <c r="J984">
        <v>5</v>
      </c>
      <c r="K984" s="4" t="s">
        <v>621</v>
      </c>
      <c r="L984" t="s">
        <v>89</v>
      </c>
      <c r="M984" t="s">
        <v>1249</v>
      </c>
      <c r="N984" t="s">
        <v>89</v>
      </c>
      <c r="O984" t="s">
        <v>9</v>
      </c>
      <c r="P984" t="s">
        <v>120</v>
      </c>
    </row>
    <row r="985" spans="1:16" hidden="1">
      <c r="A985" t="s">
        <v>86</v>
      </c>
      <c r="B985" s="1">
        <v>4503441102</v>
      </c>
      <c r="C985" t="s">
        <v>140</v>
      </c>
      <c r="D985" s="160">
        <v>387660</v>
      </c>
      <c r="E985">
        <v>21670</v>
      </c>
      <c r="F985" t="s">
        <v>1287</v>
      </c>
      <c r="G985" s="4">
        <v>45436</v>
      </c>
      <c r="H985" s="4">
        <v>45436</v>
      </c>
      <c r="I985">
        <v>2024</v>
      </c>
      <c r="J985">
        <v>5</v>
      </c>
      <c r="K985" s="4" t="s">
        <v>621</v>
      </c>
      <c r="L985" t="s">
        <v>89</v>
      </c>
      <c r="M985" t="s">
        <v>1249</v>
      </c>
      <c r="N985" t="s">
        <v>89</v>
      </c>
      <c r="O985" t="s">
        <v>9</v>
      </c>
      <c r="P985" t="s">
        <v>141</v>
      </c>
    </row>
    <row r="986" spans="1:16" hidden="1">
      <c r="A986" t="s">
        <v>86</v>
      </c>
      <c r="B986" s="1">
        <v>4503448403</v>
      </c>
      <c r="C986" t="s">
        <v>124</v>
      </c>
      <c r="D986" s="160">
        <v>2247889.1800000002</v>
      </c>
      <c r="F986" t="s">
        <v>1288</v>
      </c>
      <c r="G986" s="4">
        <v>45449</v>
      </c>
      <c r="H986" s="4">
        <v>45449</v>
      </c>
      <c r="I986">
        <v>2024</v>
      </c>
      <c r="J986">
        <v>5</v>
      </c>
      <c r="K986" s="4" t="s">
        <v>621</v>
      </c>
      <c r="L986" t="s">
        <v>89</v>
      </c>
      <c r="M986" t="s">
        <v>1249</v>
      </c>
      <c r="N986" t="s">
        <v>89</v>
      </c>
      <c r="O986" t="s">
        <v>9</v>
      </c>
      <c r="P986" t="s">
        <v>125</v>
      </c>
    </row>
    <row r="987" spans="1:16" hidden="1">
      <c r="A987" t="s">
        <v>86</v>
      </c>
      <c r="B987" s="1">
        <v>4590002292</v>
      </c>
      <c r="C987" t="s">
        <v>586</v>
      </c>
      <c r="D987" s="160">
        <v>20634.650000000001</v>
      </c>
      <c r="E987">
        <v>1153.48</v>
      </c>
      <c r="F987" t="s">
        <v>1289</v>
      </c>
      <c r="G987" s="4">
        <v>45436</v>
      </c>
      <c r="H987" s="4">
        <v>45436</v>
      </c>
      <c r="I987">
        <v>2024</v>
      </c>
      <c r="J987">
        <v>5</v>
      </c>
      <c r="K987" s="4" t="s">
        <v>621</v>
      </c>
      <c r="L987" t="s">
        <v>89</v>
      </c>
      <c r="M987" t="s">
        <v>1279</v>
      </c>
      <c r="N987" t="s">
        <v>89</v>
      </c>
      <c r="O987" t="s">
        <v>11</v>
      </c>
      <c r="P987" t="s">
        <v>584</v>
      </c>
    </row>
    <row r="988" spans="1:16" hidden="1">
      <c r="A988" t="s">
        <v>1290</v>
      </c>
      <c r="B988" s="1">
        <v>4590012467</v>
      </c>
      <c r="C988" t="s">
        <v>1291</v>
      </c>
      <c r="D988" s="160">
        <v>564725.9</v>
      </c>
      <c r="G988" s="4"/>
      <c r="H988" s="4"/>
      <c r="I988">
        <v>2024</v>
      </c>
      <c r="J988">
        <v>2</v>
      </c>
      <c r="K988" s="4" t="s">
        <v>682</v>
      </c>
      <c r="L988" t="s">
        <v>89</v>
      </c>
      <c r="M988" t="s">
        <v>458</v>
      </c>
      <c r="N988" t="s">
        <v>89</v>
      </c>
      <c r="O988" t="s">
        <v>8</v>
      </c>
      <c r="P988" t="s">
        <v>1292</v>
      </c>
    </row>
    <row r="989" spans="1:16" hidden="1">
      <c r="A989" t="s">
        <v>687</v>
      </c>
      <c r="B989" s="1">
        <v>4590014651</v>
      </c>
      <c r="C989" t="s">
        <v>605</v>
      </c>
      <c r="D989" s="160">
        <v>433365</v>
      </c>
      <c r="G989" s="4"/>
      <c r="H989" s="4"/>
      <c r="I989">
        <v>2024</v>
      </c>
      <c r="J989">
        <v>2</v>
      </c>
      <c r="K989" s="4" t="s">
        <v>682</v>
      </c>
      <c r="L989" t="s">
        <v>89</v>
      </c>
      <c r="M989" t="s">
        <v>458</v>
      </c>
      <c r="N989" t="s">
        <v>89</v>
      </c>
      <c r="O989" t="s">
        <v>8</v>
      </c>
      <c r="P989" t="s">
        <v>300</v>
      </c>
    </row>
    <row r="990" spans="1:16" hidden="1">
      <c r="A990" t="s">
        <v>86</v>
      </c>
      <c r="B990" s="1">
        <v>4590006744</v>
      </c>
      <c r="C990" t="s">
        <v>1293</v>
      </c>
      <c r="D990" s="160">
        <v>325000</v>
      </c>
      <c r="F990" t="s">
        <v>1294</v>
      </c>
      <c r="G990" s="4">
        <v>45436</v>
      </c>
      <c r="H990" s="4">
        <v>45436</v>
      </c>
      <c r="I990">
        <v>2024</v>
      </c>
      <c r="J990">
        <v>5</v>
      </c>
      <c r="K990" s="4" t="s">
        <v>621</v>
      </c>
      <c r="L990" t="s">
        <v>89</v>
      </c>
      <c r="M990" t="s">
        <v>1249</v>
      </c>
      <c r="N990" t="s">
        <v>89</v>
      </c>
      <c r="O990" t="s">
        <v>9</v>
      </c>
      <c r="P990" t="s">
        <v>104</v>
      </c>
    </row>
    <row r="991" spans="1:16" hidden="1">
      <c r="A991" t="s">
        <v>86</v>
      </c>
      <c r="B991" s="1">
        <v>4590008115</v>
      </c>
      <c r="C991" t="s">
        <v>650</v>
      </c>
      <c r="D991" s="160">
        <v>6732.13</v>
      </c>
      <c r="F991" t="s">
        <v>1295</v>
      </c>
      <c r="G991" s="4">
        <v>45436</v>
      </c>
      <c r="H991" s="4">
        <v>45436</v>
      </c>
      <c r="I991">
        <v>2024</v>
      </c>
      <c r="J991">
        <v>5</v>
      </c>
      <c r="K991" s="4" t="s">
        <v>621</v>
      </c>
      <c r="L991" t="s">
        <v>89</v>
      </c>
      <c r="M991" t="s">
        <v>1249</v>
      </c>
      <c r="N991" t="s">
        <v>89</v>
      </c>
      <c r="O991" t="s">
        <v>10</v>
      </c>
      <c r="P991" t="s">
        <v>584</v>
      </c>
    </row>
    <row r="992" spans="1:16" hidden="1">
      <c r="A992" t="s">
        <v>86</v>
      </c>
      <c r="B992" s="1">
        <v>4590010774</v>
      </c>
      <c r="C992" t="s">
        <v>996</v>
      </c>
      <c r="D992" s="160">
        <v>48995.040000000001</v>
      </c>
      <c r="F992" t="s">
        <v>1296</v>
      </c>
      <c r="G992" s="4">
        <v>45436</v>
      </c>
      <c r="H992" s="4">
        <v>45436</v>
      </c>
      <c r="I992">
        <v>2024</v>
      </c>
      <c r="J992">
        <v>5</v>
      </c>
      <c r="K992" s="4" t="s">
        <v>621</v>
      </c>
      <c r="L992" t="s">
        <v>89</v>
      </c>
      <c r="M992" t="s">
        <v>758</v>
      </c>
      <c r="N992" t="s">
        <v>89</v>
      </c>
      <c r="O992" t="s">
        <v>11</v>
      </c>
      <c r="P992" t="s">
        <v>584</v>
      </c>
    </row>
    <row r="993" spans="1:16" hidden="1">
      <c r="A993" t="s">
        <v>86</v>
      </c>
      <c r="B993" s="1">
        <v>4590010913</v>
      </c>
      <c r="C993" t="s">
        <v>998</v>
      </c>
      <c r="D993" s="160">
        <v>8921.15</v>
      </c>
      <c r="F993" t="s">
        <v>1297</v>
      </c>
      <c r="G993" s="4">
        <v>45436</v>
      </c>
      <c r="H993" s="4">
        <v>45436</v>
      </c>
      <c r="I993">
        <v>2024</v>
      </c>
      <c r="J993">
        <v>5</v>
      </c>
      <c r="K993" s="4" t="s">
        <v>621</v>
      </c>
      <c r="L993" t="s">
        <v>89</v>
      </c>
      <c r="M993" t="s">
        <v>758</v>
      </c>
      <c r="N993" t="s">
        <v>89</v>
      </c>
      <c r="O993" t="s">
        <v>11</v>
      </c>
      <c r="P993" t="s">
        <v>584</v>
      </c>
    </row>
    <row r="994" spans="1:16" hidden="1">
      <c r="A994" t="s">
        <v>86</v>
      </c>
      <c r="B994" s="1">
        <v>4590011320</v>
      </c>
      <c r="C994" t="s">
        <v>498</v>
      </c>
      <c r="D994" s="160">
        <v>114862.28</v>
      </c>
      <c r="F994" t="s">
        <v>1298</v>
      </c>
      <c r="G994" s="4">
        <v>45449</v>
      </c>
      <c r="H994" s="4" t="s">
        <v>1299</v>
      </c>
      <c r="I994">
        <v>2024</v>
      </c>
      <c r="J994">
        <v>5</v>
      </c>
      <c r="K994" s="4" t="s">
        <v>621</v>
      </c>
      <c r="L994" t="s">
        <v>89</v>
      </c>
      <c r="M994" t="s">
        <v>1249</v>
      </c>
      <c r="N994" t="s">
        <v>89</v>
      </c>
      <c r="O994" t="s">
        <v>9</v>
      </c>
      <c r="P994" t="s">
        <v>125</v>
      </c>
    </row>
    <row r="995" spans="1:16" hidden="1">
      <c r="A995" t="s">
        <v>86</v>
      </c>
      <c r="B995" s="1">
        <v>4590014629</v>
      </c>
      <c r="C995" t="s">
        <v>703</v>
      </c>
      <c r="D995" s="160">
        <v>50512.59</v>
      </c>
      <c r="F995" t="s">
        <v>1300</v>
      </c>
      <c r="G995" s="4">
        <v>45436</v>
      </c>
      <c r="H995" s="4">
        <v>45436</v>
      </c>
      <c r="I995">
        <v>2024</v>
      </c>
      <c r="J995">
        <v>5</v>
      </c>
      <c r="K995" s="4" t="s">
        <v>621</v>
      </c>
      <c r="L995" t="s">
        <v>89</v>
      </c>
      <c r="M995" t="s">
        <v>1249</v>
      </c>
      <c r="N995" t="s">
        <v>89</v>
      </c>
      <c r="O995" t="s">
        <v>9</v>
      </c>
      <c r="P995" t="s">
        <v>120</v>
      </c>
    </row>
    <row r="996" spans="1:16" hidden="1">
      <c r="A996" t="s">
        <v>312</v>
      </c>
      <c r="B996" s="1">
        <v>4503432118</v>
      </c>
      <c r="C996" t="s">
        <v>119</v>
      </c>
      <c r="D996" s="160">
        <v>10560920</v>
      </c>
      <c r="F996" t="s">
        <v>1301</v>
      </c>
      <c r="G996" s="4">
        <v>45448</v>
      </c>
      <c r="H996" s="4">
        <v>45448</v>
      </c>
      <c r="I996">
        <v>2024</v>
      </c>
      <c r="J996">
        <v>5</v>
      </c>
      <c r="K996" s="4" t="s">
        <v>621</v>
      </c>
      <c r="L996" t="s">
        <v>89</v>
      </c>
      <c r="M996" t="s">
        <v>1249</v>
      </c>
      <c r="N996" t="s">
        <v>89</v>
      </c>
      <c r="O996" t="s">
        <v>9</v>
      </c>
      <c r="P996" t="s">
        <v>120</v>
      </c>
    </row>
    <row r="997" spans="1:16" hidden="1">
      <c r="A997" t="s">
        <v>86</v>
      </c>
      <c r="B997" s="1">
        <v>4503432152</v>
      </c>
      <c r="C997" t="s">
        <v>1302</v>
      </c>
      <c r="D997" s="160">
        <v>99331</v>
      </c>
      <c r="F997" t="s">
        <v>1303</v>
      </c>
      <c r="G997" s="4">
        <v>45436</v>
      </c>
      <c r="H997" s="4">
        <v>45436</v>
      </c>
      <c r="I997">
        <v>2024</v>
      </c>
      <c r="J997">
        <v>5</v>
      </c>
      <c r="K997" s="4" t="s">
        <v>621</v>
      </c>
      <c r="L997" t="s">
        <v>89</v>
      </c>
      <c r="M997" t="s">
        <v>1249</v>
      </c>
      <c r="N997" t="s">
        <v>89</v>
      </c>
      <c r="O997" t="s">
        <v>9</v>
      </c>
      <c r="P997" t="s">
        <v>122</v>
      </c>
    </row>
    <row r="998" spans="1:16" hidden="1">
      <c r="A998" t="s">
        <v>86</v>
      </c>
      <c r="B998" s="1">
        <v>4503398624</v>
      </c>
      <c r="C998" t="s">
        <v>112</v>
      </c>
      <c r="D998" s="160">
        <v>10</v>
      </c>
      <c r="F998" t="s">
        <v>1304</v>
      </c>
      <c r="G998" s="4">
        <v>45436</v>
      </c>
      <c r="H998" s="4">
        <v>45436</v>
      </c>
      <c r="I998">
        <v>2024</v>
      </c>
      <c r="J998">
        <v>5</v>
      </c>
      <c r="K998" s="4" t="s">
        <v>621</v>
      </c>
      <c r="L998" t="s">
        <v>89</v>
      </c>
      <c r="M998" t="s">
        <v>1249</v>
      </c>
      <c r="N998" t="s">
        <v>89</v>
      </c>
      <c r="O998" t="s">
        <v>9</v>
      </c>
      <c r="P998" t="s">
        <v>113</v>
      </c>
    </row>
    <row r="999" spans="1:16" hidden="1">
      <c r="A999" t="s">
        <v>312</v>
      </c>
      <c r="B999" s="1">
        <v>4590006189</v>
      </c>
      <c r="C999" t="s">
        <v>260</v>
      </c>
      <c r="D999" s="160">
        <v>11661</v>
      </c>
      <c r="F999" t="s">
        <v>1305</v>
      </c>
      <c r="G999" s="4">
        <v>45436</v>
      </c>
      <c r="H999" s="4">
        <v>45436</v>
      </c>
      <c r="I999">
        <v>2024</v>
      </c>
      <c r="J999">
        <v>5</v>
      </c>
      <c r="K999" s="4" t="s">
        <v>621</v>
      </c>
      <c r="L999" t="s">
        <v>89</v>
      </c>
      <c r="M999" t="s">
        <v>1306</v>
      </c>
      <c r="N999" t="s">
        <v>89</v>
      </c>
      <c r="O999" t="s">
        <v>9</v>
      </c>
      <c r="P999" t="s">
        <v>262</v>
      </c>
    </row>
    <row r="1000" spans="1:16" hidden="1">
      <c r="A1000" t="s">
        <v>86</v>
      </c>
      <c r="B1000" s="1">
        <v>4590014102</v>
      </c>
      <c r="C1000" t="s">
        <v>1307</v>
      </c>
      <c r="D1000" s="160">
        <v>96506.47</v>
      </c>
      <c r="F1000" t="s">
        <v>1308</v>
      </c>
      <c r="G1000" s="4">
        <v>45434</v>
      </c>
      <c r="H1000" s="4">
        <v>45434</v>
      </c>
      <c r="I1000">
        <v>2024</v>
      </c>
      <c r="J1000">
        <v>5</v>
      </c>
      <c r="K1000" s="4" t="s">
        <v>621</v>
      </c>
      <c r="L1000" t="s">
        <v>89</v>
      </c>
      <c r="M1000" t="s">
        <v>1279</v>
      </c>
      <c r="N1000" t="s">
        <v>89</v>
      </c>
      <c r="O1000" t="s">
        <v>13</v>
      </c>
      <c r="P1000" t="s">
        <v>222</v>
      </c>
    </row>
    <row r="1001" spans="1:16" hidden="1">
      <c r="A1001" t="s">
        <v>86</v>
      </c>
      <c r="B1001" s="1">
        <v>4590011098</v>
      </c>
      <c r="C1001" t="s">
        <v>493</v>
      </c>
      <c r="D1001" s="160">
        <v>3497.77</v>
      </c>
      <c r="F1001" t="s">
        <v>1309</v>
      </c>
      <c r="G1001" s="4">
        <v>45434</v>
      </c>
      <c r="H1001" s="4">
        <v>45434</v>
      </c>
      <c r="I1001">
        <v>2024</v>
      </c>
      <c r="J1001">
        <v>5</v>
      </c>
      <c r="K1001" s="4" t="s">
        <v>621</v>
      </c>
      <c r="L1001" t="s">
        <v>89</v>
      </c>
      <c r="M1001" t="s">
        <v>758</v>
      </c>
      <c r="N1001" t="s">
        <v>89</v>
      </c>
      <c r="O1001" t="s">
        <v>19</v>
      </c>
      <c r="P1001" t="s">
        <v>222</v>
      </c>
    </row>
    <row r="1002" spans="1:16" hidden="1">
      <c r="A1002" t="s">
        <v>86</v>
      </c>
      <c r="B1002" s="1">
        <v>4590000428</v>
      </c>
      <c r="C1002" t="s">
        <v>318</v>
      </c>
      <c r="D1002" s="160">
        <v>44868.160000000003</v>
      </c>
      <c r="F1002" t="s">
        <v>1310</v>
      </c>
      <c r="G1002" s="4">
        <v>45434</v>
      </c>
      <c r="H1002" s="4">
        <v>45434</v>
      </c>
      <c r="I1002">
        <v>2024</v>
      </c>
      <c r="J1002">
        <v>5</v>
      </c>
      <c r="K1002" s="4" t="s">
        <v>621</v>
      </c>
      <c r="L1002" t="s">
        <v>89</v>
      </c>
      <c r="M1002" t="s">
        <v>758</v>
      </c>
      <c r="N1002" t="s">
        <v>89</v>
      </c>
      <c r="O1002" t="s">
        <v>13</v>
      </c>
      <c r="P1002" t="s">
        <v>222</v>
      </c>
    </row>
    <row r="1003" spans="1:16" hidden="1">
      <c r="A1003" t="s">
        <v>86</v>
      </c>
      <c r="B1003" s="1">
        <v>4590015933</v>
      </c>
      <c r="C1003" t="s">
        <v>1311</v>
      </c>
      <c r="D1003" s="160">
        <v>204832.03</v>
      </c>
      <c r="F1003" t="s">
        <v>1312</v>
      </c>
      <c r="G1003" s="4">
        <v>45434</v>
      </c>
      <c r="H1003" s="4">
        <v>45434</v>
      </c>
      <c r="I1003">
        <v>2024</v>
      </c>
      <c r="J1003">
        <v>5</v>
      </c>
      <c r="K1003" s="4" t="s">
        <v>621</v>
      </c>
      <c r="L1003" t="s">
        <v>89</v>
      </c>
      <c r="M1003" t="s">
        <v>1313</v>
      </c>
      <c r="N1003" t="s">
        <v>89</v>
      </c>
      <c r="O1003" t="s">
        <v>13</v>
      </c>
      <c r="P1003" t="s">
        <v>222</v>
      </c>
    </row>
    <row r="1004" spans="1:16" hidden="1">
      <c r="A1004" t="s">
        <v>86</v>
      </c>
      <c r="B1004" s="1">
        <v>4590013563</v>
      </c>
      <c r="C1004" t="s">
        <v>1314</v>
      </c>
      <c r="D1004" s="160">
        <v>11904.3</v>
      </c>
      <c r="F1004" t="s">
        <v>1315</v>
      </c>
      <c r="G1004" s="4">
        <v>45434</v>
      </c>
      <c r="H1004" s="4">
        <v>45434</v>
      </c>
      <c r="I1004">
        <v>2024</v>
      </c>
      <c r="J1004">
        <v>5</v>
      </c>
      <c r="K1004" s="4" t="s">
        <v>621</v>
      </c>
      <c r="L1004" t="s">
        <v>89</v>
      </c>
      <c r="M1004" t="s">
        <v>492</v>
      </c>
      <c r="N1004" t="s">
        <v>89</v>
      </c>
      <c r="O1004" t="s">
        <v>13</v>
      </c>
      <c r="P1004" t="s">
        <v>222</v>
      </c>
    </row>
    <row r="1005" spans="1:16" hidden="1">
      <c r="A1005" t="s">
        <v>1316</v>
      </c>
      <c r="B1005" s="1">
        <v>4590017604</v>
      </c>
      <c r="C1005" t="s">
        <v>1317</v>
      </c>
      <c r="D1005" s="160">
        <v>324069</v>
      </c>
      <c r="F1005" t="s">
        <v>1318</v>
      </c>
      <c r="G1005" s="4">
        <v>45468</v>
      </c>
      <c r="H1005" s="4">
        <v>45468</v>
      </c>
      <c r="I1005">
        <v>2024</v>
      </c>
      <c r="J1005">
        <v>6</v>
      </c>
      <c r="K1005" s="4" t="s">
        <v>886</v>
      </c>
      <c r="L1005" t="s">
        <v>89</v>
      </c>
      <c r="M1005" t="s">
        <v>492</v>
      </c>
      <c r="N1005" t="s">
        <v>89</v>
      </c>
      <c r="O1005" t="s">
        <v>8</v>
      </c>
      <c r="P1005" t="s">
        <v>300</v>
      </c>
    </row>
    <row r="1006" spans="1:16" hidden="1">
      <c r="A1006" t="s">
        <v>86</v>
      </c>
      <c r="B1006" s="1">
        <v>4590014289</v>
      </c>
      <c r="C1006" t="s">
        <v>675</v>
      </c>
      <c r="D1006" s="160">
        <v>2524721.4</v>
      </c>
      <c r="F1006" t="s">
        <v>1319</v>
      </c>
      <c r="G1006" s="4">
        <v>45434</v>
      </c>
      <c r="H1006" s="4">
        <v>45434</v>
      </c>
      <c r="I1006">
        <v>2024</v>
      </c>
      <c r="J1006">
        <v>5</v>
      </c>
      <c r="K1006" s="4" t="s">
        <v>621</v>
      </c>
      <c r="L1006" t="s">
        <v>89</v>
      </c>
      <c r="M1006" t="s">
        <v>758</v>
      </c>
      <c r="N1006" t="s">
        <v>89</v>
      </c>
      <c r="O1006" t="s">
        <v>13</v>
      </c>
      <c r="P1006" t="s">
        <v>537</v>
      </c>
    </row>
    <row r="1007" spans="1:16" hidden="1">
      <c r="A1007" t="s">
        <v>86</v>
      </c>
      <c r="B1007" s="1">
        <v>4590013324</v>
      </c>
      <c r="C1007" t="s">
        <v>1320</v>
      </c>
      <c r="D1007" s="160">
        <v>2113</v>
      </c>
      <c r="F1007" t="s">
        <v>1321</v>
      </c>
      <c r="G1007" s="4">
        <v>45434</v>
      </c>
      <c r="H1007" s="4">
        <v>45434</v>
      </c>
      <c r="I1007">
        <v>2024</v>
      </c>
      <c r="J1007">
        <v>5</v>
      </c>
      <c r="K1007" s="4" t="s">
        <v>621</v>
      </c>
      <c r="L1007" t="s">
        <v>89</v>
      </c>
      <c r="M1007" t="s">
        <v>1249</v>
      </c>
      <c r="N1007" t="s">
        <v>89</v>
      </c>
      <c r="O1007" t="s">
        <v>13</v>
      </c>
      <c r="P1007" t="s">
        <v>946</v>
      </c>
    </row>
    <row r="1008" spans="1:16" hidden="1">
      <c r="A1008" t="s">
        <v>86</v>
      </c>
      <c r="B1008" s="1">
        <v>4590015373</v>
      </c>
      <c r="C1008" t="s">
        <v>1322</v>
      </c>
      <c r="D1008" s="160">
        <v>475242</v>
      </c>
      <c r="F1008" t="s">
        <v>1323</v>
      </c>
      <c r="G1008" s="4">
        <v>45434</v>
      </c>
      <c r="H1008" s="4">
        <v>45434</v>
      </c>
      <c r="I1008">
        <v>2024</v>
      </c>
      <c r="J1008">
        <v>5</v>
      </c>
      <c r="K1008" s="4" t="s">
        <v>621</v>
      </c>
      <c r="L1008" t="s">
        <v>89</v>
      </c>
      <c r="M1008" t="s">
        <v>698</v>
      </c>
      <c r="N1008" t="s">
        <v>89</v>
      </c>
      <c r="O1008" t="s">
        <v>13</v>
      </c>
      <c r="P1008" t="s">
        <v>291</v>
      </c>
    </row>
    <row r="1009" spans="1:16" hidden="1">
      <c r="A1009" t="s">
        <v>86</v>
      </c>
      <c r="B1009" s="1">
        <v>4590017784</v>
      </c>
      <c r="C1009" t="s">
        <v>1324</v>
      </c>
      <c r="D1009" s="160">
        <v>19470.88</v>
      </c>
      <c r="F1009" t="s">
        <v>1325</v>
      </c>
      <c r="G1009" s="4">
        <v>45440</v>
      </c>
      <c r="H1009" s="4">
        <v>45440</v>
      </c>
      <c r="I1009">
        <v>2024</v>
      </c>
      <c r="J1009">
        <v>5</v>
      </c>
      <c r="K1009" s="4" t="s">
        <v>621</v>
      </c>
      <c r="L1009" t="s">
        <v>89</v>
      </c>
      <c r="M1009" t="s">
        <v>698</v>
      </c>
      <c r="N1009" t="s">
        <v>89</v>
      </c>
      <c r="O1009" t="s">
        <v>13</v>
      </c>
      <c r="P1009" t="s">
        <v>563</v>
      </c>
    </row>
    <row r="1010" spans="1:16" hidden="1">
      <c r="A1010" t="s">
        <v>86</v>
      </c>
      <c r="B1010" s="1">
        <v>4590016630</v>
      </c>
      <c r="C1010" t="s">
        <v>1027</v>
      </c>
      <c r="D1010" s="160">
        <v>203907</v>
      </c>
      <c r="F1010" t="s">
        <v>1326</v>
      </c>
      <c r="G1010" s="4">
        <v>45440</v>
      </c>
      <c r="H1010" s="4">
        <v>45440</v>
      </c>
      <c r="I1010">
        <v>2024</v>
      </c>
      <c r="J1010">
        <v>5</v>
      </c>
      <c r="K1010" s="4" t="s">
        <v>621</v>
      </c>
      <c r="L1010" t="s">
        <v>89</v>
      </c>
      <c r="M1010" t="s">
        <v>1249</v>
      </c>
      <c r="N1010" t="s">
        <v>89</v>
      </c>
      <c r="O1010" t="s">
        <v>13</v>
      </c>
      <c r="P1010" t="s">
        <v>563</v>
      </c>
    </row>
    <row r="1011" spans="1:16" hidden="1">
      <c r="A1011" t="s">
        <v>784</v>
      </c>
      <c r="B1011" s="1">
        <v>4590008170</v>
      </c>
      <c r="C1011" t="s">
        <v>655</v>
      </c>
      <c r="D1011" s="160">
        <v>20125</v>
      </c>
      <c r="F1011" t="s">
        <v>1327</v>
      </c>
      <c r="G1011" s="4">
        <v>45436</v>
      </c>
      <c r="H1011" s="4">
        <v>45436</v>
      </c>
      <c r="I1011">
        <v>2024</v>
      </c>
      <c r="J1011">
        <v>5</v>
      </c>
      <c r="K1011" s="4" t="s">
        <v>621</v>
      </c>
      <c r="L1011" t="s">
        <v>95</v>
      </c>
      <c r="M1011" t="s">
        <v>1328</v>
      </c>
      <c r="N1011" t="s">
        <v>933</v>
      </c>
      <c r="O1011" t="s">
        <v>9</v>
      </c>
      <c r="P1011" t="s">
        <v>425</v>
      </c>
    </row>
    <row r="1012" spans="1:16" hidden="1">
      <c r="A1012" t="s">
        <v>54</v>
      </c>
      <c r="B1012" s="1" t="s">
        <v>1329</v>
      </c>
      <c r="C1012" t="s">
        <v>1330</v>
      </c>
      <c r="D1012" s="160">
        <v>5454764</v>
      </c>
      <c r="F1012" t="s">
        <v>1331</v>
      </c>
      <c r="G1012" s="4">
        <v>45443</v>
      </c>
      <c r="H1012" s="4">
        <v>45443</v>
      </c>
      <c r="I1012">
        <v>2024</v>
      </c>
      <c r="J1012">
        <v>5</v>
      </c>
      <c r="K1012" s="4" t="s">
        <v>621</v>
      </c>
      <c r="L1012" t="s">
        <v>89</v>
      </c>
      <c r="M1012" t="s">
        <v>1332</v>
      </c>
      <c r="N1012" t="s">
        <v>89</v>
      </c>
      <c r="O1012" t="s">
        <v>13</v>
      </c>
      <c r="P1012" t="s">
        <v>537</v>
      </c>
    </row>
    <row r="1013" spans="1:16" hidden="1">
      <c r="A1013" t="s">
        <v>54</v>
      </c>
      <c r="B1013" s="1" t="s">
        <v>1333</v>
      </c>
      <c r="C1013" t="s">
        <v>1334</v>
      </c>
      <c r="D1013" s="160">
        <v>700000</v>
      </c>
      <c r="F1013" t="s">
        <v>1335</v>
      </c>
      <c r="G1013" s="4">
        <v>45443</v>
      </c>
      <c r="H1013" s="4">
        <v>45443</v>
      </c>
      <c r="I1013">
        <v>2024</v>
      </c>
      <c r="J1013">
        <v>5</v>
      </c>
      <c r="K1013" s="4" t="s">
        <v>621</v>
      </c>
      <c r="L1013" t="s">
        <v>89</v>
      </c>
      <c r="M1013" t="s">
        <v>1336</v>
      </c>
      <c r="N1013" t="s">
        <v>89</v>
      </c>
      <c r="O1013" t="s">
        <v>13</v>
      </c>
      <c r="P1013" t="s">
        <v>537</v>
      </c>
    </row>
    <row r="1014" spans="1:16" hidden="1">
      <c r="A1014" t="s">
        <v>54</v>
      </c>
      <c r="B1014" s="1" t="s">
        <v>502</v>
      </c>
      <c r="C1014" t="s">
        <v>503</v>
      </c>
      <c r="D1014" s="160">
        <v>1075150.6599999999</v>
      </c>
      <c r="F1014" t="s">
        <v>1337</v>
      </c>
      <c r="G1014" s="4">
        <v>45447</v>
      </c>
      <c r="H1014" s="4">
        <v>45447</v>
      </c>
      <c r="I1014">
        <v>2024</v>
      </c>
      <c r="J1014">
        <v>5</v>
      </c>
      <c r="K1014" s="4" t="s">
        <v>621</v>
      </c>
      <c r="L1014" t="s">
        <v>89</v>
      </c>
      <c r="M1014" t="s">
        <v>1332</v>
      </c>
      <c r="N1014" t="s">
        <v>89</v>
      </c>
      <c r="O1014" t="s">
        <v>13</v>
      </c>
      <c r="P1014" t="s">
        <v>361</v>
      </c>
    </row>
    <row r="1015" spans="1:16" hidden="1">
      <c r="A1015" t="s">
        <v>237</v>
      </c>
      <c r="B1015" s="1" t="s">
        <v>1338</v>
      </c>
      <c r="C1015" t="s">
        <v>1339</v>
      </c>
      <c r="D1015" s="160">
        <v>48816.35</v>
      </c>
      <c r="F1015" t="s">
        <v>1340</v>
      </c>
      <c r="G1015" s="4">
        <v>45447</v>
      </c>
      <c r="H1015" s="4">
        <v>45447</v>
      </c>
      <c r="I1015">
        <v>2024</v>
      </c>
      <c r="J1015">
        <v>5</v>
      </c>
      <c r="K1015" s="4" t="s">
        <v>621</v>
      </c>
      <c r="L1015" t="s">
        <v>89</v>
      </c>
      <c r="N1015" t="s">
        <v>89</v>
      </c>
      <c r="O1015" t="s">
        <v>18</v>
      </c>
      <c r="P1015" t="s">
        <v>240</v>
      </c>
    </row>
    <row r="1016" spans="1:16" hidden="1">
      <c r="A1016" t="s">
        <v>161</v>
      </c>
      <c r="B1016" s="1">
        <v>2958</v>
      </c>
      <c r="C1016" t="s">
        <v>1071</v>
      </c>
      <c r="D1016" s="160">
        <v>34826</v>
      </c>
      <c r="F1016" t="s">
        <v>1341</v>
      </c>
      <c r="G1016" s="4">
        <v>45449</v>
      </c>
      <c r="H1016" s="4">
        <v>45449</v>
      </c>
      <c r="I1016">
        <v>2024</v>
      </c>
      <c r="J1016">
        <v>6</v>
      </c>
      <c r="K1016" s="4" t="s">
        <v>886</v>
      </c>
      <c r="L1016" t="s">
        <v>89</v>
      </c>
      <c r="N1016" t="s">
        <v>89</v>
      </c>
      <c r="O1016" t="s">
        <v>18</v>
      </c>
      <c r="P1016" t="s">
        <v>550</v>
      </c>
    </row>
    <row r="1017" spans="1:16" hidden="1">
      <c r="A1017" t="s">
        <v>86</v>
      </c>
      <c r="B1017" s="1">
        <v>4590013602</v>
      </c>
      <c r="C1017" t="s">
        <v>1342</v>
      </c>
      <c r="D1017" s="160">
        <v>15461.2</v>
      </c>
      <c r="F1017" t="s">
        <v>1343</v>
      </c>
      <c r="G1017" s="4">
        <v>45436</v>
      </c>
      <c r="H1017" s="4">
        <v>45436</v>
      </c>
      <c r="I1017">
        <v>2024</v>
      </c>
      <c r="J1017">
        <v>5</v>
      </c>
      <c r="K1017" s="4" t="s">
        <v>621</v>
      </c>
      <c r="L1017" t="s">
        <v>95</v>
      </c>
      <c r="M1017" t="s">
        <v>1344</v>
      </c>
      <c r="N1017" t="s">
        <v>933</v>
      </c>
      <c r="O1017" t="s">
        <v>12</v>
      </c>
      <c r="P1017" t="s">
        <v>448</v>
      </c>
    </row>
    <row r="1018" spans="1:16" hidden="1">
      <c r="A1018" t="s">
        <v>86</v>
      </c>
      <c r="B1018" s="1">
        <v>4590017212</v>
      </c>
      <c r="C1018" t="s">
        <v>1242</v>
      </c>
      <c r="D1018" s="160">
        <v>20000</v>
      </c>
      <c r="F1018" t="s">
        <v>1345</v>
      </c>
      <c r="G1018" s="4">
        <v>45443</v>
      </c>
      <c r="H1018" s="4">
        <v>45443</v>
      </c>
      <c r="I1018">
        <v>2024</v>
      </c>
      <c r="J1018">
        <v>5</v>
      </c>
      <c r="K1018" s="4" t="s">
        <v>621</v>
      </c>
      <c r="L1018" t="s">
        <v>95</v>
      </c>
      <c r="M1018" t="s">
        <v>981</v>
      </c>
      <c r="N1018" t="s">
        <v>1346</v>
      </c>
      <c r="O1018" t="s">
        <v>11</v>
      </c>
      <c r="P1018" t="s">
        <v>1245</v>
      </c>
    </row>
    <row r="1019" spans="1:16" hidden="1">
      <c r="A1019" t="s">
        <v>942</v>
      </c>
      <c r="B1019" s="1">
        <v>4590011320</v>
      </c>
      <c r="C1019" t="s">
        <v>498</v>
      </c>
      <c r="D1019" s="160">
        <v>9920.31</v>
      </c>
      <c r="F1019" t="s">
        <v>1347</v>
      </c>
      <c r="G1019" s="4">
        <v>45464</v>
      </c>
      <c r="H1019" s="4">
        <v>45464</v>
      </c>
      <c r="I1019">
        <v>2024</v>
      </c>
      <c r="J1019">
        <v>6</v>
      </c>
      <c r="K1019" s="4" t="s">
        <v>886</v>
      </c>
      <c r="L1019" t="s">
        <v>89</v>
      </c>
      <c r="M1019" t="s">
        <v>698</v>
      </c>
      <c r="N1019" t="s">
        <v>89</v>
      </c>
      <c r="O1019" t="s">
        <v>9</v>
      </c>
      <c r="P1019" t="s">
        <v>125</v>
      </c>
    </row>
    <row r="1020" spans="1:16" hidden="1">
      <c r="A1020" t="s">
        <v>830</v>
      </c>
      <c r="B1020" s="1">
        <v>20230315002</v>
      </c>
      <c r="C1020" t="s">
        <v>831</v>
      </c>
      <c r="D1020" s="160">
        <v>518213.85</v>
      </c>
      <c r="F1020" t="s">
        <v>1348</v>
      </c>
      <c r="G1020" s="4">
        <v>45463</v>
      </c>
      <c r="H1020" s="4">
        <v>45463</v>
      </c>
      <c r="I1020">
        <v>2024</v>
      </c>
      <c r="J1020">
        <v>6</v>
      </c>
      <c r="K1020" s="4" t="s">
        <v>886</v>
      </c>
      <c r="L1020" t="s">
        <v>329</v>
      </c>
      <c r="N1020" t="s">
        <v>1349</v>
      </c>
      <c r="O1020" t="s">
        <v>18</v>
      </c>
      <c r="P1020" t="s">
        <v>834</v>
      </c>
    </row>
    <row r="1021" spans="1:16" hidden="1">
      <c r="A1021" t="s">
        <v>336</v>
      </c>
      <c r="B1021" s="1" t="s">
        <v>127</v>
      </c>
      <c r="C1021" t="s">
        <v>128</v>
      </c>
      <c r="D1021" s="160">
        <v>8096816</v>
      </c>
      <c r="F1021" t="s">
        <v>1350</v>
      </c>
      <c r="G1021" s="4">
        <v>45464</v>
      </c>
      <c r="H1021" s="4">
        <v>45464</v>
      </c>
      <c r="I1021">
        <v>2024</v>
      </c>
      <c r="J1021">
        <v>6</v>
      </c>
      <c r="K1021" s="4" t="s">
        <v>886</v>
      </c>
      <c r="L1021" t="s">
        <v>89</v>
      </c>
      <c r="M1021" t="s">
        <v>698</v>
      </c>
      <c r="N1021" t="s">
        <v>89</v>
      </c>
      <c r="O1021" t="s">
        <v>9</v>
      </c>
      <c r="P1021" t="s">
        <v>129</v>
      </c>
    </row>
    <row r="1022" spans="1:16" hidden="1">
      <c r="A1022" t="s">
        <v>336</v>
      </c>
      <c r="B1022" s="1">
        <v>4590009808</v>
      </c>
      <c r="C1022" t="s">
        <v>486</v>
      </c>
      <c r="D1022" s="160">
        <v>75742</v>
      </c>
      <c r="F1022" t="s">
        <v>1351</v>
      </c>
      <c r="G1022" s="4">
        <v>45464</v>
      </c>
      <c r="H1022" s="4">
        <v>45464</v>
      </c>
      <c r="I1022">
        <v>2024</v>
      </c>
      <c r="J1022">
        <v>6</v>
      </c>
      <c r="K1022" s="4" t="s">
        <v>886</v>
      </c>
      <c r="L1022" t="s">
        <v>89</v>
      </c>
      <c r="M1022" t="s">
        <v>698</v>
      </c>
      <c r="N1022" t="s">
        <v>89</v>
      </c>
      <c r="O1022" t="s">
        <v>9</v>
      </c>
      <c r="P1022" t="s">
        <v>129</v>
      </c>
    </row>
    <row r="1023" spans="1:16" hidden="1">
      <c r="A1023" t="s">
        <v>337</v>
      </c>
      <c r="B1023" s="1" t="s">
        <v>133</v>
      </c>
      <c r="C1023" t="s">
        <v>134</v>
      </c>
      <c r="D1023" s="160">
        <v>213311.53</v>
      </c>
      <c r="F1023" t="s">
        <v>1352</v>
      </c>
      <c r="G1023" s="4">
        <v>45464</v>
      </c>
      <c r="H1023" s="4">
        <v>45464</v>
      </c>
      <c r="I1023">
        <v>2024</v>
      </c>
      <c r="J1023">
        <v>6</v>
      </c>
      <c r="K1023" s="4" t="s">
        <v>886</v>
      </c>
      <c r="L1023" t="s">
        <v>89</v>
      </c>
      <c r="M1023" t="s">
        <v>698</v>
      </c>
      <c r="N1023" t="s">
        <v>89</v>
      </c>
      <c r="O1023" t="s">
        <v>9</v>
      </c>
      <c r="P1023" t="s">
        <v>135</v>
      </c>
    </row>
    <row r="1024" spans="1:16" hidden="1">
      <c r="A1024" t="s">
        <v>934</v>
      </c>
      <c r="B1024" s="1">
        <v>4590006871</v>
      </c>
      <c r="C1024" t="s">
        <v>935</v>
      </c>
      <c r="D1024" s="160">
        <v>130304</v>
      </c>
      <c r="F1024" t="s">
        <v>1353</v>
      </c>
      <c r="G1024" s="4">
        <v>45464</v>
      </c>
      <c r="H1024" s="4">
        <v>45464</v>
      </c>
      <c r="I1024">
        <v>2024</v>
      </c>
      <c r="J1024">
        <v>6</v>
      </c>
      <c r="K1024" s="4" t="s">
        <v>886</v>
      </c>
      <c r="L1024" t="s">
        <v>89</v>
      </c>
      <c r="M1024" t="s">
        <v>698</v>
      </c>
      <c r="N1024" t="s">
        <v>89</v>
      </c>
      <c r="O1024" t="s">
        <v>10</v>
      </c>
      <c r="P1024" t="s">
        <v>135</v>
      </c>
    </row>
    <row r="1025" spans="1:16" hidden="1">
      <c r="A1025" t="s">
        <v>315</v>
      </c>
      <c r="B1025" s="1" t="s">
        <v>204</v>
      </c>
      <c r="C1025" t="s">
        <v>205</v>
      </c>
      <c r="D1025" s="160">
        <v>50041.52</v>
      </c>
      <c r="F1025" t="s">
        <v>1354</v>
      </c>
      <c r="G1025" s="4">
        <v>45464</v>
      </c>
      <c r="H1025" s="4">
        <v>45464</v>
      </c>
      <c r="I1025">
        <v>2024</v>
      </c>
      <c r="J1025">
        <v>6</v>
      </c>
      <c r="K1025" s="4" t="s">
        <v>886</v>
      </c>
      <c r="L1025" t="s">
        <v>89</v>
      </c>
      <c r="M1025" t="s">
        <v>698</v>
      </c>
      <c r="N1025" t="s">
        <v>89</v>
      </c>
      <c r="O1025" t="s">
        <v>11</v>
      </c>
      <c r="P1025" t="s">
        <v>190</v>
      </c>
    </row>
    <row r="1026" spans="1:16" hidden="1">
      <c r="A1026" t="s">
        <v>312</v>
      </c>
      <c r="B1026" s="1">
        <v>4590013633</v>
      </c>
      <c r="C1026" t="s">
        <v>667</v>
      </c>
      <c r="D1026" s="160">
        <v>70619.600000000006</v>
      </c>
      <c r="F1026" t="s">
        <v>1355</v>
      </c>
      <c r="G1026" s="4">
        <v>45464</v>
      </c>
      <c r="H1026" s="4">
        <v>45464</v>
      </c>
      <c r="I1026">
        <v>2024</v>
      </c>
      <c r="J1026">
        <v>6</v>
      </c>
      <c r="K1026" s="4" t="s">
        <v>886</v>
      </c>
      <c r="L1026" t="s">
        <v>89</v>
      </c>
      <c r="M1026" t="s">
        <v>698</v>
      </c>
      <c r="N1026" t="s">
        <v>89</v>
      </c>
      <c r="O1026" t="s">
        <v>9</v>
      </c>
      <c r="P1026" t="s">
        <v>104</v>
      </c>
    </row>
    <row r="1027" spans="1:16" hidden="1">
      <c r="A1027" t="s">
        <v>337</v>
      </c>
      <c r="B1027" s="1" t="s">
        <v>136</v>
      </c>
      <c r="C1027" t="s">
        <v>137</v>
      </c>
      <c r="D1027" s="160">
        <v>217558.94</v>
      </c>
      <c r="F1027" t="s">
        <v>1356</v>
      </c>
      <c r="G1027" s="4">
        <v>45464</v>
      </c>
      <c r="H1027" s="4">
        <v>45464</v>
      </c>
      <c r="I1027">
        <v>2024</v>
      </c>
      <c r="J1027">
        <v>6</v>
      </c>
      <c r="K1027" s="4" t="s">
        <v>886</v>
      </c>
      <c r="L1027" t="s">
        <v>89</v>
      </c>
      <c r="M1027" t="s">
        <v>698</v>
      </c>
      <c r="N1027" t="s">
        <v>89</v>
      </c>
      <c r="O1027" t="s">
        <v>9</v>
      </c>
      <c r="P1027" t="s">
        <v>135</v>
      </c>
    </row>
    <row r="1028" spans="1:16" hidden="1">
      <c r="A1028" t="s">
        <v>314</v>
      </c>
      <c r="B1028" s="1">
        <v>4590000539</v>
      </c>
      <c r="C1028" t="s">
        <v>155</v>
      </c>
      <c r="D1028" s="160">
        <v>47531</v>
      </c>
      <c r="E1028">
        <v>2657</v>
      </c>
      <c r="F1028" t="s">
        <v>1357</v>
      </c>
      <c r="G1028" s="4">
        <v>45464</v>
      </c>
      <c r="H1028" s="4">
        <v>45464</v>
      </c>
      <c r="I1028">
        <v>2024</v>
      </c>
      <c r="J1028">
        <v>6</v>
      </c>
      <c r="K1028" s="4" t="s">
        <v>886</v>
      </c>
      <c r="L1028" t="s">
        <v>89</v>
      </c>
      <c r="M1028" t="s">
        <v>698</v>
      </c>
      <c r="N1028" t="s">
        <v>89</v>
      </c>
      <c r="O1028" t="s">
        <v>11</v>
      </c>
      <c r="P1028" t="s">
        <v>156</v>
      </c>
    </row>
    <row r="1029" spans="1:16" hidden="1">
      <c r="A1029" t="s">
        <v>315</v>
      </c>
      <c r="B1029" s="1" t="s">
        <v>201</v>
      </c>
      <c r="C1029" t="s">
        <v>202</v>
      </c>
      <c r="D1029" s="160">
        <v>16420</v>
      </c>
      <c r="F1029" t="s">
        <v>1358</v>
      </c>
      <c r="G1029" s="4">
        <v>45464</v>
      </c>
      <c r="H1029" s="4">
        <v>45464</v>
      </c>
      <c r="I1029">
        <v>2024</v>
      </c>
      <c r="J1029">
        <v>6</v>
      </c>
      <c r="K1029" s="4" t="s">
        <v>886</v>
      </c>
      <c r="L1029" t="s">
        <v>89</v>
      </c>
      <c r="M1029" t="s">
        <v>698</v>
      </c>
      <c r="N1029" t="s">
        <v>89</v>
      </c>
      <c r="O1029" t="s">
        <v>11</v>
      </c>
      <c r="P1029" t="s">
        <v>190</v>
      </c>
    </row>
    <row r="1030" spans="1:16" hidden="1">
      <c r="A1030" t="s">
        <v>314</v>
      </c>
      <c r="B1030" s="1">
        <v>4503441102</v>
      </c>
      <c r="C1030" t="s">
        <v>140</v>
      </c>
      <c r="D1030" s="160">
        <v>183655</v>
      </c>
      <c r="E1030">
        <v>10266</v>
      </c>
      <c r="F1030" t="s">
        <v>1359</v>
      </c>
      <c r="G1030" s="4">
        <v>45464</v>
      </c>
      <c r="H1030" s="4">
        <v>45464</v>
      </c>
      <c r="I1030">
        <v>2024</v>
      </c>
      <c r="J1030">
        <v>6</v>
      </c>
      <c r="K1030" s="4" t="s">
        <v>886</v>
      </c>
      <c r="L1030" t="s">
        <v>89</v>
      </c>
      <c r="M1030" t="s">
        <v>698</v>
      </c>
      <c r="N1030" t="s">
        <v>89</v>
      </c>
      <c r="O1030" t="s">
        <v>9</v>
      </c>
      <c r="P1030" t="s">
        <v>141</v>
      </c>
    </row>
    <row r="1031" spans="1:16" hidden="1">
      <c r="A1031" t="s">
        <v>1360</v>
      </c>
      <c r="B1031" s="1">
        <v>4590018032</v>
      </c>
      <c r="C1031" t="s">
        <v>390</v>
      </c>
      <c r="D1031" s="160">
        <v>333714.28999999998</v>
      </c>
      <c r="F1031" t="s">
        <v>1361</v>
      </c>
      <c r="G1031" s="4">
        <v>45463</v>
      </c>
      <c r="H1031" s="4" t="s">
        <v>1362</v>
      </c>
      <c r="I1031">
        <v>2024</v>
      </c>
      <c r="J1031">
        <v>6</v>
      </c>
      <c r="K1031" s="4" t="s">
        <v>886</v>
      </c>
      <c r="L1031" t="s">
        <v>89</v>
      </c>
      <c r="M1031" t="s">
        <v>492</v>
      </c>
      <c r="N1031" t="s">
        <v>89</v>
      </c>
      <c r="O1031" t="s">
        <v>13</v>
      </c>
      <c r="P1031" t="s">
        <v>222</v>
      </c>
    </row>
    <row r="1032" spans="1:16" hidden="1">
      <c r="A1032" t="s">
        <v>1363</v>
      </c>
      <c r="B1032" s="1">
        <v>4590015934</v>
      </c>
      <c r="C1032" t="s">
        <v>1364</v>
      </c>
      <c r="D1032" s="160">
        <v>75924.83</v>
      </c>
      <c r="F1032" t="s">
        <v>1365</v>
      </c>
      <c r="G1032" s="4">
        <v>45463</v>
      </c>
      <c r="H1032" s="4" t="s">
        <v>1362</v>
      </c>
      <c r="I1032">
        <v>2024</v>
      </c>
      <c r="J1032">
        <v>6</v>
      </c>
      <c r="K1032" s="4" t="s">
        <v>886</v>
      </c>
      <c r="L1032" t="s">
        <v>89</v>
      </c>
      <c r="M1032" t="s">
        <v>492</v>
      </c>
      <c r="N1032" t="s">
        <v>89</v>
      </c>
      <c r="O1032" t="s">
        <v>13</v>
      </c>
      <c r="P1032" t="s">
        <v>222</v>
      </c>
    </row>
    <row r="1033" spans="1:16" hidden="1">
      <c r="A1033" t="s">
        <v>1366</v>
      </c>
      <c r="B1033" s="1">
        <v>4590014102</v>
      </c>
      <c r="C1033" t="s">
        <v>1307</v>
      </c>
      <c r="D1033" s="160">
        <v>256257.06</v>
      </c>
      <c r="F1033" t="s">
        <v>1367</v>
      </c>
      <c r="G1033" s="4">
        <v>45463</v>
      </c>
      <c r="H1033" s="4" t="s">
        <v>1362</v>
      </c>
      <c r="I1033">
        <v>2024</v>
      </c>
      <c r="J1033">
        <v>6</v>
      </c>
      <c r="K1033" s="4" t="s">
        <v>886</v>
      </c>
      <c r="L1033" t="s">
        <v>89</v>
      </c>
      <c r="M1033" t="s">
        <v>492</v>
      </c>
      <c r="N1033" t="s">
        <v>89</v>
      </c>
      <c r="O1033" t="s">
        <v>13</v>
      </c>
      <c r="P1033" t="s">
        <v>222</v>
      </c>
    </row>
    <row r="1034" spans="1:16" hidden="1">
      <c r="A1034" t="s">
        <v>569</v>
      </c>
      <c r="B1034" s="1">
        <v>4590015297</v>
      </c>
      <c r="C1034" t="s">
        <v>772</v>
      </c>
      <c r="D1034" s="160">
        <v>10702.04</v>
      </c>
      <c r="F1034" t="s">
        <v>1368</v>
      </c>
      <c r="G1034" s="4">
        <v>45463</v>
      </c>
      <c r="H1034" s="4" t="s">
        <v>1362</v>
      </c>
      <c r="I1034">
        <v>2024</v>
      </c>
      <c r="J1034">
        <v>6</v>
      </c>
      <c r="K1034" s="4" t="s">
        <v>886</v>
      </c>
      <c r="L1034" t="s">
        <v>89</v>
      </c>
      <c r="M1034" t="s">
        <v>698</v>
      </c>
      <c r="N1034" t="s">
        <v>89</v>
      </c>
      <c r="O1034" t="s">
        <v>13</v>
      </c>
      <c r="P1034" t="s">
        <v>774</v>
      </c>
    </row>
    <row r="1035" spans="1:16" hidden="1">
      <c r="A1035" t="s">
        <v>314</v>
      </c>
      <c r="B1035" s="1">
        <v>4590000540</v>
      </c>
      <c r="C1035" t="s">
        <v>157</v>
      </c>
      <c r="D1035" s="160">
        <v>489464</v>
      </c>
      <c r="E1035">
        <v>27361</v>
      </c>
      <c r="F1035" t="s">
        <v>1369</v>
      </c>
      <c r="G1035" s="4">
        <v>45464</v>
      </c>
      <c r="H1035" s="4">
        <v>45464</v>
      </c>
      <c r="I1035">
        <v>2024</v>
      </c>
      <c r="J1035">
        <v>6</v>
      </c>
      <c r="K1035" s="4" t="s">
        <v>886</v>
      </c>
      <c r="L1035" t="s">
        <v>89</v>
      </c>
      <c r="M1035" t="s">
        <v>698</v>
      </c>
      <c r="N1035" t="s">
        <v>89</v>
      </c>
      <c r="O1035" t="s">
        <v>9</v>
      </c>
      <c r="P1035" t="s">
        <v>156</v>
      </c>
    </row>
    <row r="1036" spans="1:16" hidden="1">
      <c r="A1036" t="s">
        <v>1366</v>
      </c>
      <c r="B1036" s="1">
        <v>4590016141</v>
      </c>
      <c r="C1036" t="s">
        <v>1370</v>
      </c>
      <c r="D1036" s="160">
        <v>152507</v>
      </c>
      <c r="F1036" t="s">
        <v>1371</v>
      </c>
      <c r="G1036" s="4">
        <v>45464</v>
      </c>
      <c r="H1036" s="4">
        <v>45464</v>
      </c>
      <c r="I1036">
        <v>2024</v>
      </c>
      <c r="J1036">
        <v>6</v>
      </c>
      <c r="K1036" s="4" t="s">
        <v>886</v>
      </c>
      <c r="L1036" t="s">
        <v>89</v>
      </c>
      <c r="M1036" t="s">
        <v>698</v>
      </c>
      <c r="N1036" t="s">
        <v>89</v>
      </c>
      <c r="O1036" t="s">
        <v>13</v>
      </c>
      <c r="P1036" t="s">
        <v>946</v>
      </c>
    </row>
    <row r="1037" spans="1:16" hidden="1">
      <c r="A1037" t="s">
        <v>1366</v>
      </c>
      <c r="B1037" s="1">
        <v>4590000428</v>
      </c>
      <c r="C1037" t="s">
        <v>318</v>
      </c>
      <c r="D1037" s="160">
        <v>82197.899999999994</v>
      </c>
      <c r="F1037" t="s">
        <v>1372</v>
      </c>
      <c r="G1037" s="4">
        <v>45464</v>
      </c>
      <c r="H1037" s="4">
        <v>45464</v>
      </c>
      <c r="I1037">
        <v>2024</v>
      </c>
      <c r="J1037">
        <v>6</v>
      </c>
      <c r="K1037" s="4" t="s">
        <v>886</v>
      </c>
      <c r="L1037" t="s">
        <v>89</v>
      </c>
      <c r="M1037" t="s">
        <v>698</v>
      </c>
      <c r="N1037" t="s">
        <v>89</v>
      </c>
      <c r="O1037" t="s">
        <v>13</v>
      </c>
      <c r="P1037" t="s">
        <v>222</v>
      </c>
    </row>
    <row r="1038" spans="1:16" hidden="1">
      <c r="A1038" t="s">
        <v>843</v>
      </c>
      <c r="B1038" s="1">
        <v>4590014879</v>
      </c>
      <c r="C1038" t="s">
        <v>1373</v>
      </c>
      <c r="D1038" s="160">
        <v>23345</v>
      </c>
      <c r="F1038" t="s">
        <v>1374</v>
      </c>
      <c r="G1038" s="4">
        <v>45350</v>
      </c>
      <c r="H1038" s="4">
        <v>45350</v>
      </c>
      <c r="I1038">
        <v>2024</v>
      </c>
      <c r="J1038">
        <v>2</v>
      </c>
      <c r="K1038" s="4" t="s">
        <v>682</v>
      </c>
      <c r="L1038" t="s">
        <v>89</v>
      </c>
      <c r="M1038" t="s">
        <v>492</v>
      </c>
      <c r="N1038" t="s">
        <v>89</v>
      </c>
      <c r="O1038" t="s">
        <v>8</v>
      </c>
      <c r="P1038" t="s">
        <v>268</v>
      </c>
    </row>
    <row r="1039" spans="1:16" hidden="1">
      <c r="A1039" t="s">
        <v>312</v>
      </c>
      <c r="B1039" s="1" t="s">
        <v>371</v>
      </c>
      <c r="C1039" t="s">
        <v>372</v>
      </c>
      <c r="D1039" s="160">
        <v>42067.09</v>
      </c>
      <c r="F1039" t="s">
        <v>1375</v>
      </c>
      <c r="G1039" s="4">
        <v>45471</v>
      </c>
      <c r="H1039" s="4">
        <v>45471</v>
      </c>
      <c r="I1039">
        <v>2024</v>
      </c>
      <c r="J1039">
        <v>6</v>
      </c>
      <c r="K1039" s="4" t="s">
        <v>886</v>
      </c>
      <c r="L1039" t="s">
        <v>89</v>
      </c>
      <c r="M1039" t="s">
        <v>698</v>
      </c>
      <c r="N1039" t="s">
        <v>89</v>
      </c>
      <c r="O1039" t="s">
        <v>11</v>
      </c>
      <c r="P1039" t="s">
        <v>120</v>
      </c>
    </row>
    <row r="1040" spans="1:16" hidden="1">
      <c r="A1040" t="s">
        <v>314</v>
      </c>
      <c r="B1040" s="1">
        <v>4590002290</v>
      </c>
      <c r="C1040" t="s">
        <v>583</v>
      </c>
      <c r="D1040" s="160">
        <v>34986.85</v>
      </c>
      <c r="E1040">
        <v>1955.76</v>
      </c>
      <c r="F1040" t="s">
        <v>1376</v>
      </c>
      <c r="G1040" s="4">
        <v>45467</v>
      </c>
      <c r="H1040" s="4">
        <v>45467</v>
      </c>
      <c r="I1040">
        <v>2024</v>
      </c>
      <c r="J1040">
        <v>6</v>
      </c>
      <c r="K1040" s="4" t="s">
        <v>886</v>
      </c>
      <c r="L1040" t="s">
        <v>89</v>
      </c>
      <c r="M1040" t="s">
        <v>492</v>
      </c>
      <c r="N1040" t="s">
        <v>89</v>
      </c>
      <c r="O1040" t="s">
        <v>11</v>
      </c>
      <c r="P1040" t="s">
        <v>584</v>
      </c>
    </row>
    <row r="1041" spans="1:16" hidden="1">
      <c r="A1041" t="s">
        <v>336</v>
      </c>
      <c r="B1041" s="1">
        <v>4503428513</v>
      </c>
      <c r="C1041" t="s">
        <v>117</v>
      </c>
      <c r="D1041" s="160">
        <v>3216752</v>
      </c>
      <c r="F1041" t="s">
        <v>1377</v>
      </c>
      <c r="G1041" s="4">
        <v>45464</v>
      </c>
      <c r="H1041" s="4">
        <v>45464</v>
      </c>
      <c r="I1041">
        <v>2024</v>
      </c>
      <c r="J1041">
        <v>6</v>
      </c>
      <c r="K1041" s="4" t="s">
        <v>886</v>
      </c>
      <c r="L1041" t="s">
        <v>89</v>
      </c>
      <c r="M1041" t="s">
        <v>698</v>
      </c>
      <c r="N1041" t="s">
        <v>89</v>
      </c>
      <c r="O1041" t="s">
        <v>9</v>
      </c>
      <c r="P1041" t="s">
        <v>118</v>
      </c>
    </row>
    <row r="1042" spans="1:16" hidden="1">
      <c r="A1042" t="s">
        <v>1378</v>
      </c>
      <c r="B1042" s="1">
        <v>4590018678</v>
      </c>
      <c r="C1042" t="s">
        <v>1379</v>
      </c>
      <c r="D1042" s="160">
        <v>2418381.8199999998</v>
      </c>
      <c r="F1042" t="s">
        <v>1380</v>
      </c>
      <c r="G1042" s="4">
        <v>45468</v>
      </c>
      <c r="H1042" s="4">
        <v>45468</v>
      </c>
      <c r="I1042">
        <v>2024</v>
      </c>
      <c r="J1042">
        <v>6</v>
      </c>
      <c r="K1042" s="4" t="s">
        <v>886</v>
      </c>
      <c r="L1042" t="s">
        <v>89</v>
      </c>
      <c r="M1042" t="s">
        <v>1381</v>
      </c>
      <c r="N1042" t="s">
        <v>89</v>
      </c>
      <c r="O1042" t="s">
        <v>8</v>
      </c>
      <c r="P1042" t="s">
        <v>252</v>
      </c>
    </row>
    <row r="1043" spans="1:16" hidden="1">
      <c r="A1043" t="s">
        <v>1366</v>
      </c>
      <c r="B1043" s="1">
        <v>4590014289</v>
      </c>
      <c r="C1043" t="s">
        <v>675</v>
      </c>
      <c r="D1043" s="160">
        <v>1555159.13</v>
      </c>
      <c r="F1043" t="s">
        <v>1382</v>
      </c>
      <c r="G1043" s="4">
        <v>45464</v>
      </c>
      <c r="H1043" s="4">
        <v>45464</v>
      </c>
      <c r="I1043">
        <v>2024</v>
      </c>
      <c r="J1043">
        <v>6</v>
      </c>
      <c r="K1043" s="4" t="s">
        <v>886</v>
      </c>
      <c r="L1043" t="s">
        <v>95</v>
      </c>
      <c r="N1043" t="s">
        <v>1383</v>
      </c>
      <c r="O1043" t="s">
        <v>13</v>
      </c>
      <c r="P1043" t="s">
        <v>537</v>
      </c>
    </row>
    <row r="1044" spans="1:16" hidden="1">
      <c r="A1044" t="s">
        <v>1384</v>
      </c>
      <c r="B1044" s="1">
        <v>4590003432</v>
      </c>
      <c r="C1044" t="s">
        <v>1385</v>
      </c>
      <c r="D1044" s="160">
        <v>18486</v>
      </c>
      <c r="F1044" t="s">
        <v>1386</v>
      </c>
      <c r="G1044" s="4">
        <v>45224</v>
      </c>
      <c r="H1044" s="4">
        <v>45408</v>
      </c>
      <c r="I1044">
        <v>2023</v>
      </c>
      <c r="J1044">
        <v>10</v>
      </c>
      <c r="K1044" s="4" t="s">
        <v>600</v>
      </c>
      <c r="L1044" t="s">
        <v>625</v>
      </c>
      <c r="M1044" t="s">
        <v>1387</v>
      </c>
      <c r="N1044" t="s">
        <v>627</v>
      </c>
      <c r="O1044" t="s">
        <v>12</v>
      </c>
      <c r="P1044" t="s">
        <v>448</v>
      </c>
    </row>
    <row r="1045" spans="1:16" hidden="1">
      <c r="A1045" t="s">
        <v>312</v>
      </c>
      <c r="B1045" s="1">
        <v>4590005240</v>
      </c>
      <c r="C1045" t="s">
        <v>197</v>
      </c>
      <c r="D1045" s="160">
        <v>17342.63</v>
      </c>
      <c r="F1045" t="s">
        <v>1388</v>
      </c>
      <c r="G1045" s="4">
        <v>45467</v>
      </c>
      <c r="H1045" s="4">
        <v>45467</v>
      </c>
      <c r="I1045">
        <v>2024</v>
      </c>
      <c r="J1045">
        <v>6</v>
      </c>
      <c r="K1045" s="4" t="s">
        <v>886</v>
      </c>
      <c r="L1045" t="s">
        <v>89</v>
      </c>
      <c r="M1045" t="s">
        <v>492</v>
      </c>
      <c r="N1045" t="s">
        <v>89</v>
      </c>
      <c r="O1045" t="s">
        <v>9</v>
      </c>
      <c r="P1045" t="s">
        <v>199</v>
      </c>
    </row>
    <row r="1046" spans="1:16" hidden="1">
      <c r="A1046" t="s">
        <v>1384</v>
      </c>
      <c r="B1046" s="1">
        <v>4590002960</v>
      </c>
      <c r="C1046" t="s">
        <v>1389</v>
      </c>
      <c r="D1046" s="160">
        <v>191773.16</v>
      </c>
      <c r="E1046">
        <v>10720.12</v>
      </c>
      <c r="F1046" t="s">
        <v>1390</v>
      </c>
      <c r="G1046" s="4">
        <v>45468</v>
      </c>
      <c r="H1046" s="4" t="s">
        <v>1391</v>
      </c>
      <c r="I1046">
        <v>2024</v>
      </c>
      <c r="J1046">
        <v>6</v>
      </c>
      <c r="K1046" s="4" t="s">
        <v>886</v>
      </c>
      <c r="L1046" t="s">
        <v>89</v>
      </c>
      <c r="M1046" t="s">
        <v>1392</v>
      </c>
      <c r="N1046" t="s">
        <v>89</v>
      </c>
      <c r="O1046" t="s">
        <v>11</v>
      </c>
      <c r="P1046" t="s">
        <v>584</v>
      </c>
    </row>
    <row r="1047" spans="1:16" hidden="1">
      <c r="A1047" t="s">
        <v>312</v>
      </c>
      <c r="B1047" s="1">
        <v>4590004028</v>
      </c>
      <c r="C1047" t="s">
        <v>223</v>
      </c>
      <c r="D1047" s="160">
        <v>21676.79</v>
      </c>
      <c r="F1047" t="s">
        <v>1393</v>
      </c>
      <c r="G1047" s="4">
        <v>45468</v>
      </c>
      <c r="H1047" s="4" t="s">
        <v>1391</v>
      </c>
      <c r="I1047">
        <v>2024</v>
      </c>
      <c r="J1047">
        <v>6</v>
      </c>
      <c r="K1047" s="4" t="s">
        <v>886</v>
      </c>
      <c r="L1047" t="s">
        <v>89</v>
      </c>
      <c r="M1047" t="s">
        <v>698</v>
      </c>
      <c r="N1047" t="s">
        <v>89</v>
      </c>
      <c r="O1047" t="s">
        <v>11</v>
      </c>
      <c r="P1047" t="s">
        <v>104</v>
      </c>
    </row>
    <row r="1048" spans="1:16" hidden="1">
      <c r="A1048" t="s">
        <v>312</v>
      </c>
      <c r="B1048" s="1" t="s">
        <v>436</v>
      </c>
      <c r="C1048" t="s">
        <v>437</v>
      </c>
      <c r="D1048" s="160">
        <v>20495.71</v>
      </c>
      <c r="F1048" t="s">
        <v>1394</v>
      </c>
      <c r="G1048" s="4">
        <v>45468</v>
      </c>
      <c r="H1048" s="4" t="s">
        <v>1391</v>
      </c>
      <c r="I1048">
        <v>2024</v>
      </c>
      <c r="J1048">
        <v>6</v>
      </c>
      <c r="K1048" s="4" t="s">
        <v>886</v>
      </c>
      <c r="L1048" t="s">
        <v>89</v>
      </c>
      <c r="M1048" t="s">
        <v>492</v>
      </c>
      <c r="N1048" t="s">
        <v>89</v>
      </c>
      <c r="O1048" t="s">
        <v>11</v>
      </c>
      <c r="P1048" t="s">
        <v>104</v>
      </c>
    </row>
    <row r="1049" spans="1:16" hidden="1">
      <c r="A1049" t="s">
        <v>723</v>
      </c>
      <c r="B1049" s="1">
        <v>4590007798</v>
      </c>
      <c r="C1049" t="s">
        <v>482</v>
      </c>
      <c r="D1049" s="160">
        <v>102451.2</v>
      </c>
      <c r="F1049" t="s">
        <v>1395</v>
      </c>
      <c r="G1049" s="4">
        <v>45468</v>
      </c>
      <c r="H1049" s="4">
        <v>45468</v>
      </c>
      <c r="I1049">
        <v>2024</v>
      </c>
      <c r="J1049">
        <v>6</v>
      </c>
      <c r="K1049" s="4" t="s">
        <v>886</v>
      </c>
      <c r="L1049" t="s">
        <v>95</v>
      </c>
      <c r="M1049" t="s">
        <v>1396</v>
      </c>
      <c r="N1049" t="s">
        <v>1397</v>
      </c>
      <c r="O1049" t="s">
        <v>8</v>
      </c>
      <c r="P1049" t="s">
        <v>300</v>
      </c>
    </row>
    <row r="1050" spans="1:16" hidden="1">
      <c r="A1050" t="s">
        <v>1384</v>
      </c>
      <c r="B1050" s="1">
        <v>4590002961</v>
      </c>
      <c r="C1050" t="s">
        <v>1398</v>
      </c>
      <c r="D1050" s="160">
        <v>123024.65</v>
      </c>
      <c r="E1050">
        <v>6877.08</v>
      </c>
      <c r="F1050" t="s">
        <v>1399</v>
      </c>
      <c r="G1050" s="4">
        <v>45468</v>
      </c>
      <c r="H1050" s="4" t="s">
        <v>1391</v>
      </c>
      <c r="I1050">
        <v>2024</v>
      </c>
      <c r="J1050">
        <v>6</v>
      </c>
      <c r="K1050" s="4" t="s">
        <v>886</v>
      </c>
      <c r="L1050" t="s">
        <v>89</v>
      </c>
      <c r="M1050" t="s">
        <v>1392</v>
      </c>
      <c r="N1050" t="s">
        <v>89</v>
      </c>
      <c r="O1050" t="s">
        <v>11</v>
      </c>
      <c r="P1050" t="s">
        <v>584</v>
      </c>
    </row>
    <row r="1051" spans="1:16" hidden="1">
      <c r="A1051" t="s">
        <v>312</v>
      </c>
      <c r="B1051" s="1">
        <v>4590013803</v>
      </c>
      <c r="C1051" t="s">
        <v>700</v>
      </c>
      <c r="D1051" s="160">
        <v>179646.97</v>
      </c>
      <c r="F1051" t="s">
        <v>1400</v>
      </c>
      <c r="G1051" s="4">
        <v>45468</v>
      </c>
      <c r="H1051" s="4" t="s">
        <v>1391</v>
      </c>
      <c r="I1051">
        <v>2024</v>
      </c>
      <c r="J1051">
        <v>6</v>
      </c>
      <c r="K1051" s="4" t="s">
        <v>886</v>
      </c>
      <c r="L1051" t="s">
        <v>89</v>
      </c>
      <c r="M1051" t="s">
        <v>698</v>
      </c>
      <c r="N1051" t="s">
        <v>89</v>
      </c>
      <c r="O1051" t="s">
        <v>9</v>
      </c>
      <c r="P1051" t="s">
        <v>120</v>
      </c>
    </row>
    <row r="1052" spans="1:16" hidden="1">
      <c r="A1052" t="s">
        <v>1401</v>
      </c>
      <c r="B1052" s="1" t="s">
        <v>1402</v>
      </c>
      <c r="C1052" t="s">
        <v>1403</v>
      </c>
      <c r="D1052" s="160">
        <v>715500</v>
      </c>
      <c r="F1052" t="s">
        <v>1404</v>
      </c>
      <c r="G1052" s="4">
        <v>45469</v>
      </c>
      <c r="H1052" s="4">
        <v>45469</v>
      </c>
      <c r="I1052">
        <v>2024</v>
      </c>
      <c r="J1052">
        <v>6</v>
      </c>
      <c r="K1052" s="4" t="s">
        <v>886</v>
      </c>
      <c r="L1052" t="s">
        <v>89</v>
      </c>
      <c r="N1052" t="s">
        <v>89</v>
      </c>
      <c r="O1052" t="s">
        <v>9</v>
      </c>
      <c r="P1052" t="s">
        <v>1405</v>
      </c>
    </row>
    <row r="1053" spans="1:16" hidden="1">
      <c r="A1053" t="s">
        <v>161</v>
      </c>
      <c r="B1053" s="1" t="s">
        <v>162</v>
      </c>
      <c r="C1053" t="s">
        <v>163</v>
      </c>
      <c r="D1053" s="160">
        <v>4050.54</v>
      </c>
      <c r="F1053" t="s">
        <v>1406</v>
      </c>
      <c r="G1053" s="4">
        <v>45469</v>
      </c>
      <c r="H1053" s="4">
        <v>45469</v>
      </c>
      <c r="I1053">
        <v>2024</v>
      </c>
      <c r="J1053">
        <v>6</v>
      </c>
      <c r="K1053" s="4" t="s">
        <v>886</v>
      </c>
      <c r="L1053" t="s">
        <v>89</v>
      </c>
      <c r="N1053" t="s">
        <v>89</v>
      </c>
      <c r="O1053" t="s">
        <v>18</v>
      </c>
      <c r="P1053" t="s">
        <v>164</v>
      </c>
    </row>
    <row r="1054" spans="1:16" hidden="1">
      <c r="A1054" t="s">
        <v>312</v>
      </c>
      <c r="B1054" s="1">
        <v>4590014187</v>
      </c>
      <c r="C1054" t="s">
        <v>1175</v>
      </c>
      <c r="D1054" s="160">
        <v>3803.62</v>
      </c>
      <c r="F1054" t="s">
        <v>1407</v>
      </c>
      <c r="G1054" s="4">
        <v>45471</v>
      </c>
      <c r="H1054" s="4">
        <v>45471</v>
      </c>
      <c r="I1054">
        <v>2024</v>
      </c>
      <c r="J1054">
        <v>6</v>
      </c>
      <c r="K1054" s="4" t="s">
        <v>886</v>
      </c>
      <c r="L1054" t="s">
        <v>89</v>
      </c>
      <c r="M1054" t="s">
        <v>698</v>
      </c>
      <c r="N1054" t="s">
        <v>89</v>
      </c>
      <c r="O1054" t="s">
        <v>9</v>
      </c>
      <c r="P1054" t="s">
        <v>120</v>
      </c>
    </row>
    <row r="1055" spans="1:16" hidden="1">
      <c r="A1055" t="s">
        <v>312</v>
      </c>
      <c r="B1055" s="1">
        <v>4503290109</v>
      </c>
      <c r="C1055" t="s">
        <v>103</v>
      </c>
      <c r="D1055" s="160">
        <v>3932821</v>
      </c>
      <c r="F1055" t="s">
        <v>1408</v>
      </c>
      <c r="G1055" s="4">
        <v>45469</v>
      </c>
      <c r="H1055" s="4">
        <v>45469</v>
      </c>
      <c r="I1055">
        <v>2024</v>
      </c>
      <c r="J1055">
        <v>6</v>
      </c>
      <c r="K1055" s="4" t="s">
        <v>886</v>
      </c>
      <c r="L1055" t="s">
        <v>89</v>
      </c>
      <c r="M1055" t="s">
        <v>698</v>
      </c>
      <c r="N1055" t="s">
        <v>89</v>
      </c>
      <c r="O1055" t="s">
        <v>9</v>
      </c>
      <c r="P1055" t="s">
        <v>104</v>
      </c>
    </row>
    <row r="1056" spans="1:16" hidden="1">
      <c r="A1056" t="s">
        <v>312</v>
      </c>
      <c r="B1056" s="1">
        <v>4590006189</v>
      </c>
      <c r="C1056" t="s">
        <v>260</v>
      </c>
      <c r="D1056" s="160">
        <v>132983</v>
      </c>
      <c r="F1056" t="s">
        <v>1409</v>
      </c>
      <c r="G1056" s="4">
        <v>45469</v>
      </c>
      <c r="H1056" s="4">
        <v>45469</v>
      </c>
      <c r="I1056">
        <v>2024</v>
      </c>
      <c r="J1056">
        <v>6</v>
      </c>
      <c r="K1056" s="4" t="s">
        <v>886</v>
      </c>
      <c r="L1056" t="s">
        <v>89</v>
      </c>
      <c r="M1056" t="s">
        <v>492</v>
      </c>
      <c r="N1056" t="s">
        <v>89</v>
      </c>
      <c r="O1056" t="s">
        <v>9</v>
      </c>
      <c r="P1056" t="s">
        <v>262</v>
      </c>
    </row>
    <row r="1057" spans="1:16" hidden="1">
      <c r="A1057" t="s">
        <v>321</v>
      </c>
      <c r="B1057" s="1">
        <v>4590008082</v>
      </c>
      <c r="C1057" t="s">
        <v>324</v>
      </c>
      <c r="D1057" s="160">
        <v>388177</v>
      </c>
      <c r="F1057" t="s">
        <v>1410</v>
      </c>
      <c r="G1057" s="4">
        <v>45469</v>
      </c>
      <c r="H1057" s="4">
        <v>45469</v>
      </c>
      <c r="I1057">
        <v>2024</v>
      </c>
      <c r="J1057">
        <v>6</v>
      </c>
      <c r="K1057" s="4" t="s">
        <v>886</v>
      </c>
      <c r="L1057" t="s">
        <v>89</v>
      </c>
      <c r="M1057" t="s">
        <v>963</v>
      </c>
      <c r="N1057" t="s">
        <v>89</v>
      </c>
      <c r="O1057" t="s">
        <v>11</v>
      </c>
      <c r="P1057" t="s">
        <v>122</v>
      </c>
    </row>
    <row r="1058" spans="1:16" hidden="1">
      <c r="A1058" t="s">
        <v>46</v>
      </c>
      <c r="B1058" s="1" t="s">
        <v>709</v>
      </c>
      <c r="C1058" t="s">
        <v>1411</v>
      </c>
      <c r="D1058" s="160">
        <v>3087.5</v>
      </c>
      <c r="F1058" t="s">
        <v>1412</v>
      </c>
      <c r="G1058" s="4"/>
      <c r="H1058" s="4"/>
      <c r="I1058">
        <v>2023</v>
      </c>
      <c r="J1058">
        <v>11</v>
      </c>
      <c r="K1058" s="4" t="s">
        <v>457</v>
      </c>
      <c r="L1058" t="s">
        <v>89</v>
      </c>
      <c r="N1058" t="s">
        <v>89</v>
      </c>
      <c r="O1058" t="s">
        <v>18</v>
      </c>
      <c r="P1058">
        <v>0</v>
      </c>
    </row>
    <row r="1059" spans="1:16" hidden="1">
      <c r="A1059" t="s">
        <v>312</v>
      </c>
      <c r="B1059" s="1">
        <v>4503432118</v>
      </c>
      <c r="C1059" t="s">
        <v>119</v>
      </c>
      <c r="D1059" s="160">
        <v>4315186</v>
      </c>
      <c r="F1059" t="s">
        <v>1413</v>
      </c>
      <c r="G1059" s="4">
        <v>45469</v>
      </c>
      <c r="H1059" s="4">
        <v>45469</v>
      </c>
      <c r="I1059">
        <v>2024</v>
      </c>
      <c r="J1059">
        <v>6</v>
      </c>
      <c r="K1059" s="4" t="s">
        <v>886</v>
      </c>
      <c r="L1059" t="s">
        <v>89</v>
      </c>
      <c r="M1059" t="s">
        <v>698</v>
      </c>
      <c r="N1059" t="s">
        <v>89</v>
      </c>
      <c r="O1059" t="s">
        <v>9</v>
      </c>
      <c r="P1059" t="s">
        <v>120</v>
      </c>
    </row>
    <row r="1060" spans="1:16" hidden="1">
      <c r="A1060" t="s">
        <v>789</v>
      </c>
      <c r="B1060" s="1">
        <v>4590019083</v>
      </c>
      <c r="C1060" t="s">
        <v>1414</v>
      </c>
      <c r="D1060" s="160">
        <v>424296</v>
      </c>
      <c r="F1060" t="s">
        <v>1415</v>
      </c>
      <c r="G1060" s="4">
        <v>45470</v>
      </c>
      <c r="H1060" s="4">
        <v>45470</v>
      </c>
      <c r="I1060">
        <v>2024</v>
      </c>
      <c r="J1060">
        <v>6</v>
      </c>
      <c r="K1060" s="4" t="s">
        <v>886</v>
      </c>
      <c r="L1060" t="s">
        <v>89</v>
      </c>
      <c r="M1060" t="s">
        <v>698</v>
      </c>
      <c r="N1060" t="s">
        <v>89</v>
      </c>
      <c r="O1060" t="s">
        <v>9</v>
      </c>
      <c r="P1060" t="s">
        <v>1416</v>
      </c>
    </row>
    <row r="1061" spans="1:16" hidden="1">
      <c r="A1061" t="s">
        <v>86</v>
      </c>
      <c r="B1061" s="1">
        <v>4590017212</v>
      </c>
      <c r="C1061" t="s">
        <v>1242</v>
      </c>
      <c r="D1061" s="160">
        <v>20000</v>
      </c>
      <c r="F1061" t="s">
        <v>1417</v>
      </c>
      <c r="G1061" s="4">
        <v>45471</v>
      </c>
      <c r="H1061" s="4">
        <v>45471</v>
      </c>
      <c r="I1061">
        <v>2024</v>
      </c>
      <c r="J1061">
        <v>6</v>
      </c>
      <c r="K1061" s="4" t="s">
        <v>886</v>
      </c>
      <c r="L1061" t="s">
        <v>95</v>
      </c>
      <c r="N1061" t="s">
        <v>1418</v>
      </c>
      <c r="O1061" t="s">
        <v>11</v>
      </c>
      <c r="P1061" t="s">
        <v>1245</v>
      </c>
    </row>
    <row r="1062" spans="1:16" hidden="1">
      <c r="A1062" t="s">
        <v>1419</v>
      </c>
      <c r="B1062" s="1">
        <v>4590003998</v>
      </c>
      <c r="C1062" t="s">
        <v>720</v>
      </c>
      <c r="D1062" s="160">
        <v>178644.1</v>
      </c>
      <c r="F1062" t="s">
        <v>1420</v>
      </c>
      <c r="G1062" s="4">
        <v>45379</v>
      </c>
      <c r="H1062" s="4">
        <v>45379</v>
      </c>
      <c r="I1062">
        <v>2024</v>
      </c>
      <c r="J1062">
        <v>3</v>
      </c>
      <c r="K1062" s="4" t="s">
        <v>697</v>
      </c>
      <c r="L1062" t="s">
        <v>89</v>
      </c>
      <c r="M1062" t="s">
        <v>492</v>
      </c>
      <c r="N1062" t="s">
        <v>89</v>
      </c>
      <c r="O1062" t="s">
        <v>12</v>
      </c>
      <c r="P1062" t="s">
        <v>722</v>
      </c>
    </row>
    <row r="1063" spans="1:16" hidden="1">
      <c r="A1063" t="s">
        <v>1366</v>
      </c>
      <c r="B1063" s="1">
        <v>4590019500</v>
      </c>
      <c r="C1063" t="s">
        <v>1421</v>
      </c>
      <c r="D1063" s="160">
        <v>24390056.25</v>
      </c>
      <c r="F1063" t="s">
        <v>1422</v>
      </c>
      <c r="G1063" s="4">
        <v>45476</v>
      </c>
      <c r="H1063" s="4" t="s">
        <v>1423</v>
      </c>
      <c r="I1063">
        <v>2024</v>
      </c>
      <c r="J1063">
        <v>6</v>
      </c>
      <c r="K1063" s="4" t="s">
        <v>886</v>
      </c>
      <c r="L1063" t="s">
        <v>89</v>
      </c>
      <c r="M1063" t="s">
        <v>698</v>
      </c>
      <c r="N1063" t="s">
        <v>89</v>
      </c>
      <c r="O1063" t="s">
        <v>13</v>
      </c>
      <c r="P1063" t="s">
        <v>1424</v>
      </c>
    </row>
    <row r="1064" spans="1:16" hidden="1">
      <c r="A1064" t="s">
        <v>988</v>
      </c>
      <c r="B1064" s="1" t="s">
        <v>874</v>
      </c>
      <c r="C1064" t="s">
        <v>407</v>
      </c>
      <c r="D1064" s="160">
        <v>164420.1</v>
      </c>
      <c r="E1064">
        <v>9191.08</v>
      </c>
      <c r="F1064" t="s">
        <v>1425</v>
      </c>
      <c r="G1064" s="4">
        <v>45476</v>
      </c>
      <c r="H1064" s="4">
        <v>45476</v>
      </c>
      <c r="I1064">
        <v>2024</v>
      </c>
      <c r="J1064">
        <v>7</v>
      </c>
      <c r="K1064" s="4" t="s">
        <v>491</v>
      </c>
      <c r="L1064" t="s">
        <v>89</v>
      </c>
      <c r="N1064" t="s">
        <v>89</v>
      </c>
      <c r="O1064" t="s">
        <v>8</v>
      </c>
      <c r="P1064" t="s">
        <v>408</v>
      </c>
    </row>
    <row r="1065" spans="1:16" hidden="1">
      <c r="A1065" t="s">
        <v>405</v>
      </c>
      <c r="B1065" s="1" t="s">
        <v>850</v>
      </c>
      <c r="C1065" t="s">
        <v>851</v>
      </c>
      <c r="D1065" s="160">
        <v>238539.9</v>
      </c>
      <c r="E1065">
        <v>13334.38</v>
      </c>
      <c r="F1065" t="s">
        <v>1426</v>
      </c>
      <c r="G1065" s="4">
        <v>45476</v>
      </c>
      <c r="H1065" s="4">
        <v>45476</v>
      </c>
      <c r="I1065">
        <v>2024</v>
      </c>
      <c r="J1065">
        <v>7</v>
      </c>
      <c r="K1065" s="4" t="s">
        <v>491</v>
      </c>
      <c r="L1065" t="s">
        <v>89</v>
      </c>
      <c r="N1065" t="s">
        <v>89</v>
      </c>
      <c r="O1065" t="s">
        <v>8</v>
      </c>
      <c r="P1065" t="s">
        <v>408</v>
      </c>
    </row>
    <row r="1066" spans="1:16" hidden="1">
      <c r="A1066" t="s">
        <v>405</v>
      </c>
      <c r="B1066" s="1" t="s">
        <v>406</v>
      </c>
      <c r="C1066" t="s">
        <v>407</v>
      </c>
      <c r="D1066" s="160">
        <v>420102.05</v>
      </c>
      <c r="F1066" t="s">
        <v>1427</v>
      </c>
      <c r="G1066" s="4">
        <v>45476</v>
      </c>
      <c r="H1066" s="4">
        <v>45476</v>
      </c>
      <c r="I1066">
        <v>2024</v>
      </c>
      <c r="J1066">
        <v>7</v>
      </c>
      <c r="K1066" s="4" t="s">
        <v>491</v>
      </c>
      <c r="L1066" t="s">
        <v>89</v>
      </c>
      <c r="N1066" t="s">
        <v>89</v>
      </c>
      <c r="O1066" t="s">
        <v>8</v>
      </c>
      <c r="P1066" t="s">
        <v>408</v>
      </c>
    </row>
    <row r="1067" spans="1:16" hidden="1">
      <c r="A1067" t="s">
        <v>988</v>
      </c>
      <c r="B1067" s="1" t="s">
        <v>1428</v>
      </c>
      <c r="C1067" t="s">
        <v>1429</v>
      </c>
      <c r="D1067" s="160">
        <v>315817.53000000003</v>
      </c>
      <c r="E1067">
        <v>17654.2</v>
      </c>
      <c r="F1067" t="s">
        <v>1430</v>
      </c>
      <c r="G1067" s="4">
        <v>45485</v>
      </c>
      <c r="H1067" s="4">
        <v>45505</v>
      </c>
      <c r="I1067">
        <v>2024</v>
      </c>
      <c r="J1067">
        <v>7</v>
      </c>
      <c r="K1067" s="4" t="s">
        <v>491</v>
      </c>
      <c r="L1067" t="s">
        <v>89</v>
      </c>
      <c r="N1067" t="s">
        <v>89</v>
      </c>
      <c r="O1067" t="s">
        <v>8</v>
      </c>
      <c r="P1067" t="s">
        <v>408</v>
      </c>
    </row>
    <row r="1068" spans="1:16" hidden="1">
      <c r="A1068" t="s">
        <v>161</v>
      </c>
      <c r="B1068" s="1">
        <v>2958</v>
      </c>
      <c r="C1068" t="s">
        <v>1071</v>
      </c>
      <c r="D1068" s="160">
        <v>104478</v>
      </c>
      <c r="F1068" t="s">
        <v>1431</v>
      </c>
      <c r="G1068" s="4">
        <v>45491</v>
      </c>
      <c r="H1068" s="4">
        <v>45491</v>
      </c>
      <c r="I1068">
        <v>2024</v>
      </c>
      <c r="J1068">
        <v>7</v>
      </c>
      <c r="K1068" s="4" t="s">
        <v>491</v>
      </c>
      <c r="L1068" t="s">
        <v>89</v>
      </c>
      <c r="N1068" t="s">
        <v>89</v>
      </c>
      <c r="O1068" t="s">
        <v>18</v>
      </c>
      <c r="P1068" t="s">
        <v>550</v>
      </c>
    </row>
    <row r="1069" spans="1:16" hidden="1">
      <c r="A1069" t="s">
        <v>1432</v>
      </c>
      <c r="B1069" s="1" t="s">
        <v>127</v>
      </c>
      <c r="C1069" t="s">
        <v>128</v>
      </c>
      <c r="D1069" s="160">
        <v>1765962</v>
      </c>
      <c r="F1069" t="s">
        <v>1433</v>
      </c>
      <c r="G1069" s="4">
        <v>45492</v>
      </c>
      <c r="H1069" s="4">
        <v>45492</v>
      </c>
      <c r="I1069">
        <v>2024</v>
      </c>
      <c r="J1069">
        <v>7</v>
      </c>
      <c r="K1069" s="4" t="s">
        <v>491</v>
      </c>
      <c r="L1069" t="s">
        <v>89</v>
      </c>
      <c r="M1069" t="s">
        <v>299</v>
      </c>
      <c r="N1069" t="s">
        <v>89</v>
      </c>
      <c r="O1069" t="s">
        <v>9</v>
      </c>
      <c r="P1069" t="s">
        <v>129</v>
      </c>
    </row>
    <row r="1070" spans="1:16" hidden="1">
      <c r="A1070" t="s">
        <v>1432</v>
      </c>
      <c r="B1070" s="1" t="s">
        <v>130</v>
      </c>
      <c r="C1070" t="s">
        <v>131</v>
      </c>
      <c r="D1070" s="160">
        <v>1712720</v>
      </c>
      <c r="F1070" t="s">
        <v>1434</v>
      </c>
      <c r="G1070" s="4">
        <v>45492</v>
      </c>
      <c r="H1070" s="4">
        <v>45492</v>
      </c>
      <c r="I1070">
        <v>2024</v>
      </c>
      <c r="J1070">
        <v>7</v>
      </c>
      <c r="K1070" s="4" t="s">
        <v>491</v>
      </c>
      <c r="L1070" t="s">
        <v>89</v>
      </c>
      <c r="M1070" t="s">
        <v>299</v>
      </c>
      <c r="N1070" t="s">
        <v>89</v>
      </c>
      <c r="O1070" t="s">
        <v>9</v>
      </c>
      <c r="P1070" t="s">
        <v>129</v>
      </c>
    </row>
    <row r="1071" spans="1:16" hidden="1">
      <c r="A1071" t="s">
        <v>1435</v>
      </c>
      <c r="B1071" s="1">
        <v>4590003763</v>
      </c>
      <c r="C1071" t="s">
        <v>255</v>
      </c>
      <c r="D1071" s="160">
        <v>48506.13</v>
      </c>
      <c r="F1071" t="s">
        <v>1436</v>
      </c>
      <c r="G1071" s="4">
        <v>45492</v>
      </c>
      <c r="H1071" s="4">
        <v>45492</v>
      </c>
      <c r="I1071">
        <v>2024</v>
      </c>
      <c r="J1071">
        <v>7</v>
      </c>
      <c r="K1071" s="4" t="s">
        <v>491</v>
      </c>
      <c r="L1071" t="s">
        <v>89</v>
      </c>
      <c r="M1071" t="s">
        <v>683</v>
      </c>
      <c r="N1071" t="s">
        <v>89</v>
      </c>
      <c r="O1071" t="s">
        <v>8</v>
      </c>
      <c r="P1071" t="s">
        <v>258</v>
      </c>
    </row>
    <row r="1072" spans="1:16" hidden="1">
      <c r="A1072" t="s">
        <v>687</v>
      </c>
      <c r="B1072" s="1">
        <v>4590004118</v>
      </c>
      <c r="C1072" t="s">
        <v>92</v>
      </c>
      <c r="D1072" s="160">
        <v>27680.48</v>
      </c>
      <c r="F1072" t="s">
        <v>1437</v>
      </c>
      <c r="G1072" s="4">
        <v>45492</v>
      </c>
      <c r="H1072" s="4">
        <v>45492</v>
      </c>
      <c r="I1072">
        <v>2024</v>
      </c>
      <c r="J1072">
        <v>7</v>
      </c>
      <c r="K1072" s="4" t="s">
        <v>491</v>
      </c>
      <c r="L1072" t="s">
        <v>95</v>
      </c>
      <c r="M1072" t="s">
        <v>1438</v>
      </c>
      <c r="N1072" t="s">
        <v>1439</v>
      </c>
      <c r="O1072" t="s">
        <v>8</v>
      </c>
      <c r="P1072" t="s">
        <v>98</v>
      </c>
    </row>
    <row r="1073" spans="1:16" hidden="1">
      <c r="A1073" t="s">
        <v>687</v>
      </c>
      <c r="B1073" s="1">
        <v>4590005167</v>
      </c>
      <c r="C1073" t="s">
        <v>292</v>
      </c>
      <c r="D1073" s="160">
        <v>101450.88</v>
      </c>
      <c r="F1073" t="s">
        <v>1440</v>
      </c>
      <c r="G1073" s="4">
        <v>45492</v>
      </c>
      <c r="H1073" s="4">
        <v>45492</v>
      </c>
      <c r="I1073">
        <v>2024</v>
      </c>
      <c r="J1073">
        <v>7</v>
      </c>
      <c r="K1073" s="4" t="s">
        <v>491</v>
      </c>
      <c r="L1073" t="s">
        <v>89</v>
      </c>
      <c r="M1073" t="s">
        <v>299</v>
      </c>
      <c r="N1073" t="s">
        <v>89</v>
      </c>
      <c r="O1073" t="s">
        <v>8</v>
      </c>
      <c r="P1073" t="s">
        <v>294</v>
      </c>
    </row>
    <row r="1074" spans="1:16" hidden="1">
      <c r="A1074" t="s">
        <v>315</v>
      </c>
      <c r="B1074" s="1" t="s">
        <v>201</v>
      </c>
      <c r="C1074" t="s">
        <v>202</v>
      </c>
      <c r="D1074" s="160">
        <v>8668.75</v>
      </c>
      <c r="F1074" t="s">
        <v>1441</v>
      </c>
      <c r="G1074" s="4">
        <v>45492</v>
      </c>
      <c r="H1074" s="4">
        <v>45492</v>
      </c>
      <c r="I1074">
        <v>2024</v>
      </c>
      <c r="J1074">
        <v>7</v>
      </c>
      <c r="K1074" s="4" t="s">
        <v>491</v>
      </c>
      <c r="L1074" t="s">
        <v>89</v>
      </c>
      <c r="M1074" t="s">
        <v>299</v>
      </c>
      <c r="N1074" t="s">
        <v>89</v>
      </c>
      <c r="O1074" t="s">
        <v>11</v>
      </c>
      <c r="P1074" t="s">
        <v>190</v>
      </c>
    </row>
    <row r="1075" spans="1:16" hidden="1">
      <c r="A1075" t="s">
        <v>315</v>
      </c>
      <c r="B1075" s="1" t="s">
        <v>204</v>
      </c>
      <c r="C1075" t="s">
        <v>205</v>
      </c>
      <c r="D1075" s="160">
        <v>3844.93</v>
      </c>
      <c r="F1075" t="s">
        <v>1442</v>
      </c>
      <c r="G1075" s="4">
        <v>45492</v>
      </c>
      <c r="H1075" s="4">
        <v>45492</v>
      </c>
      <c r="I1075">
        <v>2024</v>
      </c>
      <c r="J1075">
        <v>7</v>
      </c>
      <c r="K1075" s="4" t="s">
        <v>491</v>
      </c>
      <c r="L1075" t="s">
        <v>89</v>
      </c>
      <c r="M1075" t="s">
        <v>299</v>
      </c>
      <c r="N1075" t="s">
        <v>89</v>
      </c>
      <c r="O1075" t="s">
        <v>11</v>
      </c>
      <c r="P1075" t="s">
        <v>190</v>
      </c>
    </row>
    <row r="1076" spans="1:16" hidden="1">
      <c r="A1076" t="s">
        <v>1443</v>
      </c>
      <c r="B1076" s="1">
        <v>4590006814</v>
      </c>
      <c r="C1076" t="s">
        <v>455</v>
      </c>
      <c r="D1076" s="160">
        <v>5290</v>
      </c>
      <c r="F1076" t="s">
        <v>1444</v>
      </c>
      <c r="G1076" s="4">
        <v>45492</v>
      </c>
      <c r="H1076" s="4">
        <v>45492</v>
      </c>
      <c r="I1076">
        <v>2024</v>
      </c>
      <c r="J1076">
        <v>7</v>
      </c>
      <c r="K1076" s="4" t="s">
        <v>491</v>
      </c>
      <c r="L1076" t="s">
        <v>89</v>
      </c>
      <c r="M1076" t="s">
        <v>299</v>
      </c>
      <c r="N1076" t="s">
        <v>89</v>
      </c>
      <c r="O1076" t="s">
        <v>8</v>
      </c>
      <c r="P1076" t="s">
        <v>300</v>
      </c>
    </row>
    <row r="1077" spans="1:16" hidden="1">
      <c r="A1077" t="s">
        <v>789</v>
      </c>
      <c r="B1077" s="1">
        <v>4590012855</v>
      </c>
      <c r="C1077" t="s">
        <v>790</v>
      </c>
      <c r="D1077" s="160">
        <v>118691</v>
      </c>
      <c r="F1077" t="s">
        <v>1445</v>
      </c>
      <c r="G1077" s="4">
        <v>45492</v>
      </c>
      <c r="H1077" s="4">
        <v>45492</v>
      </c>
      <c r="I1077">
        <v>2024</v>
      </c>
      <c r="J1077">
        <v>7</v>
      </c>
      <c r="K1077" s="4" t="s">
        <v>491</v>
      </c>
      <c r="L1077" t="s">
        <v>89</v>
      </c>
      <c r="M1077" t="s">
        <v>299</v>
      </c>
      <c r="N1077" t="s">
        <v>89</v>
      </c>
      <c r="O1077" t="s">
        <v>9</v>
      </c>
      <c r="P1077" t="s">
        <v>129</v>
      </c>
    </row>
    <row r="1078" spans="1:16" hidden="1">
      <c r="A1078" t="s">
        <v>336</v>
      </c>
      <c r="B1078" s="1">
        <v>4590009808</v>
      </c>
      <c r="C1078" t="s">
        <v>486</v>
      </c>
      <c r="D1078" s="160">
        <v>124455</v>
      </c>
      <c r="F1078" t="s">
        <v>1446</v>
      </c>
      <c r="G1078" s="4">
        <v>45492</v>
      </c>
      <c r="H1078" s="4">
        <v>45492</v>
      </c>
      <c r="I1078">
        <v>2024</v>
      </c>
      <c r="J1078">
        <v>7</v>
      </c>
      <c r="K1078" s="4" t="s">
        <v>491</v>
      </c>
      <c r="L1078" t="s">
        <v>89</v>
      </c>
      <c r="M1078" t="s">
        <v>299</v>
      </c>
      <c r="N1078" t="s">
        <v>89</v>
      </c>
      <c r="O1078" t="s">
        <v>9</v>
      </c>
      <c r="P1078" t="s">
        <v>129</v>
      </c>
    </row>
    <row r="1079" spans="1:16" hidden="1">
      <c r="A1079" t="s">
        <v>784</v>
      </c>
      <c r="B1079" s="1">
        <v>4590008170</v>
      </c>
      <c r="C1079" t="s">
        <v>655</v>
      </c>
      <c r="D1079" s="160">
        <v>58561.2</v>
      </c>
      <c r="F1079" t="s">
        <v>1447</v>
      </c>
      <c r="G1079" s="4">
        <v>45492</v>
      </c>
      <c r="H1079" s="4">
        <v>45492</v>
      </c>
      <c r="I1079">
        <v>2024</v>
      </c>
      <c r="J1079">
        <v>7</v>
      </c>
      <c r="K1079" s="4" t="s">
        <v>491</v>
      </c>
      <c r="L1079" t="s">
        <v>89</v>
      </c>
      <c r="M1079" t="s">
        <v>299</v>
      </c>
      <c r="N1079" t="s">
        <v>89</v>
      </c>
      <c r="O1079" t="s">
        <v>9</v>
      </c>
      <c r="P1079" t="s">
        <v>425</v>
      </c>
    </row>
    <row r="1080" spans="1:16" hidden="1">
      <c r="A1080" t="s">
        <v>1448</v>
      </c>
      <c r="B1080" s="1">
        <v>4590019924</v>
      </c>
      <c r="C1080" t="s">
        <v>1449</v>
      </c>
      <c r="D1080" s="160">
        <v>116624.66</v>
      </c>
      <c r="F1080" t="s">
        <v>1450</v>
      </c>
      <c r="G1080" s="4">
        <v>45492</v>
      </c>
      <c r="H1080" s="4">
        <v>45492</v>
      </c>
      <c r="I1080">
        <v>2024</v>
      </c>
      <c r="J1080">
        <v>7</v>
      </c>
      <c r="K1080" s="4" t="s">
        <v>491</v>
      </c>
      <c r="L1080" t="s">
        <v>89</v>
      </c>
      <c r="M1080" t="s">
        <v>299</v>
      </c>
      <c r="N1080" t="s">
        <v>89</v>
      </c>
      <c r="O1080" t="s">
        <v>9</v>
      </c>
      <c r="P1080" t="s">
        <v>1416</v>
      </c>
    </row>
    <row r="1081" spans="1:16" hidden="1">
      <c r="A1081" t="s">
        <v>312</v>
      </c>
      <c r="B1081" s="1">
        <v>4590019925</v>
      </c>
      <c r="C1081" t="s">
        <v>1451</v>
      </c>
      <c r="D1081" s="160">
        <v>439475.39</v>
      </c>
      <c r="F1081" t="s">
        <v>1452</v>
      </c>
      <c r="G1081" s="4">
        <v>45492</v>
      </c>
      <c r="H1081" s="4">
        <v>45492</v>
      </c>
      <c r="I1081">
        <v>2024</v>
      </c>
      <c r="J1081">
        <v>7</v>
      </c>
      <c r="K1081" s="4" t="s">
        <v>491</v>
      </c>
      <c r="L1081" t="s">
        <v>89</v>
      </c>
      <c r="M1081" t="s">
        <v>299</v>
      </c>
      <c r="N1081" t="s">
        <v>89</v>
      </c>
      <c r="O1081" t="s">
        <v>9</v>
      </c>
      <c r="P1081" t="s">
        <v>1416</v>
      </c>
    </row>
    <row r="1082" spans="1:16" hidden="1">
      <c r="A1082" t="s">
        <v>1453</v>
      </c>
      <c r="B1082" s="1">
        <v>4590013561</v>
      </c>
      <c r="C1082" t="s">
        <v>567</v>
      </c>
      <c r="D1082" s="160">
        <v>38678.400000000001</v>
      </c>
      <c r="F1082" t="s">
        <v>1454</v>
      </c>
      <c r="G1082" s="4">
        <v>45492</v>
      </c>
      <c r="H1082" s="4">
        <v>45492</v>
      </c>
      <c r="I1082">
        <v>2024</v>
      </c>
      <c r="J1082">
        <v>7</v>
      </c>
      <c r="K1082" s="4" t="s">
        <v>491</v>
      </c>
      <c r="L1082" t="s">
        <v>89</v>
      </c>
      <c r="M1082" t="s">
        <v>299</v>
      </c>
      <c r="N1082" t="s">
        <v>89</v>
      </c>
      <c r="O1082" t="s">
        <v>8</v>
      </c>
      <c r="P1082" t="s">
        <v>300</v>
      </c>
    </row>
    <row r="1083" spans="1:16" hidden="1">
      <c r="A1083" t="s">
        <v>312</v>
      </c>
      <c r="B1083" s="1">
        <v>4590019489</v>
      </c>
      <c r="C1083" t="s">
        <v>1455</v>
      </c>
      <c r="D1083" s="160">
        <v>157102.31</v>
      </c>
      <c r="F1083" t="s">
        <v>1456</v>
      </c>
      <c r="G1083" s="4">
        <v>45495</v>
      </c>
      <c r="H1083" s="4">
        <v>45495</v>
      </c>
      <c r="I1083">
        <v>2024</v>
      </c>
      <c r="J1083">
        <v>7</v>
      </c>
      <c r="K1083" s="4" t="s">
        <v>491</v>
      </c>
      <c r="L1083" t="s">
        <v>89</v>
      </c>
      <c r="M1083" t="s">
        <v>299</v>
      </c>
      <c r="N1083" t="s">
        <v>89</v>
      </c>
      <c r="O1083" t="s">
        <v>9</v>
      </c>
      <c r="P1083" t="s">
        <v>1416</v>
      </c>
    </row>
    <row r="1084" spans="1:16" hidden="1">
      <c r="A1084" t="s">
        <v>312</v>
      </c>
      <c r="B1084" s="1">
        <v>4590019928</v>
      </c>
      <c r="C1084" t="s">
        <v>1457</v>
      </c>
      <c r="D1084" s="160">
        <v>1676.13</v>
      </c>
      <c r="F1084" t="s">
        <v>1458</v>
      </c>
      <c r="G1084" s="4">
        <v>45495</v>
      </c>
      <c r="H1084" s="4">
        <v>45495</v>
      </c>
      <c r="I1084">
        <v>2024</v>
      </c>
      <c r="J1084">
        <v>7</v>
      </c>
      <c r="K1084" s="4" t="s">
        <v>491</v>
      </c>
      <c r="L1084" t="s">
        <v>89</v>
      </c>
      <c r="M1084" t="s">
        <v>299</v>
      </c>
      <c r="N1084" t="s">
        <v>89</v>
      </c>
      <c r="O1084" t="s">
        <v>9</v>
      </c>
      <c r="P1084" t="s">
        <v>1416</v>
      </c>
    </row>
    <row r="1085" spans="1:16" hidden="1">
      <c r="A1085" t="s">
        <v>312</v>
      </c>
      <c r="B1085" s="1">
        <v>4590019929</v>
      </c>
      <c r="C1085" t="s">
        <v>1459</v>
      </c>
      <c r="D1085" s="160">
        <v>82487.47</v>
      </c>
      <c r="F1085" t="s">
        <v>1460</v>
      </c>
      <c r="G1085" s="4">
        <v>45495</v>
      </c>
      <c r="H1085" s="4">
        <v>45495</v>
      </c>
      <c r="I1085">
        <v>2024</v>
      </c>
      <c r="J1085">
        <v>7</v>
      </c>
      <c r="K1085" s="4" t="s">
        <v>491</v>
      </c>
      <c r="L1085" t="s">
        <v>89</v>
      </c>
      <c r="M1085" t="s">
        <v>299</v>
      </c>
      <c r="N1085" t="s">
        <v>89</v>
      </c>
      <c r="O1085" t="s">
        <v>9</v>
      </c>
      <c r="P1085" t="s">
        <v>1416</v>
      </c>
    </row>
    <row r="1086" spans="1:16" hidden="1">
      <c r="A1086" t="s">
        <v>312</v>
      </c>
      <c r="B1086" s="1">
        <v>4590019927</v>
      </c>
      <c r="C1086" t="s">
        <v>1461</v>
      </c>
      <c r="D1086" s="160">
        <v>114257</v>
      </c>
      <c r="F1086" t="s">
        <v>1462</v>
      </c>
      <c r="G1086" s="4">
        <v>45495</v>
      </c>
      <c r="H1086" s="4">
        <v>45495</v>
      </c>
      <c r="I1086">
        <v>2024</v>
      </c>
      <c r="J1086">
        <v>7</v>
      </c>
      <c r="K1086" s="4" t="s">
        <v>491</v>
      </c>
      <c r="L1086" t="s">
        <v>89</v>
      </c>
      <c r="M1086" t="s">
        <v>299</v>
      </c>
      <c r="N1086" t="s">
        <v>89</v>
      </c>
      <c r="O1086" t="s">
        <v>9</v>
      </c>
      <c r="P1086" t="s">
        <v>1416</v>
      </c>
    </row>
    <row r="1087" spans="1:16" hidden="1">
      <c r="A1087" t="s">
        <v>312</v>
      </c>
      <c r="B1087" s="1">
        <v>4590019488</v>
      </c>
      <c r="C1087" t="s">
        <v>1463</v>
      </c>
      <c r="D1087" s="160">
        <v>15000</v>
      </c>
      <c r="F1087" t="s">
        <v>1464</v>
      </c>
      <c r="G1087" s="4">
        <v>45495</v>
      </c>
      <c r="H1087" s="4">
        <v>45495</v>
      </c>
      <c r="I1087">
        <v>2024</v>
      </c>
      <c r="J1087">
        <v>7</v>
      </c>
      <c r="K1087" s="4" t="s">
        <v>491</v>
      </c>
      <c r="L1087" t="s">
        <v>89</v>
      </c>
      <c r="M1087" t="s">
        <v>299</v>
      </c>
      <c r="N1087" t="s">
        <v>89</v>
      </c>
      <c r="O1087" t="s">
        <v>9</v>
      </c>
      <c r="P1087" t="s">
        <v>1465</v>
      </c>
    </row>
    <row r="1088" spans="1:16" hidden="1">
      <c r="A1088" t="s">
        <v>312</v>
      </c>
      <c r="B1088" s="1">
        <v>4590019487</v>
      </c>
      <c r="C1088" t="s">
        <v>1466</v>
      </c>
      <c r="D1088" s="160">
        <v>60000</v>
      </c>
      <c r="F1088" t="s">
        <v>1467</v>
      </c>
      <c r="G1088" s="4">
        <v>45495</v>
      </c>
      <c r="H1088" s="4">
        <v>45495</v>
      </c>
      <c r="I1088">
        <v>2024</v>
      </c>
      <c r="J1088">
        <v>7</v>
      </c>
      <c r="K1088" s="4" t="s">
        <v>491</v>
      </c>
      <c r="L1088" t="s">
        <v>89</v>
      </c>
      <c r="M1088" t="s">
        <v>299</v>
      </c>
      <c r="N1088" t="s">
        <v>89</v>
      </c>
      <c r="O1088" t="s">
        <v>9</v>
      </c>
      <c r="P1088" t="s">
        <v>1416</v>
      </c>
    </row>
    <row r="1089" spans="1:16" hidden="1">
      <c r="A1089" t="s">
        <v>336</v>
      </c>
      <c r="B1089" s="1">
        <v>4590019372</v>
      </c>
      <c r="C1089" t="s">
        <v>1468</v>
      </c>
      <c r="D1089" s="160">
        <v>36000</v>
      </c>
      <c r="F1089" t="s">
        <v>1469</v>
      </c>
      <c r="G1089" s="4">
        <v>45495</v>
      </c>
      <c r="H1089" s="4">
        <v>45495</v>
      </c>
      <c r="I1089">
        <v>2024</v>
      </c>
      <c r="J1089">
        <v>7</v>
      </c>
      <c r="K1089" s="4" t="s">
        <v>491</v>
      </c>
      <c r="L1089" t="s">
        <v>89</v>
      </c>
      <c r="M1089" t="s">
        <v>299</v>
      </c>
      <c r="N1089" t="s">
        <v>89</v>
      </c>
      <c r="O1089" t="s">
        <v>9</v>
      </c>
      <c r="P1089">
        <v>0</v>
      </c>
    </row>
    <row r="1090" spans="1:16" hidden="1">
      <c r="A1090" t="s">
        <v>405</v>
      </c>
      <c r="B1090" s="1" t="s">
        <v>406</v>
      </c>
      <c r="C1090" t="s">
        <v>407</v>
      </c>
      <c r="D1090" s="160">
        <v>321378.07</v>
      </c>
      <c r="F1090" t="s">
        <v>1470</v>
      </c>
      <c r="G1090" s="4">
        <v>45495</v>
      </c>
      <c r="H1090" s="4">
        <v>45495</v>
      </c>
      <c r="I1090">
        <v>2024</v>
      </c>
      <c r="J1090">
        <v>7</v>
      </c>
      <c r="K1090" s="4" t="s">
        <v>491</v>
      </c>
      <c r="L1090" t="s">
        <v>329</v>
      </c>
      <c r="N1090" t="s">
        <v>1471</v>
      </c>
      <c r="O1090" t="s">
        <v>8</v>
      </c>
      <c r="P1090" t="s">
        <v>550</v>
      </c>
    </row>
    <row r="1091" spans="1:16" hidden="1">
      <c r="A1091" t="s">
        <v>86</v>
      </c>
      <c r="B1091" s="1">
        <v>4590017212</v>
      </c>
      <c r="C1091" t="s">
        <v>1242</v>
      </c>
      <c r="D1091" s="160">
        <v>50000</v>
      </c>
      <c r="F1091" t="s">
        <v>1472</v>
      </c>
      <c r="G1091" s="4">
        <v>45495</v>
      </c>
      <c r="H1091" s="4">
        <v>45495</v>
      </c>
      <c r="I1091">
        <v>2024</v>
      </c>
      <c r="J1091">
        <v>7</v>
      </c>
      <c r="K1091" s="4" t="s">
        <v>491</v>
      </c>
      <c r="L1091" t="s">
        <v>1473</v>
      </c>
      <c r="N1091" t="s">
        <v>1471</v>
      </c>
      <c r="O1091" t="s">
        <v>11</v>
      </c>
      <c r="P1091" t="s">
        <v>1245</v>
      </c>
    </row>
    <row r="1092" spans="1:16" hidden="1">
      <c r="A1092" t="s">
        <v>830</v>
      </c>
      <c r="B1092" s="1">
        <v>20230315002</v>
      </c>
      <c r="C1092" t="s">
        <v>831</v>
      </c>
      <c r="D1092" s="160">
        <v>170909.62</v>
      </c>
      <c r="F1092" t="s">
        <v>1474</v>
      </c>
      <c r="G1092" s="4">
        <v>45495</v>
      </c>
      <c r="H1092" s="4">
        <v>45495</v>
      </c>
      <c r="I1092">
        <v>2024</v>
      </c>
      <c r="J1092">
        <v>7</v>
      </c>
      <c r="K1092" s="4" t="s">
        <v>491</v>
      </c>
      <c r="L1092" t="s">
        <v>329</v>
      </c>
      <c r="N1092" t="s">
        <v>1471</v>
      </c>
      <c r="O1092" t="s">
        <v>18</v>
      </c>
      <c r="P1092" t="s">
        <v>834</v>
      </c>
    </row>
    <row r="1093" spans="1:16" hidden="1">
      <c r="A1093" t="s">
        <v>54</v>
      </c>
      <c r="B1093" s="1">
        <v>4590014102</v>
      </c>
      <c r="C1093" t="s">
        <v>701</v>
      </c>
      <c r="D1093" s="160">
        <v>31666.51</v>
      </c>
      <c r="F1093" t="s">
        <v>1475</v>
      </c>
      <c r="G1093" s="4">
        <v>45495</v>
      </c>
      <c r="H1093" s="4">
        <v>45495</v>
      </c>
      <c r="I1093">
        <v>2024</v>
      </c>
      <c r="J1093">
        <v>7</v>
      </c>
      <c r="K1093" s="4" t="s">
        <v>491</v>
      </c>
      <c r="L1093" t="s">
        <v>89</v>
      </c>
      <c r="M1093" t="s">
        <v>683</v>
      </c>
      <c r="N1093" t="s">
        <v>89</v>
      </c>
      <c r="O1093" t="s">
        <v>13</v>
      </c>
      <c r="P1093" t="s">
        <v>222</v>
      </c>
    </row>
    <row r="1094" spans="1:16" hidden="1">
      <c r="A1094" t="s">
        <v>1366</v>
      </c>
      <c r="B1094" s="1">
        <v>4590014289</v>
      </c>
      <c r="C1094" t="s">
        <v>675</v>
      </c>
      <c r="D1094" s="160">
        <v>1710084.83</v>
      </c>
      <c r="F1094" t="s">
        <v>1476</v>
      </c>
      <c r="G1094" s="4">
        <v>45495</v>
      </c>
      <c r="H1094" s="4">
        <v>45495</v>
      </c>
      <c r="I1094">
        <v>2024</v>
      </c>
      <c r="J1094">
        <v>7</v>
      </c>
      <c r="K1094" s="4" t="s">
        <v>491</v>
      </c>
      <c r="L1094" t="s">
        <v>89</v>
      </c>
      <c r="M1094" t="s">
        <v>299</v>
      </c>
      <c r="N1094" t="s">
        <v>89</v>
      </c>
      <c r="O1094" t="s">
        <v>13</v>
      </c>
      <c r="P1094" t="s">
        <v>537</v>
      </c>
    </row>
    <row r="1095" spans="1:16" hidden="1">
      <c r="A1095" t="s">
        <v>1360</v>
      </c>
      <c r="B1095" s="1">
        <v>4590018032</v>
      </c>
      <c r="C1095" t="s">
        <v>390</v>
      </c>
      <c r="D1095" s="160">
        <v>225851.57</v>
      </c>
      <c r="F1095" t="s">
        <v>1477</v>
      </c>
      <c r="G1095" s="4">
        <v>45495</v>
      </c>
      <c r="H1095" s="4">
        <v>45495</v>
      </c>
      <c r="I1095">
        <v>2024</v>
      </c>
      <c r="J1095">
        <v>7</v>
      </c>
      <c r="K1095" s="4" t="s">
        <v>491</v>
      </c>
      <c r="L1095" t="s">
        <v>89</v>
      </c>
      <c r="M1095" t="s">
        <v>1208</v>
      </c>
      <c r="N1095" t="s">
        <v>89</v>
      </c>
      <c r="O1095" t="s">
        <v>13</v>
      </c>
      <c r="P1095" t="s">
        <v>222</v>
      </c>
    </row>
    <row r="1096" spans="1:16" hidden="1">
      <c r="A1096" t="s">
        <v>1363</v>
      </c>
      <c r="B1096" s="1">
        <v>4590019069</v>
      </c>
      <c r="C1096" t="s">
        <v>1478</v>
      </c>
      <c r="D1096" s="160">
        <v>533762.68999999994</v>
      </c>
      <c r="F1096" t="s">
        <v>1479</v>
      </c>
      <c r="G1096" s="4">
        <v>45495</v>
      </c>
      <c r="H1096" s="4">
        <v>45495</v>
      </c>
      <c r="I1096">
        <v>2024</v>
      </c>
      <c r="J1096">
        <v>7</v>
      </c>
      <c r="K1096" s="4" t="s">
        <v>491</v>
      </c>
      <c r="L1096" t="s">
        <v>89</v>
      </c>
      <c r="M1096" t="s">
        <v>683</v>
      </c>
      <c r="N1096" t="s">
        <v>89</v>
      </c>
      <c r="O1096" t="s">
        <v>13</v>
      </c>
      <c r="P1096" t="s">
        <v>222</v>
      </c>
    </row>
    <row r="1097" spans="1:16" hidden="1">
      <c r="A1097" t="s">
        <v>1366</v>
      </c>
      <c r="B1097" s="1">
        <v>4590019499</v>
      </c>
      <c r="C1097" t="s">
        <v>1480</v>
      </c>
      <c r="D1097" s="160">
        <v>724540.95</v>
      </c>
      <c r="F1097" t="s">
        <v>1481</v>
      </c>
      <c r="G1097" s="4">
        <v>45495</v>
      </c>
      <c r="H1097" s="4">
        <v>45495</v>
      </c>
      <c r="I1097">
        <v>2024</v>
      </c>
      <c r="J1097">
        <v>7</v>
      </c>
      <c r="K1097" s="4" t="s">
        <v>491</v>
      </c>
      <c r="L1097" t="s">
        <v>95</v>
      </c>
      <c r="N1097" t="s">
        <v>1471</v>
      </c>
      <c r="O1097" t="s">
        <v>13</v>
      </c>
      <c r="P1097" t="s">
        <v>1424</v>
      </c>
    </row>
    <row r="1098" spans="1:16" hidden="1">
      <c r="A1098" t="s">
        <v>1366</v>
      </c>
      <c r="B1098" s="1">
        <v>4590019500</v>
      </c>
      <c r="C1098" t="s">
        <v>1482</v>
      </c>
      <c r="D1098" s="160">
        <v>12243253.050000001</v>
      </c>
      <c r="F1098" t="s">
        <v>1483</v>
      </c>
      <c r="G1098" s="4">
        <v>45495</v>
      </c>
      <c r="H1098" s="4">
        <v>45495</v>
      </c>
      <c r="I1098">
        <v>2024</v>
      </c>
      <c r="J1098">
        <v>7</v>
      </c>
      <c r="K1098" s="4" t="s">
        <v>491</v>
      </c>
      <c r="L1098" t="s">
        <v>95</v>
      </c>
      <c r="N1098" t="s">
        <v>1471</v>
      </c>
      <c r="O1098" t="s">
        <v>13</v>
      </c>
      <c r="P1098" t="s">
        <v>1424</v>
      </c>
    </row>
    <row r="1099" spans="1:16" hidden="1">
      <c r="A1099" t="s">
        <v>314</v>
      </c>
      <c r="B1099" s="1">
        <v>4503441102</v>
      </c>
      <c r="C1099" t="s">
        <v>140</v>
      </c>
      <c r="D1099" s="160">
        <v>178362</v>
      </c>
      <c r="E1099">
        <v>9970</v>
      </c>
      <c r="F1099" t="s">
        <v>1484</v>
      </c>
      <c r="G1099" s="4">
        <v>45496</v>
      </c>
      <c r="H1099" s="4">
        <v>45496</v>
      </c>
      <c r="I1099">
        <v>2024</v>
      </c>
      <c r="J1099">
        <v>7</v>
      </c>
      <c r="K1099" s="4" t="s">
        <v>491</v>
      </c>
      <c r="L1099" t="s">
        <v>89</v>
      </c>
      <c r="M1099" t="s">
        <v>299</v>
      </c>
      <c r="N1099" t="s">
        <v>89</v>
      </c>
      <c r="O1099" t="s">
        <v>9</v>
      </c>
      <c r="P1099" t="s">
        <v>141</v>
      </c>
    </row>
    <row r="1100" spans="1:16" hidden="1">
      <c r="A1100" t="s">
        <v>314</v>
      </c>
      <c r="B1100" s="1">
        <v>4503441308</v>
      </c>
      <c r="C1100" t="s">
        <v>142</v>
      </c>
      <c r="D1100" s="160">
        <v>109355</v>
      </c>
      <c r="F1100" t="s">
        <v>1485</v>
      </c>
      <c r="G1100" s="4">
        <v>45496</v>
      </c>
      <c r="H1100" s="4">
        <v>45496</v>
      </c>
      <c r="I1100">
        <v>2024</v>
      </c>
      <c r="J1100">
        <v>7</v>
      </c>
      <c r="K1100" s="4" t="s">
        <v>491</v>
      </c>
      <c r="L1100" t="s">
        <v>89</v>
      </c>
      <c r="M1100" t="s">
        <v>299</v>
      </c>
      <c r="N1100" t="s">
        <v>89</v>
      </c>
      <c r="O1100" t="s">
        <v>9</v>
      </c>
      <c r="P1100" t="s">
        <v>143</v>
      </c>
    </row>
    <row r="1101" spans="1:16" hidden="1">
      <c r="A1101" t="s">
        <v>314</v>
      </c>
      <c r="B1101" s="1">
        <v>4590002290</v>
      </c>
      <c r="C1101" t="s">
        <v>583</v>
      </c>
      <c r="D1101" s="160">
        <v>23506.37</v>
      </c>
      <c r="E1101">
        <v>1314.01</v>
      </c>
      <c r="F1101" t="s">
        <v>1486</v>
      </c>
      <c r="G1101" s="4">
        <v>45496</v>
      </c>
      <c r="H1101" s="4">
        <v>45496</v>
      </c>
      <c r="I1101">
        <v>2024</v>
      </c>
      <c r="J1101">
        <v>7</v>
      </c>
      <c r="K1101" s="4" t="s">
        <v>491</v>
      </c>
      <c r="L1101" t="s">
        <v>89</v>
      </c>
      <c r="M1101" t="s">
        <v>683</v>
      </c>
      <c r="N1101" t="s">
        <v>89</v>
      </c>
      <c r="O1101" t="s">
        <v>11</v>
      </c>
      <c r="P1101" t="s">
        <v>584</v>
      </c>
    </row>
    <row r="1102" spans="1:16" hidden="1">
      <c r="A1102" t="s">
        <v>314</v>
      </c>
      <c r="B1102" s="1">
        <v>4590002291</v>
      </c>
      <c r="C1102" t="s">
        <v>632</v>
      </c>
      <c r="D1102" s="160">
        <v>5924.16</v>
      </c>
      <c r="E1102">
        <v>331.16</v>
      </c>
      <c r="F1102" t="s">
        <v>1487</v>
      </c>
      <c r="G1102" s="4">
        <v>45496</v>
      </c>
      <c r="H1102" s="4">
        <v>45496</v>
      </c>
      <c r="I1102">
        <v>2024</v>
      </c>
      <c r="J1102">
        <v>7</v>
      </c>
      <c r="K1102" s="4" t="s">
        <v>491</v>
      </c>
      <c r="L1102" t="s">
        <v>89</v>
      </c>
      <c r="M1102" t="s">
        <v>1208</v>
      </c>
      <c r="N1102" t="s">
        <v>89</v>
      </c>
      <c r="O1102" t="s">
        <v>11</v>
      </c>
      <c r="P1102" t="s">
        <v>584</v>
      </c>
    </row>
    <row r="1103" spans="1:16" hidden="1">
      <c r="A1103" t="s">
        <v>1002</v>
      </c>
      <c r="B1103" s="1">
        <v>4590016975</v>
      </c>
      <c r="C1103" t="s">
        <v>1488</v>
      </c>
      <c r="D1103" s="160">
        <v>14660.72</v>
      </c>
      <c r="E1103">
        <v>819.53</v>
      </c>
      <c r="F1103" t="s">
        <v>1489</v>
      </c>
      <c r="G1103" s="4">
        <v>45496</v>
      </c>
      <c r="H1103" s="4">
        <v>45496</v>
      </c>
      <c r="I1103">
        <v>2024</v>
      </c>
      <c r="J1103">
        <v>7</v>
      </c>
      <c r="K1103" s="4" t="s">
        <v>491</v>
      </c>
      <c r="L1103" t="s">
        <v>89</v>
      </c>
      <c r="M1103" t="s">
        <v>299</v>
      </c>
      <c r="N1103" t="s">
        <v>89</v>
      </c>
      <c r="O1103" t="s">
        <v>11</v>
      </c>
      <c r="P1103" t="s">
        <v>584</v>
      </c>
    </row>
    <row r="1104" spans="1:16" hidden="1">
      <c r="A1104" t="s">
        <v>314</v>
      </c>
      <c r="B1104" s="1">
        <v>4590019490</v>
      </c>
      <c r="C1104" t="s">
        <v>1490</v>
      </c>
      <c r="D1104" s="160">
        <v>18259.2</v>
      </c>
      <c r="E1104">
        <v>1020.69</v>
      </c>
      <c r="F1104" t="s">
        <v>1491</v>
      </c>
      <c r="G1104" s="4">
        <v>45496</v>
      </c>
      <c r="H1104" s="4">
        <v>45496</v>
      </c>
      <c r="I1104">
        <v>2024</v>
      </c>
      <c r="J1104">
        <v>7</v>
      </c>
      <c r="K1104" s="4" t="s">
        <v>491</v>
      </c>
      <c r="L1104" t="s">
        <v>89</v>
      </c>
      <c r="M1104" t="s">
        <v>299</v>
      </c>
      <c r="N1104" t="s">
        <v>89</v>
      </c>
      <c r="O1104" t="s">
        <v>9</v>
      </c>
      <c r="P1104" t="s">
        <v>1416</v>
      </c>
    </row>
    <row r="1105" spans="1:16" hidden="1">
      <c r="A1105" t="s">
        <v>314</v>
      </c>
      <c r="B1105" s="1">
        <v>4590019493</v>
      </c>
      <c r="C1105" t="s">
        <v>1492</v>
      </c>
      <c r="D1105" s="160">
        <v>650738.06999999995</v>
      </c>
      <c r="E1105">
        <v>36376.26</v>
      </c>
      <c r="F1105" t="s">
        <v>1493</v>
      </c>
      <c r="G1105" s="4">
        <v>45496</v>
      </c>
      <c r="H1105" s="4">
        <v>45496</v>
      </c>
      <c r="I1105">
        <v>2024</v>
      </c>
      <c r="J1105">
        <v>7</v>
      </c>
      <c r="K1105" s="4" t="s">
        <v>491</v>
      </c>
      <c r="L1105" t="s">
        <v>89</v>
      </c>
      <c r="M1105" t="s">
        <v>299</v>
      </c>
      <c r="N1105" t="s">
        <v>89</v>
      </c>
      <c r="O1105" t="s">
        <v>9</v>
      </c>
      <c r="P1105" t="s">
        <v>1416</v>
      </c>
    </row>
    <row r="1106" spans="1:16" hidden="1">
      <c r="A1106" t="s">
        <v>312</v>
      </c>
      <c r="B1106" s="1" t="s">
        <v>231</v>
      </c>
      <c r="C1106" t="s">
        <v>232</v>
      </c>
      <c r="D1106" s="160">
        <v>21361</v>
      </c>
      <c r="F1106" t="s">
        <v>1494</v>
      </c>
      <c r="G1106" s="4">
        <v>45496</v>
      </c>
      <c r="H1106" s="4">
        <v>45496</v>
      </c>
      <c r="I1106">
        <v>2024</v>
      </c>
      <c r="J1106">
        <v>7</v>
      </c>
      <c r="K1106" s="4" t="s">
        <v>491</v>
      </c>
      <c r="L1106" t="s">
        <v>89</v>
      </c>
      <c r="M1106" t="s">
        <v>299</v>
      </c>
      <c r="N1106" t="s">
        <v>89</v>
      </c>
      <c r="O1106" t="s">
        <v>11</v>
      </c>
      <c r="P1106" t="s">
        <v>104</v>
      </c>
    </row>
    <row r="1107" spans="1:16" hidden="1">
      <c r="A1107" t="s">
        <v>312</v>
      </c>
      <c r="B1107" s="1">
        <v>4590019923</v>
      </c>
      <c r="C1107" t="s">
        <v>1495</v>
      </c>
      <c r="D1107" s="160">
        <v>9264.39</v>
      </c>
      <c r="F1107" t="s">
        <v>1496</v>
      </c>
      <c r="G1107" s="4">
        <v>45496</v>
      </c>
      <c r="H1107" s="4">
        <v>45496</v>
      </c>
      <c r="I1107">
        <v>2024</v>
      </c>
      <c r="J1107">
        <v>7</v>
      </c>
      <c r="K1107" s="4" t="s">
        <v>491</v>
      </c>
      <c r="L1107" t="s">
        <v>89</v>
      </c>
      <c r="M1107" t="s">
        <v>299</v>
      </c>
      <c r="N1107" t="s">
        <v>89</v>
      </c>
      <c r="O1107" t="s">
        <v>9</v>
      </c>
      <c r="P1107" t="s">
        <v>1416</v>
      </c>
    </row>
    <row r="1108" spans="1:16" hidden="1">
      <c r="A1108" t="s">
        <v>1497</v>
      </c>
      <c r="B1108" s="1">
        <v>4590019947</v>
      </c>
      <c r="C1108" t="s">
        <v>1498</v>
      </c>
      <c r="D1108" s="160">
        <v>495803.47</v>
      </c>
      <c r="E1108">
        <v>27715.41</v>
      </c>
      <c r="F1108" t="s">
        <v>1499</v>
      </c>
      <c r="G1108" s="4">
        <v>45496</v>
      </c>
      <c r="H1108" s="4">
        <v>45496</v>
      </c>
      <c r="I1108">
        <v>2024</v>
      </c>
      <c r="J1108">
        <v>7</v>
      </c>
      <c r="K1108" s="4" t="s">
        <v>491</v>
      </c>
      <c r="L1108" t="s">
        <v>89</v>
      </c>
      <c r="M1108" t="s">
        <v>299</v>
      </c>
      <c r="N1108" t="s">
        <v>89</v>
      </c>
      <c r="O1108" t="s">
        <v>9</v>
      </c>
      <c r="P1108" t="s">
        <v>1465</v>
      </c>
    </row>
    <row r="1109" spans="1:16" hidden="1">
      <c r="A1109" t="s">
        <v>312</v>
      </c>
      <c r="B1109" s="1" t="s">
        <v>436</v>
      </c>
      <c r="C1109" t="s">
        <v>437</v>
      </c>
      <c r="D1109" s="160">
        <v>73780.67</v>
      </c>
      <c r="F1109" t="s">
        <v>1500</v>
      </c>
      <c r="G1109" s="4">
        <v>45496</v>
      </c>
      <c r="H1109" s="4">
        <v>45496</v>
      </c>
      <c r="I1109">
        <v>2024</v>
      </c>
      <c r="J1109">
        <v>7</v>
      </c>
      <c r="K1109" s="4" t="s">
        <v>491</v>
      </c>
      <c r="L1109" t="s">
        <v>89</v>
      </c>
      <c r="M1109" t="s">
        <v>1208</v>
      </c>
      <c r="N1109" t="s">
        <v>89</v>
      </c>
      <c r="O1109" t="s">
        <v>11</v>
      </c>
      <c r="P1109" t="s">
        <v>104</v>
      </c>
    </row>
    <row r="1110" spans="1:16" hidden="1">
      <c r="A1110" t="s">
        <v>312</v>
      </c>
      <c r="B1110" s="1">
        <v>4590019926</v>
      </c>
      <c r="C1110" t="s">
        <v>1501</v>
      </c>
      <c r="D1110" s="160">
        <v>16680.43</v>
      </c>
      <c r="F1110" t="s">
        <v>1502</v>
      </c>
      <c r="G1110" s="4">
        <v>45496</v>
      </c>
      <c r="H1110" s="4">
        <v>45496</v>
      </c>
      <c r="I1110">
        <v>2024</v>
      </c>
      <c r="J1110">
        <v>7</v>
      </c>
      <c r="K1110" s="4" t="s">
        <v>491</v>
      </c>
      <c r="L1110" t="s">
        <v>89</v>
      </c>
      <c r="M1110" t="s">
        <v>299</v>
      </c>
      <c r="N1110" t="s">
        <v>89</v>
      </c>
      <c r="O1110" t="s">
        <v>9</v>
      </c>
      <c r="P1110" t="s">
        <v>1416</v>
      </c>
    </row>
    <row r="1111" spans="1:16" hidden="1">
      <c r="A1111" t="s">
        <v>312</v>
      </c>
      <c r="B1111" s="1">
        <v>4590019922</v>
      </c>
      <c r="C1111" t="s">
        <v>1503</v>
      </c>
      <c r="D1111" s="160">
        <v>69754.649999999994</v>
      </c>
      <c r="F1111" t="s">
        <v>1504</v>
      </c>
      <c r="G1111" s="4">
        <v>45496</v>
      </c>
      <c r="H1111" s="4">
        <v>45496</v>
      </c>
      <c r="I1111">
        <v>2024</v>
      </c>
      <c r="J1111">
        <v>7</v>
      </c>
      <c r="K1111" s="4" t="s">
        <v>491</v>
      </c>
      <c r="L1111" t="s">
        <v>89</v>
      </c>
      <c r="M1111" t="s">
        <v>299</v>
      </c>
      <c r="N1111" t="s">
        <v>89</v>
      </c>
      <c r="O1111" t="s">
        <v>9</v>
      </c>
      <c r="P1111" t="s">
        <v>1416</v>
      </c>
    </row>
    <row r="1112" spans="1:16" hidden="1">
      <c r="A1112" t="s">
        <v>312</v>
      </c>
      <c r="B1112" s="1">
        <v>4590004028</v>
      </c>
      <c r="C1112" t="s">
        <v>223</v>
      </c>
      <c r="D1112" s="160">
        <v>16148.22</v>
      </c>
      <c r="F1112" t="s">
        <v>1505</v>
      </c>
      <c r="G1112" s="4">
        <v>45496</v>
      </c>
      <c r="H1112" s="4">
        <v>45496</v>
      </c>
      <c r="I1112">
        <v>2024</v>
      </c>
      <c r="J1112">
        <v>7</v>
      </c>
      <c r="K1112" s="4" t="s">
        <v>491</v>
      </c>
      <c r="L1112" t="s">
        <v>89</v>
      </c>
      <c r="M1112" t="s">
        <v>299</v>
      </c>
      <c r="N1112" t="s">
        <v>89</v>
      </c>
      <c r="O1112" t="s">
        <v>11</v>
      </c>
      <c r="P1112" t="s">
        <v>104</v>
      </c>
    </row>
    <row r="1113" spans="1:16" hidden="1">
      <c r="A1113" t="s">
        <v>161</v>
      </c>
      <c r="B1113" s="1">
        <v>2957</v>
      </c>
      <c r="C1113" t="s">
        <v>1073</v>
      </c>
      <c r="D1113" s="160">
        <v>34152.800000000003</v>
      </c>
      <c r="F1113" t="s">
        <v>1506</v>
      </c>
      <c r="G1113" s="4">
        <v>45497</v>
      </c>
      <c r="H1113" s="4">
        <v>45497</v>
      </c>
      <c r="I1113">
        <v>2024</v>
      </c>
      <c r="J1113">
        <v>7</v>
      </c>
      <c r="K1113" s="4" t="s">
        <v>491</v>
      </c>
      <c r="L1113" t="s">
        <v>89</v>
      </c>
      <c r="N1113" t="s">
        <v>89</v>
      </c>
      <c r="O1113" t="s">
        <v>18</v>
      </c>
      <c r="P1113" t="s">
        <v>164</v>
      </c>
    </row>
    <row r="1114" spans="1:16" hidden="1">
      <c r="A1114" t="s">
        <v>1384</v>
      </c>
      <c r="B1114" s="1">
        <v>4590002743</v>
      </c>
      <c r="C1114" t="s">
        <v>449</v>
      </c>
      <c r="D1114" s="160">
        <v>2770.18</v>
      </c>
      <c r="F1114" t="s">
        <v>1507</v>
      </c>
      <c r="G1114" s="4">
        <v>45498</v>
      </c>
      <c r="H1114" s="4">
        <v>45498</v>
      </c>
      <c r="I1114">
        <v>2024</v>
      </c>
      <c r="J1114">
        <v>7</v>
      </c>
      <c r="K1114" s="4" t="s">
        <v>491</v>
      </c>
      <c r="L1114" t="s">
        <v>1473</v>
      </c>
      <c r="M1114" t="s">
        <v>1508</v>
      </c>
      <c r="N1114" t="s">
        <v>1509</v>
      </c>
      <c r="O1114" t="s">
        <v>12</v>
      </c>
      <c r="P1114" t="s">
        <v>448</v>
      </c>
    </row>
    <row r="1115" spans="1:16" hidden="1">
      <c r="A1115" t="s">
        <v>312</v>
      </c>
      <c r="B1115" s="1">
        <v>4503290109</v>
      </c>
      <c r="C1115" t="s">
        <v>103</v>
      </c>
      <c r="D1115" s="160">
        <v>2398799</v>
      </c>
      <c r="F1115" t="s">
        <v>1510</v>
      </c>
      <c r="G1115" s="4">
        <v>45498</v>
      </c>
      <c r="H1115" s="4">
        <v>45498</v>
      </c>
      <c r="I1115">
        <v>2024</v>
      </c>
      <c r="J1115">
        <v>7</v>
      </c>
      <c r="K1115" s="4" t="s">
        <v>491</v>
      </c>
      <c r="L1115" t="s">
        <v>89</v>
      </c>
      <c r="M1115" t="s">
        <v>299</v>
      </c>
      <c r="N1115" t="s">
        <v>89</v>
      </c>
      <c r="O1115" t="s">
        <v>9</v>
      </c>
      <c r="P1115" t="s">
        <v>104</v>
      </c>
    </row>
    <row r="1116" spans="1:16" hidden="1">
      <c r="A1116" t="s">
        <v>313</v>
      </c>
      <c r="B1116" s="1">
        <v>4503428513</v>
      </c>
      <c r="C1116" t="s">
        <v>117</v>
      </c>
      <c r="D1116" s="160">
        <v>1138303</v>
      </c>
      <c r="F1116" t="s">
        <v>1511</v>
      </c>
      <c r="G1116" s="4">
        <v>45498</v>
      </c>
      <c r="H1116" s="4">
        <v>45498</v>
      </c>
      <c r="I1116">
        <v>2024</v>
      </c>
      <c r="J1116">
        <v>7</v>
      </c>
      <c r="K1116" s="4" t="s">
        <v>491</v>
      </c>
      <c r="L1116" t="s">
        <v>89</v>
      </c>
      <c r="M1116" t="s">
        <v>299</v>
      </c>
      <c r="N1116" t="s">
        <v>89</v>
      </c>
      <c r="O1116" t="s">
        <v>9</v>
      </c>
      <c r="P1116" t="s">
        <v>118</v>
      </c>
    </row>
    <row r="1117" spans="1:16" hidden="1">
      <c r="A1117" t="s">
        <v>919</v>
      </c>
      <c r="B1117" s="1">
        <v>4590003895</v>
      </c>
      <c r="C1117" t="s">
        <v>320</v>
      </c>
      <c r="D1117" s="160">
        <v>33978</v>
      </c>
      <c r="F1117" t="s">
        <v>1512</v>
      </c>
      <c r="G1117" s="4">
        <v>45498</v>
      </c>
      <c r="H1117" s="4">
        <v>45498</v>
      </c>
      <c r="I1117">
        <v>2024</v>
      </c>
      <c r="J1117">
        <v>7</v>
      </c>
      <c r="K1117" s="4" t="s">
        <v>491</v>
      </c>
      <c r="L1117" t="s">
        <v>89</v>
      </c>
      <c r="M1117" t="s">
        <v>299</v>
      </c>
      <c r="N1117" t="s">
        <v>89</v>
      </c>
      <c r="O1117" t="s">
        <v>9</v>
      </c>
      <c r="P1117" t="s">
        <v>118</v>
      </c>
    </row>
    <row r="1118" spans="1:16" hidden="1">
      <c r="A1118" t="s">
        <v>1432</v>
      </c>
      <c r="B1118" s="1">
        <v>4590019011</v>
      </c>
      <c r="C1118" t="s">
        <v>1513</v>
      </c>
      <c r="D1118" s="160">
        <v>34500</v>
      </c>
      <c r="F1118" t="s">
        <v>1514</v>
      </c>
      <c r="G1118" s="4">
        <v>45498</v>
      </c>
      <c r="H1118" s="4">
        <v>45498</v>
      </c>
      <c r="I1118">
        <v>2024</v>
      </c>
      <c r="J1118">
        <v>7</v>
      </c>
      <c r="K1118" s="4" t="s">
        <v>491</v>
      </c>
      <c r="L1118" t="s">
        <v>89</v>
      </c>
      <c r="M1118" t="s">
        <v>299</v>
      </c>
      <c r="N1118" t="s">
        <v>89</v>
      </c>
      <c r="O1118" t="s">
        <v>9</v>
      </c>
      <c r="P1118" t="s">
        <v>1515</v>
      </c>
    </row>
    <row r="1119" spans="1:16" hidden="1">
      <c r="A1119" t="s">
        <v>1384</v>
      </c>
      <c r="B1119" s="1">
        <v>4590002744</v>
      </c>
      <c r="C1119" t="s">
        <v>450</v>
      </c>
      <c r="D1119" s="160">
        <v>8343.36</v>
      </c>
      <c r="F1119" t="s">
        <v>1516</v>
      </c>
      <c r="G1119" s="4">
        <v>45498</v>
      </c>
      <c r="H1119" s="4">
        <v>45498</v>
      </c>
      <c r="I1119">
        <v>2024</v>
      </c>
      <c r="J1119">
        <v>7</v>
      </c>
      <c r="K1119" s="4" t="s">
        <v>491</v>
      </c>
      <c r="L1119" t="s">
        <v>89</v>
      </c>
      <c r="M1119" t="s">
        <v>1517</v>
      </c>
      <c r="N1119" t="s">
        <v>89</v>
      </c>
      <c r="O1119" t="s">
        <v>12</v>
      </c>
      <c r="P1119" t="s">
        <v>448</v>
      </c>
    </row>
    <row r="1120" spans="1:16" hidden="1">
      <c r="A1120" t="s">
        <v>312</v>
      </c>
      <c r="B1120" s="1">
        <v>4590014630</v>
      </c>
      <c r="C1120" t="s">
        <v>730</v>
      </c>
      <c r="D1120" s="160">
        <v>10852.85</v>
      </c>
      <c r="F1120" t="s">
        <v>1518</v>
      </c>
      <c r="G1120" s="4">
        <v>45498</v>
      </c>
      <c r="H1120" s="4">
        <v>45498</v>
      </c>
      <c r="I1120">
        <v>2024</v>
      </c>
      <c r="J1120">
        <v>7</v>
      </c>
      <c r="K1120" s="4" t="s">
        <v>491</v>
      </c>
      <c r="L1120" t="s">
        <v>89</v>
      </c>
      <c r="M1120" t="s">
        <v>299</v>
      </c>
      <c r="N1120" t="s">
        <v>89</v>
      </c>
      <c r="O1120" t="s">
        <v>9</v>
      </c>
      <c r="P1120" t="s">
        <v>120</v>
      </c>
    </row>
    <row r="1121" spans="1:17" hidden="1">
      <c r="A1121" t="s">
        <v>312</v>
      </c>
      <c r="B1121" s="1">
        <v>4590019491</v>
      </c>
      <c r="C1121" t="s">
        <v>1519</v>
      </c>
      <c r="D1121" s="160">
        <v>12920.4</v>
      </c>
      <c r="F1121" t="s">
        <v>1520</v>
      </c>
      <c r="G1121" s="4">
        <v>45498</v>
      </c>
      <c r="H1121" s="4">
        <v>45498</v>
      </c>
      <c r="I1121">
        <v>2024</v>
      </c>
      <c r="J1121">
        <v>7</v>
      </c>
      <c r="K1121" s="4" t="s">
        <v>491</v>
      </c>
      <c r="L1121" t="s">
        <v>89</v>
      </c>
      <c r="M1121" t="s">
        <v>299</v>
      </c>
      <c r="N1121" t="s">
        <v>89</v>
      </c>
      <c r="O1121" t="s">
        <v>9</v>
      </c>
      <c r="P1121" t="s">
        <v>1416</v>
      </c>
    </row>
    <row r="1122" spans="1:17" hidden="1">
      <c r="A1122" t="s">
        <v>312</v>
      </c>
      <c r="B1122" s="1">
        <v>4590004971</v>
      </c>
      <c r="C1122" t="s">
        <v>253</v>
      </c>
      <c r="D1122" s="160">
        <v>31536</v>
      </c>
      <c r="F1122" t="s">
        <v>1521</v>
      </c>
      <c r="G1122" s="4">
        <v>45498</v>
      </c>
      <c r="H1122" s="4">
        <v>45498</v>
      </c>
      <c r="I1122">
        <v>2024</v>
      </c>
      <c r="J1122">
        <v>7</v>
      </c>
      <c r="K1122" s="4" t="s">
        <v>491</v>
      </c>
      <c r="L1122" t="s">
        <v>89</v>
      </c>
      <c r="M1122" t="s">
        <v>683</v>
      </c>
      <c r="N1122" t="s">
        <v>89</v>
      </c>
      <c r="O1122" t="s">
        <v>9</v>
      </c>
      <c r="P1122" t="s">
        <v>120</v>
      </c>
    </row>
    <row r="1123" spans="1:17" hidden="1">
      <c r="A1123" t="s">
        <v>54</v>
      </c>
      <c r="B1123" s="1">
        <v>4590013669</v>
      </c>
      <c r="C1123" t="s">
        <v>1522</v>
      </c>
      <c r="D1123" s="160">
        <v>44010.54</v>
      </c>
      <c r="F1123" t="s">
        <v>1523</v>
      </c>
      <c r="G1123" s="4">
        <v>45498</v>
      </c>
      <c r="H1123" s="4">
        <v>45498</v>
      </c>
      <c r="I1123">
        <v>2024</v>
      </c>
      <c r="J1123">
        <v>7</v>
      </c>
      <c r="K1123" s="4" t="s">
        <v>491</v>
      </c>
      <c r="L1123" t="s">
        <v>89</v>
      </c>
      <c r="M1123" t="s">
        <v>299</v>
      </c>
      <c r="N1123" t="s">
        <v>89</v>
      </c>
      <c r="O1123" t="s">
        <v>9</v>
      </c>
      <c r="P1123" t="s">
        <v>135</v>
      </c>
    </row>
    <row r="1124" spans="1:17" hidden="1">
      <c r="A1124" t="s">
        <v>312</v>
      </c>
      <c r="B1124" s="1">
        <v>4503432118</v>
      </c>
      <c r="C1124" t="s">
        <v>119</v>
      </c>
      <c r="D1124" s="160">
        <v>962959.46</v>
      </c>
      <c r="F1124" t="s">
        <v>1524</v>
      </c>
      <c r="G1124" s="4">
        <v>45499</v>
      </c>
      <c r="H1124" s="4">
        <v>45499</v>
      </c>
      <c r="I1124">
        <v>2024</v>
      </c>
      <c r="J1124">
        <v>7</v>
      </c>
      <c r="K1124" s="4" t="s">
        <v>491</v>
      </c>
      <c r="L1124" t="s">
        <v>89</v>
      </c>
      <c r="M1124" t="s">
        <v>299</v>
      </c>
      <c r="N1124" t="s">
        <v>89</v>
      </c>
      <c r="O1124" t="s">
        <v>9</v>
      </c>
      <c r="P1124" t="s">
        <v>120</v>
      </c>
    </row>
    <row r="1125" spans="1:17" hidden="1">
      <c r="A1125" t="s">
        <v>1525</v>
      </c>
      <c r="B1125" s="1">
        <v>4590020159</v>
      </c>
      <c r="C1125" t="s">
        <v>1526</v>
      </c>
      <c r="D1125" s="160">
        <v>1944124.1</v>
      </c>
      <c r="F1125" t="s">
        <v>1527</v>
      </c>
      <c r="G1125" s="4">
        <v>45499</v>
      </c>
      <c r="H1125" s="4">
        <v>45499</v>
      </c>
      <c r="I1125">
        <v>2024</v>
      </c>
      <c r="J1125">
        <v>7</v>
      </c>
      <c r="K1125" s="4" t="s">
        <v>491</v>
      </c>
      <c r="L1125" t="s">
        <v>89</v>
      </c>
      <c r="M1125" t="s">
        <v>1528</v>
      </c>
      <c r="N1125" t="s">
        <v>89</v>
      </c>
      <c r="O1125" t="s">
        <v>9</v>
      </c>
      <c r="P1125" t="s">
        <v>1465</v>
      </c>
    </row>
    <row r="1126" spans="1:17" hidden="1">
      <c r="A1126" t="s">
        <v>1432</v>
      </c>
      <c r="B1126" s="1">
        <v>4590020157</v>
      </c>
      <c r="C1126" t="s">
        <v>1529</v>
      </c>
      <c r="D1126" s="160">
        <v>14043630.02</v>
      </c>
      <c r="F1126" t="s">
        <v>1530</v>
      </c>
      <c r="G1126" s="4">
        <v>45499</v>
      </c>
      <c r="H1126" s="4">
        <v>45499</v>
      </c>
      <c r="I1126">
        <v>2024</v>
      </c>
      <c r="J1126">
        <v>7</v>
      </c>
      <c r="K1126" s="4" t="s">
        <v>491</v>
      </c>
      <c r="L1126" t="s">
        <v>89</v>
      </c>
      <c r="M1126" t="s">
        <v>1528</v>
      </c>
      <c r="N1126" t="s">
        <v>89</v>
      </c>
      <c r="O1126" t="s">
        <v>9</v>
      </c>
      <c r="P1126" t="s">
        <v>1465</v>
      </c>
    </row>
    <row r="1127" spans="1:17" hidden="1">
      <c r="A1127" t="s">
        <v>1432</v>
      </c>
      <c r="B1127" s="1">
        <v>4590020158</v>
      </c>
      <c r="C1127" t="s">
        <v>1531</v>
      </c>
      <c r="D1127" s="160">
        <v>3151456.57</v>
      </c>
      <c r="F1127" t="s">
        <v>1532</v>
      </c>
      <c r="G1127" s="4">
        <v>45499</v>
      </c>
      <c r="H1127" s="4">
        <v>45499</v>
      </c>
      <c r="I1127">
        <v>2024</v>
      </c>
      <c r="J1127">
        <v>7</v>
      </c>
      <c r="K1127" s="4" t="s">
        <v>491</v>
      </c>
      <c r="L1127" t="s">
        <v>89</v>
      </c>
      <c r="M1127" t="s">
        <v>1528</v>
      </c>
      <c r="N1127" t="s">
        <v>89</v>
      </c>
      <c r="O1127" t="s">
        <v>9</v>
      </c>
      <c r="P1127" t="s">
        <v>1465</v>
      </c>
    </row>
    <row r="1128" spans="1:17" hidden="1">
      <c r="A1128" t="s">
        <v>312</v>
      </c>
      <c r="B1128" s="1">
        <v>4590020228</v>
      </c>
      <c r="C1128" t="s">
        <v>1533</v>
      </c>
      <c r="D1128" s="160">
        <v>109986.26</v>
      </c>
      <c r="F1128" t="s">
        <v>1534</v>
      </c>
      <c r="G1128" s="4">
        <v>45502</v>
      </c>
      <c r="H1128" s="4">
        <v>45502</v>
      </c>
      <c r="I1128">
        <v>2024</v>
      </c>
      <c r="J1128">
        <v>7</v>
      </c>
      <c r="K1128" s="4" t="s">
        <v>491</v>
      </c>
      <c r="L1128" t="s">
        <v>89</v>
      </c>
      <c r="M1128" t="s">
        <v>299</v>
      </c>
      <c r="N1128" t="s">
        <v>89</v>
      </c>
      <c r="O1128" t="s">
        <v>9</v>
      </c>
      <c r="P1128" t="s">
        <v>1465</v>
      </c>
    </row>
    <row r="1129" spans="1:17" hidden="1">
      <c r="A1129" t="s">
        <v>312</v>
      </c>
      <c r="B1129" s="1">
        <v>4590020156</v>
      </c>
      <c r="C1129" t="s">
        <v>1535</v>
      </c>
      <c r="D1129" s="160">
        <v>26821220.800000001</v>
      </c>
      <c r="F1129" t="s">
        <v>1536</v>
      </c>
      <c r="G1129" s="4">
        <v>45502</v>
      </c>
      <c r="H1129" s="4">
        <v>45502</v>
      </c>
      <c r="I1129">
        <v>2024</v>
      </c>
      <c r="J1129">
        <v>7</v>
      </c>
      <c r="K1129" s="4" t="s">
        <v>491</v>
      </c>
      <c r="L1129" t="s">
        <v>89</v>
      </c>
      <c r="M1129" t="s">
        <v>1528</v>
      </c>
      <c r="N1129" t="s">
        <v>89</v>
      </c>
      <c r="O1129" t="s">
        <v>9</v>
      </c>
      <c r="P1129" t="s">
        <v>1465</v>
      </c>
    </row>
    <row r="1130" spans="1:17" hidden="1">
      <c r="A1130" t="s">
        <v>312</v>
      </c>
      <c r="B1130" s="1">
        <v>4590020154</v>
      </c>
      <c r="C1130" t="s">
        <v>1537</v>
      </c>
      <c r="D1130" s="160">
        <v>15918173.529999999</v>
      </c>
      <c r="F1130" t="s">
        <v>1538</v>
      </c>
      <c r="G1130" s="4">
        <v>45502</v>
      </c>
      <c r="H1130" s="4">
        <v>45502</v>
      </c>
      <c r="I1130">
        <v>2024</v>
      </c>
      <c r="J1130">
        <v>7</v>
      </c>
      <c r="K1130" s="4" t="s">
        <v>491</v>
      </c>
      <c r="L1130" t="s">
        <v>89</v>
      </c>
      <c r="M1130" t="s">
        <v>1528</v>
      </c>
      <c r="N1130" t="s">
        <v>89</v>
      </c>
      <c r="O1130" t="s">
        <v>9</v>
      </c>
      <c r="P1130" t="s">
        <v>1465</v>
      </c>
    </row>
    <row r="1131" spans="1:17" hidden="1">
      <c r="A1131" t="s">
        <v>314</v>
      </c>
      <c r="B1131" s="1">
        <v>4590020230</v>
      </c>
      <c r="C1131" t="s">
        <v>1539</v>
      </c>
      <c r="D1131" s="160">
        <v>232107.8</v>
      </c>
      <c r="E1131">
        <v>12974.83</v>
      </c>
      <c r="F1131" t="s">
        <v>1540</v>
      </c>
      <c r="G1131" s="4">
        <v>45502</v>
      </c>
      <c r="H1131" s="4">
        <v>45502</v>
      </c>
      <c r="I1131">
        <v>2024</v>
      </c>
      <c r="J1131">
        <v>7</v>
      </c>
      <c r="K1131" s="4" t="s">
        <v>491</v>
      </c>
      <c r="L1131" t="s">
        <v>89</v>
      </c>
      <c r="M1131" t="s">
        <v>299</v>
      </c>
      <c r="N1131" t="s">
        <v>89</v>
      </c>
      <c r="O1131" t="s">
        <v>9</v>
      </c>
      <c r="P1131" t="s">
        <v>1465</v>
      </c>
    </row>
    <row r="1132" spans="1:17" hidden="1">
      <c r="A1132" t="s">
        <v>982</v>
      </c>
      <c r="B1132" s="1">
        <v>4514041973</v>
      </c>
      <c r="C1132" t="s">
        <v>1541</v>
      </c>
      <c r="D1132" s="160">
        <v>127497.60000000001</v>
      </c>
      <c r="F1132" t="s">
        <v>1542</v>
      </c>
      <c r="G1132" s="4">
        <v>45503</v>
      </c>
      <c r="H1132" s="4">
        <v>45503</v>
      </c>
      <c r="I1132">
        <v>2024</v>
      </c>
      <c r="J1132">
        <v>4</v>
      </c>
      <c r="K1132" s="4" t="s">
        <v>767</v>
      </c>
      <c r="L1132" t="s">
        <v>89</v>
      </c>
      <c r="N1132" t="s">
        <v>89</v>
      </c>
      <c r="O1132" t="s">
        <v>18</v>
      </c>
      <c r="P1132" t="s">
        <v>985</v>
      </c>
    </row>
    <row r="1133" spans="1:17" hidden="1">
      <c r="A1133" t="s">
        <v>1163</v>
      </c>
      <c r="B1133" s="1">
        <v>4590011208</v>
      </c>
      <c r="C1133" t="s">
        <v>1164</v>
      </c>
      <c r="D1133" s="160">
        <v>34816</v>
      </c>
      <c r="F1133" t="s">
        <v>1543</v>
      </c>
      <c r="G1133" s="4">
        <v>45497</v>
      </c>
      <c r="H1133" s="4">
        <v>45500</v>
      </c>
      <c r="I1133">
        <v>2023</v>
      </c>
      <c r="J1133">
        <v>7</v>
      </c>
      <c r="K1133" s="4" t="s">
        <v>402</v>
      </c>
      <c r="L1133" t="s">
        <v>89</v>
      </c>
      <c r="N1133" t="s">
        <v>89</v>
      </c>
      <c r="O1133" t="s">
        <v>14</v>
      </c>
      <c r="P1133" t="s">
        <v>1167</v>
      </c>
    </row>
    <row r="1134" spans="1:17" hidden="1">
      <c r="A1134" t="s">
        <v>86</v>
      </c>
      <c r="B1134" s="1">
        <v>4590013602</v>
      </c>
      <c r="C1134" t="s">
        <v>1342</v>
      </c>
      <c r="D1134" s="160">
        <v>16274.95</v>
      </c>
      <c r="F1134" t="s">
        <v>1544</v>
      </c>
      <c r="G1134" s="4">
        <v>45506</v>
      </c>
      <c r="H1134" s="4">
        <v>45506</v>
      </c>
      <c r="I1134">
        <v>2024</v>
      </c>
      <c r="J1134">
        <v>8</v>
      </c>
      <c r="K1134" s="4" t="s">
        <v>1545</v>
      </c>
      <c r="L1134" t="s">
        <v>89</v>
      </c>
      <c r="M1134" t="s">
        <v>1208</v>
      </c>
      <c r="N1134" t="s">
        <v>89</v>
      </c>
      <c r="O1134" t="s">
        <v>12</v>
      </c>
      <c r="P1134" t="s">
        <v>448</v>
      </c>
      <c r="Q1134" t="s">
        <v>1546</v>
      </c>
    </row>
    <row r="1135" spans="1:17" hidden="1">
      <c r="A1135" t="s">
        <v>1366</v>
      </c>
      <c r="B1135" s="1">
        <v>4590019499</v>
      </c>
      <c r="C1135" t="s">
        <v>1480</v>
      </c>
      <c r="D1135" s="160">
        <v>690848.55</v>
      </c>
      <c r="F1135" t="s">
        <v>1547</v>
      </c>
      <c r="G1135" s="4">
        <v>45511</v>
      </c>
      <c r="H1135" s="4" t="s">
        <v>1548</v>
      </c>
      <c r="I1135">
        <v>2024</v>
      </c>
      <c r="J1135">
        <v>7</v>
      </c>
      <c r="K1135" s="4" t="s">
        <v>491</v>
      </c>
      <c r="L1135" t="s">
        <v>89</v>
      </c>
      <c r="M1135" t="s">
        <v>299</v>
      </c>
      <c r="N1135" t="s">
        <v>89</v>
      </c>
      <c r="O1135" t="s">
        <v>13</v>
      </c>
      <c r="P1135" t="s">
        <v>1424</v>
      </c>
      <c r="Q1135" t="s">
        <v>13</v>
      </c>
    </row>
    <row r="1136" spans="1:17" hidden="1">
      <c r="A1136" t="s">
        <v>1366</v>
      </c>
      <c r="B1136" s="1">
        <v>4590019500</v>
      </c>
      <c r="C1136" t="s">
        <v>1482</v>
      </c>
      <c r="D1136" s="160">
        <v>8218447.5999999996</v>
      </c>
      <c r="F1136" t="s">
        <v>1483</v>
      </c>
      <c r="G1136" s="4">
        <v>45511</v>
      </c>
      <c r="H1136" s="4" t="s">
        <v>1548</v>
      </c>
      <c r="I1136">
        <v>2024</v>
      </c>
      <c r="J1136">
        <v>7</v>
      </c>
      <c r="K1136" s="4" t="s">
        <v>491</v>
      </c>
      <c r="L1136" t="s">
        <v>89</v>
      </c>
      <c r="M1136" t="s">
        <v>299</v>
      </c>
      <c r="N1136" t="s">
        <v>89</v>
      </c>
      <c r="O1136" t="s">
        <v>13</v>
      </c>
      <c r="P1136" t="s">
        <v>1424</v>
      </c>
      <c r="Q1136" t="s">
        <v>13</v>
      </c>
    </row>
    <row r="1137" spans="1:17" hidden="1">
      <c r="A1137" t="s">
        <v>161</v>
      </c>
      <c r="B1137" s="1">
        <v>4370</v>
      </c>
      <c r="C1137" t="s">
        <v>1549</v>
      </c>
      <c r="D1137" s="160">
        <v>35911.699999999997</v>
      </c>
      <c r="F1137" t="s">
        <v>1550</v>
      </c>
      <c r="G1137" s="4">
        <v>45512</v>
      </c>
      <c r="H1137" s="4">
        <v>45512</v>
      </c>
      <c r="I1137">
        <v>2024</v>
      </c>
      <c r="J1137">
        <v>8</v>
      </c>
      <c r="K1137" s="4" t="s">
        <v>1545</v>
      </c>
      <c r="L1137" t="s">
        <v>89</v>
      </c>
      <c r="N1137" t="s">
        <v>89</v>
      </c>
      <c r="O1137" t="s">
        <v>18</v>
      </c>
      <c r="P1137" t="s">
        <v>1551</v>
      </c>
      <c r="Q1137" t="s">
        <v>13</v>
      </c>
    </row>
    <row r="1138" spans="1:17" hidden="1">
      <c r="A1138" t="s">
        <v>405</v>
      </c>
      <c r="B1138" s="1" t="s">
        <v>989</v>
      </c>
      <c r="C1138" t="s">
        <v>407</v>
      </c>
      <c r="D1138" s="160">
        <v>14278.68</v>
      </c>
      <c r="F1138" t="s">
        <v>1552</v>
      </c>
      <c r="G1138" s="4" t="s">
        <v>1553</v>
      </c>
      <c r="H1138" s="4" t="s">
        <v>1553</v>
      </c>
      <c r="I1138">
        <v>2024</v>
      </c>
      <c r="J1138">
        <v>2</v>
      </c>
      <c r="K1138" s="4" t="s">
        <v>682</v>
      </c>
      <c r="L1138" t="s">
        <v>89</v>
      </c>
      <c r="N1138" t="s">
        <v>89</v>
      </c>
      <c r="O1138" t="s">
        <v>8</v>
      </c>
      <c r="P1138" t="s">
        <v>550</v>
      </c>
    </row>
    <row r="1139" spans="1:17" hidden="1">
      <c r="A1139" t="s">
        <v>265</v>
      </c>
      <c r="B1139" s="1">
        <v>4590006750</v>
      </c>
      <c r="C1139" t="s">
        <v>266</v>
      </c>
      <c r="D1139" s="160">
        <v>490296</v>
      </c>
      <c r="F1139" t="s">
        <v>1554</v>
      </c>
      <c r="G1139" s="4">
        <v>45516</v>
      </c>
      <c r="H1139" s="4">
        <v>45516</v>
      </c>
      <c r="I1139">
        <v>2024</v>
      </c>
      <c r="J1139">
        <v>8</v>
      </c>
      <c r="K1139" s="4" t="s">
        <v>1545</v>
      </c>
      <c r="L1139" t="s">
        <v>89</v>
      </c>
      <c r="M1139" t="s">
        <v>683</v>
      </c>
      <c r="N1139" t="s">
        <v>89</v>
      </c>
      <c r="O1139" t="s">
        <v>8</v>
      </c>
      <c r="P1139" t="s">
        <v>268</v>
      </c>
    </row>
    <row r="1140" spans="1:17" hidden="1">
      <c r="A1140" t="s">
        <v>1555</v>
      </c>
      <c r="B1140" s="1" t="s">
        <v>1556</v>
      </c>
      <c r="C1140" t="s">
        <v>1557</v>
      </c>
      <c r="D1140" s="160">
        <v>56665</v>
      </c>
      <c r="F1140" t="s">
        <v>1558</v>
      </c>
      <c r="G1140" s="4" t="s">
        <v>1559</v>
      </c>
      <c r="H1140" s="4" t="s">
        <v>1559</v>
      </c>
      <c r="I1140">
        <v>2023</v>
      </c>
      <c r="J1140">
        <v>5</v>
      </c>
      <c r="K1140" s="4" t="s">
        <v>355</v>
      </c>
      <c r="N1140" t="s">
        <v>1560</v>
      </c>
      <c r="O1140" t="s">
        <v>1557</v>
      </c>
      <c r="P1140">
        <v>2300001082</v>
      </c>
    </row>
    <row r="1141" spans="1:17" hidden="1">
      <c r="A1141" t="s">
        <v>1561</v>
      </c>
      <c r="B1141" s="1" t="s">
        <v>1562</v>
      </c>
      <c r="C1141" t="s">
        <v>1557</v>
      </c>
      <c r="D1141" s="160">
        <v>72147</v>
      </c>
      <c r="F1141" t="s">
        <v>1563</v>
      </c>
      <c r="G1141" s="4" t="s">
        <v>1564</v>
      </c>
      <c r="H1141" s="4" t="s">
        <v>1564</v>
      </c>
      <c r="I1141">
        <v>2023</v>
      </c>
      <c r="J1141">
        <v>9</v>
      </c>
      <c r="K1141" s="4" t="s">
        <v>582</v>
      </c>
      <c r="N1141" t="s">
        <v>1565</v>
      </c>
      <c r="O1141" t="s">
        <v>1557</v>
      </c>
      <c r="P1141">
        <v>2300001082</v>
      </c>
    </row>
    <row r="1142" spans="1:17" hidden="1">
      <c r="A1142" t="s">
        <v>1561</v>
      </c>
      <c r="B1142" s="1" t="s">
        <v>1566</v>
      </c>
      <c r="C1142" t="s">
        <v>1557</v>
      </c>
      <c r="D1142" s="160">
        <v>57292</v>
      </c>
      <c r="F1142" t="s">
        <v>1567</v>
      </c>
      <c r="G1142" s="4" t="s">
        <v>1568</v>
      </c>
      <c r="H1142" s="4" t="s">
        <v>1568</v>
      </c>
      <c r="I1142">
        <v>2023</v>
      </c>
      <c r="J1142">
        <v>12</v>
      </c>
      <c r="K1142" s="4" t="s">
        <v>522</v>
      </c>
      <c r="N1142" t="s">
        <v>1569</v>
      </c>
      <c r="O1142" t="s">
        <v>1557</v>
      </c>
      <c r="P1142">
        <v>2300001082</v>
      </c>
    </row>
    <row r="1143" spans="1:17" hidden="1">
      <c r="A1143" t="s">
        <v>1561</v>
      </c>
      <c r="B1143" s="1" t="s">
        <v>1570</v>
      </c>
      <c r="C1143" t="s">
        <v>1557</v>
      </c>
      <c r="D1143" s="160">
        <v>31828</v>
      </c>
      <c r="F1143" t="s">
        <v>1571</v>
      </c>
      <c r="G1143" s="4" t="s">
        <v>849</v>
      </c>
      <c r="H1143" s="4" t="s">
        <v>849</v>
      </c>
      <c r="I1143">
        <v>2024</v>
      </c>
      <c r="J1143">
        <v>2</v>
      </c>
      <c r="K1143" s="4" t="s">
        <v>682</v>
      </c>
      <c r="N1143" t="s">
        <v>1572</v>
      </c>
      <c r="O1143" t="s">
        <v>1557</v>
      </c>
      <c r="P1143">
        <v>2300001082</v>
      </c>
    </row>
    <row r="1144" spans="1:17" hidden="1">
      <c r="A1144" t="s">
        <v>1561</v>
      </c>
      <c r="B1144" s="1" t="s">
        <v>1573</v>
      </c>
      <c r="C1144" t="s">
        <v>1557</v>
      </c>
      <c r="D1144" s="160">
        <v>25948</v>
      </c>
      <c r="F1144" t="s">
        <v>1574</v>
      </c>
      <c r="G1144" s="4" t="s">
        <v>1575</v>
      </c>
      <c r="H1144" s="4" t="s">
        <v>1575</v>
      </c>
      <c r="I1144">
        <v>2024</v>
      </c>
      <c r="J1144">
        <v>7</v>
      </c>
      <c r="K1144" s="4" t="s">
        <v>491</v>
      </c>
      <c r="L1144" t="s">
        <v>89</v>
      </c>
      <c r="N1144" t="s">
        <v>89</v>
      </c>
      <c r="O1144" t="s">
        <v>1557</v>
      </c>
      <c r="P1144" t="s">
        <v>1576</v>
      </c>
    </row>
    <row r="1145" spans="1:17" hidden="1">
      <c r="A1145" t="s">
        <v>1561</v>
      </c>
      <c r="B1145" s="1" t="s">
        <v>1577</v>
      </c>
      <c r="C1145" t="s">
        <v>1557</v>
      </c>
      <c r="D1145" s="160">
        <v>16923</v>
      </c>
      <c r="F1145" t="s">
        <v>1578</v>
      </c>
      <c r="G1145" s="4" t="s">
        <v>1548</v>
      </c>
      <c r="H1145" s="4" t="s">
        <v>1548</v>
      </c>
      <c r="I1145">
        <v>2024</v>
      </c>
      <c r="J1145">
        <v>8</v>
      </c>
      <c r="K1145" s="4" t="s">
        <v>1545</v>
      </c>
      <c r="N1145" t="s">
        <v>1579</v>
      </c>
      <c r="O1145" t="s">
        <v>1557</v>
      </c>
      <c r="P1145">
        <v>2300001082</v>
      </c>
    </row>
    <row r="1146" spans="1:17" hidden="1">
      <c r="A1146" t="s">
        <v>1580</v>
      </c>
      <c r="C1146" t="s">
        <v>1581</v>
      </c>
      <c r="D1146" s="160">
        <v>99571.71</v>
      </c>
      <c r="F1146" t="s">
        <v>1582</v>
      </c>
      <c r="G1146" s="4" t="s">
        <v>1583</v>
      </c>
      <c r="H1146" s="4" t="s">
        <v>1583</v>
      </c>
      <c r="I1146">
        <v>2024</v>
      </c>
      <c r="J1146">
        <v>7</v>
      </c>
      <c r="K1146" s="4" t="s">
        <v>491</v>
      </c>
      <c r="L1146" t="s">
        <v>89</v>
      </c>
      <c r="N1146" t="s">
        <v>89</v>
      </c>
      <c r="O1146" t="s">
        <v>1584</v>
      </c>
      <c r="P1146" t="s">
        <v>1585</v>
      </c>
    </row>
    <row r="1147" spans="1:17" hidden="1">
      <c r="A1147" t="s">
        <v>1580</v>
      </c>
      <c r="C1147" t="s">
        <v>1586</v>
      </c>
      <c r="D1147" s="160">
        <v>469498.71</v>
      </c>
      <c r="F1147" t="s">
        <v>1587</v>
      </c>
      <c r="G1147" s="4" t="s">
        <v>1583</v>
      </c>
      <c r="H1147" s="4" t="s">
        <v>1583</v>
      </c>
      <c r="I1147">
        <v>2024</v>
      </c>
      <c r="J1147">
        <v>7</v>
      </c>
      <c r="K1147" s="4" t="s">
        <v>491</v>
      </c>
      <c r="L1147" t="s">
        <v>89</v>
      </c>
      <c r="N1147" t="s">
        <v>89</v>
      </c>
      <c r="O1147" t="s">
        <v>1584</v>
      </c>
      <c r="P1147" t="s">
        <v>1585</v>
      </c>
    </row>
    <row r="1148" spans="1:17" hidden="1">
      <c r="A1148" t="s">
        <v>1580</v>
      </c>
      <c r="C1148" t="s">
        <v>1588</v>
      </c>
      <c r="D1148" s="160">
        <v>176495.1</v>
      </c>
      <c r="F1148" t="s">
        <v>1589</v>
      </c>
      <c r="G1148" s="4" t="s">
        <v>1590</v>
      </c>
      <c r="H1148" s="4" t="s">
        <v>1590</v>
      </c>
      <c r="I1148">
        <v>2024</v>
      </c>
      <c r="J1148">
        <v>7</v>
      </c>
      <c r="K1148" s="4" t="s">
        <v>491</v>
      </c>
      <c r="L1148" t="s">
        <v>89</v>
      </c>
      <c r="N1148" t="s">
        <v>89</v>
      </c>
      <c r="O1148" t="s">
        <v>1584</v>
      </c>
      <c r="P1148" t="s">
        <v>1585</v>
      </c>
    </row>
    <row r="1149" spans="1:17" hidden="1">
      <c r="A1149" t="s">
        <v>1580</v>
      </c>
      <c r="C1149" t="s">
        <v>1591</v>
      </c>
      <c r="D1149" s="160">
        <v>44156.33</v>
      </c>
      <c r="F1149" t="s">
        <v>1592</v>
      </c>
      <c r="G1149" s="4" t="s">
        <v>1593</v>
      </c>
      <c r="H1149" s="4" t="s">
        <v>1593</v>
      </c>
      <c r="I1149">
        <v>2024</v>
      </c>
      <c r="J1149">
        <v>8</v>
      </c>
      <c r="K1149" s="4" t="s">
        <v>1545</v>
      </c>
      <c r="N1149" t="s">
        <v>1594</v>
      </c>
      <c r="O1149" t="s">
        <v>1584</v>
      </c>
      <c r="P1149" t="s">
        <v>550</v>
      </c>
    </row>
    <row r="1150" spans="1:17" hidden="1">
      <c r="A1150" t="s">
        <v>146</v>
      </c>
      <c r="C1150" t="s">
        <v>1595</v>
      </c>
      <c r="D1150" s="160">
        <v>56304.24</v>
      </c>
      <c r="F1150" t="s">
        <v>1596</v>
      </c>
      <c r="G1150" s="4" t="s">
        <v>1597</v>
      </c>
      <c r="H1150" s="4" t="s">
        <v>1597</v>
      </c>
      <c r="I1150">
        <v>2022</v>
      </c>
      <c r="J1150">
        <v>11</v>
      </c>
      <c r="K1150" s="4" t="s">
        <v>241</v>
      </c>
      <c r="L1150" t="s">
        <v>89</v>
      </c>
      <c r="N1150" t="s">
        <v>89</v>
      </c>
      <c r="O1150" t="s">
        <v>1595</v>
      </c>
      <c r="P1150" t="s">
        <v>282</v>
      </c>
    </row>
    <row r="1151" spans="1:17" hidden="1">
      <c r="A1151" t="s">
        <v>146</v>
      </c>
      <c r="C1151" t="s">
        <v>1595</v>
      </c>
      <c r="D1151" s="160">
        <v>15458.97</v>
      </c>
      <c r="F1151" t="s">
        <v>1598</v>
      </c>
      <c r="G1151" s="4" t="s">
        <v>1599</v>
      </c>
      <c r="H1151" s="4" t="s">
        <v>1599</v>
      </c>
      <c r="I1151">
        <v>2023</v>
      </c>
      <c r="J1151">
        <v>1</v>
      </c>
      <c r="K1151" s="4" t="s">
        <v>311</v>
      </c>
      <c r="L1151" t="s">
        <v>89</v>
      </c>
      <c r="N1151" t="s">
        <v>89</v>
      </c>
      <c r="O1151" t="s">
        <v>1595</v>
      </c>
      <c r="P1151" t="s">
        <v>282</v>
      </c>
    </row>
    <row r="1152" spans="1:17" hidden="1">
      <c r="A1152" t="s">
        <v>146</v>
      </c>
      <c r="C1152" t="s">
        <v>1595</v>
      </c>
      <c r="D1152" s="160">
        <v>17277.830000000002</v>
      </c>
      <c r="F1152" t="s">
        <v>1600</v>
      </c>
      <c r="G1152" s="4" t="s">
        <v>1601</v>
      </c>
      <c r="H1152" s="4" t="s">
        <v>1601</v>
      </c>
      <c r="I1152">
        <v>2023</v>
      </c>
      <c r="J1152">
        <v>3</v>
      </c>
      <c r="K1152" s="4" t="s">
        <v>377</v>
      </c>
      <c r="L1152" t="s">
        <v>89</v>
      </c>
      <c r="N1152" t="s">
        <v>89</v>
      </c>
      <c r="O1152" t="s">
        <v>1595</v>
      </c>
      <c r="P1152" t="s">
        <v>282</v>
      </c>
    </row>
    <row r="1153" spans="1:16" hidden="1">
      <c r="A1153" t="s">
        <v>146</v>
      </c>
      <c r="C1153" t="s">
        <v>1595</v>
      </c>
      <c r="D1153" s="160">
        <v>12849.48</v>
      </c>
      <c r="F1153" t="s">
        <v>1602</v>
      </c>
      <c r="G1153" s="4" t="s">
        <v>1603</v>
      </c>
      <c r="H1153" s="4" t="s">
        <v>1603</v>
      </c>
      <c r="I1153">
        <v>2023</v>
      </c>
      <c r="J1153">
        <v>5</v>
      </c>
      <c r="K1153" s="4" t="s">
        <v>355</v>
      </c>
      <c r="L1153" t="s">
        <v>89</v>
      </c>
      <c r="N1153" t="s">
        <v>89</v>
      </c>
      <c r="O1153" t="s">
        <v>1595</v>
      </c>
      <c r="P1153" t="s">
        <v>282</v>
      </c>
    </row>
    <row r="1154" spans="1:16" hidden="1">
      <c r="A1154" t="s">
        <v>146</v>
      </c>
      <c r="C1154" t="s">
        <v>1595</v>
      </c>
      <c r="D1154" s="160">
        <v>58713.99</v>
      </c>
      <c r="F1154" t="s">
        <v>1604</v>
      </c>
      <c r="G1154" s="4" t="s">
        <v>1605</v>
      </c>
      <c r="H1154" s="4" t="s">
        <v>1605</v>
      </c>
      <c r="I1154">
        <v>2023</v>
      </c>
      <c r="J1154">
        <v>11</v>
      </c>
      <c r="K1154" s="4" t="s">
        <v>457</v>
      </c>
      <c r="L1154" t="s">
        <v>89</v>
      </c>
      <c r="N1154" t="s">
        <v>89</v>
      </c>
      <c r="O1154" t="s">
        <v>1595</v>
      </c>
      <c r="P1154" t="s">
        <v>282</v>
      </c>
    </row>
    <row r="1155" spans="1:16" hidden="1">
      <c r="A1155" t="s">
        <v>146</v>
      </c>
      <c r="C1155" t="s">
        <v>1595</v>
      </c>
      <c r="D1155" s="160">
        <v>12819.07</v>
      </c>
      <c r="F1155" t="s">
        <v>1606</v>
      </c>
      <c r="G1155" s="4" t="s">
        <v>1607</v>
      </c>
      <c r="H1155" s="4" t="s">
        <v>1607</v>
      </c>
      <c r="I1155">
        <v>2023</v>
      </c>
      <c r="J1155">
        <v>12</v>
      </c>
      <c r="K1155" s="4" t="s">
        <v>522</v>
      </c>
      <c r="L1155" t="s">
        <v>89</v>
      </c>
      <c r="N1155" t="s">
        <v>89</v>
      </c>
      <c r="O1155" t="s">
        <v>1595</v>
      </c>
      <c r="P1155" t="s">
        <v>282</v>
      </c>
    </row>
    <row r="1156" spans="1:16" hidden="1">
      <c r="A1156" t="s">
        <v>146</v>
      </c>
      <c r="C1156" t="s">
        <v>1595</v>
      </c>
      <c r="D1156" s="160">
        <v>4526.96</v>
      </c>
      <c r="F1156" t="s">
        <v>1608</v>
      </c>
      <c r="G1156" s="4" t="s">
        <v>1609</v>
      </c>
      <c r="H1156" s="4" t="s">
        <v>1609</v>
      </c>
      <c r="I1156">
        <v>2024</v>
      </c>
      <c r="J1156">
        <v>3</v>
      </c>
      <c r="K1156" s="4" t="s">
        <v>697</v>
      </c>
      <c r="L1156" t="s">
        <v>89</v>
      </c>
      <c r="N1156" t="s">
        <v>89</v>
      </c>
      <c r="O1156" t="s">
        <v>1595</v>
      </c>
      <c r="P1156" t="s">
        <v>282</v>
      </c>
    </row>
    <row r="1157" spans="1:16" hidden="1">
      <c r="A1157" t="s">
        <v>146</v>
      </c>
      <c r="C1157" t="s">
        <v>1595</v>
      </c>
      <c r="D1157" s="160">
        <v>3326.96</v>
      </c>
      <c r="F1157" t="s">
        <v>1610</v>
      </c>
      <c r="G1157" s="4" t="s">
        <v>1611</v>
      </c>
      <c r="H1157" s="4" t="s">
        <v>1611</v>
      </c>
      <c r="I1157">
        <v>2024</v>
      </c>
      <c r="J1157">
        <v>6</v>
      </c>
      <c r="K1157" s="4" t="s">
        <v>886</v>
      </c>
      <c r="L1157" t="s">
        <v>89</v>
      </c>
      <c r="N1157" t="s">
        <v>89</v>
      </c>
      <c r="O1157" t="s">
        <v>1595</v>
      </c>
      <c r="P1157" t="s">
        <v>282</v>
      </c>
    </row>
    <row r="1158" spans="1:16" hidden="1">
      <c r="A1158" t="s">
        <v>1401</v>
      </c>
      <c r="C1158" t="s">
        <v>1612</v>
      </c>
      <c r="D1158" s="160">
        <v>238414.42</v>
      </c>
      <c r="F1158" t="s">
        <v>832</v>
      </c>
      <c r="G1158" s="4" t="s">
        <v>1613</v>
      </c>
      <c r="H1158" s="4" t="s">
        <v>1613</v>
      </c>
      <c r="I1158">
        <v>2024</v>
      </c>
      <c r="J1158">
        <v>3</v>
      </c>
      <c r="K1158" s="4" t="s">
        <v>697</v>
      </c>
      <c r="N1158" t="s">
        <v>1614</v>
      </c>
      <c r="O1158" t="s">
        <v>1615</v>
      </c>
      <c r="P1158" t="s">
        <v>282</v>
      </c>
    </row>
    <row r="1159" spans="1:16" hidden="1">
      <c r="A1159" t="s">
        <v>1401</v>
      </c>
      <c r="C1159" t="s">
        <v>1616</v>
      </c>
      <c r="D1159" s="160">
        <v>59898.04</v>
      </c>
      <c r="F1159" t="s">
        <v>1617</v>
      </c>
      <c r="G1159" s="4" t="s">
        <v>1618</v>
      </c>
      <c r="H1159" s="4" t="s">
        <v>1618</v>
      </c>
      <c r="I1159">
        <v>2024</v>
      </c>
      <c r="J1159">
        <v>6</v>
      </c>
      <c r="K1159" s="4" t="s">
        <v>886</v>
      </c>
      <c r="N1159" t="s">
        <v>1349</v>
      </c>
      <c r="O1159" t="s">
        <v>1615</v>
      </c>
      <c r="P1159" t="s">
        <v>282</v>
      </c>
    </row>
    <row r="1160" spans="1:16" hidden="1">
      <c r="A1160" t="s">
        <v>1401</v>
      </c>
      <c r="C1160" t="s">
        <v>1619</v>
      </c>
      <c r="D1160" s="160">
        <v>54837.82</v>
      </c>
      <c r="F1160" t="s">
        <v>1620</v>
      </c>
      <c r="G1160" s="4" t="s">
        <v>1621</v>
      </c>
      <c r="H1160" s="4" t="s">
        <v>1621</v>
      </c>
      <c r="I1160">
        <v>2024</v>
      </c>
      <c r="J1160">
        <v>6</v>
      </c>
      <c r="K1160" s="4" t="s">
        <v>886</v>
      </c>
      <c r="N1160" t="s">
        <v>1622</v>
      </c>
      <c r="O1160" t="s">
        <v>1615</v>
      </c>
      <c r="P1160" t="s">
        <v>282</v>
      </c>
    </row>
    <row r="1161" spans="1:16" hidden="1">
      <c r="A1161" t="s">
        <v>1401</v>
      </c>
      <c r="C1161" t="s">
        <v>1623</v>
      </c>
      <c r="D1161" s="160">
        <v>20794.13</v>
      </c>
      <c r="F1161" t="s">
        <v>1624</v>
      </c>
      <c r="G1161" s="4">
        <v>45526</v>
      </c>
      <c r="H1161" s="4" t="s">
        <v>1593</v>
      </c>
      <c r="I1161">
        <v>2024</v>
      </c>
      <c r="J1161">
        <v>8</v>
      </c>
      <c r="K1161" s="4" t="s">
        <v>1545</v>
      </c>
      <c r="N1161" t="s">
        <v>1594</v>
      </c>
      <c r="P1161" t="s">
        <v>550</v>
      </c>
    </row>
    <row r="1162" spans="1:16" hidden="1">
      <c r="A1162" t="s">
        <v>161</v>
      </c>
      <c r="B1162" s="1" t="s">
        <v>162</v>
      </c>
      <c r="C1162" t="s">
        <v>1069</v>
      </c>
      <c r="D1162" s="160">
        <v>6978.96</v>
      </c>
      <c r="F1162" t="s">
        <v>1625</v>
      </c>
      <c r="G1162" s="4">
        <v>45516</v>
      </c>
      <c r="H1162" s="4">
        <v>45516</v>
      </c>
      <c r="I1162">
        <v>2024</v>
      </c>
      <c r="J1162">
        <v>8</v>
      </c>
      <c r="K1162" s="4" t="s">
        <v>1545</v>
      </c>
      <c r="L1162" t="s">
        <v>89</v>
      </c>
      <c r="N1162" t="s">
        <v>89</v>
      </c>
      <c r="O1162" t="s">
        <v>18</v>
      </c>
      <c r="P1162" t="s">
        <v>164</v>
      </c>
    </row>
    <row r="1163" spans="1:16" hidden="1">
      <c r="A1163" t="s">
        <v>405</v>
      </c>
      <c r="B1163" s="1" t="s">
        <v>1626</v>
      </c>
      <c r="C1163" t="s">
        <v>1627</v>
      </c>
      <c r="D1163" s="160">
        <v>540343.24</v>
      </c>
      <c r="E1163">
        <v>30205.19</v>
      </c>
      <c r="F1163" t="s">
        <v>1628</v>
      </c>
      <c r="G1163" s="4" t="s">
        <v>1629</v>
      </c>
      <c r="H1163" s="4" t="s">
        <v>1629</v>
      </c>
      <c r="I1163">
        <v>2024</v>
      </c>
      <c r="J1163">
        <v>8</v>
      </c>
      <c r="K1163" s="4" t="s">
        <v>1545</v>
      </c>
      <c r="L1163" t="s">
        <v>329</v>
      </c>
      <c r="N1163" t="s">
        <v>1630</v>
      </c>
      <c r="O1163" t="s">
        <v>18</v>
      </c>
      <c r="P1163" t="s">
        <v>1631</v>
      </c>
    </row>
    <row r="1164" spans="1:16" hidden="1">
      <c r="A1164" t="s">
        <v>1401</v>
      </c>
      <c r="B1164" s="1" t="s">
        <v>1632</v>
      </c>
      <c r="C1164" t="s">
        <v>1633</v>
      </c>
      <c r="D1164" s="160">
        <v>655000</v>
      </c>
      <c r="F1164" t="s">
        <v>1634</v>
      </c>
      <c r="G1164" s="4" t="s">
        <v>1635</v>
      </c>
      <c r="H1164" s="4" t="s">
        <v>1629</v>
      </c>
      <c r="I1164">
        <v>2024</v>
      </c>
      <c r="J1164">
        <v>8</v>
      </c>
      <c r="K1164" s="4" t="s">
        <v>1545</v>
      </c>
      <c r="L1164" t="s">
        <v>89</v>
      </c>
      <c r="N1164" t="s">
        <v>89</v>
      </c>
      <c r="O1164" t="s">
        <v>18</v>
      </c>
      <c r="P1164" t="s">
        <v>1636</v>
      </c>
    </row>
    <row r="1165" spans="1:16" hidden="1">
      <c r="A1165" t="s">
        <v>237</v>
      </c>
      <c r="B1165" s="1" t="s">
        <v>1637</v>
      </c>
      <c r="C1165" t="s">
        <v>1638</v>
      </c>
      <c r="D1165" s="160">
        <v>65616.7</v>
      </c>
      <c r="F1165" t="s">
        <v>1639</v>
      </c>
      <c r="G1165" s="4" t="s">
        <v>1640</v>
      </c>
      <c r="H1165" s="4" t="s">
        <v>1640</v>
      </c>
      <c r="I1165">
        <v>2024</v>
      </c>
      <c r="J1165">
        <v>8</v>
      </c>
      <c r="K1165" s="4" t="s">
        <v>1545</v>
      </c>
      <c r="L1165" t="s">
        <v>89</v>
      </c>
      <c r="N1165" t="s">
        <v>89</v>
      </c>
      <c r="O1165" t="s">
        <v>18</v>
      </c>
      <c r="P1165" t="s">
        <v>240</v>
      </c>
    </row>
    <row r="1166" spans="1:16" hidden="1">
      <c r="A1166" t="s">
        <v>830</v>
      </c>
      <c r="B1166" s="1">
        <v>20230315002</v>
      </c>
      <c r="C1166" t="s">
        <v>831</v>
      </c>
      <c r="D1166" s="160">
        <v>122733.55</v>
      </c>
      <c r="F1166" t="s">
        <v>1641</v>
      </c>
      <c r="G1166" s="4">
        <v>45523</v>
      </c>
      <c r="H1166" s="4">
        <v>45523</v>
      </c>
      <c r="I1166">
        <v>2024</v>
      </c>
      <c r="J1166">
        <v>8</v>
      </c>
      <c r="K1166" s="4" t="s">
        <v>1545</v>
      </c>
      <c r="L1166" t="s">
        <v>89</v>
      </c>
      <c r="N1166" t="s">
        <v>89</v>
      </c>
      <c r="O1166" t="s">
        <v>18</v>
      </c>
      <c r="P1166" t="s">
        <v>834</v>
      </c>
    </row>
    <row r="1167" spans="1:16" hidden="1">
      <c r="A1167" t="s">
        <v>1401</v>
      </c>
      <c r="C1167" t="s">
        <v>1642</v>
      </c>
      <c r="D1167" s="160">
        <v>3500</v>
      </c>
      <c r="F1167" t="s">
        <v>1643</v>
      </c>
      <c r="G1167" s="4" t="s">
        <v>1644</v>
      </c>
      <c r="H1167" s="4" t="s">
        <v>1644</v>
      </c>
      <c r="I1167">
        <v>2022</v>
      </c>
      <c r="J1167">
        <v>8</v>
      </c>
      <c r="K1167" s="4" t="s">
        <v>174</v>
      </c>
      <c r="N1167" t="s">
        <v>1645</v>
      </c>
      <c r="O1167" t="s">
        <v>1646</v>
      </c>
      <c r="P1167" t="s">
        <v>550</v>
      </c>
    </row>
    <row r="1168" spans="1:16" hidden="1">
      <c r="A1168" t="s">
        <v>1401</v>
      </c>
      <c r="C1168" t="s">
        <v>1647</v>
      </c>
      <c r="D1168" s="160">
        <v>3500</v>
      </c>
      <c r="F1168" t="s">
        <v>1648</v>
      </c>
      <c r="G1168" s="4" t="s">
        <v>1649</v>
      </c>
      <c r="H1168" s="4" t="s">
        <v>1649</v>
      </c>
      <c r="I1168">
        <v>2022</v>
      </c>
      <c r="J1168">
        <v>9</v>
      </c>
      <c r="K1168" s="4" t="s">
        <v>182</v>
      </c>
      <c r="N1168" t="s">
        <v>1650</v>
      </c>
      <c r="O1168" t="s">
        <v>1646</v>
      </c>
      <c r="P1168" t="s">
        <v>550</v>
      </c>
    </row>
    <row r="1169" spans="1:17" hidden="1">
      <c r="A1169" t="s">
        <v>1401</v>
      </c>
      <c r="C1169" t="s">
        <v>1651</v>
      </c>
      <c r="D1169" s="160">
        <v>3500</v>
      </c>
      <c r="F1169" t="s">
        <v>1652</v>
      </c>
      <c r="G1169" s="4" t="s">
        <v>1649</v>
      </c>
      <c r="H1169" s="4" t="s">
        <v>1649</v>
      </c>
      <c r="I1169">
        <v>2022</v>
      </c>
      <c r="J1169">
        <v>9</v>
      </c>
      <c r="K1169" s="4" t="s">
        <v>182</v>
      </c>
      <c r="N1169" t="s">
        <v>1650</v>
      </c>
      <c r="O1169" t="s">
        <v>1646</v>
      </c>
      <c r="P1169" t="s">
        <v>550</v>
      </c>
    </row>
    <row r="1170" spans="1:17" hidden="1">
      <c r="A1170" t="s">
        <v>1401</v>
      </c>
      <c r="C1170" t="s">
        <v>1653</v>
      </c>
      <c r="D1170" s="160">
        <v>3500</v>
      </c>
      <c r="F1170" t="s">
        <v>1654</v>
      </c>
      <c r="G1170" s="4" t="s">
        <v>1655</v>
      </c>
      <c r="H1170" s="4" t="s">
        <v>1655</v>
      </c>
      <c r="I1170">
        <v>2022</v>
      </c>
      <c r="J1170">
        <v>10</v>
      </c>
      <c r="K1170" s="4" t="s">
        <v>209</v>
      </c>
      <c r="N1170" t="s">
        <v>1656</v>
      </c>
      <c r="O1170" t="s">
        <v>1646</v>
      </c>
      <c r="P1170" t="s">
        <v>550</v>
      </c>
    </row>
    <row r="1171" spans="1:17" hidden="1">
      <c r="A1171" t="s">
        <v>1401</v>
      </c>
      <c r="C1171" t="s">
        <v>1657</v>
      </c>
      <c r="D1171" s="160">
        <v>3500</v>
      </c>
      <c r="F1171" t="s">
        <v>1658</v>
      </c>
      <c r="G1171" s="4" t="s">
        <v>1597</v>
      </c>
      <c r="H1171" s="4" t="s">
        <v>1597</v>
      </c>
      <c r="I1171">
        <v>2022</v>
      </c>
      <c r="J1171">
        <v>11</v>
      </c>
      <c r="K1171" s="4" t="s">
        <v>241</v>
      </c>
      <c r="N1171" t="s">
        <v>1659</v>
      </c>
      <c r="O1171" t="s">
        <v>1646</v>
      </c>
      <c r="P1171" t="s">
        <v>550</v>
      </c>
    </row>
    <row r="1172" spans="1:17" hidden="1">
      <c r="A1172" t="s">
        <v>1401</v>
      </c>
      <c r="C1172" t="s">
        <v>1660</v>
      </c>
      <c r="D1172" s="160">
        <v>3500</v>
      </c>
      <c r="F1172" t="s">
        <v>1661</v>
      </c>
      <c r="G1172" s="4" t="s">
        <v>1662</v>
      </c>
      <c r="H1172" s="4" t="s">
        <v>1662</v>
      </c>
      <c r="I1172">
        <v>2022</v>
      </c>
      <c r="J1172">
        <v>12</v>
      </c>
      <c r="K1172" s="4" t="s">
        <v>257</v>
      </c>
      <c r="N1172" t="s">
        <v>1663</v>
      </c>
      <c r="O1172" t="s">
        <v>1646</v>
      </c>
      <c r="P1172" t="s">
        <v>550</v>
      </c>
    </row>
    <row r="1173" spans="1:17" hidden="1">
      <c r="A1173" t="s">
        <v>1401</v>
      </c>
      <c r="C1173" t="s">
        <v>1664</v>
      </c>
      <c r="D1173" s="160">
        <v>3500</v>
      </c>
      <c r="F1173" t="s">
        <v>1665</v>
      </c>
      <c r="G1173" s="4" t="s">
        <v>1666</v>
      </c>
      <c r="H1173" s="4" t="s">
        <v>1666</v>
      </c>
      <c r="I1173">
        <v>2022</v>
      </c>
      <c r="J1173">
        <v>12</v>
      </c>
      <c r="K1173" s="4" t="s">
        <v>257</v>
      </c>
      <c r="N1173" t="s">
        <v>1667</v>
      </c>
      <c r="O1173" t="s">
        <v>1646</v>
      </c>
      <c r="P1173" t="s">
        <v>550</v>
      </c>
    </row>
    <row r="1174" spans="1:17" hidden="1">
      <c r="A1174" t="s">
        <v>1401</v>
      </c>
      <c r="C1174" t="s">
        <v>1668</v>
      </c>
      <c r="D1174" s="160">
        <v>3500</v>
      </c>
      <c r="F1174" t="s">
        <v>1669</v>
      </c>
      <c r="G1174" s="4" t="s">
        <v>1670</v>
      </c>
      <c r="H1174" s="4" t="s">
        <v>1670</v>
      </c>
      <c r="I1174">
        <v>2023</v>
      </c>
      <c r="J1174">
        <v>2</v>
      </c>
      <c r="K1174" s="4" t="s">
        <v>94</v>
      </c>
      <c r="N1174" t="s">
        <v>1671</v>
      </c>
      <c r="O1174" t="s">
        <v>1646</v>
      </c>
      <c r="P1174" t="s">
        <v>550</v>
      </c>
    </row>
    <row r="1175" spans="1:17" hidden="1">
      <c r="A1175" t="s">
        <v>1401</v>
      </c>
      <c r="C1175" t="s">
        <v>1672</v>
      </c>
      <c r="D1175" s="160">
        <v>3500</v>
      </c>
      <c r="F1175" t="s">
        <v>1673</v>
      </c>
      <c r="G1175" s="4" t="s">
        <v>1674</v>
      </c>
      <c r="H1175" s="4" t="s">
        <v>1674</v>
      </c>
      <c r="I1175">
        <v>2023</v>
      </c>
      <c r="J1175">
        <v>3</v>
      </c>
      <c r="K1175" s="4" t="s">
        <v>377</v>
      </c>
      <c r="N1175" t="s">
        <v>1675</v>
      </c>
      <c r="O1175" t="s">
        <v>1646</v>
      </c>
      <c r="P1175" t="s">
        <v>550</v>
      </c>
    </row>
    <row r="1176" spans="1:17" hidden="1">
      <c r="A1176" t="s">
        <v>1401</v>
      </c>
      <c r="C1176" t="s">
        <v>1676</v>
      </c>
      <c r="D1176" s="160">
        <v>3500</v>
      </c>
      <c r="F1176" t="s">
        <v>1677</v>
      </c>
      <c r="G1176" s="4" t="s">
        <v>1678</v>
      </c>
      <c r="H1176" s="4" t="s">
        <v>1678</v>
      </c>
      <c r="I1176">
        <v>2023</v>
      </c>
      <c r="J1176">
        <v>3</v>
      </c>
      <c r="K1176" s="4" t="s">
        <v>377</v>
      </c>
      <c r="N1176" t="s">
        <v>1679</v>
      </c>
      <c r="O1176" t="s">
        <v>1646</v>
      </c>
      <c r="P1176" t="s">
        <v>550</v>
      </c>
    </row>
    <row r="1177" spans="1:17" hidden="1">
      <c r="A1177" t="s">
        <v>1401</v>
      </c>
      <c r="C1177" t="s">
        <v>1680</v>
      </c>
      <c r="D1177" s="160">
        <v>3500</v>
      </c>
      <c r="F1177" t="s">
        <v>1681</v>
      </c>
      <c r="G1177" s="4" t="s">
        <v>1682</v>
      </c>
      <c r="H1177" s="4" t="s">
        <v>1682</v>
      </c>
      <c r="I1177">
        <v>2023</v>
      </c>
      <c r="J1177">
        <v>4</v>
      </c>
      <c r="K1177" s="4" t="s">
        <v>413</v>
      </c>
      <c r="N1177" t="s">
        <v>1683</v>
      </c>
      <c r="O1177" t="s">
        <v>1646</v>
      </c>
      <c r="P1177" t="s">
        <v>550</v>
      </c>
    </row>
    <row r="1178" spans="1:17" hidden="1">
      <c r="A1178" t="s">
        <v>1401</v>
      </c>
      <c r="C1178" t="s">
        <v>1684</v>
      </c>
      <c r="D1178" s="160">
        <v>3500</v>
      </c>
      <c r="F1178" t="s">
        <v>1685</v>
      </c>
      <c r="G1178" s="4" t="s">
        <v>1686</v>
      </c>
      <c r="H1178" s="4" t="s">
        <v>1686</v>
      </c>
      <c r="I1178">
        <v>2023</v>
      </c>
      <c r="J1178">
        <v>5</v>
      </c>
      <c r="K1178" s="4" t="s">
        <v>355</v>
      </c>
      <c r="N1178" t="s">
        <v>1687</v>
      </c>
      <c r="O1178" t="s">
        <v>1646</v>
      </c>
      <c r="P1178" t="s">
        <v>550</v>
      </c>
    </row>
    <row r="1179" spans="1:17" hidden="1">
      <c r="A1179" t="s">
        <v>1401</v>
      </c>
      <c r="C1179" t="s">
        <v>1688</v>
      </c>
      <c r="D1179" s="160">
        <v>3500</v>
      </c>
      <c r="F1179" t="s">
        <v>1689</v>
      </c>
      <c r="G1179" s="4" t="s">
        <v>1690</v>
      </c>
      <c r="H1179" s="4" t="s">
        <v>1690</v>
      </c>
      <c r="I1179">
        <v>2023</v>
      </c>
      <c r="J1179">
        <v>8</v>
      </c>
      <c r="K1179" s="4" t="s">
        <v>420</v>
      </c>
      <c r="N1179" t="s">
        <v>581</v>
      </c>
      <c r="O1179" t="s">
        <v>1646</v>
      </c>
      <c r="P1179" t="s">
        <v>550</v>
      </c>
    </row>
    <row r="1180" spans="1:17" hidden="1">
      <c r="A1180" t="s">
        <v>1401</v>
      </c>
      <c r="C1180" t="s">
        <v>1691</v>
      </c>
      <c r="D1180" s="160">
        <v>3500</v>
      </c>
      <c r="F1180" t="s">
        <v>1692</v>
      </c>
      <c r="G1180" s="4" t="s">
        <v>1690</v>
      </c>
      <c r="H1180" s="4" t="s">
        <v>1690</v>
      </c>
      <c r="I1180">
        <v>2023</v>
      </c>
      <c r="J1180">
        <v>8</v>
      </c>
      <c r="K1180" s="4" t="s">
        <v>420</v>
      </c>
      <c r="N1180" t="s">
        <v>581</v>
      </c>
      <c r="O1180" t="s">
        <v>1646</v>
      </c>
      <c r="P1180" t="s">
        <v>550</v>
      </c>
    </row>
    <row r="1181" spans="1:17" hidden="1">
      <c r="A1181" t="s">
        <v>1401</v>
      </c>
      <c r="C1181" t="s">
        <v>1693</v>
      </c>
      <c r="D1181" s="160">
        <v>3500</v>
      </c>
      <c r="F1181" t="s">
        <v>1694</v>
      </c>
      <c r="G1181" s="4" t="s">
        <v>1695</v>
      </c>
      <c r="H1181" s="4" t="s">
        <v>1695</v>
      </c>
      <c r="I1181">
        <v>2023</v>
      </c>
      <c r="J1181">
        <v>9</v>
      </c>
      <c r="K1181" s="4" t="s">
        <v>582</v>
      </c>
      <c r="N1181" t="s">
        <v>1696</v>
      </c>
      <c r="O1181" t="s">
        <v>1646</v>
      </c>
      <c r="P1181" t="s">
        <v>550</v>
      </c>
    </row>
    <row r="1182" spans="1:17" hidden="1">
      <c r="A1182" t="s">
        <v>1401</v>
      </c>
      <c r="C1182" t="s">
        <v>1697</v>
      </c>
      <c r="D1182" s="160">
        <v>3500</v>
      </c>
      <c r="F1182" t="s">
        <v>1698</v>
      </c>
      <c r="G1182" s="4" t="s">
        <v>1699</v>
      </c>
      <c r="H1182" s="4" t="s">
        <v>1699</v>
      </c>
      <c r="I1182">
        <v>2023</v>
      </c>
      <c r="J1182">
        <v>8</v>
      </c>
      <c r="K1182" s="4" t="s">
        <v>420</v>
      </c>
      <c r="N1182" t="s">
        <v>1700</v>
      </c>
      <c r="O1182" t="s">
        <v>1646</v>
      </c>
      <c r="P1182" t="s">
        <v>550</v>
      </c>
    </row>
    <row r="1183" spans="1:17" hidden="1">
      <c r="A1183" t="s">
        <v>1401</v>
      </c>
      <c r="C1183" t="s">
        <v>1701</v>
      </c>
      <c r="D1183" s="160">
        <v>3500</v>
      </c>
      <c r="F1183" t="s">
        <v>1702</v>
      </c>
      <c r="G1183" s="4" t="s">
        <v>1703</v>
      </c>
      <c r="H1183" s="4" t="s">
        <v>1703</v>
      </c>
      <c r="I1183">
        <v>2023</v>
      </c>
      <c r="J1183">
        <v>11</v>
      </c>
      <c r="K1183" s="4" t="s">
        <v>457</v>
      </c>
      <c r="N1183" t="s">
        <v>1704</v>
      </c>
      <c r="O1183" t="s">
        <v>1646</v>
      </c>
      <c r="P1183" t="s">
        <v>550</v>
      </c>
    </row>
    <row r="1184" spans="1:17" hidden="1">
      <c r="A1184" t="s">
        <v>313</v>
      </c>
      <c r="B1184" s="1">
        <v>4503428513</v>
      </c>
      <c r="C1184" t="s">
        <v>117</v>
      </c>
      <c r="D1184" s="160">
        <v>1169155</v>
      </c>
      <c r="F1184" t="s">
        <v>1705</v>
      </c>
      <c r="G1184" s="4">
        <v>45524</v>
      </c>
      <c r="H1184" s="4">
        <v>45524</v>
      </c>
      <c r="I1184">
        <v>2024</v>
      </c>
      <c r="J1184">
        <v>8</v>
      </c>
      <c r="K1184" s="4" t="s">
        <v>1545</v>
      </c>
      <c r="L1184" t="s">
        <v>89</v>
      </c>
      <c r="M1184" t="s">
        <v>1517</v>
      </c>
      <c r="N1184" t="s">
        <v>89</v>
      </c>
      <c r="O1184" t="s">
        <v>9</v>
      </c>
      <c r="P1184" t="s">
        <v>118</v>
      </c>
      <c r="Q1184" t="s">
        <v>1706</v>
      </c>
    </row>
    <row r="1185" spans="1:17" hidden="1">
      <c r="A1185" t="s">
        <v>314</v>
      </c>
      <c r="B1185" s="1">
        <v>4503441102</v>
      </c>
      <c r="C1185" t="s">
        <v>140</v>
      </c>
      <c r="D1185" s="160">
        <v>310656</v>
      </c>
      <c r="E1185">
        <v>17366</v>
      </c>
      <c r="F1185" t="s">
        <v>1707</v>
      </c>
      <c r="G1185" s="4">
        <v>45524</v>
      </c>
      <c r="H1185" s="4">
        <v>45524</v>
      </c>
      <c r="I1185">
        <v>2024</v>
      </c>
      <c r="J1185">
        <v>8</v>
      </c>
      <c r="K1185" s="4" t="s">
        <v>1545</v>
      </c>
      <c r="L1185" t="s">
        <v>89</v>
      </c>
      <c r="M1185" t="s">
        <v>1517</v>
      </c>
      <c r="N1185" t="s">
        <v>89</v>
      </c>
      <c r="O1185" t="s">
        <v>9</v>
      </c>
      <c r="P1185" t="s">
        <v>141</v>
      </c>
      <c r="Q1185" t="s">
        <v>1546</v>
      </c>
    </row>
    <row r="1186" spans="1:17" hidden="1">
      <c r="A1186" t="s">
        <v>314</v>
      </c>
      <c r="B1186" s="1">
        <v>4590002290</v>
      </c>
      <c r="C1186" t="s">
        <v>583</v>
      </c>
      <c r="D1186" s="160">
        <v>30324.77</v>
      </c>
      <c r="E1186">
        <v>1695.15</v>
      </c>
      <c r="F1186" t="s">
        <v>1708</v>
      </c>
      <c r="G1186" s="4">
        <v>45526</v>
      </c>
      <c r="H1186" s="4">
        <v>45526</v>
      </c>
      <c r="I1186">
        <v>2024</v>
      </c>
      <c r="J1186">
        <v>8</v>
      </c>
      <c r="K1186" s="4" t="s">
        <v>1545</v>
      </c>
      <c r="L1186" t="s">
        <v>89</v>
      </c>
      <c r="M1186" t="s">
        <v>1709</v>
      </c>
      <c r="N1186" t="s">
        <v>89</v>
      </c>
      <c r="O1186" t="s">
        <v>11</v>
      </c>
      <c r="P1186" t="s">
        <v>584</v>
      </c>
      <c r="Q1186" t="s">
        <v>1546</v>
      </c>
    </row>
    <row r="1187" spans="1:17" hidden="1">
      <c r="A1187" t="s">
        <v>314</v>
      </c>
      <c r="B1187" s="1">
        <v>4590008115</v>
      </c>
      <c r="C1187" t="s">
        <v>650</v>
      </c>
      <c r="D1187" s="160">
        <v>29874.68</v>
      </c>
      <c r="E1187">
        <v>1664.65</v>
      </c>
      <c r="F1187" t="s">
        <v>1710</v>
      </c>
      <c r="G1187" s="4">
        <v>45524</v>
      </c>
      <c r="H1187" s="4">
        <v>45524</v>
      </c>
      <c r="I1187">
        <v>2024</v>
      </c>
      <c r="J1187">
        <v>8</v>
      </c>
      <c r="K1187" s="4" t="s">
        <v>1545</v>
      </c>
      <c r="L1187" t="s">
        <v>89</v>
      </c>
      <c r="M1187" t="s">
        <v>1517</v>
      </c>
      <c r="N1187" t="s">
        <v>89</v>
      </c>
      <c r="O1187" t="s">
        <v>10</v>
      </c>
      <c r="P1187" t="s">
        <v>584</v>
      </c>
      <c r="Q1187" t="s">
        <v>1546</v>
      </c>
    </row>
    <row r="1188" spans="1:17" hidden="1">
      <c r="A1188" t="s">
        <v>1002</v>
      </c>
      <c r="B1188" s="1">
        <v>4590016977</v>
      </c>
      <c r="C1188" t="s">
        <v>1711</v>
      </c>
      <c r="D1188" s="160">
        <v>84682.25</v>
      </c>
      <c r="E1188">
        <v>4733.74</v>
      </c>
      <c r="F1188" t="s">
        <v>1712</v>
      </c>
      <c r="G1188" s="4">
        <v>45525</v>
      </c>
      <c r="H1188" s="4">
        <v>45525</v>
      </c>
      <c r="I1188">
        <v>2024</v>
      </c>
      <c r="J1188">
        <v>8</v>
      </c>
      <c r="K1188" s="4" t="s">
        <v>1545</v>
      </c>
      <c r="L1188" t="s">
        <v>89</v>
      </c>
      <c r="M1188" t="s">
        <v>1517</v>
      </c>
      <c r="N1188" t="s">
        <v>89</v>
      </c>
      <c r="O1188" t="s">
        <v>11</v>
      </c>
      <c r="P1188" t="s">
        <v>584</v>
      </c>
      <c r="Q1188" t="s">
        <v>1706</v>
      </c>
    </row>
    <row r="1189" spans="1:17" hidden="1">
      <c r="A1189" t="s">
        <v>54</v>
      </c>
      <c r="B1189" s="1">
        <v>4590019688</v>
      </c>
      <c r="C1189" t="s">
        <v>1713</v>
      </c>
      <c r="D1189" s="160">
        <v>1027802.71</v>
      </c>
      <c r="F1189" t="s">
        <v>1714</v>
      </c>
      <c r="G1189" s="4">
        <v>45525</v>
      </c>
      <c r="H1189" s="4">
        <v>45525</v>
      </c>
      <c r="I1189">
        <v>2024</v>
      </c>
      <c r="J1189">
        <v>8</v>
      </c>
      <c r="K1189" s="4" t="s">
        <v>1545</v>
      </c>
      <c r="L1189" t="s">
        <v>89</v>
      </c>
      <c r="M1189" t="s">
        <v>1709</v>
      </c>
      <c r="N1189" t="s">
        <v>89</v>
      </c>
      <c r="O1189" t="s">
        <v>8</v>
      </c>
      <c r="P1189" t="s">
        <v>300</v>
      </c>
      <c r="Q1189" t="s">
        <v>8</v>
      </c>
    </row>
    <row r="1190" spans="1:17" hidden="1">
      <c r="A1190" t="s">
        <v>1715</v>
      </c>
      <c r="B1190" s="1">
        <v>4590019702</v>
      </c>
      <c r="C1190" t="s">
        <v>1716</v>
      </c>
      <c r="D1190" s="160">
        <v>25785.759999999998</v>
      </c>
      <c r="F1190" t="s">
        <v>1717</v>
      </c>
      <c r="G1190" s="4">
        <v>45525</v>
      </c>
      <c r="H1190" s="4">
        <v>45525</v>
      </c>
      <c r="I1190">
        <v>2024</v>
      </c>
      <c r="J1190">
        <v>8</v>
      </c>
      <c r="K1190" s="4" t="s">
        <v>1545</v>
      </c>
      <c r="L1190" t="s">
        <v>89</v>
      </c>
      <c r="M1190" t="s">
        <v>1517</v>
      </c>
      <c r="N1190" t="s">
        <v>89</v>
      </c>
      <c r="O1190" t="s">
        <v>8</v>
      </c>
      <c r="P1190" t="s">
        <v>300</v>
      </c>
      <c r="Q1190" t="s">
        <v>8</v>
      </c>
    </row>
    <row r="1191" spans="1:17" hidden="1">
      <c r="A1191" t="s">
        <v>312</v>
      </c>
      <c r="B1191" s="1">
        <v>4590016147</v>
      </c>
      <c r="C1191" t="s">
        <v>1718</v>
      </c>
      <c r="D1191" s="160">
        <v>11415.75</v>
      </c>
      <c r="F1191" t="s">
        <v>1719</v>
      </c>
      <c r="G1191" s="4">
        <v>45525</v>
      </c>
      <c r="H1191" s="4">
        <v>45525</v>
      </c>
      <c r="I1191">
        <v>2024</v>
      </c>
      <c r="J1191">
        <v>8</v>
      </c>
      <c r="K1191" s="4" t="s">
        <v>1545</v>
      </c>
      <c r="L1191" t="s">
        <v>89</v>
      </c>
      <c r="M1191" t="s">
        <v>1517</v>
      </c>
      <c r="N1191" t="s">
        <v>89</v>
      </c>
      <c r="O1191" t="s">
        <v>9</v>
      </c>
      <c r="P1191" t="s">
        <v>104</v>
      </c>
      <c r="Q1191" t="s">
        <v>1720</v>
      </c>
    </row>
    <row r="1192" spans="1:17" hidden="1">
      <c r="A1192" t="s">
        <v>312</v>
      </c>
      <c r="B1192" s="1">
        <v>4590019922</v>
      </c>
      <c r="C1192" t="s">
        <v>1503</v>
      </c>
      <c r="D1192" s="160">
        <v>7750.51</v>
      </c>
      <c r="F1192" t="s">
        <v>1721</v>
      </c>
      <c r="G1192" s="4">
        <v>45525</v>
      </c>
      <c r="H1192" s="4">
        <v>45525</v>
      </c>
      <c r="I1192">
        <v>2024</v>
      </c>
      <c r="J1192">
        <v>8</v>
      </c>
      <c r="K1192" s="4" t="s">
        <v>1545</v>
      </c>
      <c r="L1192" t="s">
        <v>89</v>
      </c>
      <c r="M1192" t="s">
        <v>1517</v>
      </c>
      <c r="N1192" t="s">
        <v>89</v>
      </c>
      <c r="O1192" t="s">
        <v>9</v>
      </c>
      <c r="P1192" t="s">
        <v>1416</v>
      </c>
      <c r="Q1192" t="s">
        <v>1720</v>
      </c>
    </row>
    <row r="1193" spans="1:17" hidden="1">
      <c r="A1193" t="s">
        <v>314</v>
      </c>
      <c r="B1193" s="1">
        <v>4590000539</v>
      </c>
      <c r="C1193" t="s">
        <v>155</v>
      </c>
      <c r="D1193" s="160">
        <v>55523</v>
      </c>
      <c r="E1193">
        <v>3104</v>
      </c>
      <c r="F1193" t="s">
        <v>1722</v>
      </c>
      <c r="G1193" s="4">
        <v>45525</v>
      </c>
      <c r="H1193" s="4">
        <v>45525</v>
      </c>
      <c r="I1193">
        <v>2024</v>
      </c>
      <c r="J1193">
        <v>8</v>
      </c>
      <c r="K1193" s="4" t="s">
        <v>1545</v>
      </c>
      <c r="L1193" t="s">
        <v>89</v>
      </c>
      <c r="M1193" t="s">
        <v>1517</v>
      </c>
      <c r="N1193" t="s">
        <v>89</v>
      </c>
      <c r="O1193" t="s">
        <v>11</v>
      </c>
      <c r="P1193" t="s">
        <v>156</v>
      </c>
      <c r="Q1193" t="s">
        <v>1546</v>
      </c>
    </row>
    <row r="1194" spans="1:17" hidden="1">
      <c r="A1194" t="s">
        <v>1205</v>
      </c>
      <c r="B1194" s="1" t="s">
        <v>543</v>
      </c>
      <c r="C1194" t="s">
        <v>544</v>
      </c>
      <c r="D1194" s="160">
        <v>12252</v>
      </c>
      <c r="F1194" t="s">
        <v>1723</v>
      </c>
      <c r="G1194" s="4">
        <v>45526</v>
      </c>
      <c r="H1194" s="4">
        <v>45526</v>
      </c>
      <c r="I1194">
        <v>2024</v>
      </c>
      <c r="J1194">
        <v>8</v>
      </c>
      <c r="K1194" s="4" t="s">
        <v>1545</v>
      </c>
      <c r="L1194" t="s">
        <v>1473</v>
      </c>
      <c r="N1194" t="s">
        <v>1594</v>
      </c>
      <c r="O1194" t="s">
        <v>11</v>
      </c>
      <c r="P1194" t="s">
        <v>545</v>
      </c>
      <c r="Q1194" t="s">
        <v>1706</v>
      </c>
    </row>
    <row r="1195" spans="1:17" hidden="1">
      <c r="A1195" t="s">
        <v>54</v>
      </c>
      <c r="B1195" s="1" t="s">
        <v>576</v>
      </c>
      <c r="C1195" t="s">
        <v>577</v>
      </c>
      <c r="D1195" s="160">
        <v>9199</v>
      </c>
      <c r="F1195" t="s">
        <v>1724</v>
      </c>
      <c r="G1195" s="4">
        <v>45526</v>
      </c>
      <c r="H1195" s="4">
        <v>45526</v>
      </c>
      <c r="I1195">
        <v>2024</v>
      </c>
      <c r="J1195">
        <v>8</v>
      </c>
      <c r="K1195" s="4" t="s">
        <v>1545</v>
      </c>
      <c r="L1195" t="s">
        <v>1473</v>
      </c>
      <c r="N1195" t="s">
        <v>1594</v>
      </c>
      <c r="O1195" t="s">
        <v>11</v>
      </c>
      <c r="P1195" t="s">
        <v>129</v>
      </c>
      <c r="Q1195" t="s">
        <v>1706</v>
      </c>
    </row>
    <row r="1196" spans="1:17" hidden="1">
      <c r="A1196" t="s">
        <v>934</v>
      </c>
      <c r="B1196" s="1">
        <v>4590006871</v>
      </c>
      <c r="C1196" t="s">
        <v>935</v>
      </c>
      <c r="D1196" s="160">
        <v>119680</v>
      </c>
      <c r="F1196" t="s">
        <v>1725</v>
      </c>
      <c r="G1196" s="4">
        <v>45526</v>
      </c>
      <c r="H1196" s="4">
        <v>45526</v>
      </c>
      <c r="I1196">
        <v>2024</v>
      </c>
      <c r="J1196">
        <v>8</v>
      </c>
      <c r="K1196" s="4" t="s">
        <v>1545</v>
      </c>
      <c r="L1196" t="s">
        <v>837</v>
      </c>
      <c r="M1196" t="s">
        <v>1726</v>
      </c>
      <c r="N1196" t="s">
        <v>1594</v>
      </c>
      <c r="O1196" t="s">
        <v>10</v>
      </c>
      <c r="P1196" t="s">
        <v>135</v>
      </c>
      <c r="Q1196" t="s">
        <v>1546</v>
      </c>
    </row>
    <row r="1197" spans="1:17" hidden="1">
      <c r="A1197" t="s">
        <v>1727</v>
      </c>
      <c r="B1197" s="1">
        <v>4590019730</v>
      </c>
      <c r="C1197" t="s">
        <v>1728</v>
      </c>
      <c r="D1197" s="160">
        <v>343391</v>
      </c>
      <c r="F1197" t="s">
        <v>1729</v>
      </c>
      <c r="G1197" s="4">
        <v>45526</v>
      </c>
      <c r="H1197" s="4">
        <v>45526</v>
      </c>
      <c r="I1197">
        <v>2024</v>
      </c>
      <c r="J1197">
        <v>8</v>
      </c>
      <c r="K1197" s="4" t="s">
        <v>1545</v>
      </c>
      <c r="L1197" t="s">
        <v>89</v>
      </c>
      <c r="M1197" t="s">
        <v>1709</v>
      </c>
      <c r="N1197" t="s">
        <v>89</v>
      </c>
      <c r="O1197" t="s">
        <v>8</v>
      </c>
      <c r="P1197" t="s">
        <v>252</v>
      </c>
      <c r="Q1197" t="s">
        <v>8</v>
      </c>
    </row>
    <row r="1198" spans="1:17" hidden="1">
      <c r="A1198" t="s">
        <v>1363</v>
      </c>
      <c r="B1198" s="1">
        <v>4590015934</v>
      </c>
      <c r="C1198" t="s">
        <v>1364</v>
      </c>
      <c r="D1198" s="160">
        <v>14851.82</v>
      </c>
      <c r="F1198" t="s">
        <v>1730</v>
      </c>
      <c r="G1198" s="4">
        <v>45526</v>
      </c>
      <c r="H1198" s="4">
        <v>45526</v>
      </c>
      <c r="I1198">
        <v>2024</v>
      </c>
      <c r="J1198">
        <v>8</v>
      </c>
      <c r="K1198" s="4" t="s">
        <v>1545</v>
      </c>
      <c r="L1198" t="s">
        <v>89</v>
      </c>
      <c r="M1198" t="s">
        <v>1709</v>
      </c>
      <c r="N1198" t="s">
        <v>89</v>
      </c>
      <c r="O1198" t="s">
        <v>13</v>
      </c>
      <c r="P1198" t="s">
        <v>222</v>
      </c>
      <c r="Q1198" t="s">
        <v>13</v>
      </c>
    </row>
    <row r="1199" spans="1:17" hidden="1">
      <c r="A1199" t="s">
        <v>1366</v>
      </c>
      <c r="B1199" s="1">
        <v>4590014289</v>
      </c>
      <c r="C1199" t="s">
        <v>675</v>
      </c>
      <c r="D1199" s="160">
        <v>187469.44</v>
      </c>
      <c r="F1199" t="s">
        <v>1731</v>
      </c>
      <c r="G1199" s="4">
        <v>45541</v>
      </c>
      <c r="H1199" s="4">
        <v>45541</v>
      </c>
      <c r="I1199">
        <v>2024</v>
      </c>
      <c r="J1199">
        <v>8</v>
      </c>
      <c r="K1199" s="4" t="s">
        <v>1545</v>
      </c>
      <c r="L1199" t="s">
        <v>89</v>
      </c>
      <c r="M1199" t="s">
        <v>1517</v>
      </c>
      <c r="N1199" t="s">
        <v>89</v>
      </c>
      <c r="O1199" t="s">
        <v>13</v>
      </c>
      <c r="P1199" t="s">
        <v>537</v>
      </c>
      <c r="Q1199" t="s">
        <v>13</v>
      </c>
    </row>
    <row r="1200" spans="1:17" hidden="1">
      <c r="A1200" t="s">
        <v>314</v>
      </c>
      <c r="B1200" s="1">
        <v>4590008116</v>
      </c>
      <c r="C1200" t="s">
        <v>652</v>
      </c>
      <c r="D1200" s="160">
        <v>20993.24</v>
      </c>
      <c r="E1200">
        <v>1169.6300000000001</v>
      </c>
      <c r="F1200" t="s">
        <v>1732</v>
      </c>
      <c r="G1200" s="4">
        <v>45526</v>
      </c>
      <c r="H1200" s="4">
        <v>45526</v>
      </c>
      <c r="I1200">
        <v>2024</v>
      </c>
      <c r="J1200">
        <v>8</v>
      </c>
      <c r="K1200" s="4" t="s">
        <v>1545</v>
      </c>
      <c r="L1200" t="s">
        <v>89</v>
      </c>
      <c r="M1200" t="s">
        <v>1709</v>
      </c>
      <c r="N1200" t="s">
        <v>89</v>
      </c>
      <c r="O1200" t="s">
        <v>9</v>
      </c>
      <c r="P1200" t="s">
        <v>584</v>
      </c>
      <c r="Q1200" t="s">
        <v>1546</v>
      </c>
    </row>
    <row r="1201" spans="1:17" hidden="1">
      <c r="A1201" t="s">
        <v>1366</v>
      </c>
      <c r="B1201" s="1">
        <v>4590019499</v>
      </c>
      <c r="C1201" t="s">
        <v>1480</v>
      </c>
      <c r="D1201" s="160">
        <v>704535.83</v>
      </c>
      <c r="F1201" t="s">
        <v>1733</v>
      </c>
      <c r="G1201" s="4">
        <v>45526</v>
      </c>
      <c r="H1201" s="4">
        <v>45526</v>
      </c>
      <c r="I1201">
        <v>2024</v>
      </c>
      <c r="J1201">
        <v>8</v>
      </c>
      <c r="K1201" s="4" t="s">
        <v>1545</v>
      </c>
      <c r="L1201" t="s">
        <v>89</v>
      </c>
      <c r="M1201" t="s">
        <v>1517</v>
      </c>
      <c r="N1201" t="s">
        <v>89</v>
      </c>
      <c r="O1201" t="s">
        <v>13</v>
      </c>
      <c r="P1201" t="s">
        <v>1424</v>
      </c>
      <c r="Q1201" t="s">
        <v>13</v>
      </c>
    </row>
    <row r="1202" spans="1:17" hidden="1">
      <c r="A1202" t="s">
        <v>1366</v>
      </c>
      <c r="B1202" s="1">
        <v>4590019500</v>
      </c>
      <c r="C1202" t="s">
        <v>1734</v>
      </c>
      <c r="D1202" s="160">
        <v>6595970.9500000002</v>
      </c>
      <c r="F1202" t="s">
        <v>1735</v>
      </c>
      <c r="G1202" s="4">
        <v>45541</v>
      </c>
      <c r="H1202" s="4">
        <v>45541</v>
      </c>
      <c r="I1202">
        <v>2024</v>
      </c>
      <c r="J1202">
        <v>8</v>
      </c>
      <c r="K1202" s="4" t="s">
        <v>1545</v>
      </c>
      <c r="L1202" t="s">
        <v>89</v>
      </c>
      <c r="M1202" t="s">
        <v>1517</v>
      </c>
      <c r="N1202" t="s">
        <v>89</v>
      </c>
      <c r="O1202" t="s">
        <v>13</v>
      </c>
      <c r="P1202" t="s">
        <v>1424</v>
      </c>
      <c r="Q1202" t="s">
        <v>13</v>
      </c>
    </row>
    <row r="1203" spans="1:17" hidden="1">
      <c r="A1203" t="s">
        <v>789</v>
      </c>
      <c r="B1203" s="1">
        <v>4590012855</v>
      </c>
      <c r="C1203" t="s">
        <v>790</v>
      </c>
      <c r="D1203" s="160">
        <v>51196</v>
      </c>
      <c r="F1203" t="s">
        <v>1736</v>
      </c>
      <c r="G1203" s="4">
        <v>45526</v>
      </c>
      <c r="H1203" s="4">
        <v>45526</v>
      </c>
      <c r="I1203">
        <v>2024</v>
      </c>
      <c r="J1203">
        <v>8</v>
      </c>
      <c r="K1203" s="4" t="s">
        <v>1545</v>
      </c>
      <c r="L1203" t="s">
        <v>89</v>
      </c>
      <c r="M1203" t="s">
        <v>1517</v>
      </c>
      <c r="N1203" t="s">
        <v>89</v>
      </c>
      <c r="O1203" t="s">
        <v>9</v>
      </c>
      <c r="P1203" t="s">
        <v>129</v>
      </c>
      <c r="Q1203" t="s">
        <v>1706</v>
      </c>
    </row>
    <row r="1204" spans="1:17" hidden="1">
      <c r="A1204" t="s">
        <v>1432</v>
      </c>
      <c r="B1204" s="1" t="s">
        <v>127</v>
      </c>
      <c r="C1204" t="s">
        <v>128</v>
      </c>
      <c r="D1204" s="160">
        <v>3225173</v>
      </c>
      <c r="F1204" t="s">
        <v>1737</v>
      </c>
      <c r="G1204" s="4">
        <v>45526</v>
      </c>
      <c r="H1204" s="4">
        <v>45526</v>
      </c>
      <c r="I1204">
        <v>2024</v>
      </c>
      <c r="J1204">
        <v>8</v>
      </c>
      <c r="K1204" s="4" t="s">
        <v>1545</v>
      </c>
      <c r="L1204" t="s">
        <v>89</v>
      </c>
      <c r="M1204" t="s">
        <v>1517</v>
      </c>
      <c r="N1204" t="s">
        <v>89</v>
      </c>
      <c r="O1204" t="s">
        <v>9</v>
      </c>
      <c r="P1204" t="s">
        <v>129</v>
      </c>
      <c r="Q1204" t="s">
        <v>1706</v>
      </c>
    </row>
    <row r="1205" spans="1:17" hidden="1">
      <c r="A1205" t="s">
        <v>1432</v>
      </c>
      <c r="B1205" s="1" t="s">
        <v>130</v>
      </c>
      <c r="C1205" t="s">
        <v>131</v>
      </c>
      <c r="D1205" s="160">
        <v>1702395</v>
      </c>
      <c r="F1205" t="s">
        <v>1738</v>
      </c>
      <c r="G1205" s="4">
        <v>45526</v>
      </c>
      <c r="H1205" s="4">
        <v>45526</v>
      </c>
      <c r="I1205">
        <v>2024</v>
      </c>
      <c r="J1205">
        <v>8</v>
      </c>
      <c r="K1205" s="4" t="s">
        <v>1545</v>
      </c>
      <c r="L1205" t="s">
        <v>89</v>
      </c>
      <c r="M1205" t="s">
        <v>1517</v>
      </c>
      <c r="N1205" t="s">
        <v>89</v>
      </c>
      <c r="O1205" t="s">
        <v>9</v>
      </c>
      <c r="P1205" t="s">
        <v>129</v>
      </c>
      <c r="Q1205" t="s">
        <v>1706</v>
      </c>
    </row>
    <row r="1206" spans="1:17" hidden="1">
      <c r="A1206" t="s">
        <v>315</v>
      </c>
      <c r="B1206" s="1" t="s">
        <v>201</v>
      </c>
      <c r="C1206" t="s">
        <v>202</v>
      </c>
      <c r="D1206" s="160">
        <v>60161.89</v>
      </c>
      <c r="F1206" t="s">
        <v>1739</v>
      </c>
      <c r="G1206" s="4">
        <v>45526</v>
      </c>
      <c r="H1206" s="4">
        <v>45526</v>
      </c>
      <c r="I1206">
        <v>2024</v>
      </c>
      <c r="J1206">
        <v>8</v>
      </c>
      <c r="K1206" s="4" t="s">
        <v>1545</v>
      </c>
      <c r="L1206" t="s">
        <v>89</v>
      </c>
      <c r="M1206" t="s">
        <v>1709</v>
      </c>
      <c r="N1206" t="s">
        <v>89</v>
      </c>
      <c r="O1206" t="s">
        <v>9</v>
      </c>
      <c r="P1206" t="s">
        <v>190</v>
      </c>
      <c r="Q1206" t="s">
        <v>1546</v>
      </c>
    </row>
    <row r="1207" spans="1:17" hidden="1">
      <c r="A1207" t="s">
        <v>315</v>
      </c>
      <c r="B1207" s="1" t="s">
        <v>204</v>
      </c>
      <c r="C1207" t="s">
        <v>205</v>
      </c>
      <c r="D1207" s="160">
        <v>12194.63</v>
      </c>
      <c r="F1207" t="s">
        <v>1740</v>
      </c>
      <c r="G1207" s="4">
        <v>45526</v>
      </c>
      <c r="H1207" s="4">
        <v>45526</v>
      </c>
      <c r="I1207">
        <v>2024</v>
      </c>
      <c r="J1207">
        <v>8</v>
      </c>
      <c r="K1207" s="4" t="s">
        <v>1545</v>
      </c>
      <c r="L1207" t="s">
        <v>89</v>
      </c>
      <c r="M1207" t="s">
        <v>1709</v>
      </c>
      <c r="N1207" t="s">
        <v>89</v>
      </c>
      <c r="O1207" t="s">
        <v>9</v>
      </c>
      <c r="P1207" t="s">
        <v>190</v>
      </c>
      <c r="Q1207" t="s">
        <v>1546</v>
      </c>
    </row>
    <row r="1208" spans="1:17" hidden="1">
      <c r="A1208" t="s">
        <v>1360</v>
      </c>
      <c r="B1208" s="1">
        <v>4590018032</v>
      </c>
      <c r="C1208" t="s">
        <v>390</v>
      </c>
      <c r="D1208" s="160">
        <v>111055.43</v>
      </c>
      <c r="F1208" t="s">
        <v>1741</v>
      </c>
      <c r="G1208" s="4">
        <v>45526</v>
      </c>
      <c r="H1208" s="4">
        <v>45526</v>
      </c>
      <c r="I1208">
        <v>2024</v>
      </c>
      <c r="J1208">
        <v>8</v>
      </c>
      <c r="K1208" s="4" t="s">
        <v>1545</v>
      </c>
      <c r="L1208" t="s">
        <v>89</v>
      </c>
      <c r="M1208" t="s">
        <v>1709</v>
      </c>
      <c r="N1208" t="s">
        <v>89</v>
      </c>
      <c r="O1208" t="s">
        <v>13</v>
      </c>
      <c r="P1208" t="s">
        <v>222</v>
      </c>
      <c r="Q1208" t="s">
        <v>13</v>
      </c>
    </row>
    <row r="1209" spans="1:17" hidden="1">
      <c r="A1209" t="s">
        <v>1384</v>
      </c>
      <c r="B1209" s="1">
        <v>4590001827</v>
      </c>
      <c r="C1209" t="s">
        <v>447</v>
      </c>
      <c r="D1209" s="160">
        <v>191018.94</v>
      </c>
      <c r="F1209" t="s">
        <v>1742</v>
      </c>
      <c r="G1209" s="4">
        <v>45526</v>
      </c>
      <c r="H1209" s="4">
        <v>45526</v>
      </c>
      <c r="I1209">
        <v>2024</v>
      </c>
      <c r="J1209">
        <v>8</v>
      </c>
      <c r="K1209" s="4" t="s">
        <v>1545</v>
      </c>
      <c r="L1209" t="s">
        <v>837</v>
      </c>
      <c r="M1209" t="s">
        <v>1743</v>
      </c>
      <c r="N1209" t="s">
        <v>1594</v>
      </c>
      <c r="O1209" t="s">
        <v>9</v>
      </c>
      <c r="P1209" t="s">
        <v>448</v>
      </c>
      <c r="Q1209" t="s">
        <v>1546</v>
      </c>
    </row>
    <row r="1210" spans="1:17" hidden="1">
      <c r="A1210" t="s">
        <v>1384</v>
      </c>
      <c r="B1210" s="1">
        <v>4590001828</v>
      </c>
      <c r="C1210" t="s">
        <v>516</v>
      </c>
      <c r="D1210" s="160">
        <v>39829.629999999997</v>
      </c>
      <c r="F1210" t="s">
        <v>1744</v>
      </c>
      <c r="G1210" s="4">
        <v>45526</v>
      </c>
      <c r="H1210" s="4">
        <v>45526</v>
      </c>
      <c r="I1210">
        <v>2024</v>
      </c>
      <c r="J1210">
        <v>8</v>
      </c>
      <c r="K1210" s="4" t="s">
        <v>1545</v>
      </c>
      <c r="L1210" t="s">
        <v>1473</v>
      </c>
      <c r="N1210" t="s">
        <v>1594</v>
      </c>
      <c r="O1210" t="s">
        <v>9</v>
      </c>
      <c r="P1210" t="s">
        <v>448</v>
      </c>
      <c r="Q1210" t="s">
        <v>1546</v>
      </c>
    </row>
    <row r="1211" spans="1:17" hidden="1">
      <c r="A1211" t="s">
        <v>1745</v>
      </c>
      <c r="B1211" s="1">
        <v>4590020159</v>
      </c>
      <c r="C1211" t="s">
        <v>1526</v>
      </c>
      <c r="D1211" s="160">
        <v>7590.15</v>
      </c>
      <c r="F1211" t="s">
        <v>1746</v>
      </c>
      <c r="G1211" s="4">
        <v>45526</v>
      </c>
      <c r="H1211" s="4">
        <v>45526</v>
      </c>
      <c r="I1211">
        <v>2024</v>
      </c>
      <c r="J1211">
        <v>8</v>
      </c>
      <c r="K1211" s="4" t="s">
        <v>1545</v>
      </c>
      <c r="L1211" t="s">
        <v>89</v>
      </c>
      <c r="M1211" t="s">
        <v>1517</v>
      </c>
      <c r="N1211" t="s">
        <v>89</v>
      </c>
      <c r="O1211" t="s">
        <v>9</v>
      </c>
      <c r="P1211" t="s">
        <v>1465</v>
      </c>
      <c r="Q1211" t="s">
        <v>1546</v>
      </c>
    </row>
    <row r="1212" spans="1:17" hidden="1">
      <c r="A1212" t="s">
        <v>1363</v>
      </c>
      <c r="B1212" s="1">
        <v>4590021215</v>
      </c>
      <c r="C1212" t="s">
        <v>1747</v>
      </c>
      <c r="D1212" s="160">
        <v>1125969.1000000001</v>
      </c>
      <c r="F1212" t="s">
        <v>1748</v>
      </c>
      <c r="G1212" s="4">
        <v>45526</v>
      </c>
      <c r="H1212" s="4">
        <v>45526</v>
      </c>
      <c r="I1212">
        <v>2024</v>
      </c>
      <c r="J1212">
        <v>8</v>
      </c>
      <c r="K1212" s="4" t="s">
        <v>1545</v>
      </c>
      <c r="L1212" t="s">
        <v>89</v>
      </c>
      <c r="M1212" t="s">
        <v>1709</v>
      </c>
      <c r="N1212" t="s">
        <v>89</v>
      </c>
      <c r="O1212" t="s">
        <v>13</v>
      </c>
      <c r="P1212" t="s">
        <v>1749</v>
      </c>
      <c r="Q1212" t="s">
        <v>13</v>
      </c>
    </row>
    <row r="1213" spans="1:17" hidden="1">
      <c r="A1213" t="s">
        <v>312</v>
      </c>
      <c r="B1213" s="1">
        <v>4590020235</v>
      </c>
      <c r="C1213" t="s">
        <v>1750</v>
      </c>
      <c r="D1213" s="160">
        <v>541191.82999999996</v>
      </c>
      <c r="F1213" t="s">
        <v>1751</v>
      </c>
      <c r="G1213" s="4">
        <v>45527</v>
      </c>
      <c r="H1213" s="4">
        <v>45527</v>
      </c>
      <c r="I1213">
        <v>2024</v>
      </c>
      <c r="J1213">
        <v>8</v>
      </c>
      <c r="K1213" s="4" t="s">
        <v>1545</v>
      </c>
      <c r="L1213" t="s">
        <v>89</v>
      </c>
      <c r="M1213" t="s">
        <v>1517</v>
      </c>
      <c r="N1213" t="s">
        <v>89</v>
      </c>
      <c r="O1213" t="s">
        <v>9</v>
      </c>
      <c r="P1213" t="s">
        <v>1416</v>
      </c>
      <c r="Q1213" t="s">
        <v>1720</v>
      </c>
    </row>
    <row r="1214" spans="1:17" hidden="1">
      <c r="A1214" t="s">
        <v>312</v>
      </c>
      <c r="B1214" s="1">
        <v>4590020302</v>
      </c>
      <c r="C1214" t="s">
        <v>1752</v>
      </c>
      <c r="D1214" s="160">
        <v>3135000</v>
      </c>
      <c r="F1214" t="s">
        <v>1753</v>
      </c>
      <c r="G1214" s="4">
        <v>45527</v>
      </c>
      <c r="H1214" s="4">
        <v>45527</v>
      </c>
      <c r="I1214">
        <v>2024</v>
      </c>
      <c r="J1214">
        <v>8</v>
      </c>
      <c r="K1214" s="4" t="s">
        <v>1545</v>
      </c>
      <c r="L1214" t="s">
        <v>89</v>
      </c>
      <c r="M1214" t="s">
        <v>1517</v>
      </c>
      <c r="N1214" t="s">
        <v>89</v>
      </c>
      <c r="O1214" t="s">
        <v>9</v>
      </c>
      <c r="P1214" t="s">
        <v>1416</v>
      </c>
      <c r="Q1214" t="s">
        <v>1720</v>
      </c>
    </row>
    <row r="1215" spans="1:17" hidden="1">
      <c r="A1215" t="s">
        <v>312</v>
      </c>
      <c r="B1215" s="1">
        <v>4503290109</v>
      </c>
      <c r="C1215" t="s">
        <v>103</v>
      </c>
      <c r="D1215" s="160">
        <v>631521</v>
      </c>
      <c r="F1215" t="s">
        <v>1754</v>
      </c>
      <c r="G1215" s="4">
        <v>45527</v>
      </c>
      <c r="H1215" s="4">
        <v>45527</v>
      </c>
      <c r="I1215">
        <v>2024</v>
      </c>
      <c r="J1215">
        <v>8</v>
      </c>
      <c r="K1215" s="4" t="s">
        <v>1545</v>
      </c>
      <c r="L1215" t="s">
        <v>89</v>
      </c>
      <c r="M1215" t="s">
        <v>1517</v>
      </c>
      <c r="N1215" t="s">
        <v>89</v>
      </c>
      <c r="O1215" t="s">
        <v>9</v>
      </c>
      <c r="P1215" t="s">
        <v>104</v>
      </c>
      <c r="Q1215" t="s">
        <v>1720</v>
      </c>
    </row>
    <row r="1216" spans="1:17" hidden="1">
      <c r="A1216" t="s">
        <v>1432</v>
      </c>
      <c r="B1216" s="1">
        <v>4590020304</v>
      </c>
      <c r="C1216" t="s">
        <v>1755</v>
      </c>
      <c r="D1216" s="160">
        <v>3300000</v>
      </c>
      <c r="F1216" t="s">
        <v>1756</v>
      </c>
      <c r="G1216" s="4">
        <v>45527</v>
      </c>
      <c r="H1216" s="4">
        <v>45527</v>
      </c>
      <c r="I1216">
        <v>2024</v>
      </c>
      <c r="J1216">
        <v>8</v>
      </c>
      <c r="K1216" s="4" t="s">
        <v>1545</v>
      </c>
      <c r="L1216" t="s">
        <v>89</v>
      </c>
      <c r="M1216" t="s">
        <v>1517</v>
      </c>
      <c r="N1216" t="s">
        <v>89</v>
      </c>
      <c r="O1216" t="s">
        <v>9</v>
      </c>
      <c r="P1216" t="s">
        <v>1416</v>
      </c>
      <c r="Q1216" t="s">
        <v>1706</v>
      </c>
    </row>
    <row r="1217" spans="1:17" hidden="1">
      <c r="A1217" t="s">
        <v>312</v>
      </c>
      <c r="B1217" s="1">
        <v>4590020303</v>
      </c>
      <c r="C1217" t="s">
        <v>1757</v>
      </c>
      <c r="D1217" s="160">
        <v>990000</v>
      </c>
      <c r="F1217" t="s">
        <v>1758</v>
      </c>
      <c r="G1217" s="4">
        <v>45527</v>
      </c>
      <c r="H1217" s="4">
        <v>45527</v>
      </c>
      <c r="I1217">
        <v>2024</v>
      </c>
      <c r="J1217">
        <v>8</v>
      </c>
      <c r="K1217" s="4" t="s">
        <v>1545</v>
      </c>
      <c r="L1217" t="s">
        <v>89</v>
      </c>
      <c r="M1217" t="s">
        <v>1517</v>
      </c>
      <c r="N1217" t="s">
        <v>89</v>
      </c>
      <c r="O1217" t="s">
        <v>9</v>
      </c>
      <c r="P1217" t="s">
        <v>1416</v>
      </c>
      <c r="Q1217" t="s">
        <v>1759</v>
      </c>
    </row>
    <row r="1218" spans="1:17" hidden="1">
      <c r="A1218" t="s">
        <v>312</v>
      </c>
      <c r="B1218" s="1">
        <v>4503489979</v>
      </c>
      <c r="C1218" t="s">
        <v>144</v>
      </c>
      <c r="D1218" s="160">
        <v>336620</v>
      </c>
      <c r="F1218" t="s">
        <v>1760</v>
      </c>
      <c r="G1218" s="4">
        <v>45530</v>
      </c>
      <c r="H1218" s="4">
        <v>45530</v>
      </c>
      <c r="I1218">
        <v>2024</v>
      </c>
      <c r="J1218">
        <v>8</v>
      </c>
      <c r="K1218" s="4" t="s">
        <v>1545</v>
      </c>
      <c r="L1218" t="s">
        <v>89</v>
      </c>
      <c r="M1218" t="s">
        <v>1517</v>
      </c>
      <c r="N1218" t="s">
        <v>89</v>
      </c>
      <c r="O1218" t="s">
        <v>9</v>
      </c>
      <c r="P1218" t="s">
        <v>145</v>
      </c>
      <c r="Q1218" t="s">
        <v>1759</v>
      </c>
    </row>
    <row r="1219" spans="1:17" hidden="1">
      <c r="A1219" t="s">
        <v>312</v>
      </c>
      <c r="B1219" s="1">
        <v>4590006189</v>
      </c>
      <c r="C1219" t="s">
        <v>260</v>
      </c>
      <c r="D1219" s="160">
        <v>18673</v>
      </c>
      <c r="F1219" t="s">
        <v>1761</v>
      </c>
      <c r="G1219" s="4">
        <v>45530</v>
      </c>
      <c r="H1219" s="4">
        <v>45530</v>
      </c>
      <c r="I1219">
        <v>2024</v>
      </c>
      <c r="J1219">
        <v>8</v>
      </c>
      <c r="K1219" s="4" t="s">
        <v>1545</v>
      </c>
      <c r="L1219" t="s">
        <v>89</v>
      </c>
      <c r="M1219" t="s">
        <v>1709</v>
      </c>
      <c r="N1219" t="s">
        <v>89</v>
      </c>
      <c r="O1219" t="s">
        <v>9</v>
      </c>
      <c r="P1219" t="s">
        <v>262</v>
      </c>
      <c r="Q1219" t="s">
        <v>1759</v>
      </c>
    </row>
    <row r="1220" spans="1:17" hidden="1">
      <c r="A1220" t="s">
        <v>54</v>
      </c>
      <c r="B1220" s="1">
        <v>4590016630</v>
      </c>
      <c r="C1220" t="s">
        <v>1027</v>
      </c>
      <c r="D1220" s="160">
        <v>55657.3</v>
      </c>
      <c r="F1220" t="s">
        <v>1762</v>
      </c>
      <c r="G1220" s="4">
        <v>45530</v>
      </c>
      <c r="H1220" s="4">
        <v>45530</v>
      </c>
      <c r="I1220">
        <v>2024</v>
      </c>
      <c r="J1220">
        <v>8</v>
      </c>
      <c r="K1220" s="4" t="s">
        <v>1545</v>
      </c>
      <c r="L1220" t="s">
        <v>89</v>
      </c>
      <c r="M1220" t="s">
        <v>1709</v>
      </c>
      <c r="N1220" t="s">
        <v>89</v>
      </c>
      <c r="O1220" t="s">
        <v>13</v>
      </c>
      <c r="P1220" t="s">
        <v>563</v>
      </c>
      <c r="Q1220" t="s">
        <v>13</v>
      </c>
    </row>
    <row r="1221" spans="1:17" hidden="1">
      <c r="A1221" t="s">
        <v>54</v>
      </c>
      <c r="B1221" s="1">
        <v>4590017784</v>
      </c>
      <c r="C1221" t="s">
        <v>1763</v>
      </c>
      <c r="D1221" s="160">
        <v>142675.69</v>
      </c>
      <c r="F1221" t="s">
        <v>1764</v>
      </c>
      <c r="G1221" s="4">
        <v>45530</v>
      </c>
      <c r="H1221" s="4">
        <v>45530</v>
      </c>
      <c r="I1221">
        <v>2024</v>
      </c>
      <c r="J1221">
        <v>8</v>
      </c>
      <c r="K1221" s="4" t="s">
        <v>1545</v>
      </c>
      <c r="L1221" t="s">
        <v>89</v>
      </c>
      <c r="M1221" t="s">
        <v>1517</v>
      </c>
      <c r="N1221" t="s">
        <v>89</v>
      </c>
      <c r="O1221" t="s">
        <v>13</v>
      </c>
      <c r="P1221" t="s">
        <v>563</v>
      </c>
      <c r="Q1221" t="s">
        <v>13</v>
      </c>
    </row>
    <row r="1222" spans="1:17" hidden="1">
      <c r="A1222" t="s">
        <v>312</v>
      </c>
      <c r="B1222" s="1">
        <v>4590020156</v>
      </c>
      <c r="C1222" t="s">
        <v>1535</v>
      </c>
      <c r="D1222" s="160">
        <v>1411519.75</v>
      </c>
      <c r="F1222" t="s">
        <v>1765</v>
      </c>
      <c r="G1222" s="4">
        <v>45530</v>
      </c>
      <c r="H1222" s="4">
        <v>45530</v>
      </c>
      <c r="I1222">
        <v>2024</v>
      </c>
      <c r="J1222">
        <v>8</v>
      </c>
      <c r="K1222" s="4" t="s">
        <v>1545</v>
      </c>
      <c r="L1222" t="s">
        <v>89</v>
      </c>
      <c r="M1222" t="s">
        <v>1517</v>
      </c>
      <c r="N1222" t="s">
        <v>89</v>
      </c>
      <c r="O1222" t="s">
        <v>9</v>
      </c>
      <c r="P1222" t="s">
        <v>1465</v>
      </c>
      <c r="Q1222" t="s">
        <v>1759</v>
      </c>
    </row>
    <row r="1223" spans="1:17" hidden="1">
      <c r="A1223" t="s">
        <v>312</v>
      </c>
      <c r="B1223" s="1">
        <v>4590020236</v>
      </c>
      <c r="C1223" t="s">
        <v>1766</v>
      </c>
      <c r="D1223" s="160">
        <v>105571.52</v>
      </c>
      <c r="F1223" t="s">
        <v>1767</v>
      </c>
      <c r="G1223" s="4">
        <v>45532</v>
      </c>
      <c r="H1223" s="4">
        <v>45532</v>
      </c>
      <c r="I1223">
        <v>2024</v>
      </c>
      <c r="J1223">
        <v>8</v>
      </c>
      <c r="K1223" s="4" t="s">
        <v>1545</v>
      </c>
      <c r="L1223" t="s">
        <v>89</v>
      </c>
      <c r="M1223" t="s">
        <v>1517</v>
      </c>
      <c r="N1223" t="s">
        <v>89</v>
      </c>
      <c r="O1223" t="s">
        <v>9</v>
      </c>
      <c r="P1223" t="s">
        <v>1416</v>
      </c>
      <c r="Q1223" t="s">
        <v>1759</v>
      </c>
    </row>
    <row r="1224" spans="1:17" hidden="1">
      <c r="A1224" t="s">
        <v>1768</v>
      </c>
      <c r="B1224" s="1">
        <v>4590007798</v>
      </c>
      <c r="C1224" t="s">
        <v>482</v>
      </c>
      <c r="D1224" s="160">
        <v>111872</v>
      </c>
      <c r="F1224" t="s">
        <v>1769</v>
      </c>
      <c r="G1224" s="4">
        <v>45530</v>
      </c>
      <c r="H1224" s="4">
        <v>45530</v>
      </c>
      <c r="I1224">
        <v>2024</v>
      </c>
      <c r="J1224">
        <v>8</v>
      </c>
      <c r="K1224" s="4" t="s">
        <v>1545</v>
      </c>
      <c r="L1224" t="s">
        <v>89</v>
      </c>
      <c r="M1224" t="s">
        <v>1709</v>
      </c>
      <c r="N1224" t="s">
        <v>89</v>
      </c>
      <c r="O1224" t="s">
        <v>8</v>
      </c>
      <c r="P1224" t="s">
        <v>300</v>
      </c>
      <c r="Q1224" t="s">
        <v>8</v>
      </c>
    </row>
    <row r="1225" spans="1:17" hidden="1">
      <c r="A1225" t="s">
        <v>337</v>
      </c>
      <c r="B1225" s="1" t="s">
        <v>133</v>
      </c>
      <c r="C1225" t="s">
        <v>134</v>
      </c>
      <c r="D1225" s="160">
        <v>600875.43999999994</v>
      </c>
      <c r="F1225" t="s">
        <v>1770</v>
      </c>
      <c r="G1225" s="4">
        <v>45530</v>
      </c>
      <c r="H1225" s="4">
        <v>45530</v>
      </c>
      <c r="I1225">
        <v>2024</v>
      </c>
      <c r="J1225">
        <v>8</v>
      </c>
      <c r="K1225" s="4" t="s">
        <v>1545</v>
      </c>
      <c r="L1225" t="s">
        <v>95</v>
      </c>
      <c r="N1225" t="s">
        <v>1771</v>
      </c>
      <c r="O1225" t="s">
        <v>9</v>
      </c>
      <c r="P1225" t="s">
        <v>135</v>
      </c>
      <c r="Q1225" t="s">
        <v>1546</v>
      </c>
    </row>
    <row r="1226" spans="1:17" hidden="1">
      <c r="A1226" t="s">
        <v>1772</v>
      </c>
      <c r="B1226" s="1">
        <v>4590020794</v>
      </c>
      <c r="C1226" t="s">
        <v>1773</v>
      </c>
      <c r="D1226" s="160">
        <v>18203634.940000001</v>
      </c>
      <c r="F1226" t="s">
        <v>1774</v>
      </c>
      <c r="G1226" s="4">
        <v>45530</v>
      </c>
      <c r="H1226" s="4">
        <v>45530</v>
      </c>
      <c r="I1226">
        <v>2024</v>
      </c>
      <c r="J1226">
        <v>8</v>
      </c>
      <c r="K1226" s="4" t="s">
        <v>1545</v>
      </c>
      <c r="L1226" t="s">
        <v>89</v>
      </c>
      <c r="M1226" t="s">
        <v>1517</v>
      </c>
      <c r="N1226" t="s">
        <v>89</v>
      </c>
      <c r="O1226" t="s">
        <v>13</v>
      </c>
      <c r="P1226">
        <v>0</v>
      </c>
      <c r="Q1226" t="s">
        <v>13</v>
      </c>
    </row>
    <row r="1227" spans="1:17" hidden="1">
      <c r="A1227" t="s">
        <v>312</v>
      </c>
      <c r="B1227" s="1">
        <v>4590019492</v>
      </c>
      <c r="C1227" t="s">
        <v>1775</v>
      </c>
      <c r="D1227" s="160">
        <v>15359.4</v>
      </c>
      <c r="F1227" t="s">
        <v>1776</v>
      </c>
      <c r="G1227" s="4">
        <v>45532</v>
      </c>
      <c r="H1227" s="4">
        <v>45532</v>
      </c>
      <c r="I1227">
        <v>2024</v>
      </c>
      <c r="J1227">
        <v>8</v>
      </c>
      <c r="K1227" s="4" t="s">
        <v>1545</v>
      </c>
      <c r="L1227" t="s">
        <v>89</v>
      </c>
      <c r="M1227" t="s">
        <v>1517</v>
      </c>
      <c r="N1227" t="s">
        <v>89</v>
      </c>
      <c r="O1227" t="s">
        <v>9</v>
      </c>
      <c r="P1227" t="s">
        <v>1416</v>
      </c>
      <c r="Q1227" t="s">
        <v>1759</v>
      </c>
    </row>
    <row r="1228" spans="1:17" hidden="1">
      <c r="A1228" t="s">
        <v>1777</v>
      </c>
      <c r="B1228" s="1">
        <v>4590013944</v>
      </c>
      <c r="C1228" t="s">
        <v>1778</v>
      </c>
      <c r="D1228" s="160">
        <v>55680</v>
      </c>
      <c r="F1228" t="s">
        <v>1779</v>
      </c>
      <c r="G1228" s="4">
        <v>45538</v>
      </c>
      <c r="H1228" s="4">
        <v>45538</v>
      </c>
      <c r="I1228">
        <v>2024</v>
      </c>
      <c r="J1228">
        <v>8</v>
      </c>
      <c r="K1228" s="4" t="s">
        <v>1545</v>
      </c>
      <c r="L1228" t="s">
        <v>89</v>
      </c>
      <c r="M1228" t="s">
        <v>1517</v>
      </c>
      <c r="N1228" t="s">
        <v>89</v>
      </c>
      <c r="O1228" t="s">
        <v>9</v>
      </c>
      <c r="P1228" t="s">
        <v>1416</v>
      </c>
      <c r="Q1228" t="s">
        <v>1706</v>
      </c>
    </row>
    <row r="1229" spans="1:17" hidden="1">
      <c r="A1229" t="s">
        <v>312</v>
      </c>
      <c r="B1229" s="1">
        <v>4590013571</v>
      </c>
      <c r="C1229" t="s">
        <v>699</v>
      </c>
      <c r="D1229" s="160">
        <v>4543.03</v>
      </c>
      <c r="F1229" t="s">
        <v>1780</v>
      </c>
      <c r="G1229" s="4">
        <v>45531</v>
      </c>
      <c r="H1229" s="4">
        <v>45531</v>
      </c>
      <c r="I1229">
        <v>2024</v>
      </c>
      <c r="J1229">
        <v>8</v>
      </c>
      <c r="K1229" s="4" t="s">
        <v>1545</v>
      </c>
      <c r="L1229" t="s">
        <v>89</v>
      </c>
      <c r="M1229" t="s">
        <v>1517</v>
      </c>
      <c r="N1229" t="s">
        <v>89</v>
      </c>
      <c r="O1229" t="s">
        <v>9</v>
      </c>
      <c r="P1229" t="s">
        <v>120</v>
      </c>
      <c r="Q1229" t="s">
        <v>1759</v>
      </c>
    </row>
    <row r="1230" spans="1:17" hidden="1">
      <c r="A1230" t="s">
        <v>312</v>
      </c>
      <c r="B1230" s="1">
        <v>4503432118</v>
      </c>
      <c r="C1230" t="s">
        <v>119</v>
      </c>
      <c r="D1230" s="160">
        <v>2681795.2000000002</v>
      </c>
      <c r="F1230" t="s">
        <v>1781</v>
      </c>
      <c r="G1230" s="4">
        <v>45531</v>
      </c>
      <c r="H1230" s="4">
        <v>45531</v>
      </c>
      <c r="I1230">
        <v>2024</v>
      </c>
      <c r="J1230">
        <v>8</v>
      </c>
      <c r="K1230" s="4" t="s">
        <v>1545</v>
      </c>
      <c r="L1230" t="s">
        <v>89</v>
      </c>
      <c r="M1230" t="s">
        <v>1517</v>
      </c>
      <c r="N1230" t="s">
        <v>89</v>
      </c>
      <c r="O1230" t="s">
        <v>9</v>
      </c>
      <c r="P1230" t="s">
        <v>120</v>
      </c>
      <c r="Q1230" t="s">
        <v>1759</v>
      </c>
    </row>
    <row r="1231" spans="1:17" hidden="1">
      <c r="A1231" t="s">
        <v>312</v>
      </c>
      <c r="B1231" s="1">
        <v>4503312319</v>
      </c>
      <c r="C1231" t="s">
        <v>110</v>
      </c>
      <c r="D1231" s="160">
        <v>35525</v>
      </c>
      <c r="F1231" t="s">
        <v>1782</v>
      </c>
      <c r="G1231" s="4">
        <v>45531</v>
      </c>
      <c r="H1231" s="4">
        <v>45531</v>
      </c>
      <c r="I1231">
        <v>2024</v>
      </c>
      <c r="J1231">
        <v>8</v>
      </c>
      <c r="K1231" s="4" t="s">
        <v>1545</v>
      </c>
      <c r="L1231" t="s">
        <v>89</v>
      </c>
      <c r="M1231" t="s">
        <v>1517</v>
      </c>
      <c r="N1231" t="s">
        <v>89</v>
      </c>
      <c r="O1231" t="s">
        <v>9</v>
      </c>
      <c r="P1231" t="s">
        <v>111</v>
      </c>
      <c r="Q1231" t="s">
        <v>1759</v>
      </c>
    </row>
    <row r="1232" spans="1:17" hidden="1">
      <c r="A1232" t="s">
        <v>54</v>
      </c>
      <c r="B1232" s="1">
        <v>4590020940</v>
      </c>
      <c r="C1232" t="s">
        <v>1783</v>
      </c>
      <c r="D1232" s="160">
        <v>413538.31</v>
      </c>
      <c r="F1232" t="s">
        <v>1784</v>
      </c>
      <c r="G1232" s="4">
        <v>45534</v>
      </c>
      <c r="H1232" s="4">
        <v>45534</v>
      </c>
      <c r="I1232">
        <v>2024</v>
      </c>
      <c r="J1232">
        <v>8</v>
      </c>
      <c r="K1232" s="4" t="s">
        <v>1545</v>
      </c>
      <c r="L1232" t="s">
        <v>95</v>
      </c>
      <c r="N1232" t="s">
        <v>1785</v>
      </c>
      <c r="O1232" t="s">
        <v>13</v>
      </c>
      <c r="P1232" t="s">
        <v>1424</v>
      </c>
      <c r="Q1232" t="s">
        <v>13</v>
      </c>
    </row>
    <row r="1233" spans="1:17" hidden="1">
      <c r="A1233" t="s">
        <v>54</v>
      </c>
      <c r="B1233" s="1">
        <v>4590021332</v>
      </c>
      <c r="C1233" t="s">
        <v>1786</v>
      </c>
      <c r="D1233" s="160">
        <v>374559.6</v>
      </c>
      <c r="F1233" t="s">
        <v>1787</v>
      </c>
      <c r="G1233" s="4">
        <v>45534</v>
      </c>
      <c r="H1233" s="4">
        <v>45534</v>
      </c>
      <c r="I1233">
        <v>2024</v>
      </c>
      <c r="J1233">
        <v>8</v>
      </c>
      <c r="K1233" s="4" t="s">
        <v>1545</v>
      </c>
      <c r="L1233" t="s">
        <v>1473</v>
      </c>
      <c r="N1233" t="s">
        <v>1785</v>
      </c>
      <c r="O1233" t="s">
        <v>9</v>
      </c>
      <c r="P1233">
        <v>0</v>
      </c>
      <c r="Q1233" t="s">
        <v>1706</v>
      </c>
    </row>
    <row r="1234" spans="1:17" hidden="1">
      <c r="A1234" t="s">
        <v>161</v>
      </c>
      <c r="B1234" s="1">
        <v>4371</v>
      </c>
      <c r="C1234" t="s">
        <v>1788</v>
      </c>
      <c r="D1234" s="160">
        <v>5538.5</v>
      </c>
      <c r="F1234" t="s">
        <v>1789</v>
      </c>
      <c r="G1234" s="4">
        <v>45532</v>
      </c>
      <c r="H1234" s="4">
        <v>45532</v>
      </c>
      <c r="I1234">
        <v>2024</v>
      </c>
      <c r="J1234">
        <v>8</v>
      </c>
      <c r="K1234" s="4" t="s">
        <v>1545</v>
      </c>
      <c r="L1234" t="s">
        <v>89</v>
      </c>
      <c r="N1234" t="s">
        <v>89</v>
      </c>
      <c r="O1234" t="s">
        <v>9</v>
      </c>
      <c r="P1234" t="s">
        <v>1551</v>
      </c>
    </row>
    <row r="1235" spans="1:17" hidden="1">
      <c r="A1235" t="s">
        <v>54</v>
      </c>
      <c r="B1235" s="1">
        <v>4590019495</v>
      </c>
      <c r="D1235" s="160">
        <v>203705.25</v>
      </c>
      <c r="F1235" t="s">
        <v>1790</v>
      </c>
      <c r="G1235" s="4">
        <v>45532</v>
      </c>
      <c r="H1235" s="4">
        <v>45532</v>
      </c>
      <c r="I1235">
        <v>2024</v>
      </c>
      <c r="J1235">
        <v>8</v>
      </c>
      <c r="K1235" s="4" t="s">
        <v>1545</v>
      </c>
      <c r="L1235" t="s">
        <v>89</v>
      </c>
      <c r="M1235" t="s">
        <v>1517</v>
      </c>
      <c r="N1235" t="s">
        <v>89</v>
      </c>
      <c r="O1235" t="s">
        <v>9</v>
      </c>
      <c r="P1235" t="s">
        <v>1416</v>
      </c>
      <c r="Q1235" t="s">
        <v>9</v>
      </c>
    </row>
    <row r="1236" spans="1:17" hidden="1">
      <c r="A1236" t="s">
        <v>54</v>
      </c>
      <c r="B1236" s="1">
        <v>4590004118</v>
      </c>
      <c r="C1236" t="s">
        <v>92</v>
      </c>
      <c r="D1236" s="160">
        <v>34112.870000000003</v>
      </c>
      <c r="F1236" t="s">
        <v>1791</v>
      </c>
      <c r="G1236" s="4">
        <v>45533</v>
      </c>
      <c r="H1236" s="4">
        <v>45533</v>
      </c>
      <c r="I1236">
        <v>2024</v>
      </c>
      <c r="J1236">
        <v>8</v>
      </c>
      <c r="K1236" s="4" t="s">
        <v>1545</v>
      </c>
      <c r="L1236" t="s">
        <v>89</v>
      </c>
      <c r="M1236" t="s">
        <v>1709</v>
      </c>
      <c r="N1236" t="s">
        <v>89</v>
      </c>
      <c r="O1236" t="s">
        <v>8</v>
      </c>
      <c r="P1236" t="s">
        <v>98</v>
      </c>
      <c r="Q1236" t="s">
        <v>8</v>
      </c>
    </row>
    <row r="1237" spans="1:17">
      <c r="A1237" t="s">
        <v>54</v>
      </c>
      <c r="B1237" s="1">
        <v>4590008486</v>
      </c>
      <c r="C1237" t="s">
        <v>558</v>
      </c>
      <c r="D1237" s="160">
        <v>290696</v>
      </c>
      <c r="F1237" t="s">
        <v>1792</v>
      </c>
      <c r="G1237" s="4">
        <v>45541</v>
      </c>
      <c r="H1237" s="4">
        <v>45541</v>
      </c>
      <c r="I1237">
        <v>2024</v>
      </c>
      <c r="J1237">
        <v>9</v>
      </c>
      <c r="K1237" s="4" t="s">
        <v>1793</v>
      </c>
      <c r="L1237" t="s">
        <v>89</v>
      </c>
      <c r="M1237" t="s">
        <v>1709</v>
      </c>
      <c r="N1237" t="s">
        <v>89</v>
      </c>
      <c r="O1237" t="s">
        <v>13</v>
      </c>
      <c r="P1237" t="s">
        <v>361</v>
      </c>
      <c r="Q1237" t="s">
        <v>1794</v>
      </c>
    </row>
    <row r="1238" spans="1:17">
      <c r="A1238" t="s">
        <v>405</v>
      </c>
      <c r="B1238" s="1" t="s">
        <v>1428</v>
      </c>
      <c r="C1238" t="s">
        <v>1429</v>
      </c>
      <c r="D1238" s="160">
        <v>184752.1</v>
      </c>
      <c r="E1238">
        <v>10327.64</v>
      </c>
      <c r="F1238" t="s">
        <v>1795</v>
      </c>
      <c r="G1238" s="4" t="s">
        <v>1796</v>
      </c>
      <c r="H1238" s="4" t="s">
        <v>1796</v>
      </c>
      <c r="I1238">
        <v>2024</v>
      </c>
      <c r="J1238">
        <v>9</v>
      </c>
      <c r="K1238" s="4" t="s">
        <v>1793</v>
      </c>
      <c r="L1238" t="s">
        <v>329</v>
      </c>
      <c r="N1238" t="s">
        <v>1797</v>
      </c>
      <c r="O1238" t="s">
        <v>8</v>
      </c>
      <c r="P1238" t="s">
        <v>408</v>
      </c>
    </row>
    <row r="1239" spans="1:17">
      <c r="A1239" t="s">
        <v>405</v>
      </c>
      <c r="B1239" s="1" t="s">
        <v>1626</v>
      </c>
      <c r="C1239" t="s">
        <v>1627</v>
      </c>
      <c r="D1239" s="160">
        <v>301931.37</v>
      </c>
      <c r="E1239">
        <v>16877.96</v>
      </c>
      <c r="F1239" t="s">
        <v>1798</v>
      </c>
      <c r="G1239" s="4" t="s">
        <v>1796</v>
      </c>
      <c r="H1239" s="4" t="s">
        <v>1796</v>
      </c>
      <c r="I1239">
        <v>2024</v>
      </c>
      <c r="J1239">
        <v>9</v>
      </c>
      <c r="K1239" s="4" t="s">
        <v>1793</v>
      </c>
      <c r="L1239" t="s">
        <v>329</v>
      </c>
      <c r="N1239" t="s">
        <v>1797</v>
      </c>
      <c r="O1239" t="s">
        <v>8</v>
      </c>
      <c r="P1239" t="s">
        <v>1631</v>
      </c>
    </row>
    <row r="1240" spans="1:17" hidden="1">
      <c r="A1240" t="s">
        <v>54</v>
      </c>
      <c r="B1240" s="1" t="s">
        <v>502</v>
      </c>
      <c r="C1240" t="s">
        <v>503</v>
      </c>
      <c r="D1240" s="160">
        <v>1289634</v>
      </c>
      <c r="F1240" t="s">
        <v>1799</v>
      </c>
      <c r="G1240" s="4">
        <v>45527</v>
      </c>
      <c r="H1240" s="4" t="s">
        <v>1800</v>
      </c>
      <c r="I1240">
        <v>2024</v>
      </c>
      <c r="J1240">
        <v>8</v>
      </c>
      <c r="K1240" s="4" t="s">
        <v>1545</v>
      </c>
      <c r="L1240" t="s">
        <v>89</v>
      </c>
      <c r="M1240" t="s">
        <v>1709</v>
      </c>
      <c r="N1240" t="s">
        <v>89</v>
      </c>
      <c r="O1240" t="s">
        <v>13</v>
      </c>
      <c r="P1240" t="s">
        <v>361</v>
      </c>
    </row>
    <row r="1241" spans="1:17">
      <c r="A1241" t="s">
        <v>161</v>
      </c>
      <c r="B1241" s="1">
        <v>2117</v>
      </c>
      <c r="C1241" t="s">
        <v>1801</v>
      </c>
      <c r="D1241" s="160">
        <v>1609.36</v>
      </c>
      <c r="F1241" t="s">
        <v>1802</v>
      </c>
      <c r="G1241" s="4">
        <v>45540</v>
      </c>
      <c r="H1241" s="4">
        <v>45540</v>
      </c>
      <c r="I1241">
        <v>2024</v>
      </c>
      <c r="J1241">
        <v>9</v>
      </c>
      <c r="K1241" s="4" t="s">
        <v>1793</v>
      </c>
      <c r="L1241" t="s">
        <v>89</v>
      </c>
      <c r="N1241" t="s">
        <v>89</v>
      </c>
      <c r="P1241" t="s">
        <v>550</v>
      </c>
    </row>
    <row r="1242" spans="1:17">
      <c r="A1242" t="s">
        <v>161</v>
      </c>
      <c r="B1242" s="1">
        <v>1239</v>
      </c>
      <c r="C1242" t="s">
        <v>1803</v>
      </c>
      <c r="D1242" s="160">
        <v>3393</v>
      </c>
      <c r="F1242" t="s">
        <v>1804</v>
      </c>
      <c r="G1242" s="4">
        <v>45540</v>
      </c>
      <c r="H1242" s="4">
        <v>45540</v>
      </c>
      <c r="I1242">
        <v>2024</v>
      </c>
      <c r="J1242">
        <v>9</v>
      </c>
      <c r="K1242" s="4" t="s">
        <v>1793</v>
      </c>
      <c r="L1242" t="s">
        <v>89</v>
      </c>
      <c r="N1242" t="s">
        <v>89</v>
      </c>
      <c r="P1242" t="s">
        <v>550</v>
      </c>
    </row>
    <row r="1243" spans="1:17">
      <c r="A1243" t="s">
        <v>161</v>
      </c>
      <c r="B1243" s="1">
        <v>1958</v>
      </c>
      <c r="C1243" t="s">
        <v>1805</v>
      </c>
      <c r="D1243" s="160">
        <v>540319.5</v>
      </c>
      <c r="F1243" t="s">
        <v>1806</v>
      </c>
      <c r="G1243" s="4">
        <v>45540</v>
      </c>
      <c r="H1243" s="4">
        <v>45540</v>
      </c>
      <c r="I1243">
        <v>2024</v>
      </c>
      <c r="J1243">
        <v>9</v>
      </c>
      <c r="K1243" s="4" t="s">
        <v>1793</v>
      </c>
      <c r="L1243" t="s">
        <v>329</v>
      </c>
      <c r="N1243" t="s">
        <v>1807</v>
      </c>
      <c r="P1243" t="s">
        <v>550</v>
      </c>
    </row>
    <row r="1244" spans="1:17">
      <c r="A1244" t="s">
        <v>161</v>
      </c>
      <c r="B1244" s="1" t="s">
        <v>1808</v>
      </c>
      <c r="C1244" t="s">
        <v>1809</v>
      </c>
      <c r="D1244" s="160">
        <v>23662.32</v>
      </c>
      <c r="F1244" t="s">
        <v>1810</v>
      </c>
      <c r="G1244" s="4">
        <v>45540</v>
      </c>
      <c r="H1244" s="4">
        <v>45540</v>
      </c>
      <c r="I1244">
        <v>2024</v>
      </c>
      <c r="J1244">
        <v>9</v>
      </c>
      <c r="K1244" s="4" t="s">
        <v>1793</v>
      </c>
      <c r="L1244" t="s">
        <v>89</v>
      </c>
      <c r="N1244" t="s">
        <v>89</v>
      </c>
      <c r="P1244" t="s">
        <v>550</v>
      </c>
    </row>
    <row r="1245" spans="1:17">
      <c r="A1245" t="s">
        <v>405</v>
      </c>
      <c r="B1245" s="1" t="s">
        <v>1811</v>
      </c>
      <c r="C1245" t="s">
        <v>1812</v>
      </c>
      <c r="D1245" s="160">
        <v>17598.62</v>
      </c>
      <c r="F1245" t="s">
        <v>1813</v>
      </c>
      <c r="G1245" s="4" t="s">
        <v>1814</v>
      </c>
      <c r="H1245" s="4" t="s">
        <v>1814</v>
      </c>
      <c r="I1245">
        <v>2024</v>
      </c>
      <c r="J1245">
        <v>9</v>
      </c>
      <c r="K1245" s="4" t="s">
        <v>1793</v>
      </c>
      <c r="L1245" t="s">
        <v>329</v>
      </c>
      <c r="N1245" t="s">
        <v>1807</v>
      </c>
      <c r="O1245" t="s">
        <v>8</v>
      </c>
      <c r="P1245" t="s">
        <v>408</v>
      </c>
    </row>
    <row r="1246" spans="1:17">
      <c r="A1246" t="s">
        <v>405</v>
      </c>
      <c r="B1246" s="1" t="s">
        <v>1811</v>
      </c>
      <c r="C1246" t="s">
        <v>1815</v>
      </c>
      <c r="D1246" s="160">
        <v>18009.939999999999</v>
      </c>
      <c r="F1246" t="s">
        <v>1816</v>
      </c>
      <c r="G1246" s="4" t="s">
        <v>1814</v>
      </c>
      <c r="H1246" s="4" t="s">
        <v>1814</v>
      </c>
      <c r="I1246">
        <v>2024</v>
      </c>
      <c r="J1246">
        <v>9</v>
      </c>
      <c r="K1246" s="4" t="s">
        <v>1793</v>
      </c>
      <c r="L1246" t="s">
        <v>329</v>
      </c>
      <c r="N1246" t="s">
        <v>1807</v>
      </c>
      <c r="O1246" t="s">
        <v>8</v>
      </c>
      <c r="P1246" t="s">
        <v>408</v>
      </c>
    </row>
    <row r="1247" spans="1:17">
      <c r="A1247" t="s">
        <v>405</v>
      </c>
      <c r="B1247" s="1" t="s">
        <v>406</v>
      </c>
      <c r="C1247" t="s">
        <v>1817</v>
      </c>
      <c r="D1247" s="160">
        <v>661660.72</v>
      </c>
      <c r="F1247" t="s">
        <v>1818</v>
      </c>
      <c r="G1247" s="4" t="s">
        <v>1814</v>
      </c>
      <c r="H1247" s="4" t="s">
        <v>1814</v>
      </c>
      <c r="I1247">
        <v>2024</v>
      </c>
      <c r="J1247">
        <v>9</v>
      </c>
      <c r="K1247" s="4" t="s">
        <v>1793</v>
      </c>
      <c r="L1247" t="s">
        <v>329</v>
      </c>
      <c r="N1247" t="s">
        <v>1807</v>
      </c>
      <c r="O1247" t="s">
        <v>8</v>
      </c>
      <c r="P1247" t="s">
        <v>550</v>
      </c>
    </row>
    <row r="1248" spans="1:17">
      <c r="A1248" t="s">
        <v>161</v>
      </c>
      <c r="B1248" s="1">
        <v>1256</v>
      </c>
      <c r="C1248" t="s">
        <v>1069</v>
      </c>
      <c r="D1248" s="160">
        <v>4652.6400000000003</v>
      </c>
      <c r="F1248" t="s">
        <v>1819</v>
      </c>
      <c r="G1248" s="4">
        <v>45546</v>
      </c>
      <c r="H1248" s="4">
        <v>45546</v>
      </c>
      <c r="I1248">
        <v>2024</v>
      </c>
      <c r="J1248">
        <v>9</v>
      </c>
      <c r="K1248" s="4" t="s">
        <v>1793</v>
      </c>
      <c r="L1248" t="s">
        <v>329</v>
      </c>
      <c r="N1248" t="s">
        <v>1820</v>
      </c>
      <c r="P1248" t="s">
        <v>550</v>
      </c>
    </row>
    <row r="1249" spans="1:16" hidden="1">
      <c r="A1249" t="s">
        <v>161</v>
      </c>
      <c r="B1249" s="1">
        <v>1958</v>
      </c>
      <c r="C1249" t="s">
        <v>1805</v>
      </c>
      <c r="D1249" s="160">
        <v>258400</v>
      </c>
      <c r="F1249" t="s">
        <v>1821</v>
      </c>
      <c r="G1249" s="4">
        <v>45078</v>
      </c>
      <c r="H1249" s="4">
        <v>45078</v>
      </c>
      <c r="I1249">
        <v>2023</v>
      </c>
      <c r="J1249">
        <v>6</v>
      </c>
      <c r="K1249" s="4" t="s">
        <v>298</v>
      </c>
      <c r="L1249" t="s">
        <v>329</v>
      </c>
      <c r="N1249" t="s">
        <v>1822</v>
      </c>
      <c r="P1249" t="s">
        <v>550</v>
      </c>
    </row>
    <row r="1250" spans="1:16">
      <c r="A1250" t="s">
        <v>1401</v>
      </c>
      <c r="C1250" t="s">
        <v>1823</v>
      </c>
      <c r="D1250" s="160">
        <v>21614.240000000002</v>
      </c>
      <c r="F1250" t="s">
        <v>1824</v>
      </c>
      <c r="G1250" s="4" t="s">
        <v>1825</v>
      </c>
      <c r="H1250" s="4">
        <v>45552</v>
      </c>
      <c r="I1250">
        <v>2024</v>
      </c>
      <c r="J1250">
        <v>9</v>
      </c>
      <c r="K1250" s="4" t="s">
        <v>1793</v>
      </c>
      <c r="N1250" t="s">
        <v>1826</v>
      </c>
      <c r="P1250" t="s">
        <v>550</v>
      </c>
    </row>
    <row r="1251" spans="1:16">
      <c r="A1251" t="s">
        <v>1401</v>
      </c>
      <c r="C1251" t="s">
        <v>1827</v>
      </c>
      <c r="D1251" s="160">
        <v>60000</v>
      </c>
      <c r="F1251" t="s">
        <v>1828</v>
      </c>
      <c r="G1251" s="4" t="s">
        <v>1825</v>
      </c>
      <c r="H1251" s="4">
        <v>45552</v>
      </c>
      <c r="I1251">
        <v>2024</v>
      </c>
      <c r="J1251">
        <v>9</v>
      </c>
      <c r="K1251" s="4" t="s">
        <v>1793</v>
      </c>
      <c r="N1251" t="s">
        <v>1826</v>
      </c>
      <c r="P1251" t="s">
        <v>550</v>
      </c>
    </row>
    <row r="1252" spans="1:16">
      <c r="A1252" t="s">
        <v>1580</v>
      </c>
      <c r="C1252" t="s">
        <v>1829</v>
      </c>
      <c r="D1252" s="160">
        <v>44084.28</v>
      </c>
      <c r="F1252" t="s">
        <v>1830</v>
      </c>
      <c r="G1252" s="4">
        <v>45478</v>
      </c>
      <c r="H1252" s="4">
        <v>45552</v>
      </c>
      <c r="I1252">
        <v>2024</v>
      </c>
      <c r="J1252">
        <v>9</v>
      </c>
      <c r="K1252" s="4" t="s">
        <v>1793</v>
      </c>
      <c r="N1252" t="s">
        <v>1831</v>
      </c>
      <c r="O1252" t="s">
        <v>1584</v>
      </c>
      <c r="P1252" t="s">
        <v>550</v>
      </c>
    </row>
    <row r="1253" spans="1:16">
      <c r="A1253" t="s">
        <v>161</v>
      </c>
      <c r="B1253" s="1">
        <v>2957</v>
      </c>
      <c r="C1253" t="s">
        <v>1073</v>
      </c>
      <c r="D1253" s="160">
        <v>42691</v>
      </c>
      <c r="F1253" t="s">
        <v>1832</v>
      </c>
      <c r="G1253" s="4">
        <v>45553</v>
      </c>
      <c r="H1253" s="4">
        <v>45553</v>
      </c>
      <c r="I1253">
        <v>2024</v>
      </c>
      <c r="J1253">
        <v>9</v>
      </c>
      <c r="K1253" s="4" t="s">
        <v>1793</v>
      </c>
      <c r="L1253" t="s">
        <v>329</v>
      </c>
      <c r="N1253" t="s">
        <v>1833</v>
      </c>
      <c r="O1253" t="s">
        <v>18</v>
      </c>
      <c r="P1253" t="s">
        <v>164</v>
      </c>
    </row>
    <row r="1254" spans="1:16">
      <c r="A1254" t="s">
        <v>1561</v>
      </c>
      <c r="B1254" s="1" t="s">
        <v>1834</v>
      </c>
      <c r="C1254" t="s">
        <v>1557</v>
      </c>
      <c r="D1254" s="160">
        <v>9640</v>
      </c>
      <c r="F1254" t="s">
        <v>1835</v>
      </c>
      <c r="G1254" s="4" t="s">
        <v>1836</v>
      </c>
      <c r="H1254" s="4" t="s">
        <v>1836</v>
      </c>
      <c r="I1254">
        <v>2024</v>
      </c>
      <c r="J1254">
        <v>9</v>
      </c>
      <c r="K1254" s="4" t="s">
        <v>1793</v>
      </c>
      <c r="N1254" t="s">
        <v>1833</v>
      </c>
      <c r="O1254" t="s">
        <v>1557</v>
      </c>
      <c r="P1254" t="s">
        <v>550</v>
      </c>
    </row>
    <row r="1255" spans="1:16">
      <c r="A1255" t="s">
        <v>1360</v>
      </c>
      <c r="B1255" s="1">
        <v>4590018032</v>
      </c>
      <c r="C1255" t="s">
        <v>390</v>
      </c>
      <c r="D1255" s="160">
        <v>182373.34</v>
      </c>
      <c r="F1255" t="s">
        <v>1837</v>
      </c>
      <c r="G1255" s="4">
        <v>45554</v>
      </c>
      <c r="H1255" s="4">
        <v>45554</v>
      </c>
      <c r="I1255">
        <v>2024</v>
      </c>
      <c r="J1255">
        <v>9</v>
      </c>
      <c r="K1255" s="4" t="s">
        <v>1793</v>
      </c>
      <c r="L1255" t="s">
        <v>1473</v>
      </c>
      <c r="N1255" t="s">
        <v>1838</v>
      </c>
      <c r="O1255" t="s">
        <v>13</v>
      </c>
      <c r="P1255" t="s">
        <v>222</v>
      </c>
    </row>
    <row r="1256" spans="1:16">
      <c r="A1256" t="s">
        <v>1363</v>
      </c>
      <c r="B1256" s="1">
        <v>4590019069</v>
      </c>
      <c r="C1256" t="s">
        <v>1478</v>
      </c>
      <c r="D1256" s="160">
        <v>35906.39</v>
      </c>
      <c r="F1256" t="s">
        <v>1839</v>
      </c>
      <c r="G1256" s="4">
        <v>45554</v>
      </c>
      <c r="H1256" s="4">
        <v>45555</v>
      </c>
      <c r="I1256">
        <v>2024</v>
      </c>
      <c r="J1256">
        <v>9</v>
      </c>
      <c r="K1256" s="4" t="s">
        <v>1793</v>
      </c>
      <c r="L1256" t="s">
        <v>1473</v>
      </c>
      <c r="N1256" t="s">
        <v>1838</v>
      </c>
      <c r="O1256" t="s">
        <v>13</v>
      </c>
      <c r="P1256" t="s">
        <v>222</v>
      </c>
    </row>
    <row r="1257" spans="1:16">
      <c r="A1257" t="s">
        <v>1363</v>
      </c>
      <c r="B1257" s="1">
        <v>4590015934</v>
      </c>
      <c r="C1257" t="s">
        <v>1364</v>
      </c>
      <c r="D1257" s="160">
        <v>17177.55</v>
      </c>
      <c r="F1257" t="s">
        <v>1840</v>
      </c>
      <c r="G1257" s="4">
        <v>45554</v>
      </c>
      <c r="H1257" s="4">
        <v>45555</v>
      </c>
      <c r="I1257">
        <v>2024</v>
      </c>
      <c r="J1257">
        <v>9</v>
      </c>
      <c r="K1257" s="4" t="s">
        <v>1793</v>
      </c>
      <c r="L1257" t="s">
        <v>1473</v>
      </c>
      <c r="N1257" t="s">
        <v>1838</v>
      </c>
      <c r="O1257" t="s">
        <v>13</v>
      </c>
      <c r="P1257" t="s">
        <v>222</v>
      </c>
    </row>
    <row r="1258" spans="1:16">
      <c r="A1258" t="s">
        <v>1363</v>
      </c>
      <c r="B1258" s="1">
        <v>4590021215</v>
      </c>
      <c r="C1258" t="s">
        <v>1747</v>
      </c>
      <c r="D1258" s="160">
        <v>201797.73</v>
      </c>
      <c r="F1258" t="s">
        <v>1841</v>
      </c>
      <c r="G1258" s="4">
        <v>45554</v>
      </c>
      <c r="H1258" s="4">
        <v>45555</v>
      </c>
      <c r="I1258">
        <v>2024</v>
      </c>
      <c r="J1258">
        <v>9</v>
      </c>
      <c r="K1258" s="4" t="s">
        <v>1793</v>
      </c>
      <c r="L1258" t="s">
        <v>1473</v>
      </c>
      <c r="N1258" t="s">
        <v>1838</v>
      </c>
      <c r="O1258" t="s">
        <v>13</v>
      </c>
      <c r="P1258" t="s">
        <v>1749</v>
      </c>
    </row>
    <row r="1259" spans="1:16">
      <c r="A1259" t="s">
        <v>1366</v>
      </c>
      <c r="B1259" s="1">
        <v>4590019499</v>
      </c>
      <c r="C1259" t="s">
        <v>1480</v>
      </c>
      <c r="D1259" s="160">
        <v>711280.25</v>
      </c>
      <c r="F1259" t="s">
        <v>1842</v>
      </c>
      <c r="G1259" s="4">
        <v>45554</v>
      </c>
      <c r="H1259" s="4">
        <v>45555</v>
      </c>
      <c r="I1259">
        <v>2024</v>
      </c>
      <c r="J1259">
        <v>9</v>
      </c>
      <c r="K1259" s="4" t="s">
        <v>1793</v>
      </c>
      <c r="L1259" t="s">
        <v>95</v>
      </c>
      <c r="N1259" t="s">
        <v>1838</v>
      </c>
      <c r="O1259" t="s">
        <v>13</v>
      </c>
      <c r="P1259" t="s">
        <v>1424</v>
      </c>
    </row>
    <row r="1260" spans="1:16">
      <c r="A1260" t="s">
        <v>1366</v>
      </c>
      <c r="B1260" s="1">
        <v>4590014289</v>
      </c>
      <c r="C1260" t="s">
        <v>675</v>
      </c>
      <c r="D1260" s="160">
        <v>200320.74</v>
      </c>
      <c r="F1260" t="s">
        <v>1843</v>
      </c>
      <c r="G1260" s="4">
        <v>45554</v>
      </c>
      <c r="H1260" s="4">
        <v>45555</v>
      </c>
      <c r="I1260">
        <v>2024</v>
      </c>
      <c r="J1260">
        <v>9</v>
      </c>
      <c r="K1260" s="4" t="s">
        <v>1793</v>
      </c>
      <c r="L1260" t="s">
        <v>1473</v>
      </c>
      <c r="N1260" t="s">
        <v>1838</v>
      </c>
      <c r="O1260" t="s">
        <v>13</v>
      </c>
      <c r="P1260" t="s">
        <v>537</v>
      </c>
    </row>
    <row r="1261" spans="1:16">
      <c r="A1261" t="s">
        <v>54</v>
      </c>
      <c r="B1261" s="1">
        <v>4590020940</v>
      </c>
      <c r="C1261" t="s">
        <v>1783</v>
      </c>
      <c r="D1261" s="160">
        <v>668721.03</v>
      </c>
      <c r="F1261" t="s">
        <v>1844</v>
      </c>
      <c r="G1261" s="4">
        <v>45554</v>
      </c>
      <c r="H1261" s="4">
        <v>45555</v>
      </c>
      <c r="I1261">
        <v>2024</v>
      </c>
      <c r="J1261">
        <v>9</v>
      </c>
      <c r="K1261" s="4" t="s">
        <v>1793</v>
      </c>
      <c r="L1261" t="s">
        <v>95</v>
      </c>
      <c r="N1261" t="s">
        <v>1838</v>
      </c>
      <c r="O1261" t="s">
        <v>13</v>
      </c>
      <c r="P1261" t="s">
        <v>1424</v>
      </c>
    </row>
    <row r="1262" spans="1:16">
      <c r="A1262" t="s">
        <v>1772</v>
      </c>
      <c r="B1262" s="1">
        <v>4590020794</v>
      </c>
      <c r="C1262" t="s">
        <v>1773</v>
      </c>
      <c r="D1262" s="160">
        <v>1361837.08</v>
      </c>
      <c r="F1262" t="s">
        <v>1845</v>
      </c>
      <c r="G1262" s="4">
        <v>45554</v>
      </c>
      <c r="H1262" s="4">
        <v>45555</v>
      </c>
      <c r="I1262">
        <v>2024</v>
      </c>
      <c r="J1262">
        <v>9</v>
      </c>
      <c r="K1262" s="4" t="s">
        <v>1793</v>
      </c>
      <c r="L1262" t="s">
        <v>95</v>
      </c>
      <c r="M1262" t="s">
        <v>1846</v>
      </c>
      <c r="N1262" t="s">
        <v>1838</v>
      </c>
      <c r="O1262" t="s">
        <v>13</v>
      </c>
      <c r="P1262">
        <v>0</v>
      </c>
    </row>
    <row r="1263" spans="1:16">
      <c r="A1263" t="s">
        <v>1435</v>
      </c>
      <c r="B1263" s="1">
        <v>4590006750</v>
      </c>
      <c r="C1263" t="s">
        <v>266</v>
      </c>
      <c r="D1263" s="160">
        <v>1011124</v>
      </c>
      <c r="F1263" t="s">
        <v>1847</v>
      </c>
      <c r="G1263" s="4">
        <v>45558</v>
      </c>
      <c r="H1263" s="4">
        <v>45558</v>
      </c>
      <c r="I1263">
        <v>2024</v>
      </c>
      <c r="J1263">
        <v>9</v>
      </c>
      <c r="K1263" s="4" t="s">
        <v>1793</v>
      </c>
      <c r="L1263" t="s">
        <v>1848</v>
      </c>
      <c r="N1263" t="s">
        <v>1849</v>
      </c>
      <c r="O1263" t="s">
        <v>8</v>
      </c>
      <c r="P1263" t="s">
        <v>268</v>
      </c>
    </row>
    <row r="1264" spans="1:16">
      <c r="A1264" t="s">
        <v>789</v>
      </c>
      <c r="B1264" s="1">
        <v>4590012855</v>
      </c>
      <c r="C1264" t="s">
        <v>790</v>
      </c>
      <c r="D1264" s="160">
        <v>54009</v>
      </c>
      <c r="F1264" t="s">
        <v>1850</v>
      </c>
      <c r="G1264" s="4">
        <v>45558</v>
      </c>
      <c r="H1264" s="4">
        <v>45558</v>
      </c>
      <c r="I1264">
        <v>2024</v>
      </c>
      <c r="J1264">
        <v>9</v>
      </c>
      <c r="K1264" s="4" t="s">
        <v>1793</v>
      </c>
      <c r="L1264" t="s">
        <v>1473</v>
      </c>
      <c r="N1264" t="s">
        <v>1849</v>
      </c>
      <c r="O1264" t="s">
        <v>9</v>
      </c>
      <c r="P1264" t="s">
        <v>129</v>
      </c>
    </row>
    <row r="1265" spans="1:16">
      <c r="A1265" t="s">
        <v>948</v>
      </c>
      <c r="B1265" s="1">
        <v>4590013433</v>
      </c>
      <c r="C1265" t="s">
        <v>949</v>
      </c>
      <c r="D1265" s="160">
        <v>1109.76</v>
      </c>
      <c r="F1265" t="s">
        <v>1851</v>
      </c>
      <c r="G1265" s="4">
        <v>45558</v>
      </c>
      <c r="H1265" s="4">
        <v>45558</v>
      </c>
      <c r="I1265">
        <v>2024</v>
      </c>
      <c r="J1265">
        <v>9</v>
      </c>
      <c r="K1265" s="4" t="s">
        <v>1793</v>
      </c>
      <c r="L1265" t="s">
        <v>1473</v>
      </c>
      <c r="N1265" t="s">
        <v>1849</v>
      </c>
      <c r="O1265" t="s">
        <v>11</v>
      </c>
      <c r="P1265" t="s">
        <v>135</v>
      </c>
    </row>
    <row r="1266" spans="1:16">
      <c r="A1266" t="s">
        <v>1497</v>
      </c>
      <c r="B1266" s="1">
        <v>4590019947</v>
      </c>
      <c r="C1266" t="s">
        <v>1498</v>
      </c>
      <c r="D1266" s="160">
        <v>26094.92</v>
      </c>
      <c r="E1266">
        <v>1458.71</v>
      </c>
      <c r="F1266" t="s">
        <v>1852</v>
      </c>
      <c r="G1266" s="4">
        <v>45558</v>
      </c>
      <c r="H1266" s="4">
        <v>45558</v>
      </c>
      <c r="I1266">
        <v>2024</v>
      </c>
      <c r="J1266">
        <v>9</v>
      </c>
      <c r="K1266" s="4" t="s">
        <v>1793</v>
      </c>
      <c r="L1266" t="s">
        <v>1473</v>
      </c>
      <c r="N1266" t="s">
        <v>1849</v>
      </c>
      <c r="O1266" t="s">
        <v>9</v>
      </c>
      <c r="P1266" t="s">
        <v>1465</v>
      </c>
    </row>
    <row r="1267" spans="1:16">
      <c r="A1267" t="s">
        <v>337</v>
      </c>
      <c r="B1267" s="1" t="s">
        <v>136</v>
      </c>
      <c r="C1267" t="s">
        <v>137</v>
      </c>
      <c r="D1267" s="160">
        <v>39794.36</v>
      </c>
      <c r="F1267" t="s">
        <v>1853</v>
      </c>
      <c r="G1267" s="4">
        <v>45558</v>
      </c>
      <c r="H1267" s="4">
        <v>45558</v>
      </c>
      <c r="I1267">
        <v>2024</v>
      </c>
      <c r="J1267">
        <v>9</v>
      </c>
      <c r="K1267" s="4" t="s">
        <v>1793</v>
      </c>
      <c r="L1267" t="s">
        <v>1473</v>
      </c>
      <c r="N1267" t="s">
        <v>1849</v>
      </c>
      <c r="O1267" t="s">
        <v>9</v>
      </c>
      <c r="P1267" t="s">
        <v>135</v>
      </c>
    </row>
    <row r="1268" spans="1:16">
      <c r="A1268" t="s">
        <v>312</v>
      </c>
      <c r="B1268" s="1">
        <v>4590020235</v>
      </c>
      <c r="C1268" t="s">
        <v>1750</v>
      </c>
      <c r="D1268" s="160">
        <v>475953.18</v>
      </c>
      <c r="F1268" t="s">
        <v>1854</v>
      </c>
      <c r="G1268" s="4">
        <v>45558</v>
      </c>
      <c r="H1268" s="4">
        <v>45558</v>
      </c>
      <c r="I1268">
        <v>2024</v>
      </c>
      <c r="J1268">
        <v>9</v>
      </c>
      <c r="K1268" s="4" t="s">
        <v>1793</v>
      </c>
      <c r="L1268" t="s">
        <v>1473</v>
      </c>
      <c r="N1268" t="s">
        <v>1849</v>
      </c>
      <c r="O1268" t="s">
        <v>9</v>
      </c>
      <c r="P1268" t="s">
        <v>1416</v>
      </c>
    </row>
    <row r="1269" spans="1:16">
      <c r="A1269" t="s">
        <v>312</v>
      </c>
      <c r="B1269" s="1">
        <v>4590020302</v>
      </c>
      <c r="C1269" t="s">
        <v>1752</v>
      </c>
      <c r="D1269" s="160">
        <v>3465000</v>
      </c>
      <c r="F1269" t="s">
        <v>1855</v>
      </c>
      <c r="G1269" s="4">
        <v>45558</v>
      </c>
      <c r="H1269" s="4">
        <v>45558</v>
      </c>
      <c r="I1269">
        <v>2024</v>
      </c>
      <c r="J1269">
        <v>9</v>
      </c>
      <c r="K1269" s="4" t="s">
        <v>1793</v>
      </c>
      <c r="L1269" t="s">
        <v>1473</v>
      </c>
      <c r="N1269" t="s">
        <v>1849</v>
      </c>
      <c r="O1269" t="s">
        <v>9</v>
      </c>
      <c r="P1269" t="s">
        <v>1416</v>
      </c>
    </row>
    <row r="1270" spans="1:16">
      <c r="A1270" t="s">
        <v>54</v>
      </c>
      <c r="B1270" s="1">
        <v>4590015533</v>
      </c>
      <c r="C1270" t="s">
        <v>1856</v>
      </c>
      <c r="D1270" s="160">
        <v>21440.6</v>
      </c>
      <c r="F1270" t="s">
        <v>1857</v>
      </c>
      <c r="G1270" s="4">
        <v>45555</v>
      </c>
      <c r="H1270" s="4">
        <v>45555</v>
      </c>
      <c r="I1270">
        <v>2024</v>
      </c>
      <c r="J1270">
        <v>9</v>
      </c>
      <c r="K1270" s="4" t="s">
        <v>1793</v>
      </c>
      <c r="L1270" t="s">
        <v>1473</v>
      </c>
      <c r="N1270" t="s">
        <v>1858</v>
      </c>
      <c r="O1270" t="s">
        <v>13</v>
      </c>
      <c r="P1270" t="s">
        <v>361</v>
      </c>
    </row>
    <row r="1271" spans="1:16">
      <c r="A1271" t="s">
        <v>830</v>
      </c>
      <c r="B1271" s="1">
        <v>20230315002</v>
      </c>
      <c r="C1271" t="s">
        <v>831</v>
      </c>
      <c r="D1271" s="160">
        <v>79032.55</v>
      </c>
      <c r="F1271" t="s">
        <v>1859</v>
      </c>
      <c r="G1271" s="4">
        <v>45555</v>
      </c>
      <c r="H1271" s="4">
        <v>45555</v>
      </c>
      <c r="I1271">
        <v>2024</v>
      </c>
      <c r="J1271">
        <v>9</v>
      </c>
      <c r="K1271" s="4" t="s">
        <v>1793</v>
      </c>
      <c r="L1271" t="s">
        <v>329</v>
      </c>
      <c r="N1271" t="s">
        <v>1858</v>
      </c>
      <c r="O1271" t="s">
        <v>18</v>
      </c>
      <c r="P1271" t="s">
        <v>834</v>
      </c>
    </row>
    <row r="1272" spans="1:16">
      <c r="A1272" t="s">
        <v>1401</v>
      </c>
      <c r="B1272" s="1" t="s">
        <v>1860</v>
      </c>
      <c r="C1272" t="s">
        <v>1861</v>
      </c>
      <c r="D1272" s="160">
        <v>140434.63</v>
      </c>
      <c r="F1272" t="s">
        <v>1862</v>
      </c>
      <c r="G1272" s="4">
        <v>45558</v>
      </c>
      <c r="H1272" s="4">
        <v>45558</v>
      </c>
      <c r="I1272">
        <v>2024</v>
      </c>
      <c r="J1272">
        <v>9</v>
      </c>
      <c r="K1272" s="4" t="s">
        <v>1793</v>
      </c>
      <c r="L1272" t="s">
        <v>89</v>
      </c>
      <c r="N1272" t="s">
        <v>89</v>
      </c>
      <c r="O1272" t="s">
        <v>9</v>
      </c>
      <c r="P1272" t="s">
        <v>1405</v>
      </c>
    </row>
    <row r="1273" spans="1:16">
      <c r="A1273" t="s">
        <v>1443</v>
      </c>
      <c r="B1273" s="1">
        <v>4590006814</v>
      </c>
      <c r="C1273" t="s">
        <v>455</v>
      </c>
      <c r="D1273" s="160">
        <v>4140</v>
      </c>
      <c r="F1273" t="s">
        <v>1863</v>
      </c>
      <c r="G1273" s="4">
        <v>45558</v>
      </c>
      <c r="H1273" s="4">
        <v>45558</v>
      </c>
      <c r="I1273">
        <v>2024</v>
      </c>
      <c r="J1273">
        <v>9</v>
      </c>
      <c r="K1273" s="4" t="s">
        <v>1793</v>
      </c>
      <c r="L1273" t="s">
        <v>1848</v>
      </c>
      <c r="N1273" t="s">
        <v>1849</v>
      </c>
      <c r="O1273" t="s">
        <v>8</v>
      </c>
      <c r="P1273" t="s">
        <v>300</v>
      </c>
    </row>
    <row r="1274" spans="1:16">
      <c r="A1274" t="s">
        <v>679</v>
      </c>
      <c r="B1274" s="1">
        <v>4590018645</v>
      </c>
      <c r="C1274" t="s">
        <v>1864</v>
      </c>
      <c r="D1274" s="160">
        <v>73447.92</v>
      </c>
      <c r="F1274" t="s">
        <v>1865</v>
      </c>
      <c r="G1274" s="4">
        <v>45558</v>
      </c>
      <c r="H1274" s="4">
        <v>45558</v>
      </c>
      <c r="I1274">
        <v>2024</v>
      </c>
      <c r="J1274">
        <v>9</v>
      </c>
      <c r="K1274" s="4" t="s">
        <v>1793</v>
      </c>
      <c r="L1274" t="s">
        <v>95</v>
      </c>
      <c r="M1274" t="s">
        <v>1866</v>
      </c>
      <c r="N1274" t="s">
        <v>1849</v>
      </c>
      <c r="O1274" t="s">
        <v>8</v>
      </c>
      <c r="P1274" t="s">
        <v>300</v>
      </c>
    </row>
    <row r="1275" spans="1:16">
      <c r="A1275" t="s">
        <v>1745</v>
      </c>
      <c r="B1275" s="1">
        <v>4590020159</v>
      </c>
      <c r="C1275" t="s">
        <v>1526</v>
      </c>
      <c r="D1275" s="160">
        <v>145418.54999999999</v>
      </c>
      <c r="F1275" t="s">
        <v>1867</v>
      </c>
      <c r="G1275" s="4">
        <v>45558</v>
      </c>
      <c r="H1275" s="4">
        <v>45558</v>
      </c>
      <c r="I1275">
        <v>2024</v>
      </c>
      <c r="J1275">
        <v>9</v>
      </c>
      <c r="K1275" s="4" t="s">
        <v>1793</v>
      </c>
      <c r="L1275" t="s">
        <v>1473</v>
      </c>
      <c r="N1275" t="s">
        <v>1849</v>
      </c>
      <c r="O1275" t="s">
        <v>9</v>
      </c>
      <c r="P1275" t="s">
        <v>1465</v>
      </c>
    </row>
    <row r="1276" spans="1:16">
      <c r="A1276" t="s">
        <v>1163</v>
      </c>
      <c r="B1276" s="1">
        <v>4590011208</v>
      </c>
      <c r="C1276" t="s">
        <v>1164</v>
      </c>
      <c r="D1276" s="160">
        <v>25635</v>
      </c>
      <c r="F1276" t="s">
        <v>1868</v>
      </c>
      <c r="G1276" s="4">
        <v>45558</v>
      </c>
      <c r="H1276" s="4">
        <v>45558</v>
      </c>
      <c r="I1276">
        <v>2024</v>
      </c>
      <c r="J1276">
        <v>9</v>
      </c>
      <c r="K1276" s="4" t="s">
        <v>1793</v>
      </c>
      <c r="L1276" t="s">
        <v>1473</v>
      </c>
      <c r="N1276" t="s">
        <v>1849</v>
      </c>
      <c r="O1276" t="s">
        <v>14</v>
      </c>
      <c r="P1276" t="s">
        <v>1167</v>
      </c>
    </row>
    <row r="1277" spans="1:16">
      <c r="A1277" t="s">
        <v>312</v>
      </c>
      <c r="B1277" s="1">
        <v>4590020160</v>
      </c>
      <c r="C1277" t="s">
        <v>1869</v>
      </c>
      <c r="D1277" s="160">
        <v>154305.65</v>
      </c>
      <c r="F1277" t="s">
        <v>1870</v>
      </c>
      <c r="G1277" s="4">
        <v>45558</v>
      </c>
      <c r="H1277" s="4">
        <v>45558</v>
      </c>
      <c r="I1277">
        <v>2024</v>
      </c>
      <c r="J1277">
        <v>9</v>
      </c>
      <c r="K1277" s="4" t="s">
        <v>1793</v>
      </c>
      <c r="L1277" t="s">
        <v>1473</v>
      </c>
      <c r="N1277" t="s">
        <v>1849</v>
      </c>
      <c r="O1277" t="s">
        <v>9</v>
      </c>
      <c r="P1277" t="s">
        <v>1416</v>
      </c>
    </row>
    <row r="1278" spans="1:16">
      <c r="A1278" t="s">
        <v>312</v>
      </c>
      <c r="B1278" s="1">
        <v>4590020154</v>
      </c>
      <c r="C1278" t="s">
        <v>1537</v>
      </c>
      <c r="D1278" s="160">
        <v>1388477.02</v>
      </c>
      <c r="F1278" t="s">
        <v>1871</v>
      </c>
      <c r="G1278" s="4">
        <v>45558</v>
      </c>
      <c r="H1278" s="4">
        <v>45558</v>
      </c>
      <c r="I1278">
        <v>2024</v>
      </c>
      <c r="J1278">
        <v>9</v>
      </c>
      <c r="K1278" s="4" t="s">
        <v>1793</v>
      </c>
      <c r="L1278" t="s">
        <v>1473</v>
      </c>
      <c r="N1278" t="s">
        <v>1849</v>
      </c>
      <c r="O1278" t="s">
        <v>9</v>
      </c>
      <c r="P1278" t="s">
        <v>1465</v>
      </c>
    </row>
    <row r="1279" spans="1:16">
      <c r="A1279" t="s">
        <v>1872</v>
      </c>
      <c r="B1279" s="1">
        <v>4590020844</v>
      </c>
      <c r="C1279" t="s">
        <v>1783</v>
      </c>
      <c r="D1279" s="160">
        <v>75497.37</v>
      </c>
      <c r="F1279" t="s">
        <v>1873</v>
      </c>
      <c r="G1279" s="4">
        <v>45558</v>
      </c>
      <c r="H1279" s="4">
        <v>45558</v>
      </c>
      <c r="I1279">
        <v>2024</v>
      </c>
      <c r="J1279">
        <v>9</v>
      </c>
      <c r="K1279" s="4" t="s">
        <v>1793</v>
      </c>
      <c r="L1279" t="s">
        <v>1473</v>
      </c>
      <c r="N1279" t="s">
        <v>1849</v>
      </c>
      <c r="O1279" t="s">
        <v>13</v>
      </c>
      <c r="P1279" t="s">
        <v>1424</v>
      </c>
    </row>
    <row r="1280" spans="1:16">
      <c r="A1280" t="s">
        <v>315</v>
      </c>
      <c r="B1280" s="1" t="s">
        <v>201</v>
      </c>
      <c r="C1280" t="s">
        <v>202</v>
      </c>
      <c r="D1280" s="160">
        <v>122491.35</v>
      </c>
      <c r="F1280" t="s">
        <v>1874</v>
      </c>
      <c r="G1280" s="4">
        <v>45559</v>
      </c>
      <c r="H1280" s="4">
        <v>45559</v>
      </c>
      <c r="I1280">
        <v>2024</v>
      </c>
      <c r="J1280">
        <v>9</v>
      </c>
      <c r="K1280" s="4" t="s">
        <v>1793</v>
      </c>
      <c r="L1280" t="s">
        <v>1848</v>
      </c>
      <c r="N1280" t="s">
        <v>1875</v>
      </c>
      <c r="O1280" t="s">
        <v>11</v>
      </c>
      <c r="P1280" t="s">
        <v>190</v>
      </c>
    </row>
    <row r="1281" spans="1:16">
      <c r="A1281" t="s">
        <v>315</v>
      </c>
      <c r="B1281" s="1" t="s">
        <v>204</v>
      </c>
      <c r="C1281" t="s">
        <v>205</v>
      </c>
      <c r="D1281" s="160">
        <v>89379.28</v>
      </c>
      <c r="F1281" t="s">
        <v>1876</v>
      </c>
      <c r="G1281" s="4">
        <v>45559</v>
      </c>
      <c r="H1281" s="4">
        <v>45559</v>
      </c>
      <c r="I1281">
        <v>2024</v>
      </c>
      <c r="J1281">
        <v>9</v>
      </c>
      <c r="K1281" s="4" t="s">
        <v>1793</v>
      </c>
      <c r="L1281" t="s">
        <v>625</v>
      </c>
      <c r="N1281" t="s">
        <v>1875</v>
      </c>
      <c r="O1281" t="s">
        <v>11</v>
      </c>
      <c r="P1281" t="s">
        <v>190</v>
      </c>
    </row>
    <row r="1282" spans="1:16">
      <c r="A1282" t="s">
        <v>315</v>
      </c>
      <c r="B1282" s="1">
        <v>4590021580</v>
      </c>
      <c r="C1282" t="s">
        <v>1877</v>
      </c>
      <c r="D1282" s="160">
        <v>471889.25</v>
      </c>
      <c r="F1282" t="s">
        <v>1878</v>
      </c>
      <c r="G1282" s="4">
        <v>45559</v>
      </c>
      <c r="H1282" s="4">
        <v>45559</v>
      </c>
      <c r="I1282">
        <v>2024</v>
      </c>
      <c r="J1282">
        <v>9</v>
      </c>
      <c r="K1282" s="4" t="s">
        <v>1793</v>
      </c>
      <c r="L1282" t="s">
        <v>1473</v>
      </c>
      <c r="N1282" t="s">
        <v>1875</v>
      </c>
      <c r="O1282" t="s">
        <v>9</v>
      </c>
      <c r="P1282">
        <v>0</v>
      </c>
    </row>
    <row r="1283" spans="1:16">
      <c r="A1283" t="s">
        <v>1879</v>
      </c>
      <c r="B1283" s="1" t="s">
        <v>502</v>
      </c>
      <c r="C1283" t="s">
        <v>503</v>
      </c>
      <c r="D1283" s="160">
        <v>1210325.82</v>
      </c>
      <c r="F1283" t="s">
        <v>1880</v>
      </c>
      <c r="G1283" s="4">
        <v>45559</v>
      </c>
      <c r="H1283" s="4">
        <v>45559</v>
      </c>
      <c r="I1283">
        <v>2024</v>
      </c>
      <c r="J1283">
        <v>9</v>
      </c>
      <c r="K1283" s="4" t="s">
        <v>1793</v>
      </c>
      <c r="L1283" t="s">
        <v>1473</v>
      </c>
      <c r="N1283" t="s">
        <v>1875</v>
      </c>
      <c r="O1283" t="s">
        <v>13</v>
      </c>
      <c r="P1283" t="s">
        <v>361</v>
      </c>
    </row>
    <row r="1284" spans="1:16">
      <c r="A1284" t="s">
        <v>314</v>
      </c>
      <c r="B1284" s="1">
        <v>4503441102</v>
      </c>
      <c r="C1284" t="s">
        <v>140</v>
      </c>
      <c r="D1284" s="160">
        <v>64785</v>
      </c>
      <c r="E1284">
        <v>3622</v>
      </c>
      <c r="F1284" t="s">
        <v>1881</v>
      </c>
      <c r="G1284" s="4">
        <v>45559</v>
      </c>
      <c r="H1284" s="4">
        <v>45559</v>
      </c>
      <c r="I1284">
        <v>2024</v>
      </c>
      <c r="J1284">
        <v>9</v>
      </c>
      <c r="K1284" s="4" t="s">
        <v>1793</v>
      </c>
      <c r="L1284" t="s">
        <v>1473</v>
      </c>
      <c r="N1284" t="s">
        <v>1875</v>
      </c>
      <c r="O1284" t="s">
        <v>9</v>
      </c>
      <c r="P1284" t="s">
        <v>141</v>
      </c>
    </row>
    <row r="1285" spans="1:16">
      <c r="A1285" t="s">
        <v>314</v>
      </c>
      <c r="B1285" s="1">
        <v>4590000539</v>
      </c>
      <c r="C1285" t="s">
        <v>155</v>
      </c>
      <c r="D1285" s="160">
        <v>49368</v>
      </c>
      <c r="E1285">
        <v>2760</v>
      </c>
      <c r="F1285" t="s">
        <v>1882</v>
      </c>
      <c r="G1285" s="4">
        <v>45559</v>
      </c>
      <c r="H1285" s="4">
        <v>45559</v>
      </c>
      <c r="I1285">
        <v>2024</v>
      </c>
      <c r="J1285">
        <v>9</v>
      </c>
      <c r="K1285" s="4" t="s">
        <v>1793</v>
      </c>
      <c r="L1285" t="s">
        <v>1473</v>
      </c>
      <c r="N1285" t="s">
        <v>1875</v>
      </c>
      <c r="O1285" t="s">
        <v>11</v>
      </c>
      <c r="P1285" t="s">
        <v>156</v>
      </c>
    </row>
    <row r="1286" spans="1:16">
      <c r="A1286" t="s">
        <v>314</v>
      </c>
      <c r="B1286" s="1">
        <v>4590002290</v>
      </c>
      <c r="C1286" t="s">
        <v>583</v>
      </c>
      <c r="D1286" s="160">
        <v>22913.63</v>
      </c>
      <c r="E1286">
        <v>1280.8699999999999</v>
      </c>
      <c r="F1286" t="s">
        <v>1883</v>
      </c>
      <c r="G1286" s="4">
        <v>45559</v>
      </c>
      <c r="H1286" s="4">
        <v>45559</v>
      </c>
      <c r="I1286">
        <v>2024</v>
      </c>
      <c r="J1286">
        <v>9</v>
      </c>
      <c r="K1286" s="4" t="s">
        <v>1793</v>
      </c>
      <c r="L1286" t="s">
        <v>1473</v>
      </c>
      <c r="N1286" t="s">
        <v>1875</v>
      </c>
      <c r="O1286" t="s">
        <v>11</v>
      </c>
      <c r="P1286" t="s">
        <v>584</v>
      </c>
    </row>
    <row r="1287" spans="1:16">
      <c r="A1287" t="s">
        <v>312</v>
      </c>
      <c r="B1287" s="1">
        <v>4590013928</v>
      </c>
      <c r="C1287" t="s">
        <v>671</v>
      </c>
      <c r="D1287" s="160">
        <v>2311.8000000000002</v>
      </c>
      <c r="F1287" t="s">
        <v>1884</v>
      </c>
      <c r="G1287" s="4">
        <v>45559</v>
      </c>
      <c r="H1287" s="4">
        <v>45559</v>
      </c>
      <c r="I1287">
        <v>2024</v>
      </c>
      <c r="J1287">
        <v>9</v>
      </c>
      <c r="K1287" s="4" t="s">
        <v>1793</v>
      </c>
      <c r="L1287" t="s">
        <v>1473</v>
      </c>
      <c r="N1287" t="s">
        <v>1875</v>
      </c>
      <c r="O1287" t="s">
        <v>9</v>
      </c>
      <c r="P1287" t="s">
        <v>104</v>
      </c>
    </row>
    <row r="1288" spans="1:16">
      <c r="A1288" t="s">
        <v>312</v>
      </c>
      <c r="B1288" s="1">
        <v>4503489979</v>
      </c>
      <c r="C1288" t="s">
        <v>144</v>
      </c>
      <c r="D1288" s="160">
        <v>41669</v>
      </c>
      <c r="F1288" t="s">
        <v>1885</v>
      </c>
      <c r="G1288" s="4">
        <v>45559</v>
      </c>
      <c r="H1288" s="4">
        <v>45559</v>
      </c>
      <c r="I1288">
        <v>2024</v>
      </c>
      <c r="J1288">
        <v>9</v>
      </c>
      <c r="K1288" s="4" t="s">
        <v>1793</v>
      </c>
      <c r="L1288" t="s">
        <v>1473</v>
      </c>
      <c r="N1288" t="s">
        <v>1875</v>
      </c>
      <c r="O1288" t="s">
        <v>9</v>
      </c>
      <c r="P1288" t="s">
        <v>145</v>
      </c>
    </row>
    <row r="1289" spans="1:16">
      <c r="A1289" t="s">
        <v>1432</v>
      </c>
      <c r="B1289" s="1">
        <v>4590019083</v>
      </c>
      <c r="C1289" t="s">
        <v>1886</v>
      </c>
      <c r="D1289" s="160">
        <v>259372</v>
      </c>
      <c r="F1289" t="s">
        <v>1887</v>
      </c>
      <c r="G1289" s="4">
        <v>45559</v>
      </c>
      <c r="H1289" s="4">
        <v>45559</v>
      </c>
      <c r="I1289">
        <v>2024</v>
      </c>
      <c r="J1289">
        <v>9</v>
      </c>
      <c r="K1289" s="4" t="s">
        <v>1793</v>
      </c>
      <c r="L1289" t="s">
        <v>1473</v>
      </c>
      <c r="N1289" t="s">
        <v>1875</v>
      </c>
      <c r="O1289" t="s">
        <v>9</v>
      </c>
      <c r="P1289" t="s">
        <v>1416</v>
      </c>
    </row>
    <row r="1290" spans="1:16">
      <c r="A1290" t="s">
        <v>1432</v>
      </c>
      <c r="B1290" s="1">
        <v>4590020304</v>
      </c>
      <c r="C1290" t="s">
        <v>1755</v>
      </c>
      <c r="D1290" s="160">
        <v>3300000</v>
      </c>
      <c r="F1290" t="s">
        <v>1888</v>
      </c>
      <c r="G1290" s="4">
        <v>45559</v>
      </c>
      <c r="H1290" s="4">
        <v>45559</v>
      </c>
      <c r="I1290">
        <v>2024</v>
      </c>
      <c r="J1290">
        <v>9</v>
      </c>
      <c r="K1290" s="4" t="s">
        <v>1793</v>
      </c>
      <c r="L1290" t="s">
        <v>1473</v>
      </c>
      <c r="N1290" t="s">
        <v>1875</v>
      </c>
      <c r="O1290" t="s">
        <v>9</v>
      </c>
      <c r="P1290" t="s">
        <v>1416</v>
      </c>
    </row>
    <row r="1291" spans="1:16">
      <c r="A1291" t="s">
        <v>1879</v>
      </c>
      <c r="B1291" s="1">
        <v>4590017784</v>
      </c>
      <c r="C1291" t="s">
        <v>1324</v>
      </c>
      <c r="D1291" s="160">
        <v>203490.18</v>
      </c>
      <c r="F1291" t="s">
        <v>1889</v>
      </c>
      <c r="G1291" s="4">
        <v>45559</v>
      </c>
      <c r="H1291" s="4">
        <v>45559</v>
      </c>
      <c r="I1291">
        <v>2024</v>
      </c>
      <c r="J1291">
        <v>9</v>
      </c>
      <c r="K1291" s="4" t="s">
        <v>1793</v>
      </c>
      <c r="L1291" t="s">
        <v>1473</v>
      </c>
      <c r="N1291" t="s">
        <v>1875</v>
      </c>
      <c r="O1291" t="s">
        <v>13</v>
      </c>
      <c r="P1291" t="s">
        <v>563</v>
      </c>
    </row>
    <row r="1292" spans="1:16">
      <c r="A1292" t="s">
        <v>1879</v>
      </c>
      <c r="B1292" s="1">
        <v>4590021791</v>
      </c>
      <c r="C1292" t="s">
        <v>1890</v>
      </c>
      <c r="D1292" s="160">
        <v>142536.84</v>
      </c>
      <c r="F1292" t="s">
        <v>1891</v>
      </c>
      <c r="G1292" s="4">
        <v>45559</v>
      </c>
      <c r="H1292" s="4">
        <v>45559</v>
      </c>
      <c r="I1292">
        <v>2024</v>
      </c>
      <c r="J1292">
        <v>9</v>
      </c>
      <c r="K1292" s="4" t="s">
        <v>1793</v>
      </c>
      <c r="L1292" t="s">
        <v>1473</v>
      </c>
      <c r="N1292" t="s">
        <v>1875</v>
      </c>
      <c r="O1292" t="s">
        <v>13</v>
      </c>
      <c r="P1292">
        <v>0</v>
      </c>
    </row>
    <row r="1293" spans="1:16">
      <c r="A1293" t="s">
        <v>1872</v>
      </c>
      <c r="B1293" s="1">
        <v>4590017765</v>
      </c>
      <c r="C1293" t="s">
        <v>1892</v>
      </c>
      <c r="D1293" s="160">
        <v>18400</v>
      </c>
      <c r="F1293" t="s">
        <v>1893</v>
      </c>
      <c r="G1293" s="4">
        <v>45560</v>
      </c>
      <c r="H1293" s="4">
        <v>45560</v>
      </c>
      <c r="I1293">
        <v>2024</v>
      </c>
      <c r="J1293">
        <v>9</v>
      </c>
      <c r="K1293" s="4" t="s">
        <v>1793</v>
      </c>
      <c r="L1293" t="s">
        <v>1473</v>
      </c>
      <c r="N1293" t="s">
        <v>1894</v>
      </c>
      <c r="O1293" t="s">
        <v>13</v>
      </c>
      <c r="P1293" t="s">
        <v>537</v>
      </c>
    </row>
    <row r="1294" spans="1:16">
      <c r="A1294" t="s">
        <v>1895</v>
      </c>
      <c r="B1294" s="1">
        <v>4590002292</v>
      </c>
      <c r="C1294" t="s">
        <v>586</v>
      </c>
      <c r="D1294" s="160">
        <v>9379.4599999999991</v>
      </c>
      <c r="E1294">
        <v>524.30999999999995</v>
      </c>
      <c r="F1294" t="s">
        <v>1896</v>
      </c>
      <c r="G1294" s="4">
        <v>45559</v>
      </c>
      <c r="H1294" s="4">
        <v>45559</v>
      </c>
      <c r="I1294">
        <v>2024</v>
      </c>
      <c r="J1294">
        <v>9</v>
      </c>
      <c r="K1294" s="4" t="s">
        <v>1793</v>
      </c>
      <c r="L1294" t="s">
        <v>1473</v>
      </c>
      <c r="N1294" t="s">
        <v>1875</v>
      </c>
      <c r="O1294" t="s">
        <v>11</v>
      </c>
      <c r="P1294" t="s">
        <v>584</v>
      </c>
    </row>
    <row r="1295" spans="1:16">
      <c r="A1295" t="s">
        <v>321</v>
      </c>
      <c r="B1295" s="1">
        <v>4590008082</v>
      </c>
      <c r="C1295" t="s">
        <v>324</v>
      </c>
      <c r="D1295" s="160">
        <v>783581</v>
      </c>
      <c r="F1295" t="s">
        <v>1897</v>
      </c>
      <c r="G1295" s="4">
        <v>45560</v>
      </c>
      <c r="H1295" s="4">
        <v>45560</v>
      </c>
      <c r="I1295">
        <v>2024</v>
      </c>
      <c r="J1295">
        <v>9</v>
      </c>
      <c r="K1295" s="4" t="s">
        <v>1793</v>
      </c>
      <c r="L1295" t="s">
        <v>1473</v>
      </c>
      <c r="N1295" t="s">
        <v>1894</v>
      </c>
      <c r="O1295" t="s">
        <v>11</v>
      </c>
      <c r="P1295" t="s">
        <v>122</v>
      </c>
    </row>
    <row r="1296" spans="1:16">
      <c r="A1296" t="s">
        <v>1432</v>
      </c>
      <c r="B1296" s="1">
        <v>4590020157</v>
      </c>
      <c r="C1296" t="s">
        <v>1529</v>
      </c>
      <c r="D1296" s="160">
        <v>645655.93000000005</v>
      </c>
      <c r="F1296" t="s">
        <v>1898</v>
      </c>
      <c r="G1296" s="4">
        <v>45560</v>
      </c>
      <c r="H1296" s="4">
        <v>45560</v>
      </c>
      <c r="I1296">
        <v>2024</v>
      </c>
      <c r="J1296">
        <v>9</v>
      </c>
      <c r="K1296" s="4" t="s">
        <v>1793</v>
      </c>
      <c r="L1296" t="s">
        <v>1473</v>
      </c>
      <c r="N1296" t="s">
        <v>1894</v>
      </c>
      <c r="O1296" t="s">
        <v>9</v>
      </c>
      <c r="P1296" t="s">
        <v>1465</v>
      </c>
    </row>
    <row r="1297" spans="1:16">
      <c r="A1297" t="s">
        <v>54</v>
      </c>
      <c r="B1297" s="1" t="s">
        <v>1899</v>
      </c>
      <c r="C1297" t="s">
        <v>1900</v>
      </c>
      <c r="D1297" s="160">
        <v>756.64</v>
      </c>
      <c r="F1297" t="s">
        <v>1901</v>
      </c>
      <c r="G1297" s="4">
        <v>45560</v>
      </c>
      <c r="H1297" s="4">
        <v>45560</v>
      </c>
      <c r="I1297">
        <v>2024</v>
      </c>
      <c r="J1297">
        <v>9</v>
      </c>
      <c r="K1297" s="4" t="s">
        <v>1793</v>
      </c>
      <c r="L1297" t="s">
        <v>1473</v>
      </c>
      <c r="N1297" t="s">
        <v>1894</v>
      </c>
      <c r="O1297" t="s">
        <v>13</v>
      </c>
      <c r="P1297" t="s">
        <v>537</v>
      </c>
    </row>
    <row r="1298" spans="1:16">
      <c r="A1298" t="s">
        <v>54</v>
      </c>
      <c r="B1298" s="1" t="s">
        <v>1902</v>
      </c>
      <c r="C1298" t="s">
        <v>1903</v>
      </c>
      <c r="D1298" s="160">
        <v>2082.2199999999998</v>
      </c>
      <c r="F1298" t="s">
        <v>1904</v>
      </c>
      <c r="G1298" s="4">
        <v>45560</v>
      </c>
      <c r="H1298" s="4">
        <v>45560</v>
      </c>
      <c r="I1298">
        <v>2024</v>
      </c>
      <c r="J1298">
        <v>9</v>
      </c>
      <c r="K1298" s="4" t="s">
        <v>1793</v>
      </c>
      <c r="L1298" t="s">
        <v>1473</v>
      </c>
      <c r="N1298" t="s">
        <v>1894</v>
      </c>
      <c r="O1298" t="s">
        <v>13</v>
      </c>
      <c r="P1298" t="s">
        <v>537</v>
      </c>
    </row>
    <row r="1299" spans="1:16">
      <c r="A1299" t="s">
        <v>54</v>
      </c>
      <c r="B1299" s="1">
        <v>4590022549</v>
      </c>
      <c r="C1299" t="s">
        <v>1905</v>
      </c>
      <c r="D1299" s="160">
        <v>12270405</v>
      </c>
      <c r="F1299" t="s">
        <v>1906</v>
      </c>
      <c r="G1299" s="4">
        <v>45560</v>
      </c>
      <c r="H1299" s="4">
        <v>45560</v>
      </c>
      <c r="I1299">
        <v>2024</v>
      </c>
      <c r="J1299">
        <v>9</v>
      </c>
      <c r="K1299" s="4" t="s">
        <v>1793</v>
      </c>
      <c r="L1299" t="s">
        <v>1473</v>
      </c>
      <c r="N1299" t="s">
        <v>1894</v>
      </c>
      <c r="O1299" t="s">
        <v>13</v>
      </c>
      <c r="P1299" t="s">
        <v>1424</v>
      </c>
    </row>
    <row r="1300" spans="1:16">
      <c r="A1300" t="s">
        <v>1432</v>
      </c>
      <c r="B1300" s="1">
        <v>4590020158</v>
      </c>
      <c r="C1300" t="s">
        <v>1531</v>
      </c>
      <c r="D1300" s="160">
        <v>143718.43</v>
      </c>
      <c r="F1300" t="s">
        <v>1907</v>
      </c>
      <c r="G1300" s="4">
        <v>45560</v>
      </c>
      <c r="H1300" s="4">
        <v>45560</v>
      </c>
      <c r="I1300">
        <v>2024</v>
      </c>
      <c r="J1300">
        <v>9</v>
      </c>
      <c r="K1300" s="4" t="s">
        <v>1793</v>
      </c>
      <c r="L1300" t="s">
        <v>1473</v>
      </c>
      <c r="N1300" t="s">
        <v>1894</v>
      </c>
      <c r="O1300" t="s">
        <v>9</v>
      </c>
      <c r="P1300" t="s">
        <v>1465</v>
      </c>
    </row>
    <row r="1301" spans="1:16">
      <c r="A1301" t="s">
        <v>312</v>
      </c>
      <c r="B1301" s="1">
        <v>4590020228</v>
      </c>
      <c r="C1301" t="s">
        <v>1533</v>
      </c>
      <c r="D1301" s="160">
        <v>112862.53</v>
      </c>
      <c r="F1301" t="s">
        <v>1908</v>
      </c>
      <c r="G1301" s="4">
        <v>45560</v>
      </c>
      <c r="H1301" s="4">
        <v>45560</v>
      </c>
      <c r="I1301">
        <v>2024</v>
      </c>
      <c r="J1301">
        <v>9</v>
      </c>
      <c r="K1301" s="4" t="s">
        <v>1793</v>
      </c>
      <c r="L1301" t="s">
        <v>1473</v>
      </c>
      <c r="N1301" t="s">
        <v>1894</v>
      </c>
      <c r="O1301" t="s">
        <v>9</v>
      </c>
      <c r="P1301" t="s">
        <v>1465</v>
      </c>
    </row>
    <row r="1302" spans="1:16">
      <c r="A1302" t="s">
        <v>312</v>
      </c>
      <c r="B1302" s="1">
        <v>4590020303</v>
      </c>
      <c r="C1302" t="s">
        <v>1757</v>
      </c>
      <c r="D1302" s="160">
        <v>2310000</v>
      </c>
      <c r="F1302" t="s">
        <v>1909</v>
      </c>
      <c r="G1302" s="4">
        <v>45560</v>
      </c>
      <c r="H1302" s="4">
        <v>45560</v>
      </c>
      <c r="I1302">
        <v>2024</v>
      </c>
      <c r="J1302">
        <v>9</v>
      </c>
      <c r="K1302" s="4" t="s">
        <v>1793</v>
      </c>
      <c r="L1302" t="s">
        <v>1473</v>
      </c>
      <c r="N1302" t="s">
        <v>1894</v>
      </c>
      <c r="O1302" t="s">
        <v>9</v>
      </c>
      <c r="P1302" t="s">
        <v>1416</v>
      </c>
    </row>
    <row r="1303" spans="1:16">
      <c r="A1303" t="s">
        <v>314</v>
      </c>
      <c r="B1303" s="1">
        <v>4590000540</v>
      </c>
      <c r="C1303" t="s">
        <v>157</v>
      </c>
      <c r="D1303" s="160">
        <v>129690</v>
      </c>
      <c r="E1303">
        <v>7250</v>
      </c>
      <c r="F1303" t="s">
        <v>1910</v>
      </c>
      <c r="G1303" s="4">
        <v>45560</v>
      </c>
      <c r="H1303" s="4">
        <v>45560</v>
      </c>
      <c r="I1303">
        <v>2024</v>
      </c>
      <c r="J1303">
        <v>9</v>
      </c>
      <c r="K1303" s="4" t="s">
        <v>1793</v>
      </c>
      <c r="L1303" t="s">
        <v>1473</v>
      </c>
      <c r="N1303" t="s">
        <v>1894</v>
      </c>
      <c r="O1303" t="s">
        <v>9</v>
      </c>
      <c r="P1303" t="s">
        <v>156</v>
      </c>
    </row>
    <row r="1304" spans="1:16">
      <c r="A1304" t="s">
        <v>312</v>
      </c>
      <c r="B1304" s="1">
        <v>4590020156</v>
      </c>
      <c r="C1304" t="s">
        <v>1535</v>
      </c>
      <c r="D1304" s="160">
        <v>4099039.61</v>
      </c>
      <c r="F1304" t="s">
        <v>1911</v>
      </c>
      <c r="G1304" s="4">
        <v>45560</v>
      </c>
      <c r="H1304" s="4">
        <v>45560</v>
      </c>
      <c r="I1304">
        <v>2024</v>
      </c>
      <c r="J1304">
        <v>9</v>
      </c>
      <c r="K1304" s="4" t="s">
        <v>1793</v>
      </c>
      <c r="L1304" t="s">
        <v>1473</v>
      </c>
      <c r="N1304" t="s">
        <v>1894</v>
      </c>
      <c r="O1304" t="s">
        <v>9</v>
      </c>
      <c r="P1304" t="s">
        <v>1465</v>
      </c>
    </row>
    <row r="1305" spans="1:16">
      <c r="A1305" t="s">
        <v>54</v>
      </c>
      <c r="B1305" s="1">
        <v>4590014878</v>
      </c>
      <c r="C1305" t="s">
        <v>1912</v>
      </c>
      <c r="D1305" s="160">
        <v>4600</v>
      </c>
      <c r="F1305" t="s">
        <v>1913</v>
      </c>
      <c r="G1305" s="4">
        <v>45561</v>
      </c>
      <c r="H1305" s="4">
        <v>45561</v>
      </c>
      <c r="I1305">
        <v>2024</v>
      </c>
      <c r="J1305">
        <v>9</v>
      </c>
      <c r="K1305" s="4" t="s">
        <v>1793</v>
      </c>
      <c r="L1305" t="s">
        <v>1473</v>
      </c>
      <c r="N1305" t="s">
        <v>1914</v>
      </c>
      <c r="O1305" t="s">
        <v>13</v>
      </c>
      <c r="P1305" t="s">
        <v>537</v>
      </c>
    </row>
    <row r="1306" spans="1:16">
      <c r="A1306" t="s">
        <v>312</v>
      </c>
      <c r="B1306" s="1">
        <v>4590013571</v>
      </c>
      <c r="C1306" t="s">
        <v>699</v>
      </c>
      <c r="D1306" s="160">
        <v>5841.04</v>
      </c>
      <c r="F1306" t="s">
        <v>1915</v>
      </c>
      <c r="G1306" s="4">
        <v>45561</v>
      </c>
      <c r="H1306" s="4">
        <v>45561</v>
      </c>
      <c r="I1306">
        <v>2024</v>
      </c>
      <c r="J1306">
        <v>9</v>
      </c>
      <c r="K1306" s="4" t="s">
        <v>1793</v>
      </c>
      <c r="L1306" t="s">
        <v>1473</v>
      </c>
      <c r="N1306" t="s">
        <v>1914</v>
      </c>
      <c r="O1306" t="s">
        <v>9</v>
      </c>
      <c r="P1306" t="s">
        <v>120</v>
      </c>
    </row>
    <row r="1307" spans="1:16">
      <c r="A1307" t="s">
        <v>405</v>
      </c>
      <c r="B1307" s="1" t="s">
        <v>1916</v>
      </c>
      <c r="C1307" t="s">
        <v>1917</v>
      </c>
      <c r="D1307" s="160">
        <v>313646.63</v>
      </c>
      <c r="E1307">
        <v>17532.849999999999</v>
      </c>
      <c r="F1307" t="s">
        <v>1918</v>
      </c>
      <c r="G1307" s="4">
        <v>45561</v>
      </c>
      <c r="H1307" s="4">
        <v>45561</v>
      </c>
      <c r="I1307">
        <v>2024</v>
      </c>
      <c r="J1307">
        <v>9</v>
      </c>
      <c r="K1307" s="4" t="s">
        <v>1793</v>
      </c>
      <c r="L1307" t="s">
        <v>329</v>
      </c>
      <c r="N1307" t="s">
        <v>1914</v>
      </c>
      <c r="O1307" t="s">
        <v>8</v>
      </c>
      <c r="P1307">
        <v>0</v>
      </c>
    </row>
    <row r="1308" spans="1:16">
      <c r="A1308" t="s">
        <v>312</v>
      </c>
      <c r="B1308" s="1">
        <v>4503290109</v>
      </c>
      <c r="C1308" t="s">
        <v>103</v>
      </c>
      <c r="D1308" s="160">
        <v>710759</v>
      </c>
      <c r="F1308" t="s">
        <v>1919</v>
      </c>
      <c r="G1308" s="4">
        <v>45561</v>
      </c>
      <c r="H1308" s="4">
        <v>45561</v>
      </c>
      <c r="I1308">
        <v>2024</v>
      </c>
      <c r="J1308">
        <v>9</v>
      </c>
      <c r="K1308" s="4" t="s">
        <v>1793</v>
      </c>
      <c r="L1308" t="s">
        <v>1473</v>
      </c>
      <c r="N1308" t="s">
        <v>1914</v>
      </c>
      <c r="O1308" t="s">
        <v>9</v>
      </c>
      <c r="P1308" t="s">
        <v>104</v>
      </c>
    </row>
    <row r="1309" spans="1:16">
      <c r="A1309" t="s">
        <v>1777</v>
      </c>
      <c r="B1309" s="1">
        <v>4590013944</v>
      </c>
      <c r="C1309" t="s">
        <v>1778</v>
      </c>
      <c r="D1309" s="160">
        <v>9312.48</v>
      </c>
      <c r="F1309" t="s">
        <v>1920</v>
      </c>
      <c r="G1309" s="4">
        <v>45561</v>
      </c>
      <c r="H1309" s="4">
        <v>45561</v>
      </c>
      <c r="I1309">
        <v>2024</v>
      </c>
      <c r="J1309">
        <v>9</v>
      </c>
      <c r="K1309" s="4" t="s">
        <v>1793</v>
      </c>
      <c r="L1309" t="s">
        <v>1473</v>
      </c>
      <c r="N1309" t="s">
        <v>1914</v>
      </c>
      <c r="O1309" t="s">
        <v>11</v>
      </c>
      <c r="P1309" t="s">
        <v>1416</v>
      </c>
    </row>
    <row r="1310" spans="1:16">
      <c r="A1310" t="s">
        <v>312</v>
      </c>
      <c r="B1310" s="1">
        <v>4503432118</v>
      </c>
      <c r="C1310" t="s">
        <v>119</v>
      </c>
      <c r="D1310" s="160">
        <v>2576237.15</v>
      </c>
      <c r="F1310" t="s">
        <v>1921</v>
      </c>
      <c r="G1310" s="4">
        <v>45562</v>
      </c>
      <c r="H1310" s="4">
        <v>45562</v>
      </c>
      <c r="I1310">
        <v>2024</v>
      </c>
      <c r="J1310">
        <v>9</v>
      </c>
      <c r="K1310" s="4" t="s">
        <v>1793</v>
      </c>
      <c r="L1310" t="s">
        <v>1473</v>
      </c>
      <c r="N1310" t="s">
        <v>1922</v>
      </c>
      <c r="O1310" t="s">
        <v>9</v>
      </c>
      <c r="P1310" t="s">
        <v>120</v>
      </c>
    </row>
    <row r="1311" spans="1:16">
      <c r="A1311" t="s">
        <v>1561</v>
      </c>
      <c r="B1311" s="1" t="s">
        <v>1923</v>
      </c>
      <c r="C1311" t="s">
        <v>1557</v>
      </c>
      <c r="D1311" s="160">
        <v>6271</v>
      </c>
      <c r="F1311" t="s">
        <v>1924</v>
      </c>
      <c r="G1311" s="4">
        <v>45561</v>
      </c>
      <c r="H1311" s="4">
        <v>45561</v>
      </c>
      <c r="I1311">
        <v>2024</v>
      </c>
      <c r="J1311">
        <v>9</v>
      </c>
      <c r="K1311" s="4" t="s">
        <v>1793</v>
      </c>
      <c r="N1311" t="s">
        <v>1914</v>
      </c>
      <c r="O1311" t="s">
        <v>1557</v>
      </c>
      <c r="P1311" t="s">
        <v>550</v>
      </c>
    </row>
    <row r="1312" spans="1:16">
      <c r="A1312" t="s">
        <v>1561</v>
      </c>
      <c r="B1312" s="1" t="s">
        <v>1925</v>
      </c>
      <c r="C1312" t="s">
        <v>1557</v>
      </c>
      <c r="D1312" s="160">
        <v>18813</v>
      </c>
      <c r="F1312" t="s">
        <v>1926</v>
      </c>
      <c r="G1312" s="4">
        <v>45565</v>
      </c>
      <c r="H1312" s="4">
        <v>45565</v>
      </c>
      <c r="I1312">
        <v>2024</v>
      </c>
      <c r="J1312">
        <v>9</v>
      </c>
      <c r="K1312" s="4" t="s">
        <v>1793</v>
      </c>
      <c r="N1312" t="s">
        <v>1927</v>
      </c>
      <c r="O1312" t="s">
        <v>1557</v>
      </c>
      <c r="P1312" t="s">
        <v>550</v>
      </c>
    </row>
    <row r="1313" spans="1:16">
      <c r="A1313" t="s">
        <v>405</v>
      </c>
      <c r="B1313" s="1" t="s">
        <v>1916</v>
      </c>
      <c r="C1313" t="s">
        <v>1917</v>
      </c>
      <c r="D1313" s="160">
        <v>282799.03000000003</v>
      </c>
      <c r="E1313">
        <v>15808.47</v>
      </c>
      <c r="F1313" t="s">
        <v>1928</v>
      </c>
      <c r="G1313" s="4">
        <v>45565</v>
      </c>
      <c r="H1313" s="4">
        <v>45565</v>
      </c>
      <c r="I1313">
        <v>2024</v>
      </c>
      <c r="J1313">
        <v>9</v>
      </c>
      <c r="K1313" s="4" t="s">
        <v>1793</v>
      </c>
      <c r="L1313" t="s">
        <v>329</v>
      </c>
      <c r="N1313" t="s">
        <v>1927</v>
      </c>
      <c r="O1313" t="s">
        <v>8</v>
      </c>
      <c r="P1313">
        <v>0</v>
      </c>
    </row>
    <row r="1314" spans="1:16">
      <c r="A1314" t="s">
        <v>405</v>
      </c>
      <c r="B1314" s="1" t="s">
        <v>1626</v>
      </c>
      <c r="C1314" t="s">
        <v>1627</v>
      </c>
      <c r="D1314" s="160">
        <v>241378.91</v>
      </c>
      <c r="E1314">
        <v>13493.08</v>
      </c>
      <c r="F1314" t="s">
        <v>1929</v>
      </c>
      <c r="G1314" s="4">
        <v>45565</v>
      </c>
      <c r="H1314" s="4">
        <v>45565</v>
      </c>
      <c r="I1314">
        <v>2024</v>
      </c>
      <c r="J1314">
        <v>9</v>
      </c>
      <c r="K1314" s="4" t="s">
        <v>1793</v>
      </c>
      <c r="L1314" t="s">
        <v>329</v>
      </c>
      <c r="N1314" t="s">
        <v>1927</v>
      </c>
      <c r="O1314" t="s">
        <v>8</v>
      </c>
      <c r="P1314" t="s">
        <v>1631</v>
      </c>
    </row>
    <row r="1315" spans="1:16">
      <c r="A1315" t="s">
        <v>405</v>
      </c>
      <c r="B1315" s="1" t="s">
        <v>406</v>
      </c>
      <c r="C1315" t="s">
        <v>1817</v>
      </c>
      <c r="D1315" s="160">
        <v>2323164.3199999998</v>
      </c>
      <c r="F1315" t="s">
        <v>1930</v>
      </c>
      <c r="G1315" s="4">
        <v>45565</v>
      </c>
      <c r="H1315" s="4">
        <v>45565</v>
      </c>
      <c r="I1315">
        <v>2024</v>
      </c>
      <c r="J1315">
        <v>9</v>
      </c>
      <c r="K1315" s="4" t="s">
        <v>1793</v>
      </c>
      <c r="L1315" t="s">
        <v>329</v>
      </c>
      <c r="N1315" t="s">
        <v>1927</v>
      </c>
      <c r="O1315" t="s">
        <v>8</v>
      </c>
      <c r="P1315" t="s">
        <v>550</v>
      </c>
    </row>
    <row r="1316" spans="1:16">
      <c r="A1316" t="s">
        <v>86</v>
      </c>
      <c r="B1316" s="1">
        <v>4590017212</v>
      </c>
      <c r="C1316" t="s">
        <v>1242</v>
      </c>
      <c r="D1316" s="160">
        <v>10000</v>
      </c>
      <c r="F1316" t="s">
        <v>1931</v>
      </c>
      <c r="G1316" s="4" t="s">
        <v>1932</v>
      </c>
      <c r="H1316" s="4" t="s">
        <v>1932</v>
      </c>
      <c r="I1316">
        <v>2024</v>
      </c>
      <c r="J1316">
        <v>9</v>
      </c>
      <c r="K1316" s="4" t="s">
        <v>1793</v>
      </c>
      <c r="L1316" t="s">
        <v>1473</v>
      </c>
      <c r="N1316" t="s">
        <v>1933</v>
      </c>
      <c r="O1316" t="s">
        <v>11</v>
      </c>
      <c r="P1316" t="s">
        <v>1245</v>
      </c>
    </row>
    <row r="1317" spans="1:16">
      <c r="A1317" t="s">
        <v>86</v>
      </c>
      <c r="B1317" s="1">
        <v>4590020635</v>
      </c>
      <c r="C1317" t="s">
        <v>1242</v>
      </c>
      <c r="D1317" s="160">
        <v>50000</v>
      </c>
      <c r="F1317" t="s">
        <v>1934</v>
      </c>
      <c r="G1317" s="4" t="s">
        <v>1932</v>
      </c>
      <c r="H1317" s="4" t="s">
        <v>1932</v>
      </c>
      <c r="I1317">
        <v>2024</v>
      </c>
      <c r="J1317">
        <v>9</v>
      </c>
      <c r="K1317" s="4" t="s">
        <v>1793</v>
      </c>
      <c r="L1317" t="s">
        <v>1473</v>
      </c>
      <c r="N1317" t="s">
        <v>1933</v>
      </c>
      <c r="O1317" t="s">
        <v>21</v>
      </c>
      <c r="P1317" t="s">
        <v>1245</v>
      </c>
    </row>
    <row r="1318" spans="1:16">
      <c r="A1318" t="s">
        <v>1772</v>
      </c>
      <c r="B1318" s="1">
        <v>4590020794</v>
      </c>
      <c r="C1318" t="s">
        <v>1773</v>
      </c>
      <c r="D1318" s="160">
        <v>1692577.08</v>
      </c>
      <c r="F1318" t="s">
        <v>1935</v>
      </c>
      <c r="G1318" s="4">
        <v>45555</v>
      </c>
      <c r="H1318" s="4">
        <v>45567</v>
      </c>
      <c r="I1318">
        <v>2024</v>
      </c>
      <c r="J1318">
        <v>9</v>
      </c>
      <c r="K1318" s="4" t="s">
        <v>1793</v>
      </c>
      <c r="L1318" t="s">
        <v>1473</v>
      </c>
      <c r="N1318" t="s">
        <v>1858</v>
      </c>
      <c r="O1318" t="s">
        <v>13</v>
      </c>
      <c r="P1318" t="s">
        <v>1936</v>
      </c>
    </row>
    <row r="1319" spans="1:16">
      <c r="A1319" t="s">
        <v>405</v>
      </c>
      <c r="B1319" s="1" t="s">
        <v>1428</v>
      </c>
      <c r="C1319" t="s">
        <v>1429</v>
      </c>
      <c r="D1319" s="160">
        <v>180719.05</v>
      </c>
      <c r="E1319">
        <v>10102.19</v>
      </c>
      <c r="F1319" t="s">
        <v>1937</v>
      </c>
      <c r="G1319" s="4">
        <v>45566</v>
      </c>
      <c r="H1319" s="4">
        <v>45567</v>
      </c>
      <c r="I1319">
        <v>2024</v>
      </c>
      <c r="J1319">
        <v>9</v>
      </c>
      <c r="K1319" s="4" t="s">
        <v>1793</v>
      </c>
      <c r="L1319" t="s">
        <v>329</v>
      </c>
      <c r="N1319" t="s">
        <v>1933</v>
      </c>
      <c r="O1319" t="s">
        <v>8</v>
      </c>
      <c r="P1319" t="s">
        <v>408</v>
      </c>
    </row>
    <row r="1320" spans="1:16">
      <c r="A1320" t="s">
        <v>1366</v>
      </c>
      <c r="B1320" s="1">
        <v>4590019499</v>
      </c>
      <c r="C1320" t="s">
        <v>1480</v>
      </c>
      <c r="D1320" s="160">
        <v>794048.59</v>
      </c>
      <c r="F1320" t="s">
        <v>1938</v>
      </c>
      <c r="G1320" s="4">
        <v>45562</v>
      </c>
      <c r="H1320" s="4">
        <v>45567</v>
      </c>
      <c r="I1320">
        <v>2024</v>
      </c>
      <c r="J1320">
        <v>9</v>
      </c>
      <c r="K1320" s="4" t="s">
        <v>1793</v>
      </c>
      <c r="L1320" t="s">
        <v>1473</v>
      </c>
      <c r="N1320" t="s">
        <v>1922</v>
      </c>
      <c r="O1320" t="s">
        <v>13</v>
      </c>
      <c r="P1320" t="s">
        <v>1424</v>
      </c>
    </row>
    <row r="1321" spans="1:16">
      <c r="A1321" t="s">
        <v>54</v>
      </c>
      <c r="B1321" s="1">
        <v>4590020940</v>
      </c>
      <c r="C1321" t="s">
        <v>1783</v>
      </c>
      <c r="D1321" s="160">
        <v>651978.55000000005</v>
      </c>
      <c r="F1321" t="s">
        <v>1939</v>
      </c>
      <c r="G1321" s="4" t="s">
        <v>1940</v>
      </c>
      <c r="H1321" s="4" t="s">
        <v>1941</v>
      </c>
      <c r="I1321">
        <v>2024</v>
      </c>
      <c r="J1321">
        <v>9</v>
      </c>
      <c r="K1321" s="4" t="s">
        <v>1793</v>
      </c>
      <c r="L1321" t="s">
        <v>1473</v>
      </c>
      <c r="N1321" t="s">
        <v>1858</v>
      </c>
      <c r="O1321" t="s">
        <v>13</v>
      </c>
      <c r="P1321" t="s">
        <v>1424</v>
      </c>
    </row>
    <row r="1322" spans="1:16" hidden="1">
      <c r="A1322" t="s">
        <v>405</v>
      </c>
      <c r="B1322" s="1" t="s">
        <v>1428</v>
      </c>
      <c r="C1322" t="s">
        <v>1942</v>
      </c>
      <c r="D1322" s="160">
        <v>126476.92</v>
      </c>
      <c r="F1322" t="s">
        <v>1943</v>
      </c>
      <c r="G1322" s="4">
        <v>45569</v>
      </c>
      <c r="H1322" s="4">
        <v>45569</v>
      </c>
      <c r="I1322">
        <v>2024</v>
      </c>
      <c r="J1322">
        <v>10</v>
      </c>
      <c r="K1322" s="4" t="s">
        <v>1944</v>
      </c>
      <c r="L1322" t="s">
        <v>329</v>
      </c>
      <c r="N1322" t="s">
        <v>1945</v>
      </c>
      <c r="P1322" t="s">
        <v>408</v>
      </c>
    </row>
    <row r="1323" spans="1:16" hidden="1">
      <c r="A1323" t="s">
        <v>405</v>
      </c>
      <c r="B1323" s="1" t="s">
        <v>1626</v>
      </c>
      <c r="C1323" t="s">
        <v>1946</v>
      </c>
      <c r="D1323" s="160">
        <v>718656.2</v>
      </c>
      <c r="F1323" t="s">
        <v>1947</v>
      </c>
      <c r="G1323" s="4">
        <v>45569</v>
      </c>
      <c r="H1323" s="4">
        <v>45569</v>
      </c>
      <c r="I1323">
        <v>2024</v>
      </c>
      <c r="J1323">
        <v>10</v>
      </c>
      <c r="K1323" s="4" t="s">
        <v>1944</v>
      </c>
      <c r="L1323" t="s">
        <v>329</v>
      </c>
      <c r="N1323" t="s">
        <v>1945</v>
      </c>
      <c r="P1323" t="s">
        <v>1631</v>
      </c>
    </row>
    <row r="1324" spans="1:16" hidden="1">
      <c r="D1324" s="160"/>
      <c r="G1324" s="4"/>
      <c r="H1324" s="4"/>
      <c r="K1324" s="4"/>
    </row>
    <row r="1325" spans="1:16" hidden="1">
      <c r="D1325" s="160"/>
      <c r="G1325" s="4"/>
      <c r="H1325" s="4"/>
      <c r="K1325" s="4"/>
    </row>
    <row r="1326" spans="1:16" hidden="1">
      <c r="D1326" s="160"/>
      <c r="G1326" s="4"/>
      <c r="H1326" s="4"/>
      <c r="K1326" s="4"/>
    </row>
    <row r="1327" spans="1:16" hidden="1">
      <c r="D1327" s="160"/>
      <c r="G1327" s="4"/>
      <c r="H1327" s="4"/>
      <c r="K1327" s="4"/>
    </row>
    <row r="1328" spans="1:16" hidden="1">
      <c r="D1328" s="160"/>
      <c r="G1328" s="4"/>
      <c r="H1328" s="4"/>
      <c r="K1328" s="4"/>
    </row>
    <row r="1329" spans="4:11" hidden="1">
      <c r="D1329" s="160"/>
      <c r="G1329" s="4"/>
      <c r="H1329" s="4"/>
      <c r="K1329" s="4"/>
    </row>
    <row r="1330" spans="4:11" hidden="1">
      <c r="D1330" s="160"/>
      <c r="G1330" s="4"/>
      <c r="H1330" s="4"/>
      <c r="K1330" s="4"/>
    </row>
    <row r="1331" spans="4:11" hidden="1">
      <c r="D1331" s="160"/>
      <c r="G1331" s="4"/>
      <c r="H1331" s="4"/>
      <c r="K1331" s="4"/>
    </row>
    <row r="1332" spans="4:11" hidden="1">
      <c r="D1332" s="160"/>
      <c r="G1332" s="4"/>
      <c r="H1332" s="4"/>
      <c r="K1332" s="4"/>
    </row>
    <row r="1333" spans="4:11" hidden="1">
      <c r="D1333" s="160"/>
      <c r="G1333" s="4"/>
      <c r="H1333" s="4"/>
      <c r="K1333" s="4"/>
    </row>
    <row r="1334" spans="4:11" hidden="1">
      <c r="D1334" s="160"/>
      <c r="G1334" s="4"/>
      <c r="H1334" s="4"/>
      <c r="K1334" s="4"/>
    </row>
    <row r="1335" spans="4:11" hidden="1">
      <c r="D1335" s="160"/>
      <c r="G1335" s="4"/>
      <c r="H1335" s="4"/>
      <c r="K1335" s="4"/>
    </row>
    <row r="1336" spans="4:11" hidden="1">
      <c r="D1336" s="160"/>
      <c r="G1336" s="4"/>
      <c r="H1336" s="4"/>
      <c r="K1336" s="4"/>
    </row>
    <row r="1337" spans="4:11" hidden="1">
      <c r="D1337" s="160"/>
      <c r="G1337" s="4"/>
      <c r="H1337" s="4"/>
      <c r="K1337" s="4"/>
    </row>
    <row r="1338" spans="4:11" hidden="1">
      <c r="D1338" s="160"/>
      <c r="G1338" s="4"/>
      <c r="H1338" s="4"/>
      <c r="K1338" s="4"/>
    </row>
    <row r="1339" spans="4:11" hidden="1">
      <c r="D1339" s="160"/>
      <c r="G1339" s="4"/>
      <c r="H1339" s="4"/>
      <c r="K1339" s="4"/>
    </row>
    <row r="1340" spans="4:11" hidden="1">
      <c r="D1340" s="160"/>
      <c r="G1340" s="4"/>
      <c r="H1340" s="4"/>
      <c r="K1340" s="4"/>
    </row>
    <row r="1341" spans="4:11" hidden="1">
      <c r="D1341" s="160"/>
      <c r="G1341" s="4"/>
      <c r="H1341" s="4"/>
      <c r="K1341" s="4"/>
    </row>
    <row r="1342" spans="4:11" hidden="1">
      <c r="D1342" s="160"/>
      <c r="G1342" s="4"/>
      <c r="H1342" s="4"/>
      <c r="K1342" s="4"/>
    </row>
    <row r="1343" spans="4:11" hidden="1">
      <c r="D1343" s="160"/>
      <c r="G1343" s="4"/>
      <c r="H1343" s="4"/>
      <c r="K1343" s="4"/>
    </row>
    <row r="1344" spans="4:11" hidden="1">
      <c r="D1344" s="160"/>
      <c r="G1344" s="4"/>
      <c r="H1344" s="4"/>
      <c r="K1344" s="4"/>
    </row>
    <row r="1345" spans="4:11" hidden="1">
      <c r="D1345" s="160"/>
      <c r="G1345" s="4"/>
      <c r="H1345" s="4"/>
      <c r="K1345" s="4"/>
    </row>
    <row r="1346" spans="4:11" hidden="1">
      <c r="D1346" s="160"/>
      <c r="G1346" s="4"/>
      <c r="H1346" s="4"/>
      <c r="K1346" s="4"/>
    </row>
    <row r="1347" spans="4:11" hidden="1">
      <c r="D1347" s="160"/>
      <c r="G1347" s="4"/>
      <c r="H1347" s="4"/>
      <c r="K1347" s="4"/>
    </row>
    <row r="1348" spans="4:11" hidden="1">
      <c r="D1348" s="160"/>
      <c r="G1348" s="4"/>
      <c r="H1348" s="4"/>
      <c r="K1348" s="4"/>
    </row>
    <row r="1349" spans="4:11" hidden="1">
      <c r="D1349" s="160"/>
      <c r="G1349" s="4"/>
      <c r="H1349" s="4"/>
      <c r="K1349" s="4"/>
    </row>
    <row r="1350" spans="4:11" hidden="1">
      <c r="D1350" s="160"/>
      <c r="G1350" s="4"/>
      <c r="H1350" s="4"/>
      <c r="K1350" s="4"/>
    </row>
    <row r="1351" spans="4:11" hidden="1">
      <c r="D1351" s="160"/>
      <c r="G1351" s="4"/>
      <c r="H1351" s="4"/>
      <c r="K1351" s="4"/>
    </row>
    <row r="1352" spans="4:11" hidden="1">
      <c r="D1352" s="160"/>
      <c r="G1352" s="4"/>
      <c r="H1352" s="4"/>
      <c r="K1352" s="4"/>
    </row>
    <row r="1353" spans="4:11" hidden="1">
      <c r="D1353" s="160"/>
      <c r="G1353" s="4"/>
      <c r="H1353" s="4"/>
      <c r="K1353" s="4"/>
    </row>
    <row r="1354" spans="4:11" hidden="1">
      <c r="D1354" s="160"/>
      <c r="G1354" s="4"/>
      <c r="H1354" s="4"/>
      <c r="K1354" s="4"/>
    </row>
    <row r="1355" spans="4:11" hidden="1">
      <c r="D1355" s="160"/>
      <c r="G1355" s="4"/>
      <c r="H1355" s="4"/>
      <c r="K1355" s="4"/>
    </row>
    <row r="1356" spans="4:11" hidden="1">
      <c r="D1356" s="160"/>
      <c r="G1356" s="4"/>
      <c r="H1356" s="4"/>
      <c r="K1356" s="4"/>
    </row>
    <row r="1357" spans="4:11" hidden="1">
      <c r="D1357" s="160"/>
      <c r="G1357" s="4"/>
      <c r="H1357" s="4"/>
      <c r="K1357" s="4"/>
    </row>
    <row r="1358" spans="4:11" hidden="1">
      <c r="D1358" s="160"/>
      <c r="G1358" s="4"/>
      <c r="H1358" s="4"/>
      <c r="K1358" s="4"/>
    </row>
    <row r="1359" spans="4:11" hidden="1">
      <c r="D1359" s="160"/>
      <c r="G1359" s="4"/>
      <c r="H1359" s="4"/>
      <c r="K1359" s="4"/>
    </row>
    <row r="1360" spans="4:11" hidden="1">
      <c r="D1360" s="160"/>
      <c r="G1360" s="4"/>
      <c r="H1360" s="4"/>
      <c r="K1360" s="4"/>
    </row>
    <row r="1361" spans="4:11" hidden="1">
      <c r="D1361" s="160"/>
      <c r="G1361" s="4"/>
      <c r="H1361" s="4"/>
      <c r="K1361" s="4"/>
    </row>
    <row r="1362" spans="4:11" hidden="1">
      <c r="D1362" s="160"/>
      <c r="G1362" s="4"/>
      <c r="H1362" s="4"/>
      <c r="K1362" s="4"/>
    </row>
    <row r="1363" spans="4:11" hidden="1">
      <c r="D1363" s="160"/>
      <c r="G1363" s="4"/>
      <c r="H1363" s="4"/>
      <c r="K1363" s="4"/>
    </row>
    <row r="1364" spans="4:11" hidden="1">
      <c r="D1364" s="160"/>
      <c r="G1364" s="4"/>
      <c r="H1364" s="4"/>
      <c r="K1364" s="4"/>
    </row>
    <row r="1365" spans="4:11" hidden="1">
      <c r="D1365" s="160"/>
      <c r="G1365" s="4"/>
      <c r="H1365" s="4"/>
      <c r="K1365" s="4"/>
    </row>
    <row r="1366" spans="4:11" hidden="1">
      <c r="D1366" s="160"/>
      <c r="G1366" s="4"/>
      <c r="H1366" s="4"/>
      <c r="K1366" s="4"/>
    </row>
    <row r="1367" spans="4:11" hidden="1">
      <c r="D1367" s="160"/>
      <c r="G1367" s="4"/>
      <c r="H1367" s="4"/>
      <c r="K1367" s="4"/>
    </row>
    <row r="1368" spans="4:11" hidden="1">
      <c r="D1368" s="160"/>
      <c r="G1368" s="4"/>
      <c r="H1368" s="4"/>
      <c r="K1368" s="4"/>
    </row>
    <row r="1369" spans="4:11" hidden="1">
      <c r="D1369" s="160"/>
      <c r="G1369" s="4"/>
      <c r="H1369" s="4"/>
      <c r="K1369" s="4"/>
    </row>
    <row r="1370" spans="4:11" hidden="1">
      <c r="D1370" s="160"/>
      <c r="G1370" s="4"/>
      <c r="H1370" s="4"/>
      <c r="K1370" s="4"/>
    </row>
    <row r="1371" spans="4:11" hidden="1">
      <c r="D1371" s="160"/>
      <c r="G1371" s="4"/>
      <c r="H1371" s="4"/>
      <c r="K1371" s="4"/>
    </row>
    <row r="1372" spans="4:11" hidden="1">
      <c r="D1372" s="160"/>
      <c r="G1372" s="4"/>
      <c r="H1372" s="4"/>
      <c r="K1372" s="4"/>
    </row>
    <row r="1373" spans="4:11" hidden="1">
      <c r="D1373" s="160"/>
      <c r="G1373" s="4"/>
      <c r="H1373" s="4"/>
      <c r="K1373" s="4"/>
    </row>
    <row r="1374" spans="4:11" hidden="1">
      <c r="D1374" s="160"/>
      <c r="G1374" s="4"/>
      <c r="H1374" s="4"/>
      <c r="K1374" s="4"/>
    </row>
    <row r="1375" spans="4:11" hidden="1">
      <c r="D1375" s="160"/>
      <c r="G1375" s="4"/>
      <c r="H1375" s="4"/>
      <c r="K1375" s="4"/>
    </row>
    <row r="1376" spans="4:11" hidden="1">
      <c r="D1376" s="160"/>
      <c r="G1376" s="4"/>
      <c r="H1376" s="4"/>
      <c r="K1376" s="4"/>
    </row>
    <row r="1377" spans="4:11" hidden="1">
      <c r="D1377" s="160"/>
      <c r="G1377" s="4"/>
      <c r="H1377" s="4"/>
      <c r="K1377" s="4"/>
    </row>
    <row r="1378" spans="4:11" hidden="1">
      <c r="D1378" s="160"/>
      <c r="G1378" s="4"/>
      <c r="H1378" s="4"/>
      <c r="K1378" s="4"/>
    </row>
    <row r="1379" spans="4:11" hidden="1">
      <c r="D1379" s="160"/>
      <c r="G1379" s="4"/>
      <c r="H1379" s="4"/>
      <c r="K1379" s="4"/>
    </row>
    <row r="1380" spans="4:11" hidden="1">
      <c r="D1380" s="160"/>
      <c r="G1380" s="4"/>
      <c r="H1380" s="4"/>
      <c r="K1380" s="4"/>
    </row>
    <row r="1381" spans="4:11" hidden="1">
      <c r="D1381" s="160"/>
      <c r="G1381" s="4"/>
      <c r="H1381" s="4"/>
      <c r="K1381" s="4"/>
    </row>
    <row r="1382" spans="4:11" hidden="1">
      <c r="D1382" s="160"/>
      <c r="G1382" s="4"/>
      <c r="H1382" s="4"/>
      <c r="K1382" s="4"/>
    </row>
    <row r="1383" spans="4:11" hidden="1">
      <c r="D1383" s="160"/>
      <c r="G1383" s="4"/>
      <c r="H1383" s="4"/>
      <c r="K1383" s="4"/>
    </row>
    <row r="1384" spans="4:11" hidden="1">
      <c r="D1384" s="160"/>
      <c r="G1384" s="4"/>
      <c r="H1384" s="4"/>
      <c r="K1384" s="4"/>
    </row>
    <row r="1385" spans="4:11" hidden="1">
      <c r="D1385" s="160"/>
      <c r="G1385" s="4"/>
      <c r="H1385" s="4"/>
      <c r="K1385" s="4"/>
    </row>
    <row r="1386" spans="4:11" hidden="1">
      <c r="D1386" s="160"/>
      <c r="G1386" s="4"/>
      <c r="H1386" s="4"/>
      <c r="K1386" s="4"/>
    </row>
    <row r="1387" spans="4:11" hidden="1">
      <c r="D1387" s="160"/>
      <c r="G1387" s="4"/>
      <c r="H1387" s="4"/>
      <c r="K1387" s="4"/>
    </row>
    <row r="1388" spans="4:11" hidden="1">
      <c r="D1388" s="160"/>
      <c r="G1388" s="4"/>
      <c r="H1388" s="4"/>
      <c r="K1388" s="4"/>
    </row>
    <row r="1389" spans="4:11" hidden="1">
      <c r="D1389" s="160"/>
      <c r="G1389" s="4"/>
      <c r="H1389" s="4"/>
      <c r="K1389" s="4"/>
    </row>
    <row r="1390" spans="4:11" hidden="1">
      <c r="D1390" s="160"/>
      <c r="G1390" s="4"/>
      <c r="H1390" s="4"/>
      <c r="K1390" s="4"/>
    </row>
    <row r="1391" spans="4:11" hidden="1">
      <c r="D1391" s="160"/>
      <c r="G1391" s="4"/>
      <c r="H1391" s="4"/>
      <c r="K1391" s="4"/>
    </row>
    <row r="1392" spans="4:11" hidden="1">
      <c r="D1392" s="160"/>
      <c r="G1392" s="4"/>
      <c r="H1392" s="4"/>
      <c r="K1392" s="4"/>
    </row>
    <row r="1393" spans="4:11" hidden="1">
      <c r="D1393" s="160"/>
      <c r="G1393" s="4"/>
      <c r="H1393" s="4"/>
      <c r="K1393" s="4"/>
    </row>
    <row r="1394" spans="4:11" hidden="1">
      <c r="D1394" s="160"/>
      <c r="G1394" s="4"/>
      <c r="H1394" s="4"/>
      <c r="K1394" s="4"/>
    </row>
    <row r="1395" spans="4:11" hidden="1">
      <c r="D1395" s="160"/>
      <c r="G1395" s="4"/>
      <c r="H1395" s="4"/>
      <c r="K1395" s="4"/>
    </row>
    <row r="1396" spans="4:11" hidden="1">
      <c r="D1396" s="160"/>
      <c r="G1396" s="4"/>
      <c r="H1396" s="4"/>
      <c r="K1396" s="4"/>
    </row>
    <row r="1397" spans="4:11" hidden="1">
      <c r="D1397" s="160"/>
      <c r="G1397" s="4"/>
      <c r="H1397" s="4"/>
      <c r="K1397" s="4"/>
    </row>
    <row r="1398" spans="4:11" hidden="1">
      <c r="D1398" s="160"/>
      <c r="G1398" s="4"/>
      <c r="H1398" s="4"/>
      <c r="K1398" s="4"/>
    </row>
    <row r="1399" spans="4:11" hidden="1">
      <c r="D1399" s="160"/>
      <c r="G1399" s="4"/>
      <c r="H1399" s="4"/>
      <c r="K1399" s="4"/>
    </row>
    <row r="1400" spans="4:11" hidden="1">
      <c r="D1400" s="160"/>
      <c r="G1400" s="4"/>
      <c r="H1400" s="4"/>
      <c r="K1400" s="4"/>
    </row>
    <row r="1401" spans="4:11" hidden="1">
      <c r="D1401" s="160"/>
      <c r="G1401" s="4"/>
      <c r="H1401" s="4"/>
      <c r="K1401" s="4"/>
    </row>
  </sheetData>
  <phoneticPr fontId="14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D6815-11FC-4D8A-ACAB-84009FC3C734}">
  <sheetPr codeName="Sheet5">
    <tabColor rgb="FFED7D31"/>
    <pageSetUpPr fitToPage="1"/>
  </sheetPr>
  <dimension ref="A1:CT425"/>
  <sheetViews>
    <sheetView zoomScale="90" zoomScaleNormal="90" workbookViewId="0">
      <pane xSplit="18" topLeftCell="Z1" activePane="topRight" state="frozen"/>
      <selection pane="topRight" activeCell="K431" sqref="K431"/>
      <selection activeCell="AJ139" sqref="AJ139"/>
    </sheetView>
  </sheetViews>
  <sheetFormatPr defaultColWidth="9.140625" defaultRowHeight="15" customHeight="1" outlineLevelCol="1"/>
  <cols>
    <col min="1" max="1" width="11.140625" style="30" hidden="1" customWidth="1" outlineLevel="1"/>
    <col min="2" max="2" width="17.7109375" style="30" hidden="1" customWidth="1" outlineLevel="1"/>
    <col min="3" max="3" width="16.42578125" style="30" hidden="1" customWidth="1" outlineLevel="1"/>
    <col min="4" max="4" width="12.140625" style="30" hidden="1" customWidth="1" outlineLevel="1"/>
    <col min="5" max="5" width="13.7109375" style="30" customWidth="1" collapsed="1"/>
    <col min="6" max="6" width="16.140625" style="30" customWidth="1"/>
    <col min="7" max="7" width="19.140625" style="30" customWidth="1"/>
    <col min="8" max="8" width="21.7109375" style="30" customWidth="1"/>
    <col min="9" max="9" width="17" style="30" customWidth="1"/>
    <col min="10" max="10" width="38.140625" style="30" customWidth="1"/>
    <col min="11" max="11" width="18" style="30" bestFit="1" customWidth="1"/>
    <col min="12" max="12" width="40" style="50" hidden="1" customWidth="1" outlineLevel="1"/>
    <col min="13" max="13" width="15" style="50" hidden="1" customWidth="1" outlineLevel="1"/>
    <col min="14" max="14" width="17.85546875" style="30" hidden="1" customWidth="1" outlineLevel="1"/>
    <col min="15" max="15" width="58.140625" style="30" hidden="1" customWidth="1" outlineLevel="1"/>
    <col min="16" max="16" width="19.140625" style="30" bestFit="1" customWidth="1" collapsed="1"/>
    <col min="17" max="17" width="21.28515625" style="30" bestFit="1" customWidth="1"/>
    <col min="18" max="18" width="23" style="30" bestFit="1" customWidth="1"/>
    <col min="19" max="19" width="12.28515625" style="30" bestFit="1" customWidth="1"/>
    <col min="20" max="20" width="20.28515625" style="30" bestFit="1" customWidth="1"/>
    <col min="21" max="21" width="19.42578125" style="30" bestFit="1" customWidth="1"/>
    <col min="22" max="22" width="23.7109375" style="30" bestFit="1" customWidth="1"/>
    <col min="23" max="23" width="15.28515625" style="30" bestFit="1" customWidth="1"/>
    <col min="24" max="24" width="19.5703125" style="30" bestFit="1" customWidth="1"/>
    <col min="25" max="25" width="15.140625" style="30" bestFit="1" customWidth="1"/>
    <col min="26" max="26" width="13.7109375" style="30" bestFit="1" customWidth="1"/>
    <col min="27" max="27" width="15.28515625" style="30" bestFit="1" customWidth="1"/>
    <col min="28" max="28" width="14.5703125" style="30" bestFit="1" customWidth="1"/>
    <col min="29" max="29" width="15.28515625" style="30" bestFit="1" customWidth="1"/>
    <col min="30" max="30" width="14.5703125" style="30" bestFit="1" customWidth="1"/>
    <col min="31" max="31" width="88.85546875" style="30" bestFit="1" customWidth="1"/>
    <col min="32" max="32" width="27.85546875" style="30" bestFit="1" customWidth="1"/>
    <col min="33" max="33" width="28.42578125" style="30" bestFit="1" customWidth="1"/>
    <col min="34" max="34" width="19.42578125" style="30" bestFit="1" customWidth="1"/>
    <col min="35" max="35" width="15.85546875" style="30" bestFit="1" customWidth="1"/>
    <col min="36" max="36" width="20.140625" style="30" bestFit="1" customWidth="1"/>
    <col min="37" max="37" width="16.42578125" style="30" bestFit="1" customWidth="1"/>
    <col min="38" max="38" width="20.7109375" style="30" bestFit="1" customWidth="1"/>
    <col min="39" max="39" width="15.85546875" style="30" bestFit="1" customWidth="1"/>
    <col min="40" max="41" width="21.7109375" style="30" bestFit="1" customWidth="1"/>
    <col min="42" max="42" width="20.85546875" style="30" bestFit="1" customWidth="1"/>
    <col min="43" max="43" width="21" style="30" bestFit="1" customWidth="1"/>
    <col min="44" max="44" width="20.28515625" style="30" bestFit="1" customWidth="1"/>
    <col min="45" max="45" width="20.5703125" style="30" bestFit="1" customWidth="1"/>
    <col min="46" max="46" width="19.85546875" style="34" bestFit="1" customWidth="1"/>
    <col min="47" max="47" width="21.28515625" style="30" bestFit="1" customWidth="1"/>
    <col min="48" max="48" width="20.5703125" style="30" bestFit="1" customWidth="1"/>
    <col min="49" max="49" width="21" style="30" bestFit="1" customWidth="1"/>
    <col min="50" max="50" width="21.5703125" style="30" bestFit="1" customWidth="1"/>
    <col min="51" max="51" width="22.42578125" style="30" bestFit="1" customWidth="1"/>
    <col min="52" max="52" width="20.140625" style="30" bestFit="1" customWidth="1"/>
    <col min="53" max="53" width="21" style="30" bestFit="1" customWidth="1"/>
    <col min="54" max="54" width="20.28515625" style="30" bestFit="1" customWidth="1"/>
    <col min="55" max="55" width="21" style="30" bestFit="1" customWidth="1"/>
    <col min="56" max="56" width="21.5703125" style="30" bestFit="1" customWidth="1"/>
    <col min="57" max="57" width="20.85546875" style="30" bestFit="1" customWidth="1"/>
    <col min="58" max="58" width="20.140625" style="30" bestFit="1" customWidth="1"/>
    <col min="59" max="59" width="20.85546875" style="30" bestFit="1" customWidth="1"/>
    <col min="60" max="60" width="20.140625" style="30" bestFit="1" customWidth="1"/>
    <col min="61" max="61" width="21.5703125" style="30" bestFit="1" customWidth="1"/>
    <col min="62" max="62" width="20.7109375" style="30" bestFit="1" customWidth="1"/>
    <col min="63" max="63" width="20.85546875" style="30" bestFit="1" customWidth="1"/>
    <col min="64" max="64" width="20.140625" style="30" bestFit="1" customWidth="1"/>
    <col min="65" max="65" width="21.7109375" style="30" bestFit="1" customWidth="1"/>
    <col min="66" max="66" width="20.85546875" style="30" bestFit="1" customWidth="1"/>
    <col min="67" max="67" width="21" style="30" bestFit="1" customWidth="1"/>
    <col min="68" max="68" width="21.5703125" style="30" bestFit="1" customWidth="1"/>
    <col min="69" max="69" width="21.7109375" style="30" bestFit="1" customWidth="1"/>
    <col min="70" max="70" width="20.85546875" style="30" bestFit="1" customWidth="1"/>
    <col min="71" max="71" width="21.28515625" style="30" bestFit="1" customWidth="1"/>
    <col min="72" max="72" width="20.5703125" style="30" bestFit="1" customWidth="1"/>
    <col min="73" max="73" width="21" style="30" bestFit="1" customWidth="1"/>
    <col min="74" max="74" width="20.28515625" style="30" bestFit="1" customWidth="1"/>
    <col min="75" max="75" width="20.85546875" style="30" bestFit="1" customWidth="1"/>
    <col min="76" max="76" width="20.140625" style="30" bestFit="1" customWidth="1"/>
    <col min="77" max="77" width="21" style="40" bestFit="1" customWidth="1"/>
    <col min="78" max="78" width="22" style="30" bestFit="1" customWidth="1"/>
    <col min="79" max="79" width="21" style="30" bestFit="1" customWidth="1"/>
    <col min="80" max="80" width="22" style="30" bestFit="1" customWidth="1"/>
    <col min="81" max="81" width="20.85546875" style="30" bestFit="1" customWidth="1"/>
    <col min="82" max="82" width="21.7109375" style="30" bestFit="1" customWidth="1"/>
    <col min="83" max="83" width="20.85546875" style="30" bestFit="1" customWidth="1"/>
    <col min="84" max="84" width="21.7109375" style="30" bestFit="1" customWidth="1"/>
    <col min="85" max="85" width="21.5703125" style="30" bestFit="1" customWidth="1"/>
    <col min="86" max="86" width="22.28515625" style="30" bestFit="1" customWidth="1"/>
    <col min="87" max="87" width="20.85546875" style="30" bestFit="1" customWidth="1"/>
    <col min="88" max="88" width="21.7109375" style="122" bestFit="1" customWidth="1"/>
    <col min="89" max="89" width="23" style="30" bestFit="1" customWidth="1"/>
    <col min="90" max="91" width="22.42578125" style="30" bestFit="1" customWidth="1"/>
    <col min="92" max="93" width="22" style="30" bestFit="1" customWidth="1"/>
    <col min="94" max="94" width="21.28515625" style="30" bestFit="1" customWidth="1"/>
    <col min="95" max="95" width="19.140625" style="30" bestFit="1" customWidth="1"/>
    <col min="96" max="96" width="20.5703125" style="30" bestFit="1" customWidth="1"/>
    <col min="97" max="97" width="19.140625" style="30" bestFit="1" customWidth="1"/>
    <col min="98" max="98" width="20.28515625" style="30" bestFit="1" customWidth="1"/>
    <col min="99" max="16384" width="9.140625" style="30"/>
  </cols>
  <sheetData>
    <row r="1" spans="1:98" ht="14.1">
      <c r="A1" s="19" t="s">
        <v>83</v>
      </c>
      <c r="B1" s="20" t="s">
        <v>1948</v>
      </c>
      <c r="C1" s="20" t="s">
        <v>85</v>
      </c>
      <c r="D1" s="20" t="s">
        <v>1949</v>
      </c>
      <c r="E1" s="20" t="s">
        <v>1950</v>
      </c>
      <c r="F1" s="20" t="s">
        <v>1951</v>
      </c>
      <c r="G1" s="20" t="s">
        <v>0</v>
      </c>
      <c r="H1" s="20" t="s">
        <v>1952</v>
      </c>
      <c r="I1" s="20" t="s">
        <v>1953</v>
      </c>
      <c r="J1" s="20" t="s">
        <v>1954</v>
      </c>
      <c r="K1" s="20" t="s">
        <v>1955</v>
      </c>
      <c r="L1" s="120" t="s">
        <v>73</v>
      </c>
      <c r="M1" s="121" t="s">
        <v>1956</v>
      </c>
      <c r="N1" s="120" t="s">
        <v>1957</v>
      </c>
      <c r="O1" s="120" t="s">
        <v>1958</v>
      </c>
      <c r="P1" s="20" t="s">
        <v>1959</v>
      </c>
      <c r="Q1" s="20" t="s">
        <v>1960</v>
      </c>
      <c r="R1" s="20" t="s">
        <v>1961</v>
      </c>
      <c r="S1" s="21" t="s">
        <v>1962</v>
      </c>
      <c r="T1" s="21" t="s">
        <v>28</v>
      </c>
      <c r="U1" s="20" t="s">
        <v>1963</v>
      </c>
      <c r="V1" s="22" t="s">
        <v>1964</v>
      </c>
      <c r="W1" s="23" t="s">
        <v>1965</v>
      </c>
      <c r="X1" s="24" t="s">
        <v>1966</v>
      </c>
      <c r="Y1" s="20" t="s">
        <v>1967</v>
      </c>
      <c r="Z1" s="22" t="s">
        <v>1968</v>
      </c>
      <c r="AA1" s="20" t="s">
        <v>1969</v>
      </c>
      <c r="AB1" s="22" t="s">
        <v>1970</v>
      </c>
      <c r="AC1" s="25" t="s">
        <v>1971</v>
      </c>
      <c r="AD1" s="26" t="s">
        <v>1972</v>
      </c>
      <c r="AE1" s="20" t="s">
        <v>1973</v>
      </c>
      <c r="AF1" s="22" t="s">
        <v>1974</v>
      </c>
      <c r="AG1" s="20" t="s">
        <v>1975</v>
      </c>
      <c r="AH1" s="22" t="s">
        <v>1976</v>
      </c>
      <c r="AI1" s="25" t="s">
        <v>1977</v>
      </c>
      <c r="AJ1" s="26" t="s">
        <v>1978</v>
      </c>
      <c r="AK1" s="25" t="s">
        <v>1979</v>
      </c>
      <c r="AL1" s="26" t="s">
        <v>1980</v>
      </c>
      <c r="AM1" s="20" t="s">
        <v>1981</v>
      </c>
      <c r="AN1" s="26" t="s">
        <v>1982</v>
      </c>
      <c r="AO1" s="20" t="s">
        <v>1983</v>
      </c>
      <c r="AP1" s="26" t="s">
        <v>1984</v>
      </c>
      <c r="AQ1" s="20" t="s">
        <v>1985</v>
      </c>
      <c r="AR1" s="22" t="s">
        <v>1986</v>
      </c>
      <c r="AS1" s="20" t="s">
        <v>1987</v>
      </c>
      <c r="AT1" s="22" t="s">
        <v>1988</v>
      </c>
      <c r="AU1" s="20" t="s">
        <v>1989</v>
      </c>
      <c r="AV1" s="22" t="s">
        <v>1990</v>
      </c>
      <c r="AW1" s="20" t="s">
        <v>1991</v>
      </c>
      <c r="AX1" s="22" t="s">
        <v>1992</v>
      </c>
      <c r="AY1" s="27" t="s">
        <v>1993</v>
      </c>
      <c r="AZ1" s="22" t="s">
        <v>1994</v>
      </c>
      <c r="BA1" s="20" t="s">
        <v>1995</v>
      </c>
      <c r="BB1" s="22" t="s">
        <v>1996</v>
      </c>
      <c r="BC1" s="20" t="s">
        <v>1997</v>
      </c>
      <c r="BD1" s="22" t="s">
        <v>1998</v>
      </c>
      <c r="BE1" s="20" t="s">
        <v>1999</v>
      </c>
      <c r="BF1" s="22" t="s">
        <v>2000</v>
      </c>
      <c r="BG1" s="20" t="s">
        <v>2001</v>
      </c>
      <c r="BH1" s="22" t="s">
        <v>2002</v>
      </c>
      <c r="BI1" s="20" t="s">
        <v>2003</v>
      </c>
      <c r="BJ1" s="22" t="s">
        <v>2004</v>
      </c>
      <c r="BK1" s="20" t="s">
        <v>2005</v>
      </c>
      <c r="BL1" s="22" t="s">
        <v>2006</v>
      </c>
      <c r="BM1" s="20" t="s">
        <v>2007</v>
      </c>
      <c r="BN1" s="22" t="s">
        <v>2008</v>
      </c>
      <c r="BO1" s="25" t="s">
        <v>2009</v>
      </c>
      <c r="BP1" s="22" t="s">
        <v>2010</v>
      </c>
      <c r="BQ1" s="20" t="s">
        <v>2011</v>
      </c>
      <c r="BR1" s="22" t="s">
        <v>2012</v>
      </c>
      <c r="BS1" s="20" t="s">
        <v>2013</v>
      </c>
      <c r="BT1" s="22" t="s">
        <v>2014</v>
      </c>
      <c r="BU1" s="20" t="s">
        <v>2015</v>
      </c>
      <c r="BV1" s="22" t="s">
        <v>2016</v>
      </c>
      <c r="BW1" s="20" t="s">
        <v>2017</v>
      </c>
      <c r="BX1" s="22" t="s">
        <v>2018</v>
      </c>
      <c r="BY1" s="20" t="s">
        <v>2019</v>
      </c>
      <c r="BZ1" s="28" t="s">
        <v>2020</v>
      </c>
      <c r="CA1" s="20" t="s">
        <v>2021</v>
      </c>
      <c r="CB1" s="28" t="s">
        <v>2022</v>
      </c>
      <c r="CC1" s="20" t="s">
        <v>2023</v>
      </c>
      <c r="CD1" s="28" t="s">
        <v>2024</v>
      </c>
      <c r="CE1" s="20" t="s">
        <v>2025</v>
      </c>
      <c r="CF1" s="28" t="s">
        <v>2026</v>
      </c>
      <c r="CG1" s="19" t="s">
        <v>2027</v>
      </c>
      <c r="CH1" s="28" t="s">
        <v>2028</v>
      </c>
      <c r="CI1" s="19" t="s">
        <v>2029</v>
      </c>
      <c r="CJ1" s="28" t="s">
        <v>2030</v>
      </c>
      <c r="CK1" s="323" t="s">
        <v>2031</v>
      </c>
      <c r="CL1" s="28" t="s">
        <v>2032</v>
      </c>
      <c r="CM1" s="323" t="s">
        <v>2033</v>
      </c>
      <c r="CN1" s="28" t="s">
        <v>2034</v>
      </c>
      <c r="CO1" s="599" t="s">
        <v>2035</v>
      </c>
      <c r="CP1" s="29" t="s">
        <v>2036</v>
      </c>
      <c r="CQ1" s="20" t="s">
        <v>2037</v>
      </c>
      <c r="CR1" s="19" t="s">
        <v>2038</v>
      </c>
      <c r="CS1" s="19" t="s">
        <v>2039</v>
      </c>
      <c r="CT1" s="19" t="s">
        <v>2040</v>
      </c>
    </row>
    <row r="2" spans="1:98" ht="14.1" hidden="1" customHeight="1">
      <c r="A2" s="30" t="s">
        <v>18</v>
      </c>
      <c r="B2" s="30" t="s">
        <v>2041</v>
      </c>
      <c r="D2" s="50"/>
      <c r="E2" s="48" t="s">
        <v>2042</v>
      </c>
      <c r="F2" s="48"/>
      <c r="G2" s="64" t="s">
        <v>2043</v>
      </c>
      <c r="H2" s="50">
        <v>330</v>
      </c>
      <c r="I2" s="30" t="s">
        <v>210</v>
      </c>
      <c r="J2" s="30" t="s">
        <v>208</v>
      </c>
      <c r="K2" s="62">
        <v>179319.7</v>
      </c>
      <c r="L2" s="30"/>
      <c r="M2" s="86"/>
      <c r="N2" s="87"/>
      <c r="O2" s="88"/>
      <c r="P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179319.7</v>
      </c>
      <c r="Q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179319.7</v>
      </c>
      <c r="R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179319.7</v>
      </c>
      <c r="S2" s="72">
        <f>IF(AR_725[[#This Row],[PO Amount]]=0,1,AR_725[[#This Row],[Total AR (Sent)]]/AR_725[[#This Row],[PO Amount]])</f>
        <v>1</v>
      </c>
      <c r="T2" s="75">
        <f>AR_725[[#This Row],[PO Amount]]-AR_725[[#This Row],[Total AR (Sent)]]</f>
        <v>0</v>
      </c>
      <c r="U2" s="40"/>
      <c r="V2" s="40"/>
      <c r="W2" s="46"/>
      <c r="X2" s="46"/>
      <c r="Y2" s="46"/>
      <c r="Z2" s="46"/>
      <c r="AA2" s="46"/>
      <c r="AB2" s="40"/>
      <c r="AC2" s="40"/>
      <c r="AD2" s="40"/>
      <c r="AE2" s="46"/>
      <c r="AF2" s="46"/>
      <c r="AG2" s="46"/>
      <c r="AH2" s="46"/>
      <c r="AI2" s="41"/>
      <c r="AJ2" s="41"/>
      <c r="AK2" s="41"/>
      <c r="AL2" s="46"/>
      <c r="AM2" s="46"/>
      <c r="AN2" s="46"/>
      <c r="AO2" s="46"/>
      <c r="AP2" s="46"/>
      <c r="AQ2" s="46"/>
      <c r="AR2" s="41"/>
      <c r="AS2" s="46"/>
      <c r="AT2" s="41"/>
      <c r="AU2" s="46"/>
      <c r="AV2" s="41"/>
      <c r="AW2" s="46"/>
      <c r="AX2" s="41"/>
      <c r="AY2" s="46">
        <v>179319.7</v>
      </c>
      <c r="AZ2" s="41"/>
      <c r="BA2" s="46"/>
      <c r="BB2" s="41"/>
      <c r="BC2" s="40"/>
      <c r="BD2" s="41"/>
      <c r="BE2" s="46"/>
      <c r="BF2" s="41"/>
      <c r="BG2" s="46"/>
      <c r="BH2" s="41"/>
      <c r="BI2" s="41"/>
      <c r="BJ2" s="41"/>
      <c r="BK2" s="41"/>
      <c r="BL2" s="41"/>
      <c r="BM2" s="41"/>
      <c r="BN2" s="41"/>
      <c r="BO2" s="46"/>
      <c r="BP2" s="41"/>
      <c r="BQ2" s="46"/>
      <c r="BR2" s="40"/>
      <c r="BS2" s="40"/>
      <c r="BT2" s="40"/>
      <c r="BU2" s="40"/>
      <c r="BV2" s="40"/>
      <c r="BW2" s="40"/>
      <c r="BX2" s="34"/>
      <c r="BZ2" s="40"/>
      <c r="CA2" s="40"/>
      <c r="CB2" s="34"/>
      <c r="CC2" s="34"/>
      <c r="CD2" s="34"/>
      <c r="CE2" s="34"/>
      <c r="CF2" s="34"/>
      <c r="CG2" s="122"/>
      <c r="CI2" s="122"/>
      <c r="CJ2" s="30"/>
      <c r="CK2" s="122">
        <v>0</v>
      </c>
      <c r="CL2" s="122">
        <v>0</v>
      </c>
      <c r="CM2" s="122">
        <v>0</v>
      </c>
      <c r="CN2" s="122">
        <v>0</v>
      </c>
      <c r="CO2" s="122">
        <f>SUMIFS(BB___HK___AMHS__Others[AR Amount],BB___HK___AMHS__Others[PO No.],AR_725[[#This Row],[tsmc PO '#]],BB___HK___AMHS__Others[Status],"&lt;&gt;Rejected",BB___HK___AMHS__Others[YearMonth],"2024-07")</f>
        <v>0</v>
      </c>
      <c r="CP2" s="122">
        <f>SUMIFS(BB___HK___AMHS__Others[Tax],BB___HK___AMHS__Others[PO No.],AR_725[[#This Row],[tsmc PO '#]],BB___HK___AMHS__Others[Status],"&lt;&gt;Rejected",BB___HK___AMHS__Others[YearMonth],"2024-07")</f>
        <v>0</v>
      </c>
      <c r="CQ2" s="34">
        <f>SUMIFS(BB___HK___AMHS__Others[AR Amount],BB___HK___AMHS__Others[PO No.],AR_725[[#This Row],[tsmc PO '#]],BB___HK___AMHS__Others[Status],"&lt;&gt;Rejected",BB___HK___AMHS__Others[YearMonth],"2024-08")</f>
        <v>0</v>
      </c>
      <c r="CR2" s="600">
        <f>SUMIFS(BB___HK___AMHS__Others[Tax],BB___HK___AMHS__Others[PO No.],AR_725[[#This Row],[tsmc PO '#]],BB___HK___AMHS__Others[Status],"&lt;&gt;Rejected",BB___HK___AMHS__Others[YearMonth],"2024-08")</f>
        <v>0</v>
      </c>
      <c r="CS2" s="40">
        <f>SUMIFS(BB___HK___AMHS__Others[AR Amount],BB___HK___AMHS__Others[PO No.],AR_725[[#This Row],[tsmc PO '#]],BB___HK___AMHS__Others[Status],"&lt;&gt;Rejected",BB___HK___AMHS__Others[YearMonth],"2024-09")</f>
        <v>0</v>
      </c>
      <c r="CT2" s="600">
        <f>SUMIFS(BB___HK___AMHS__Others[Tax],BB___HK___AMHS__Others[PO No.],AR_725[[#This Row],[tsmc PO '#]],BB___HK___AMHS__Others[Status],"&lt;&gt;Rejected",BB___HK___AMHS__Others[YearMonth],"2024-09")</f>
        <v>0</v>
      </c>
    </row>
    <row r="3" spans="1:98" ht="14.45" customHeight="1">
      <c r="A3" s="30" t="s">
        <v>18</v>
      </c>
      <c r="B3" s="30" t="s">
        <v>2041</v>
      </c>
      <c r="D3" s="50"/>
      <c r="E3" s="50" t="s">
        <v>2044</v>
      </c>
      <c r="F3" s="50"/>
      <c r="G3" s="50" t="s">
        <v>2045</v>
      </c>
      <c r="H3" s="50">
        <v>2957</v>
      </c>
      <c r="I3" s="30" t="s">
        <v>164</v>
      </c>
      <c r="J3" s="30" t="s">
        <v>1073</v>
      </c>
      <c r="K3" s="62">
        <v>85382</v>
      </c>
      <c r="L3" s="30"/>
      <c r="M3" s="50" t="s">
        <v>2046</v>
      </c>
      <c r="N3" s="87"/>
      <c r="O3" s="30" t="s">
        <v>2047</v>
      </c>
      <c r="P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85382</v>
      </c>
      <c r="Q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" s="62">
        <f>IF(ISNUMBER(SEARCH("Mura", AR_725[[#This Row],[Sponsor]])), AR_725[[#This Row],[Total AR (Sent)]], SUMIFS(BB___HK___AMHS__Others[AR Amount], BB___HK___AMHS__Others[PO No.], AR_725[[#This Row],[tsmc PO '#]], BB___HK___AMHS__Others[Status], "Paid"))</f>
        <v>42691</v>
      </c>
      <c r="S3" s="72">
        <f>IF(AR_725[[#This Row],[PO Amount]]=0,1,AR_725[[#This Row],[Total AR (Sent)]]/AR_725[[#This Row],[PO Amount]])</f>
        <v>1</v>
      </c>
      <c r="T3" s="73">
        <f>AR_725[[#This Row],[PO Amount]]-AR_725[[#This Row],[Total AR (Sent)]]</f>
        <v>0</v>
      </c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34"/>
      <c r="AK3" s="40"/>
      <c r="AL3" s="40"/>
      <c r="AM3" s="40"/>
      <c r="AN3" s="40"/>
      <c r="AO3" s="40"/>
      <c r="AP3" s="40"/>
      <c r="AQ3" s="40"/>
      <c r="AR3" s="34"/>
      <c r="AS3" s="40"/>
      <c r="AU3" s="40"/>
      <c r="AV3" s="41"/>
      <c r="AW3" s="40"/>
      <c r="AX3" s="34"/>
      <c r="AY3" s="40"/>
      <c r="AZ3" s="34"/>
      <c r="BA3" s="40"/>
      <c r="BB3" s="34"/>
      <c r="BC3" s="40"/>
      <c r="BD3" s="40"/>
      <c r="BE3" s="40"/>
      <c r="BF3" s="40"/>
      <c r="BG3" s="40"/>
      <c r="BH3" s="40"/>
      <c r="BI3" s="40"/>
      <c r="BJ3" s="40"/>
      <c r="BK3" s="40"/>
      <c r="BL3" s="34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Z3" s="40"/>
      <c r="CA3" s="40"/>
      <c r="CB3" s="34"/>
      <c r="CC3" s="34"/>
      <c r="CD3" s="34"/>
      <c r="CE3" s="34"/>
      <c r="CF3" s="34"/>
      <c r="CG3" s="122"/>
      <c r="CI3" s="125">
        <v>8538.2000000000007</v>
      </c>
      <c r="CJ3" s="30"/>
      <c r="CK3" s="122">
        <v>0</v>
      </c>
      <c r="CL3" s="122">
        <v>0</v>
      </c>
      <c r="CM3" s="122">
        <v>0</v>
      </c>
      <c r="CN3" s="122">
        <v>0</v>
      </c>
      <c r="CO3" s="125">
        <v>34152.800000000003</v>
      </c>
      <c r="CP3" s="122">
        <f>SUMIFS(BB___HK___AMHS__Others[Tax],BB___HK___AMHS__Others[PO No.],AR_725[[#This Row],[tsmc PO '#]],BB___HK___AMHS__Others[Status],"&lt;&gt;Rejected",BB___HK___AMHS__Others[YearMonth],"2024-07")</f>
        <v>0</v>
      </c>
      <c r="CQ3" s="34">
        <f>SUMIFS(BB___HK___AMHS__Others[AR Amount],BB___HK___AMHS__Others[PO No.],AR_725[[#This Row],[tsmc PO '#]],BB___HK___AMHS__Others[Status],"&lt;&gt;Rejected",BB___HK___AMHS__Others[YearMonth],"2024-08")</f>
        <v>0</v>
      </c>
      <c r="CR3" s="44">
        <f>SUMIFS(BB___HK___AMHS__Others[Tax],BB___HK___AMHS__Others[PO No.],AR_725[[#This Row],[tsmc PO '#]],BB___HK___AMHS__Others[Status],"&lt;&gt;Rejected",BB___HK___AMHS__Others[YearMonth],"2024-08")</f>
        <v>0</v>
      </c>
      <c r="CS3" s="62">
        <f>SUMIFS(BB___HK___AMHS__Others[AR Amount],BB___HK___AMHS__Others[PO No.],AR_725[[#This Row],[tsmc PO '#]],BB___HK___AMHS__Others[Status],"&lt;&gt;Rejected",BB___HK___AMHS__Others[YearMonth],"2024-09")</f>
        <v>42691</v>
      </c>
      <c r="CT3" s="601">
        <f>SUMIFS(BB___HK___AMHS__Others[Tax],BB___HK___AMHS__Others[PO No.],AR_725[[#This Row],[tsmc PO '#]],BB___HK___AMHS__Others[Status],"&lt;&gt;Rejected",BB___HK___AMHS__Others[YearMonth],"2024-09")</f>
        <v>0</v>
      </c>
    </row>
    <row r="4" spans="1:98" ht="14.1" hidden="1">
      <c r="A4" s="30" t="s">
        <v>9</v>
      </c>
      <c r="B4" s="30" t="s">
        <v>2041</v>
      </c>
      <c r="D4" s="50"/>
      <c r="E4" s="50" t="s">
        <v>2044</v>
      </c>
      <c r="F4" s="50" t="s">
        <v>2048</v>
      </c>
      <c r="G4" s="50" t="s">
        <v>2045</v>
      </c>
      <c r="H4" s="50">
        <v>4370</v>
      </c>
      <c r="I4" s="30" t="s">
        <v>1551</v>
      </c>
      <c r="J4" s="30" t="s">
        <v>1549</v>
      </c>
      <c r="K4" s="62">
        <v>35911.699999999997</v>
      </c>
      <c r="M4" s="50" t="s">
        <v>2049</v>
      </c>
      <c r="N4" s="87"/>
      <c r="O4" s="30" t="s">
        <v>2050</v>
      </c>
      <c r="P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35911.699999999997</v>
      </c>
      <c r="Q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35911.699999999997</v>
      </c>
      <c r="S4" s="72">
        <f>IF(AR_725[[#This Row],[PO Amount]]=0,1,AR_725[[#This Row],[Total AR (Sent)]]/AR_725[[#This Row],[PO Amount]])</f>
        <v>1</v>
      </c>
      <c r="T4" s="73">
        <f>AR_725[[#This Row],[PO Amount]]-AR_725[[#This Row],[Total AR (Sent)]]</f>
        <v>0</v>
      </c>
      <c r="AV4" s="78"/>
      <c r="CG4" s="122"/>
      <c r="CI4" s="122"/>
      <c r="CK4" s="122"/>
      <c r="CL4" s="122"/>
      <c r="CM4" s="122"/>
      <c r="CN4" s="122"/>
      <c r="CO4" s="34"/>
      <c r="CP4" s="122">
        <f>SUMIFS(BB___HK___AMHS__Others[Tax],BB___HK___AMHS__Others[PO No.],AR_725[[#This Row],[tsmc PO '#]],BB___HK___AMHS__Others[Status],"&lt;&gt;Rejected",BB___HK___AMHS__Others[YearMonth],"2024-07")</f>
        <v>0</v>
      </c>
      <c r="CQ4" s="42">
        <f>SUMIFS(BB___HK___AMHS__Others[AR Amount],BB___HK___AMHS__Others[PO No.],AR_725[[#This Row],[tsmc PO '#]],BB___HK___AMHS__Others[Status],"&lt;&gt;Rejected",BB___HK___AMHS__Others[YearMonth],"2024-08")</f>
        <v>35911.699999999997</v>
      </c>
      <c r="CR4" s="44">
        <f>SUMIFS(BB___HK___AMHS__Others[Tax],BB___HK___AMHS__Others[PO No.],AR_725[[#This Row],[tsmc PO '#]],BB___HK___AMHS__Others[Status],"&lt;&gt;Rejected",BB___HK___AMHS__Others[YearMonth],"2024-08")</f>
        <v>0</v>
      </c>
      <c r="CS4" s="62">
        <f>SUMIFS(BB___HK___AMHS__Others[AR Amount],BB___HK___AMHS__Others[PO No.],AR_725[[#This Row],[tsmc PO '#]],BB___HK___AMHS__Others[Status],"&lt;&gt;Rejected",BB___HK___AMHS__Others[YearMonth],"2024-09")</f>
        <v>0</v>
      </c>
      <c r="CT4" s="601">
        <f>SUMIFS(BB___HK___AMHS__Others[Tax],BB___HK___AMHS__Others[PO No.],AR_725[[#This Row],[tsmc PO '#]],BB___HK___AMHS__Others[Status],"&lt;&gt;Rejected",BB___HK___AMHS__Others[YearMonth],"2024-09")</f>
        <v>0</v>
      </c>
    </row>
    <row r="5" spans="1:98" ht="14.1" hidden="1">
      <c r="A5" s="30" t="s">
        <v>9</v>
      </c>
      <c r="B5" s="30" t="s">
        <v>2041</v>
      </c>
      <c r="D5" s="50"/>
      <c r="E5" s="50" t="s">
        <v>2044</v>
      </c>
      <c r="F5" s="50" t="s">
        <v>2048</v>
      </c>
      <c r="G5" s="50" t="s">
        <v>2045</v>
      </c>
      <c r="H5" s="50">
        <v>4371</v>
      </c>
      <c r="I5" s="30" t="s">
        <v>1551</v>
      </c>
      <c r="J5" s="30" t="s">
        <v>1788</v>
      </c>
      <c r="K5" s="62">
        <v>5830</v>
      </c>
      <c r="M5" s="50" t="s">
        <v>2049</v>
      </c>
      <c r="N5" s="87"/>
      <c r="O5" s="30" t="s">
        <v>2050</v>
      </c>
      <c r="P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5538.5</v>
      </c>
      <c r="Q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5538.5</v>
      </c>
      <c r="S5" s="72">
        <f>IF(AR_725[[#This Row],[PO Amount]]=0,1,AR_725[[#This Row],[Total AR (Sent)]]/AR_725[[#This Row],[PO Amount]])</f>
        <v>0.95</v>
      </c>
      <c r="T5" s="73">
        <f>AR_725[[#This Row],[PO Amount]]-AR_725[[#This Row],[Total AR (Sent)]]</f>
        <v>291.5</v>
      </c>
      <c r="AV5" s="78"/>
      <c r="CG5" s="122"/>
      <c r="CI5" s="122"/>
      <c r="CK5" s="122"/>
      <c r="CL5" s="122"/>
      <c r="CM5" s="122"/>
      <c r="CN5" s="122"/>
      <c r="CP5" s="122">
        <f>SUMIFS(BB___HK___AMHS__Others[Tax],BB___HK___AMHS__Others[PO No.],AR_725[[#This Row],[tsmc PO '#]],BB___HK___AMHS__Others[Status],"&lt;&gt;Rejected",BB___HK___AMHS__Others[YearMonth],"2024-07")</f>
        <v>0</v>
      </c>
      <c r="CQ5" s="34">
        <f>SUMIFS(BB___HK___AMHS__Others[AR Amount],BB___HK___AMHS__Others[PO No.],AR_725[[#This Row],[tsmc PO '#]],BB___HK___AMHS__Others[Status],"&lt;&gt;Rejected",BB___HK___AMHS__Others[YearMonth],"2024-08")</f>
        <v>5538.5</v>
      </c>
      <c r="CR5" s="44">
        <f>SUMIFS(BB___HK___AMHS__Others[Tax],BB___HK___AMHS__Others[PO No.],AR_725[[#This Row],[tsmc PO '#]],BB___HK___AMHS__Others[Status],"&lt;&gt;Rejected",BB___HK___AMHS__Others[YearMonth],"2024-08")</f>
        <v>0</v>
      </c>
      <c r="CS5" s="62">
        <f>SUMIFS(BB___HK___AMHS__Others[AR Amount],BB___HK___AMHS__Others[PO No.],AR_725[[#This Row],[tsmc PO '#]],BB___HK___AMHS__Others[Status],"&lt;&gt;Rejected",BB___HK___AMHS__Others[YearMonth],"2024-09")</f>
        <v>0</v>
      </c>
      <c r="CT5" s="601">
        <f>SUMIFS(BB___HK___AMHS__Others[Tax],BB___HK___AMHS__Others[PO No.],AR_725[[#This Row],[tsmc PO '#]],BB___HK___AMHS__Others[Status],"&lt;&gt;Rejected",BB___HK___AMHS__Others[YearMonth],"2024-09")</f>
        <v>0</v>
      </c>
    </row>
    <row r="6" spans="1:98" ht="14.1" hidden="1">
      <c r="A6" s="30" t="s">
        <v>9</v>
      </c>
      <c r="B6" s="30" t="s">
        <v>2051</v>
      </c>
      <c r="D6" s="50" t="s">
        <v>1546</v>
      </c>
      <c r="E6" s="105" t="s">
        <v>2052</v>
      </c>
      <c r="F6" s="35" t="s">
        <v>2053</v>
      </c>
      <c r="G6" s="35" t="s">
        <v>54</v>
      </c>
      <c r="H6" s="36">
        <v>4503045358</v>
      </c>
      <c r="I6" s="30" t="s">
        <v>90</v>
      </c>
      <c r="J6" s="30" t="s">
        <v>87</v>
      </c>
      <c r="K6" s="46">
        <v>110660.61</v>
      </c>
      <c r="L6" s="30" t="s">
        <v>2054</v>
      </c>
      <c r="M6" s="86">
        <v>44225</v>
      </c>
      <c r="N6" s="89" t="s">
        <v>2055</v>
      </c>
      <c r="O6" s="30" t="s">
        <v>2056</v>
      </c>
      <c r="P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85997.169999999984</v>
      </c>
      <c r="Q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85997.169999999984</v>
      </c>
      <c r="R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85997.169999999984</v>
      </c>
      <c r="S6" s="72">
        <f>IF(AR_725[[#This Row],[PO Amount]]=0,1,AR_725[[#This Row],[Total AR (Sent)]]/AR_725[[#This Row],[PO Amount]])</f>
        <v>0.77712539267585801</v>
      </c>
      <c r="T6" s="45">
        <f>AR_725[[#This Row],[PO Amount]]-AR_725[[#This Row],[Total AR (Sent)]]</f>
        <v>24663.440000000017</v>
      </c>
      <c r="U6" s="46">
        <v>69931.929999999993</v>
      </c>
      <c r="V6" s="46">
        <v>2329.4</v>
      </c>
      <c r="W6" s="46">
        <v>0</v>
      </c>
      <c r="X6" s="46"/>
      <c r="Y6" s="46">
        <v>13735.84</v>
      </c>
      <c r="Z6" s="46">
        <v>1178.51</v>
      </c>
      <c r="AA6" s="46">
        <v>2329.4</v>
      </c>
      <c r="AB6" s="46">
        <v>200.33</v>
      </c>
      <c r="AC6" s="41"/>
      <c r="AD6" s="41"/>
      <c r="AE6" s="46"/>
      <c r="AF6" s="46"/>
      <c r="AG6" s="41"/>
      <c r="AH6" s="46"/>
      <c r="AI6" s="41"/>
      <c r="AJ6" s="34"/>
      <c r="AK6" s="34"/>
      <c r="AL6" s="34"/>
      <c r="AM6" s="34"/>
      <c r="AN6" s="40"/>
      <c r="AO6" s="41"/>
      <c r="AP6" s="40"/>
      <c r="AQ6" s="34"/>
      <c r="AR6" s="34"/>
      <c r="AS6" s="34"/>
      <c r="AU6" s="34"/>
      <c r="AV6" s="34"/>
      <c r="AW6" s="34"/>
      <c r="AX6" s="34"/>
      <c r="AY6" s="34"/>
      <c r="AZ6" s="34"/>
      <c r="BA6" s="40"/>
      <c r="BB6" s="34"/>
      <c r="BC6" s="34"/>
      <c r="BD6" s="41"/>
      <c r="BE6" s="40"/>
      <c r="BF6" s="34"/>
      <c r="BG6" s="40"/>
      <c r="BH6" s="34"/>
      <c r="BI6" s="34"/>
      <c r="BJ6" s="34"/>
      <c r="BK6" s="34"/>
      <c r="BL6" s="34"/>
      <c r="BM6" s="34"/>
      <c r="BN6" s="34"/>
      <c r="BO6" s="40"/>
      <c r="BP6" s="34"/>
      <c r="BQ6" s="40"/>
      <c r="BR6" s="40"/>
      <c r="BS6" s="40"/>
      <c r="BT6" s="40"/>
      <c r="BU6" s="40"/>
      <c r="BV6" s="40"/>
      <c r="BW6" s="40"/>
      <c r="BX6" s="34"/>
      <c r="BZ6" s="34"/>
      <c r="CA6" s="40"/>
      <c r="CB6" s="34"/>
      <c r="CC6" s="34"/>
      <c r="CD6" s="34"/>
      <c r="CE6" s="34"/>
      <c r="CF6" s="34"/>
      <c r="CG6" s="122"/>
      <c r="CI6" s="122"/>
      <c r="CJ6" s="30"/>
      <c r="CK6" s="122">
        <v>0</v>
      </c>
      <c r="CL6" s="122">
        <v>0</v>
      </c>
      <c r="CM6" s="122">
        <v>0</v>
      </c>
      <c r="CN6" s="122">
        <v>0</v>
      </c>
      <c r="CO6" s="122">
        <f>SUMIFS(BB___HK___AMHS__Others[AR Amount],BB___HK___AMHS__Others[PO No.],AR_725[[#This Row],[tsmc PO '#]],BB___HK___AMHS__Others[Status],"&lt;&gt;Rejected",BB___HK___AMHS__Others[YearMonth],"2024-07")</f>
        <v>0</v>
      </c>
      <c r="CP6" s="122">
        <f>SUMIFS(BB___HK___AMHS__Others[Tax],BB___HK___AMHS__Others[PO No.],AR_725[[#This Row],[tsmc PO '#]],BB___HK___AMHS__Others[Status],"&lt;&gt;Rejected",BB___HK___AMHS__Others[YearMonth],"2024-07")</f>
        <v>0</v>
      </c>
      <c r="CQ6" s="34">
        <f>SUMIFS(BB___HK___AMHS__Others[AR Amount],BB___HK___AMHS__Others[PO No.],AR_725[[#This Row],[tsmc PO '#]],BB___HK___AMHS__Others[Status],"&lt;&gt;Rejected",BB___HK___AMHS__Others[YearMonth],"2024-08")</f>
        <v>0</v>
      </c>
      <c r="CR6" s="44">
        <f>SUMIFS(BB___HK___AMHS__Others[Tax],BB___HK___AMHS__Others[PO No.],AR_725[[#This Row],[tsmc PO '#]],BB___HK___AMHS__Others[Status],"&lt;&gt;Rejected",BB___HK___AMHS__Others[YearMonth],"2024-08")</f>
        <v>0</v>
      </c>
      <c r="CS6" s="62">
        <f>SUMIFS(BB___HK___AMHS__Others[AR Amount],BB___HK___AMHS__Others[PO No.],AR_725[[#This Row],[tsmc PO '#]],BB___HK___AMHS__Others[Status],"&lt;&gt;Rejected",BB___HK___AMHS__Others[YearMonth],"2024-09")</f>
        <v>0</v>
      </c>
      <c r="CT6" s="601">
        <f>SUMIFS(BB___HK___AMHS__Others[Tax],BB___HK___AMHS__Others[PO No.],AR_725[[#This Row],[tsmc PO '#]],BB___HK___AMHS__Others[Status],"&lt;&gt;Rejected",BB___HK___AMHS__Others[YearMonth],"2024-09")</f>
        <v>0</v>
      </c>
    </row>
    <row r="7" spans="1:98" ht="14.1" hidden="1">
      <c r="A7" s="30" t="s">
        <v>9</v>
      </c>
      <c r="B7" s="30" t="s">
        <v>2051</v>
      </c>
      <c r="D7" s="50"/>
      <c r="E7" s="35" t="s">
        <v>326</v>
      </c>
      <c r="F7" s="35" t="s">
        <v>2057</v>
      </c>
      <c r="G7" s="35" t="s">
        <v>54</v>
      </c>
      <c r="H7" s="36">
        <v>4503243471</v>
      </c>
      <c r="I7" s="30" t="s">
        <v>100</v>
      </c>
      <c r="J7" s="30" t="s">
        <v>99</v>
      </c>
      <c r="K7" s="46">
        <v>145958.39999999999</v>
      </c>
      <c r="L7" s="30" t="s">
        <v>2058</v>
      </c>
      <c r="M7" s="86">
        <v>44350</v>
      </c>
      <c r="N7" s="87" t="s">
        <v>2059</v>
      </c>
      <c r="O7" s="30" t="s">
        <v>2056</v>
      </c>
      <c r="P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145958.40000000005</v>
      </c>
      <c r="Q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145958.40000000005</v>
      </c>
      <c r="R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145958.40000000005</v>
      </c>
      <c r="S7" s="72">
        <f>IF(AR_725[[#This Row],[PO Amount]]=0,1,AR_725[[#This Row],[Total AR (Sent)]]/AR_725[[#This Row],[PO Amount]])</f>
        <v>1.0000000000000004</v>
      </c>
      <c r="T7" s="45">
        <f>AR_725[[#This Row],[PO Amount]]-AR_725[[#This Row],[Total AR (Sent)]]</f>
        <v>0</v>
      </c>
      <c r="U7" s="46">
        <f>6081.6*2</f>
        <v>12163.2</v>
      </c>
      <c r="V7" s="46"/>
      <c r="W7" s="46">
        <f>6081.6</f>
        <v>6081.6</v>
      </c>
      <c r="X7" s="46"/>
      <c r="Y7" s="46">
        <f>6081.6</f>
        <v>6081.6</v>
      </c>
      <c r="Z7" s="46"/>
      <c r="AA7" s="46">
        <f>6081.6</f>
        <v>6081.6</v>
      </c>
      <c r="AB7" s="46"/>
      <c r="AC7" s="41">
        <f>6081.6</f>
        <v>6081.6</v>
      </c>
      <c r="AD7" s="41"/>
      <c r="AE7" s="46"/>
      <c r="AF7" s="46"/>
      <c r="AG7" s="41">
        <v>6081.6</v>
      </c>
      <c r="AH7" s="46"/>
      <c r="AI7" s="41">
        <v>6081.6</v>
      </c>
      <c r="AJ7" s="34"/>
      <c r="AK7" s="41">
        <v>6081.6</v>
      </c>
      <c r="AL7" s="34"/>
      <c r="AM7" s="41">
        <v>6081.6</v>
      </c>
      <c r="AN7" s="46"/>
      <c r="AO7" s="41">
        <v>6081.6</v>
      </c>
      <c r="AP7" s="40"/>
      <c r="AQ7" s="41">
        <v>6081.6</v>
      </c>
      <c r="AR7" s="41"/>
      <c r="AS7" s="42">
        <v>6081.6</v>
      </c>
      <c r="AU7" s="42">
        <v>6081.6</v>
      </c>
      <c r="AV7" s="34"/>
      <c r="AW7" s="52">
        <v>6081.6</v>
      </c>
      <c r="AX7" s="34"/>
      <c r="AY7" s="53">
        <v>6081.6</v>
      </c>
      <c r="AZ7" s="34"/>
      <c r="BA7" s="47">
        <v>6081.6</v>
      </c>
      <c r="BB7" s="34"/>
      <c r="BC7" s="42">
        <v>6081.6</v>
      </c>
      <c r="BD7" s="41"/>
      <c r="BE7" s="47">
        <v>6081.6</v>
      </c>
      <c r="BF7" s="34"/>
      <c r="BG7" s="47">
        <v>6081.6</v>
      </c>
      <c r="BH7" s="34"/>
      <c r="BI7" s="42">
        <v>6081.6</v>
      </c>
      <c r="BJ7" s="34"/>
      <c r="BK7" s="42">
        <v>18244.8</v>
      </c>
      <c r="BL7" s="41"/>
      <c r="BM7" s="34"/>
      <c r="BN7" s="34"/>
      <c r="BO7" s="40"/>
      <c r="BP7" s="34"/>
      <c r="BQ7" s="40"/>
      <c r="BR7" s="40"/>
      <c r="BS7" s="40"/>
      <c r="BT7" s="40"/>
      <c r="BU7" s="40"/>
      <c r="BV7" s="40"/>
      <c r="BW7" s="40"/>
      <c r="BX7" s="34"/>
      <c r="BZ7" s="40"/>
      <c r="CA7" s="40"/>
      <c r="CB7" s="34"/>
      <c r="CC7" s="34"/>
      <c r="CD7" s="34"/>
      <c r="CE7" s="34"/>
      <c r="CF7" s="34"/>
      <c r="CG7" s="122"/>
      <c r="CI7" s="122"/>
      <c r="CJ7" s="30"/>
      <c r="CK7" s="122">
        <v>0</v>
      </c>
      <c r="CL7" s="122">
        <v>0</v>
      </c>
      <c r="CM7" s="122">
        <v>0</v>
      </c>
      <c r="CN7" s="122">
        <v>0</v>
      </c>
      <c r="CO7" s="122">
        <f>SUMIFS(BB___HK___AMHS__Others[AR Amount],BB___HK___AMHS__Others[PO No.],AR_725[[#This Row],[tsmc PO '#]],BB___HK___AMHS__Others[Status],"&lt;&gt;Rejected",BB___HK___AMHS__Others[YearMonth],"2024-07")</f>
        <v>0</v>
      </c>
      <c r="CP7" s="122">
        <f>SUMIFS(BB___HK___AMHS__Others[Tax],BB___HK___AMHS__Others[PO No.],AR_725[[#This Row],[tsmc PO '#]],BB___HK___AMHS__Others[Status],"&lt;&gt;Rejected",BB___HK___AMHS__Others[YearMonth],"2024-07")</f>
        <v>0</v>
      </c>
      <c r="CQ7" s="34">
        <f>SUMIFS(BB___HK___AMHS__Others[AR Amount],BB___HK___AMHS__Others[PO No.],AR_725[[#This Row],[tsmc PO '#]],BB___HK___AMHS__Others[Status],"&lt;&gt;Rejected",BB___HK___AMHS__Others[YearMonth],"2024-08")</f>
        <v>0</v>
      </c>
      <c r="CR7" s="44">
        <f>SUMIFS(BB___HK___AMHS__Others[Tax],BB___HK___AMHS__Others[PO No.],AR_725[[#This Row],[tsmc PO '#]],BB___HK___AMHS__Others[Status],"&lt;&gt;Rejected",BB___HK___AMHS__Others[YearMonth],"2024-08")</f>
        <v>0</v>
      </c>
      <c r="CS7" s="62">
        <f>SUMIFS(BB___HK___AMHS__Others[AR Amount],BB___HK___AMHS__Others[PO No.],AR_725[[#This Row],[tsmc PO '#]],BB___HK___AMHS__Others[Status],"&lt;&gt;Rejected",BB___HK___AMHS__Others[YearMonth],"2024-09")</f>
        <v>0</v>
      </c>
      <c r="CT7" s="601">
        <f>SUMIFS(BB___HK___AMHS__Others[Tax],BB___HK___AMHS__Others[PO No.],AR_725[[#This Row],[tsmc PO '#]],BB___HK___AMHS__Others[Status],"&lt;&gt;Rejected",BB___HK___AMHS__Others[YearMonth],"2024-09")</f>
        <v>0</v>
      </c>
    </row>
    <row r="8" spans="1:98" ht="14.1">
      <c r="A8" s="30" t="s">
        <v>9</v>
      </c>
      <c r="B8" s="30" t="s">
        <v>2051</v>
      </c>
      <c r="D8" s="50" t="s">
        <v>1720</v>
      </c>
      <c r="E8" s="48" t="s">
        <v>2060</v>
      </c>
      <c r="F8" s="31" t="s">
        <v>2061</v>
      </c>
      <c r="G8" s="32" t="s">
        <v>312</v>
      </c>
      <c r="H8" s="33">
        <v>4503290109</v>
      </c>
      <c r="I8" s="30" t="s">
        <v>104</v>
      </c>
      <c r="J8" s="30" t="s">
        <v>103</v>
      </c>
      <c r="K8" s="41">
        <v>156300000</v>
      </c>
      <c r="L8" s="30" t="s">
        <v>2062</v>
      </c>
      <c r="M8" s="86">
        <v>44378</v>
      </c>
      <c r="N8" s="87" t="s">
        <v>2063</v>
      </c>
      <c r="O8" s="30" t="s">
        <v>2064</v>
      </c>
      <c r="P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137331490</v>
      </c>
      <c r="Q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123536555</v>
      </c>
      <c r="R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136620731</v>
      </c>
      <c r="S8" s="72">
        <f>IF(AR_725[[#This Row],[PO Amount]]=0,1,AR_725[[#This Row],[Total AR (Sent)]]/AR_725[[#This Row],[PO Amount]])</f>
        <v>0.87864037108125403</v>
      </c>
      <c r="T8" s="39">
        <f>AR_725[[#This Row],[PO Amount]]-AR_725[[#This Row],[Total AR (Sent)]]</f>
        <v>18968510</v>
      </c>
      <c r="U8" s="40"/>
      <c r="V8" s="40"/>
      <c r="W8" s="41">
        <f>4335510+1940731</f>
        <v>6276241</v>
      </c>
      <c r="X8" s="41"/>
      <c r="Y8" s="41"/>
      <c r="Z8" s="41"/>
      <c r="AA8" s="41">
        <v>5065513</v>
      </c>
      <c r="AB8" s="41"/>
      <c r="AC8" s="41">
        <v>1487521</v>
      </c>
      <c r="AD8" s="41"/>
      <c r="AE8" s="41">
        <v>379647</v>
      </c>
      <c r="AF8" s="41"/>
      <c r="AG8" s="41">
        <v>4036610</v>
      </c>
      <c r="AH8" s="41"/>
      <c r="AI8" s="41">
        <v>516878</v>
      </c>
      <c r="AJ8" s="34"/>
      <c r="AK8" s="41">
        <v>317828</v>
      </c>
      <c r="AL8" s="34"/>
      <c r="AM8" s="41">
        <v>7096144</v>
      </c>
      <c r="AN8" s="41"/>
      <c r="AO8" s="41">
        <v>2987853</v>
      </c>
      <c r="AP8" s="34"/>
      <c r="AQ8" s="41">
        <f>7924790.09155491-7924790.09155491+7837545</f>
        <v>7837545</v>
      </c>
      <c r="AR8" s="41"/>
      <c r="AS8" s="42">
        <f>8868537.14674021-4251804.14674021</f>
        <v>4616732.9999999991</v>
      </c>
      <c r="AU8" s="42">
        <f>11912153.1131884-6361214.1131884</f>
        <v>5550939.0000000009</v>
      </c>
      <c r="AV8" s="34"/>
      <c r="AW8" s="42">
        <f>12872757.3602276-8791548.3602276</f>
        <v>4081209</v>
      </c>
      <c r="AX8" s="34"/>
      <c r="AY8" s="42">
        <f>12513914.4626718-540821.4626718</f>
        <v>11973093</v>
      </c>
      <c r="AZ8" s="34"/>
      <c r="BA8" s="42">
        <f>12413928.7450891-4328414.7450891</f>
        <v>8085514.0000000009</v>
      </c>
      <c r="BB8" s="34"/>
      <c r="BC8" s="42">
        <f>10610833.2680111-10610833.2680111+5626352</f>
        <v>5626352</v>
      </c>
      <c r="BD8" s="41"/>
      <c r="BE8" s="42">
        <v>10066637</v>
      </c>
      <c r="BF8" s="34"/>
      <c r="BG8" s="42">
        <f>10202003.095157-5154374.095157</f>
        <v>5047628.9999999991</v>
      </c>
      <c r="BH8" s="34"/>
      <c r="BI8" s="42">
        <f>7961770.36547368-4595872.36547368</f>
        <v>3365898</v>
      </c>
      <c r="BJ8" s="34"/>
      <c r="BK8" s="42">
        <f>8712801.42631-3902030.42631</f>
        <v>4810770.9999999991</v>
      </c>
      <c r="BL8" s="34"/>
      <c r="BM8" s="42">
        <f>4641316.09180573-1778105.09180573</f>
        <v>2863211</v>
      </c>
      <c r="BN8" s="34"/>
      <c r="BO8" s="42">
        <f>7815000-4447764</f>
        <v>3367236</v>
      </c>
      <c r="BP8" s="34"/>
      <c r="BQ8" s="42">
        <v>2303531</v>
      </c>
      <c r="BR8" s="40"/>
      <c r="BS8" s="42">
        <v>1479982</v>
      </c>
      <c r="BT8" s="40"/>
      <c r="BU8" s="42">
        <v>2215779</v>
      </c>
      <c r="BV8" s="40"/>
      <c r="BW8" s="42">
        <v>1432965</v>
      </c>
      <c r="BX8" s="34"/>
      <c r="BY8" s="42">
        <v>2266418</v>
      </c>
      <c r="BZ8" s="40"/>
      <c r="CA8" s="42">
        <v>2162761</v>
      </c>
      <c r="CB8" s="34"/>
      <c r="CC8" s="42">
        <v>1783000</v>
      </c>
      <c r="CD8" s="34"/>
      <c r="CE8" s="42">
        <v>2158063</v>
      </c>
      <c r="CF8" s="34"/>
      <c r="CG8" s="123">
        <v>2277054</v>
      </c>
      <c r="CH8" s="122"/>
      <c r="CI8" s="116">
        <v>2753476</v>
      </c>
      <c r="CJ8" s="30"/>
      <c r="CK8" s="122">
        <v>3367559</v>
      </c>
      <c r="CL8" s="122">
        <v>0</v>
      </c>
      <c r="CM8" s="122">
        <v>3932821</v>
      </c>
      <c r="CN8" s="122">
        <v>0</v>
      </c>
      <c r="CO8" s="34">
        <f>SUMIFS(BB___HK___AMHS__Others[AR Amount],BB___HK___AMHS__Others[PO No.],AR_725[[#This Row],[tsmc PO '#]],BB___HK___AMHS__Others[Status],"&lt;&gt;Rejected",BB___HK___AMHS__Others[YearMonth],"2024-07")</f>
        <v>2398799</v>
      </c>
      <c r="CP8" s="122">
        <f>SUMIFS(BB___HK___AMHS__Others[Tax],BB___HK___AMHS__Others[PO No.],AR_725[[#This Row],[tsmc PO '#]],BB___HK___AMHS__Others[Status],"&lt;&gt;Rejected",BB___HK___AMHS__Others[YearMonth],"2024-07")</f>
        <v>0</v>
      </c>
      <c r="CQ8" s="34">
        <f>SUMIFS(BB___HK___AMHS__Others[AR Amount],BB___HK___AMHS__Others[PO No.],AR_725[[#This Row],[tsmc PO '#]],BB___HK___AMHS__Others[Status],"&lt;&gt;Rejected",BB___HK___AMHS__Others[YearMonth],"2024-08")</f>
        <v>631521</v>
      </c>
      <c r="CR8" s="44">
        <f>SUMIFS(BB___HK___AMHS__Others[Tax],BB___HK___AMHS__Others[PO No.],AR_725[[#This Row],[tsmc PO '#]],BB___HK___AMHS__Others[Status],"&lt;&gt;Rejected",BB___HK___AMHS__Others[YearMonth],"2024-08")</f>
        <v>0</v>
      </c>
      <c r="CS8" s="62">
        <f>SUMIFS(BB___HK___AMHS__Others[AR Amount],BB___HK___AMHS__Others[PO No.],AR_725[[#This Row],[tsmc PO '#]],BB___HK___AMHS__Others[Status],"&lt;&gt;Rejected",BB___HK___AMHS__Others[YearMonth],"2024-09")</f>
        <v>710759</v>
      </c>
      <c r="CT8" s="601">
        <f>SUMIFS(BB___HK___AMHS__Others[Tax],BB___HK___AMHS__Others[PO No.],AR_725[[#This Row],[tsmc PO '#]],BB___HK___AMHS__Others[Status],"&lt;&gt;Rejected",BB___HK___AMHS__Others[YearMonth],"2024-09")</f>
        <v>0</v>
      </c>
    </row>
    <row r="9" spans="1:98" ht="14.1" hidden="1">
      <c r="A9" s="30" t="s">
        <v>9</v>
      </c>
      <c r="B9" s="30" t="s">
        <v>2051</v>
      </c>
      <c r="D9" s="50" t="s">
        <v>1759</v>
      </c>
      <c r="E9" s="50" t="s">
        <v>2065</v>
      </c>
      <c r="F9" s="35" t="s">
        <v>2066</v>
      </c>
      <c r="G9" s="32" t="s">
        <v>312</v>
      </c>
      <c r="H9" s="36">
        <v>4503312319</v>
      </c>
      <c r="I9" s="30" t="s">
        <v>111</v>
      </c>
      <c r="J9" s="30" t="s">
        <v>110</v>
      </c>
      <c r="K9" s="37">
        <v>6158273</v>
      </c>
      <c r="L9" s="30" t="s">
        <v>2062</v>
      </c>
      <c r="M9" s="86">
        <v>44391</v>
      </c>
      <c r="N9" s="87" t="s">
        <v>2063</v>
      </c>
      <c r="O9" s="30" t="s">
        <v>2064</v>
      </c>
      <c r="P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5841555</v>
      </c>
      <c r="Q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5806030</v>
      </c>
      <c r="R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5841555</v>
      </c>
      <c r="S9" s="72">
        <f>IF(AR_725[[#This Row],[PO Amount]]=0,1,AR_725[[#This Row],[Total AR (Sent)]]/AR_725[[#This Row],[PO Amount]])</f>
        <v>0.94857032158204091</v>
      </c>
      <c r="T9" s="45">
        <f>AR_725[[#This Row],[PO Amount]]-AR_725[[#This Row],[Total AR (Sent)]]</f>
        <v>316718</v>
      </c>
      <c r="U9" s="40"/>
      <c r="V9" s="40"/>
      <c r="W9" s="46">
        <v>0</v>
      </c>
      <c r="X9" s="46"/>
      <c r="Y9" s="46">
        <v>487307</v>
      </c>
      <c r="Z9" s="46"/>
      <c r="AA9" s="46">
        <v>495498</v>
      </c>
      <c r="AB9" s="46"/>
      <c r="AC9" s="41">
        <v>199596</v>
      </c>
      <c r="AD9" s="41"/>
      <c r="AE9" s="46"/>
      <c r="AF9" s="46"/>
      <c r="AG9" s="41">
        <v>128965</v>
      </c>
      <c r="AH9" s="46"/>
      <c r="AI9" s="41">
        <v>16562</v>
      </c>
      <c r="AJ9" s="34"/>
      <c r="AK9" s="41">
        <v>179823</v>
      </c>
      <c r="AL9" s="34"/>
      <c r="AM9" s="41">
        <v>134233</v>
      </c>
      <c r="AN9" s="46"/>
      <c r="AO9" s="41">
        <v>321235</v>
      </c>
      <c r="AP9" s="40"/>
      <c r="AQ9" s="41">
        <f>300000-300000</f>
        <v>0</v>
      </c>
      <c r="AR9" s="41"/>
      <c r="AS9" s="42">
        <f>500000-70669</f>
        <v>429331</v>
      </c>
      <c r="AU9" s="42">
        <f>500000-403482</f>
        <v>96518</v>
      </c>
      <c r="AV9" s="34"/>
      <c r="AW9" s="42">
        <f>250000+459523</f>
        <v>709523</v>
      </c>
      <c r="AX9" s="34"/>
      <c r="AY9" s="42">
        <f>250000+304350</f>
        <v>554350</v>
      </c>
      <c r="AZ9" s="34"/>
      <c r="BA9" s="47">
        <f>500000-187387</f>
        <v>312613</v>
      </c>
      <c r="BB9" s="34"/>
      <c r="BC9" s="42">
        <f>500000-500000+828523</f>
        <v>828523</v>
      </c>
      <c r="BD9" s="41"/>
      <c r="BE9" s="40"/>
      <c r="BF9" s="34"/>
      <c r="BG9" s="47">
        <f>138993+288579</f>
        <v>427572</v>
      </c>
      <c r="BH9" s="34"/>
      <c r="BI9" s="42">
        <v>25093</v>
      </c>
      <c r="BJ9" s="34"/>
      <c r="BK9" s="34"/>
      <c r="BL9" s="34"/>
      <c r="BM9" s="42">
        <f>1069382.35-1053940.35</f>
        <v>15442</v>
      </c>
      <c r="BN9" s="34"/>
      <c r="BO9" s="47">
        <f>307913.65+99019.35</f>
        <v>406933</v>
      </c>
      <c r="BP9" s="34"/>
      <c r="BQ9" s="47">
        <v>30038</v>
      </c>
      <c r="BR9" s="40"/>
      <c r="BS9" s="40"/>
      <c r="BT9" s="40"/>
      <c r="BU9" s="40"/>
      <c r="BV9" s="40"/>
      <c r="BW9" s="40"/>
      <c r="BX9" s="34"/>
      <c r="BZ9" s="40"/>
      <c r="CA9" s="40"/>
      <c r="CB9" s="34"/>
      <c r="CC9" s="34"/>
      <c r="CD9" s="34"/>
      <c r="CE9" s="42">
        <v>6875</v>
      </c>
      <c r="CF9" s="34"/>
      <c r="CG9" s="122"/>
      <c r="CI9" s="122"/>
      <c r="CJ9" s="30"/>
      <c r="CK9" s="122">
        <v>0</v>
      </c>
      <c r="CL9" s="122">
        <v>0</v>
      </c>
      <c r="CM9" s="122">
        <v>0</v>
      </c>
      <c r="CN9" s="122">
        <v>0</v>
      </c>
      <c r="CO9" s="122">
        <f>SUMIFS(BB___HK___AMHS__Others[AR Amount],BB___HK___AMHS__Others[PO No.],AR_725[[#This Row],[tsmc PO '#]],BB___HK___AMHS__Others[Status],"&lt;&gt;Rejected",BB___HK___AMHS__Others[YearMonth],"2024-07")</f>
        <v>0</v>
      </c>
      <c r="CP9" s="122">
        <f>SUMIFS(BB___HK___AMHS__Others[Tax],BB___HK___AMHS__Others[PO No.],AR_725[[#This Row],[tsmc PO '#]],BB___HK___AMHS__Others[Status],"&lt;&gt;Rejected",BB___HK___AMHS__Others[YearMonth],"2024-07")</f>
        <v>0</v>
      </c>
      <c r="CQ9" s="34">
        <f>SUMIFS(BB___HK___AMHS__Others[AR Amount],BB___HK___AMHS__Others[PO No.],AR_725[[#This Row],[tsmc PO '#]],BB___HK___AMHS__Others[Status],"&lt;&gt;Rejected",BB___HK___AMHS__Others[YearMonth],"2024-08")</f>
        <v>35525</v>
      </c>
      <c r="CR9" s="44">
        <f>SUMIFS(BB___HK___AMHS__Others[Tax],BB___HK___AMHS__Others[PO No.],AR_725[[#This Row],[tsmc PO '#]],BB___HK___AMHS__Others[Status],"&lt;&gt;Rejected",BB___HK___AMHS__Others[YearMonth],"2024-08")</f>
        <v>0</v>
      </c>
      <c r="CS9" s="62">
        <f>SUMIFS(BB___HK___AMHS__Others[AR Amount],BB___HK___AMHS__Others[PO No.],AR_725[[#This Row],[tsmc PO '#]],BB___HK___AMHS__Others[Status],"&lt;&gt;Rejected",BB___HK___AMHS__Others[YearMonth],"2024-09")</f>
        <v>0</v>
      </c>
      <c r="CT9" s="601">
        <f>SUMIFS(BB___HK___AMHS__Others[Tax],BB___HK___AMHS__Others[PO No.],AR_725[[#This Row],[tsmc PO '#]],BB___HK___AMHS__Others[Status],"&lt;&gt;Rejected",BB___HK___AMHS__Others[YearMonth],"2024-09")</f>
        <v>0</v>
      </c>
    </row>
    <row r="10" spans="1:98" ht="14.1" hidden="1">
      <c r="A10" s="30" t="s">
        <v>9</v>
      </c>
      <c r="B10" s="30" t="s">
        <v>2051</v>
      </c>
      <c r="D10" s="50" t="s">
        <v>1759</v>
      </c>
      <c r="E10" s="35" t="s">
        <v>2067</v>
      </c>
      <c r="F10" s="452" t="s">
        <v>2067</v>
      </c>
      <c r="G10" s="289" t="s">
        <v>312</v>
      </c>
      <c r="H10" s="36">
        <v>4503398624</v>
      </c>
      <c r="I10" s="30" t="s">
        <v>113</v>
      </c>
      <c r="J10" s="30" t="s">
        <v>112</v>
      </c>
      <c r="K10" s="37">
        <v>5723522</v>
      </c>
      <c r="L10" s="30" t="s">
        <v>2062</v>
      </c>
      <c r="M10" s="86">
        <v>44440</v>
      </c>
      <c r="N10" s="87" t="s">
        <v>2063</v>
      </c>
      <c r="O10" s="88" t="s">
        <v>2056</v>
      </c>
      <c r="P1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5723522</v>
      </c>
      <c r="Q1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5432755</v>
      </c>
      <c r="R1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5723522</v>
      </c>
      <c r="S10" s="72">
        <f>IF(AR_725[[#This Row],[PO Amount]]=0,1,AR_725[[#This Row],[Total AR (Sent)]]/AR_725[[#This Row],[PO Amount]])</f>
        <v>1</v>
      </c>
      <c r="T10" s="45">
        <f>AR_725[[#This Row],[PO Amount]]-AR_725[[#This Row],[Total AR (Sent)]]</f>
        <v>0</v>
      </c>
      <c r="U10" s="51"/>
      <c r="V10" s="51"/>
      <c r="W10" s="46">
        <v>0</v>
      </c>
      <c r="X10" s="46"/>
      <c r="Y10" s="46">
        <v>448439</v>
      </c>
      <c r="Z10" s="46"/>
      <c r="AA10" s="46">
        <v>872546</v>
      </c>
      <c r="AB10" s="46"/>
      <c r="AC10" s="41">
        <v>506260</v>
      </c>
      <c r="AD10" s="41"/>
      <c r="AE10" s="46"/>
      <c r="AF10" s="46"/>
      <c r="AG10" s="41">
        <v>1933308</v>
      </c>
      <c r="AH10" s="46"/>
      <c r="AI10" s="41"/>
      <c r="AJ10" s="34"/>
      <c r="AK10" s="41">
        <v>1363400</v>
      </c>
      <c r="AL10" s="34"/>
      <c r="AM10" s="41">
        <v>308802</v>
      </c>
      <c r="AN10" s="46"/>
      <c r="AO10" s="41"/>
      <c r="AP10" s="40"/>
      <c r="AQ10" s="41"/>
      <c r="AR10" s="41"/>
      <c r="AS10" s="34"/>
      <c r="AU10" s="34"/>
      <c r="AV10" s="34"/>
      <c r="AW10" s="34"/>
      <c r="AX10" s="34"/>
      <c r="AY10" s="34"/>
      <c r="AZ10" s="34"/>
      <c r="BA10" s="40"/>
      <c r="BB10" s="34"/>
      <c r="BC10" s="41"/>
      <c r="BD10" s="41"/>
      <c r="BE10" s="40" t="s">
        <v>2068</v>
      </c>
      <c r="BF10" s="34"/>
      <c r="BG10" s="40"/>
      <c r="BH10" s="34"/>
      <c r="BI10" s="34"/>
      <c r="BJ10" s="34"/>
      <c r="BK10" s="34"/>
      <c r="BL10" s="34"/>
      <c r="BM10" s="34"/>
      <c r="BN10" s="34"/>
      <c r="BO10" s="40"/>
      <c r="BP10" s="34"/>
      <c r="BQ10" s="40"/>
      <c r="BR10" s="40"/>
      <c r="BS10" s="40"/>
      <c r="BT10" s="40"/>
      <c r="BU10" s="40"/>
      <c r="BV10" s="40"/>
      <c r="BW10" s="40"/>
      <c r="BX10" s="34"/>
      <c r="BZ10" s="40"/>
      <c r="CA10" s="40"/>
      <c r="CB10" s="34"/>
      <c r="CC10" s="34"/>
      <c r="CD10" s="34"/>
      <c r="CE10" s="34"/>
      <c r="CF10" s="34"/>
      <c r="CG10" s="122"/>
      <c r="CI10" s="116">
        <v>290757</v>
      </c>
      <c r="CJ10" s="30"/>
      <c r="CK10" s="122">
        <v>10</v>
      </c>
      <c r="CL10" s="122">
        <v>0</v>
      </c>
      <c r="CM10" s="122">
        <v>0</v>
      </c>
      <c r="CN10" s="122">
        <v>0</v>
      </c>
      <c r="CO10" s="122">
        <f>SUMIFS(BB___HK___AMHS__Others[AR Amount],BB___HK___AMHS__Others[PO No.],AR_725[[#This Row],[tsmc PO '#]],BB___HK___AMHS__Others[Status],"&lt;&gt;Rejected",BB___HK___AMHS__Others[YearMonth],"2024-07")</f>
        <v>0</v>
      </c>
      <c r="CP10" s="122">
        <f>SUMIFS(BB___HK___AMHS__Others[Tax],BB___HK___AMHS__Others[PO No.],AR_725[[#This Row],[tsmc PO '#]],BB___HK___AMHS__Others[Status],"&lt;&gt;Rejected",BB___HK___AMHS__Others[YearMonth],"2024-07")</f>
        <v>0</v>
      </c>
      <c r="CQ10" s="34">
        <f>SUMIFS(BB___HK___AMHS__Others[AR Amount],BB___HK___AMHS__Others[PO No.],AR_725[[#This Row],[tsmc PO '#]],BB___HK___AMHS__Others[Status],"&lt;&gt;Rejected",BB___HK___AMHS__Others[YearMonth],"2024-08")</f>
        <v>0</v>
      </c>
      <c r="CR10" s="44">
        <f>SUMIFS(BB___HK___AMHS__Others[Tax],BB___HK___AMHS__Others[PO No.],AR_725[[#This Row],[tsmc PO '#]],BB___HK___AMHS__Others[Status],"&lt;&gt;Rejected",BB___HK___AMHS__Others[YearMonth],"2024-08")</f>
        <v>0</v>
      </c>
      <c r="CS10" s="62">
        <f>SUMIFS(BB___HK___AMHS__Others[AR Amount],BB___HK___AMHS__Others[PO No.],AR_725[[#This Row],[tsmc PO '#]],BB___HK___AMHS__Others[Status],"&lt;&gt;Rejected",BB___HK___AMHS__Others[YearMonth],"2024-09")</f>
        <v>0</v>
      </c>
      <c r="CT10" s="601">
        <f>SUMIFS(BB___HK___AMHS__Others[Tax],BB___HK___AMHS__Others[PO No.],AR_725[[#This Row],[tsmc PO '#]],BB___HK___AMHS__Others[Status],"&lt;&gt;Rejected",BB___HK___AMHS__Others[YearMonth],"2024-09")</f>
        <v>0</v>
      </c>
    </row>
    <row r="11" spans="1:98" ht="14.1" hidden="1">
      <c r="A11" s="30" t="s">
        <v>9</v>
      </c>
      <c r="B11" s="30" t="s">
        <v>2051</v>
      </c>
      <c r="D11" s="50" t="s">
        <v>1759</v>
      </c>
      <c r="E11" s="35" t="s">
        <v>2067</v>
      </c>
      <c r="F11" s="35" t="s">
        <v>2067</v>
      </c>
      <c r="G11" s="32" t="s">
        <v>312</v>
      </c>
      <c r="H11" s="36">
        <v>4503423409</v>
      </c>
      <c r="I11" s="30" t="s">
        <v>113</v>
      </c>
      <c r="J11" s="30" t="s">
        <v>114</v>
      </c>
      <c r="K11" s="37">
        <v>776478</v>
      </c>
      <c r="L11" s="30" t="s">
        <v>2054</v>
      </c>
      <c r="M11" s="86">
        <v>44453</v>
      </c>
      <c r="N11" s="87" t="s">
        <v>2069</v>
      </c>
      <c r="O11" s="88" t="s">
        <v>2056</v>
      </c>
      <c r="P1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776478</v>
      </c>
      <c r="Q1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711409</v>
      </c>
      <c r="R1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776478</v>
      </c>
      <c r="S11" s="72">
        <f>IF(AR_725[[#This Row],[PO Amount]]=0,1,AR_725[[#This Row],[Total AR (Sent)]]/AR_725[[#This Row],[PO Amount]])</f>
        <v>1</v>
      </c>
      <c r="T11" s="45">
        <f>AR_725[[#This Row],[PO Amount]]-AR_725[[#This Row],[Total AR (Sent)]]</f>
        <v>0</v>
      </c>
      <c r="U11" s="51"/>
      <c r="V11" s="51"/>
      <c r="W11" s="46">
        <v>0</v>
      </c>
      <c r="X11" s="46"/>
      <c r="Y11" s="46">
        <v>42121</v>
      </c>
      <c r="Z11" s="46">
        <v>2355</v>
      </c>
      <c r="AA11" s="46">
        <v>69335</v>
      </c>
      <c r="AB11" s="46">
        <v>3876</v>
      </c>
      <c r="AC11" s="41">
        <v>220657</v>
      </c>
      <c r="AD11" s="41">
        <v>12335</v>
      </c>
      <c r="AE11" s="46"/>
      <c r="AF11" s="46"/>
      <c r="AG11" s="41">
        <v>67848</v>
      </c>
      <c r="AH11" s="46">
        <v>3793</v>
      </c>
      <c r="AI11" s="41"/>
      <c r="AJ11" s="34"/>
      <c r="AK11" s="41">
        <v>170593</v>
      </c>
      <c r="AL11" s="34">
        <v>9536</v>
      </c>
      <c r="AM11" s="41">
        <v>140855</v>
      </c>
      <c r="AN11" s="46">
        <v>7874</v>
      </c>
      <c r="AO11" s="40"/>
      <c r="AP11" s="40"/>
      <c r="AQ11" s="41"/>
      <c r="AR11" s="41"/>
      <c r="AS11" s="34"/>
      <c r="AU11" s="34"/>
      <c r="AV11" s="34"/>
      <c r="AW11" s="34"/>
      <c r="AX11" s="34"/>
      <c r="AY11" s="34"/>
      <c r="AZ11" s="34"/>
      <c r="BA11" s="40"/>
      <c r="BB11" s="34"/>
      <c r="BC11" s="41"/>
      <c r="BD11" s="41"/>
      <c r="BE11" s="40"/>
      <c r="BF11" s="34"/>
      <c r="BG11" s="40"/>
      <c r="BH11" s="34"/>
      <c r="BI11" s="34"/>
      <c r="BJ11" s="34"/>
      <c r="BK11" s="34"/>
      <c r="BL11" s="34"/>
      <c r="BM11" s="34"/>
      <c r="BN11" s="34"/>
      <c r="BO11" s="40"/>
      <c r="BP11" s="34"/>
      <c r="BQ11" s="40"/>
      <c r="BR11" s="40"/>
      <c r="BS11" s="40"/>
      <c r="BT11" s="40"/>
      <c r="BU11" s="40"/>
      <c r="BV11" s="40"/>
      <c r="BW11" s="40"/>
      <c r="BX11" s="34"/>
      <c r="BZ11" s="40"/>
      <c r="CA11" s="40"/>
      <c r="CB11" s="34"/>
      <c r="CC11" s="34"/>
      <c r="CD11" s="34"/>
      <c r="CE11" s="34"/>
      <c r="CF11" s="34"/>
      <c r="CG11" s="122"/>
      <c r="CI11" s="116">
        <v>65069</v>
      </c>
      <c r="CJ11" s="116">
        <v>3637</v>
      </c>
      <c r="CK11" s="122">
        <v>0</v>
      </c>
      <c r="CL11" s="122">
        <v>0</v>
      </c>
      <c r="CM11" s="122">
        <v>0</v>
      </c>
      <c r="CN11" s="122">
        <v>0</v>
      </c>
      <c r="CO11" s="122">
        <f>SUMIFS(BB___HK___AMHS__Others[AR Amount],BB___HK___AMHS__Others[PO No.],AR_725[[#This Row],[tsmc PO '#]],BB___HK___AMHS__Others[Status],"&lt;&gt;Rejected",BB___HK___AMHS__Others[YearMonth],"2024-07")</f>
        <v>0</v>
      </c>
      <c r="CP11" s="122">
        <f>SUMIFS(BB___HK___AMHS__Others[Tax],BB___HK___AMHS__Others[PO No.],AR_725[[#This Row],[tsmc PO '#]],BB___HK___AMHS__Others[Status],"&lt;&gt;Rejected",BB___HK___AMHS__Others[YearMonth],"2024-07")</f>
        <v>0</v>
      </c>
      <c r="CQ11" s="34">
        <f>SUMIFS(BB___HK___AMHS__Others[AR Amount],BB___HK___AMHS__Others[PO No.],AR_725[[#This Row],[tsmc PO '#]],BB___HK___AMHS__Others[Status],"&lt;&gt;Rejected",BB___HK___AMHS__Others[YearMonth],"2024-08")</f>
        <v>0</v>
      </c>
      <c r="CR11" s="44">
        <f>SUMIFS(BB___HK___AMHS__Others[Tax],BB___HK___AMHS__Others[PO No.],AR_725[[#This Row],[tsmc PO '#]],BB___HK___AMHS__Others[Status],"&lt;&gt;Rejected",BB___HK___AMHS__Others[YearMonth],"2024-08")</f>
        <v>0</v>
      </c>
      <c r="CS11" s="62">
        <f>SUMIFS(BB___HK___AMHS__Others[AR Amount],BB___HK___AMHS__Others[PO No.],AR_725[[#This Row],[tsmc PO '#]],BB___HK___AMHS__Others[Status],"&lt;&gt;Rejected",BB___HK___AMHS__Others[YearMonth],"2024-09")</f>
        <v>0</v>
      </c>
      <c r="CT11" s="601">
        <f>SUMIFS(BB___HK___AMHS__Others[Tax],BB___HK___AMHS__Others[PO No.],AR_725[[#This Row],[tsmc PO '#]],BB___HK___AMHS__Others[Status],"&lt;&gt;Rejected",BB___HK___AMHS__Others[YearMonth],"2024-09")</f>
        <v>0</v>
      </c>
    </row>
    <row r="12" spans="1:98" ht="14.1" hidden="1">
      <c r="A12" s="30" t="s">
        <v>9</v>
      </c>
      <c r="B12" s="30" t="s">
        <v>2051</v>
      </c>
      <c r="D12" s="50" t="s">
        <v>1706</v>
      </c>
      <c r="E12" s="603" t="s">
        <v>2070</v>
      </c>
      <c r="F12" s="48" t="s">
        <v>2071</v>
      </c>
      <c r="G12" s="35" t="s">
        <v>313</v>
      </c>
      <c r="H12" s="49">
        <v>4503428513</v>
      </c>
      <c r="I12" s="30" t="s">
        <v>118</v>
      </c>
      <c r="J12" s="30" t="s">
        <v>117</v>
      </c>
      <c r="K12" s="37">
        <v>38600000</v>
      </c>
      <c r="L12" s="30" t="s">
        <v>2062</v>
      </c>
      <c r="M12" s="86">
        <v>44455</v>
      </c>
      <c r="N12" s="87" t="s">
        <v>2063</v>
      </c>
      <c r="O12" s="88" t="s">
        <v>2072</v>
      </c>
      <c r="P1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27085687</v>
      </c>
      <c r="Q1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17590353</v>
      </c>
      <c r="R1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27085687</v>
      </c>
      <c r="S12" s="72">
        <f>IF(AR_725[[#This Row],[PO Amount]]=0,1,AR_725[[#This Row],[Total AR (Sent)]]/AR_725[[#This Row],[PO Amount]])</f>
        <v>0.70170173575129535</v>
      </c>
      <c r="T12" s="45">
        <f>AR_725[[#This Row],[PO Amount]]-AR_725[[#This Row],[Total AR (Sent)]]</f>
        <v>11514313</v>
      </c>
      <c r="U12" s="51"/>
      <c r="V12" s="51"/>
      <c r="W12" s="46">
        <v>0</v>
      </c>
      <c r="X12" s="46"/>
      <c r="Y12" s="46"/>
      <c r="Z12" s="46"/>
      <c r="AA12" s="46">
        <v>2842182</v>
      </c>
      <c r="AB12" s="46"/>
      <c r="AC12" s="41">
        <v>615582</v>
      </c>
      <c r="AD12" s="41"/>
      <c r="AE12" s="46"/>
      <c r="AF12" s="46"/>
      <c r="AG12" s="41"/>
      <c r="AH12" s="46"/>
      <c r="AI12" s="41"/>
      <c r="AJ12" s="34"/>
      <c r="AK12" s="41"/>
      <c r="AL12" s="34"/>
      <c r="AM12" s="41">
        <v>1814673</v>
      </c>
      <c r="AN12" s="46"/>
      <c r="AO12" s="41"/>
      <c r="AP12" s="40"/>
      <c r="AQ12" s="41">
        <f>317556.960901095-317556.960901095</f>
        <v>0</v>
      </c>
      <c r="AR12" s="41"/>
      <c r="AS12" s="52">
        <f>840831.034083552-653834.034083552</f>
        <v>186997</v>
      </c>
      <c r="AU12" s="52">
        <f>1651832.77312696-1222500.77312696</f>
        <v>429332</v>
      </c>
      <c r="AV12" s="34"/>
      <c r="AW12" s="52">
        <f>2244423.63431722-2151467.63431722</f>
        <v>92956</v>
      </c>
      <c r="AX12" s="34"/>
      <c r="AY12" s="53">
        <v>368183</v>
      </c>
      <c r="AZ12" s="34"/>
      <c r="BA12" s="47">
        <f>3896576.31230413-2935014.31230413</f>
        <v>961562</v>
      </c>
      <c r="BB12" s="34"/>
      <c r="BC12" s="42">
        <f>4167086.19458128-4167086.19458128+448503</f>
        <v>448503</v>
      </c>
      <c r="BD12" s="41"/>
      <c r="BE12" s="47">
        <f>4389898.37344585-3646094.37344585</f>
        <v>743804</v>
      </c>
      <c r="BF12" s="34"/>
      <c r="BG12" s="47">
        <f>3485834.44812416-1748171.44812416</f>
        <v>1737663</v>
      </c>
      <c r="BH12" s="34"/>
      <c r="BI12" s="42">
        <f>3151807.08011635-1694027.08011635</f>
        <v>1457780.0000000002</v>
      </c>
      <c r="BJ12" s="34"/>
      <c r="BK12" s="42">
        <f>2624068.83629543-1418135.83629543</f>
        <v>1205933</v>
      </c>
      <c r="BL12" s="34"/>
      <c r="BM12" s="42">
        <f>587711.910033867-112756.910033867</f>
        <v>474955</v>
      </c>
      <c r="BN12" s="34"/>
      <c r="BO12" s="47">
        <f>219698.979999997+85320.020000003</f>
        <v>305019</v>
      </c>
      <c r="BP12" s="34"/>
      <c r="BQ12" s="47">
        <v>668418</v>
      </c>
      <c r="BR12" s="40"/>
      <c r="BS12" s="47">
        <v>682143</v>
      </c>
      <c r="BT12" s="40"/>
      <c r="BU12" s="47">
        <v>832221</v>
      </c>
      <c r="BV12" s="40"/>
      <c r="BW12" s="47">
        <v>356993</v>
      </c>
      <c r="BX12" s="34"/>
      <c r="BY12" s="47">
        <v>274002</v>
      </c>
      <c r="BZ12" s="40"/>
      <c r="CA12" s="47">
        <v>594077</v>
      </c>
      <c r="CB12" s="34"/>
      <c r="CC12" s="34"/>
      <c r="CD12" s="34"/>
      <c r="CE12" s="42">
        <v>497375</v>
      </c>
      <c r="CF12" s="34"/>
      <c r="CG12" s="122"/>
      <c r="CI12" s="116">
        <v>254357</v>
      </c>
      <c r="CJ12" s="30"/>
      <c r="CK12" s="122">
        <v>3716767</v>
      </c>
      <c r="CL12" s="122">
        <v>0</v>
      </c>
      <c r="CM12" s="122">
        <v>3216752</v>
      </c>
      <c r="CN12" s="122">
        <v>0</v>
      </c>
      <c r="CO12" s="34">
        <f>SUMIFS(BB___HK___AMHS__Others[AR Amount],BB___HK___AMHS__Others[PO No.],AR_725[[#This Row],[tsmc PO '#]],BB___HK___AMHS__Others[Status],"&lt;&gt;Rejected",BB___HK___AMHS__Others[YearMonth],"2024-07")</f>
        <v>1138303</v>
      </c>
      <c r="CP12" s="122">
        <f>SUMIFS(BB___HK___AMHS__Others[Tax],BB___HK___AMHS__Others[PO No.],AR_725[[#This Row],[tsmc PO '#]],BB___HK___AMHS__Others[Status],"&lt;&gt;Rejected",BB___HK___AMHS__Others[YearMonth],"2024-07")</f>
        <v>0</v>
      </c>
      <c r="CQ12" s="34">
        <f>SUMIFS(BB___HK___AMHS__Others[AR Amount],BB___HK___AMHS__Others[PO No.],AR_725[[#This Row],[tsmc PO '#]],BB___HK___AMHS__Others[Status],"&lt;&gt;Rejected",BB___HK___AMHS__Others[YearMonth],"2024-08")</f>
        <v>1169155</v>
      </c>
      <c r="CR12" s="44">
        <f>SUMIFS(BB___HK___AMHS__Others[Tax],BB___HK___AMHS__Others[PO No.],AR_725[[#This Row],[tsmc PO '#]],BB___HK___AMHS__Others[Status],"&lt;&gt;Rejected",BB___HK___AMHS__Others[YearMonth],"2024-08")</f>
        <v>0</v>
      </c>
      <c r="CS12" s="62">
        <f>SUMIFS(BB___HK___AMHS__Others[AR Amount],BB___HK___AMHS__Others[PO No.],AR_725[[#This Row],[tsmc PO '#]],BB___HK___AMHS__Others[Status],"&lt;&gt;Rejected",BB___HK___AMHS__Others[YearMonth],"2024-09")</f>
        <v>0</v>
      </c>
      <c r="CT12" s="601">
        <f>SUMIFS(BB___HK___AMHS__Others[Tax],BB___HK___AMHS__Others[PO No.],AR_725[[#This Row],[tsmc PO '#]],BB___HK___AMHS__Others[Status],"&lt;&gt;Rejected",BB___HK___AMHS__Others[YearMonth],"2024-09")</f>
        <v>0</v>
      </c>
    </row>
    <row r="13" spans="1:98" ht="14.1">
      <c r="A13" s="30" t="s">
        <v>9</v>
      </c>
      <c r="B13" s="30" t="s">
        <v>2051</v>
      </c>
      <c r="D13" s="50" t="s">
        <v>1759</v>
      </c>
      <c r="E13" s="50" t="s">
        <v>2065</v>
      </c>
      <c r="F13" s="35" t="s">
        <v>2073</v>
      </c>
      <c r="G13" s="288" t="s">
        <v>312</v>
      </c>
      <c r="H13" s="36">
        <v>4503432118</v>
      </c>
      <c r="I13" s="30" t="s">
        <v>120</v>
      </c>
      <c r="J13" s="30" t="s">
        <v>119</v>
      </c>
      <c r="K13" s="55">
        <v>148422680</v>
      </c>
      <c r="L13" s="30" t="s">
        <v>2062</v>
      </c>
      <c r="M13" s="86">
        <v>44456</v>
      </c>
      <c r="N13" s="87" t="s">
        <v>2063</v>
      </c>
      <c r="O13" s="88" t="s">
        <v>2056</v>
      </c>
      <c r="P1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133123705.53</v>
      </c>
      <c r="Q1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108160436.72</v>
      </c>
      <c r="R1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130547468.38</v>
      </c>
      <c r="S13" s="72">
        <f>IF(AR_725[[#This Row],[PO Amount]]=0,1,AR_725[[#This Row],[Total AR (Sent)]]/AR_725[[#This Row],[PO Amount]])</f>
        <v>0.89692293340882945</v>
      </c>
      <c r="T13" s="39">
        <f>AR_725[[#This Row],[PO Amount]]-AR_725[[#This Row],[Total AR (Sent)]]</f>
        <v>15298974.469999999</v>
      </c>
      <c r="U13" s="51"/>
      <c r="V13" s="51"/>
      <c r="W13" s="41">
        <v>0</v>
      </c>
      <c r="X13" s="41"/>
      <c r="Y13" s="41"/>
      <c r="Z13" s="41"/>
      <c r="AA13" s="41">
        <v>5659407.8700000001</v>
      </c>
      <c r="AB13" s="41"/>
      <c r="AC13" s="41">
        <v>3446491.85</v>
      </c>
      <c r="AD13" s="41"/>
      <c r="AE13" s="41">
        <v>2546942</v>
      </c>
      <c r="AF13" s="41"/>
      <c r="AG13" s="41"/>
      <c r="AH13" s="41"/>
      <c r="AI13" s="291">
        <v>3745119</v>
      </c>
      <c r="AJ13" s="131"/>
      <c r="AK13" s="291">
        <v>429850</v>
      </c>
      <c r="AL13" s="34"/>
      <c r="AM13" s="41">
        <v>3061109</v>
      </c>
      <c r="AN13" s="41"/>
      <c r="AO13" s="41">
        <v>1239891</v>
      </c>
      <c r="AP13" s="34"/>
      <c r="AQ13" s="41">
        <f>5065991.92057916-5065991.92057916+7300329</f>
        <v>7300329</v>
      </c>
      <c r="AR13" s="41"/>
      <c r="AS13" s="42">
        <f>12235945.5079189-10624754.5079189</f>
        <v>1611191</v>
      </c>
      <c r="AU13" s="42">
        <f>11997239.4082418-11074910.4082418</f>
        <v>922329</v>
      </c>
      <c r="AV13" s="41"/>
      <c r="AW13" s="52">
        <f>15257321.9568587-7058057.9568587</f>
        <v>8199264</v>
      </c>
      <c r="AX13" s="34"/>
      <c r="AY13" s="53">
        <f>15428086.8831474-8714908.8831474</f>
        <v>6713178</v>
      </c>
      <c r="AZ13" s="34"/>
      <c r="BA13" s="42">
        <f>14722050.4863527-5492943.4863527</f>
        <v>9229107</v>
      </c>
      <c r="BB13" s="34"/>
      <c r="BC13" s="42">
        <f>5070085.38937102-5070085.38937102+2943530</f>
        <v>2943530</v>
      </c>
      <c r="BD13" s="41"/>
      <c r="BE13" s="42">
        <f>6490903.50950604+2821473.49049396</f>
        <v>9312377</v>
      </c>
      <c r="BF13" s="34"/>
      <c r="BG13" s="42">
        <f>6944709.84320263+3014732.15679737</f>
        <v>9959442</v>
      </c>
      <c r="BH13" s="34"/>
      <c r="BI13" s="42">
        <f>7571555.22553448-3299511.22553448</f>
        <v>4272044</v>
      </c>
      <c r="BJ13" s="34"/>
      <c r="BK13" s="42">
        <f>8850673.09613385-5440157.09613385</f>
        <v>3410516.0000000009</v>
      </c>
      <c r="BL13" s="34"/>
      <c r="BM13" s="42">
        <v>3130489</v>
      </c>
      <c r="BN13" s="34"/>
      <c r="BO13" s="42">
        <f>7421134-4146898</f>
        <v>3274236</v>
      </c>
      <c r="BP13" s="34"/>
      <c r="BQ13" s="42">
        <v>3191079</v>
      </c>
      <c r="BR13" s="40"/>
      <c r="BS13" s="42">
        <v>2642440</v>
      </c>
      <c r="BT13" s="40"/>
      <c r="BU13" s="42">
        <v>2532686</v>
      </c>
      <c r="BV13" s="40"/>
      <c r="BW13" s="42">
        <v>2117488</v>
      </c>
      <c r="BX13" s="34"/>
      <c r="BY13" s="42">
        <v>2076652</v>
      </c>
      <c r="BZ13" s="40"/>
      <c r="CA13" s="42">
        <v>1879030</v>
      </c>
      <c r="CB13" s="34"/>
      <c r="CC13" s="42">
        <v>1296094</v>
      </c>
      <c r="CD13" s="34"/>
      <c r="CE13" s="42">
        <v>1385684</v>
      </c>
      <c r="CF13" s="34"/>
      <c r="CG13" s="123">
        <v>632441</v>
      </c>
      <c r="CI13" s="116">
        <v>3866171</v>
      </c>
      <c r="CJ13" s="30"/>
      <c r="CK13" s="122">
        <v>10560920</v>
      </c>
      <c r="CL13" s="122">
        <v>0</v>
      </c>
      <c r="CM13" s="122">
        <v>4315186</v>
      </c>
      <c r="CN13" s="122">
        <v>0</v>
      </c>
      <c r="CO13" s="122">
        <f>SUMIFS(BB___HK___AMHS__Others[AR Amount],BB___HK___AMHS__Others[PO No.],AR_725[[#This Row],[tsmc PO '#]],BB___HK___AMHS__Others[Status],"&lt;&gt;Rejected",BB___HK___AMHS__Others[YearMonth],"2024-07")</f>
        <v>962959.46</v>
      </c>
      <c r="CP13" s="122">
        <f>SUMIFS(BB___HK___AMHS__Others[Tax],BB___HK___AMHS__Others[PO No.],AR_725[[#This Row],[tsmc PO '#]],BB___HK___AMHS__Others[Status],"&lt;&gt;Rejected",BB___HK___AMHS__Others[YearMonth],"2024-07")</f>
        <v>0</v>
      </c>
      <c r="CQ13" s="34">
        <f>SUMIFS(BB___HK___AMHS__Others[AR Amount],BB___HK___AMHS__Others[PO No.],AR_725[[#This Row],[tsmc PO '#]],BB___HK___AMHS__Others[Status],"&lt;&gt;Rejected",BB___HK___AMHS__Others[YearMonth],"2024-08")</f>
        <v>2681795.2000000002</v>
      </c>
      <c r="CR13" s="44">
        <f>SUMIFS(BB___HK___AMHS__Others[Tax],BB___HK___AMHS__Others[PO No.],AR_725[[#This Row],[tsmc PO '#]],BB___HK___AMHS__Others[Status],"&lt;&gt;Rejected",BB___HK___AMHS__Others[YearMonth],"2024-08")</f>
        <v>0</v>
      </c>
      <c r="CS13" s="62">
        <f>SUMIFS(BB___HK___AMHS__Others[AR Amount],BB___HK___AMHS__Others[PO No.],AR_725[[#This Row],[tsmc PO '#]],BB___HK___AMHS__Others[Status],"&lt;&gt;Rejected",BB___HK___AMHS__Others[YearMonth],"2024-09")</f>
        <v>2576237.15</v>
      </c>
      <c r="CT13" s="601">
        <f>SUMIFS(BB___HK___AMHS__Others[Tax],BB___HK___AMHS__Others[PO No.],AR_725[[#This Row],[tsmc PO '#]],BB___HK___AMHS__Others[Status],"&lt;&gt;Rejected",BB___HK___AMHS__Others[YearMonth],"2024-09")</f>
        <v>0</v>
      </c>
    </row>
    <row r="14" spans="1:98" ht="13.5" hidden="1" customHeight="1">
      <c r="A14" s="30" t="s">
        <v>9</v>
      </c>
      <c r="B14" s="30" t="s">
        <v>2051</v>
      </c>
      <c r="D14" s="50" t="s">
        <v>1759</v>
      </c>
      <c r="E14" s="50" t="s">
        <v>2065</v>
      </c>
      <c r="F14" s="48" t="s">
        <v>2074</v>
      </c>
      <c r="G14" s="288" t="s">
        <v>312</v>
      </c>
      <c r="H14" s="50">
        <v>4503432152</v>
      </c>
      <c r="I14" s="30" t="s">
        <v>122</v>
      </c>
      <c r="J14" s="30" t="s">
        <v>121</v>
      </c>
      <c r="K14" s="55">
        <v>7309837</v>
      </c>
      <c r="L14" s="30" t="s">
        <v>2062</v>
      </c>
      <c r="M14" s="86">
        <v>44456</v>
      </c>
      <c r="N14" s="87" t="s">
        <v>2063</v>
      </c>
      <c r="O14" s="30" t="s">
        <v>2064</v>
      </c>
      <c r="P1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6780900</v>
      </c>
      <c r="Q1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6681569</v>
      </c>
      <c r="R1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6780900</v>
      </c>
      <c r="S14" s="72">
        <f>IF(AR_725[[#This Row],[PO Amount]]=0,1,AR_725[[#This Row],[Total AR (Sent)]]/AR_725[[#This Row],[PO Amount]])</f>
        <v>0.9276403837732633</v>
      </c>
      <c r="T14" s="39">
        <f>AR_725[[#This Row],[PO Amount]]-AR_725[[#This Row],[Total AR (Sent)]]</f>
        <v>528937</v>
      </c>
      <c r="U14" s="40"/>
      <c r="V14" s="40"/>
      <c r="W14" s="41">
        <v>0</v>
      </c>
      <c r="X14" s="41"/>
      <c r="Y14" s="41"/>
      <c r="Z14" s="41"/>
      <c r="AA14" s="41">
        <v>72391</v>
      </c>
      <c r="AB14" s="41"/>
      <c r="AC14" s="41"/>
      <c r="AD14" s="41"/>
      <c r="AE14" s="41">
        <v>280642</v>
      </c>
      <c r="AF14" s="41"/>
      <c r="AG14" s="41"/>
      <c r="AH14" s="41"/>
      <c r="AI14" s="41">
        <v>290846</v>
      </c>
      <c r="AJ14" s="119"/>
      <c r="AK14" s="41"/>
      <c r="AL14" s="34"/>
      <c r="AM14" s="41"/>
      <c r="AN14" s="41"/>
      <c r="AO14" s="41"/>
      <c r="AP14" s="34"/>
      <c r="AQ14" s="41">
        <f>616854.202246127-616854.202246127</f>
        <v>0</v>
      </c>
      <c r="AR14" s="41"/>
      <c r="AS14" s="34">
        <f>858518.48249729-858518.48249729</f>
        <v>0</v>
      </c>
      <c r="AU14" s="52">
        <f>746333.480297787-187525.480297787</f>
        <v>558808</v>
      </c>
      <c r="AV14" s="34"/>
      <c r="AW14" s="52">
        <f>777781.717974181-453620.717974181</f>
        <v>324161.00000000006</v>
      </c>
      <c r="AX14" s="34"/>
      <c r="AY14" s="53">
        <f>821463.375539134-316194.375539134</f>
        <v>505269</v>
      </c>
      <c r="AZ14" s="34"/>
      <c r="BA14" s="42">
        <f>428386.129155838-224964.129155838</f>
        <v>203422</v>
      </c>
      <c r="BB14" s="34"/>
      <c r="BC14" s="42">
        <f>256200.261922297-256200.261922297+511978</f>
        <v>511978</v>
      </c>
      <c r="BD14" s="41"/>
      <c r="BE14" s="42">
        <f>176070.024555858+94197.975444142</f>
        <v>270268</v>
      </c>
      <c r="BF14" s="34"/>
      <c r="BG14" s="42">
        <f>42649.6064835676+30030.3935164324</f>
        <v>72680</v>
      </c>
      <c r="BH14" s="34"/>
      <c r="BI14" s="42">
        <f>212654+2342</f>
        <v>214996</v>
      </c>
      <c r="BJ14" s="34"/>
      <c r="BK14" s="42">
        <v>85984</v>
      </c>
      <c r="BL14" s="34"/>
      <c r="BM14" s="42">
        <f>461540.023054883-456665.023054883</f>
        <v>4875</v>
      </c>
      <c r="BN14" s="41"/>
      <c r="BO14" s="42">
        <f>365491.850000001+669595.149999999</f>
        <v>1035087</v>
      </c>
      <c r="BP14" s="34"/>
      <c r="BQ14" s="42">
        <v>47716</v>
      </c>
      <c r="BR14" s="40"/>
      <c r="BS14" s="42">
        <v>1069415</v>
      </c>
      <c r="BT14" s="40"/>
      <c r="BU14" s="42">
        <v>83419</v>
      </c>
      <c r="BV14" s="40"/>
      <c r="BW14" s="42">
        <v>153210</v>
      </c>
      <c r="BX14" s="34"/>
      <c r="BY14" s="42">
        <v>156441</v>
      </c>
      <c r="BZ14" s="40"/>
      <c r="CA14" s="40"/>
      <c r="CB14" s="34"/>
      <c r="CC14" s="42">
        <v>311760</v>
      </c>
      <c r="CD14" s="34"/>
      <c r="CE14" s="42">
        <v>337419</v>
      </c>
      <c r="CF14" s="34"/>
      <c r="CG14" s="123">
        <v>90782</v>
      </c>
      <c r="CI14" s="122"/>
      <c r="CJ14" s="30"/>
      <c r="CK14" s="122">
        <v>99331</v>
      </c>
      <c r="CL14" s="122">
        <v>0</v>
      </c>
      <c r="CM14" s="122">
        <v>0</v>
      </c>
      <c r="CN14" s="122">
        <v>0</v>
      </c>
      <c r="CO14" s="122">
        <f>SUMIFS(BB___HK___AMHS__Others[AR Amount],BB___HK___AMHS__Others[PO No.],AR_725[[#This Row],[tsmc PO '#]],BB___HK___AMHS__Others[Status],"&lt;&gt;Rejected",BB___HK___AMHS__Others[YearMonth],"2024-07")</f>
        <v>0</v>
      </c>
      <c r="CP14" s="122">
        <f>SUMIFS(BB___HK___AMHS__Others[Tax],BB___HK___AMHS__Others[PO No.],AR_725[[#This Row],[tsmc PO '#]],BB___HK___AMHS__Others[Status],"&lt;&gt;Rejected",BB___HK___AMHS__Others[YearMonth],"2024-07")</f>
        <v>0</v>
      </c>
      <c r="CQ14" s="34">
        <f>SUMIFS(BB___HK___AMHS__Others[AR Amount],BB___HK___AMHS__Others[PO No.],AR_725[[#This Row],[tsmc PO '#]],BB___HK___AMHS__Others[Status],"&lt;&gt;Rejected",BB___HK___AMHS__Others[YearMonth],"2024-08")</f>
        <v>0</v>
      </c>
      <c r="CR14" s="44">
        <f>SUMIFS(BB___HK___AMHS__Others[Tax],BB___HK___AMHS__Others[PO No.],AR_725[[#This Row],[tsmc PO '#]],BB___HK___AMHS__Others[Status],"&lt;&gt;Rejected",BB___HK___AMHS__Others[YearMonth],"2024-08")</f>
        <v>0</v>
      </c>
      <c r="CS14" s="62">
        <f>SUMIFS(BB___HK___AMHS__Others[AR Amount],BB___HK___AMHS__Others[PO No.],AR_725[[#This Row],[tsmc PO '#]],BB___HK___AMHS__Others[Status],"&lt;&gt;Rejected",BB___HK___AMHS__Others[YearMonth],"2024-09")</f>
        <v>0</v>
      </c>
      <c r="CT14" s="601">
        <f>SUMIFS(BB___HK___AMHS__Others[Tax],BB___HK___AMHS__Others[PO No.],AR_725[[#This Row],[tsmc PO '#]],BB___HK___AMHS__Others[Status],"&lt;&gt;Rejected",BB___HK___AMHS__Others[YearMonth],"2024-09")</f>
        <v>0</v>
      </c>
    </row>
    <row r="15" spans="1:98" ht="14.1">
      <c r="A15" s="30" t="s">
        <v>9</v>
      </c>
      <c r="B15" s="30" t="s">
        <v>2051</v>
      </c>
      <c r="D15" s="50" t="s">
        <v>1546</v>
      </c>
      <c r="E15" s="48" t="s">
        <v>2052</v>
      </c>
      <c r="F15" s="35" t="s">
        <v>2053</v>
      </c>
      <c r="G15" s="35" t="s">
        <v>314</v>
      </c>
      <c r="H15" s="36">
        <v>4503441102</v>
      </c>
      <c r="I15" s="30" t="s">
        <v>141</v>
      </c>
      <c r="J15" s="30" t="s">
        <v>140</v>
      </c>
      <c r="K15" s="41">
        <v>12680000</v>
      </c>
      <c r="L15" s="30" t="s">
        <v>2054</v>
      </c>
      <c r="M15" s="86">
        <v>44463</v>
      </c>
      <c r="N15" s="87" t="s">
        <v>2075</v>
      </c>
      <c r="O15" s="30" t="s">
        <v>2064</v>
      </c>
      <c r="P1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10255565</v>
      </c>
      <c r="Q1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8948545</v>
      </c>
      <c r="R1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10190780</v>
      </c>
      <c r="S15" s="72">
        <f>IF(AR_725[[#This Row],[PO Amount]]=0,1,AR_725[[#This Row],[Total AR (Sent)]]/AR_725[[#This Row],[PO Amount]])</f>
        <v>0.80879850157728705</v>
      </c>
      <c r="T15" s="39">
        <f>AR_725[[#This Row],[PO Amount]]-AR_725[[#This Row],[Total AR (Sent)]]</f>
        <v>2424435</v>
      </c>
      <c r="U15" s="40"/>
      <c r="V15" s="40"/>
      <c r="W15" s="41">
        <v>0</v>
      </c>
      <c r="X15" s="41"/>
      <c r="Y15" s="41"/>
      <c r="Z15" s="41"/>
      <c r="AA15" s="54"/>
      <c r="AB15" s="54"/>
      <c r="AC15" s="55">
        <v>1479412</v>
      </c>
      <c r="AD15" s="55">
        <v>82699</v>
      </c>
      <c r="AE15" s="41"/>
      <c r="AF15" s="41"/>
      <c r="AG15" s="41"/>
      <c r="AH15" s="41"/>
      <c r="AI15" s="34"/>
      <c r="AJ15" s="56"/>
      <c r="AK15" s="41"/>
      <c r="AL15" s="34"/>
      <c r="AM15" s="34"/>
      <c r="AN15" s="34"/>
      <c r="AO15" s="41">
        <v>588386</v>
      </c>
      <c r="AP15" s="34">
        <f>AR_725[[#This Row],[May-22 Draft Plan]]*65%*8.6%</f>
        <v>32890.777399999999</v>
      </c>
      <c r="AQ15" s="41">
        <v>283308</v>
      </c>
      <c r="AR15" s="41">
        <f>ROUND(AR_725[[#This Row],[Jun-22 Draft Plan]]*65%*8.6%,0)</f>
        <v>15837</v>
      </c>
      <c r="AS15" s="42">
        <v>108202</v>
      </c>
      <c r="AT15" s="42">
        <v>6048</v>
      </c>
      <c r="AU15" s="52"/>
      <c r="AV15" s="34"/>
      <c r="AW15" s="42">
        <v>143300</v>
      </c>
      <c r="AX15" s="42">
        <v>8010</v>
      </c>
      <c r="AY15" s="42">
        <v>101643</v>
      </c>
      <c r="AZ15" s="42">
        <v>5682</v>
      </c>
      <c r="BA15" s="42">
        <v>108039</v>
      </c>
      <c r="BB15" s="42">
        <v>6039</v>
      </c>
      <c r="BC15" s="41"/>
      <c r="BD15" s="41"/>
      <c r="BE15" s="42">
        <v>952851</v>
      </c>
      <c r="BF15" s="42">
        <v>53264</v>
      </c>
      <c r="BG15" s="42">
        <v>1208945</v>
      </c>
      <c r="BH15" s="42">
        <v>67580</v>
      </c>
      <c r="BI15" s="42">
        <v>764496</v>
      </c>
      <c r="BJ15" s="42">
        <v>42735</v>
      </c>
      <c r="BK15" s="42">
        <v>729037</v>
      </c>
      <c r="BL15" s="42">
        <v>40753</v>
      </c>
      <c r="BM15" s="42">
        <v>623811</v>
      </c>
      <c r="BN15" s="42">
        <v>34871</v>
      </c>
      <c r="BO15" s="42">
        <v>140984</v>
      </c>
      <c r="BP15" s="42">
        <v>7881</v>
      </c>
      <c r="BQ15" s="42">
        <v>220920</v>
      </c>
      <c r="BR15" s="47">
        <v>12349</v>
      </c>
      <c r="BS15" s="42">
        <v>49185</v>
      </c>
      <c r="BT15" s="42">
        <v>2749</v>
      </c>
      <c r="BU15" s="42">
        <v>402028</v>
      </c>
      <c r="BV15" s="42">
        <v>22473</v>
      </c>
      <c r="BW15" s="42">
        <v>319150</v>
      </c>
      <c r="BX15" s="42">
        <v>17840</v>
      </c>
      <c r="BY15" s="42">
        <v>225390</v>
      </c>
      <c r="BZ15" s="42">
        <v>12599</v>
      </c>
      <c r="CA15" s="40"/>
      <c r="CB15" s="34"/>
      <c r="CC15" s="42">
        <v>281975</v>
      </c>
      <c r="CD15" s="42">
        <v>15762</v>
      </c>
      <c r="CE15" s="42">
        <v>108839</v>
      </c>
      <c r="CF15" s="42">
        <v>6084</v>
      </c>
      <c r="CG15" s="123">
        <v>108644</v>
      </c>
      <c r="CH15" s="324">
        <v>6073</v>
      </c>
      <c r="CI15" s="116">
        <v>181902</v>
      </c>
      <c r="CJ15" s="330">
        <v>10168</v>
      </c>
      <c r="CK15" s="122">
        <v>387660</v>
      </c>
      <c r="CL15" s="122">
        <v>21670</v>
      </c>
      <c r="CM15" s="122">
        <v>183655</v>
      </c>
      <c r="CN15" s="122">
        <v>10266</v>
      </c>
      <c r="CO15" s="34">
        <f>SUMIFS(BB___HK___AMHS__Others[AR Amount],BB___HK___AMHS__Others[PO No.],AR_725[[#This Row],[tsmc PO '#]],BB___HK___AMHS__Others[Status],"&lt;&gt;Rejected",BB___HK___AMHS__Others[YearMonth],"2024-07")</f>
        <v>178362</v>
      </c>
      <c r="CP15" s="122">
        <f>SUMIFS(BB___HK___AMHS__Others[Tax],BB___HK___AMHS__Others[PO No.],AR_725[[#This Row],[tsmc PO '#]],BB___HK___AMHS__Others[Status],"&lt;&gt;Rejected",BB___HK___AMHS__Others[YearMonth],"2024-07")</f>
        <v>9970</v>
      </c>
      <c r="CQ15" s="34">
        <f>SUMIFS(BB___HK___AMHS__Others[AR Amount],BB___HK___AMHS__Others[PO No.],AR_725[[#This Row],[tsmc PO '#]],BB___HK___AMHS__Others[Status],"&lt;&gt;Rejected",BB___HK___AMHS__Others[YearMonth],"2024-08")</f>
        <v>310656</v>
      </c>
      <c r="CR15" s="44">
        <f>SUMIFS(BB___HK___AMHS__Others[Tax],BB___HK___AMHS__Others[PO No.],AR_725[[#This Row],[tsmc PO '#]],BB___HK___AMHS__Others[Status],"&lt;&gt;Rejected",BB___HK___AMHS__Others[YearMonth],"2024-08")</f>
        <v>17366</v>
      </c>
      <c r="CS15" s="62">
        <f>SUMIFS(BB___HK___AMHS__Others[AR Amount],BB___HK___AMHS__Others[PO No.],AR_725[[#This Row],[tsmc PO '#]],BB___HK___AMHS__Others[Status],"&lt;&gt;Rejected",BB___HK___AMHS__Others[YearMonth],"2024-09")</f>
        <v>64785</v>
      </c>
      <c r="CT15" s="601">
        <f>SUMIFS(BB___HK___AMHS__Others[Tax],BB___HK___AMHS__Others[PO No.],AR_725[[#This Row],[tsmc PO '#]],BB___HK___AMHS__Others[Status],"&lt;&gt;Rejected",BB___HK___AMHS__Others[YearMonth],"2024-09")</f>
        <v>3622</v>
      </c>
    </row>
    <row r="16" spans="1:98" ht="14.1" hidden="1" customHeight="1">
      <c r="A16" s="30" t="s">
        <v>9</v>
      </c>
      <c r="B16" s="30" t="s">
        <v>2051</v>
      </c>
      <c r="D16" s="50" t="s">
        <v>1546</v>
      </c>
      <c r="E16" s="604" t="s">
        <v>2052</v>
      </c>
      <c r="F16" s="35" t="s">
        <v>2053</v>
      </c>
      <c r="G16" s="35" t="s">
        <v>314</v>
      </c>
      <c r="H16" s="36">
        <v>4503441308</v>
      </c>
      <c r="I16" s="30" t="s">
        <v>143</v>
      </c>
      <c r="J16" s="30" t="s">
        <v>142</v>
      </c>
      <c r="K16" s="46">
        <v>5792291</v>
      </c>
      <c r="L16" s="30" t="s">
        <v>2062</v>
      </c>
      <c r="M16" s="86">
        <v>44463</v>
      </c>
      <c r="N16" s="87" t="s">
        <v>2063</v>
      </c>
      <c r="O16" s="30" t="s">
        <v>2064</v>
      </c>
      <c r="P1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2551826</v>
      </c>
      <c r="Q1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2240327</v>
      </c>
      <c r="R1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2551826</v>
      </c>
      <c r="S16" s="72">
        <f>IF(AR_725[[#This Row],[PO Amount]]=0,1,AR_725[[#This Row],[Total AR (Sent)]]/AR_725[[#This Row],[PO Amount]])</f>
        <v>0.44055555910433369</v>
      </c>
      <c r="T16" s="45">
        <f>AR_725[[#This Row],[PO Amount]]-AR_725[[#This Row],[Total AR (Sent)]]</f>
        <v>3240465</v>
      </c>
      <c r="U16" s="40"/>
      <c r="V16" s="40"/>
      <c r="W16" s="46">
        <v>0</v>
      </c>
      <c r="X16" s="46"/>
      <c r="Y16" s="46"/>
      <c r="Z16" s="46"/>
      <c r="AA16" s="80"/>
      <c r="AB16" s="80"/>
      <c r="AC16" s="55">
        <v>825712</v>
      </c>
      <c r="AD16" s="55"/>
      <c r="AE16" s="46"/>
      <c r="AF16" s="46"/>
      <c r="AG16" s="41"/>
      <c r="AH16" s="46"/>
      <c r="AI16" s="34"/>
      <c r="AJ16" s="56"/>
      <c r="AK16" s="41">
        <v>344428</v>
      </c>
      <c r="AL16" s="34"/>
      <c r="AM16" s="34"/>
      <c r="AN16" s="40"/>
      <c r="AO16" s="41"/>
      <c r="AP16" s="40"/>
      <c r="AQ16" s="41">
        <v>399685</v>
      </c>
      <c r="AR16" s="41"/>
      <c r="AS16" s="34"/>
      <c r="AU16" s="34"/>
      <c r="AV16" s="34"/>
      <c r="AW16" s="34"/>
      <c r="AX16" s="34"/>
      <c r="AY16" s="34"/>
      <c r="AZ16" s="34"/>
      <c r="BA16" s="40"/>
      <c r="BB16" s="34"/>
      <c r="BC16" s="34"/>
      <c r="BD16" s="41"/>
      <c r="BE16" s="40"/>
      <c r="BF16" s="34"/>
      <c r="BG16" s="40"/>
      <c r="BH16" s="34"/>
      <c r="BI16" s="34"/>
      <c r="BJ16" s="34"/>
      <c r="BK16" s="34"/>
      <c r="BL16" s="34"/>
      <c r="BM16" s="42">
        <v>301844</v>
      </c>
      <c r="BN16" s="34"/>
      <c r="BO16" s="40"/>
      <c r="BP16" s="34"/>
      <c r="BQ16" s="40"/>
      <c r="BR16" s="40"/>
      <c r="BS16" s="40"/>
      <c r="BT16" s="40"/>
      <c r="BU16" s="40"/>
      <c r="BV16" s="40"/>
      <c r="BW16" s="40"/>
      <c r="BX16" s="34"/>
      <c r="BZ16" s="40"/>
      <c r="CA16" s="47">
        <v>368658</v>
      </c>
      <c r="CB16" s="34"/>
      <c r="CC16" s="34"/>
      <c r="CD16" s="34"/>
      <c r="CE16" s="34"/>
      <c r="CF16" s="34"/>
      <c r="CG16" s="122"/>
      <c r="CI16" s="116">
        <v>202144</v>
      </c>
      <c r="CJ16" s="30"/>
      <c r="CK16" s="122">
        <v>0</v>
      </c>
      <c r="CL16" s="122">
        <v>0</v>
      </c>
      <c r="CM16" s="122">
        <v>0</v>
      </c>
      <c r="CN16" s="122">
        <v>0</v>
      </c>
      <c r="CO16" s="122">
        <f>SUMIFS(BB___HK___AMHS__Others[AR Amount],BB___HK___AMHS__Others[PO No.],AR_725[[#This Row],[tsmc PO '#]],BB___HK___AMHS__Others[Status],"&lt;&gt;Rejected",BB___HK___AMHS__Others[YearMonth],"2024-07")</f>
        <v>109355</v>
      </c>
      <c r="CP16" s="122">
        <f>SUMIFS(BB___HK___AMHS__Others[Tax],BB___HK___AMHS__Others[PO No.],AR_725[[#This Row],[tsmc PO '#]],BB___HK___AMHS__Others[Status],"&lt;&gt;Rejected",BB___HK___AMHS__Others[YearMonth],"2024-07")</f>
        <v>0</v>
      </c>
      <c r="CQ16" s="34">
        <f>SUMIFS(BB___HK___AMHS__Others[AR Amount],BB___HK___AMHS__Others[PO No.],AR_725[[#This Row],[tsmc PO '#]],BB___HK___AMHS__Others[Status],"&lt;&gt;Rejected",BB___HK___AMHS__Others[YearMonth],"2024-08")</f>
        <v>0</v>
      </c>
      <c r="CR16" s="44">
        <f>SUMIFS(BB___HK___AMHS__Others[Tax],BB___HK___AMHS__Others[PO No.],AR_725[[#This Row],[tsmc PO '#]],BB___HK___AMHS__Others[Status],"&lt;&gt;Rejected",BB___HK___AMHS__Others[YearMonth],"2024-08")</f>
        <v>0</v>
      </c>
      <c r="CS16" s="62">
        <f>SUMIFS(BB___HK___AMHS__Others[AR Amount],BB___HK___AMHS__Others[PO No.],AR_725[[#This Row],[tsmc PO '#]],BB___HK___AMHS__Others[Status],"&lt;&gt;Rejected",BB___HK___AMHS__Others[YearMonth],"2024-09")</f>
        <v>0</v>
      </c>
      <c r="CT16" s="601">
        <f>SUMIFS(BB___HK___AMHS__Others[Tax],BB___HK___AMHS__Others[PO No.],AR_725[[#This Row],[tsmc PO '#]],BB___HK___AMHS__Others[Status],"&lt;&gt;Rejected",BB___HK___AMHS__Others[YearMonth],"2024-09")</f>
        <v>0</v>
      </c>
    </row>
    <row r="17" spans="1:98" ht="14.1" hidden="1">
      <c r="A17" s="30" t="s">
        <v>9</v>
      </c>
      <c r="B17" s="30" t="s">
        <v>2051</v>
      </c>
      <c r="D17" s="50" t="s">
        <v>1546</v>
      </c>
      <c r="E17" s="48" t="s">
        <v>2052</v>
      </c>
      <c r="F17" s="35" t="s">
        <v>2076</v>
      </c>
      <c r="G17" s="50" t="s">
        <v>1497</v>
      </c>
      <c r="H17" s="36">
        <v>4503448403</v>
      </c>
      <c r="I17" s="30" t="s">
        <v>125</v>
      </c>
      <c r="J17" s="30" t="s">
        <v>124</v>
      </c>
      <c r="K17" s="37">
        <v>18681999</v>
      </c>
      <c r="L17" s="30" t="s">
        <v>2062</v>
      </c>
      <c r="M17" s="86">
        <v>44468</v>
      </c>
      <c r="N17" s="87" t="s">
        <v>2063</v>
      </c>
      <c r="O17" s="30" t="s">
        <v>2064</v>
      </c>
      <c r="P1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17747899.492320001</v>
      </c>
      <c r="Q1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15500010.312320001</v>
      </c>
      <c r="R1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17747899.489999998</v>
      </c>
      <c r="S17" s="72">
        <f>IF(AR_725[[#This Row],[PO Amount]]=0,1,AR_725[[#This Row],[Total AR (Sent)]]/AR_725[[#This Row],[PO Amount]])</f>
        <v>0.95000002367626724</v>
      </c>
      <c r="T17" s="45">
        <f>AR_725[[#This Row],[PO Amount]]-AR_725[[#This Row],[Total AR (Sent)]]</f>
        <v>934099.50767999887</v>
      </c>
      <c r="U17" s="40"/>
      <c r="V17" s="40"/>
      <c r="W17" s="46">
        <v>0</v>
      </c>
      <c r="X17" s="46"/>
      <c r="Y17" s="46"/>
      <c r="Z17" s="46"/>
      <c r="AA17" s="46">
        <v>1366240</v>
      </c>
      <c r="AB17" s="46"/>
      <c r="AC17" s="41"/>
      <c r="AD17" s="41"/>
      <c r="AE17" s="46"/>
      <c r="AF17" s="46"/>
      <c r="AG17" s="41"/>
      <c r="AH17" s="46"/>
      <c r="AI17" s="34"/>
      <c r="AJ17" s="56"/>
      <c r="AK17" s="41"/>
      <c r="AL17" s="34"/>
      <c r="AM17" s="41"/>
      <c r="AN17" s="46"/>
      <c r="AO17" s="41"/>
      <c r="AP17" s="40"/>
      <c r="AQ17" s="41">
        <f>361451.388190141-361451.388190141</f>
        <v>0</v>
      </c>
      <c r="AR17" s="41"/>
      <c r="AS17" s="34">
        <f>524479-524479</f>
        <v>0</v>
      </c>
      <c r="AU17" s="52">
        <f>610156.8743368-272730.8743368</f>
        <v>337425.99999999994</v>
      </c>
      <c r="AV17" s="34"/>
      <c r="AW17" s="52">
        <v>359447</v>
      </c>
      <c r="AX17" s="34"/>
      <c r="AY17" s="53">
        <f>1897403.92271361-705331.92271361</f>
        <v>1192072</v>
      </c>
      <c r="AZ17" s="34"/>
      <c r="BA17" s="47">
        <f>1496441.39112548+977390.60887452</f>
        <v>2473832</v>
      </c>
      <c r="BB17" s="34"/>
      <c r="BC17" s="42">
        <f>4055025.26798844-4055025.26798844+1059498.11232</f>
        <v>1059498.1123200001</v>
      </c>
      <c r="BD17" s="41"/>
      <c r="BE17" s="47">
        <f>1043062.56801655+290048.56198345</f>
        <v>1333111.1300000001</v>
      </c>
      <c r="BF17" s="34"/>
      <c r="BG17" s="47">
        <f>1071972.868152+498631.261848</f>
        <v>1570604.13</v>
      </c>
      <c r="BH17" s="34"/>
      <c r="BI17" s="42">
        <f>1907963.71924366-670736.58924366</f>
        <v>1237227.1300000001</v>
      </c>
      <c r="BJ17" s="34"/>
      <c r="BK17" s="42">
        <f>2158604.1440104-962495.9640104</f>
        <v>1196108.18</v>
      </c>
      <c r="BL17" s="34"/>
      <c r="BM17" s="42">
        <v>596599.54</v>
      </c>
      <c r="BN17" s="34"/>
      <c r="BO17" s="47">
        <f>610627.817403003-372074.817403003</f>
        <v>238553</v>
      </c>
      <c r="BP17" s="34"/>
      <c r="BQ17" s="47">
        <v>31469</v>
      </c>
      <c r="BR17" s="40"/>
      <c r="BS17" s="40"/>
      <c r="BT17" s="40"/>
      <c r="BU17" s="40"/>
      <c r="BV17" s="40"/>
      <c r="BW17" s="40"/>
      <c r="BX17" s="34"/>
      <c r="BZ17" s="40"/>
      <c r="CA17" s="47">
        <v>1814716</v>
      </c>
      <c r="CB17" s="34"/>
      <c r="CC17" s="34"/>
      <c r="CD17" s="34"/>
      <c r="CE17" s="42">
        <v>693107.09</v>
      </c>
      <c r="CF17" s="34"/>
      <c r="CG17" s="122"/>
      <c r="CI17" s="122"/>
      <c r="CJ17" s="30"/>
      <c r="CK17" s="122">
        <v>2247889.1800000002</v>
      </c>
      <c r="CL17" s="122">
        <v>0</v>
      </c>
      <c r="CM17" s="122">
        <v>0</v>
      </c>
      <c r="CN17" s="122">
        <v>0</v>
      </c>
      <c r="CO17" s="122">
        <f>SUMIFS(BB___HK___AMHS__Others[AR Amount],BB___HK___AMHS__Others[PO No.],AR_725[[#This Row],[tsmc PO '#]],BB___HK___AMHS__Others[Status],"&lt;&gt;Rejected",BB___HK___AMHS__Others[YearMonth],"2024-07")</f>
        <v>0</v>
      </c>
      <c r="CP17" s="122">
        <f>SUMIFS(BB___HK___AMHS__Others[Tax],BB___HK___AMHS__Others[PO No.],AR_725[[#This Row],[tsmc PO '#]],BB___HK___AMHS__Others[Status],"&lt;&gt;Rejected",BB___HK___AMHS__Others[YearMonth],"2024-07")</f>
        <v>0</v>
      </c>
      <c r="CQ17" s="34">
        <f>SUMIFS(BB___HK___AMHS__Others[AR Amount],BB___HK___AMHS__Others[PO No.],AR_725[[#This Row],[tsmc PO '#]],BB___HK___AMHS__Others[Status],"&lt;&gt;Rejected",BB___HK___AMHS__Others[YearMonth],"2024-08")</f>
        <v>0</v>
      </c>
      <c r="CR17" s="44">
        <f>SUMIFS(BB___HK___AMHS__Others[Tax],BB___HK___AMHS__Others[PO No.],AR_725[[#This Row],[tsmc PO '#]],BB___HK___AMHS__Others[Status],"&lt;&gt;Rejected",BB___HK___AMHS__Others[YearMonth],"2024-08")</f>
        <v>0</v>
      </c>
      <c r="CS17" s="62">
        <f>SUMIFS(BB___HK___AMHS__Others[AR Amount],BB___HK___AMHS__Others[PO No.],AR_725[[#This Row],[tsmc PO '#]],BB___HK___AMHS__Others[Status],"&lt;&gt;Rejected",BB___HK___AMHS__Others[YearMonth],"2024-09")</f>
        <v>0</v>
      </c>
      <c r="CT17" s="601">
        <f>SUMIFS(BB___HK___AMHS__Others[Tax],BB___HK___AMHS__Others[PO No.],AR_725[[#This Row],[tsmc PO '#]],BB___HK___AMHS__Others[Status],"&lt;&gt;Rejected",BB___HK___AMHS__Others[YearMonth],"2024-09")</f>
        <v>0</v>
      </c>
    </row>
    <row r="18" spans="1:98" ht="14.1">
      <c r="A18" s="30" t="s">
        <v>9</v>
      </c>
      <c r="B18" s="30" t="s">
        <v>2051</v>
      </c>
      <c r="D18" s="50" t="s">
        <v>1759</v>
      </c>
      <c r="E18" s="50" t="s">
        <v>2065</v>
      </c>
      <c r="F18" s="48" t="s">
        <v>2074</v>
      </c>
      <c r="G18" s="32" t="s">
        <v>312</v>
      </c>
      <c r="H18" s="50">
        <v>4503489979</v>
      </c>
      <c r="I18" s="30" t="s">
        <v>145</v>
      </c>
      <c r="J18" s="30" t="s">
        <v>144</v>
      </c>
      <c r="K18" s="46">
        <v>3270594</v>
      </c>
      <c r="L18" s="30" t="s">
        <v>2062</v>
      </c>
      <c r="M18" s="86">
        <v>44502</v>
      </c>
      <c r="N18" s="30" t="s">
        <v>2063</v>
      </c>
      <c r="O18" s="30" t="s">
        <v>2064</v>
      </c>
      <c r="P1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3107114</v>
      </c>
      <c r="Q1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2552717</v>
      </c>
      <c r="R1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3065445</v>
      </c>
      <c r="S18" s="72">
        <f>IF(AR_725[[#This Row],[PO Amount]]=0,1,AR_725[[#This Row],[Total AR (Sent)]]/AR_725[[#This Row],[PO Amount]])</f>
        <v>0.95001519601638107</v>
      </c>
      <c r="T18" s="45">
        <f>AR_725[[#This Row],[PO Amount]]-AR_725[[#This Row],[Total AR (Sent)]]</f>
        <v>163480</v>
      </c>
      <c r="U18" s="40"/>
      <c r="V18" s="40"/>
      <c r="W18" s="46">
        <v>0</v>
      </c>
      <c r="X18" s="46"/>
      <c r="Y18" s="40"/>
      <c r="Z18" s="40"/>
      <c r="AA18" s="40"/>
      <c r="AB18" s="40"/>
      <c r="AC18" s="40">
        <v>122338</v>
      </c>
      <c r="AD18" s="40"/>
      <c r="AE18" s="40"/>
      <c r="AF18" s="40"/>
      <c r="AG18" s="40"/>
      <c r="AH18" s="40"/>
      <c r="AI18" s="40"/>
      <c r="AJ18" s="56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52">
        <f>70000+72970</f>
        <v>142970</v>
      </c>
      <c r="AV18" s="34"/>
      <c r="AW18" s="34">
        <f>200000-200000</f>
        <v>0</v>
      </c>
      <c r="AX18" s="40"/>
      <c r="AY18" s="53">
        <f>200000-104804</f>
        <v>95196</v>
      </c>
      <c r="AZ18" s="40"/>
      <c r="BA18" s="47">
        <f>400000-324518</f>
        <v>75482</v>
      </c>
      <c r="BB18" s="40"/>
      <c r="BC18" s="34">
        <f>800000-800000</f>
        <v>0</v>
      </c>
      <c r="BD18" s="40"/>
      <c r="BE18" s="40">
        <f>800000-800000</f>
        <v>0</v>
      </c>
      <c r="BF18" s="40"/>
      <c r="BG18" s="40">
        <f>200000-200000</f>
        <v>0</v>
      </c>
      <c r="BH18" s="40"/>
      <c r="BI18" s="42">
        <f>114726.3+54393.7</f>
        <v>169120</v>
      </c>
      <c r="BJ18" s="40"/>
      <c r="BK18" s="42">
        <v>380781</v>
      </c>
      <c r="BL18" s="40"/>
      <c r="BM18" s="42">
        <f>200000+19971</f>
        <v>219971</v>
      </c>
      <c r="BN18" s="40"/>
      <c r="BO18" s="47">
        <f>163529.7+381753.3</f>
        <v>545283</v>
      </c>
      <c r="BP18" s="40"/>
      <c r="BQ18" s="40"/>
      <c r="BR18" s="40"/>
      <c r="BS18" s="47">
        <v>83783</v>
      </c>
      <c r="BT18" s="40"/>
      <c r="BU18" s="47">
        <v>325414</v>
      </c>
      <c r="BV18" s="40"/>
      <c r="BW18" s="40"/>
      <c r="BX18" s="34"/>
      <c r="BY18" s="47">
        <v>60193</v>
      </c>
      <c r="BZ18" s="40"/>
      <c r="CA18" s="40"/>
      <c r="CB18" s="34"/>
      <c r="CC18" s="34"/>
      <c r="CD18" s="34"/>
      <c r="CE18" s="34"/>
      <c r="CF18" s="34"/>
      <c r="CG18" s="123">
        <v>332186</v>
      </c>
      <c r="CI18" s="122"/>
      <c r="CJ18" s="30"/>
      <c r="CK18" s="122">
        <v>176108</v>
      </c>
      <c r="CL18" s="122">
        <v>0</v>
      </c>
      <c r="CM18" s="122">
        <v>0</v>
      </c>
      <c r="CN18" s="122">
        <v>0</v>
      </c>
      <c r="CO18" s="34">
        <f>SUMIFS(BB___HK___AMHS__Others[AR Amount],BB___HK___AMHS__Others[PO No.],AR_725[[#This Row],[tsmc PO '#]],BB___HK___AMHS__Others[Status],"&lt;&gt;Rejected",BB___HK___AMHS__Others[YearMonth],"2024-07")</f>
        <v>0</v>
      </c>
      <c r="CP18" s="122">
        <f>SUMIFS(BB___HK___AMHS__Others[Tax],BB___HK___AMHS__Others[PO No.],AR_725[[#This Row],[tsmc PO '#]],BB___HK___AMHS__Others[Status],"&lt;&gt;Rejected",BB___HK___AMHS__Others[YearMonth],"2024-07")</f>
        <v>0</v>
      </c>
      <c r="CQ18" s="34">
        <f>SUMIFS(BB___HK___AMHS__Others[AR Amount],BB___HK___AMHS__Others[PO No.],AR_725[[#This Row],[tsmc PO '#]],BB___HK___AMHS__Others[Status],"&lt;&gt;Rejected",BB___HK___AMHS__Others[YearMonth],"2024-08")</f>
        <v>336620</v>
      </c>
      <c r="CR18" s="44">
        <f>SUMIFS(BB___HK___AMHS__Others[Tax],BB___HK___AMHS__Others[PO No.],AR_725[[#This Row],[tsmc PO '#]],BB___HK___AMHS__Others[Status],"&lt;&gt;Rejected",BB___HK___AMHS__Others[YearMonth],"2024-08")</f>
        <v>0</v>
      </c>
      <c r="CS18" s="62">
        <f>SUMIFS(BB___HK___AMHS__Others[AR Amount],BB___HK___AMHS__Others[PO No.],AR_725[[#This Row],[tsmc PO '#]],BB___HK___AMHS__Others[Status],"&lt;&gt;Rejected",BB___HK___AMHS__Others[YearMonth],"2024-09")</f>
        <v>41669</v>
      </c>
      <c r="CT18" s="601">
        <f>SUMIFS(BB___HK___AMHS__Others[Tax],BB___HK___AMHS__Others[PO No.],AR_725[[#This Row],[tsmc PO '#]],BB___HK___AMHS__Others[Status],"&lt;&gt;Rejected",BB___HK___AMHS__Others[YearMonth],"2024-09")</f>
        <v>0</v>
      </c>
    </row>
    <row r="19" spans="1:98" ht="14.1" hidden="1">
      <c r="A19" s="30" t="s">
        <v>18</v>
      </c>
      <c r="B19" s="30" t="s">
        <v>2041</v>
      </c>
      <c r="D19" s="50" t="s">
        <v>2077</v>
      </c>
      <c r="E19" s="50" t="s">
        <v>2044</v>
      </c>
      <c r="F19" s="50"/>
      <c r="G19" s="50" t="s">
        <v>982</v>
      </c>
      <c r="H19" s="50">
        <v>4513455889</v>
      </c>
      <c r="I19" s="30" t="s">
        <v>985</v>
      </c>
      <c r="J19" s="30" t="s">
        <v>983</v>
      </c>
      <c r="K19" s="62">
        <v>32397.42</v>
      </c>
      <c r="L19" s="30"/>
      <c r="M19" s="50" t="s">
        <v>2078</v>
      </c>
      <c r="N19" s="87"/>
      <c r="O19" s="30" t="s">
        <v>2079</v>
      </c>
      <c r="P1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32397.42</v>
      </c>
      <c r="Q1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32397.42</v>
      </c>
      <c r="R1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32397.42</v>
      </c>
      <c r="S19" s="72">
        <f>IF(AR_725[[#This Row],[PO Amount]]=0,1,AR_725[[#This Row],[Total AR (Sent)]]/AR_725[[#This Row],[PO Amount]])</f>
        <v>1</v>
      </c>
      <c r="T19" s="73">
        <f>AR_725[[#This Row],[PO Amount]]-AR_725[[#This Row],[Total AR (Sent)]]</f>
        <v>0</v>
      </c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34"/>
      <c r="AJ19" s="56"/>
      <c r="AK19" s="34"/>
      <c r="AL19" s="40"/>
      <c r="AM19" s="40"/>
      <c r="AN19" s="40"/>
      <c r="AO19" s="40"/>
      <c r="AP19" s="40"/>
      <c r="AQ19" s="40"/>
      <c r="AR19" s="34"/>
      <c r="AS19" s="40"/>
      <c r="AU19" s="40"/>
      <c r="AV19" s="41"/>
      <c r="AW19" s="40"/>
      <c r="AX19" s="34"/>
      <c r="AY19" s="34"/>
      <c r="AZ19" s="34"/>
      <c r="BA19" s="40"/>
      <c r="BB19" s="34"/>
      <c r="BC19" s="40"/>
      <c r="BD19" s="40"/>
      <c r="BE19" s="40"/>
      <c r="BF19" s="40"/>
      <c r="BG19" s="40"/>
      <c r="BH19" s="40"/>
      <c r="BI19" s="40"/>
      <c r="BJ19" s="40"/>
      <c r="BK19" s="40"/>
      <c r="BL19" s="34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Z19" s="40"/>
      <c r="CA19" s="40"/>
      <c r="CB19" s="34"/>
      <c r="CC19" s="34"/>
      <c r="CD19" s="34"/>
      <c r="CE19" s="34"/>
      <c r="CF19" s="34"/>
      <c r="CG19" s="125">
        <v>32397.42</v>
      </c>
      <c r="CI19" s="122"/>
      <c r="CJ19" s="30"/>
      <c r="CK19" s="122">
        <v>0</v>
      </c>
      <c r="CL19" s="122">
        <v>0</v>
      </c>
      <c r="CM19" s="122">
        <v>0</v>
      </c>
      <c r="CN19" s="122">
        <v>0</v>
      </c>
      <c r="CO19" s="122">
        <f>SUMIFS(BB___HK___AMHS__Others[AR Amount],BB___HK___AMHS__Others[PO No.],AR_725[[#This Row],[tsmc PO '#]],BB___HK___AMHS__Others[Status],"&lt;&gt;Rejected",BB___HK___AMHS__Others[YearMonth],"2024-07")</f>
        <v>0</v>
      </c>
      <c r="CP19" s="122">
        <f>SUMIFS(BB___HK___AMHS__Others[Tax],BB___HK___AMHS__Others[PO No.],AR_725[[#This Row],[tsmc PO '#]],BB___HK___AMHS__Others[Status],"&lt;&gt;Rejected",BB___HK___AMHS__Others[YearMonth],"2024-07")</f>
        <v>0</v>
      </c>
      <c r="CQ19" s="34">
        <f>SUMIFS(BB___HK___AMHS__Others[AR Amount],BB___HK___AMHS__Others[PO No.],AR_725[[#This Row],[tsmc PO '#]],BB___HK___AMHS__Others[Status],"&lt;&gt;Rejected",BB___HK___AMHS__Others[YearMonth],"2024-08")</f>
        <v>0</v>
      </c>
      <c r="CR19" s="44">
        <f>SUMIFS(BB___HK___AMHS__Others[Tax],BB___HK___AMHS__Others[PO No.],AR_725[[#This Row],[tsmc PO '#]],BB___HK___AMHS__Others[Status],"&lt;&gt;Rejected",BB___HK___AMHS__Others[YearMonth],"2024-08")</f>
        <v>0</v>
      </c>
      <c r="CS19" s="62">
        <f>SUMIFS(BB___HK___AMHS__Others[AR Amount],BB___HK___AMHS__Others[PO No.],AR_725[[#This Row],[tsmc PO '#]],BB___HK___AMHS__Others[Status],"&lt;&gt;Rejected",BB___HK___AMHS__Others[YearMonth],"2024-09")</f>
        <v>0</v>
      </c>
      <c r="CT19" s="601">
        <f>SUMIFS(BB___HK___AMHS__Others[Tax],BB___HK___AMHS__Others[PO No.],AR_725[[#This Row],[tsmc PO '#]],BB___HK___AMHS__Others[Status],"&lt;&gt;Rejected",BB___HK___AMHS__Others[YearMonth],"2024-09")</f>
        <v>0</v>
      </c>
    </row>
    <row r="20" spans="1:98" ht="14.1" hidden="1">
      <c r="A20" s="30" t="s">
        <v>18</v>
      </c>
      <c r="B20" s="30" t="s">
        <v>2041</v>
      </c>
      <c r="D20" s="50" t="s">
        <v>2077</v>
      </c>
      <c r="E20" s="50" t="s">
        <v>2044</v>
      </c>
      <c r="F20" s="50"/>
      <c r="G20" s="50" t="s">
        <v>982</v>
      </c>
      <c r="H20" s="50">
        <v>4513459035</v>
      </c>
      <c r="I20" s="30" t="s">
        <v>985</v>
      </c>
      <c r="J20" s="30" t="s">
        <v>986</v>
      </c>
      <c r="K20" s="62">
        <v>63748.800000000003</v>
      </c>
      <c r="L20" s="30"/>
      <c r="M20" s="50" t="s">
        <v>2080</v>
      </c>
      <c r="N20" s="87"/>
      <c r="O20" s="30" t="s">
        <v>2079</v>
      </c>
      <c r="P2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63748.800000000003</v>
      </c>
      <c r="Q2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63748.800000000003</v>
      </c>
      <c r="R2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63748.800000000003</v>
      </c>
      <c r="S20" s="72">
        <f>IF(AR_725[[#This Row],[PO Amount]]=0,1,AR_725[[#This Row],[Total AR (Sent)]]/AR_725[[#This Row],[PO Amount]])</f>
        <v>1</v>
      </c>
      <c r="T20" s="73">
        <f>AR_725[[#This Row],[PO Amount]]-AR_725[[#This Row],[Total AR (Sent)]]</f>
        <v>0</v>
      </c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56"/>
      <c r="AK20" s="40"/>
      <c r="AL20" s="40"/>
      <c r="AM20" s="40"/>
      <c r="AN20" s="40"/>
      <c r="AO20" s="40"/>
      <c r="AP20" s="40"/>
      <c r="AQ20" s="40"/>
      <c r="AR20" s="34"/>
      <c r="AS20" s="40"/>
      <c r="AU20" s="40"/>
      <c r="AV20" s="41"/>
      <c r="AW20" s="40"/>
      <c r="AX20" s="34"/>
      <c r="AY20" s="34"/>
      <c r="AZ20" s="34"/>
      <c r="BA20" s="40"/>
      <c r="BB20" s="34"/>
      <c r="BC20" s="40"/>
      <c r="BD20" s="40"/>
      <c r="BE20" s="40"/>
      <c r="BF20" s="40"/>
      <c r="BG20" s="40"/>
      <c r="BH20" s="40"/>
      <c r="BI20" s="40"/>
      <c r="BJ20" s="40"/>
      <c r="BK20" s="40"/>
      <c r="BL20" s="34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Z20" s="40"/>
      <c r="CA20" s="40"/>
      <c r="CB20" s="34"/>
      <c r="CC20" s="34"/>
      <c r="CD20" s="34"/>
      <c r="CE20" s="34"/>
      <c r="CF20" s="34"/>
      <c r="CG20" s="125">
        <v>63748.800000000003</v>
      </c>
      <c r="CI20" s="122"/>
      <c r="CJ20" s="30"/>
      <c r="CK20" s="122">
        <v>0</v>
      </c>
      <c r="CL20" s="122">
        <v>0</v>
      </c>
      <c r="CM20" s="122">
        <v>0</v>
      </c>
      <c r="CN20" s="122">
        <v>0</v>
      </c>
      <c r="CO20" s="122">
        <f>SUMIFS(BB___HK___AMHS__Others[AR Amount],BB___HK___AMHS__Others[PO No.],AR_725[[#This Row],[tsmc PO '#]],BB___HK___AMHS__Others[Status],"&lt;&gt;Rejected",BB___HK___AMHS__Others[YearMonth],"2024-07")</f>
        <v>0</v>
      </c>
      <c r="CP20" s="122">
        <f>SUMIFS(BB___HK___AMHS__Others[Tax],BB___HK___AMHS__Others[PO No.],AR_725[[#This Row],[tsmc PO '#]],BB___HK___AMHS__Others[Status],"&lt;&gt;Rejected",BB___HK___AMHS__Others[YearMonth],"2024-07")</f>
        <v>0</v>
      </c>
      <c r="CQ20" s="34">
        <f>SUMIFS(BB___HK___AMHS__Others[AR Amount],BB___HK___AMHS__Others[PO No.],AR_725[[#This Row],[tsmc PO '#]],BB___HK___AMHS__Others[Status],"&lt;&gt;Rejected",BB___HK___AMHS__Others[YearMonth],"2024-08")</f>
        <v>0</v>
      </c>
      <c r="CR20" s="44">
        <f>SUMIFS(BB___HK___AMHS__Others[Tax],BB___HK___AMHS__Others[PO No.],AR_725[[#This Row],[tsmc PO '#]],BB___HK___AMHS__Others[Status],"&lt;&gt;Rejected",BB___HK___AMHS__Others[YearMonth],"2024-08")</f>
        <v>0</v>
      </c>
      <c r="CS20" s="62">
        <f>SUMIFS(BB___HK___AMHS__Others[AR Amount],BB___HK___AMHS__Others[PO No.],AR_725[[#This Row],[tsmc PO '#]],BB___HK___AMHS__Others[Status],"&lt;&gt;Rejected",BB___HK___AMHS__Others[YearMonth],"2024-09")</f>
        <v>0</v>
      </c>
      <c r="CT20" s="601">
        <f>SUMIFS(BB___HK___AMHS__Others[Tax],BB___HK___AMHS__Others[PO No.],AR_725[[#This Row],[tsmc PO '#]],BB___HK___AMHS__Others[Status],"&lt;&gt;Rejected",BB___HK___AMHS__Others[YearMonth],"2024-09")</f>
        <v>0</v>
      </c>
    </row>
    <row r="21" spans="1:98" ht="14.1" hidden="1">
      <c r="A21" s="30" t="s">
        <v>18</v>
      </c>
      <c r="B21" s="30" t="s">
        <v>2041</v>
      </c>
      <c r="D21" s="50" t="s">
        <v>2077</v>
      </c>
      <c r="E21" s="50" t="s">
        <v>2044</v>
      </c>
      <c r="F21" s="50"/>
      <c r="G21" s="50" t="s">
        <v>982</v>
      </c>
      <c r="H21" s="50">
        <v>4514041973</v>
      </c>
      <c r="I21" s="67" t="s">
        <v>985</v>
      </c>
      <c r="J21" s="30" t="s">
        <v>2081</v>
      </c>
      <c r="K21" s="62">
        <v>127497.60000000001</v>
      </c>
      <c r="M21" s="50" t="s">
        <v>2082</v>
      </c>
      <c r="N21" s="87"/>
      <c r="O21" s="30" t="s">
        <v>2083</v>
      </c>
      <c r="P2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127497.60000000001</v>
      </c>
      <c r="Q2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127497.60000000001</v>
      </c>
      <c r="S21" s="72">
        <f>IF(AR_725[[#This Row],[PO Amount]]=0,1,AR_725[[#This Row],[Total AR (Sent)]]/AR_725[[#This Row],[PO Amount]])</f>
        <v>1</v>
      </c>
      <c r="T21" s="73">
        <f>AR_725[[#This Row],[PO Amount]]-AR_725[[#This Row],[Total AR (Sent)]]</f>
        <v>0</v>
      </c>
      <c r="AJ21" s="368"/>
      <c r="AV21" s="78"/>
      <c r="CG21" s="122"/>
      <c r="CI21" s="122"/>
      <c r="CK21" s="122"/>
      <c r="CL21" s="122">
        <v>0</v>
      </c>
      <c r="CM21" s="122">
        <v>0</v>
      </c>
      <c r="CN21" s="122">
        <v>0</v>
      </c>
      <c r="CO21" s="125">
        <v>127497.60000000001</v>
      </c>
      <c r="CP21" s="122">
        <f>SUMIFS(BB___HK___AMHS__Others[Tax],BB___HK___AMHS__Others[PO No.],AR_725[[#This Row],[tsmc PO '#]],BB___HK___AMHS__Others[Status],"&lt;&gt;Rejected",BB___HK___AMHS__Others[YearMonth],"2024-07")</f>
        <v>0</v>
      </c>
      <c r="CQ21" s="34">
        <f>SUMIFS(BB___HK___AMHS__Others[AR Amount],BB___HK___AMHS__Others[PO No.],AR_725[[#This Row],[tsmc PO '#]],BB___HK___AMHS__Others[Status],"&lt;&gt;Rejected",BB___HK___AMHS__Others[YearMonth],"2024-08")</f>
        <v>0</v>
      </c>
      <c r="CR21" s="44">
        <f>SUMIFS(BB___HK___AMHS__Others[Tax],BB___HK___AMHS__Others[PO No.],AR_725[[#This Row],[tsmc PO '#]],BB___HK___AMHS__Others[Status],"&lt;&gt;Rejected",BB___HK___AMHS__Others[YearMonth],"2024-08")</f>
        <v>0</v>
      </c>
      <c r="CS21" s="62">
        <f>SUMIFS(BB___HK___AMHS__Others[AR Amount],BB___HK___AMHS__Others[PO No.],AR_725[[#This Row],[tsmc PO '#]],BB___HK___AMHS__Others[Status],"&lt;&gt;Rejected",BB___HK___AMHS__Others[YearMonth],"2024-09")</f>
        <v>0</v>
      </c>
      <c r="CT21" s="601">
        <f>SUMIFS(BB___HK___AMHS__Others[Tax],BB___HK___AMHS__Others[PO No.],AR_725[[#This Row],[tsmc PO '#]],BB___HK___AMHS__Others[Status],"&lt;&gt;Rejected",BB___HK___AMHS__Others[YearMonth],"2024-09")</f>
        <v>0</v>
      </c>
    </row>
    <row r="22" spans="1:98" ht="14.1" hidden="1">
      <c r="A22" s="30" t="s">
        <v>18</v>
      </c>
      <c r="B22" s="30" t="s">
        <v>2041</v>
      </c>
      <c r="D22" s="50" t="s">
        <v>2077</v>
      </c>
      <c r="E22" s="50" t="s">
        <v>2044</v>
      </c>
      <c r="F22" s="365"/>
      <c r="G22" s="50" t="s">
        <v>982</v>
      </c>
      <c r="H22" s="50">
        <v>4514043525</v>
      </c>
      <c r="I22" s="30" t="s">
        <v>985</v>
      </c>
      <c r="J22" s="30" t="s">
        <v>2084</v>
      </c>
      <c r="K22" s="62">
        <v>318744</v>
      </c>
      <c r="M22" s="50" t="s">
        <v>2085</v>
      </c>
      <c r="N22" s="87"/>
      <c r="O22" s="30" t="s">
        <v>2083</v>
      </c>
      <c r="P2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2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22" s="72">
        <f>IF(AR_725[[#This Row],[PO Amount]]=0,1,AR_725[[#This Row],[Total AR (Sent)]]/AR_725[[#This Row],[PO Amount]])</f>
        <v>0</v>
      </c>
      <c r="T22" s="73">
        <f>AR_725[[#This Row],[PO Amount]]-AR_725[[#This Row],[Total AR (Sent)]]</f>
        <v>318744</v>
      </c>
      <c r="AJ22" s="368"/>
      <c r="AV22" s="78"/>
      <c r="CG22" s="122"/>
      <c r="CI22" s="122"/>
      <c r="CK22" s="122"/>
      <c r="CL22" s="122">
        <v>0</v>
      </c>
      <c r="CM22" s="122">
        <v>0</v>
      </c>
      <c r="CN22" s="122">
        <v>0</v>
      </c>
      <c r="CO22" s="122">
        <f>SUMIFS(BB___HK___AMHS__Others[AR Amount],BB___HK___AMHS__Others[PO No.],AR_725[[#This Row],[tsmc PO '#]],BB___HK___AMHS__Others[Status],"&lt;&gt;Rejected",BB___HK___AMHS__Others[YearMonth],"2024-07")</f>
        <v>0</v>
      </c>
      <c r="CP22" s="122">
        <f>SUMIFS(BB___HK___AMHS__Others[Tax],BB___HK___AMHS__Others[PO No.],AR_725[[#This Row],[tsmc PO '#]],BB___HK___AMHS__Others[Status],"&lt;&gt;Rejected",BB___HK___AMHS__Others[YearMonth],"2024-07")</f>
        <v>0</v>
      </c>
      <c r="CQ22" s="34">
        <f>SUMIFS(BB___HK___AMHS__Others[AR Amount],BB___HK___AMHS__Others[PO No.],AR_725[[#This Row],[tsmc PO '#]],BB___HK___AMHS__Others[Status],"&lt;&gt;Rejected",BB___HK___AMHS__Others[YearMonth],"2024-08")</f>
        <v>0</v>
      </c>
      <c r="CR22" s="44">
        <f>SUMIFS(BB___HK___AMHS__Others[Tax],BB___HK___AMHS__Others[PO No.],AR_725[[#This Row],[tsmc PO '#]],BB___HK___AMHS__Others[Status],"&lt;&gt;Rejected",BB___HK___AMHS__Others[YearMonth],"2024-08")</f>
        <v>0</v>
      </c>
      <c r="CS22" s="62">
        <f>SUMIFS(BB___HK___AMHS__Others[AR Amount],BB___HK___AMHS__Others[PO No.],AR_725[[#This Row],[tsmc PO '#]],BB___HK___AMHS__Others[Status],"&lt;&gt;Rejected",BB___HK___AMHS__Others[YearMonth],"2024-09")</f>
        <v>0</v>
      </c>
      <c r="CT22" s="601">
        <f>SUMIFS(BB___HK___AMHS__Others[Tax],BB___HK___AMHS__Others[PO No.],AR_725[[#This Row],[tsmc PO '#]],BB___HK___AMHS__Others[Status],"&lt;&gt;Rejected",BB___HK___AMHS__Others[YearMonth],"2024-09")</f>
        <v>0</v>
      </c>
    </row>
    <row r="23" spans="1:98" ht="14.1" hidden="1">
      <c r="A23" s="30" t="s">
        <v>11</v>
      </c>
      <c r="B23" s="30" t="s">
        <v>2051</v>
      </c>
      <c r="C23" s="30" t="s">
        <v>42</v>
      </c>
      <c r="D23" s="50" t="s">
        <v>1546</v>
      </c>
      <c r="E23" s="48" t="s">
        <v>2052</v>
      </c>
      <c r="F23" s="60" t="s">
        <v>2086</v>
      </c>
      <c r="G23" s="48" t="s">
        <v>2087</v>
      </c>
      <c r="H23" s="50">
        <v>4590000334</v>
      </c>
      <c r="I23" s="30" t="s">
        <v>190</v>
      </c>
      <c r="J23" s="30" t="s">
        <v>188</v>
      </c>
      <c r="K23" s="46">
        <v>188291.52</v>
      </c>
      <c r="L23" s="30" t="s">
        <v>2054</v>
      </c>
      <c r="M23" s="86">
        <v>44644</v>
      </c>
      <c r="N23" s="87" t="s">
        <v>2088</v>
      </c>
      <c r="O23" s="88" t="s">
        <v>2089</v>
      </c>
      <c r="P2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188291.52</v>
      </c>
      <c r="Q2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175584</v>
      </c>
      <c r="R2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188291.52</v>
      </c>
      <c r="S23" s="72">
        <f>IF(AR_725[[#This Row],[PO Amount]]=0,1,AR_725[[#This Row],[Total AR (Sent)]]/AR_725[[#This Row],[PO Amount]])</f>
        <v>1</v>
      </c>
      <c r="T23" s="45">
        <f>AR_725[[#This Row],[PO Amount]]-AR_725[[#This Row],[Total AR (Sent)]]</f>
        <v>0</v>
      </c>
      <c r="U23" s="40"/>
      <c r="V23" s="40"/>
      <c r="W23" s="46"/>
      <c r="X23" s="46"/>
      <c r="Y23" s="46"/>
      <c r="Z23" s="46"/>
      <c r="AA23" s="46"/>
      <c r="AB23" s="40"/>
      <c r="AC23" s="40"/>
      <c r="AD23" s="40"/>
      <c r="AE23" s="46"/>
      <c r="AF23" s="46"/>
      <c r="AG23" s="46"/>
      <c r="AH23" s="46"/>
      <c r="AI23" s="34"/>
      <c r="AJ23" s="56"/>
      <c r="AK23" s="34"/>
      <c r="AL23" s="40"/>
      <c r="AM23" s="34"/>
      <c r="AN23" s="40"/>
      <c r="AO23" s="34"/>
      <c r="AP23" s="40"/>
      <c r="AQ23" s="34"/>
      <c r="AR23" s="34"/>
      <c r="AS23" s="34"/>
      <c r="AU23" s="34"/>
      <c r="AV23" s="34"/>
      <c r="AW23" s="42">
        <v>37662</v>
      </c>
      <c r="AX23" s="42">
        <v>2105.31</v>
      </c>
      <c r="AY23" s="42">
        <v>115148</v>
      </c>
      <c r="AZ23" s="42">
        <v>6436.77</v>
      </c>
      <c r="BA23" s="47">
        <v>22774</v>
      </c>
      <c r="BB23" s="42">
        <v>1273.07</v>
      </c>
      <c r="BC23" s="52"/>
      <c r="BD23" s="52"/>
      <c r="BE23" s="40"/>
      <c r="BF23" s="34"/>
      <c r="BG23" s="40"/>
      <c r="BH23" s="34"/>
      <c r="BI23" s="34"/>
      <c r="BJ23" s="34"/>
      <c r="BK23" s="34"/>
      <c r="BL23" s="34"/>
      <c r="BM23" s="34"/>
      <c r="BN23" s="34"/>
      <c r="BO23" s="40"/>
      <c r="BP23" s="34"/>
      <c r="BQ23" s="40"/>
      <c r="BR23" s="40"/>
      <c r="BS23" s="40"/>
      <c r="BT23" s="40"/>
      <c r="BU23" s="40"/>
      <c r="BV23" s="40"/>
      <c r="BW23" s="40"/>
      <c r="BX23" s="34"/>
      <c r="BZ23" s="40"/>
      <c r="CA23" s="40"/>
      <c r="CB23" s="34"/>
      <c r="CC23" s="34"/>
      <c r="CD23" s="34"/>
      <c r="CE23" s="34"/>
      <c r="CF23" s="34"/>
      <c r="CG23" s="122"/>
      <c r="CI23" s="122"/>
      <c r="CJ23" s="30"/>
      <c r="CK23" s="122">
        <v>12707.52</v>
      </c>
      <c r="CL23" s="122">
        <v>0</v>
      </c>
      <c r="CM23" s="122">
        <v>0</v>
      </c>
      <c r="CN23" s="122">
        <v>0</v>
      </c>
      <c r="CO23" s="122">
        <f>SUMIFS(BB___HK___AMHS__Others[AR Amount],BB___HK___AMHS__Others[PO No.],AR_725[[#This Row],[tsmc PO '#]],BB___HK___AMHS__Others[Status],"&lt;&gt;Rejected",BB___HK___AMHS__Others[YearMonth],"2024-07")</f>
        <v>0</v>
      </c>
      <c r="CP23" s="122">
        <f>SUMIFS(BB___HK___AMHS__Others[Tax],BB___HK___AMHS__Others[PO No.],AR_725[[#This Row],[tsmc PO '#]],BB___HK___AMHS__Others[Status],"&lt;&gt;Rejected",BB___HK___AMHS__Others[YearMonth],"2024-07")</f>
        <v>0</v>
      </c>
      <c r="CQ23" s="34">
        <f>SUMIFS(BB___HK___AMHS__Others[AR Amount],BB___HK___AMHS__Others[PO No.],AR_725[[#This Row],[tsmc PO '#]],BB___HK___AMHS__Others[Status],"&lt;&gt;Rejected",BB___HK___AMHS__Others[YearMonth],"2024-08")</f>
        <v>0</v>
      </c>
      <c r="CR23" s="44">
        <f>SUMIFS(BB___HK___AMHS__Others[Tax],BB___HK___AMHS__Others[PO No.],AR_725[[#This Row],[tsmc PO '#]],BB___HK___AMHS__Others[Status],"&lt;&gt;Rejected",BB___HK___AMHS__Others[YearMonth],"2024-08")</f>
        <v>0</v>
      </c>
      <c r="CS23" s="62">
        <f>SUMIFS(BB___HK___AMHS__Others[AR Amount],BB___HK___AMHS__Others[PO No.],AR_725[[#This Row],[tsmc PO '#]],BB___HK___AMHS__Others[Status],"&lt;&gt;Rejected",BB___HK___AMHS__Others[YearMonth],"2024-09")</f>
        <v>0</v>
      </c>
      <c r="CT23" s="601">
        <f>SUMIFS(BB___HK___AMHS__Others[Tax],BB___HK___AMHS__Others[PO No.],AR_725[[#This Row],[tsmc PO '#]],BB___HK___AMHS__Others[Status],"&lt;&gt;Rejected",BB___HK___AMHS__Others[YearMonth],"2024-09")</f>
        <v>0</v>
      </c>
    </row>
    <row r="24" spans="1:98" ht="14.1" hidden="1">
      <c r="A24" s="30" t="s">
        <v>13</v>
      </c>
      <c r="B24" s="30" t="s">
        <v>13</v>
      </c>
      <c r="D24" s="50"/>
      <c r="E24" s="50" t="s">
        <v>2044</v>
      </c>
      <c r="F24" s="48" t="s">
        <v>2090</v>
      </c>
      <c r="G24" s="48" t="s">
        <v>316</v>
      </c>
      <c r="H24" s="50">
        <v>4590000425</v>
      </c>
      <c r="I24" s="30" t="s">
        <v>222</v>
      </c>
      <c r="J24" s="106" t="s">
        <v>220</v>
      </c>
      <c r="K24" s="46">
        <v>2372512</v>
      </c>
      <c r="L24" s="30" t="s">
        <v>2054</v>
      </c>
      <c r="M24" s="86">
        <v>44650</v>
      </c>
      <c r="N24" s="87" t="s">
        <v>2091</v>
      </c>
      <c r="O24" s="88" t="s">
        <v>2089</v>
      </c>
      <c r="P2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2359620</v>
      </c>
      <c r="Q2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2359620</v>
      </c>
      <c r="R2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2359620</v>
      </c>
      <c r="S24" s="72">
        <f>IF(AR_725[[#This Row],[PO Amount]]=0,1,AR_725[[#This Row],[Total AR (Sent)]]/AR_725[[#This Row],[PO Amount]])</f>
        <v>0.99456609703133214</v>
      </c>
      <c r="T24" s="45">
        <f>AR_725[[#This Row],[PO Amount]]-AR_725[[#This Row],[Total AR (Sent)]]</f>
        <v>12892</v>
      </c>
      <c r="U24" s="40"/>
      <c r="V24" s="40"/>
      <c r="W24" s="46"/>
      <c r="X24" s="46"/>
      <c r="Y24" s="46"/>
      <c r="Z24" s="46"/>
      <c r="AA24" s="46"/>
      <c r="AB24" s="40"/>
      <c r="AC24" s="40"/>
      <c r="AD24" s="40"/>
      <c r="AE24" s="46"/>
      <c r="AF24" s="46"/>
      <c r="AG24" s="46"/>
      <c r="AH24" s="46"/>
      <c r="AI24" s="34"/>
      <c r="AJ24" s="56"/>
      <c r="AK24" s="34"/>
      <c r="AL24" s="40"/>
      <c r="AM24" s="34"/>
      <c r="AN24" s="40"/>
      <c r="AO24" s="34"/>
      <c r="AP24" s="40"/>
      <c r="AQ24" s="34"/>
      <c r="AR24" s="34"/>
      <c r="AS24" s="34"/>
      <c r="AU24" s="34"/>
      <c r="AV24" s="34"/>
      <c r="AW24" s="41"/>
      <c r="AX24" s="41"/>
      <c r="AY24" s="53">
        <f>474502</f>
        <v>474502</v>
      </c>
      <c r="AZ24" s="53">
        <f>26525</f>
        <v>26525</v>
      </c>
      <c r="BA24" s="40"/>
      <c r="BB24" s="34"/>
      <c r="BC24" s="41"/>
      <c r="BD24" s="41"/>
      <c r="BE24" s="47">
        <v>341589</v>
      </c>
      <c r="BF24" s="34"/>
      <c r="BG24" s="47">
        <v>536466</v>
      </c>
      <c r="BH24" s="34"/>
      <c r="BI24" s="34"/>
      <c r="BJ24" s="34"/>
      <c r="BK24" s="42">
        <v>563888</v>
      </c>
      <c r="BL24" s="34"/>
      <c r="BM24" s="42">
        <v>172568</v>
      </c>
      <c r="BN24" s="34"/>
      <c r="BO24" s="40"/>
      <c r="BP24" s="34"/>
      <c r="BQ24" s="40"/>
      <c r="BR24" s="40"/>
      <c r="BS24" s="47">
        <v>270607</v>
      </c>
      <c r="BT24" s="40"/>
      <c r="BU24" s="40"/>
      <c r="BV24" s="40"/>
      <c r="BW24" s="40"/>
      <c r="BX24" s="34"/>
      <c r="BZ24" s="40"/>
      <c r="CA24" s="40"/>
      <c r="CB24" s="34"/>
      <c r="CC24" s="34"/>
      <c r="CD24" s="34"/>
      <c r="CE24" s="34"/>
      <c r="CF24" s="34"/>
      <c r="CG24" s="122"/>
      <c r="CI24" s="122"/>
      <c r="CJ24" s="30"/>
      <c r="CK24" s="122">
        <v>0</v>
      </c>
      <c r="CL24" s="122">
        <v>0</v>
      </c>
      <c r="CM24" s="122">
        <v>0</v>
      </c>
      <c r="CN24" s="122">
        <v>0</v>
      </c>
      <c r="CO24" s="122">
        <f>SUMIFS(BB___HK___AMHS__Others[AR Amount],BB___HK___AMHS__Others[PO No.],AR_725[[#This Row],[tsmc PO '#]],BB___HK___AMHS__Others[Status],"&lt;&gt;Rejected",BB___HK___AMHS__Others[YearMonth],"2024-07")</f>
        <v>0</v>
      </c>
      <c r="CP24" s="122">
        <f>SUMIFS(BB___HK___AMHS__Others[Tax],BB___HK___AMHS__Others[PO No.],AR_725[[#This Row],[tsmc PO '#]],BB___HK___AMHS__Others[Status],"&lt;&gt;Rejected",BB___HK___AMHS__Others[YearMonth],"2024-07")</f>
        <v>0</v>
      </c>
      <c r="CQ24" s="34">
        <f>SUMIFS(BB___HK___AMHS__Others[AR Amount],BB___HK___AMHS__Others[PO No.],AR_725[[#This Row],[tsmc PO '#]],BB___HK___AMHS__Others[Status],"&lt;&gt;Rejected",BB___HK___AMHS__Others[YearMonth],"2024-08")</f>
        <v>0</v>
      </c>
      <c r="CR24" s="44">
        <f>SUMIFS(BB___HK___AMHS__Others[Tax],BB___HK___AMHS__Others[PO No.],AR_725[[#This Row],[tsmc PO '#]],BB___HK___AMHS__Others[Status],"&lt;&gt;Rejected",BB___HK___AMHS__Others[YearMonth],"2024-08")</f>
        <v>0</v>
      </c>
      <c r="CS24" s="62">
        <f>SUMIFS(BB___HK___AMHS__Others[AR Amount],BB___HK___AMHS__Others[PO No.],AR_725[[#This Row],[tsmc PO '#]],BB___HK___AMHS__Others[Status],"&lt;&gt;Rejected",BB___HK___AMHS__Others[YearMonth],"2024-09")</f>
        <v>0</v>
      </c>
      <c r="CT24" s="601">
        <f>SUMIFS(BB___HK___AMHS__Others[Tax],BB___HK___AMHS__Others[PO No.],AR_725[[#This Row],[tsmc PO '#]],BB___HK___AMHS__Others[Status],"&lt;&gt;Rejected",BB___HK___AMHS__Others[YearMonth],"2024-09")</f>
        <v>0</v>
      </c>
    </row>
    <row r="25" spans="1:98" ht="14.1" hidden="1">
      <c r="A25" s="30" t="s">
        <v>13</v>
      </c>
      <c r="B25" s="30" t="s">
        <v>13</v>
      </c>
      <c r="D25" s="50"/>
      <c r="E25" s="50" t="s">
        <v>2044</v>
      </c>
      <c r="F25" s="48" t="s">
        <v>2090</v>
      </c>
      <c r="G25" s="48" t="s">
        <v>317</v>
      </c>
      <c r="H25" s="50">
        <v>4590000428</v>
      </c>
      <c r="I25" s="30" t="s">
        <v>222</v>
      </c>
      <c r="J25" s="106" t="s">
        <v>318</v>
      </c>
      <c r="K25" s="46">
        <v>4892414.09</v>
      </c>
      <c r="L25" s="30"/>
      <c r="M25" s="86">
        <v>44650</v>
      </c>
      <c r="N25" s="87" t="s">
        <v>2091</v>
      </c>
      <c r="O25" s="88" t="s">
        <v>2089</v>
      </c>
      <c r="P2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4096793.06</v>
      </c>
      <c r="Q2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3969727</v>
      </c>
      <c r="R2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4096793.06</v>
      </c>
      <c r="S25" s="72">
        <f>IF(AR_725[[#This Row],[PO Amount]]=0,1,AR_725[[#This Row],[Total AR (Sent)]]/AR_725[[#This Row],[PO Amount]])</f>
        <v>0.83737659663227737</v>
      </c>
      <c r="T25" s="45">
        <f>AR_725[[#This Row],[PO Amount]]-AR_725[[#This Row],[Total AR (Sent)]]</f>
        <v>795621.0299999998</v>
      </c>
      <c r="U25" s="40"/>
      <c r="V25" s="40"/>
      <c r="W25" s="46"/>
      <c r="X25" s="46"/>
      <c r="Y25" s="46"/>
      <c r="Z25" s="46"/>
      <c r="AA25" s="46"/>
      <c r="AB25" s="40"/>
      <c r="AC25" s="40"/>
      <c r="AD25" s="40"/>
      <c r="AE25" s="46"/>
      <c r="AF25" s="46"/>
      <c r="AG25" s="46"/>
      <c r="AH25" s="46"/>
      <c r="AI25" s="34"/>
      <c r="AJ25" s="56"/>
      <c r="AK25" s="34"/>
      <c r="AL25" s="40"/>
      <c r="AM25" s="34"/>
      <c r="AN25" s="40"/>
      <c r="AO25" s="34"/>
      <c r="AP25" s="40"/>
      <c r="AQ25" s="34"/>
      <c r="AR25" s="34"/>
      <c r="AS25" s="34"/>
      <c r="AU25" s="34"/>
      <c r="AV25" s="34"/>
      <c r="AW25" s="41"/>
      <c r="AX25" s="41"/>
      <c r="AY25" s="53"/>
      <c r="AZ25" s="53"/>
      <c r="BA25" s="40"/>
      <c r="BB25" s="34"/>
      <c r="BC25" s="41"/>
      <c r="BD25" s="41"/>
      <c r="BE25" s="47">
        <v>1471475</v>
      </c>
      <c r="BF25" s="34"/>
      <c r="BG25" s="47">
        <v>146491</v>
      </c>
      <c r="BH25" s="34"/>
      <c r="BI25" s="42">
        <v>120254</v>
      </c>
      <c r="BJ25" s="34"/>
      <c r="BK25" s="42">
        <v>1283526</v>
      </c>
      <c r="BL25" s="34"/>
      <c r="BM25" s="42">
        <v>218714</v>
      </c>
      <c r="BN25" s="34"/>
      <c r="BO25" s="40"/>
      <c r="BP25" s="34"/>
      <c r="BQ25" s="47">
        <v>729267</v>
      </c>
      <c r="BR25" s="40"/>
      <c r="BS25" s="40"/>
      <c r="BT25" s="40"/>
      <c r="BU25" s="40"/>
      <c r="BV25" s="40"/>
      <c r="BW25" s="40"/>
      <c r="BX25" s="34"/>
      <c r="BZ25" s="40"/>
      <c r="CA25" s="40"/>
      <c r="CB25" s="34"/>
      <c r="CC25" s="34"/>
      <c r="CD25" s="34"/>
      <c r="CE25" s="34"/>
      <c r="CF25" s="34"/>
      <c r="CG25" s="122"/>
      <c r="CI25" s="122"/>
      <c r="CJ25" s="30"/>
      <c r="CK25" s="122">
        <v>44868.160000000003</v>
      </c>
      <c r="CL25" s="122">
        <v>0</v>
      </c>
      <c r="CM25" s="122">
        <v>82197.899999999994</v>
      </c>
      <c r="CN25" s="122">
        <v>0</v>
      </c>
      <c r="CO25" s="122">
        <f>SUMIFS(BB___HK___AMHS__Others[AR Amount],BB___HK___AMHS__Others[PO No.],AR_725[[#This Row],[tsmc PO '#]],BB___HK___AMHS__Others[Status],"&lt;&gt;Rejected",BB___HK___AMHS__Others[YearMonth],"2024-07")</f>
        <v>0</v>
      </c>
      <c r="CP25" s="122">
        <f>SUMIFS(BB___HK___AMHS__Others[Tax],BB___HK___AMHS__Others[PO No.],AR_725[[#This Row],[tsmc PO '#]],BB___HK___AMHS__Others[Status],"&lt;&gt;Rejected",BB___HK___AMHS__Others[YearMonth],"2024-07")</f>
        <v>0</v>
      </c>
      <c r="CQ25" s="34">
        <f>SUMIFS(BB___HK___AMHS__Others[AR Amount],BB___HK___AMHS__Others[PO No.],AR_725[[#This Row],[tsmc PO '#]],BB___HK___AMHS__Others[Status],"&lt;&gt;Rejected",BB___HK___AMHS__Others[YearMonth],"2024-08")</f>
        <v>0</v>
      </c>
      <c r="CR25" s="44">
        <f>SUMIFS(BB___HK___AMHS__Others[Tax],BB___HK___AMHS__Others[PO No.],AR_725[[#This Row],[tsmc PO '#]],BB___HK___AMHS__Others[Status],"&lt;&gt;Rejected",BB___HK___AMHS__Others[YearMonth],"2024-08")</f>
        <v>0</v>
      </c>
      <c r="CS25" s="62">
        <f>SUMIFS(BB___HK___AMHS__Others[AR Amount],BB___HK___AMHS__Others[PO No.],AR_725[[#This Row],[tsmc PO '#]],BB___HK___AMHS__Others[Status],"&lt;&gt;Rejected",BB___HK___AMHS__Others[YearMonth],"2024-09")</f>
        <v>0</v>
      </c>
      <c r="CT25" s="601">
        <f>SUMIFS(BB___HK___AMHS__Others[Tax],BB___HK___AMHS__Others[PO No.],AR_725[[#This Row],[tsmc PO '#]],BB___HK___AMHS__Others[Status],"&lt;&gt;Rejected",BB___HK___AMHS__Others[YearMonth],"2024-09")</f>
        <v>0</v>
      </c>
    </row>
    <row r="26" spans="1:98" ht="14.1">
      <c r="A26" s="30" t="s">
        <v>11</v>
      </c>
      <c r="B26" s="30" t="s">
        <v>2051</v>
      </c>
      <c r="D26" s="50" t="s">
        <v>1546</v>
      </c>
      <c r="E26" s="57" t="s">
        <v>2052</v>
      </c>
      <c r="F26" s="48" t="s">
        <v>2053</v>
      </c>
      <c r="G26" s="48" t="s">
        <v>314</v>
      </c>
      <c r="H26" s="50">
        <v>4590000539</v>
      </c>
      <c r="I26" s="30" t="s">
        <v>156</v>
      </c>
      <c r="J26" s="30" t="s">
        <v>155</v>
      </c>
      <c r="K26" s="46">
        <v>1906859</v>
      </c>
      <c r="L26" s="30" t="s">
        <v>2054</v>
      </c>
      <c r="M26" s="86">
        <v>44659</v>
      </c>
      <c r="N26" s="87" t="s">
        <v>2092</v>
      </c>
      <c r="O26" s="88" t="s">
        <v>2056</v>
      </c>
      <c r="P2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1735978</v>
      </c>
      <c r="Q2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1530535</v>
      </c>
      <c r="R2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1686610</v>
      </c>
      <c r="S26" s="72">
        <f>IF(AR_725[[#This Row],[PO Amount]]=0,1,AR_725[[#This Row],[Total AR (Sent)]]/AR_725[[#This Row],[PO Amount]])</f>
        <v>0.9103861376221315</v>
      </c>
      <c r="T26" s="45">
        <f>AR_725[[#This Row],[PO Amount]]-AR_725[[#This Row],[Total AR (Sent)]]</f>
        <v>170881</v>
      </c>
      <c r="U26" s="40"/>
      <c r="V26" s="40"/>
      <c r="W26" s="46"/>
      <c r="X26" s="46"/>
      <c r="Y26" s="46"/>
      <c r="Z26" s="46"/>
      <c r="AA26" s="46"/>
      <c r="AB26" s="40"/>
      <c r="AC26" s="40"/>
      <c r="AD26" s="40"/>
      <c r="AE26" s="46"/>
      <c r="AF26" s="46"/>
      <c r="AG26" s="46"/>
      <c r="AH26" s="46"/>
      <c r="AI26" s="34"/>
      <c r="AJ26" s="56"/>
      <c r="AK26" s="34"/>
      <c r="AL26" s="40"/>
      <c r="AM26" s="34"/>
      <c r="AN26" s="40"/>
      <c r="AO26" s="41">
        <v>43656</v>
      </c>
      <c r="AP26" s="40">
        <f>2440</f>
        <v>2440</v>
      </c>
      <c r="AQ26" s="41">
        <f>1085966-869352</f>
        <v>216614</v>
      </c>
      <c r="AR26" s="41">
        <f>ROUND(AR_725[[#This Row],[Jun-22 Draft Plan]]*65%*8.6%,0)</f>
        <v>12109</v>
      </c>
      <c r="AS26" s="52"/>
      <c r="AU26" s="52"/>
      <c r="AV26" s="34"/>
      <c r="AW26" s="52"/>
      <c r="AX26" s="52"/>
      <c r="AY26" s="53"/>
      <c r="AZ26" s="53"/>
      <c r="BA26" s="46"/>
      <c r="BB26" s="41"/>
      <c r="BC26" s="54"/>
      <c r="BD26" s="54"/>
      <c r="BE26" s="47">
        <v>56875</v>
      </c>
      <c r="BF26" s="42">
        <v>3179</v>
      </c>
      <c r="BG26" s="40"/>
      <c r="BH26" s="34"/>
      <c r="BI26" s="34"/>
      <c r="BJ26" s="34"/>
      <c r="BK26" s="42">
        <v>585562</v>
      </c>
      <c r="BL26" s="42">
        <v>32733</v>
      </c>
      <c r="BM26" s="42">
        <v>475204</v>
      </c>
      <c r="BN26" s="42">
        <v>26564</v>
      </c>
      <c r="BO26" s="47">
        <v>100565</v>
      </c>
      <c r="BP26" s="42">
        <v>5622</v>
      </c>
      <c r="BQ26" s="47">
        <v>52059</v>
      </c>
      <c r="BR26" s="47">
        <v>2910</v>
      </c>
      <c r="BS26" s="40"/>
      <c r="BT26" s="40"/>
      <c r="BU26" s="40"/>
      <c r="BV26" s="40"/>
      <c r="BW26" s="40"/>
      <c r="BX26" s="34"/>
      <c r="BY26" s="90">
        <f>54425-54425</f>
        <v>0</v>
      </c>
      <c r="BZ26" s="91">
        <f>3042-3042</f>
        <v>0</v>
      </c>
      <c r="CA26" s="40"/>
      <c r="CB26" s="34"/>
      <c r="CC26" s="34"/>
      <c r="CD26" s="34"/>
      <c r="CE26" s="34"/>
      <c r="CF26" s="34"/>
      <c r="CG26" s="122"/>
      <c r="CH26" s="325"/>
      <c r="CI26" s="116">
        <v>53021</v>
      </c>
      <c r="CJ26" s="330">
        <v>2964</v>
      </c>
      <c r="CK26" s="122">
        <v>0</v>
      </c>
      <c r="CL26" s="122">
        <v>0</v>
      </c>
      <c r="CM26" s="122">
        <v>47531</v>
      </c>
      <c r="CN26" s="122">
        <v>2657</v>
      </c>
      <c r="CO26" s="34">
        <f>SUMIFS(BB___HK___AMHS__Others[AR Amount],BB___HK___AMHS__Others[PO No.],AR_725[[#This Row],[tsmc PO '#]],BB___HK___AMHS__Others[Status],"&lt;&gt;Rejected",BB___HK___AMHS__Others[YearMonth],"2024-07")</f>
        <v>0</v>
      </c>
      <c r="CP26" s="122">
        <f>SUMIFS(BB___HK___AMHS__Others[Tax],BB___HK___AMHS__Others[PO No.],AR_725[[#This Row],[tsmc PO '#]],BB___HK___AMHS__Others[Status],"&lt;&gt;Rejected",BB___HK___AMHS__Others[YearMonth],"2024-07")</f>
        <v>0</v>
      </c>
      <c r="CQ26" s="34">
        <f>SUMIFS(BB___HK___AMHS__Others[AR Amount],BB___HK___AMHS__Others[PO No.],AR_725[[#This Row],[tsmc PO '#]],BB___HK___AMHS__Others[Status],"&lt;&gt;Rejected",BB___HK___AMHS__Others[YearMonth],"2024-08")</f>
        <v>55523</v>
      </c>
      <c r="CR26" s="44">
        <f>SUMIFS(BB___HK___AMHS__Others[Tax],BB___HK___AMHS__Others[PO No.],AR_725[[#This Row],[tsmc PO '#]],BB___HK___AMHS__Others[Status],"&lt;&gt;Rejected",BB___HK___AMHS__Others[YearMonth],"2024-08")</f>
        <v>3104</v>
      </c>
      <c r="CS26" s="62">
        <f>SUMIFS(BB___HK___AMHS__Others[AR Amount],BB___HK___AMHS__Others[PO No.],AR_725[[#This Row],[tsmc PO '#]],BB___HK___AMHS__Others[Status],"&lt;&gt;Rejected",BB___HK___AMHS__Others[YearMonth],"2024-09")</f>
        <v>49368</v>
      </c>
      <c r="CT26" s="601">
        <f>SUMIFS(BB___HK___AMHS__Others[Tax],BB___HK___AMHS__Others[PO No.],AR_725[[#This Row],[tsmc PO '#]],BB___HK___AMHS__Others[Status],"&lt;&gt;Rejected",BB___HK___AMHS__Others[YearMonth],"2024-09")</f>
        <v>2760</v>
      </c>
    </row>
    <row r="27" spans="1:98" ht="14.1">
      <c r="A27" s="30" t="s">
        <v>9</v>
      </c>
      <c r="B27" s="30" t="s">
        <v>2051</v>
      </c>
      <c r="D27" s="50" t="s">
        <v>1546</v>
      </c>
      <c r="E27" s="57" t="s">
        <v>2052</v>
      </c>
      <c r="F27" s="48" t="s">
        <v>2053</v>
      </c>
      <c r="G27" s="48" t="s">
        <v>314</v>
      </c>
      <c r="H27" s="50">
        <v>4590000540</v>
      </c>
      <c r="I27" s="30" t="s">
        <v>156</v>
      </c>
      <c r="J27" s="30" t="s">
        <v>157</v>
      </c>
      <c r="K27" s="46">
        <v>7311604</v>
      </c>
      <c r="L27" s="30" t="s">
        <v>2054</v>
      </c>
      <c r="M27" s="86">
        <v>44659</v>
      </c>
      <c r="N27" s="87" t="s">
        <v>2093</v>
      </c>
      <c r="O27" s="88" t="s">
        <v>2056</v>
      </c>
      <c r="P2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6021517</v>
      </c>
      <c r="Q2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5384498</v>
      </c>
      <c r="R2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5891827</v>
      </c>
      <c r="S27" s="72">
        <f>IF(AR_725[[#This Row],[PO Amount]]=0,1,AR_725[[#This Row],[Total AR (Sent)]]/AR_725[[#This Row],[PO Amount]])</f>
        <v>0.82355622651336147</v>
      </c>
      <c r="T27" s="45">
        <f>AR_725[[#This Row],[PO Amount]]-AR_725[[#This Row],[Total AR (Sent)]]</f>
        <v>1290087</v>
      </c>
      <c r="U27" s="40"/>
      <c r="V27" s="40"/>
      <c r="W27" s="46"/>
      <c r="X27" s="46"/>
      <c r="Y27" s="46"/>
      <c r="Z27" s="46"/>
      <c r="AA27" s="46"/>
      <c r="AB27" s="40"/>
      <c r="AC27" s="40"/>
      <c r="AD27" s="40"/>
      <c r="AE27" s="46"/>
      <c r="AF27" s="46"/>
      <c r="AG27" s="46"/>
      <c r="AH27" s="46"/>
      <c r="AI27" s="34"/>
      <c r="AJ27" s="56"/>
      <c r="AK27" s="34"/>
      <c r="AL27" s="40"/>
      <c r="AM27" s="34"/>
      <c r="AN27" s="40"/>
      <c r="AO27" s="41">
        <f>333768</f>
        <v>333768</v>
      </c>
      <c r="AP27" s="40">
        <f>18658</f>
        <v>18658</v>
      </c>
      <c r="AQ27" s="41">
        <v>869352</v>
      </c>
      <c r="AR27" s="41">
        <f>ROUND(AR_725[[#This Row],[Jun-22 Draft Plan]]*65%*8.6%,0)</f>
        <v>48597</v>
      </c>
      <c r="AS27" s="52">
        <v>195224</v>
      </c>
      <c r="AT27" s="34">
        <v>10913</v>
      </c>
      <c r="AU27" s="52"/>
      <c r="AV27" s="34"/>
      <c r="AW27" s="52">
        <v>931566</v>
      </c>
      <c r="AX27" s="52">
        <v>52075</v>
      </c>
      <c r="AY27" s="53">
        <v>673864</v>
      </c>
      <c r="AZ27" s="53">
        <v>37669</v>
      </c>
      <c r="BA27" s="47">
        <v>606925</v>
      </c>
      <c r="BB27" s="42">
        <v>33927</v>
      </c>
      <c r="BC27" s="42">
        <v>451712</v>
      </c>
      <c r="BD27" s="42">
        <v>25251</v>
      </c>
      <c r="BE27" s="47">
        <v>379174</v>
      </c>
      <c r="BF27" s="42">
        <v>21196</v>
      </c>
      <c r="BG27" s="47">
        <v>273104</v>
      </c>
      <c r="BH27" s="42">
        <v>15267</v>
      </c>
      <c r="BI27" s="42">
        <v>232977</v>
      </c>
      <c r="BJ27" s="42">
        <v>13023</v>
      </c>
      <c r="BK27" s="34"/>
      <c r="BL27" s="34"/>
      <c r="BM27" s="34"/>
      <c r="BN27" s="34"/>
      <c r="BO27" s="47">
        <v>248175</v>
      </c>
      <c r="BP27" s="42">
        <v>13873</v>
      </c>
      <c r="BQ27" s="47">
        <v>111220</v>
      </c>
      <c r="BR27" s="47">
        <v>6217</v>
      </c>
      <c r="BS27" s="58">
        <f>53205-53205</f>
        <v>0</v>
      </c>
      <c r="BT27" s="59">
        <f>2974-2974</f>
        <v>0</v>
      </c>
      <c r="BU27" s="40"/>
      <c r="BV27" s="40"/>
      <c r="BW27" s="40"/>
      <c r="BX27" s="34"/>
      <c r="BZ27" s="34"/>
      <c r="CA27" s="40"/>
      <c r="CB27" s="34"/>
      <c r="CC27" s="34"/>
      <c r="CD27" s="34"/>
      <c r="CE27" s="42">
        <v>60184</v>
      </c>
      <c r="CF27" s="42">
        <v>3364</v>
      </c>
      <c r="CG27" s="123">
        <v>17253</v>
      </c>
      <c r="CH27" s="326">
        <v>964</v>
      </c>
      <c r="CI27" s="116">
        <v>17865</v>
      </c>
      <c r="CJ27" s="330"/>
      <c r="CK27" s="122">
        <v>0</v>
      </c>
      <c r="CL27" s="122">
        <v>0</v>
      </c>
      <c r="CM27" s="122">
        <v>489464</v>
      </c>
      <c r="CN27" s="122">
        <v>27361</v>
      </c>
      <c r="CO27" s="122">
        <f>SUMIFS(BB___HK___AMHS__Others[AR Amount],BB___HK___AMHS__Others[PO No.],AR_725[[#This Row],[tsmc PO '#]],BB___HK___AMHS__Others[Status],"&lt;&gt;Rejected",BB___HK___AMHS__Others[YearMonth],"2024-07")</f>
        <v>0</v>
      </c>
      <c r="CP27" s="122">
        <f>SUMIFS(BB___HK___AMHS__Others[Tax],BB___HK___AMHS__Others[PO No.],AR_725[[#This Row],[tsmc PO '#]],BB___HK___AMHS__Others[Status],"&lt;&gt;Rejected",BB___HK___AMHS__Others[YearMonth],"2024-07")</f>
        <v>0</v>
      </c>
      <c r="CQ27" s="34">
        <f>SUMIFS(BB___HK___AMHS__Others[AR Amount],BB___HK___AMHS__Others[PO No.],AR_725[[#This Row],[tsmc PO '#]],BB___HK___AMHS__Others[Status],"&lt;&gt;Rejected",BB___HK___AMHS__Others[YearMonth],"2024-08")</f>
        <v>0</v>
      </c>
      <c r="CR27" s="44">
        <f>SUMIFS(BB___HK___AMHS__Others[Tax],BB___HK___AMHS__Others[PO No.],AR_725[[#This Row],[tsmc PO '#]],BB___HK___AMHS__Others[Status],"&lt;&gt;Rejected",BB___HK___AMHS__Others[YearMonth],"2024-08")</f>
        <v>0</v>
      </c>
      <c r="CS27" s="62">
        <f>SUMIFS(BB___HK___AMHS__Others[AR Amount],BB___HK___AMHS__Others[PO No.],AR_725[[#This Row],[tsmc PO '#]],BB___HK___AMHS__Others[Status],"&lt;&gt;Rejected",BB___HK___AMHS__Others[YearMonth],"2024-09")</f>
        <v>129690</v>
      </c>
      <c r="CT27" s="601">
        <f>SUMIFS(BB___HK___AMHS__Others[Tax],BB___HK___AMHS__Others[PO No.],AR_725[[#This Row],[tsmc PO '#]],BB___HK___AMHS__Others[Status],"&lt;&gt;Rejected",BB___HK___AMHS__Others[YearMonth],"2024-09")</f>
        <v>7250</v>
      </c>
    </row>
    <row r="28" spans="1:98" ht="14.1" hidden="1">
      <c r="A28" s="30" t="s">
        <v>9</v>
      </c>
      <c r="B28" s="30" t="s">
        <v>2051</v>
      </c>
      <c r="C28" s="30" t="s">
        <v>42</v>
      </c>
      <c r="D28" s="50" t="s">
        <v>1546</v>
      </c>
      <c r="E28" s="57" t="s">
        <v>2052</v>
      </c>
      <c r="F28" s="48" t="s">
        <v>2086</v>
      </c>
      <c r="G28" s="48" t="s">
        <v>2087</v>
      </c>
      <c r="H28" s="50">
        <v>4590000624</v>
      </c>
      <c r="I28" s="30" t="s">
        <v>193</v>
      </c>
      <c r="J28" s="30" t="s">
        <v>191</v>
      </c>
      <c r="K28" s="46">
        <v>408000</v>
      </c>
      <c r="L28" s="30" t="s">
        <v>2054</v>
      </c>
      <c r="M28" s="86">
        <v>44665</v>
      </c>
      <c r="N28" s="87" t="s">
        <v>2094</v>
      </c>
      <c r="O28" s="88" t="s">
        <v>2056</v>
      </c>
      <c r="P2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393603</v>
      </c>
      <c r="Q2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393603</v>
      </c>
      <c r="R2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393603</v>
      </c>
      <c r="S28" s="72">
        <f>IF(AR_725[[#This Row],[PO Amount]]=0,1,AR_725[[#This Row],[Total AR (Sent)]]/AR_725[[#This Row],[PO Amount]])</f>
        <v>0.96471323529411768</v>
      </c>
      <c r="T28" s="45">
        <f>AR_725[[#This Row],[PO Amount]]-AR_725[[#This Row],[Total AR (Sent)]]</f>
        <v>14397</v>
      </c>
      <c r="U28" s="40"/>
      <c r="V28" s="40"/>
      <c r="W28" s="46"/>
      <c r="X28" s="46"/>
      <c r="Y28" s="46"/>
      <c r="Z28" s="46"/>
      <c r="AA28" s="46"/>
      <c r="AB28" s="40"/>
      <c r="AC28" s="40"/>
      <c r="AD28" s="40"/>
      <c r="AE28" s="46"/>
      <c r="AF28" s="46"/>
      <c r="AG28" s="46"/>
      <c r="AH28" s="46"/>
      <c r="AI28" s="34"/>
      <c r="AJ28" s="56"/>
      <c r="AK28" s="34"/>
      <c r="AL28" s="40"/>
      <c r="AM28" s="34"/>
      <c r="AN28" s="40"/>
      <c r="AO28" s="41"/>
      <c r="AP28" s="40"/>
      <c r="AQ28" s="41"/>
      <c r="AR28" s="41"/>
      <c r="AS28" s="34"/>
      <c r="AU28" s="34"/>
      <c r="AV28" s="34"/>
      <c r="AW28" s="52">
        <v>31440</v>
      </c>
      <c r="AX28" s="52">
        <v>1758</v>
      </c>
      <c r="AY28" s="34"/>
      <c r="AZ28" s="34"/>
      <c r="BA28" s="40"/>
      <c r="BB28" s="34"/>
      <c r="BC28" s="42">
        <v>147874</v>
      </c>
      <c r="BD28" s="42">
        <v>8266</v>
      </c>
      <c r="BE28" s="40"/>
      <c r="BF28" s="34"/>
      <c r="BG28" s="40"/>
      <c r="BH28" s="34"/>
      <c r="BI28" s="34"/>
      <c r="BJ28" s="34"/>
      <c r="BK28" s="34"/>
      <c r="BL28" s="34"/>
      <c r="BM28" s="34"/>
      <c r="BN28" s="34"/>
      <c r="BO28" s="40"/>
      <c r="BP28" s="34"/>
      <c r="BQ28" s="40"/>
      <c r="BR28" s="40"/>
      <c r="BS28" s="40"/>
      <c r="BT28" s="40"/>
      <c r="BU28" s="40"/>
      <c r="BV28" s="40"/>
      <c r="BW28" s="40"/>
      <c r="BX28" s="34"/>
      <c r="BZ28" s="40"/>
      <c r="CA28" s="47">
        <v>214289</v>
      </c>
      <c r="CB28" s="42">
        <v>11979</v>
      </c>
      <c r="CC28" s="34"/>
      <c r="CD28" s="34"/>
      <c r="CE28" s="34"/>
      <c r="CF28" s="34"/>
      <c r="CG28" s="122"/>
      <c r="CI28" s="122"/>
      <c r="CJ28" s="30"/>
      <c r="CK28" s="122">
        <v>0</v>
      </c>
      <c r="CL28" s="122">
        <v>0</v>
      </c>
      <c r="CM28" s="122">
        <v>0</v>
      </c>
      <c r="CN28" s="122">
        <v>0</v>
      </c>
      <c r="CO28" s="122">
        <f>SUMIFS(BB___HK___AMHS__Others[AR Amount],BB___HK___AMHS__Others[PO No.],AR_725[[#This Row],[tsmc PO '#]],BB___HK___AMHS__Others[Status],"&lt;&gt;Rejected",BB___HK___AMHS__Others[YearMonth],"2024-07")</f>
        <v>0</v>
      </c>
      <c r="CP28" s="122">
        <f>SUMIFS(BB___HK___AMHS__Others[Tax],BB___HK___AMHS__Others[PO No.],AR_725[[#This Row],[tsmc PO '#]],BB___HK___AMHS__Others[Status],"&lt;&gt;Rejected",BB___HK___AMHS__Others[YearMonth],"2024-07")</f>
        <v>0</v>
      </c>
      <c r="CQ28" s="34">
        <f>SUMIFS(BB___HK___AMHS__Others[AR Amount],BB___HK___AMHS__Others[PO No.],AR_725[[#This Row],[tsmc PO '#]],BB___HK___AMHS__Others[Status],"&lt;&gt;Rejected",BB___HK___AMHS__Others[YearMonth],"2024-08")</f>
        <v>0</v>
      </c>
      <c r="CR28" s="44">
        <f>SUMIFS(BB___HK___AMHS__Others[Tax],BB___HK___AMHS__Others[PO No.],AR_725[[#This Row],[tsmc PO '#]],BB___HK___AMHS__Others[Status],"&lt;&gt;Rejected",BB___HK___AMHS__Others[YearMonth],"2024-08")</f>
        <v>0</v>
      </c>
      <c r="CS28" s="62">
        <f>SUMIFS(BB___HK___AMHS__Others[AR Amount],BB___HK___AMHS__Others[PO No.],AR_725[[#This Row],[tsmc PO '#]],BB___HK___AMHS__Others[Status],"&lt;&gt;Rejected",BB___HK___AMHS__Others[YearMonth],"2024-09")</f>
        <v>0</v>
      </c>
      <c r="CT28" s="601">
        <f>SUMIFS(BB___HK___AMHS__Others[Tax],BB___HK___AMHS__Others[PO No.],AR_725[[#This Row],[tsmc PO '#]],BB___HK___AMHS__Others[Status],"&lt;&gt;Rejected",BB___HK___AMHS__Others[YearMonth],"2024-09")</f>
        <v>0</v>
      </c>
    </row>
    <row r="29" spans="1:98" ht="14.1" hidden="1">
      <c r="A29" s="30" t="s">
        <v>8</v>
      </c>
      <c r="B29" s="30" t="s">
        <v>8</v>
      </c>
      <c r="D29" s="50"/>
      <c r="E29" s="48" t="s">
        <v>2095</v>
      </c>
      <c r="F29" s="48" t="s">
        <v>2096</v>
      </c>
      <c r="G29" s="50" t="s">
        <v>1316</v>
      </c>
      <c r="H29" s="50">
        <v>4590000896</v>
      </c>
      <c r="I29" s="30" t="s">
        <v>1183</v>
      </c>
      <c r="J29" s="30" t="s">
        <v>1182</v>
      </c>
      <c r="K29" s="46">
        <v>86940</v>
      </c>
      <c r="L29" s="30" t="s">
        <v>2054</v>
      </c>
      <c r="M29" s="86">
        <v>44683</v>
      </c>
      <c r="N29" s="87" t="s">
        <v>2097</v>
      </c>
      <c r="O29" s="30" t="s">
        <v>2064</v>
      </c>
      <c r="P2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86940</v>
      </c>
      <c r="Q2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86940</v>
      </c>
      <c r="R2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86940</v>
      </c>
      <c r="S29" s="72">
        <f>IF(AR_725[[#This Row],[PO Amount]]=0,1,AR_725[[#This Row],[Total AR (Sent)]]/AR_725[[#This Row],[PO Amount]])</f>
        <v>1</v>
      </c>
      <c r="T29" s="45">
        <f>AR_725[[#This Row],[PO Amount]]-AR_725[[#This Row],[Total AR (Sent)]]</f>
        <v>0</v>
      </c>
      <c r="U29" s="40"/>
      <c r="V29" s="40"/>
      <c r="W29" s="46"/>
      <c r="X29" s="46"/>
      <c r="Y29" s="46"/>
      <c r="Z29" s="46"/>
      <c r="AA29" s="46"/>
      <c r="AB29" s="40"/>
      <c r="AC29" s="40"/>
      <c r="AD29" s="40"/>
      <c r="AE29" s="46"/>
      <c r="AF29" s="46"/>
      <c r="AG29" s="46"/>
      <c r="AH29" s="46"/>
      <c r="AI29" s="34"/>
      <c r="AJ29" s="56"/>
      <c r="AK29" s="34"/>
      <c r="AL29" s="40"/>
      <c r="AM29" s="34"/>
      <c r="AN29" s="40"/>
      <c r="AO29" s="34"/>
      <c r="AP29" s="40"/>
      <c r="AQ29" s="34"/>
      <c r="AR29" s="34"/>
      <c r="AS29" s="34"/>
      <c r="AU29" s="34"/>
      <c r="AV29" s="34"/>
      <c r="AW29" s="34"/>
      <c r="AX29" s="34"/>
      <c r="AY29" s="34"/>
      <c r="AZ29" s="34"/>
      <c r="BA29" s="70">
        <f>69552-69552</f>
        <v>0</v>
      </c>
      <c r="BB29" s="34"/>
      <c r="BC29" s="52">
        <f>69552-69552</f>
        <v>0</v>
      </c>
      <c r="BD29" s="41"/>
      <c r="BE29" s="70">
        <f>14490-14490</f>
        <v>0</v>
      </c>
      <c r="BF29" s="34"/>
      <c r="BG29" s="40"/>
      <c r="BH29" s="34"/>
      <c r="BI29" s="34"/>
      <c r="BJ29" s="34"/>
      <c r="BK29" s="42">
        <v>86940</v>
      </c>
      <c r="BL29" s="34"/>
      <c r="BM29" s="34"/>
      <c r="BN29" s="34"/>
      <c r="BO29" s="40"/>
      <c r="BP29" s="34"/>
      <c r="BQ29" s="40"/>
      <c r="BR29" s="40"/>
      <c r="BS29" s="40"/>
      <c r="BT29" s="40"/>
      <c r="BU29" s="40"/>
      <c r="BV29" s="40"/>
      <c r="BW29" s="40"/>
      <c r="BX29" s="34"/>
      <c r="BZ29" s="40"/>
      <c r="CA29" s="40"/>
      <c r="CB29" s="34"/>
      <c r="CC29" s="34"/>
      <c r="CD29" s="34"/>
      <c r="CE29" s="34"/>
      <c r="CF29" s="34"/>
      <c r="CG29" s="122">
        <f>SUMIFS(BB___HK___AMHS__Others[AR Amount],BB___HK___AMHS__Others[PO No.],AR_725[[#This Row],[tsmc PO '#]],BB___HK___AMHS__Others[Status],"&lt;&gt;Rejected",BB___HK___AMHS__Others[YearMonth],"2024-03")</f>
        <v>0</v>
      </c>
      <c r="CI29" s="122">
        <f>SUMIFS(BB___HK___AMHS__Others[AR Amount],BB___HK___AMHS__Others[PO No.],AR_725[[#This Row],[tsmc PO '#]],BB___HK___AMHS__Others[Status],"&lt;&gt;Rejected",BB___HK___AMHS__Others[YearMonth],"2024-04")</f>
        <v>0</v>
      </c>
      <c r="CJ29" s="30"/>
      <c r="CK29" s="122">
        <v>0</v>
      </c>
      <c r="CL29" s="122">
        <v>0</v>
      </c>
      <c r="CM29" s="122">
        <v>0</v>
      </c>
      <c r="CN29" s="122">
        <v>0</v>
      </c>
      <c r="CO29" s="122">
        <f>SUMIFS(BB___HK___AMHS__Others[AR Amount],BB___HK___AMHS__Others[PO No.],AR_725[[#This Row],[tsmc PO '#]],BB___HK___AMHS__Others[Status],"&lt;&gt;Rejected",BB___HK___AMHS__Others[YearMonth],"2024-07")</f>
        <v>0</v>
      </c>
      <c r="CP29" s="122">
        <f>SUMIFS(BB___HK___AMHS__Others[Tax],BB___HK___AMHS__Others[PO No.],AR_725[[#This Row],[tsmc PO '#]],BB___HK___AMHS__Others[Status],"&lt;&gt;Rejected",BB___HK___AMHS__Others[YearMonth],"2024-07")</f>
        <v>0</v>
      </c>
      <c r="CQ29" s="34">
        <f>SUMIFS(BB___HK___AMHS__Others[AR Amount],BB___HK___AMHS__Others[PO No.],AR_725[[#This Row],[tsmc PO '#]],BB___HK___AMHS__Others[Status],"&lt;&gt;Rejected",BB___HK___AMHS__Others[YearMonth],"2024-08")</f>
        <v>0</v>
      </c>
      <c r="CR29" s="44">
        <f>SUMIFS(BB___HK___AMHS__Others[Tax],BB___HK___AMHS__Others[PO No.],AR_725[[#This Row],[tsmc PO '#]],BB___HK___AMHS__Others[Status],"&lt;&gt;Rejected",BB___HK___AMHS__Others[YearMonth],"2024-08")</f>
        <v>0</v>
      </c>
      <c r="CS29" s="62">
        <f>SUMIFS(BB___HK___AMHS__Others[AR Amount],BB___HK___AMHS__Others[PO No.],AR_725[[#This Row],[tsmc PO '#]],BB___HK___AMHS__Others[Status],"&lt;&gt;Rejected",BB___HK___AMHS__Others[YearMonth],"2024-09")</f>
        <v>0</v>
      </c>
      <c r="CT29" s="601">
        <f>SUMIFS(BB___HK___AMHS__Others[Tax],BB___HK___AMHS__Others[PO No.],AR_725[[#This Row],[tsmc PO '#]],BB___HK___AMHS__Others[Status],"&lt;&gt;Rejected",BB___HK___AMHS__Others[YearMonth],"2024-09")</f>
        <v>0</v>
      </c>
    </row>
    <row r="30" spans="1:98" ht="14.1" hidden="1">
      <c r="A30" s="30" t="s">
        <v>13</v>
      </c>
      <c r="B30" s="30" t="s">
        <v>13</v>
      </c>
      <c r="D30" s="50"/>
      <c r="E30" s="50" t="s">
        <v>2044</v>
      </c>
      <c r="F30" s="48" t="s">
        <v>2090</v>
      </c>
      <c r="G30" s="48" t="s">
        <v>316</v>
      </c>
      <c r="H30" s="50">
        <v>4590001034</v>
      </c>
      <c r="I30" s="30" t="s">
        <v>222</v>
      </c>
      <c r="J30" s="106" t="s">
        <v>248</v>
      </c>
      <c r="K30" s="46">
        <v>293365</v>
      </c>
      <c r="L30" s="30"/>
      <c r="M30" s="86">
        <v>44693</v>
      </c>
      <c r="N30" s="87" t="s">
        <v>2091</v>
      </c>
      <c r="O30" s="88" t="s">
        <v>2089</v>
      </c>
      <c r="P3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272543</v>
      </c>
      <c r="Q3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272543</v>
      </c>
      <c r="R3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272543</v>
      </c>
      <c r="S30" s="72">
        <f>IF(AR_725[[#This Row],[PO Amount]]=0,1,AR_725[[#This Row],[Total AR (Sent)]]/AR_725[[#This Row],[PO Amount]])</f>
        <v>0.92902357131900537</v>
      </c>
      <c r="T30" s="45">
        <f>AR_725[[#This Row],[PO Amount]]-AR_725[[#This Row],[Total AR (Sent)]]</f>
        <v>20822</v>
      </c>
      <c r="U30" s="40"/>
      <c r="V30" s="40"/>
      <c r="W30" s="46"/>
      <c r="X30" s="46"/>
      <c r="Y30" s="46"/>
      <c r="Z30" s="46"/>
      <c r="AA30" s="46"/>
      <c r="AB30" s="40"/>
      <c r="AC30" s="40"/>
      <c r="AD30" s="40"/>
      <c r="AE30" s="46"/>
      <c r="AF30" s="46"/>
      <c r="AG30" s="46"/>
      <c r="AH30" s="46"/>
      <c r="AI30" s="34"/>
      <c r="AJ30" s="56"/>
      <c r="AK30" s="34"/>
      <c r="AL30" s="40"/>
      <c r="AM30" s="34"/>
      <c r="AN30" s="40"/>
      <c r="AO30" s="34"/>
      <c r="AP30" s="40"/>
      <c r="AQ30" s="34"/>
      <c r="AR30" s="34"/>
      <c r="AS30" s="34"/>
      <c r="AU30" s="34"/>
      <c r="AV30" s="34"/>
      <c r="AW30" s="41"/>
      <c r="AX30" s="41"/>
      <c r="AY30" s="53"/>
      <c r="AZ30" s="53"/>
      <c r="BA30" s="47">
        <v>54516</v>
      </c>
      <c r="BB30" s="34"/>
      <c r="BC30" s="41"/>
      <c r="BD30" s="41"/>
      <c r="BE30" s="47">
        <v>128017</v>
      </c>
      <c r="BF30" s="34"/>
      <c r="BG30" s="47">
        <v>63888</v>
      </c>
      <c r="BH30" s="34"/>
      <c r="BI30" s="34"/>
      <c r="BJ30" s="34"/>
      <c r="BK30" s="42">
        <v>23717</v>
      </c>
      <c r="BL30" s="34"/>
      <c r="BM30" s="42">
        <v>2405</v>
      </c>
      <c r="BN30" s="34"/>
      <c r="BO30" s="40"/>
      <c r="BP30" s="34"/>
      <c r="BQ30" s="40"/>
      <c r="BR30" s="40"/>
      <c r="BS30" s="40"/>
      <c r="BT30" s="40"/>
      <c r="BU30" s="40"/>
      <c r="BV30" s="40"/>
      <c r="BW30" s="40"/>
      <c r="BX30" s="34"/>
      <c r="BZ30" s="40"/>
      <c r="CA30" s="40"/>
      <c r="CB30" s="34"/>
      <c r="CC30" s="34"/>
      <c r="CD30" s="34"/>
      <c r="CE30" s="34"/>
      <c r="CF30" s="34"/>
      <c r="CG30" s="122"/>
      <c r="CI30" s="122"/>
      <c r="CJ30" s="30"/>
      <c r="CK30" s="122">
        <v>0</v>
      </c>
      <c r="CL30" s="122">
        <v>0</v>
      </c>
      <c r="CM30" s="122">
        <v>0</v>
      </c>
      <c r="CN30" s="122">
        <v>0</v>
      </c>
      <c r="CO30" s="122">
        <f>SUMIFS(BB___HK___AMHS__Others[AR Amount],BB___HK___AMHS__Others[PO No.],AR_725[[#This Row],[tsmc PO '#]],BB___HK___AMHS__Others[Status],"&lt;&gt;Rejected",BB___HK___AMHS__Others[YearMonth],"2024-07")</f>
        <v>0</v>
      </c>
      <c r="CP30" s="122">
        <f>SUMIFS(BB___HK___AMHS__Others[Tax],BB___HK___AMHS__Others[PO No.],AR_725[[#This Row],[tsmc PO '#]],BB___HK___AMHS__Others[Status],"&lt;&gt;Rejected",BB___HK___AMHS__Others[YearMonth],"2024-07")</f>
        <v>0</v>
      </c>
      <c r="CQ30" s="34">
        <f>SUMIFS(BB___HK___AMHS__Others[AR Amount],BB___HK___AMHS__Others[PO No.],AR_725[[#This Row],[tsmc PO '#]],BB___HK___AMHS__Others[Status],"&lt;&gt;Rejected",BB___HK___AMHS__Others[YearMonth],"2024-08")</f>
        <v>0</v>
      </c>
      <c r="CR30" s="44">
        <f>SUMIFS(BB___HK___AMHS__Others[Tax],BB___HK___AMHS__Others[PO No.],AR_725[[#This Row],[tsmc PO '#]],BB___HK___AMHS__Others[Status],"&lt;&gt;Rejected",BB___HK___AMHS__Others[YearMonth],"2024-08")</f>
        <v>0</v>
      </c>
      <c r="CS30" s="62">
        <f>SUMIFS(BB___HK___AMHS__Others[AR Amount],BB___HK___AMHS__Others[PO No.],AR_725[[#This Row],[tsmc PO '#]],BB___HK___AMHS__Others[Status],"&lt;&gt;Rejected",BB___HK___AMHS__Others[YearMonth],"2024-09")</f>
        <v>0</v>
      </c>
      <c r="CT30" s="601">
        <f>SUMIFS(BB___HK___AMHS__Others[Tax],BB___HK___AMHS__Others[PO No.],AR_725[[#This Row],[tsmc PO '#]],BB___HK___AMHS__Others[Status],"&lt;&gt;Rejected",BB___HK___AMHS__Others[YearMonth],"2024-09")</f>
        <v>0</v>
      </c>
    </row>
    <row r="31" spans="1:98" ht="14.1" hidden="1">
      <c r="A31" s="30" t="s">
        <v>12</v>
      </c>
      <c r="B31" s="30" t="s">
        <v>2098</v>
      </c>
      <c r="D31" s="50" t="s">
        <v>2099</v>
      </c>
      <c r="E31" s="105" t="s">
        <v>2052</v>
      </c>
      <c r="F31" s="60" t="s">
        <v>2100</v>
      </c>
      <c r="G31" s="48" t="s">
        <v>1384</v>
      </c>
      <c r="H31" s="50">
        <v>4590001827</v>
      </c>
      <c r="I31" s="30" t="s">
        <v>448</v>
      </c>
      <c r="J31" s="30" t="s">
        <v>447</v>
      </c>
      <c r="K31" s="46">
        <v>400241.45</v>
      </c>
      <c r="L31" s="30" t="s">
        <v>2062</v>
      </c>
      <c r="M31" s="86">
        <v>44726</v>
      </c>
      <c r="N31" s="87" t="s">
        <v>2063</v>
      </c>
      <c r="O31" s="92" t="s">
        <v>2064</v>
      </c>
      <c r="P3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299830.94</v>
      </c>
      <c r="Q3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108812</v>
      </c>
      <c r="R3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108812</v>
      </c>
      <c r="S31" s="72">
        <f>IF(AR_725[[#This Row],[PO Amount]]=0,1,AR_725[[#This Row],[Total AR (Sent)]]/AR_725[[#This Row],[PO Amount]])</f>
        <v>0.74912515932570201</v>
      </c>
      <c r="T31" s="45">
        <f>AR_725[[#This Row],[PO Amount]]-AR_725[[#This Row],[Total AR (Sent)]]</f>
        <v>100410.51000000001</v>
      </c>
      <c r="U31" s="40"/>
      <c r="V31" s="40"/>
      <c r="W31" s="46"/>
      <c r="X31" s="46"/>
      <c r="Y31" s="46"/>
      <c r="Z31" s="46"/>
      <c r="AA31" s="46"/>
      <c r="AB31" s="40"/>
      <c r="AC31" s="40"/>
      <c r="AD31" s="40"/>
      <c r="AE31" s="46"/>
      <c r="AF31" s="46"/>
      <c r="AG31" s="46"/>
      <c r="AH31" s="46"/>
      <c r="AI31" s="34"/>
      <c r="AJ31" s="56"/>
      <c r="AK31" s="34"/>
      <c r="AL31" s="40"/>
      <c r="AM31" s="34"/>
      <c r="AN31" s="40"/>
      <c r="AO31" s="34"/>
      <c r="AP31" s="40"/>
      <c r="AQ31" s="34"/>
      <c r="AR31" s="34"/>
      <c r="AS31" s="34"/>
      <c r="AU31" s="34"/>
      <c r="AV31" s="34"/>
      <c r="AW31" s="34"/>
      <c r="AX31" s="34"/>
      <c r="AY31" s="34"/>
      <c r="AZ31" s="34"/>
      <c r="BA31" s="40"/>
      <c r="BB31" s="34"/>
      <c r="BC31" s="41"/>
      <c r="BD31" s="41"/>
      <c r="BE31" s="40"/>
      <c r="BF31" s="34"/>
      <c r="BG31" s="40"/>
      <c r="BH31" s="34"/>
      <c r="BI31" s="34"/>
      <c r="BJ31" s="34"/>
      <c r="BK31" s="34"/>
      <c r="BL31" s="34"/>
      <c r="BM31" s="42">
        <v>5443</v>
      </c>
      <c r="BN31" s="34"/>
      <c r="BO31" s="47">
        <v>103369</v>
      </c>
      <c r="BP31" s="34"/>
      <c r="BQ31" s="40"/>
      <c r="BR31" s="40"/>
      <c r="BS31" s="40"/>
      <c r="BT31" s="40"/>
      <c r="BU31" s="40"/>
      <c r="BV31" s="40"/>
      <c r="BW31" s="40"/>
      <c r="BX31" s="34"/>
      <c r="BZ31" s="40"/>
      <c r="CA31" s="40"/>
      <c r="CB31" s="34"/>
      <c r="CC31" s="34"/>
      <c r="CD31" s="34"/>
      <c r="CE31" s="34"/>
      <c r="CF31" s="34"/>
      <c r="CG31" s="122"/>
      <c r="CI31" s="122"/>
      <c r="CJ31" s="30"/>
      <c r="CK31" s="122">
        <v>0</v>
      </c>
      <c r="CL31" s="122">
        <v>0</v>
      </c>
      <c r="CM31" s="122">
        <v>0</v>
      </c>
      <c r="CN31" s="122">
        <v>0</v>
      </c>
      <c r="CO31" s="34">
        <f>SUMIFS(BB___HK___AMHS__Others[AR Amount],BB___HK___AMHS__Others[PO No.],AR_725[[#This Row],[tsmc PO '#]],BB___HK___AMHS__Others[Status],"&lt;&gt;Rejected",BB___HK___AMHS__Others[YearMonth],"2024-07")</f>
        <v>0</v>
      </c>
      <c r="CP31" s="122">
        <f>SUMIFS(BB___HK___AMHS__Others[Tax],BB___HK___AMHS__Others[PO No.],AR_725[[#This Row],[tsmc PO '#]],BB___HK___AMHS__Others[Status],"&lt;&gt;Rejected",BB___HK___AMHS__Others[YearMonth],"2024-07")</f>
        <v>0</v>
      </c>
      <c r="CQ31" s="34">
        <f>SUMIFS(BB___HK___AMHS__Others[AR Amount],BB___HK___AMHS__Others[PO No.],AR_725[[#This Row],[tsmc PO '#]],BB___HK___AMHS__Others[Status],"&lt;&gt;Rejected",BB___HK___AMHS__Others[YearMonth],"2024-08")</f>
        <v>191018.94</v>
      </c>
      <c r="CR31" s="44">
        <f>SUMIFS(BB___HK___AMHS__Others[Tax],BB___HK___AMHS__Others[PO No.],AR_725[[#This Row],[tsmc PO '#]],BB___HK___AMHS__Others[Status],"&lt;&gt;Rejected",BB___HK___AMHS__Others[YearMonth],"2024-08")</f>
        <v>0</v>
      </c>
      <c r="CS31" s="62">
        <f>SUMIFS(BB___HK___AMHS__Others[AR Amount],BB___HK___AMHS__Others[PO No.],AR_725[[#This Row],[tsmc PO '#]],BB___HK___AMHS__Others[Status],"&lt;&gt;Rejected",BB___HK___AMHS__Others[YearMonth],"2024-09")</f>
        <v>0</v>
      </c>
      <c r="CT31" s="601">
        <f>SUMIFS(BB___HK___AMHS__Others[Tax],BB___HK___AMHS__Others[PO No.],AR_725[[#This Row],[tsmc PO '#]],BB___HK___AMHS__Others[Status],"&lt;&gt;Rejected",BB___HK___AMHS__Others[YearMonth],"2024-09")</f>
        <v>0</v>
      </c>
    </row>
    <row r="32" spans="1:98" ht="14.1" hidden="1">
      <c r="A32" s="30" t="s">
        <v>12</v>
      </c>
      <c r="B32" s="30" t="s">
        <v>2098</v>
      </c>
      <c r="D32" s="50" t="s">
        <v>2099</v>
      </c>
      <c r="E32" s="105" t="s">
        <v>2052</v>
      </c>
      <c r="F32" s="48" t="s">
        <v>2100</v>
      </c>
      <c r="G32" s="57" t="s">
        <v>1384</v>
      </c>
      <c r="H32" s="50">
        <v>4590001828</v>
      </c>
      <c r="I32" s="30" t="s">
        <v>448</v>
      </c>
      <c r="J32" s="30" t="s">
        <v>516</v>
      </c>
      <c r="K32" s="46">
        <v>250352.96</v>
      </c>
      <c r="L32" s="30" t="s">
        <v>2054</v>
      </c>
      <c r="M32" s="86">
        <v>44726</v>
      </c>
      <c r="N32" s="87" t="s">
        <v>2101</v>
      </c>
      <c r="O32" s="92" t="s">
        <v>2064</v>
      </c>
      <c r="P3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147065.63</v>
      </c>
      <c r="Q3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107236</v>
      </c>
      <c r="R3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107236</v>
      </c>
      <c r="S32" s="72">
        <f>IF(AR_725[[#This Row],[PO Amount]]=0,1,AR_725[[#This Row],[Total AR (Sent)]]/AR_725[[#This Row],[PO Amount]])</f>
        <v>0.58743315836968735</v>
      </c>
      <c r="T32" s="45">
        <f>AR_725[[#This Row],[PO Amount]]-AR_725[[#This Row],[Total AR (Sent)]]</f>
        <v>103287.32999999999</v>
      </c>
      <c r="U32" s="40"/>
      <c r="V32" s="40"/>
      <c r="W32" s="46"/>
      <c r="X32" s="46"/>
      <c r="Y32" s="46"/>
      <c r="Z32" s="46"/>
      <c r="AA32" s="46"/>
      <c r="AB32" s="40"/>
      <c r="AC32" s="40"/>
      <c r="AD32" s="40"/>
      <c r="AE32" s="46"/>
      <c r="AF32" s="46"/>
      <c r="AG32" s="46"/>
      <c r="AH32" s="46"/>
      <c r="AI32" s="34"/>
      <c r="AJ32" s="56"/>
      <c r="AK32" s="34"/>
      <c r="AL32" s="40"/>
      <c r="AM32" s="34"/>
      <c r="AN32" s="40"/>
      <c r="AO32" s="34"/>
      <c r="AP32" s="40"/>
      <c r="AQ32" s="34"/>
      <c r="AR32" s="34"/>
      <c r="AS32" s="34"/>
      <c r="AU32" s="34"/>
      <c r="AV32" s="34"/>
      <c r="AW32" s="34"/>
      <c r="AX32" s="34"/>
      <c r="AY32" s="34"/>
      <c r="AZ32" s="34"/>
      <c r="BA32" s="40"/>
      <c r="BB32" s="34"/>
      <c r="BC32" s="41"/>
      <c r="BD32" s="41"/>
      <c r="BE32" s="40"/>
      <c r="BF32" s="34"/>
      <c r="BG32" s="40"/>
      <c r="BH32" s="34"/>
      <c r="BI32" s="34"/>
      <c r="BJ32" s="34"/>
      <c r="BK32" s="34"/>
      <c r="BL32" s="34"/>
      <c r="BM32" s="34"/>
      <c r="BN32" s="34"/>
      <c r="BO32" s="40"/>
      <c r="BP32" s="34"/>
      <c r="BQ32" s="47">
        <v>107236</v>
      </c>
      <c r="BR32" s="40"/>
      <c r="BS32" s="40"/>
      <c r="BT32" s="40"/>
      <c r="BU32" s="40"/>
      <c r="BV32" s="40"/>
      <c r="BW32" s="40"/>
      <c r="BX32" s="34"/>
      <c r="BZ32" s="40"/>
      <c r="CA32" s="40"/>
      <c r="CB32" s="34"/>
      <c r="CC32" s="34"/>
      <c r="CD32" s="34"/>
      <c r="CE32" s="34"/>
      <c r="CF32" s="34"/>
      <c r="CG32" s="122"/>
      <c r="CI32" s="122"/>
      <c r="CJ32" s="30"/>
      <c r="CK32" s="122">
        <v>0</v>
      </c>
      <c r="CL32" s="122">
        <v>0</v>
      </c>
      <c r="CM32" s="122">
        <v>0</v>
      </c>
      <c r="CN32" s="122">
        <v>0</v>
      </c>
      <c r="CO32" s="34">
        <f>SUMIFS(BB___HK___AMHS__Others[AR Amount],BB___HK___AMHS__Others[PO No.],AR_725[[#This Row],[tsmc PO '#]],BB___HK___AMHS__Others[Status],"&lt;&gt;Rejected",BB___HK___AMHS__Others[YearMonth],"2024-07")</f>
        <v>0</v>
      </c>
      <c r="CP32" s="122">
        <f>SUMIFS(BB___HK___AMHS__Others[Tax],BB___HK___AMHS__Others[PO No.],AR_725[[#This Row],[tsmc PO '#]],BB___HK___AMHS__Others[Status],"&lt;&gt;Rejected",BB___HK___AMHS__Others[YearMonth],"2024-07")</f>
        <v>0</v>
      </c>
      <c r="CQ32" s="34">
        <f>SUMIFS(BB___HK___AMHS__Others[AR Amount],BB___HK___AMHS__Others[PO No.],AR_725[[#This Row],[tsmc PO '#]],BB___HK___AMHS__Others[Status],"&lt;&gt;Rejected",BB___HK___AMHS__Others[YearMonth],"2024-08")</f>
        <v>39829.629999999997</v>
      </c>
      <c r="CR32" s="44">
        <f>SUMIFS(BB___HK___AMHS__Others[Tax],BB___HK___AMHS__Others[PO No.],AR_725[[#This Row],[tsmc PO '#]],BB___HK___AMHS__Others[Status],"&lt;&gt;Rejected",BB___HK___AMHS__Others[YearMonth],"2024-08")</f>
        <v>0</v>
      </c>
      <c r="CS32" s="62">
        <f>SUMIFS(BB___HK___AMHS__Others[AR Amount],BB___HK___AMHS__Others[PO No.],AR_725[[#This Row],[tsmc PO '#]],BB___HK___AMHS__Others[Status],"&lt;&gt;Rejected",BB___HK___AMHS__Others[YearMonth],"2024-09")</f>
        <v>0</v>
      </c>
      <c r="CT32" s="601">
        <f>SUMIFS(BB___HK___AMHS__Others[Tax],BB___HK___AMHS__Others[PO No.],AR_725[[#This Row],[tsmc PO '#]],BB___HK___AMHS__Others[Status],"&lt;&gt;Rejected",BB___HK___AMHS__Others[YearMonth],"2024-09")</f>
        <v>0</v>
      </c>
    </row>
    <row r="33" spans="1:98" ht="14.1" hidden="1">
      <c r="A33" s="30" t="s">
        <v>13</v>
      </c>
      <c r="B33" s="30" t="s">
        <v>13</v>
      </c>
      <c r="D33" s="50"/>
      <c r="E33" s="48" t="s">
        <v>2095</v>
      </c>
      <c r="F33" s="48" t="s">
        <v>2096</v>
      </c>
      <c r="G33" s="48" t="s">
        <v>2102</v>
      </c>
      <c r="H33" s="50">
        <v>4590002149</v>
      </c>
      <c r="I33" s="30" t="s">
        <v>291</v>
      </c>
      <c r="J33" s="30" t="s">
        <v>289</v>
      </c>
      <c r="K33" s="46">
        <v>964420.34</v>
      </c>
      <c r="L33" s="30" t="s">
        <v>2054</v>
      </c>
      <c r="M33" s="86">
        <v>44734</v>
      </c>
      <c r="N33" s="87" t="s">
        <v>2103</v>
      </c>
      <c r="O33" s="88" t="s">
        <v>2104</v>
      </c>
      <c r="P3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964420</v>
      </c>
      <c r="Q3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964420</v>
      </c>
      <c r="R3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964420</v>
      </c>
      <c r="S33" s="72">
        <f>IF(AR_725[[#This Row],[PO Amount]]=0,1,AR_725[[#This Row],[Total AR (Sent)]]/AR_725[[#This Row],[PO Amount]])</f>
        <v>0.99999964745662673</v>
      </c>
      <c r="T33" s="45">
        <f>AR_725[[#This Row],[PO Amount]]-AR_725[[#This Row],[Total AR (Sent)]]</f>
        <v>0.33999999996740371</v>
      </c>
      <c r="U33" s="40"/>
      <c r="V33" s="40"/>
      <c r="W33" s="46"/>
      <c r="X33" s="46"/>
      <c r="Y33" s="46"/>
      <c r="Z33" s="46"/>
      <c r="AA33" s="46"/>
      <c r="AB33" s="40"/>
      <c r="AC33" s="40"/>
      <c r="AD33" s="40"/>
      <c r="AE33" s="46"/>
      <c r="AF33" s="46"/>
      <c r="AG33" s="46"/>
      <c r="AH33" s="46"/>
      <c r="AI33" s="34"/>
      <c r="AJ33" s="56"/>
      <c r="AK33" s="34"/>
      <c r="AL33" s="40"/>
      <c r="AM33" s="34"/>
      <c r="AN33" s="40"/>
      <c r="AO33" s="34"/>
      <c r="AP33" s="40"/>
      <c r="AQ33" s="34"/>
      <c r="AR33" s="34"/>
      <c r="AS33" s="34"/>
      <c r="AU33" s="34"/>
      <c r="AV33" s="34"/>
      <c r="AW33" s="34"/>
      <c r="AX33" s="34"/>
      <c r="AY33" s="34"/>
      <c r="AZ33" s="34"/>
      <c r="BA33" s="70"/>
      <c r="BB33" s="34"/>
      <c r="BC33" s="42">
        <f>150107</f>
        <v>150107</v>
      </c>
      <c r="BD33" s="41"/>
      <c r="BE33" s="47">
        <v>128264</v>
      </c>
      <c r="BF33" s="34"/>
      <c r="BG33" s="47">
        <v>134693</v>
      </c>
      <c r="BH33" s="34"/>
      <c r="BI33" s="42">
        <v>187266</v>
      </c>
      <c r="BJ33" s="34"/>
      <c r="BK33" s="42">
        <v>130056</v>
      </c>
      <c r="BL33" s="34"/>
      <c r="BM33" s="34"/>
      <c r="BN33" s="34"/>
      <c r="BO33" s="40"/>
      <c r="BP33" s="34"/>
      <c r="BQ33" s="40"/>
      <c r="BR33" s="40"/>
      <c r="BS33" s="40"/>
      <c r="BT33" s="40"/>
      <c r="BU33" s="40"/>
      <c r="BV33" s="40"/>
      <c r="BW33" s="40"/>
      <c r="BX33" s="34"/>
      <c r="BY33" s="47">
        <v>234034</v>
      </c>
      <c r="BZ33" s="40"/>
      <c r="CA33" s="40"/>
      <c r="CB33" s="34"/>
      <c r="CC33" s="34"/>
      <c r="CD33" s="34"/>
      <c r="CE33" s="34" t="s">
        <v>2068</v>
      </c>
      <c r="CF33" s="34"/>
      <c r="CG33" s="122"/>
      <c r="CI33" s="122"/>
      <c r="CJ33" s="30"/>
      <c r="CK33" s="122">
        <v>0</v>
      </c>
      <c r="CL33" s="122">
        <v>0</v>
      </c>
      <c r="CM33" s="122">
        <v>0</v>
      </c>
      <c r="CN33" s="122">
        <v>0</v>
      </c>
      <c r="CO33" s="122">
        <f>SUMIFS(BB___HK___AMHS__Others[AR Amount],BB___HK___AMHS__Others[PO No.],AR_725[[#This Row],[tsmc PO '#]],BB___HK___AMHS__Others[Status],"&lt;&gt;Rejected",BB___HK___AMHS__Others[YearMonth],"2024-07")</f>
        <v>0</v>
      </c>
      <c r="CP33" s="122">
        <f>SUMIFS(BB___HK___AMHS__Others[Tax],BB___HK___AMHS__Others[PO No.],AR_725[[#This Row],[tsmc PO '#]],BB___HK___AMHS__Others[Status],"&lt;&gt;Rejected",BB___HK___AMHS__Others[YearMonth],"2024-07")</f>
        <v>0</v>
      </c>
      <c r="CQ33" s="34">
        <f>SUMIFS(BB___HK___AMHS__Others[AR Amount],BB___HK___AMHS__Others[PO No.],AR_725[[#This Row],[tsmc PO '#]],BB___HK___AMHS__Others[Status],"&lt;&gt;Rejected",BB___HK___AMHS__Others[YearMonth],"2024-08")</f>
        <v>0</v>
      </c>
      <c r="CR33" s="44">
        <f>SUMIFS(BB___HK___AMHS__Others[Tax],BB___HK___AMHS__Others[PO No.],AR_725[[#This Row],[tsmc PO '#]],BB___HK___AMHS__Others[Status],"&lt;&gt;Rejected",BB___HK___AMHS__Others[YearMonth],"2024-08")</f>
        <v>0</v>
      </c>
      <c r="CS33" s="62">
        <f>SUMIFS(BB___HK___AMHS__Others[AR Amount],BB___HK___AMHS__Others[PO No.],AR_725[[#This Row],[tsmc PO '#]],BB___HK___AMHS__Others[Status],"&lt;&gt;Rejected",BB___HK___AMHS__Others[YearMonth],"2024-09")</f>
        <v>0</v>
      </c>
      <c r="CT33" s="601">
        <f>SUMIFS(BB___HK___AMHS__Others[Tax],BB___HK___AMHS__Others[PO No.],AR_725[[#This Row],[tsmc PO '#]],BB___HK___AMHS__Others[Status],"&lt;&gt;Rejected",BB___HK___AMHS__Others[YearMonth],"2024-09")</f>
        <v>0</v>
      </c>
    </row>
    <row r="34" spans="1:98" ht="14.1">
      <c r="A34" s="30" t="s">
        <v>11</v>
      </c>
      <c r="B34" s="30" t="s">
        <v>2051</v>
      </c>
      <c r="D34" s="50" t="s">
        <v>1546</v>
      </c>
      <c r="E34" s="48" t="s">
        <v>2052</v>
      </c>
      <c r="F34" s="48" t="s">
        <v>2053</v>
      </c>
      <c r="G34" s="48" t="s">
        <v>314</v>
      </c>
      <c r="H34" s="50">
        <v>4590002290</v>
      </c>
      <c r="I34" s="30" t="s">
        <v>584</v>
      </c>
      <c r="J34" s="30" t="s">
        <v>583</v>
      </c>
      <c r="K34" s="41">
        <v>424087.84</v>
      </c>
      <c r="L34" s="30" t="s">
        <v>2054</v>
      </c>
      <c r="M34" s="86">
        <v>44736</v>
      </c>
      <c r="N34" s="87" t="s">
        <v>2063</v>
      </c>
      <c r="O34" s="88" t="s">
        <v>2056</v>
      </c>
      <c r="P3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393331.02</v>
      </c>
      <c r="Q3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281599.40000000002</v>
      </c>
      <c r="R3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370417.39</v>
      </c>
      <c r="S34" s="72">
        <f>IF(AR_725[[#This Row],[PO Amount]]=0,1,AR_725[[#This Row],[Total AR (Sent)]]/AR_725[[#This Row],[PO Amount]])</f>
        <v>0.92747535510567813</v>
      </c>
      <c r="T34" s="39">
        <f>AR_725[[#This Row],[PO Amount]]-AR_725[[#This Row],[Total AR (Sent)]]</f>
        <v>30756.820000000007</v>
      </c>
      <c r="U34" s="40"/>
      <c r="V34" s="40"/>
      <c r="W34" s="41"/>
      <c r="X34" s="41"/>
      <c r="Y34" s="41"/>
      <c r="Z34" s="41"/>
      <c r="AA34" s="41"/>
      <c r="AB34" s="40"/>
      <c r="AC34" s="40"/>
      <c r="AD34" s="40"/>
      <c r="AE34" s="41"/>
      <c r="AF34" s="41"/>
      <c r="AG34" s="41"/>
      <c r="AH34" s="41"/>
      <c r="AI34" s="34"/>
      <c r="AJ34" s="56"/>
      <c r="AK34" s="34"/>
      <c r="AL34" s="34"/>
      <c r="AM34" s="34"/>
      <c r="AN34" s="34"/>
      <c r="AO34" s="34"/>
      <c r="AP34" s="34"/>
      <c r="AQ34" s="34"/>
      <c r="AR34" s="34"/>
      <c r="AS34" s="34"/>
      <c r="AU34" s="34"/>
      <c r="AV34" s="34"/>
      <c r="AW34" s="34"/>
      <c r="AX34" s="34"/>
      <c r="AY34" s="61"/>
      <c r="AZ34" s="61"/>
      <c r="BA34" s="34"/>
      <c r="BB34" s="34"/>
      <c r="BC34" s="41"/>
      <c r="BD34" s="41"/>
      <c r="BE34" s="34"/>
      <c r="BF34" s="34"/>
      <c r="BG34" s="34"/>
      <c r="BH34" s="34"/>
      <c r="BI34" s="34"/>
      <c r="BJ34" s="34"/>
      <c r="BK34" s="34"/>
      <c r="BL34" s="34"/>
      <c r="BM34" s="34"/>
      <c r="BN34" s="34"/>
      <c r="BO34" s="34"/>
      <c r="BP34" s="34"/>
      <c r="BQ34" s="34"/>
      <c r="BR34" s="40"/>
      <c r="BS34" s="34"/>
      <c r="BT34" s="40"/>
      <c r="BU34" s="42">
        <v>144305</v>
      </c>
      <c r="BV34" s="42">
        <v>8067</v>
      </c>
      <c r="BW34" s="42">
        <v>42087</v>
      </c>
      <c r="BX34" s="42">
        <v>2353</v>
      </c>
      <c r="BY34" s="34"/>
      <c r="BZ34" s="34"/>
      <c r="CA34" s="42">
        <v>17252.740000000002</v>
      </c>
      <c r="CB34" s="42">
        <v>964.43</v>
      </c>
      <c r="CC34" s="42">
        <v>67914.649999999994</v>
      </c>
      <c r="CD34" s="42">
        <v>3796.43</v>
      </c>
      <c r="CE34" s="42">
        <v>10040.01</v>
      </c>
      <c r="CF34" s="42">
        <v>561.24</v>
      </c>
      <c r="CG34" s="122"/>
      <c r="CI34" s="122"/>
      <c r="CJ34" s="30"/>
      <c r="CK34" s="122">
        <v>0</v>
      </c>
      <c r="CL34" s="122">
        <v>0</v>
      </c>
      <c r="CM34" s="122">
        <v>34986.85</v>
      </c>
      <c r="CN34" s="122">
        <v>1955.76</v>
      </c>
      <c r="CO34" s="34">
        <f>SUMIFS(BB___HK___AMHS__Others[AR Amount],BB___HK___AMHS__Others[PO No.],AR_725[[#This Row],[tsmc PO '#]],BB___HK___AMHS__Others[Status],"&lt;&gt;Rejected",BB___HK___AMHS__Others[YearMonth],"2024-07")</f>
        <v>23506.37</v>
      </c>
      <c r="CP34" s="122">
        <f>SUMIFS(BB___HK___AMHS__Others[Tax],BB___HK___AMHS__Others[PO No.],AR_725[[#This Row],[tsmc PO '#]],BB___HK___AMHS__Others[Status],"&lt;&gt;Rejected",BB___HK___AMHS__Others[YearMonth],"2024-07")</f>
        <v>1314.01</v>
      </c>
      <c r="CQ34" s="34">
        <f>SUMIFS(BB___HK___AMHS__Others[AR Amount],BB___HK___AMHS__Others[PO No.],AR_725[[#This Row],[tsmc PO '#]],BB___HK___AMHS__Others[Status],"&lt;&gt;Rejected",BB___HK___AMHS__Others[YearMonth],"2024-08")</f>
        <v>30324.77</v>
      </c>
      <c r="CR34" s="44">
        <f>SUMIFS(BB___HK___AMHS__Others[Tax],BB___HK___AMHS__Others[PO No.],AR_725[[#This Row],[tsmc PO '#]],BB___HK___AMHS__Others[Status],"&lt;&gt;Rejected",BB___HK___AMHS__Others[YearMonth],"2024-08")</f>
        <v>1695.15</v>
      </c>
      <c r="CS34" s="62">
        <f>SUMIFS(BB___HK___AMHS__Others[AR Amount],BB___HK___AMHS__Others[PO No.],AR_725[[#This Row],[tsmc PO '#]],BB___HK___AMHS__Others[Status],"&lt;&gt;Rejected",BB___HK___AMHS__Others[YearMonth],"2024-09")</f>
        <v>22913.63</v>
      </c>
      <c r="CT34" s="601">
        <f>SUMIFS(BB___HK___AMHS__Others[Tax],BB___HK___AMHS__Others[PO No.],AR_725[[#This Row],[tsmc PO '#]],BB___HK___AMHS__Others[Status],"&lt;&gt;Rejected",BB___HK___AMHS__Others[YearMonth],"2024-09")</f>
        <v>1280.8699999999999</v>
      </c>
    </row>
    <row r="35" spans="1:98" ht="14.1" hidden="1">
      <c r="A35" s="30" t="s">
        <v>11</v>
      </c>
      <c r="B35" s="30" t="s">
        <v>2051</v>
      </c>
      <c r="D35" s="50" t="s">
        <v>1546</v>
      </c>
      <c r="E35" s="57" t="s">
        <v>2052</v>
      </c>
      <c r="F35" s="48" t="s">
        <v>2053</v>
      </c>
      <c r="G35" s="48" t="s">
        <v>314</v>
      </c>
      <c r="H35" s="50">
        <v>4590002291</v>
      </c>
      <c r="I35" s="30" t="s">
        <v>584</v>
      </c>
      <c r="J35" s="30" t="s">
        <v>632</v>
      </c>
      <c r="K35" s="46">
        <v>64539.43</v>
      </c>
      <c r="L35" s="30" t="s">
        <v>2054</v>
      </c>
      <c r="M35" s="86">
        <v>44736</v>
      </c>
      <c r="N35" s="87" t="s">
        <v>2063</v>
      </c>
      <c r="O35" s="88" t="s">
        <v>2056</v>
      </c>
      <c r="P3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61957.850000000006</v>
      </c>
      <c r="Q3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56033.69</v>
      </c>
      <c r="R3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61957.850000000006</v>
      </c>
      <c r="S35" s="72">
        <f>IF(AR_725[[#This Row],[PO Amount]]=0,1,AR_725[[#This Row],[Total AR (Sent)]]/AR_725[[#This Row],[PO Amount]])</f>
        <v>0.95999995661566895</v>
      </c>
      <c r="T35" s="45">
        <f>AR_725[[#This Row],[PO Amount]]-AR_725[[#This Row],[Total AR (Sent)]]</f>
        <v>2581.5799999999945</v>
      </c>
      <c r="U35" s="40"/>
      <c r="V35" s="40"/>
      <c r="W35" s="46"/>
      <c r="X35" s="46"/>
      <c r="Y35" s="46"/>
      <c r="Z35" s="46"/>
      <c r="AA35" s="46"/>
      <c r="AB35" s="40"/>
      <c r="AC35" s="40"/>
      <c r="AD35" s="40"/>
      <c r="AE35" s="46"/>
      <c r="AF35" s="46"/>
      <c r="AG35" s="46"/>
      <c r="AH35" s="46"/>
      <c r="AI35" s="34"/>
      <c r="AJ35" s="56"/>
      <c r="AK35" s="34"/>
      <c r="AL35" s="40"/>
      <c r="AM35" s="34"/>
      <c r="AN35" s="40"/>
      <c r="AO35" s="34"/>
      <c r="AP35" s="40"/>
      <c r="AQ35" s="34"/>
      <c r="AR35" s="34"/>
      <c r="AS35" s="34"/>
      <c r="AU35" s="34"/>
      <c r="AV35" s="34"/>
      <c r="AW35" s="34"/>
      <c r="AX35" s="34"/>
      <c r="AY35" s="34"/>
      <c r="AZ35" s="34"/>
      <c r="BA35" s="40"/>
      <c r="BB35" s="34"/>
      <c r="BC35" s="41"/>
      <c r="BD35" s="41"/>
      <c r="BE35" s="40"/>
      <c r="BF35" s="34"/>
      <c r="BG35" s="40"/>
      <c r="BH35" s="34"/>
      <c r="BI35" s="34"/>
      <c r="BJ35" s="34"/>
      <c r="BK35" s="34"/>
      <c r="BL35" s="34"/>
      <c r="BM35" s="34"/>
      <c r="BN35" s="34"/>
      <c r="BO35" s="40"/>
      <c r="BP35" s="34"/>
      <c r="BQ35" s="40"/>
      <c r="BR35" s="40"/>
      <c r="BS35" s="40"/>
      <c r="BT35" s="40"/>
      <c r="BU35" s="40"/>
      <c r="BV35" s="40"/>
      <c r="BW35" s="40"/>
      <c r="BX35" s="34"/>
      <c r="BY35" s="47">
        <v>23331.42</v>
      </c>
      <c r="BZ35" s="42">
        <v>1304.23</v>
      </c>
      <c r="CA35" s="40"/>
      <c r="CB35" s="34"/>
      <c r="CC35" s="34"/>
      <c r="CD35" s="34"/>
      <c r="CE35" s="42">
        <v>12199.89</v>
      </c>
      <c r="CF35" s="42">
        <v>681.97</v>
      </c>
      <c r="CG35" s="125">
        <v>20502.38</v>
      </c>
      <c r="CH35" s="327">
        <v>1146.08</v>
      </c>
      <c r="CI35" s="122"/>
      <c r="CJ35" s="30"/>
      <c r="CK35" s="122">
        <v>0</v>
      </c>
      <c r="CL35" s="122">
        <v>0</v>
      </c>
      <c r="CM35" s="122">
        <v>0</v>
      </c>
      <c r="CN35" s="122">
        <v>0</v>
      </c>
      <c r="CO35" s="122">
        <f>SUMIFS(BB___HK___AMHS__Others[AR Amount],BB___HK___AMHS__Others[PO No.],AR_725[[#This Row],[tsmc PO '#]],BB___HK___AMHS__Others[Status],"&lt;&gt;Rejected",BB___HK___AMHS__Others[YearMonth],"2024-07")</f>
        <v>5924.16</v>
      </c>
      <c r="CP35" s="122">
        <f>SUMIFS(BB___HK___AMHS__Others[Tax],BB___HK___AMHS__Others[PO No.],AR_725[[#This Row],[tsmc PO '#]],BB___HK___AMHS__Others[Status],"&lt;&gt;Rejected",BB___HK___AMHS__Others[YearMonth],"2024-07")</f>
        <v>331.16</v>
      </c>
      <c r="CQ35" s="34">
        <f>SUMIFS(BB___HK___AMHS__Others[AR Amount],BB___HK___AMHS__Others[PO No.],AR_725[[#This Row],[tsmc PO '#]],BB___HK___AMHS__Others[Status],"&lt;&gt;Rejected",BB___HK___AMHS__Others[YearMonth],"2024-08")</f>
        <v>0</v>
      </c>
      <c r="CR35" s="44">
        <f>SUMIFS(BB___HK___AMHS__Others[Tax],BB___HK___AMHS__Others[PO No.],AR_725[[#This Row],[tsmc PO '#]],BB___HK___AMHS__Others[Status],"&lt;&gt;Rejected",BB___HK___AMHS__Others[YearMonth],"2024-08")</f>
        <v>0</v>
      </c>
      <c r="CS35" s="62">
        <f>SUMIFS(BB___HK___AMHS__Others[AR Amount],BB___HK___AMHS__Others[PO No.],AR_725[[#This Row],[tsmc PO '#]],BB___HK___AMHS__Others[Status],"&lt;&gt;Rejected",BB___HK___AMHS__Others[YearMonth],"2024-09")</f>
        <v>0</v>
      </c>
      <c r="CT35" s="601">
        <f>SUMIFS(BB___HK___AMHS__Others[Tax],BB___HK___AMHS__Others[PO No.],AR_725[[#This Row],[tsmc PO '#]],BB___HK___AMHS__Others[Status],"&lt;&gt;Rejected",BB___HK___AMHS__Others[YearMonth],"2024-09")</f>
        <v>0</v>
      </c>
    </row>
    <row r="36" spans="1:98" ht="14.1">
      <c r="A36" s="30" t="s">
        <v>11</v>
      </c>
      <c r="B36" s="30" t="s">
        <v>2051</v>
      </c>
      <c r="D36" s="50" t="s">
        <v>1546</v>
      </c>
      <c r="E36" s="48" t="s">
        <v>2052</v>
      </c>
      <c r="F36" s="48" t="s">
        <v>2053</v>
      </c>
      <c r="G36" s="64" t="s">
        <v>1895</v>
      </c>
      <c r="H36" s="50">
        <v>4590002292</v>
      </c>
      <c r="I36" s="30" t="s">
        <v>584</v>
      </c>
      <c r="J36" s="30" t="s">
        <v>586</v>
      </c>
      <c r="K36" s="62">
        <v>306397.90000000002</v>
      </c>
      <c r="L36" s="30"/>
      <c r="M36" s="86">
        <v>44736</v>
      </c>
      <c r="N36" s="87" t="s">
        <v>2063</v>
      </c>
      <c r="O36" s="88" t="s">
        <v>2056</v>
      </c>
      <c r="P3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288630.39000000007</v>
      </c>
      <c r="Q3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258616.28000000003</v>
      </c>
      <c r="R3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279250.93000000005</v>
      </c>
      <c r="S36" s="72">
        <f>IF(AR_725[[#This Row],[PO Amount]]=0,1,AR_725[[#This Row],[Total AR (Sent)]]/AR_725[[#This Row],[PO Amount]])</f>
        <v>0.94201164564117457</v>
      </c>
      <c r="T36" s="68">
        <f>AR_725[[#This Row],[PO Amount]]-AR_725[[#This Row],[Total AR (Sent)]]</f>
        <v>17767.509999999951</v>
      </c>
      <c r="U36" s="40"/>
      <c r="V36" s="40"/>
      <c r="W36" s="41"/>
      <c r="X36" s="41"/>
      <c r="Y36" s="41"/>
      <c r="Z36" s="41"/>
      <c r="AA36" s="41"/>
      <c r="AB36" s="40"/>
      <c r="AC36" s="40"/>
      <c r="AD36" s="40"/>
      <c r="AE36" s="41"/>
      <c r="AF36" s="41"/>
      <c r="AG36" s="40"/>
      <c r="AH36" s="41"/>
      <c r="AI36" s="40"/>
      <c r="AJ36" s="453"/>
      <c r="AK36" s="40"/>
      <c r="AL36" s="41"/>
      <c r="AM36" s="40"/>
      <c r="AN36" s="41"/>
      <c r="AO36" s="40"/>
      <c r="AP36" s="41"/>
      <c r="AQ36" s="40"/>
      <c r="AR36" s="41"/>
      <c r="AS36" s="40"/>
      <c r="AT36" s="41"/>
      <c r="AU36" s="40"/>
      <c r="AV36" s="94"/>
      <c r="AW36" s="40"/>
      <c r="AX36" s="41"/>
      <c r="AY36" s="40"/>
      <c r="AZ36" s="41"/>
      <c r="BA36" s="41"/>
      <c r="BB36" s="41"/>
      <c r="BC36" s="34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0"/>
      <c r="BS36" s="34"/>
      <c r="BT36" s="40"/>
      <c r="BU36" s="42">
        <v>142893</v>
      </c>
      <c r="BV36" s="42">
        <v>7988</v>
      </c>
      <c r="BW36" s="34"/>
      <c r="BX36" s="34"/>
      <c r="BY36" s="34"/>
      <c r="BZ36" s="34"/>
      <c r="CA36" s="42">
        <v>46614.39</v>
      </c>
      <c r="CB36" s="42">
        <v>2605.7399999999998</v>
      </c>
      <c r="CC36" s="42">
        <v>69108.89</v>
      </c>
      <c r="CD36" s="42">
        <v>3863.19</v>
      </c>
      <c r="CE36" s="34"/>
      <c r="CF36" s="34"/>
      <c r="CG36" s="122"/>
      <c r="CI36" s="122"/>
      <c r="CJ36" s="30"/>
      <c r="CK36" s="122">
        <v>20634.650000000001</v>
      </c>
      <c r="CL36" s="122">
        <v>1153.48</v>
      </c>
      <c r="CM36" s="122">
        <v>0</v>
      </c>
      <c r="CN36" s="122">
        <v>0</v>
      </c>
      <c r="CO36" s="122">
        <f>SUMIFS(BB___HK___AMHS__Others[AR Amount],BB___HK___AMHS__Others[PO No.],AR_725[[#This Row],[tsmc PO '#]],BB___HK___AMHS__Others[Status],"&lt;&gt;Rejected",BB___HK___AMHS__Others[YearMonth],"2024-07")</f>
        <v>0</v>
      </c>
      <c r="CP36" s="122">
        <f>SUMIFS(BB___HK___AMHS__Others[Tax],BB___HK___AMHS__Others[PO No.],AR_725[[#This Row],[tsmc PO '#]],BB___HK___AMHS__Others[Status],"&lt;&gt;Rejected",BB___HK___AMHS__Others[YearMonth],"2024-07")</f>
        <v>0</v>
      </c>
      <c r="CQ36" s="34">
        <f>SUMIFS(BB___HK___AMHS__Others[AR Amount],BB___HK___AMHS__Others[PO No.],AR_725[[#This Row],[tsmc PO '#]],BB___HK___AMHS__Others[Status],"&lt;&gt;Rejected",BB___HK___AMHS__Others[YearMonth],"2024-08")</f>
        <v>0</v>
      </c>
      <c r="CR36" s="44">
        <f>SUMIFS(BB___HK___AMHS__Others[Tax],BB___HK___AMHS__Others[PO No.],AR_725[[#This Row],[tsmc PO '#]],BB___HK___AMHS__Others[Status],"&lt;&gt;Rejected",BB___HK___AMHS__Others[YearMonth],"2024-08")</f>
        <v>0</v>
      </c>
      <c r="CS36" s="62">
        <f>SUMIFS(BB___HK___AMHS__Others[AR Amount],BB___HK___AMHS__Others[PO No.],AR_725[[#This Row],[tsmc PO '#]],BB___HK___AMHS__Others[Status],"&lt;&gt;Rejected",BB___HK___AMHS__Others[YearMonth],"2024-09")</f>
        <v>9379.4599999999991</v>
      </c>
      <c r="CT36" s="601">
        <f>SUMIFS(BB___HK___AMHS__Others[Tax],BB___HK___AMHS__Others[PO No.],AR_725[[#This Row],[tsmc PO '#]],BB___HK___AMHS__Others[Status],"&lt;&gt;Rejected",BB___HK___AMHS__Others[YearMonth],"2024-09")</f>
        <v>524.30999999999995</v>
      </c>
    </row>
    <row r="37" spans="1:98" ht="14.1" hidden="1">
      <c r="A37" s="30" t="s">
        <v>12</v>
      </c>
      <c r="B37" s="30" t="s">
        <v>2098</v>
      </c>
      <c r="D37" s="50" t="s">
        <v>2099</v>
      </c>
      <c r="E37" s="105" t="s">
        <v>2052</v>
      </c>
      <c r="F37" s="35" t="s">
        <v>2100</v>
      </c>
      <c r="G37" s="57" t="s">
        <v>1384</v>
      </c>
      <c r="H37" s="50">
        <v>4590002743</v>
      </c>
      <c r="I37" s="30" t="s">
        <v>448</v>
      </c>
      <c r="J37" s="30" t="s">
        <v>449</v>
      </c>
      <c r="K37" s="46">
        <v>385345.09</v>
      </c>
      <c r="L37" s="30" t="s">
        <v>2054</v>
      </c>
      <c r="M37" s="86">
        <v>44740</v>
      </c>
      <c r="N37" s="87" t="s">
        <v>2105</v>
      </c>
      <c r="O37" s="92" t="s">
        <v>2064</v>
      </c>
      <c r="P3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41434.120000000003</v>
      </c>
      <c r="Q3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38663.94</v>
      </c>
      <c r="R3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38663.94</v>
      </c>
      <c r="S37" s="72">
        <f>IF(AR_725[[#This Row],[PO Amount]]=0,1,AR_725[[#This Row],[Total AR (Sent)]]/AR_725[[#This Row],[PO Amount]])</f>
        <v>0.10752471245968127</v>
      </c>
      <c r="T37" s="45">
        <f>AR_725[[#This Row],[PO Amount]]-AR_725[[#This Row],[Total AR (Sent)]]</f>
        <v>343910.97000000003</v>
      </c>
      <c r="U37" s="40"/>
      <c r="V37" s="40"/>
      <c r="W37" s="46"/>
      <c r="X37" s="46"/>
      <c r="Y37" s="46"/>
      <c r="Z37" s="46"/>
      <c r="AA37" s="46"/>
      <c r="AB37" s="40"/>
      <c r="AC37" s="40"/>
      <c r="AD37" s="40"/>
      <c r="AE37" s="46"/>
      <c r="AF37" s="46"/>
      <c r="AG37" s="46"/>
      <c r="AH37" s="46"/>
      <c r="AI37" s="34"/>
      <c r="AJ37" s="56"/>
      <c r="AK37" s="34"/>
      <c r="AL37" s="40"/>
      <c r="AM37" s="34"/>
      <c r="AN37" s="40"/>
      <c r="AO37" s="34"/>
      <c r="AP37" s="40"/>
      <c r="AQ37" s="34"/>
      <c r="AR37" s="34"/>
      <c r="AS37" s="34"/>
      <c r="AU37" s="34"/>
      <c r="AV37" s="34"/>
      <c r="AW37" s="34"/>
      <c r="AX37" s="34"/>
      <c r="AY37" s="34"/>
      <c r="AZ37" s="34"/>
      <c r="BA37" s="40"/>
      <c r="BB37" s="34"/>
      <c r="BC37" s="34"/>
      <c r="BD37" s="41"/>
      <c r="BE37" s="40"/>
      <c r="BF37" s="34"/>
      <c r="BG37" s="40"/>
      <c r="BH37" s="34"/>
      <c r="BI37" s="34"/>
      <c r="BJ37" s="34"/>
      <c r="BK37" s="34"/>
      <c r="BL37" s="34"/>
      <c r="BM37" s="42">
        <v>14815.65</v>
      </c>
      <c r="BN37" s="34"/>
      <c r="BO37" s="40"/>
      <c r="BP37" s="34"/>
      <c r="BQ37" s="40"/>
      <c r="BR37" s="40"/>
      <c r="BS37" s="40"/>
      <c r="BT37" s="40"/>
      <c r="BU37" s="40"/>
      <c r="BV37" s="40"/>
      <c r="BW37" s="70"/>
      <c r="BX37" s="34"/>
      <c r="BZ37" s="40"/>
      <c r="CA37" s="81">
        <v>23848.29</v>
      </c>
      <c r="CB37" s="34"/>
      <c r="CC37" s="34"/>
      <c r="CD37" s="34"/>
      <c r="CE37" s="34"/>
      <c r="CF37" s="34"/>
      <c r="CG37" s="122"/>
      <c r="CI37" s="122"/>
      <c r="CJ37" s="30"/>
      <c r="CK37" s="122">
        <v>0</v>
      </c>
      <c r="CL37" s="122">
        <v>0</v>
      </c>
      <c r="CM37" s="122">
        <v>0</v>
      </c>
      <c r="CN37" s="122">
        <v>0</v>
      </c>
      <c r="CO37" s="122">
        <f>SUMIFS(BB___HK___AMHS__Others[AR Amount],BB___HK___AMHS__Others[PO No.],AR_725[[#This Row],[tsmc PO '#]],BB___HK___AMHS__Others[Status],"&lt;&gt;Rejected",BB___HK___AMHS__Others[YearMonth],"2024-07")</f>
        <v>2770.18</v>
      </c>
      <c r="CP37" s="122">
        <f>SUMIFS(BB___HK___AMHS__Others[Tax],BB___HK___AMHS__Others[PO No.],AR_725[[#This Row],[tsmc PO '#]],BB___HK___AMHS__Others[Status],"&lt;&gt;Rejected",BB___HK___AMHS__Others[YearMonth],"2024-07")</f>
        <v>0</v>
      </c>
      <c r="CQ37" s="34">
        <f>SUMIFS(BB___HK___AMHS__Others[AR Amount],BB___HK___AMHS__Others[PO No.],AR_725[[#This Row],[tsmc PO '#]],BB___HK___AMHS__Others[Status],"&lt;&gt;Rejected",BB___HK___AMHS__Others[YearMonth],"2024-08")</f>
        <v>0</v>
      </c>
      <c r="CR37" s="44">
        <f>SUMIFS(BB___HK___AMHS__Others[Tax],BB___HK___AMHS__Others[PO No.],AR_725[[#This Row],[tsmc PO '#]],BB___HK___AMHS__Others[Status],"&lt;&gt;Rejected",BB___HK___AMHS__Others[YearMonth],"2024-08")</f>
        <v>0</v>
      </c>
      <c r="CS37" s="62">
        <f>SUMIFS(BB___HK___AMHS__Others[AR Amount],BB___HK___AMHS__Others[PO No.],AR_725[[#This Row],[tsmc PO '#]],BB___HK___AMHS__Others[Status],"&lt;&gt;Rejected",BB___HK___AMHS__Others[YearMonth],"2024-09")</f>
        <v>0</v>
      </c>
      <c r="CT37" s="601">
        <f>SUMIFS(BB___HK___AMHS__Others[Tax],BB___HK___AMHS__Others[PO No.],AR_725[[#This Row],[tsmc PO '#]],BB___HK___AMHS__Others[Status],"&lt;&gt;Rejected",BB___HK___AMHS__Others[YearMonth],"2024-09")</f>
        <v>0</v>
      </c>
    </row>
    <row r="38" spans="1:98" ht="14.1" hidden="1">
      <c r="A38" s="30" t="s">
        <v>12</v>
      </c>
      <c r="B38" s="30" t="s">
        <v>2098</v>
      </c>
      <c r="D38" s="50" t="s">
        <v>2099</v>
      </c>
      <c r="E38" s="105" t="s">
        <v>2052</v>
      </c>
      <c r="F38" s="35" t="s">
        <v>2100</v>
      </c>
      <c r="G38" s="57" t="s">
        <v>1384</v>
      </c>
      <c r="H38" s="50">
        <v>4590002744</v>
      </c>
      <c r="I38" s="30" t="s">
        <v>448</v>
      </c>
      <c r="J38" s="30" t="s">
        <v>450</v>
      </c>
      <c r="K38" s="46">
        <v>457826.04</v>
      </c>
      <c r="L38" s="30" t="s">
        <v>2054</v>
      </c>
      <c r="M38" s="86">
        <v>44740</v>
      </c>
      <c r="N38" s="87" t="s">
        <v>2101</v>
      </c>
      <c r="O38" s="92" t="s">
        <v>2064</v>
      </c>
      <c r="P3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67676.66</v>
      </c>
      <c r="Q3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59333.299999999996</v>
      </c>
      <c r="R3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67676.66</v>
      </c>
      <c r="S38" s="72">
        <f>IF(AR_725[[#This Row],[PO Amount]]=0,1,AR_725[[#This Row],[Total AR (Sent)]]/AR_725[[#This Row],[PO Amount]])</f>
        <v>0.14782177964363932</v>
      </c>
      <c r="T38" s="45">
        <f>AR_725[[#This Row],[PO Amount]]-AR_725[[#This Row],[Total AR (Sent)]]</f>
        <v>390149.38</v>
      </c>
      <c r="U38" s="40"/>
      <c r="V38" s="40"/>
      <c r="W38" s="46"/>
      <c r="X38" s="46"/>
      <c r="Y38" s="46"/>
      <c r="Z38" s="46"/>
      <c r="AA38" s="46"/>
      <c r="AB38" s="40"/>
      <c r="AC38" s="40"/>
      <c r="AD38" s="40"/>
      <c r="AE38" s="46"/>
      <c r="AF38" s="46"/>
      <c r="AG38" s="46"/>
      <c r="AH38" s="46"/>
      <c r="AI38" s="34"/>
      <c r="AJ38" s="56"/>
      <c r="AK38" s="34"/>
      <c r="AL38" s="40"/>
      <c r="AM38" s="34"/>
      <c r="AN38" s="40"/>
      <c r="AO38" s="34"/>
      <c r="AP38" s="40"/>
      <c r="AQ38" s="34"/>
      <c r="AR38" s="34"/>
      <c r="AS38" s="34"/>
      <c r="AU38" s="34"/>
      <c r="AV38" s="34"/>
      <c r="AW38" s="34"/>
      <c r="AX38" s="34"/>
      <c r="AY38" s="34"/>
      <c r="AZ38" s="34"/>
      <c r="BA38" s="40"/>
      <c r="BB38" s="34"/>
      <c r="BC38" s="41"/>
      <c r="BD38" s="41"/>
      <c r="BE38" s="40"/>
      <c r="BF38" s="34"/>
      <c r="BG38" s="34"/>
      <c r="BH38" s="34"/>
      <c r="BI38" s="34"/>
      <c r="BJ38" s="34"/>
      <c r="BK38" s="34"/>
      <c r="BL38" s="34"/>
      <c r="BM38" s="42">
        <v>43093.63</v>
      </c>
      <c r="BN38" s="34"/>
      <c r="BO38" s="40"/>
      <c r="BP38" s="34"/>
      <c r="BQ38" s="40"/>
      <c r="BR38" s="40"/>
      <c r="BS38" s="40"/>
      <c r="BT38" s="40"/>
      <c r="BU38" s="40"/>
      <c r="BV38" s="40"/>
      <c r="BW38" s="70"/>
      <c r="BX38" s="34"/>
      <c r="BZ38" s="40"/>
      <c r="CA38" s="70">
        <v>16239.67</v>
      </c>
      <c r="CB38" s="34"/>
      <c r="CC38" s="34"/>
      <c r="CD38" s="34"/>
      <c r="CE38" s="34"/>
      <c r="CF38" s="34"/>
      <c r="CG38" s="122"/>
      <c r="CI38" s="122"/>
      <c r="CJ38" s="30"/>
      <c r="CK38" s="122">
        <v>0</v>
      </c>
      <c r="CL38" s="122">
        <v>0</v>
      </c>
      <c r="CM38" s="122">
        <v>0</v>
      </c>
      <c r="CN38" s="122">
        <v>0</v>
      </c>
      <c r="CO38" s="122">
        <f>SUMIFS(BB___HK___AMHS__Others[AR Amount],BB___HK___AMHS__Others[PO No.],AR_725[[#This Row],[tsmc PO '#]],BB___HK___AMHS__Others[Status],"&lt;&gt;Rejected",BB___HK___AMHS__Others[YearMonth],"2024-07")</f>
        <v>8343.36</v>
      </c>
      <c r="CP38" s="122">
        <f>SUMIFS(BB___HK___AMHS__Others[Tax],BB___HK___AMHS__Others[PO No.],AR_725[[#This Row],[tsmc PO '#]],BB___HK___AMHS__Others[Status],"&lt;&gt;Rejected",BB___HK___AMHS__Others[YearMonth],"2024-07")</f>
        <v>0</v>
      </c>
      <c r="CQ38" s="34">
        <f>SUMIFS(BB___HK___AMHS__Others[AR Amount],BB___HK___AMHS__Others[PO No.],AR_725[[#This Row],[tsmc PO '#]],BB___HK___AMHS__Others[Status],"&lt;&gt;Rejected",BB___HK___AMHS__Others[YearMonth],"2024-08")</f>
        <v>0</v>
      </c>
      <c r="CR38" s="44">
        <f>SUMIFS(BB___HK___AMHS__Others[Tax],BB___HK___AMHS__Others[PO No.],AR_725[[#This Row],[tsmc PO '#]],BB___HK___AMHS__Others[Status],"&lt;&gt;Rejected",BB___HK___AMHS__Others[YearMonth],"2024-08")</f>
        <v>0</v>
      </c>
      <c r="CS38" s="62">
        <f>SUMIFS(BB___HK___AMHS__Others[AR Amount],BB___HK___AMHS__Others[PO No.],AR_725[[#This Row],[tsmc PO '#]],BB___HK___AMHS__Others[Status],"&lt;&gt;Rejected",BB___HK___AMHS__Others[YearMonth],"2024-09")</f>
        <v>0</v>
      </c>
      <c r="CT38" s="601">
        <f>SUMIFS(BB___HK___AMHS__Others[Tax],BB___HK___AMHS__Others[PO No.],AR_725[[#This Row],[tsmc PO '#]],BB___HK___AMHS__Others[Status],"&lt;&gt;Rejected",BB___HK___AMHS__Others[YearMonth],"2024-09")</f>
        <v>0</v>
      </c>
    </row>
    <row r="39" spans="1:98" ht="14.1" hidden="1">
      <c r="A39" s="30" t="s">
        <v>13</v>
      </c>
      <c r="B39" s="30" t="s">
        <v>13</v>
      </c>
      <c r="D39" s="50"/>
      <c r="E39" s="48" t="s">
        <v>2106</v>
      </c>
      <c r="F39" s="48"/>
      <c r="G39" s="48" t="s">
        <v>54</v>
      </c>
      <c r="H39" s="50">
        <v>4590002851</v>
      </c>
      <c r="I39" s="30" t="s">
        <v>351</v>
      </c>
      <c r="J39" s="30" t="s">
        <v>349</v>
      </c>
      <c r="K39" s="46">
        <v>100880.34</v>
      </c>
      <c r="L39" s="30" t="s">
        <v>2054</v>
      </c>
      <c r="M39" s="86">
        <v>44742</v>
      </c>
      <c r="N39" s="87" t="s">
        <v>2103</v>
      </c>
      <c r="O39" s="88" t="s">
        <v>2104</v>
      </c>
      <c r="P3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100880.34</v>
      </c>
      <c r="Q3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100880.34</v>
      </c>
      <c r="R3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100880.34</v>
      </c>
      <c r="S39" s="72">
        <f>IF(AR_725[[#This Row],[PO Amount]]=0,1,AR_725[[#This Row],[Total AR (Sent)]]/AR_725[[#This Row],[PO Amount]])</f>
        <v>1</v>
      </c>
      <c r="T39" s="45">
        <f>AR_725[[#This Row],[PO Amount]]-AR_725[[#This Row],[Total AR (Sent)]]</f>
        <v>0</v>
      </c>
      <c r="U39" s="40"/>
      <c r="V39" s="40"/>
      <c r="W39" s="46"/>
      <c r="X39" s="46"/>
      <c r="Y39" s="46"/>
      <c r="Z39" s="46"/>
      <c r="AA39" s="46"/>
      <c r="AB39" s="40"/>
      <c r="AC39" s="40"/>
      <c r="AD39" s="40"/>
      <c r="AE39" s="46"/>
      <c r="AF39" s="46"/>
      <c r="AG39" s="46"/>
      <c r="AH39" s="46"/>
      <c r="AI39" s="34"/>
      <c r="AJ39" s="56"/>
      <c r="AK39" s="34"/>
      <c r="AL39" s="40"/>
      <c r="AM39" s="34"/>
      <c r="AN39" s="40"/>
      <c r="AO39" s="34"/>
      <c r="AP39" s="40"/>
      <c r="AQ39" s="34"/>
      <c r="AR39" s="34"/>
      <c r="AS39" s="34"/>
      <c r="AU39" s="34"/>
      <c r="AV39" s="34"/>
      <c r="AW39" s="34"/>
      <c r="AX39" s="34"/>
      <c r="AY39" s="34"/>
      <c r="AZ39" s="34"/>
      <c r="BA39" s="40"/>
      <c r="BB39" s="34"/>
      <c r="BC39" s="34"/>
      <c r="BD39" s="41"/>
      <c r="BE39" s="40"/>
      <c r="BF39" s="34"/>
      <c r="BG39" s="42">
        <v>100880.34</v>
      </c>
      <c r="BH39" s="34"/>
      <c r="BI39" s="34"/>
      <c r="BJ39" s="34"/>
      <c r="BK39" s="34"/>
      <c r="BL39" s="34"/>
      <c r="BM39" s="34"/>
      <c r="BN39" s="34"/>
      <c r="BO39" s="40"/>
      <c r="BP39" s="34"/>
      <c r="BQ39" s="40"/>
      <c r="BR39" s="40"/>
      <c r="BS39" s="40"/>
      <c r="BT39" s="40"/>
      <c r="BU39" s="40"/>
      <c r="BV39" s="40"/>
      <c r="BW39" s="40"/>
      <c r="BX39" s="34"/>
      <c r="BZ39" s="40"/>
      <c r="CA39" s="40"/>
      <c r="CB39" s="34"/>
      <c r="CC39" s="34"/>
      <c r="CD39" s="34"/>
      <c r="CE39" s="34"/>
      <c r="CF39" s="34"/>
      <c r="CG39" s="122"/>
      <c r="CI39" s="122"/>
      <c r="CJ39" s="30"/>
      <c r="CK39" s="122">
        <v>0</v>
      </c>
      <c r="CL39" s="122">
        <v>0</v>
      </c>
      <c r="CM39" s="122">
        <v>0</v>
      </c>
      <c r="CN39" s="122">
        <v>0</v>
      </c>
      <c r="CO39" s="122">
        <f>SUMIFS(BB___HK___AMHS__Others[AR Amount],BB___HK___AMHS__Others[PO No.],AR_725[[#This Row],[tsmc PO '#]],BB___HK___AMHS__Others[Status],"&lt;&gt;Rejected",BB___HK___AMHS__Others[YearMonth],"2024-07")</f>
        <v>0</v>
      </c>
      <c r="CP39" s="122">
        <f>SUMIFS(BB___HK___AMHS__Others[Tax],BB___HK___AMHS__Others[PO No.],AR_725[[#This Row],[tsmc PO '#]],BB___HK___AMHS__Others[Status],"&lt;&gt;Rejected",BB___HK___AMHS__Others[YearMonth],"2024-07")</f>
        <v>0</v>
      </c>
      <c r="CQ39" s="34">
        <f>SUMIFS(BB___HK___AMHS__Others[AR Amount],BB___HK___AMHS__Others[PO No.],AR_725[[#This Row],[tsmc PO '#]],BB___HK___AMHS__Others[Status],"&lt;&gt;Rejected",BB___HK___AMHS__Others[YearMonth],"2024-08")</f>
        <v>0</v>
      </c>
      <c r="CR39" s="44">
        <f>SUMIFS(BB___HK___AMHS__Others[Tax],BB___HK___AMHS__Others[PO No.],AR_725[[#This Row],[tsmc PO '#]],BB___HK___AMHS__Others[Status],"&lt;&gt;Rejected",BB___HK___AMHS__Others[YearMonth],"2024-08")</f>
        <v>0</v>
      </c>
      <c r="CS39" s="62">
        <f>SUMIFS(BB___HK___AMHS__Others[AR Amount],BB___HK___AMHS__Others[PO No.],AR_725[[#This Row],[tsmc PO '#]],BB___HK___AMHS__Others[Status],"&lt;&gt;Rejected",BB___HK___AMHS__Others[YearMonth],"2024-09")</f>
        <v>0</v>
      </c>
      <c r="CT39" s="601">
        <f>SUMIFS(BB___HK___AMHS__Others[Tax],BB___HK___AMHS__Others[PO No.],AR_725[[#This Row],[tsmc PO '#]],BB___HK___AMHS__Others[Status],"&lt;&gt;Rejected",BB___HK___AMHS__Others[YearMonth],"2024-09")</f>
        <v>0</v>
      </c>
    </row>
    <row r="40" spans="1:98" ht="14.1" hidden="1">
      <c r="A40" s="30" t="s">
        <v>11</v>
      </c>
      <c r="B40" s="30" t="s">
        <v>2098</v>
      </c>
      <c r="D40" s="50" t="s">
        <v>1546</v>
      </c>
      <c r="E40" s="603" t="s">
        <v>2052</v>
      </c>
      <c r="F40" s="48" t="s">
        <v>2053</v>
      </c>
      <c r="G40" s="57" t="s">
        <v>1384</v>
      </c>
      <c r="H40" s="50">
        <v>4590002960</v>
      </c>
      <c r="I40" s="30" t="s">
        <v>584</v>
      </c>
      <c r="J40" s="30" t="s">
        <v>1389</v>
      </c>
      <c r="K40" s="46">
        <v>537636.32999999996</v>
      </c>
      <c r="L40" s="30" t="s">
        <v>2107</v>
      </c>
      <c r="M40" s="86">
        <v>44742</v>
      </c>
      <c r="N40" s="87" t="s">
        <v>2103</v>
      </c>
      <c r="O40" s="88" t="s">
        <v>2056</v>
      </c>
      <c r="P4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191773.16</v>
      </c>
      <c r="Q4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4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191773.16</v>
      </c>
      <c r="S40" s="72">
        <f>IF(AR_725[[#This Row],[PO Amount]]=0,1,AR_725[[#This Row],[Total AR (Sent)]]/AR_725[[#This Row],[PO Amount]])</f>
        <v>0.35669680283696603</v>
      </c>
      <c r="T40" s="45">
        <f>AR_725[[#This Row],[PO Amount]]-AR_725[[#This Row],[Total AR (Sent)]]</f>
        <v>345863.16999999993</v>
      </c>
      <c r="U40" s="40"/>
      <c r="V40" s="40"/>
      <c r="W40" s="46"/>
      <c r="X40" s="46"/>
      <c r="Y40" s="46"/>
      <c r="Z40" s="46"/>
      <c r="AA40" s="46"/>
      <c r="AB40" s="40"/>
      <c r="AC40" s="40"/>
      <c r="AD40" s="40"/>
      <c r="AE40" s="46"/>
      <c r="AF40" s="46"/>
      <c r="AG40" s="46"/>
      <c r="AH40" s="46"/>
      <c r="AI40" s="34"/>
      <c r="AJ40" s="56"/>
      <c r="AK40" s="34"/>
      <c r="AL40" s="40"/>
      <c r="AM40" s="34"/>
      <c r="AN40" s="40"/>
      <c r="AO40" s="34"/>
      <c r="AP40" s="40"/>
      <c r="AQ40" s="34"/>
      <c r="AR40" s="34"/>
      <c r="AS40" s="34"/>
      <c r="AU40" s="34"/>
      <c r="AV40" s="34"/>
      <c r="AW40" s="34"/>
      <c r="AX40" s="34"/>
      <c r="AY40" s="61"/>
      <c r="AZ40" s="34"/>
      <c r="BA40" s="40"/>
      <c r="BB40" s="34"/>
      <c r="BC40" s="34"/>
      <c r="BD40" s="41"/>
      <c r="BE40" s="40"/>
      <c r="BF40" s="34"/>
      <c r="BG40" s="34"/>
      <c r="BH40" s="34"/>
      <c r="BI40" s="34"/>
      <c r="BJ40" s="34"/>
      <c r="BK40" s="34"/>
      <c r="BL40" s="34"/>
      <c r="BM40" s="34"/>
      <c r="BN40" s="34"/>
      <c r="BO40" s="40"/>
      <c r="BP40" s="34"/>
      <c r="BQ40" s="40"/>
      <c r="BR40" s="40"/>
      <c r="BS40" s="40"/>
      <c r="BT40" s="40"/>
      <c r="BU40" s="40"/>
      <c r="BV40" s="40"/>
      <c r="BW40" s="40"/>
      <c r="BX40" s="34"/>
      <c r="BY40" s="90">
        <f>26209-26209</f>
        <v>0</v>
      </c>
      <c r="BZ40" s="91">
        <f>1465-1465</f>
        <v>0</v>
      </c>
      <c r="CA40" s="40"/>
      <c r="CB40" s="34"/>
      <c r="CC40" s="34"/>
      <c r="CD40" s="34"/>
      <c r="CE40" s="34"/>
      <c r="CF40" s="34"/>
      <c r="CG40" s="122"/>
      <c r="CI40" s="122"/>
      <c r="CJ40" s="30"/>
      <c r="CK40" s="122">
        <v>0</v>
      </c>
      <c r="CL40" s="122">
        <v>0</v>
      </c>
      <c r="CM40" s="122">
        <v>191773.16</v>
      </c>
      <c r="CN40" s="122">
        <v>10720.12</v>
      </c>
      <c r="CO40" s="122">
        <f>SUMIFS(BB___HK___AMHS__Others[AR Amount],BB___HK___AMHS__Others[PO No.],AR_725[[#This Row],[tsmc PO '#]],BB___HK___AMHS__Others[Status],"&lt;&gt;Rejected",BB___HK___AMHS__Others[YearMonth],"2024-07")</f>
        <v>0</v>
      </c>
      <c r="CP40" s="122">
        <f>SUMIFS(BB___HK___AMHS__Others[Tax],BB___HK___AMHS__Others[PO No.],AR_725[[#This Row],[tsmc PO '#]],BB___HK___AMHS__Others[Status],"&lt;&gt;Rejected",BB___HK___AMHS__Others[YearMonth],"2024-07")</f>
        <v>0</v>
      </c>
      <c r="CQ40" s="34">
        <f>SUMIFS(BB___HK___AMHS__Others[AR Amount],BB___HK___AMHS__Others[PO No.],AR_725[[#This Row],[tsmc PO '#]],BB___HK___AMHS__Others[Status],"&lt;&gt;Rejected",BB___HK___AMHS__Others[YearMonth],"2024-08")</f>
        <v>0</v>
      </c>
      <c r="CR40" s="44">
        <f>SUMIFS(BB___HK___AMHS__Others[Tax],BB___HK___AMHS__Others[PO No.],AR_725[[#This Row],[tsmc PO '#]],BB___HK___AMHS__Others[Status],"&lt;&gt;Rejected",BB___HK___AMHS__Others[YearMonth],"2024-08")</f>
        <v>0</v>
      </c>
      <c r="CS40" s="62">
        <f>SUMIFS(BB___HK___AMHS__Others[AR Amount],BB___HK___AMHS__Others[PO No.],AR_725[[#This Row],[tsmc PO '#]],BB___HK___AMHS__Others[Status],"&lt;&gt;Rejected",BB___HK___AMHS__Others[YearMonth],"2024-09")</f>
        <v>0</v>
      </c>
      <c r="CT40" s="601">
        <f>SUMIFS(BB___HK___AMHS__Others[Tax],BB___HK___AMHS__Others[PO No.],AR_725[[#This Row],[tsmc PO '#]],BB___HK___AMHS__Others[Status],"&lt;&gt;Rejected",BB___HK___AMHS__Others[YearMonth],"2024-09")</f>
        <v>0</v>
      </c>
    </row>
    <row r="41" spans="1:98" ht="14.1" hidden="1">
      <c r="A41" s="30" t="s">
        <v>11</v>
      </c>
      <c r="B41" s="30" t="s">
        <v>2098</v>
      </c>
      <c r="D41" s="50" t="s">
        <v>1546</v>
      </c>
      <c r="E41" s="603" t="s">
        <v>2052</v>
      </c>
      <c r="F41" s="48" t="s">
        <v>2053</v>
      </c>
      <c r="G41" s="57" t="s">
        <v>1384</v>
      </c>
      <c r="H41" s="50">
        <v>4590002961</v>
      </c>
      <c r="I41" s="30" t="s">
        <v>584</v>
      </c>
      <c r="J41" s="30" t="s">
        <v>1398</v>
      </c>
      <c r="K41" s="46">
        <v>318208.52</v>
      </c>
      <c r="L41" s="30" t="s">
        <v>2107</v>
      </c>
      <c r="M41" s="86">
        <v>44742</v>
      </c>
      <c r="N41" s="87" t="s">
        <v>2103</v>
      </c>
      <c r="O41" s="88" t="s">
        <v>2056</v>
      </c>
      <c r="P4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123024.65</v>
      </c>
      <c r="Q4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4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123024.65</v>
      </c>
      <c r="S41" s="72">
        <f>IF(AR_725[[#This Row],[PO Amount]]=0,1,AR_725[[#This Row],[Total AR (Sent)]]/AR_725[[#This Row],[PO Amount]])</f>
        <v>0.38661645514708404</v>
      </c>
      <c r="T41" s="45">
        <f>AR_725[[#This Row],[PO Amount]]-AR_725[[#This Row],[Total AR (Sent)]]</f>
        <v>195183.87000000002</v>
      </c>
      <c r="U41" s="40"/>
      <c r="V41" s="40"/>
      <c r="W41" s="46"/>
      <c r="X41" s="46"/>
      <c r="Y41" s="46"/>
      <c r="Z41" s="46"/>
      <c r="AA41" s="46"/>
      <c r="AB41" s="40"/>
      <c r="AC41" s="40"/>
      <c r="AD41" s="40"/>
      <c r="AE41" s="46"/>
      <c r="AF41" s="46"/>
      <c r="AG41" s="46"/>
      <c r="AH41" s="46"/>
      <c r="AI41" s="34"/>
      <c r="AJ41" s="56"/>
      <c r="AK41" s="34"/>
      <c r="AL41" s="40"/>
      <c r="AM41" s="34"/>
      <c r="AN41" s="40"/>
      <c r="AO41" s="34"/>
      <c r="AP41" s="40"/>
      <c r="AQ41" s="34"/>
      <c r="AR41" s="34"/>
      <c r="AS41" s="34"/>
      <c r="AU41" s="34"/>
      <c r="AV41" s="34"/>
      <c r="AW41" s="34"/>
      <c r="AX41" s="34"/>
      <c r="AY41" s="61"/>
      <c r="AZ41" s="34"/>
      <c r="BA41" s="40"/>
      <c r="BB41" s="34"/>
      <c r="BC41" s="34"/>
      <c r="BD41" s="41"/>
      <c r="BE41" s="40"/>
      <c r="BF41" s="34"/>
      <c r="BG41" s="34"/>
      <c r="BH41" s="34"/>
      <c r="BI41" s="34"/>
      <c r="BJ41" s="34"/>
      <c r="BK41" s="34"/>
      <c r="BL41" s="34"/>
      <c r="BM41" s="34"/>
      <c r="BN41" s="34"/>
      <c r="BO41" s="40"/>
      <c r="BP41" s="34"/>
      <c r="BQ41" s="40"/>
      <c r="BR41" s="40"/>
      <c r="BS41" s="40"/>
      <c r="BT41" s="40"/>
      <c r="BU41" s="40"/>
      <c r="BV41" s="40"/>
      <c r="BW41" s="40"/>
      <c r="BX41" s="34"/>
      <c r="BY41" s="90">
        <f>3092.93-3092.93</f>
        <v>0</v>
      </c>
      <c r="BZ41" s="41"/>
      <c r="CA41" s="40"/>
      <c r="CB41" s="34"/>
      <c r="CC41" s="34"/>
      <c r="CD41" s="34"/>
      <c r="CE41" s="34"/>
      <c r="CF41" s="34"/>
      <c r="CG41" s="122"/>
      <c r="CI41" s="122"/>
      <c r="CJ41" s="30"/>
      <c r="CK41" s="122">
        <v>0</v>
      </c>
      <c r="CL41" s="122">
        <v>0</v>
      </c>
      <c r="CM41" s="122">
        <v>123024.65</v>
      </c>
      <c r="CN41" s="122">
        <v>6877.08</v>
      </c>
      <c r="CO41" s="122">
        <f>SUMIFS(BB___HK___AMHS__Others[AR Amount],BB___HK___AMHS__Others[PO No.],AR_725[[#This Row],[tsmc PO '#]],BB___HK___AMHS__Others[Status],"&lt;&gt;Rejected",BB___HK___AMHS__Others[YearMonth],"2024-07")</f>
        <v>0</v>
      </c>
      <c r="CP41" s="122">
        <f>SUMIFS(BB___HK___AMHS__Others[Tax],BB___HK___AMHS__Others[PO No.],AR_725[[#This Row],[tsmc PO '#]],BB___HK___AMHS__Others[Status],"&lt;&gt;Rejected",BB___HK___AMHS__Others[YearMonth],"2024-07")</f>
        <v>0</v>
      </c>
      <c r="CQ41" s="34">
        <f>SUMIFS(BB___HK___AMHS__Others[AR Amount],BB___HK___AMHS__Others[PO No.],AR_725[[#This Row],[tsmc PO '#]],BB___HK___AMHS__Others[Status],"&lt;&gt;Rejected",BB___HK___AMHS__Others[YearMonth],"2024-08")</f>
        <v>0</v>
      </c>
      <c r="CR41" s="44">
        <f>SUMIFS(BB___HK___AMHS__Others[Tax],BB___HK___AMHS__Others[PO No.],AR_725[[#This Row],[tsmc PO '#]],BB___HK___AMHS__Others[Status],"&lt;&gt;Rejected",BB___HK___AMHS__Others[YearMonth],"2024-08")</f>
        <v>0</v>
      </c>
      <c r="CS41" s="62">
        <f>SUMIFS(BB___HK___AMHS__Others[AR Amount],BB___HK___AMHS__Others[PO No.],AR_725[[#This Row],[tsmc PO '#]],BB___HK___AMHS__Others[Status],"&lt;&gt;Rejected",BB___HK___AMHS__Others[YearMonth],"2024-09")</f>
        <v>0</v>
      </c>
      <c r="CT41" s="601">
        <f>SUMIFS(BB___HK___AMHS__Others[Tax],BB___HK___AMHS__Others[PO No.],AR_725[[#This Row],[tsmc PO '#]],BB___HK___AMHS__Others[Status],"&lt;&gt;Rejected",BB___HK___AMHS__Others[YearMonth],"2024-09")</f>
        <v>0</v>
      </c>
    </row>
    <row r="42" spans="1:98" ht="14.1" hidden="1">
      <c r="A42" s="30" t="s">
        <v>12</v>
      </c>
      <c r="B42" s="30" t="s">
        <v>2098</v>
      </c>
      <c r="D42" s="50" t="s">
        <v>2099</v>
      </c>
      <c r="E42" s="105" t="s">
        <v>2052</v>
      </c>
      <c r="F42" s="48" t="s">
        <v>2100</v>
      </c>
      <c r="G42" s="48" t="s">
        <v>1384</v>
      </c>
      <c r="H42" s="50">
        <v>4590003431</v>
      </c>
      <c r="I42" s="30" t="s">
        <v>448</v>
      </c>
      <c r="J42" s="30" t="s">
        <v>451</v>
      </c>
      <c r="K42" s="46">
        <v>86306.18</v>
      </c>
      <c r="L42" s="30" t="s">
        <v>2107</v>
      </c>
      <c r="M42" s="86"/>
      <c r="N42" s="87" t="s">
        <v>2108</v>
      </c>
      <c r="O42" s="88" t="s">
        <v>2104</v>
      </c>
      <c r="P4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32144</v>
      </c>
      <c r="Q4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32144</v>
      </c>
      <c r="R4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32144</v>
      </c>
      <c r="S42" s="72">
        <f>IF(AR_725[[#This Row],[PO Amount]]=0,1,AR_725[[#This Row],[Total AR (Sent)]]/AR_725[[#This Row],[PO Amount]])</f>
        <v>0.37244146363562847</v>
      </c>
      <c r="T42" s="45">
        <f>AR_725[[#This Row],[PO Amount]]-AR_725[[#This Row],[Total AR (Sent)]]</f>
        <v>54162.179999999993</v>
      </c>
      <c r="U42" s="40"/>
      <c r="V42" s="40"/>
      <c r="W42" s="46"/>
      <c r="X42" s="46"/>
      <c r="Y42" s="46"/>
      <c r="Z42" s="46"/>
      <c r="AA42" s="46"/>
      <c r="AB42" s="40"/>
      <c r="AC42" s="40"/>
      <c r="AD42" s="40"/>
      <c r="AE42" s="46"/>
      <c r="AF42" s="46"/>
      <c r="AG42" s="46"/>
      <c r="AH42" s="46"/>
      <c r="AI42" s="34"/>
      <c r="AJ42" s="56"/>
      <c r="AK42" s="34"/>
      <c r="AL42" s="40"/>
      <c r="AM42" s="34"/>
      <c r="AN42" s="40"/>
      <c r="AO42" s="34"/>
      <c r="AP42" s="40"/>
      <c r="AQ42" s="34"/>
      <c r="AR42" s="34"/>
      <c r="AS42" s="34"/>
      <c r="AU42" s="34"/>
      <c r="AV42" s="34"/>
      <c r="AW42" s="34"/>
      <c r="AX42" s="34"/>
      <c r="AY42" s="34"/>
      <c r="AZ42" s="34"/>
      <c r="BA42" s="40"/>
      <c r="BB42" s="34"/>
      <c r="BC42" s="34"/>
      <c r="BD42" s="41"/>
      <c r="BE42" s="40"/>
      <c r="BF42" s="34"/>
      <c r="BG42" s="34"/>
      <c r="BH42" s="34"/>
      <c r="BI42" s="34"/>
      <c r="BJ42" s="34"/>
      <c r="BK42" s="34"/>
      <c r="BL42" s="34"/>
      <c r="BM42" s="42">
        <v>5100</v>
      </c>
      <c r="BN42" s="34"/>
      <c r="BO42" s="40"/>
      <c r="BP42" s="34"/>
      <c r="BQ42" s="40"/>
      <c r="BR42" s="40"/>
      <c r="BS42" s="40"/>
      <c r="BT42" s="40"/>
      <c r="BU42" s="40"/>
      <c r="BV42" s="40"/>
      <c r="BW42" s="90">
        <v>27044</v>
      </c>
      <c r="BX42" s="34"/>
      <c r="BZ42" s="40"/>
      <c r="CA42" s="40"/>
      <c r="CB42" s="34"/>
      <c r="CC42" s="34"/>
      <c r="CD42" s="34"/>
      <c r="CE42" s="34"/>
      <c r="CF42" s="34"/>
      <c r="CG42" s="122"/>
      <c r="CI42" s="122"/>
      <c r="CJ42" s="30"/>
      <c r="CK42" s="122">
        <v>0</v>
      </c>
      <c r="CL42" s="122">
        <v>0</v>
      </c>
      <c r="CM42" s="122">
        <v>0</v>
      </c>
      <c r="CN42" s="122">
        <v>0</v>
      </c>
      <c r="CO42" s="122">
        <f>SUMIFS(BB___HK___AMHS__Others[AR Amount],BB___HK___AMHS__Others[PO No.],AR_725[[#This Row],[tsmc PO '#]],BB___HK___AMHS__Others[Status],"&lt;&gt;Rejected",BB___HK___AMHS__Others[YearMonth],"2024-07")</f>
        <v>0</v>
      </c>
      <c r="CP42" s="122">
        <f>SUMIFS(BB___HK___AMHS__Others[Tax],BB___HK___AMHS__Others[PO No.],AR_725[[#This Row],[tsmc PO '#]],BB___HK___AMHS__Others[Status],"&lt;&gt;Rejected",BB___HK___AMHS__Others[YearMonth],"2024-07")</f>
        <v>0</v>
      </c>
      <c r="CQ42" s="34">
        <f>SUMIFS(BB___HK___AMHS__Others[AR Amount],BB___HK___AMHS__Others[PO No.],AR_725[[#This Row],[tsmc PO '#]],BB___HK___AMHS__Others[Status],"&lt;&gt;Rejected",BB___HK___AMHS__Others[YearMonth],"2024-08")</f>
        <v>0</v>
      </c>
      <c r="CR42" s="44">
        <f>SUMIFS(BB___HK___AMHS__Others[Tax],BB___HK___AMHS__Others[PO No.],AR_725[[#This Row],[tsmc PO '#]],BB___HK___AMHS__Others[Status],"&lt;&gt;Rejected",BB___HK___AMHS__Others[YearMonth],"2024-08")</f>
        <v>0</v>
      </c>
      <c r="CS42" s="62">
        <f>SUMIFS(BB___HK___AMHS__Others[AR Amount],BB___HK___AMHS__Others[PO No.],AR_725[[#This Row],[tsmc PO '#]],BB___HK___AMHS__Others[Status],"&lt;&gt;Rejected",BB___HK___AMHS__Others[YearMonth],"2024-09")</f>
        <v>0</v>
      </c>
      <c r="CT42" s="601">
        <f>SUMIFS(BB___HK___AMHS__Others[Tax],BB___HK___AMHS__Others[PO No.],AR_725[[#This Row],[tsmc PO '#]],BB___HK___AMHS__Others[Status],"&lt;&gt;Rejected",BB___HK___AMHS__Others[YearMonth],"2024-09")</f>
        <v>0</v>
      </c>
    </row>
    <row r="43" spans="1:98" ht="14.1" hidden="1">
      <c r="A43" s="30" t="s">
        <v>12</v>
      </c>
      <c r="B43" s="30" t="s">
        <v>2098</v>
      </c>
      <c r="D43" s="50" t="s">
        <v>2099</v>
      </c>
      <c r="E43" s="105" t="s">
        <v>2052</v>
      </c>
      <c r="F43" s="48" t="s">
        <v>2100</v>
      </c>
      <c r="G43" s="57" t="s">
        <v>1384</v>
      </c>
      <c r="H43" s="50">
        <v>4590003432</v>
      </c>
      <c r="I43" s="30" t="s">
        <v>448</v>
      </c>
      <c r="J43" s="30" t="s">
        <v>1385</v>
      </c>
      <c r="K43" s="46">
        <v>47935.47</v>
      </c>
      <c r="L43" s="30" t="s">
        <v>2107</v>
      </c>
      <c r="M43" s="86"/>
      <c r="N43" s="87" t="s">
        <v>2108</v>
      </c>
      <c r="O43" s="88" t="s">
        <v>2104</v>
      </c>
      <c r="P4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18486</v>
      </c>
      <c r="Q4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4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43" s="72">
        <f>IF(AR_725[[#This Row],[PO Amount]]=0,1,AR_725[[#This Row],[Total AR (Sent)]]/AR_725[[#This Row],[PO Amount]])</f>
        <v>0.38564344941230366</v>
      </c>
      <c r="T43" s="45">
        <f>AR_725[[#This Row],[PO Amount]]-AR_725[[#This Row],[Total AR (Sent)]]</f>
        <v>29449.47</v>
      </c>
      <c r="U43" s="40"/>
      <c r="V43" s="40"/>
      <c r="W43" s="46"/>
      <c r="X43" s="46"/>
      <c r="Y43" s="46"/>
      <c r="Z43" s="46"/>
      <c r="AA43" s="46"/>
      <c r="AB43" s="40"/>
      <c r="AC43" s="40"/>
      <c r="AD43" s="40"/>
      <c r="AE43" s="46"/>
      <c r="AF43" s="46"/>
      <c r="AG43" s="46"/>
      <c r="AH43" s="46"/>
      <c r="AI43" s="34"/>
      <c r="AJ43" s="56"/>
      <c r="AK43" s="34"/>
      <c r="AL43" s="40"/>
      <c r="AM43" s="34"/>
      <c r="AN43" s="40"/>
      <c r="AO43" s="34"/>
      <c r="AP43" s="40"/>
      <c r="AQ43" s="34"/>
      <c r="AR43" s="34"/>
      <c r="AS43" s="34"/>
      <c r="AU43" s="34"/>
      <c r="AV43" s="34"/>
      <c r="AW43" s="34"/>
      <c r="AX43" s="34"/>
      <c r="AY43" s="34"/>
      <c r="AZ43" s="34"/>
      <c r="BA43" s="40"/>
      <c r="BB43" s="34"/>
      <c r="BC43" s="34"/>
      <c r="BD43" s="41"/>
      <c r="BE43" s="40"/>
      <c r="BF43" s="34"/>
      <c r="BG43" s="34"/>
      <c r="BH43" s="34"/>
      <c r="BI43" s="34"/>
      <c r="BJ43" s="34"/>
      <c r="BK43" s="34"/>
      <c r="BL43" s="34"/>
      <c r="BM43" s="34"/>
      <c r="BN43" s="34"/>
      <c r="BO43" s="40"/>
      <c r="BP43" s="34"/>
      <c r="BQ43" s="40"/>
      <c r="BR43" s="40"/>
      <c r="BS43" s="40"/>
      <c r="BT43" s="40"/>
      <c r="BU43" s="40"/>
      <c r="BV43" s="40"/>
      <c r="BW43" s="77">
        <f>18486-18486</f>
        <v>0</v>
      </c>
      <c r="BX43" s="34"/>
      <c r="BZ43" s="40"/>
      <c r="CA43" s="40"/>
      <c r="CB43" s="34"/>
      <c r="CC43" s="34"/>
      <c r="CD43" s="34"/>
      <c r="CE43" s="34"/>
      <c r="CF43" s="34"/>
      <c r="CG43" s="122"/>
      <c r="CI43" s="116">
        <v>18486</v>
      </c>
      <c r="CJ43" s="30"/>
      <c r="CK43" s="122">
        <v>0</v>
      </c>
      <c r="CL43" s="122">
        <v>0</v>
      </c>
      <c r="CM43" s="122">
        <v>0</v>
      </c>
      <c r="CN43" s="122">
        <v>0</v>
      </c>
      <c r="CO43" s="122">
        <f>SUMIFS(BB___HK___AMHS__Others[AR Amount],BB___HK___AMHS__Others[PO No.],AR_725[[#This Row],[tsmc PO '#]],BB___HK___AMHS__Others[Status],"&lt;&gt;Rejected",BB___HK___AMHS__Others[YearMonth],"2024-07")</f>
        <v>0</v>
      </c>
      <c r="CP43" s="122">
        <f>SUMIFS(BB___HK___AMHS__Others[Tax],BB___HK___AMHS__Others[PO No.],AR_725[[#This Row],[tsmc PO '#]],BB___HK___AMHS__Others[Status],"&lt;&gt;Rejected",BB___HK___AMHS__Others[YearMonth],"2024-07")</f>
        <v>0</v>
      </c>
      <c r="CQ43" s="34">
        <f>SUMIFS(BB___HK___AMHS__Others[AR Amount],BB___HK___AMHS__Others[PO No.],AR_725[[#This Row],[tsmc PO '#]],BB___HK___AMHS__Others[Status],"&lt;&gt;Rejected",BB___HK___AMHS__Others[YearMonth],"2024-08")</f>
        <v>0</v>
      </c>
      <c r="CR43" s="44">
        <f>SUMIFS(BB___HK___AMHS__Others[Tax],BB___HK___AMHS__Others[PO No.],AR_725[[#This Row],[tsmc PO '#]],BB___HK___AMHS__Others[Status],"&lt;&gt;Rejected",BB___HK___AMHS__Others[YearMonth],"2024-08")</f>
        <v>0</v>
      </c>
      <c r="CS43" s="62">
        <f>SUMIFS(BB___HK___AMHS__Others[AR Amount],BB___HK___AMHS__Others[PO No.],AR_725[[#This Row],[tsmc PO '#]],BB___HK___AMHS__Others[Status],"&lt;&gt;Rejected",BB___HK___AMHS__Others[YearMonth],"2024-09")</f>
        <v>0</v>
      </c>
      <c r="CT43" s="601">
        <f>SUMIFS(BB___HK___AMHS__Others[Tax],BB___HK___AMHS__Others[PO No.],AR_725[[#This Row],[tsmc PO '#]],BB___HK___AMHS__Others[Status],"&lt;&gt;Rejected",BB___HK___AMHS__Others[YearMonth],"2024-09")</f>
        <v>0</v>
      </c>
    </row>
    <row r="44" spans="1:98" ht="14.1" hidden="1">
      <c r="A44" s="30" t="s">
        <v>8</v>
      </c>
      <c r="B44" s="30" t="s">
        <v>8</v>
      </c>
      <c r="D44" s="50" t="s">
        <v>8</v>
      </c>
      <c r="E44" s="48" t="s">
        <v>2109</v>
      </c>
      <c r="F44" s="48" t="s">
        <v>2110</v>
      </c>
      <c r="G44" s="48" t="s">
        <v>1435</v>
      </c>
      <c r="H44" s="50">
        <v>4590003763</v>
      </c>
      <c r="I44" s="30" t="s">
        <v>258</v>
      </c>
      <c r="J44" s="30" t="s">
        <v>255</v>
      </c>
      <c r="K44" s="46">
        <v>174794.05</v>
      </c>
      <c r="L44" s="30" t="s">
        <v>2062</v>
      </c>
      <c r="M44" s="86">
        <v>44770</v>
      </c>
      <c r="N44" s="87" t="s">
        <v>2063</v>
      </c>
      <c r="O44" s="88" t="s">
        <v>2056</v>
      </c>
      <c r="P4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174794.05000000002</v>
      </c>
      <c r="Q4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126287.92000000001</v>
      </c>
      <c r="R4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174794.05000000002</v>
      </c>
      <c r="S44" s="72">
        <f>IF(AR_725[[#This Row],[PO Amount]]=0,1,AR_725[[#This Row],[Total AR (Sent)]]/AR_725[[#This Row],[PO Amount]])</f>
        <v>1.0000000000000002</v>
      </c>
      <c r="T44" s="45">
        <f>AR_725[[#This Row],[PO Amount]]-AR_725[[#This Row],[Total AR (Sent)]]</f>
        <v>0</v>
      </c>
      <c r="U44" s="40"/>
      <c r="V44" s="40"/>
      <c r="W44" s="46"/>
      <c r="X44" s="46"/>
      <c r="Y44" s="46"/>
      <c r="Z44" s="46"/>
      <c r="AA44" s="46"/>
      <c r="AB44" s="40"/>
      <c r="AC44" s="40"/>
      <c r="AD44" s="40"/>
      <c r="AE44" s="46"/>
      <c r="AF44" s="46"/>
      <c r="AG44" s="46"/>
      <c r="AH44" s="46"/>
      <c r="AI44" s="34"/>
      <c r="AJ44" s="56"/>
      <c r="AK44" s="34"/>
      <c r="AL44" s="40"/>
      <c r="AM44" s="34"/>
      <c r="AN44" s="40"/>
      <c r="AO44" s="34"/>
      <c r="AP44" s="40"/>
      <c r="AQ44" s="34"/>
      <c r="AR44" s="34"/>
      <c r="AS44" s="34"/>
      <c r="AU44" s="34"/>
      <c r="AV44" s="34"/>
      <c r="AW44" s="53"/>
      <c r="AX44" s="34"/>
      <c r="AY44" s="34"/>
      <c r="AZ44" s="34"/>
      <c r="BA44" s="70">
        <f>83027.38-83027.38</f>
        <v>0</v>
      </c>
      <c r="BB44" s="34"/>
      <c r="BC44" s="42">
        <v>83027.38</v>
      </c>
      <c r="BD44" s="41"/>
      <c r="BE44" s="40"/>
      <c r="BF44" s="34"/>
      <c r="BG44" s="34"/>
      <c r="BH44" s="34"/>
      <c r="BI44" s="61">
        <f>4369.13-4369.13</f>
        <v>0</v>
      </c>
      <c r="BJ44" s="34"/>
      <c r="BK44" s="34"/>
      <c r="BL44" s="34"/>
      <c r="BM44" s="34"/>
      <c r="BN44" s="34"/>
      <c r="BO44" s="42">
        <v>32773.440000000002</v>
      </c>
      <c r="BP44" s="34"/>
      <c r="BQ44" s="40"/>
      <c r="BR44" s="40"/>
      <c r="BS44" s="40"/>
      <c r="BT44" s="40"/>
      <c r="BU44" s="40"/>
      <c r="BV44" s="40"/>
      <c r="BW44" s="40"/>
      <c r="BX44" s="34"/>
      <c r="BZ44" s="40"/>
      <c r="CA44" s="40"/>
      <c r="CB44" s="34"/>
      <c r="CC44" s="34"/>
      <c r="CD44" s="34"/>
      <c r="CE44" s="34"/>
      <c r="CF44" s="34"/>
      <c r="CG44" s="122">
        <f>SUMIFS(BB___HK___AMHS__Others[AR Amount],BB___HK___AMHS__Others[PO No.],AR_725[[#This Row],[tsmc PO '#]],BB___HK___AMHS__Others[Status],"&lt;&gt;Rejected",BB___HK___AMHS__Others[YearMonth],"2024-03")</f>
        <v>10487.1</v>
      </c>
      <c r="CI44" s="122">
        <f>SUMIFS(BB___HK___AMHS__Others[AR Amount],BB___HK___AMHS__Others[PO No.],AR_725[[#This Row],[tsmc PO '#]],BB___HK___AMHS__Others[Status],"&lt;&gt;Rejected",BB___HK___AMHS__Others[YearMonth],"2024-04")</f>
        <v>0</v>
      </c>
      <c r="CJ44" s="30"/>
      <c r="CK44" s="122">
        <v>0</v>
      </c>
      <c r="CL44" s="122">
        <v>0</v>
      </c>
      <c r="CM44" s="122">
        <v>0</v>
      </c>
      <c r="CN44" s="122">
        <v>0</v>
      </c>
      <c r="CO44" s="122">
        <f>SUMIFS(BB___HK___AMHS__Others[AR Amount],BB___HK___AMHS__Others[PO No.],AR_725[[#This Row],[tsmc PO '#]],BB___HK___AMHS__Others[Status],"&lt;&gt;Rejected",BB___HK___AMHS__Others[YearMonth],"2024-07")</f>
        <v>48506.13</v>
      </c>
      <c r="CP44" s="122">
        <f>SUMIFS(BB___HK___AMHS__Others[Tax],BB___HK___AMHS__Others[PO No.],AR_725[[#This Row],[tsmc PO '#]],BB___HK___AMHS__Others[Status],"&lt;&gt;Rejected",BB___HK___AMHS__Others[YearMonth],"2024-07")</f>
        <v>0</v>
      </c>
      <c r="CQ44" s="34">
        <f>SUMIFS(BB___HK___AMHS__Others[AR Amount],BB___HK___AMHS__Others[PO No.],AR_725[[#This Row],[tsmc PO '#]],BB___HK___AMHS__Others[Status],"&lt;&gt;Rejected",BB___HK___AMHS__Others[YearMonth],"2024-08")</f>
        <v>0</v>
      </c>
      <c r="CR44" s="44">
        <f>SUMIFS(BB___HK___AMHS__Others[Tax],BB___HK___AMHS__Others[PO No.],AR_725[[#This Row],[tsmc PO '#]],BB___HK___AMHS__Others[Status],"&lt;&gt;Rejected",BB___HK___AMHS__Others[YearMonth],"2024-08")</f>
        <v>0</v>
      </c>
      <c r="CS44" s="62">
        <f>SUMIFS(BB___HK___AMHS__Others[AR Amount],BB___HK___AMHS__Others[PO No.],AR_725[[#This Row],[tsmc PO '#]],BB___HK___AMHS__Others[Status],"&lt;&gt;Rejected",BB___HK___AMHS__Others[YearMonth],"2024-09")</f>
        <v>0</v>
      </c>
      <c r="CT44" s="601">
        <f>SUMIFS(BB___HK___AMHS__Others[Tax],BB___HK___AMHS__Others[PO No.],AR_725[[#This Row],[tsmc PO '#]],BB___HK___AMHS__Others[Status],"&lt;&gt;Rejected",BB___HK___AMHS__Others[YearMonth],"2024-09")</f>
        <v>0</v>
      </c>
    </row>
    <row r="45" spans="1:98" ht="14.1" hidden="1">
      <c r="A45" s="30" t="s">
        <v>9</v>
      </c>
      <c r="B45" s="30" t="s">
        <v>2051</v>
      </c>
      <c r="D45" s="50" t="s">
        <v>1706</v>
      </c>
      <c r="E45" s="57" t="s">
        <v>2070</v>
      </c>
      <c r="F45" s="48" t="s">
        <v>2071</v>
      </c>
      <c r="G45" s="57" t="s">
        <v>919</v>
      </c>
      <c r="H45" s="50">
        <v>4590003895</v>
      </c>
      <c r="I45" s="30" t="s">
        <v>118</v>
      </c>
      <c r="J45" s="30" t="s">
        <v>320</v>
      </c>
      <c r="K45" s="46">
        <v>668104</v>
      </c>
      <c r="L45" s="30" t="s">
        <v>2062</v>
      </c>
      <c r="M45" s="86">
        <v>44776</v>
      </c>
      <c r="N45" s="87" t="s">
        <v>2063</v>
      </c>
      <c r="O45" s="88" t="s">
        <v>2111</v>
      </c>
      <c r="P4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668104</v>
      </c>
      <c r="Q4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599505</v>
      </c>
      <c r="R4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668103.61</v>
      </c>
      <c r="S45" s="72">
        <f>IF(AR_725[[#This Row],[PO Amount]]=0,1,AR_725[[#This Row],[Total AR (Sent)]]/AR_725[[#This Row],[PO Amount]])</f>
        <v>1</v>
      </c>
      <c r="T45" s="75">
        <f>AR_725[[#This Row],[PO Amount]]-AR_725[[#This Row],[Total AR (Sent)]]</f>
        <v>0</v>
      </c>
      <c r="U45" s="40"/>
      <c r="V45" s="40"/>
      <c r="W45" s="46"/>
      <c r="X45" s="46"/>
      <c r="Y45" s="46"/>
      <c r="Z45" s="46"/>
      <c r="AA45" s="46"/>
      <c r="AB45" s="40"/>
      <c r="AC45" s="40"/>
      <c r="AD45" s="40"/>
      <c r="AE45" s="46"/>
      <c r="AF45" s="46"/>
      <c r="AG45" s="46"/>
      <c r="AH45" s="46"/>
      <c r="AI45" s="41"/>
      <c r="AJ45" s="93"/>
      <c r="AK45" s="41"/>
      <c r="AL45" s="46"/>
      <c r="AM45" s="41"/>
      <c r="AN45" s="46"/>
      <c r="AO45" s="41"/>
      <c r="AP45" s="46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6"/>
      <c r="BB45" s="41"/>
      <c r="BC45" s="41"/>
      <c r="BD45" s="41"/>
      <c r="BE45" s="47">
        <v>36498</v>
      </c>
      <c r="BF45" s="41"/>
      <c r="BG45" s="41"/>
      <c r="BH45" s="41"/>
      <c r="BI45" s="42">
        <v>270748</v>
      </c>
      <c r="BJ45" s="41"/>
      <c r="BK45" s="41"/>
      <c r="BL45" s="41"/>
      <c r="BM45" s="41"/>
      <c r="BN45" s="41"/>
      <c r="BO45" s="46"/>
      <c r="BP45" s="41"/>
      <c r="BQ45" s="46"/>
      <c r="BR45" s="40"/>
      <c r="BS45" s="40"/>
      <c r="BT45" s="40"/>
      <c r="BU45" s="40"/>
      <c r="BV45" s="40"/>
      <c r="BW45" s="40"/>
      <c r="BX45" s="34"/>
      <c r="BZ45" s="40"/>
      <c r="CA45" s="40"/>
      <c r="CB45" s="34"/>
      <c r="CC45" s="34"/>
      <c r="CD45" s="34"/>
      <c r="CE45" s="34"/>
      <c r="CF45" s="34"/>
      <c r="CG45" s="123">
        <v>292259</v>
      </c>
      <c r="CI45" s="122"/>
      <c r="CJ45" s="30"/>
      <c r="CK45" s="122">
        <v>34621</v>
      </c>
      <c r="CL45" s="122">
        <v>0</v>
      </c>
      <c r="CM45" s="122">
        <v>0</v>
      </c>
      <c r="CN45" s="122">
        <v>0</v>
      </c>
      <c r="CO45" s="122">
        <f>SUMIFS(BB___HK___AMHS__Others[AR Amount],BB___HK___AMHS__Others[PO No.],AR_725[[#This Row],[tsmc PO '#]],BB___HK___AMHS__Others[Status],"&lt;&gt;Rejected",BB___HK___AMHS__Others[YearMonth],"2024-07")</f>
        <v>33978</v>
      </c>
      <c r="CP45" s="122">
        <f>SUMIFS(BB___HK___AMHS__Others[Tax],BB___HK___AMHS__Others[PO No.],AR_725[[#This Row],[tsmc PO '#]],BB___HK___AMHS__Others[Status],"&lt;&gt;Rejected",BB___HK___AMHS__Others[YearMonth],"2024-07")</f>
        <v>0</v>
      </c>
      <c r="CQ45" s="34">
        <f>SUMIFS(BB___HK___AMHS__Others[AR Amount],BB___HK___AMHS__Others[PO No.],AR_725[[#This Row],[tsmc PO '#]],BB___HK___AMHS__Others[Status],"&lt;&gt;Rejected",BB___HK___AMHS__Others[YearMonth],"2024-08")</f>
        <v>0</v>
      </c>
      <c r="CR45" s="44">
        <f>SUMIFS(BB___HK___AMHS__Others[Tax],BB___HK___AMHS__Others[PO No.],AR_725[[#This Row],[tsmc PO '#]],BB___HK___AMHS__Others[Status],"&lt;&gt;Rejected",BB___HK___AMHS__Others[YearMonth],"2024-08")</f>
        <v>0</v>
      </c>
      <c r="CS45" s="62">
        <f>SUMIFS(BB___HK___AMHS__Others[AR Amount],BB___HK___AMHS__Others[PO No.],AR_725[[#This Row],[tsmc PO '#]],BB___HK___AMHS__Others[Status],"&lt;&gt;Rejected",BB___HK___AMHS__Others[YearMonth],"2024-09")</f>
        <v>0</v>
      </c>
      <c r="CT45" s="601">
        <f>SUMIFS(BB___HK___AMHS__Others[Tax],BB___HK___AMHS__Others[PO No.],AR_725[[#This Row],[tsmc PO '#]],BB___HK___AMHS__Others[Status],"&lt;&gt;Rejected",BB___HK___AMHS__Others[YearMonth],"2024-09")</f>
        <v>0</v>
      </c>
    </row>
    <row r="46" spans="1:98" ht="14.1" hidden="1">
      <c r="A46" s="30" t="s">
        <v>13</v>
      </c>
      <c r="B46" s="30" t="s">
        <v>13</v>
      </c>
      <c r="D46" s="50"/>
      <c r="E46" s="50" t="s">
        <v>2044</v>
      </c>
      <c r="F46" s="48" t="s">
        <v>2090</v>
      </c>
      <c r="G46" s="48" t="s">
        <v>316</v>
      </c>
      <c r="H46" s="50">
        <v>4590003912</v>
      </c>
      <c r="I46" s="30" t="s">
        <v>222</v>
      </c>
      <c r="J46" s="30" t="s">
        <v>384</v>
      </c>
      <c r="K46" s="46">
        <v>586718.13</v>
      </c>
      <c r="L46" s="30" t="s">
        <v>2062</v>
      </c>
      <c r="M46" s="86">
        <v>44776</v>
      </c>
      <c r="N46" s="87" t="s">
        <v>2063</v>
      </c>
      <c r="O46" s="88" t="s">
        <v>2104</v>
      </c>
      <c r="P4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586718.13</v>
      </c>
      <c r="Q4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586718.13</v>
      </c>
      <c r="R4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586718.13</v>
      </c>
      <c r="S46" s="72">
        <f>IF(AR_725[[#This Row],[PO Amount]]=0,1,AR_725[[#This Row],[Total AR (Sent)]]/AR_725[[#This Row],[PO Amount]])</f>
        <v>1</v>
      </c>
      <c r="T46" s="75">
        <f>AR_725[[#This Row],[PO Amount]]-AR_725[[#This Row],[Total AR (Sent)]]</f>
        <v>0</v>
      </c>
      <c r="U46" s="40"/>
      <c r="V46" s="40"/>
      <c r="W46" s="46"/>
      <c r="X46" s="46"/>
      <c r="Y46" s="46"/>
      <c r="Z46" s="46"/>
      <c r="AA46" s="46"/>
      <c r="AB46" s="40"/>
      <c r="AC46" s="40"/>
      <c r="AD46" s="40"/>
      <c r="AE46" s="46"/>
      <c r="AF46" s="46"/>
      <c r="AG46" s="46"/>
      <c r="AH46" s="46"/>
      <c r="AI46" s="41"/>
      <c r="AJ46" s="41"/>
      <c r="AK46" s="41"/>
      <c r="AL46" s="46"/>
      <c r="AM46" s="41"/>
      <c r="AN46" s="46"/>
      <c r="AO46" s="41"/>
      <c r="AP46" s="46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6"/>
      <c r="BB46" s="41"/>
      <c r="BC46" s="41"/>
      <c r="BD46" s="41"/>
      <c r="BE46" s="46"/>
      <c r="BF46" s="41"/>
      <c r="BG46" s="41"/>
      <c r="BH46" s="41"/>
      <c r="BI46" s="42">
        <v>117343.63</v>
      </c>
      <c r="BJ46" s="41"/>
      <c r="BK46" s="42">
        <v>77330.3</v>
      </c>
      <c r="BL46" s="41"/>
      <c r="BM46" s="42">
        <v>170487.1</v>
      </c>
      <c r="BN46" s="34"/>
      <c r="BO46" s="47">
        <v>21584.31</v>
      </c>
      <c r="BP46" s="41"/>
      <c r="BQ46" s="47">
        <v>134405</v>
      </c>
      <c r="BR46" s="40"/>
      <c r="BS46" s="47">
        <v>46189.95</v>
      </c>
      <c r="BT46" s="40"/>
      <c r="BU46" s="47">
        <v>19377.84</v>
      </c>
      <c r="BV46" s="40"/>
      <c r="BW46" s="40"/>
      <c r="BX46" s="34"/>
      <c r="BZ46" s="40"/>
      <c r="CA46" s="40"/>
      <c r="CB46" s="34"/>
      <c r="CC46" s="34"/>
      <c r="CD46" s="34"/>
      <c r="CE46" s="34"/>
      <c r="CF46" s="34"/>
      <c r="CG46" s="122"/>
      <c r="CI46" s="122"/>
      <c r="CJ46" s="30"/>
      <c r="CK46" s="122">
        <v>0</v>
      </c>
      <c r="CL46" s="122">
        <v>0</v>
      </c>
      <c r="CM46" s="122">
        <v>0</v>
      </c>
      <c r="CN46" s="122">
        <v>0</v>
      </c>
      <c r="CO46" s="122">
        <f>SUMIFS(BB___HK___AMHS__Others[AR Amount],BB___HK___AMHS__Others[PO No.],AR_725[[#This Row],[tsmc PO '#]],BB___HK___AMHS__Others[Status],"&lt;&gt;Rejected",BB___HK___AMHS__Others[YearMonth],"2024-07")</f>
        <v>0</v>
      </c>
      <c r="CP46" s="122">
        <f>SUMIFS(BB___HK___AMHS__Others[Tax],BB___HK___AMHS__Others[PO No.],AR_725[[#This Row],[tsmc PO '#]],BB___HK___AMHS__Others[Status],"&lt;&gt;Rejected",BB___HK___AMHS__Others[YearMonth],"2024-07")</f>
        <v>0</v>
      </c>
      <c r="CQ46" s="34">
        <f>SUMIFS(BB___HK___AMHS__Others[AR Amount],BB___HK___AMHS__Others[PO No.],AR_725[[#This Row],[tsmc PO '#]],BB___HK___AMHS__Others[Status],"&lt;&gt;Rejected",BB___HK___AMHS__Others[YearMonth],"2024-08")</f>
        <v>0</v>
      </c>
      <c r="CR46" s="44">
        <f>SUMIFS(BB___HK___AMHS__Others[Tax],BB___HK___AMHS__Others[PO No.],AR_725[[#This Row],[tsmc PO '#]],BB___HK___AMHS__Others[Status],"&lt;&gt;Rejected",BB___HK___AMHS__Others[YearMonth],"2024-08")</f>
        <v>0</v>
      </c>
      <c r="CS46" s="62">
        <f>SUMIFS(BB___HK___AMHS__Others[AR Amount],BB___HK___AMHS__Others[PO No.],AR_725[[#This Row],[tsmc PO '#]],BB___HK___AMHS__Others[Status],"&lt;&gt;Rejected",BB___HK___AMHS__Others[YearMonth],"2024-09")</f>
        <v>0</v>
      </c>
      <c r="CT46" s="601">
        <f>SUMIFS(BB___HK___AMHS__Others[Tax],BB___HK___AMHS__Others[PO No.],AR_725[[#This Row],[tsmc PO '#]],BB___HK___AMHS__Others[Status],"&lt;&gt;Rejected",BB___HK___AMHS__Others[YearMonth],"2024-09")</f>
        <v>0</v>
      </c>
    </row>
    <row r="47" spans="1:98" ht="14.1" hidden="1">
      <c r="A47" s="30" t="s">
        <v>11</v>
      </c>
      <c r="B47" s="30" t="s">
        <v>2098</v>
      </c>
      <c r="D47" s="50" t="s">
        <v>1546</v>
      </c>
      <c r="E47" s="604" t="s">
        <v>2052</v>
      </c>
      <c r="F47" s="48" t="s">
        <v>2053</v>
      </c>
      <c r="G47" s="48" t="s">
        <v>2112</v>
      </c>
      <c r="H47" s="50">
        <v>4590003997</v>
      </c>
      <c r="I47" s="30" t="s">
        <v>584</v>
      </c>
      <c r="J47" s="30" t="s">
        <v>635</v>
      </c>
      <c r="K47" s="62">
        <v>179299.89</v>
      </c>
      <c r="L47" s="30" t="s">
        <v>2054</v>
      </c>
      <c r="M47" s="86">
        <v>44782</v>
      </c>
      <c r="N47" s="87" t="s">
        <v>2101</v>
      </c>
      <c r="O47" s="88" t="s">
        <v>2056</v>
      </c>
      <c r="P4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90541.86</v>
      </c>
      <c r="Q4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90541.86</v>
      </c>
      <c r="R4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90541.86</v>
      </c>
      <c r="S47" s="72">
        <f>IF(AR_725[[#This Row],[PO Amount]]=0,1,AR_725[[#This Row],[Total AR (Sent)]]/AR_725[[#This Row],[PO Amount]])</f>
        <v>0.50497443138420217</v>
      </c>
      <c r="T47" s="39">
        <f>AR_725[[#This Row],[PO Amount]]-AR_725[[#This Row],[Total AR (Sent)]]</f>
        <v>88758.030000000013</v>
      </c>
      <c r="U47" s="40"/>
      <c r="V47" s="40"/>
      <c r="W47" s="41"/>
      <c r="X47" s="41"/>
      <c r="Y47" s="41"/>
      <c r="Z47" s="41"/>
      <c r="AA47" s="41"/>
      <c r="AB47" s="40"/>
      <c r="AC47" s="40"/>
      <c r="AD47" s="40"/>
      <c r="AE47" s="41"/>
      <c r="AF47" s="41"/>
      <c r="AG47" s="41"/>
      <c r="AH47" s="41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U47" s="34"/>
      <c r="AV47" s="34"/>
      <c r="AW47" s="41"/>
      <c r="AX47" s="41"/>
      <c r="AY47" s="61"/>
      <c r="AZ47" s="34"/>
      <c r="BA47" s="34"/>
      <c r="BB47" s="34"/>
      <c r="BC47" s="41"/>
      <c r="BD47" s="41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4"/>
      <c r="BP47" s="34"/>
      <c r="BQ47" s="40"/>
      <c r="BR47" s="40"/>
      <c r="BS47" s="34"/>
      <c r="BT47" s="40"/>
      <c r="BU47" s="34"/>
      <c r="BV47" s="40"/>
      <c r="BW47" s="91">
        <f>48336-48336</f>
        <v>0</v>
      </c>
      <c r="BX47" s="34">
        <f>2702-2702</f>
        <v>0</v>
      </c>
      <c r="BY47" s="42">
        <v>48335.76</v>
      </c>
      <c r="BZ47" s="34"/>
      <c r="CA47" s="40"/>
      <c r="CB47" s="34"/>
      <c r="CC47" s="52">
        <v>42206.1</v>
      </c>
      <c r="CD47" s="52">
        <v>2359.3200000000002</v>
      </c>
      <c r="CE47" s="34"/>
      <c r="CF47" s="34"/>
      <c r="CG47" s="122"/>
      <c r="CI47" s="122"/>
      <c r="CJ47" s="30"/>
      <c r="CK47" s="122">
        <v>0</v>
      </c>
      <c r="CL47" s="122">
        <v>0</v>
      </c>
      <c r="CM47" s="122">
        <v>0</v>
      </c>
      <c r="CN47" s="122">
        <v>0</v>
      </c>
      <c r="CO47" s="122">
        <f>SUMIFS(BB___HK___AMHS__Others[AR Amount],BB___HK___AMHS__Others[PO No.],AR_725[[#This Row],[tsmc PO '#]],BB___HK___AMHS__Others[Status],"&lt;&gt;Rejected",BB___HK___AMHS__Others[YearMonth],"2024-07")</f>
        <v>0</v>
      </c>
      <c r="CP47" s="122">
        <f>SUMIFS(BB___HK___AMHS__Others[Tax],BB___HK___AMHS__Others[PO No.],AR_725[[#This Row],[tsmc PO '#]],BB___HK___AMHS__Others[Status],"&lt;&gt;Rejected",BB___HK___AMHS__Others[YearMonth],"2024-07")</f>
        <v>0</v>
      </c>
      <c r="CQ47" s="34">
        <f>SUMIFS(BB___HK___AMHS__Others[AR Amount],BB___HK___AMHS__Others[PO No.],AR_725[[#This Row],[tsmc PO '#]],BB___HK___AMHS__Others[Status],"&lt;&gt;Rejected",BB___HK___AMHS__Others[YearMonth],"2024-08")</f>
        <v>0</v>
      </c>
      <c r="CR47" s="44">
        <f>SUMIFS(BB___HK___AMHS__Others[Tax],BB___HK___AMHS__Others[PO No.],AR_725[[#This Row],[tsmc PO '#]],BB___HK___AMHS__Others[Status],"&lt;&gt;Rejected",BB___HK___AMHS__Others[YearMonth],"2024-08")</f>
        <v>0</v>
      </c>
      <c r="CS47" s="62">
        <f>SUMIFS(BB___HK___AMHS__Others[AR Amount],BB___HK___AMHS__Others[PO No.],AR_725[[#This Row],[tsmc PO '#]],BB___HK___AMHS__Others[Status],"&lt;&gt;Rejected",BB___HK___AMHS__Others[YearMonth],"2024-09")</f>
        <v>0</v>
      </c>
      <c r="CT47" s="601">
        <f>SUMIFS(BB___HK___AMHS__Others[Tax],BB___HK___AMHS__Others[PO No.],AR_725[[#This Row],[tsmc PO '#]],BB___HK___AMHS__Others[Status],"&lt;&gt;Rejected",BB___HK___AMHS__Others[YearMonth],"2024-09")</f>
        <v>0</v>
      </c>
    </row>
    <row r="48" spans="1:98" ht="14.1" hidden="1">
      <c r="A48" s="30" t="s">
        <v>12</v>
      </c>
      <c r="B48" s="30" t="s">
        <v>2113</v>
      </c>
      <c r="D48" s="50" t="s">
        <v>1546</v>
      </c>
      <c r="E48" s="105" t="s">
        <v>2052</v>
      </c>
      <c r="F48" s="48" t="s">
        <v>2076</v>
      </c>
      <c r="G48" s="48" t="s">
        <v>1419</v>
      </c>
      <c r="H48" s="50">
        <v>4590003998</v>
      </c>
      <c r="I48" s="30" t="s">
        <v>722</v>
      </c>
      <c r="J48" s="30" t="s">
        <v>720</v>
      </c>
      <c r="K48" s="62">
        <v>1648034.25</v>
      </c>
      <c r="L48" s="30" t="s">
        <v>2062</v>
      </c>
      <c r="M48" s="86">
        <v>44782</v>
      </c>
      <c r="N48" s="87" t="s">
        <v>2063</v>
      </c>
      <c r="O48" s="88" t="s">
        <v>2056</v>
      </c>
      <c r="P4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1648034.25</v>
      </c>
      <c r="Q4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1648034.25</v>
      </c>
      <c r="R4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1648034.25</v>
      </c>
      <c r="S48" s="72">
        <f>IF(AR_725[[#This Row],[PO Amount]]=0,1,AR_725[[#This Row],[Total AR (Sent)]]/AR_725[[#This Row],[PO Amount]])</f>
        <v>1</v>
      </c>
      <c r="T48" s="39">
        <f>AR_725[[#This Row],[PO Amount]]-AR_725[[#This Row],[Total AR (Sent)]]</f>
        <v>0</v>
      </c>
      <c r="U48" s="40"/>
      <c r="V48" s="40"/>
      <c r="W48" s="41"/>
      <c r="X48" s="41"/>
      <c r="Y48" s="41"/>
      <c r="Z48" s="41"/>
      <c r="AA48" s="41"/>
      <c r="AB48" s="40"/>
      <c r="AC48" s="40"/>
      <c r="AD48" s="40"/>
      <c r="AE48" s="41"/>
      <c r="AF48" s="41"/>
      <c r="AG48" s="41"/>
      <c r="AH48" s="41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U48" s="34"/>
      <c r="AV48" s="34"/>
      <c r="AW48" s="34"/>
      <c r="AX48" s="34"/>
      <c r="AY48" s="34"/>
      <c r="AZ48" s="34"/>
      <c r="BA48" s="34"/>
      <c r="BB48" s="34"/>
      <c r="BC48" s="41"/>
      <c r="BD48" s="41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40"/>
      <c r="BR48" s="40"/>
      <c r="BS48" s="34"/>
      <c r="BT48" s="40"/>
      <c r="BU48" s="34"/>
      <c r="BV48" s="40"/>
      <c r="BW48" s="34">
        <f>61780-61780</f>
        <v>0</v>
      </c>
      <c r="BX48" s="34"/>
      <c r="BY48" s="52">
        <f>164130-164130</f>
        <v>0</v>
      </c>
      <c r="BZ48" s="40"/>
      <c r="CA48" s="53">
        <f>911748.4-911748.4</f>
        <v>0</v>
      </c>
      <c r="CB48" s="34"/>
      <c r="CC48" s="42">
        <v>1469390.15</v>
      </c>
      <c r="CD48" s="34"/>
      <c r="CE48" s="34"/>
      <c r="CF48" s="34"/>
      <c r="CG48" s="116">
        <v>178644.1</v>
      </c>
      <c r="CI48" s="122"/>
      <c r="CJ48" s="30"/>
      <c r="CK48" s="122">
        <v>0</v>
      </c>
      <c r="CL48" s="122">
        <v>0</v>
      </c>
      <c r="CM48" s="122">
        <v>0</v>
      </c>
      <c r="CN48" s="122">
        <v>0</v>
      </c>
      <c r="CO48" s="122">
        <f>SUMIFS(BB___HK___AMHS__Others[AR Amount],BB___HK___AMHS__Others[PO No.],AR_725[[#This Row],[tsmc PO '#]],BB___HK___AMHS__Others[Status],"&lt;&gt;Rejected",BB___HK___AMHS__Others[YearMonth],"2024-07")</f>
        <v>0</v>
      </c>
      <c r="CP48" s="122">
        <f>SUMIFS(BB___HK___AMHS__Others[Tax],BB___HK___AMHS__Others[PO No.],AR_725[[#This Row],[tsmc PO '#]],BB___HK___AMHS__Others[Status],"&lt;&gt;Rejected",BB___HK___AMHS__Others[YearMonth],"2024-07")</f>
        <v>0</v>
      </c>
      <c r="CQ48" s="34">
        <f>SUMIFS(BB___HK___AMHS__Others[AR Amount],BB___HK___AMHS__Others[PO No.],AR_725[[#This Row],[tsmc PO '#]],BB___HK___AMHS__Others[Status],"&lt;&gt;Rejected",BB___HK___AMHS__Others[YearMonth],"2024-08")</f>
        <v>0</v>
      </c>
      <c r="CR48" s="44">
        <f>SUMIFS(BB___HK___AMHS__Others[Tax],BB___HK___AMHS__Others[PO No.],AR_725[[#This Row],[tsmc PO '#]],BB___HK___AMHS__Others[Status],"&lt;&gt;Rejected",BB___HK___AMHS__Others[YearMonth],"2024-08")</f>
        <v>0</v>
      </c>
      <c r="CS48" s="62">
        <f>SUMIFS(BB___HK___AMHS__Others[AR Amount],BB___HK___AMHS__Others[PO No.],AR_725[[#This Row],[tsmc PO '#]],BB___HK___AMHS__Others[Status],"&lt;&gt;Rejected",BB___HK___AMHS__Others[YearMonth],"2024-09")</f>
        <v>0</v>
      </c>
      <c r="CT48" s="601">
        <f>SUMIFS(BB___HK___AMHS__Others[Tax],BB___HK___AMHS__Others[PO No.],AR_725[[#This Row],[tsmc PO '#]],BB___HK___AMHS__Others[Status],"&lt;&gt;Rejected",BB___HK___AMHS__Others[YearMonth],"2024-09")</f>
        <v>0</v>
      </c>
    </row>
    <row r="49" spans="1:98" ht="14.1" hidden="1">
      <c r="A49" s="30" t="s">
        <v>11</v>
      </c>
      <c r="B49" s="30" t="s">
        <v>2051</v>
      </c>
      <c r="D49" s="50" t="s">
        <v>1720</v>
      </c>
      <c r="E49" s="48" t="s">
        <v>2060</v>
      </c>
      <c r="F49" s="48" t="s">
        <v>2060</v>
      </c>
      <c r="G49" s="57" t="s">
        <v>312</v>
      </c>
      <c r="H49" s="50">
        <v>4590004028</v>
      </c>
      <c r="I49" s="30" t="s">
        <v>104</v>
      </c>
      <c r="J49" s="30" t="s">
        <v>223</v>
      </c>
      <c r="K49" s="46">
        <v>762160.23</v>
      </c>
      <c r="L49" s="30" t="s">
        <v>2062</v>
      </c>
      <c r="M49" s="86">
        <v>44784</v>
      </c>
      <c r="N49" s="87" t="s">
        <v>2063</v>
      </c>
      <c r="O49" s="88" t="s">
        <v>2104</v>
      </c>
      <c r="P4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685961.92</v>
      </c>
      <c r="Q4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558420.28</v>
      </c>
      <c r="R4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685961.92</v>
      </c>
      <c r="S49" s="72">
        <f>IF(AR_725[[#This Row],[PO Amount]]=0,1,AR_725[[#This Row],[Total AR (Sent)]]/AR_725[[#This Row],[PO Amount]])</f>
        <v>0.90002324051991023</v>
      </c>
      <c r="T49" s="75">
        <f>AR_725[[#This Row],[PO Amount]]-AR_725[[#This Row],[Total AR (Sent)]]</f>
        <v>76198.309999999939</v>
      </c>
      <c r="U49" s="40"/>
      <c r="V49" s="40"/>
      <c r="W49" s="46"/>
      <c r="X49" s="46"/>
      <c r="Y49" s="46"/>
      <c r="Z49" s="46"/>
      <c r="AA49" s="46"/>
      <c r="AB49" s="40"/>
      <c r="AC49" s="40"/>
      <c r="AD49" s="40"/>
      <c r="AE49" s="46"/>
      <c r="AF49" s="46"/>
      <c r="AG49" s="46"/>
      <c r="AH49" s="46"/>
      <c r="AI49" s="41"/>
      <c r="AJ49" s="41"/>
      <c r="AK49" s="41"/>
      <c r="AL49" s="46"/>
      <c r="AM49" s="41"/>
      <c r="AN49" s="46"/>
      <c r="AO49" s="41"/>
      <c r="AP49" s="46"/>
      <c r="AQ49" s="41"/>
      <c r="AR49" s="41"/>
      <c r="AS49" s="41"/>
      <c r="AT49" s="41"/>
      <c r="AU49" s="41"/>
      <c r="AV49" s="41"/>
      <c r="AW49" s="41"/>
      <c r="AX49" s="41"/>
      <c r="AY49" s="53">
        <v>104411.2</v>
      </c>
      <c r="AZ49" s="41"/>
      <c r="BA49" s="47">
        <v>238101.12</v>
      </c>
      <c r="BB49" s="41"/>
      <c r="BC49" s="41"/>
      <c r="BD49" s="41"/>
      <c r="BE49" s="46"/>
      <c r="BF49" s="41"/>
      <c r="BG49" s="41"/>
      <c r="BH49" s="41"/>
      <c r="BI49" s="42">
        <v>159324.51999999999</v>
      </c>
      <c r="BJ49" s="41"/>
      <c r="BK49" s="41"/>
      <c r="BL49" s="41"/>
      <c r="BM49" s="41"/>
      <c r="BN49" s="41"/>
      <c r="BO49" s="46"/>
      <c r="BP49" s="41"/>
      <c r="BQ49" s="46"/>
      <c r="BR49" s="40"/>
      <c r="BS49" s="47">
        <v>56583.44</v>
      </c>
      <c r="BT49" s="40"/>
      <c r="BU49" s="40"/>
      <c r="BV49" s="40"/>
      <c r="BW49" s="40"/>
      <c r="BX49" s="34"/>
      <c r="BZ49" s="40"/>
      <c r="CA49" s="40"/>
      <c r="CB49" s="34"/>
      <c r="CC49" s="34"/>
      <c r="CD49" s="34"/>
      <c r="CE49" s="34"/>
      <c r="CF49" s="34"/>
      <c r="CG49" s="122"/>
      <c r="CI49" s="122"/>
      <c r="CJ49" s="30"/>
      <c r="CK49" s="122">
        <v>89716.63</v>
      </c>
      <c r="CL49" s="122">
        <v>0</v>
      </c>
      <c r="CM49" s="122">
        <v>21676.79</v>
      </c>
      <c r="CN49" s="122">
        <v>0</v>
      </c>
      <c r="CO49" s="122">
        <f>SUMIFS(BB___HK___AMHS__Others[AR Amount],BB___HK___AMHS__Others[PO No.],AR_725[[#This Row],[tsmc PO '#]],BB___HK___AMHS__Others[Status],"&lt;&gt;Rejected",BB___HK___AMHS__Others[YearMonth],"2024-07")</f>
        <v>16148.22</v>
      </c>
      <c r="CP49" s="122">
        <f>SUMIFS(BB___HK___AMHS__Others[Tax],BB___HK___AMHS__Others[PO No.],AR_725[[#This Row],[tsmc PO '#]],BB___HK___AMHS__Others[Status],"&lt;&gt;Rejected",BB___HK___AMHS__Others[YearMonth],"2024-07")</f>
        <v>0</v>
      </c>
      <c r="CQ49" s="34">
        <f>SUMIFS(BB___HK___AMHS__Others[AR Amount],BB___HK___AMHS__Others[PO No.],AR_725[[#This Row],[tsmc PO '#]],BB___HK___AMHS__Others[Status],"&lt;&gt;Rejected",BB___HK___AMHS__Others[YearMonth],"2024-08")</f>
        <v>0</v>
      </c>
      <c r="CR49" s="44">
        <f>SUMIFS(BB___HK___AMHS__Others[Tax],BB___HK___AMHS__Others[PO No.],AR_725[[#This Row],[tsmc PO '#]],BB___HK___AMHS__Others[Status],"&lt;&gt;Rejected",BB___HK___AMHS__Others[YearMonth],"2024-08")</f>
        <v>0</v>
      </c>
      <c r="CS49" s="62">
        <f>SUMIFS(BB___HK___AMHS__Others[AR Amount],BB___HK___AMHS__Others[PO No.],AR_725[[#This Row],[tsmc PO '#]],BB___HK___AMHS__Others[Status],"&lt;&gt;Rejected",BB___HK___AMHS__Others[YearMonth],"2024-09")</f>
        <v>0</v>
      </c>
      <c r="CT49" s="601">
        <f>SUMIFS(BB___HK___AMHS__Others[Tax],BB___HK___AMHS__Others[PO No.],AR_725[[#This Row],[tsmc PO '#]],BB___HK___AMHS__Others[Status],"&lt;&gt;Rejected",BB___HK___AMHS__Others[YearMonth],"2024-09")</f>
        <v>0</v>
      </c>
    </row>
    <row r="50" spans="1:98" ht="14.1" hidden="1">
      <c r="A50" s="30" t="s">
        <v>11</v>
      </c>
      <c r="B50" s="30" t="s">
        <v>2051</v>
      </c>
      <c r="D50" s="50" t="s">
        <v>1759</v>
      </c>
      <c r="E50" s="50" t="s">
        <v>2065</v>
      </c>
      <c r="F50" s="48" t="s">
        <v>2114</v>
      </c>
      <c r="G50" s="48" t="s">
        <v>312</v>
      </c>
      <c r="H50" s="50">
        <v>4590004029</v>
      </c>
      <c r="I50" s="30" t="s">
        <v>120</v>
      </c>
      <c r="J50" s="30" t="s">
        <v>352</v>
      </c>
      <c r="K50" s="62">
        <v>3027439.77</v>
      </c>
      <c r="L50" s="30" t="s">
        <v>2062</v>
      </c>
      <c r="M50" s="86">
        <v>44784</v>
      </c>
      <c r="N50" s="30" t="s">
        <v>2063</v>
      </c>
      <c r="O50" s="88" t="s">
        <v>2104</v>
      </c>
      <c r="P5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2760174.1500000004</v>
      </c>
      <c r="Q5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2751323.91</v>
      </c>
      <c r="R5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2760174.1500000004</v>
      </c>
      <c r="S50" s="72">
        <f>IF(AR_725[[#This Row],[PO Amount]]=0,1,AR_725[[#This Row],[Total AR (Sent)]]/AR_725[[#This Row],[PO Amount]])</f>
        <v>0.91171893074523502</v>
      </c>
      <c r="T50" s="39">
        <f>AR_725[[#This Row],[PO Amount]]-AR_725[[#This Row],[Total AR (Sent)]]</f>
        <v>267265.61999999965</v>
      </c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34"/>
      <c r="AJ50" s="34"/>
      <c r="AK50" s="34"/>
      <c r="AL50" s="40"/>
      <c r="AM50" s="40"/>
      <c r="AN50" s="40"/>
      <c r="AO50" s="40"/>
      <c r="AP50" s="40"/>
      <c r="AQ50" s="40"/>
      <c r="AR50" s="34"/>
      <c r="AS50" s="40"/>
      <c r="AU50" s="34"/>
      <c r="AV50" s="41"/>
      <c r="AW50" s="40"/>
      <c r="AX50" s="34"/>
      <c r="AY50" s="34"/>
      <c r="AZ50" s="34"/>
      <c r="BA50" s="40"/>
      <c r="BB50" s="34"/>
      <c r="BC50" s="40"/>
      <c r="BD50" s="40"/>
      <c r="BE50" s="40"/>
      <c r="BF50" s="40"/>
      <c r="BG50" s="42">
        <v>298305</v>
      </c>
      <c r="BH50" s="40"/>
      <c r="BI50" s="42">
        <v>764067</v>
      </c>
      <c r="BJ50" s="40"/>
      <c r="BK50" s="40"/>
      <c r="BL50" s="34"/>
      <c r="BM50" s="40"/>
      <c r="BN50" s="40"/>
      <c r="BO50" s="40"/>
      <c r="BP50" s="40"/>
      <c r="BQ50" s="40"/>
      <c r="BR50" s="40"/>
      <c r="BS50" s="34"/>
      <c r="BT50" s="40"/>
      <c r="BU50" s="34"/>
      <c r="BV50" s="40"/>
      <c r="BW50" s="34"/>
      <c r="BX50" s="34"/>
      <c r="BY50" s="34"/>
      <c r="BZ50" s="40"/>
      <c r="CA50" s="40"/>
      <c r="CB50" s="34"/>
      <c r="CC50" s="42">
        <v>500770</v>
      </c>
      <c r="CD50" s="34"/>
      <c r="CE50" s="42">
        <v>1059798</v>
      </c>
      <c r="CF50" s="34"/>
      <c r="CG50" s="123">
        <v>128383.91</v>
      </c>
      <c r="CI50" s="116">
        <v>8850.24</v>
      </c>
      <c r="CJ50" s="30"/>
      <c r="CK50" s="122">
        <v>0</v>
      </c>
      <c r="CL50" s="122">
        <v>0</v>
      </c>
      <c r="CM50" s="122">
        <v>0</v>
      </c>
      <c r="CN50" s="122">
        <v>0</v>
      </c>
      <c r="CO50" s="122">
        <f>SUMIFS(BB___HK___AMHS__Others[AR Amount],BB___HK___AMHS__Others[PO No.],AR_725[[#This Row],[tsmc PO '#]],BB___HK___AMHS__Others[Status],"&lt;&gt;Rejected",BB___HK___AMHS__Others[YearMonth],"2024-07")</f>
        <v>0</v>
      </c>
      <c r="CP50" s="122">
        <f>SUMIFS(BB___HK___AMHS__Others[Tax],BB___HK___AMHS__Others[PO No.],AR_725[[#This Row],[tsmc PO '#]],BB___HK___AMHS__Others[Status],"&lt;&gt;Rejected",BB___HK___AMHS__Others[YearMonth],"2024-07")</f>
        <v>0</v>
      </c>
      <c r="CQ50" s="34">
        <f>SUMIFS(BB___HK___AMHS__Others[AR Amount],BB___HK___AMHS__Others[PO No.],AR_725[[#This Row],[tsmc PO '#]],BB___HK___AMHS__Others[Status],"&lt;&gt;Rejected",BB___HK___AMHS__Others[YearMonth],"2024-08")</f>
        <v>0</v>
      </c>
      <c r="CR50" s="44">
        <f>SUMIFS(BB___HK___AMHS__Others[Tax],BB___HK___AMHS__Others[PO No.],AR_725[[#This Row],[tsmc PO '#]],BB___HK___AMHS__Others[Status],"&lt;&gt;Rejected",BB___HK___AMHS__Others[YearMonth],"2024-08")</f>
        <v>0</v>
      </c>
      <c r="CS50" s="62">
        <f>SUMIFS(BB___HK___AMHS__Others[AR Amount],BB___HK___AMHS__Others[PO No.],AR_725[[#This Row],[tsmc PO '#]],BB___HK___AMHS__Others[Status],"&lt;&gt;Rejected",BB___HK___AMHS__Others[YearMonth],"2024-09")</f>
        <v>0</v>
      </c>
      <c r="CT50" s="601">
        <f>SUMIFS(BB___HK___AMHS__Others[Tax],BB___HK___AMHS__Others[PO No.],AR_725[[#This Row],[tsmc PO '#]],BB___HK___AMHS__Others[Status],"&lt;&gt;Rejected",BB___HK___AMHS__Others[YearMonth],"2024-09")</f>
        <v>0</v>
      </c>
    </row>
    <row r="51" spans="1:98" ht="14.1" hidden="1">
      <c r="A51" s="30" t="s">
        <v>8</v>
      </c>
      <c r="B51" s="30" t="s">
        <v>8</v>
      </c>
      <c r="D51" s="50" t="s">
        <v>8</v>
      </c>
      <c r="E51" s="48" t="s">
        <v>2109</v>
      </c>
      <c r="F51" s="48" t="s">
        <v>2110</v>
      </c>
      <c r="G51" s="48" t="s">
        <v>1435</v>
      </c>
      <c r="H51" s="50">
        <v>4590004044</v>
      </c>
      <c r="I51" s="30" t="s">
        <v>252</v>
      </c>
      <c r="J51" s="30" t="s">
        <v>250</v>
      </c>
      <c r="K51" s="62">
        <v>2118750</v>
      </c>
      <c r="L51" s="30" t="s">
        <v>2062</v>
      </c>
      <c r="M51" s="86">
        <v>44785</v>
      </c>
      <c r="N51" s="30" t="s">
        <v>2063</v>
      </c>
      <c r="O51" s="88" t="s">
        <v>2111</v>
      </c>
      <c r="P5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2118750</v>
      </c>
      <c r="Q5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1101750</v>
      </c>
      <c r="R5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2118750</v>
      </c>
      <c r="S51" s="72">
        <f>IF(AR_725[[#This Row],[PO Amount]]=0,1,AR_725[[#This Row],[Total AR (Sent)]]/AR_725[[#This Row],[PO Amount]])</f>
        <v>1</v>
      </c>
      <c r="T51" s="45">
        <f>AR_725[[#This Row],[PO Amount]]-AR_725[[#This Row],[Total AR (Sent)]]</f>
        <v>0</v>
      </c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34"/>
      <c r="AK51" s="40"/>
      <c r="AL51" s="40"/>
      <c r="AM51" s="40"/>
      <c r="AN51" s="40"/>
      <c r="AO51" s="40"/>
      <c r="AP51" s="40"/>
      <c r="AQ51" s="40"/>
      <c r="AR51" s="34"/>
      <c r="AS51" s="40"/>
      <c r="AU51" s="34"/>
      <c r="AV51" s="34"/>
      <c r="AW51" s="53"/>
      <c r="AX51" s="34"/>
      <c r="AY51" s="34"/>
      <c r="AZ51" s="34"/>
      <c r="BA51" s="47">
        <v>423750</v>
      </c>
      <c r="BB51" s="34"/>
      <c r="BC51" s="42">
        <v>211875</v>
      </c>
      <c r="BD51" s="40"/>
      <c r="BE51" s="40"/>
      <c r="BF51" s="40"/>
      <c r="BG51" s="40"/>
      <c r="BH51" s="40"/>
      <c r="BI51" s="40"/>
      <c r="BJ51" s="40"/>
      <c r="BK51" s="40"/>
      <c r="BL51" s="34"/>
      <c r="BM51" s="40"/>
      <c r="BN51" s="40"/>
      <c r="BO51" s="47">
        <v>466125</v>
      </c>
      <c r="BP51" s="40"/>
      <c r="BQ51" s="40"/>
      <c r="BR51" s="40"/>
      <c r="BS51" s="40"/>
      <c r="BT51" s="40"/>
      <c r="BU51" s="40"/>
      <c r="BV51" s="40"/>
      <c r="BW51" s="40"/>
      <c r="BX51" s="34"/>
      <c r="BZ51" s="40"/>
      <c r="CA51" s="40"/>
      <c r="CB51" s="34"/>
      <c r="CC51" s="34"/>
      <c r="CD51" s="34"/>
      <c r="CE51" s="34"/>
      <c r="CF51" s="34"/>
      <c r="CG51" s="122">
        <f>SUMIFS(BB___HK___AMHS__Others[AR Amount],BB___HK___AMHS__Others[PO No.],AR_725[[#This Row],[tsmc PO '#]],BB___HK___AMHS__Others[Status],"&lt;&gt;Rejected",BB___HK___AMHS__Others[YearMonth],"2024-03")</f>
        <v>0</v>
      </c>
      <c r="CI51" s="122">
        <f>SUMIFS(BB___HK___AMHS__Others[AR Amount],BB___HK___AMHS__Others[PO No.],AR_725[[#This Row],[tsmc PO '#]],BB___HK___AMHS__Others[Status],"&lt;&gt;Rejected",BB___HK___AMHS__Others[YearMonth],"2024-04")</f>
        <v>0</v>
      </c>
      <c r="CJ51" s="30"/>
      <c r="CK51" s="122">
        <v>1017000</v>
      </c>
      <c r="CL51" s="122">
        <v>0</v>
      </c>
      <c r="CM51" s="122">
        <v>0</v>
      </c>
      <c r="CN51" s="122">
        <v>0</v>
      </c>
      <c r="CO51" s="122">
        <f>SUMIFS(BB___HK___AMHS__Others[AR Amount],BB___HK___AMHS__Others[PO No.],AR_725[[#This Row],[tsmc PO '#]],BB___HK___AMHS__Others[Status],"&lt;&gt;Rejected",BB___HK___AMHS__Others[YearMonth],"2024-07")</f>
        <v>0</v>
      </c>
      <c r="CP51" s="122">
        <f>SUMIFS(BB___HK___AMHS__Others[Tax],BB___HK___AMHS__Others[PO No.],AR_725[[#This Row],[tsmc PO '#]],BB___HK___AMHS__Others[Status],"&lt;&gt;Rejected",BB___HK___AMHS__Others[YearMonth],"2024-07")</f>
        <v>0</v>
      </c>
      <c r="CQ51" s="34">
        <f>SUMIFS(BB___HK___AMHS__Others[AR Amount],BB___HK___AMHS__Others[PO No.],AR_725[[#This Row],[tsmc PO '#]],BB___HK___AMHS__Others[Status],"&lt;&gt;Rejected",BB___HK___AMHS__Others[YearMonth],"2024-08")</f>
        <v>0</v>
      </c>
      <c r="CR51" s="44">
        <f>SUMIFS(BB___HK___AMHS__Others[Tax],BB___HK___AMHS__Others[PO No.],AR_725[[#This Row],[tsmc PO '#]],BB___HK___AMHS__Others[Status],"&lt;&gt;Rejected",BB___HK___AMHS__Others[YearMonth],"2024-08")</f>
        <v>0</v>
      </c>
      <c r="CS51" s="62">
        <f>SUMIFS(BB___HK___AMHS__Others[AR Amount],BB___HK___AMHS__Others[PO No.],AR_725[[#This Row],[tsmc PO '#]],BB___HK___AMHS__Others[Status],"&lt;&gt;Rejected",BB___HK___AMHS__Others[YearMonth],"2024-09")</f>
        <v>0</v>
      </c>
      <c r="CT51" s="601">
        <f>SUMIFS(BB___HK___AMHS__Others[Tax],BB___HK___AMHS__Others[PO No.],AR_725[[#This Row],[tsmc PO '#]],BB___HK___AMHS__Others[Status],"&lt;&gt;Rejected",BB___HK___AMHS__Others[YearMonth],"2024-09")</f>
        <v>0</v>
      </c>
    </row>
    <row r="52" spans="1:98" ht="14.1" hidden="1">
      <c r="A52" s="30" t="s">
        <v>11</v>
      </c>
      <c r="B52" s="30" t="s">
        <v>2051</v>
      </c>
      <c r="D52" s="50" t="s">
        <v>1706</v>
      </c>
      <c r="E52" s="57" t="s">
        <v>2070</v>
      </c>
      <c r="F52" s="48" t="s">
        <v>2115</v>
      </c>
      <c r="G52" s="57" t="s">
        <v>313</v>
      </c>
      <c r="H52" s="50">
        <v>4590004117</v>
      </c>
      <c r="I52" s="30" t="s">
        <v>519</v>
      </c>
      <c r="J52" s="30" t="s">
        <v>517</v>
      </c>
      <c r="K52" s="62">
        <v>48875</v>
      </c>
      <c r="L52" s="30" t="s">
        <v>2062</v>
      </c>
      <c r="M52" s="86">
        <v>44790</v>
      </c>
      <c r="N52" s="87" t="s">
        <v>2063</v>
      </c>
      <c r="O52" s="88" t="s">
        <v>2056</v>
      </c>
      <c r="P5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43988</v>
      </c>
      <c r="Q5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43988</v>
      </c>
      <c r="R5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43988</v>
      </c>
      <c r="S52" s="72">
        <f>IF(AR_725[[#This Row],[PO Amount]]=0,1,AR_725[[#This Row],[Total AR (Sent)]]/AR_725[[#This Row],[PO Amount]])</f>
        <v>0.90001023017902815</v>
      </c>
      <c r="T52" s="45">
        <f>AR_725[[#This Row],[PO Amount]]-AR_725[[#This Row],[Total AR (Sent)]]</f>
        <v>4887</v>
      </c>
      <c r="U52" s="40"/>
      <c r="V52" s="40"/>
      <c r="W52" s="46"/>
      <c r="X52" s="46"/>
      <c r="Y52" s="46"/>
      <c r="Z52" s="46"/>
      <c r="AA52" s="46"/>
      <c r="AB52" s="40"/>
      <c r="AC52" s="40"/>
      <c r="AD52" s="40"/>
      <c r="AE52" s="46"/>
      <c r="AF52" s="46"/>
      <c r="AG52" s="46"/>
      <c r="AH52" s="46"/>
      <c r="AI52" s="40"/>
      <c r="AJ52" s="34"/>
      <c r="AK52" s="40"/>
      <c r="AL52" s="40"/>
      <c r="AM52" s="40"/>
      <c r="AN52" s="40"/>
      <c r="AO52" s="40"/>
      <c r="AP52" s="40"/>
      <c r="AQ52" s="40"/>
      <c r="AR52" s="34"/>
      <c r="AS52" s="34"/>
      <c r="AU52" s="34"/>
      <c r="AV52" s="34"/>
      <c r="AW52" s="34"/>
      <c r="AX52" s="34"/>
      <c r="AY52" s="34"/>
      <c r="AZ52" s="34"/>
      <c r="BA52" s="40"/>
      <c r="BB52" s="34"/>
      <c r="BC52" s="41"/>
      <c r="BD52" s="41"/>
      <c r="BE52" s="40"/>
      <c r="BF52" s="34"/>
      <c r="BG52" s="34"/>
      <c r="BH52" s="34"/>
      <c r="BI52" s="34"/>
      <c r="BJ52" s="34"/>
      <c r="BK52" s="34"/>
      <c r="BL52" s="34"/>
      <c r="BM52" s="34"/>
      <c r="BN52" s="34"/>
      <c r="BO52" s="40"/>
      <c r="BP52" s="34"/>
      <c r="BQ52" s="47">
        <v>26722</v>
      </c>
      <c r="BR52" s="40"/>
      <c r="BS52" s="40"/>
      <c r="BT52" s="40"/>
      <c r="BU52" s="47">
        <v>17266</v>
      </c>
      <c r="BV52" s="40"/>
      <c r="BW52" s="40"/>
      <c r="BX52" s="34"/>
      <c r="BZ52" s="40"/>
      <c r="CA52" s="40"/>
      <c r="CB52" s="34"/>
      <c r="CC52" s="34"/>
      <c r="CD52" s="34"/>
      <c r="CE52" s="34"/>
      <c r="CF52" s="34"/>
      <c r="CG52" s="122"/>
      <c r="CI52" s="122"/>
      <c r="CJ52" s="30"/>
      <c r="CK52" s="122">
        <v>0</v>
      </c>
      <c r="CL52" s="122">
        <v>0</v>
      </c>
      <c r="CM52" s="122">
        <v>0</v>
      </c>
      <c r="CN52" s="122">
        <v>0</v>
      </c>
      <c r="CO52" s="122">
        <f>SUMIFS(BB___HK___AMHS__Others[AR Amount],BB___HK___AMHS__Others[PO No.],AR_725[[#This Row],[tsmc PO '#]],BB___HK___AMHS__Others[Status],"&lt;&gt;Rejected",BB___HK___AMHS__Others[YearMonth],"2024-07")</f>
        <v>0</v>
      </c>
      <c r="CP52" s="122">
        <f>SUMIFS(BB___HK___AMHS__Others[Tax],BB___HK___AMHS__Others[PO No.],AR_725[[#This Row],[tsmc PO '#]],BB___HK___AMHS__Others[Status],"&lt;&gt;Rejected",BB___HK___AMHS__Others[YearMonth],"2024-07")</f>
        <v>0</v>
      </c>
      <c r="CQ52" s="34">
        <f>SUMIFS(BB___HK___AMHS__Others[AR Amount],BB___HK___AMHS__Others[PO No.],AR_725[[#This Row],[tsmc PO '#]],BB___HK___AMHS__Others[Status],"&lt;&gt;Rejected",BB___HK___AMHS__Others[YearMonth],"2024-08")</f>
        <v>0</v>
      </c>
      <c r="CR52" s="44">
        <f>SUMIFS(BB___HK___AMHS__Others[Tax],BB___HK___AMHS__Others[PO No.],AR_725[[#This Row],[tsmc PO '#]],BB___HK___AMHS__Others[Status],"&lt;&gt;Rejected",BB___HK___AMHS__Others[YearMonth],"2024-08")</f>
        <v>0</v>
      </c>
      <c r="CS52" s="62">
        <f>SUMIFS(BB___HK___AMHS__Others[AR Amount],BB___HK___AMHS__Others[PO No.],AR_725[[#This Row],[tsmc PO '#]],BB___HK___AMHS__Others[Status],"&lt;&gt;Rejected",BB___HK___AMHS__Others[YearMonth],"2024-09")</f>
        <v>0</v>
      </c>
      <c r="CT52" s="601">
        <f>SUMIFS(BB___HK___AMHS__Others[Tax],BB___HK___AMHS__Others[PO No.],AR_725[[#This Row],[tsmc PO '#]],BB___HK___AMHS__Others[Status],"&lt;&gt;Rejected",BB___HK___AMHS__Others[YearMonth],"2024-09")</f>
        <v>0</v>
      </c>
    </row>
    <row r="53" spans="1:98" ht="14.1" hidden="1">
      <c r="A53" s="30" t="s">
        <v>8</v>
      </c>
      <c r="B53" s="30" t="s">
        <v>8</v>
      </c>
      <c r="D53" s="50" t="s">
        <v>8</v>
      </c>
      <c r="E53" s="604" t="s">
        <v>2109</v>
      </c>
      <c r="F53" s="48" t="s">
        <v>2110</v>
      </c>
      <c r="G53" s="50" t="s">
        <v>1316</v>
      </c>
      <c r="H53" s="50">
        <v>4590004118</v>
      </c>
      <c r="I53" s="30" t="s">
        <v>98</v>
      </c>
      <c r="J53" s="30" t="s">
        <v>92</v>
      </c>
      <c r="K53" s="62">
        <v>106129.60000000001</v>
      </c>
      <c r="L53" s="30" t="s">
        <v>2062</v>
      </c>
      <c r="M53" s="86">
        <v>44790</v>
      </c>
      <c r="N53" s="87" t="s">
        <v>2063</v>
      </c>
      <c r="O53" s="88" t="s">
        <v>2111</v>
      </c>
      <c r="P5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81871.19</v>
      </c>
      <c r="Q5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47758.32</v>
      </c>
      <c r="R5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81871.19</v>
      </c>
      <c r="S53" s="72">
        <f>IF(AR_725[[#This Row],[PO Amount]]=0,1,AR_725[[#This Row],[Total AR (Sent)]]/AR_725[[#This Row],[PO Amount]])</f>
        <v>0.77142653887322665</v>
      </c>
      <c r="T53" s="45">
        <f>AR_725[[#This Row],[PO Amount]]-AR_725[[#This Row],[Total AR (Sent)]]</f>
        <v>24258.410000000003</v>
      </c>
      <c r="U53" s="40"/>
      <c r="V53" s="40"/>
      <c r="W53" s="46"/>
      <c r="X53" s="46"/>
      <c r="Y53" s="46"/>
      <c r="Z53" s="46"/>
      <c r="AA53" s="46"/>
      <c r="AB53" s="40"/>
      <c r="AC53" s="40"/>
      <c r="AD53" s="40"/>
      <c r="AE53" s="46"/>
      <c r="AF53" s="46"/>
      <c r="AG53" s="46"/>
      <c r="AH53" s="46"/>
      <c r="AI53" s="40"/>
      <c r="AJ53" s="34"/>
      <c r="AK53" s="40"/>
      <c r="AL53" s="40"/>
      <c r="AM53" s="40"/>
      <c r="AN53" s="40"/>
      <c r="AO53" s="40"/>
      <c r="AP53" s="40"/>
      <c r="AQ53" s="40"/>
      <c r="AR53" s="34"/>
      <c r="AS53" s="34"/>
      <c r="AU53" s="34"/>
      <c r="AV53" s="34"/>
      <c r="AW53" s="34"/>
      <c r="AX53" s="34"/>
      <c r="AY53" s="34"/>
      <c r="AZ53" s="34"/>
      <c r="BA53" s="70"/>
      <c r="BB53" s="34"/>
      <c r="BC53" s="42">
        <v>47758.32</v>
      </c>
      <c r="BD53" s="41"/>
      <c r="BE53" s="40"/>
      <c r="BF53" s="34"/>
      <c r="BG53" s="91">
        <f>23879.16-23879.16</f>
        <v>0</v>
      </c>
      <c r="BH53" s="34"/>
      <c r="BI53" s="34"/>
      <c r="BJ53" s="34"/>
      <c r="BK53" s="34"/>
      <c r="BL53" s="34"/>
      <c r="BM53" s="34"/>
      <c r="BN53" s="34"/>
      <c r="BO53" s="40"/>
      <c r="BP53" s="34"/>
      <c r="BQ53" s="40"/>
      <c r="BR53" s="40"/>
      <c r="BS53" s="40"/>
      <c r="BT53" s="40"/>
      <c r="BU53" s="40"/>
      <c r="BV53" s="40"/>
      <c r="BW53" s="40"/>
      <c r="BX53" s="34"/>
      <c r="BZ53" s="40"/>
      <c r="CA53" s="40"/>
      <c r="CB53" s="34"/>
      <c r="CC53" s="34"/>
      <c r="CD53" s="34"/>
      <c r="CE53" s="34"/>
      <c r="CF53" s="34"/>
      <c r="CG53" s="122">
        <f>SUMIFS(BB___HK___AMHS__Others[AR Amount],BB___HK___AMHS__Others[PO No.],AR_725[[#This Row],[tsmc PO '#]],BB___HK___AMHS__Others[Status],"&lt;&gt;Rejected",BB___HK___AMHS__Others[YearMonth],"2024-03")</f>
        <v>0</v>
      </c>
      <c r="CI53" s="122">
        <f>SUMIFS(BB___HK___AMHS__Others[AR Amount],BB___HK___AMHS__Others[PO No.],AR_725[[#This Row],[tsmc PO '#]],BB___HK___AMHS__Others[Status],"&lt;&gt;Rejected",BB___HK___AMHS__Others[YearMonth],"2024-04")</f>
        <v>0</v>
      </c>
      <c r="CJ53" s="30"/>
      <c r="CK53" s="122">
        <v>0</v>
      </c>
      <c r="CL53" s="122">
        <v>0</v>
      </c>
      <c r="CM53" s="122">
        <v>0</v>
      </c>
      <c r="CN53" s="122">
        <v>0</v>
      </c>
      <c r="CO53" s="122">
        <f>SUMIFS(BB___HK___AMHS__Others[AR Amount],BB___HK___AMHS__Others[PO No.],AR_725[[#This Row],[tsmc PO '#]],BB___HK___AMHS__Others[Status],"&lt;&gt;Rejected",BB___HK___AMHS__Others[YearMonth],"2024-07")</f>
        <v>0</v>
      </c>
      <c r="CP53" s="122">
        <f>SUMIFS(BB___HK___AMHS__Others[Tax],BB___HK___AMHS__Others[PO No.],AR_725[[#This Row],[tsmc PO '#]],BB___HK___AMHS__Others[Status],"&lt;&gt;Rejected",BB___HK___AMHS__Others[YearMonth],"2024-07")</f>
        <v>0</v>
      </c>
      <c r="CQ53" s="34">
        <f>SUMIFS(BB___HK___AMHS__Others[AR Amount],BB___HK___AMHS__Others[PO No.],AR_725[[#This Row],[tsmc PO '#]],BB___HK___AMHS__Others[Status],"&lt;&gt;Rejected",BB___HK___AMHS__Others[YearMonth],"2024-08")</f>
        <v>34112.870000000003</v>
      </c>
      <c r="CR53" s="44">
        <f>SUMIFS(BB___HK___AMHS__Others[Tax],BB___HK___AMHS__Others[PO No.],AR_725[[#This Row],[tsmc PO '#]],BB___HK___AMHS__Others[Status],"&lt;&gt;Rejected",BB___HK___AMHS__Others[YearMonth],"2024-08")</f>
        <v>0</v>
      </c>
      <c r="CS53" s="62">
        <f>SUMIFS(BB___HK___AMHS__Others[AR Amount],BB___HK___AMHS__Others[PO No.],AR_725[[#This Row],[tsmc PO '#]],BB___HK___AMHS__Others[Status],"&lt;&gt;Rejected",BB___HK___AMHS__Others[YearMonth],"2024-09")</f>
        <v>0</v>
      </c>
      <c r="CT53" s="601">
        <f>SUMIFS(BB___HK___AMHS__Others[Tax],BB___HK___AMHS__Others[PO No.],AR_725[[#This Row],[tsmc PO '#]],BB___HK___AMHS__Others[Status],"&lt;&gt;Rejected",BB___HK___AMHS__Others[YearMonth],"2024-09")</f>
        <v>0</v>
      </c>
    </row>
    <row r="54" spans="1:98" ht="14.1" hidden="1">
      <c r="A54" s="30" t="s">
        <v>8</v>
      </c>
      <c r="B54" s="30" t="s">
        <v>8</v>
      </c>
      <c r="D54" s="50" t="s">
        <v>8</v>
      </c>
      <c r="E54" s="48" t="s">
        <v>2109</v>
      </c>
      <c r="F54" s="64" t="s">
        <v>2110</v>
      </c>
      <c r="G54" s="50" t="s">
        <v>1316</v>
      </c>
      <c r="H54" s="50">
        <v>4590004119</v>
      </c>
      <c r="I54" s="30" t="s">
        <v>300</v>
      </c>
      <c r="J54" s="30" t="s">
        <v>688</v>
      </c>
      <c r="K54" s="62">
        <v>26897.02</v>
      </c>
      <c r="L54" s="30" t="s">
        <v>2062</v>
      </c>
      <c r="M54" s="86">
        <v>44790</v>
      </c>
      <c r="N54" s="87" t="s">
        <v>2063</v>
      </c>
      <c r="O54" s="88" t="s">
        <v>2111</v>
      </c>
      <c r="P5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26897.02</v>
      </c>
      <c r="Q5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26897.02</v>
      </c>
      <c r="R5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26897.02</v>
      </c>
      <c r="S54" s="72">
        <f>IF(AR_725[[#This Row],[PO Amount]]=0,1,AR_725[[#This Row],[Total AR (Sent)]]/AR_725[[#This Row],[PO Amount]])</f>
        <v>1</v>
      </c>
      <c r="T54" s="45">
        <f>AR_725[[#This Row],[PO Amount]]-AR_725[[#This Row],[Total AR (Sent)]]</f>
        <v>0</v>
      </c>
      <c r="U54" s="40"/>
      <c r="V54" s="40"/>
      <c r="W54" s="46"/>
      <c r="X54" s="46"/>
      <c r="Y54" s="46"/>
      <c r="Z54" s="46"/>
      <c r="AA54" s="46"/>
      <c r="AB54" s="40"/>
      <c r="AC54" s="40"/>
      <c r="AD54" s="40"/>
      <c r="AE54" s="46"/>
      <c r="AF54" s="46"/>
      <c r="AG54" s="46"/>
      <c r="AH54" s="46"/>
      <c r="AI54" s="34"/>
      <c r="AJ54" s="34"/>
      <c r="AK54" s="34"/>
      <c r="AL54" s="40"/>
      <c r="AM54" s="40"/>
      <c r="AN54" s="40"/>
      <c r="AO54" s="40"/>
      <c r="AP54" s="40"/>
      <c r="AQ54" s="40"/>
      <c r="AR54" s="34"/>
      <c r="AS54" s="40"/>
      <c r="AU54" s="34"/>
      <c r="AV54" s="34"/>
      <c r="AW54" s="34"/>
      <c r="AX54" s="34"/>
      <c r="AY54" s="34"/>
      <c r="AZ54" s="34"/>
      <c r="BA54" s="40"/>
      <c r="BB54" s="34"/>
      <c r="BC54" s="41"/>
      <c r="BD54" s="41"/>
      <c r="BE54" s="40"/>
      <c r="BF54" s="34"/>
      <c r="BG54" s="34"/>
      <c r="BH54" s="34"/>
      <c r="BI54" s="34"/>
      <c r="BJ54" s="34"/>
      <c r="BK54" s="34"/>
      <c r="BL54" s="34"/>
      <c r="BM54" s="34"/>
      <c r="BN54" s="34"/>
      <c r="BO54" s="40"/>
      <c r="BP54" s="34"/>
      <c r="BQ54" s="40"/>
      <c r="BR54" s="40"/>
      <c r="BS54" s="40"/>
      <c r="BT54" s="40"/>
      <c r="BU54" s="40"/>
      <c r="BV54" s="40"/>
      <c r="BW54" s="40"/>
      <c r="BX54" s="34"/>
      <c r="BZ54" s="40"/>
      <c r="CA54" s="40"/>
      <c r="CB54" s="34"/>
      <c r="CC54" s="34"/>
      <c r="CD54" s="34"/>
      <c r="CE54" s="65">
        <v>26897.02</v>
      </c>
      <c r="CF54" s="34"/>
      <c r="CG54" s="122">
        <f>SUMIFS(BB___HK___AMHS__Others[AR Amount],BB___HK___AMHS__Others[PO No.],AR_725[[#This Row],[tsmc PO '#]],BB___HK___AMHS__Others[Status],"&lt;&gt;Rejected",BB___HK___AMHS__Others[YearMonth],"2024-03")</f>
        <v>0</v>
      </c>
      <c r="CI54" s="122">
        <f>SUMIFS(BB___HK___AMHS__Others[AR Amount],BB___HK___AMHS__Others[PO No.],AR_725[[#This Row],[tsmc PO '#]],BB___HK___AMHS__Others[Status],"&lt;&gt;Rejected",BB___HK___AMHS__Others[YearMonth],"2024-04")</f>
        <v>0</v>
      </c>
      <c r="CJ54" s="30"/>
      <c r="CK54" s="122">
        <v>0</v>
      </c>
      <c r="CL54" s="122">
        <v>0</v>
      </c>
      <c r="CM54" s="122">
        <v>0</v>
      </c>
      <c r="CN54" s="122">
        <v>0</v>
      </c>
      <c r="CO54" s="122">
        <f>SUMIFS(BB___HK___AMHS__Others[AR Amount],BB___HK___AMHS__Others[PO No.],AR_725[[#This Row],[tsmc PO '#]],BB___HK___AMHS__Others[Status],"&lt;&gt;Rejected",BB___HK___AMHS__Others[YearMonth],"2024-07")</f>
        <v>0</v>
      </c>
      <c r="CP54" s="122">
        <f>SUMIFS(BB___HK___AMHS__Others[Tax],BB___HK___AMHS__Others[PO No.],AR_725[[#This Row],[tsmc PO '#]],BB___HK___AMHS__Others[Status],"&lt;&gt;Rejected",BB___HK___AMHS__Others[YearMonth],"2024-07")</f>
        <v>0</v>
      </c>
      <c r="CQ54" s="34">
        <f>SUMIFS(BB___HK___AMHS__Others[AR Amount],BB___HK___AMHS__Others[PO No.],AR_725[[#This Row],[tsmc PO '#]],BB___HK___AMHS__Others[Status],"&lt;&gt;Rejected",BB___HK___AMHS__Others[YearMonth],"2024-08")</f>
        <v>0</v>
      </c>
      <c r="CR54" s="44">
        <f>SUMIFS(BB___HK___AMHS__Others[Tax],BB___HK___AMHS__Others[PO No.],AR_725[[#This Row],[tsmc PO '#]],BB___HK___AMHS__Others[Status],"&lt;&gt;Rejected",BB___HK___AMHS__Others[YearMonth],"2024-08")</f>
        <v>0</v>
      </c>
      <c r="CS54" s="62">
        <f>SUMIFS(BB___HK___AMHS__Others[AR Amount],BB___HK___AMHS__Others[PO No.],AR_725[[#This Row],[tsmc PO '#]],BB___HK___AMHS__Others[Status],"&lt;&gt;Rejected",BB___HK___AMHS__Others[YearMonth],"2024-09")</f>
        <v>0</v>
      </c>
      <c r="CT54" s="601">
        <f>SUMIFS(BB___HK___AMHS__Others[Tax],BB___HK___AMHS__Others[PO No.],AR_725[[#This Row],[tsmc PO '#]],BB___HK___AMHS__Others[Status],"&lt;&gt;Rejected",BB___HK___AMHS__Others[YearMonth],"2024-09")</f>
        <v>0</v>
      </c>
    </row>
    <row r="55" spans="1:98" ht="14.1" hidden="1">
      <c r="A55" s="30" t="s">
        <v>11</v>
      </c>
      <c r="B55" s="30" t="s">
        <v>2051</v>
      </c>
      <c r="D55" s="50" t="s">
        <v>1720</v>
      </c>
      <c r="E55" s="57" t="s">
        <v>2070</v>
      </c>
      <c r="F55" s="64" t="s">
        <v>2116</v>
      </c>
      <c r="G55" s="48" t="s">
        <v>313</v>
      </c>
      <c r="H55" s="50">
        <v>4590004281</v>
      </c>
      <c r="I55" s="30" t="s">
        <v>425</v>
      </c>
      <c r="J55" s="30" t="s">
        <v>423</v>
      </c>
      <c r="K55" s="62">
        <v>504415.82</v>
      </c>
      <c r="L55" s="30" t="s">
        <v>2062</v>
      </c>
      <c r="M55" s="86">
        <v>44798</v>
      </c>
      <c r="N55" s="87" t="s">
        <v>2063</v>
      </c>
      <c r="O55" s="88" t="s">
        <v>2056</v>
      </c>
      <c r="P5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461855.48667818145</v>
      </c>
      <c r="Q5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461855.48667818145</v>
      </c>
      <c r="R5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461855.49</v>
      </c>
      <c r="S55" s="72">
        <f>IF(AR_725[[#This Row],[PO Amount]]=0,1,AR_725[[#This Row],[Total AR (Sent)]]/AR_725[[#This Row],[PO Amount]])</f>
        <v>0.91562450733242551</v>
      </c>
      <c r="T55" s="45">
        <f>AR_725[[#This Row],[PO Amount]]-AR_725[[#This Row],[Total AR (Sent)]]</f>
        <v>42560.333321818558</v>
      </c>
      <c r="U55" s="40"/>
      <c r="V55" s="40"/>
      <c r="W55" s="46"/>
      <c r="X55" s="46"/>
      <c r="Y55" s="46"/>
      <c r="Z55" s="46"/>
      <c r="AA55" s="46"/>
      <c r="AB55" s="40"/>
      <c r="AC55" s="40"/>
      <c r="AD55" s="40"/>
      <c r="AE55" s="46"/>
      <c r="AF55" s="46"/>
      <c r="AG55" s="46"/>
      <c r="AH55" s="46"/>
      <c r="AI55" s="34"/>
      <c r="AJ55" s="34"/>
      <c r="AK55" s="34"/>
      <c r="AL55" s="40"/>
      <c r="AM55" s="40"/>
      <c r="AN55" s="40"/>
      <c r="AO55" s="40"/>
      <c r="AP55" s="40"/>
      <c r="AQ55" s="40"/>
      <c r="AR55" s="34"/>
      <c r="AS55" s="40"/>
      <c r="AU55" s="34"/>
      <c r="AV55" s="34"/>
      <c r="AW55" s="41"/>
      <c r="AX55" s="41"/>
      <c r="AY55" s="34"/>
      <c r="AZ55" s="34"/>
      <c r="BA55" s="40"/>
      <c r="BB55" s="34"/>
      <c r="BC55" s="41"/>
      <c r="BD55" s="41"/>
      <c r="BE55" s="40"/>
      <c r="BF55" s="34"/>
      <c r="BG55" s="34"/>
      <c r="BH55" s="34"/>
      <c r="BI55" s="34"/>
      <c r="BJ55" s="34"/>
      <c r="BK55" s="42">
        <v>74192</v>
      </c>
      <c r="BL55" s="34"/>
      <c r="BM55" s="34"/>
      <c r="BN55" s="34"/>
      <c r="BO55" s="40"/>
      <c r="BP55" s="34"/>
      <c r="BQ55" s="40"/>
      <c r="BR55" s="40"/>
      <c r="BS55" s="40"/>
      <c r="BT55" s="40"/>
      <c r="BU55" s="40"/>
      <c r="BV55" s="40"/>
      <c r="BW55" s="47">
        <v>336271.48667818145</v>
      </c>
      <c r="BX55" s="34"/>
      <c r="BY55" s="47">
        <v>51392</v>
      </c>
      <c r="BZ55" s="40"/>
      <c r="CA55" s="40"/>
      <c r="CB55" s="34"/>
      <c r="CC55" s="34"/>
      <c r="CD55" s="34"/>
      <c r="CE55" s="34"/>
      <c r="CF55" s="34"/>
      <c r="CG55" s="122"/>
      <c r="CI55" s="122"/>
      <c r="CJ55" s="30"/>
      <c r="CK55" s="122">
        <v>0</v>
      </c>
      <c r="CL55" s="122">
        <v>0</v>
      </c>
      <c r="CM55" s="122">
        <v>0</v>
      </c>
      <c r="CN55" s="122">
        <v>0</v>
      </c>
      <c r="CO55" s="122">
        <f>SUMIFS(BB___HK___AMHS__Others[AR Amount],BB___HK___AMHS__Others[PO No.],AR_725[[#This Row],[tsmc PO '#]],BB___HK___AMHS__Others[Status],"&lt;&gt;Rejected",BB___HK___AMHS__Others[YearMonth],"2024-07")</f>
        <v>0</v>
      </c>
      <c r="CP55" s="122">
        <f>SUMIFS(BB___HK___AMHS__Others[Tax],BB___HK___AMHS__Others[PO No.],AR_725[[#This Row],[tsmc PO '#]],BB___HK___AMHS__Others[Status],"&lt;&gt;Rejected",BB___HK___AMHS__Others[YearMonth],"2024-07")</f>
        <v>0</v>
      </c>
      <c r="CQ55" s="34">
        <f>SUMIFS(BB___HK___AMHS__Others[AR Amount],BB___HK___AMHS__Others[PO No.],AR_725[[#This Row],[tsmc PO '#]],BB___HK___AMHS__Others[Status],"&lt;&gt;Rejected",BB___HK___AMHS__Others[YearMonth],"2024-08")</f>
        <v>0</v>
      </c>
      <c r="CR55" s="44">
        <f>SUMIFS(BB___HK___AMHS__Others[Tax],BB___HK___AMHS__Others[PO No.],AR_725[[#This Row],[tsmc PO '#]],BB___HK___AMHS__Others[Status],"&lt;&gt;Rejected",BB___HK___AMHS__Others[YearMonth],"2024-08")</f>
        <v>0</v>
      </c>
      <c r="CS55" s="62">
        <f>SUMIFS(BB___HK___AMHS__Others[AR Amount],BB___HK___AMHS__Others[PO No.],AR_725[[#This Row],[tsmc PO '#]],BB___HK___AMHS__Others[Status],"&lt;&gt;Rejected",BB___HK___AMHS__Others[YearMonth],"2024-09")</f>
        <v>0</v>
      </c>
      <c r="CT55" s="601">
        <f>SUMIFS(BB___HK___AMHS__Others[Tax],BB___HK___AMHS__Others[PO No.],AR_725[[#This Row],[tsmc PO '#]],BB___HK___AMHS__Others[Status],"&lt;&gt;Rejected",BB___HK___AMHS__Others[YearMonth],"2024-09")</f>
        <v>0</v>
      </c>
    </row>
    <row r="56" spans="1:98" ht="14.1" hidden="1">
      <c r="A56" s="30" t="s">
        <v>12</v>
      </c>
      <c r="B56" s="30" t="s">
        <v>2113</v>
      </c>
      <c r="D56" s="50" t="s">
        <v>1546</v>
      </c>
      <c r="E56" s="605" t="s">
        <v>2052</v>
      </c>
      <c r="F56" s="48" t="s">
        <v>2053</v>
      </c>
      <c r="G56" s="63" t="s">
        <v>2117</v>
      </c>
      <c r="H56" s="50">
        <v>4590004606</v>
      </c>
      <c r="I56" s="30" t="s">
        <v>584</v>
      </c>
      <c r="J56" s="30" t="s">
        <v>2118</v>
      </c>
      <c r="K56" s="62">
        <v>10738</v>
      </c>
      <c r="L56" s="30"/>
      <c r="M56" s="86"/>
      <c r="N56" s="87"/>
      <c r="O56" s="88"/>
      <c r="P5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5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5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56" s="72">
        <f>IF(AR_725[[#This Row],[PO Amount]]=0,1,AR_725[[#This Row],[Total AR (Sent)]]/AR_725[[#This Row],[PO Amount]])</f>
        <v>0</v>
      </c>
      <c r="T56" s="45">
        <f>AR_725[[#This Row],[PO Amount]]-AR_725[[#This Row],[Total AR (Sent)]]</f>
        <v>10738</v>
      </c>
      <c r="U56" s="40"/>
      <c r="V56" s="40"/>
      <c r="W56" s="46"/>
      <c r="X56" s="46"/>
      <c r="Y56" s="46"/>
      <c r="Z56" s="46"/>
      <c r="AA56" s="46"/>
      <c r="AB56" s="40"/>
      <c r="AC56" s="40"/>
      <c r="AD56" s="40"/>
      <c r="AE56" s="46"/>
      <c r="AF56" s="46"/>
      <c r="AG56" s="46"/>
      <c r="AH56" s="46"/>
      <c r="AI56" s="46"/>
      <c r="AJ56" s="41"/>
      <c r="AK56" s="46"/>
      <c r="AL56" s="46"/>
      <c r="AM56" s="46"/>
      <c r="AN56" s="46"/>
      <c r="AO56" s="46"/>
      <c r="AP56" s="46"/>
      <c r="AQ56" s="46"/>
      <c r="AR56" s="41"/>
      <c r="AS56" s="46"/>
      <c r="AT56" s="41"/>
      <c r="AU56" s="41"/>
      <c r="AV56" s="41"/>
      <c r="AW56" s="41"/>
      <c r="AX56" s="41"/>
      <c r="AY56" s="41"/>
      <c r="AZ56" s="41"/>
      <c r="BA56" s="46"/>
      <c r="BB56" s="41"/>
      <c r="BC56" s="41"/>
      <c r="BD56" s="41"/>
      <c r="BE56" s="46"/>
      <c r="BF56" s="41"/>
      <c r="BG56" s="46"/>
      <c r="BH56" s="41"/>
      <c r="BI56" s="41"/>
      <c r="BJ56" s="41"/>
      <c r="BK56" s="41"/>
      <c r="BL56" s="41"/>
      <c r="BM56" s="41"/>
      <c r="BN56" s="41"/>
      <c r="BO56" s="46"/>
      <c r="BP56" s="41"/>
      <c r="BQ56" s="40"/>
      <c r="BR56" s="40"/>
      <c r="BS56" s="40"/>
      <c r="BT56" s="40"/>
      <c r="BU56" s="40"/>
      <c r="BV56" s="40"/>
      <c r="BW56" s="40"/>
      <c r="BX56" s="34"/>
      <c r="BZ56" s="34"/>
      <c r="CA56" s="40"/>
      <c r="CB56" s="34"/>
      <c r="CC56" s="34"/>
      <c r="CD56" s="34"/>
      <c r="CE56" s="34"/>
      <c r="CF56" s="34"/>
      <c r="CG56" s="122"/>
      <c r="CI56" s="122"/>
      <c r="CJ56" s="30"/>
      <c r="CK56" s="122">
        <v>0</v>
      </c>
      <c r="CL56" s="122">
        <v>0</v>
      </c>
      <c r="CM56" s="122">
        <v>0</v>
      </c>
      <c r="CN56" s="122">
        <v>0</v>
      </c>
      <c r="CO56" s="122">
        <f>SUMIFS(BB___HK___AMHS__Others[AR Amount],BB___HK___AMHS__Others[PO No.],AR_725[[#This Row],[tsmc PO '#]],BB___HK___AMHS__Others[Status],"&lt;&gt;Rejected",BB___HK___AMHS__Others[YearMonth],"2024-07")</f>
        <v>0</v>
      </c>
      <c r="CP56" s="122">
        <f>SUMIFS(BB___HK___AMHS__Others[Tax],BB___HK___AMHS__Others[PO No.],AR_725[[#This Row],[tsmc PO '#]],BB___HK___AMHS__Others[Status],"&lt;&gt;Rejected",BB___HK___AMHS__Others[YearMonth],"2024-07")</f>
        <v>0</v>
      </c>
      <c r="CQ56" s="34">
        <f>SUMIFS(BB___HK___AMHS__Others[AR Amount],BB___HK___AMHS__Others[PO No.],AR_725[[#This Row],[tsmc PO '#]],BB___HK___AMHS__Others[Status],"&lt;&gt;Rejected",BB___HK___AMHS__Others[YearMonth],"2024-08")</f>
        <v>0</v>
      </c>
      <c r="CR56" s="44">
        <f>SUMIFS(BB___HK___AMHS__Others[Tax],BB___HK___AMHS__Others[PO No.],AR_725[[#This Row],[tsmc PO '#]],BB___HK___AMHS__Others[Status],"&lt;&gt;Rejected",BB___HK___AMHS__Others[YearMonth],"2024-08")</f>
        <v>0</v>
      </c>
      <c r="CS56" s="62">
        <f>SUMIFS(BB___HK___AMHS__Others[AR Amount],BB___HK___AMHS__Others[PO No.],AR_725[[#This Row],[tsmc PO '#]],BB___HK___AMHS__Others[Status],"&lt;&gt;Rejected",BB___HK___AMHS__Others[YearMonth],"2024-09")</f>
        <v>0</v>
      </c>
      <c r="CT56" s="601">
        <f>SUMIFS(BB___HK___AMHS__Others[Tax],BB___HK___AMHS__Others[PO No.],AR_725[[#This Row],[tsmc PO '#]],BB___HK___AMHS__Others[Status],"&lt;&gt;Rejected",BB___HK___AMHS__Others[YearMonth],"2024-09")</f>
        <v>0</v>
      </c>
    </row>
    <row r="57" spans="1:98" ht="14.1" hidden="1">
      <c r="A57" s="30" t="s">
        <v>12</v>
      </c>
      <c r="B57" s="30" t="s">
        <v>2113</v>
      </c>
      <c r="D57" s="50" t="s">
        <v>2099</v>
      </c>
      <c r="E57" s="105" t="s">
        <v>2052</v>
      </c>
      <c r="F57" s="48" t="s">
        <v>2053</v>
      </c>
      <c r="G57" s="48" t="s">
        <v>2119</v>
      </c>
      <c r="H57" s="50">
        <v>4590004607</v>
      </c>
      <c r="I57" s="30" t="s">
        <v>584</v>
      </c>
      <c r="J57" s="30" t="s">
        <v>2120</v>
      </c>
      <c r="K57" s="62">
        <v>26933.83</v>
      </c>
      <c r="L57" s="30"/>
      <c r="M57" s="86"/>
      <c r="N57" s="87"/>
      <c r="O57" s="88"/>
      <c r="P5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5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5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57" s="72">
        <f>IF(AR_725[[#This Row],[PO Amount]]=0,1,AR_725[[#This Row],[Total AR (Sent)]]/AR_725[[#This Row],[PO Amount]])</f>
        <v>0</v>
      </c>
      <c r="T57" s="45">
        <f>AR_725[[#This Row],[PO Amount]]-AR_725[[#This Row],[Total AR (Sent)]]</f>
        <v>26933.83</v>
      </c>
      <c r="U57" s="40"/>
      <c r="V57" s="40"/>
      <c r="W57" s="46"/>
      <c r="X57" s="46"/>
      <c r="Y57" s="46"/>
      <c r="Z57" s="46"/>
      <c r="AA57" s="46"/>
      <c r="AB57" s="40"/>
      <c r="AC57" s="40"/>
      <c r="AD57" s="40"/>
      <c r="AE57" s="46"/>
      <c r="AF57" s="46"/>
      <c r="AG57" s="46"/>
      <c r="AH57" s="46"/>
      <c r="AI57" s="46"/>
      <c r="AJ57" s="41"/>
      <c r="AK57" s="46"/>
      <c r="AL57" s="46"/>
      <c r="AM57" s="46"/>
      <c r="AN57" s="46"/>
      <c r="AO57" s="46"/>
      <c r="AP57" s="46"/>
      <c r="AQ57" s="46"/>
      <c r="AR57" s="41"/>
      <c r="AS57" s="46"/>
      <c r="AT57" s="41"/>
      <c r="AU57" s="41"/>
      <c r="AV57" s="41"/>
      <c r="AW57" s="41"/>
      <c r="AX57" s="41"/>
      <c r="AY57" s="41"/>
      <c r="AZ57" s="41"/>
      <c r="BA57" s="46"/>
      <c r="BB57" s="41"/>
      <c r="BC57" s="41"/>
      <c r="BD57" s="41"/>
      <c r="BE57" s="46"/>
      <c r="BF57" s="41"/>
      <c r="BG57" s="46"/>
      <c r="BH57" s="41"/>
      <c r="BI57" s="41"/>
      <c r="BJ57" s="41"/>
      <c r="BK57" s="41"/>
      <c r="BL57" s="41"/>
      <c r="BM57" s="41"/>
      <c r="BN57" s="41"/>
      <c r="BO57" s="46"/>
      <c r="BP57" s="41"/>
      <c r="BQ57" s="40"/>
      <c r="BR57" s="40"/>
      <c r="BS57" s="40"/>
      <c r="BT57" s="40"/>
      <c r="BU57" s="40"/>
      <c r="BV57" s="40"/>
      <c r="BW57" s="40"/>
      <c r="BX57" s="34"/>
      <c r="BZ57" s="40"/>
      <c r="CA57" s="40"/>
      <c r="CB57" s="34"/>
      <c r="CC57" s="34"/>
      <c r="CD57" s="34"/>
      <c r="CE57" s="34"/>
      <c r="CF57" s="34"/>
      <c r="CG57" s="122"/>
      <c r="CI57" s="122"/>
      <c r="CJ57" s="30"/>
      <c r="CK57" s="122">
        <v>0</v>
      </c>
      <c r="CL57" s="122">
        <v>0</v>
      </c>
      <c r="CM57" s="122">
        <v>0</v>
      </c>
      <c r="CN57" s="122">
        <v>0</v>
      </c>
      <c r="CO57" s="122">
        <f>SUMIFS(BB___HK___AMHS__Others[AR Amount],BB___HK___AMHS__Others[PO No.],AR_725[[#This Row],[tsmc PO '#]],BB___HK___AMHS__Others[Status],"&lt;&gt;Rejected",BB___HK___AMHS__Others[YearMonth],"2024-07")</f>
        <v>0</v>
      </c>
      <c r="CP57" s="122">
        <f>SUMIFS(BB___HK___AMHS__Others[Tax],BB___HK___AMHS__Others[PO No.],AR_725[[#This Row],[tsmc PO '#]],BB___HK___AMHS__Others[Status],"&lt;&gt;Rejected",BB___HK___AMHS__Others[YearMonth],"2024-07")</f>
        <v>0</v>
      </c>
      <c r="CQ57" s="34">
        <f>SUMIFS(BB___HK___AMHS__Others[AR Amount],BB___HK___AMHS__Others[PO No.],AR_725[[#This Row],[tsmc PO '#]],BB___HK___AMHS__Others[Status],"&lt;&gt;Rejected",BB___HK___AMHS__Others[YearMonth],"2024-08")</f>
        <v>0</v>
      </c>
      <c r="CR57" s="44">
        <f>SUMIFS(BB___HK___AMHS__Others[Tax],BB___HK___AMHS__Others[PO No.],AR_725[[#This Row],[tsmc PO '#]],BB___HK___AMHS__Others[Status],"&lt;&gt;Rejected",BB___HK___AMHS__Others[YearMonth],"2024-08")</f>
        <v>0</v>
      </c>
      <c r="CS57" s="62">
        <f>SUMIFS(BB___HK___AMHS__Others[AR Amount],BB___HK___AMHS__Others[PO No.],AR_725[[#This Row],[tsmc PO '#]],BB___HK___AMHS__Others[Status],"&lt;&gt;Rejected",BB___HK___AMHS__Others[YearMonth],"2024-09")</f>
        <v>0</v>
      </c>
      <c r="CT57" s="601">
        <f>SUMIFS(BB___HK___AMHS__Others[Tax],BB___HK___AMHS__Others[PO No.],AR_725[[#This Row],[tsmc PO '#]],BB___HK___AMHS__Others[Status],"&lt;&gt;Rejected",BB___HK___AMHS__Others[YearMonth],"2024-09")</f>
        <v>0</v>
      </c>
    </row>
    <row r="58" spans="1:98" ht="14.1" hidden="1">
      <c r="A58" s="30" t="s">
        <v>12</v>
      </c>
      <c r="B58" s="30" t="s">
        <v>2113</v>
      </c>
      <c r="D58" s="50" t="s">
        <v>2099</v>
      </c>
      <c r="E58" s="105" t="s">
        <v>2052</v>
      </c>
      <c r="F58" s="48" t="s">
        <v>2053</v>
      </c>
      <c r="G58" s="48" t="s">
        <v>2119</v>
      </c>
      <c r="H58" s="50">
        <v>4590004608</v>
      </c>
      <c r="I58" s="30" t="s">
        <v>584</v>
      </c>
      <c r="J58" s="30" t="s">
        <v>2120</v>
      </c>
      <c r="K58" s="62">
        <v>3364.56</v>
      </c>
      <c r="L58" s="30"/>
      <c r="M58" s="86"/>
      <c r="N58" s="87"/>
      <c r="O58" s="88"/>
      <c r="P5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5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5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58" s="72">
        <f>IF(AR_725[[#This Row],[PO Amount]]=0,1,AR_725[[#This Row],[Total AR (Sent)]]/AR_725[[#This Row],[PO Amount]])</f>
        <v>0</v>
      </c>
      <c r="T58" s="45">
        <f>AR_725[[#This Row],[PO Amount]]-AR_725[[#This Row],[Total AR (Sent)]]</f>
        <v>3364.56</v>
      </c>
      <c r="U58" s="40"/>
      <c r="V58" s="40"/>
      <c r="W58" s="46"/>
      <c r="X58" s="46"/>
      <c r="Y58" s="46"/>
      <c r="Z58" s="46"/>
      <c r="AA58" s="46"/>
      <c r="AB58" s="40"/>
      <c r="AC58" s="40"/>
      <c r="AD58" s="40"/>
      <c r="AE58" s="46"/>
      <c r="AF58" s="46"/>
      <c r="AG58" s="46"/>
      <c r="AH58" s="46"/>
      <c r="AI58" s="46"/>
      <c r="AJ58" s="41"/>
      <c r="AK58" s="46"/>
      <c r="AL58" s="46"/>
      <c r="AM58" s="46"/>
      <c r="AN58" s="46"/>
      <c r="AO58" s="46"/>
      <c r="AP58" s="46"/>
      <c r="AQ58" s="46"/>
      <c r="AR58" s="41"/>
      <c r="AS58" s="46"/>
      <c r="AT58" s="41"/>
      <c r="AU58" s="41"/>
      <c r="AV58" s="41"/>
      <c r="AW58" s="41"/>
      <c r="AX58" s="41"/>
      <c r="AY58" s="41"/>
      <c r="AZ58" s="41"/>
      <c r="BA58" s="46"/>
      <c r="BB58" s="41"/>
      <c r="BC58" s="41"/>
      <c r="BD58" s="41"/>
      <c r="BE58" s="46"/>
      <c r="BF58" s="41"/>
      <c r="BG58" s="46"/>
      <c r="BH58" s="41"/>
      <c r="BI58" s="41"/>
      <c r="BJ58" s="41"/>
      <c r="BK58" s="41"/>
      <c r="BL58" s="41"/>
      <c r="BM58" s="41"/>
      <c r="BN58" s="41"/>
      <c r="BO58" s="46"/>
      <c r="BP58" s="41"/>
      <c r="BQ58" s="40"/>
      <c r="BR58" s="40"/>
      <c r="BS58" s="40"/>
      <c r="BT58" s="40"/>
      <c r="BU58" s="40"/>
      <c r="BV58" s="40"/>
      <c r="BW58" s="40"/>
      <c r="BX58" s="34"/>
      <c r="BZ58" s="40"/>
      <c r="CA58" s="40"/>
      <c r="CB58" s="34"/>
      <c r="CC58" s="34"/>
      <c r="CD58" s="34"/>
      <c r="CE58" s="34"/>
      <c r="CF58" s="34"/>
      <c r="CG58" s="122"/>
      <c r="CI58" s="122"/>
      <c r="CJ58" s="30"/>
      <c r="CK58" s="122">
        <v>0</v>
      </c>
      <c r="CL58" s="122">
        <v>0</v>
      </c>
      <c r="CM58" s="122">
        <v>0</v>
      </c>
      <c r="CN58" s="122">
        <v>0</v>
      </c>
      <c r="CO58" s="122">
        <f>SUMIFS(BB___HK___AMHS__Others[AR Amount],BB___HK___AMHS__Others[PO No.],AR_725[[#This Row],[tsmc PO '#]],BB___HK___AMHS__Others[Status],"&lt;&gt;Rejected",BB___HK___AMHS__Others[YearMonth],"2024-07")</f>
        <v>0</v>
      </c>
      <c r="CP58" s="122">
        <f>SUMIFS(BB___HK___AMHS__Others[Tax],BB___HK___AMHS__Others[PO No.],AR_725[[#This Row],[tsmc PO '#]],BB___HK___AMHS__Others[Status],"&lt;&gt;Rejected",BB___HK___AMHS__Others[YearMonth],"2024-07")</f>
        <v>0</v>
      </c>
      <c r="CQ58" s="34">
        <f>SUMIFS(BB___HK___AMHS__Others[AR Amount],BB___HK___AMHS__Others[PO No.],AR_725[[#This Row],[tsmc PO '#]],BB___HK___AMHS__Others[Status],"&lt;&gt;Rejected",BB___HK___AMHS__Others[YearMonth],"2024-08")</f>
        <v>0</v>
      </c>
      <c r="CR58" s="44">
        <f>SUMIFS(BB___HK___AMHS__Others[Tax],BB___HK___AMHS__Others[PO No.],AR_725[[#This Row],[tsmc PO '#]],BB___HK___AMHS__Others[Status],"&lt;&gt;Rejected",BB___HK___AMHS__Others[YearMonth],"2024-08")</f>
        <v>0</v>
      </c>
      <c r="CS58" s="62">
        <f>SUMIFS(BB___HK___AMHS__Others[AR Amount],BB___HK___AMHS__Others[PO No.],AR_725[[#This Row],[tsmc PO '#]],BB___HK___AMHS__Others[Status],"&lt;&gt;Rejected",BB___HK___AMHS__Others[YearMonth],"2024-09")</f>
        <v>0</v>
      </c>
      <c r="CT58" s="601">
        <f>SUMIFS(BB___HK___AMHS__Others[Tax],BB___HK___AMHS__Others[PO No.],AR_725[[#This Row],[tsmc PO '#]],BB___HK___AMHS__Others[Status],"&lt;&gt;Rejected",BB___HK___AMHS__Others[YearMonth],"2024-09")</f>
        <v>0</v>
      </c>
    </row>
    <row r="59" spans="1:98" ht="14.1" hidden="1">
      <c r="A59" s="30" t="s">
        <v>11</v>
      </c>
      <c r="B59" s="30" t="s">
        <v>2051</v>
      </c>
      <c r="D59" s="50" t="s">
        <v>1546</v>
      </c>
      <c r="E59" s="604" t="s">
        <v>2052</v>
      </c>
      <c r="F59" s="48" t="s">
        <v>2053</v>
      </c>
      <c r="G59" s="57" t="s">
        <v>314</v>
      </c>
      <c r="H59" s="50">
        <v>4590004610</v>
      </c>
      <c r="I59" s="30" t="s">
        <v>584</v>
      </c>
      <c r="J59" s="30" t="s">
        <v>924</v>
      </c>
      <c r="K59" s="62">
        <v>112375.63</v>
      </c>
      <c r="L59" s="30"/>
      <c r="M59" s="86">
        <v>44805</v>
      </c>
      <c r="N59" s="87" t="s">
        <v>2103</v>
      </c>
      <c r="O59" s="88" t="s">
        <v>2089</v>
      </c>
      <c r="P5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67615</v>
      </c>
      <c r="Q5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67615</v>
      </c>
      <c r="R5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67615</v>
      </c>
      <c r="S59" s="72">
        <f>IF(AR_725[[#This Row],[PO Amount]]=0,1,AR_725[[#This Row],[Total AR (Sent)]]/AR_725[[#This Row],[PO Amount]])</f>
        <v>0.60168739432206075</v>
      </c>
      <c r="T59" s="45">
        <f>AR_725[[#This Row],[PO Amount]]-AR_725[[#This Row],[Total AR (Sent)]]</f>
        <v>44760.630000000005</v>
      </c>
      <c r="U59" s="40"/>
      <c r="V59" s="40"/>
      <c r="W59" s="46"/>
      <c r="X59" s="46"/>
      <c r="Y59" s="46"/>
      <c r="Z59" s="46"/>
      <c r="AA59" s="46"/>
      <c r="AB59" s="40"/>
      <c r="AC59" s="40"/>
      <c r="AD59" s="40"/>
      <c r="AE59" s="46"/>
      <c r="AF59" s="46"/>
      <c r="AG59" s="46"/>
      <c r="AH59" s="46"/>
      <c r="AI59" s="40"/>
      <c r="AJ59" s="34"/>
      <c r="AK59" s="40"/>
      <c r="AL59" s="40"/>
      <c r="AM59" s="40"/>
      <c r="AN59" s="40"/>
      <c r="AO59" s="40"/>
      <c r="AP59" s="40"/>
      <c r="AQ59" s="40"/>
      <c r="AR59" s="34"/>
      <c r="AS59" s="40"/>
      <c r="AU59" s="34"/>
      <c r="AV59" s="34"/>
      <c r="AW59" s="41"/>
      <c r="AX59" s="41"/>
      <c r="AY59" s="34"/>
      <c r="AZ59" s="34"/>
      <c r="BA59" s="40"/>
      <c r="BB59" s="34"/>
      <c r="BC59" s="41"/>
      <c r="BD59" s="41"/>
      <c r="BE59" s="40"/>
      <c r="BF59" s="34"/>
      <c r="BG59" s="40"/>
      <c r="BH59" s="34"/>
      <c r="BI59" s="34"/>
      <c r="BJ59" s="34"/>
      <c r="BK59" s="34"/>
      <c r="BL59" s="34"/>
      <c r="BM59" s="34"/>
      <c r="BN59" s="34"/>
      <c r="BO59" s="40"/>
      <c r="BP59" s="34"/>
      <c r="BQ59" s="40"/>
      <c r="BR59" s="40"/>
      <c r="BS59" s="40"/>
      <c r="BT59" s="40"/>
      <c r="BU59" s="40"/>
      <c r="BV59" s="40"/>
      <c r="BW59" s="40"/>
      <c r="BX59" s="34"/>
      <c r="BZ59" s="34"/>
      <c r="CA59" s="40"/>
      <c r="CB59" s="34"/>
      <c r="CC59" s="34"/>
      <c r="CD59" s="34"/>
      <c r="CE59" s="34"/>
      <c r="CF59" s="34"/>
      <c r="CG59" s="123">
        <v>67615</v>
      </c>
      <c r="CH59" s="328">
        <v>3779.68</v>
      </c>
      <c r="CI59" s="122"/>
      <c r="CJ59" s="30"/>
      <c r="CK59" s="122">
        <v>0</v>
      </c>
      <c r="CL59" s="122">
        <v>0</v>
      </c>
      <c r="CM59" s="122">
        <v>0</v>
      </c>
      <c r="CN59" s="122">
        <v>0</v>
      </c>
      <c r="CO59" s="122">
        <f>SUMIFS(BB___HK___AMHS__Others[AR Amount],BB___HK___AMHS__Others[PO No.],AR_725[[#This Row],[tsmc PO '#]],BB___HK___AMHS__Others[Status],"&lt;&gt;Rejected",BB___HK___AMHS__Others[YearMonth],"2024-07")</f>
        <v>0</v>
      </c>
      <c r="CP59" s="122">
        <f>SUMIFS(BB___HK___AMHS__Others[Tax],BB___HK___AMHS__Others[PO No.],AR_725[[#This Row],[tsmc PO '#]],BB___HK___AMHS__Others[Status],"&lt;&gt;Rejected",BB___HK___AMHS__Others[YearMonth],"2024-07")</f>
        <v>0</v>
      </c>
      <c r="CQ59" s="34">
        <f>SUMIFS(BB___HK___AMHS__Others[AR Amount],BB___HK___AMHS__Others[PO No.],AR_725[[#This Row],[tsmc PO '#]],BB___HK___AMHS__Others[Status],"&lt;&gt;Rejected",BB___HK___AMHS__Others[YearMonth],"2024-08")</f>
        <v>0</v>
      </c>
      <c r="CR59" s="44">
        <f>SUMIFS(BB___HK___AMHS__Others[Tax],BB___HK___AMHS__Others[PO No.],AR_725[[#This Row],[tsmc PO '#]],BB___HK___AMHS__Others[Status],"&lt;&gt;Rejected",BB___HK___AMHS__Others[YearMonth],"2024-08")</f>
        <v>0</v>
      </c>
      <c r="CS59" s="62">
        <f>SUMIFS(BB___HK___AMHS__Others[AR Amount],BB___HK___AMHS__Others[PO No.],AR_725[[#This Row],[tsmc PO '#]],BB___HK___AMHS__Others[Status],"&lt;&gt;Rejected",BB___HK___AMHS__Others[YearMonth],"2024-09")</f>
        <v>0</v>
      </c>
      <c r="CT59" s="601">
        <f>SUMIFS(BB___HK___AMHS__Others[Tax],BB___HK___AMHS__Others[PO No.],AR_725[[#This Row],[tsmc PO '#]],BB___HK___AMHS__Others[Status],"&lt;&gt;Rejected",BB___HK___AMHS__Others[YearMonth],"2024-09")</f>
        <v>0</v>
      </c>
    </row>
    <row r="60" spans="1:98" ht="14.1" hidden="1">
      <c r="A60" s="30" t="s">
        <v>12</v>
      </c>
      <c r="B60" s="30" t="s">
        <v>2113</v>
      </c>
      <c r="D60" s="50" t="s">
        <v>1546</v>
      </c>
      <c r="E60" s="63" t="s">
        <v>2052</v>
      </c>
      <c r="F60" s="48" t="s">
        <v>2086</v>
      </c>
      <c r="G60" s="290" t="s">
        <v>926</v>
      </c>
      <c r="H60" s="50">
        <v>4590004636</v>
      </c>
      <c r="I60" s="30" t="s">
        <v>928</v>
      </c>
      <c r="J60" s="30" t="s">
        <v>927</v>
      </c>
      <c r="K60" s="62">
        <v>224414.81</v>
      </c>
      <c r="L60" s="30"/>
      <c r="M60" s="86"/>
      <c r="N60" s="87"/>
      <c r="O60" s="88"/>
      <c r="P6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219227.77</v>
      </c>
      <c r="Q6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6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219227.77</v>
      </c>
      <c r="S60" s="72">
        <f>IF(AR_725[[#This Row],[PO Amount]]=0,1,AR_725[[#This Row],[Total AR (Sent)]]/AR_725[[#This Row],[PO Amount]])</f>
        <v>0.9768863739429674</v>
      </c>
      <c r="T60" s="45">
        <f>AR_725[[#This Row],[PO Amount]]-AR_725[[#This Row],[Total AR (Sent)]]</f>
        <v>5187.0400000000081</v>
      </c>
      <c r="U60" s="40"/>
      <c r="V60" s="40"/>
      <c r="W60" s="46"/>
      <c r="X60" s="46"/>
      <c r="Y60" s="46"/>
      <c r="Z60" s="46"/>
      <c r="AA60" s="46"/>
      <c r="AB60" s="40"/>
      <c r="AC60" s="40"/>
      <c r="AD60" s="40"/>
      <c r="AE60" s="46"/>
      <c r="AF60" s="46"/>
      <c r="AG60" s="46"/>
      <c r="AH60" s="46"/>
      <c r="AI60" s="41"/>
      <c r="AJ60" s="41"/>
      <c r="AK60" s="41"/>
      <c r="AL60" s="46"/>
      <c r="AM60" s="46"/>
      <c r="AN60" s="46"/>
      <c r="AO60" s="46"/>
      <c r="AP60" s="46"/>
      <c r="AQ60" s="46"/>
      <c r="AR60" s="41"/>
      <c r="AS60" s="46"/>
      <c r="AT60" s="41"/>
      <c r="AU60" s="41"/>
      <c r="AV60" s="41"/>
      <c r="AW60" s="41"/>
      <c r="AX60" s="41"/>
      <c r="AY60" s="41"/>
      <c r="AZ60" s="41"/>
      <c r="BA60" s="46"/>
      <c r="BB60" s="41"/>
      <c r="BC60" s="41"/>
      <c r="BD60" s="41"/>
      <c r="BE60" s="46"/>
      <c r="BF60" s="41"/>
      <c r="BG60" s="46"/>
      <c r="BH60" s="41"/>
      <c r="BI60" s="41"/>
      <c r="BJ60" s="41"/>
      <c r="BK60" s="41"/>
      <c r="BL60" s="41"/>
      <c r="BM60" s="41"/>
      <c r="BN60" s="41"/>
      <c r="BO60" s="46"/>
      <c r="BP60" s="41"/>
      <c r="BQ60" s="40"/>
      <c r="BR60" s="40"/>
      <c r="BS60" s="40"/>
      <c r="BT60" s="40"/>
      <c r="BU60" s="40"/>
      <c r="BV60" s="40"/>
      <c r="BW60" s="40"/>
      <c r="BX60" s="34"/>
      <c r="BZ60" s="40"/>
      <c r="CA60" s="40"/>
      <c r="CB60" s="34"/>
      <c r="CC60" s="34"/>
      <c r="CD60" s="34"/>
      <c r="CE60" s="34"/>
      <c r="CF60" s="34"/>
      <c r="CG60" s="122"/>
      <c r="CI60" s="116">
        <v>219227.77</v>
      </c>
      <c r="CJ60" s="30"/>
      <c r="CK60" s="122">
        <v>0</v>
      </c>
      <c r="CL60" s="122">
        <v>0</v>
      </c>
      <c r="CM60" s="122">
        <v>0</v>
      </c>
      <c r="CN60" s="122">
        <v>0</v>
      </c>
      <c r="CO60" s="122">
        <f>SUMIFS(BB___HK___AMHS__Others[AR Amount],BB___HK___AMHS__Others[PO No.],AR_725[[#This Row],[tsmc PO '#]],BB___HK___AMHS__Others[Status],"&lt;&gt;Rejected",BB___HK___AMHS__Others[YearMonth],"2024-07")</f>
        <v>0</v>
      </c>
      <c r="CP60" s="122">
        <f>SUMIFS(BB___HK___AMHS__Others[Tax],BB___HK___AMHS__Others[PO No.],AR_725[[#This Row],[tsmc PO '#]],BB___HK___AMHS__Others[Status],"&lt;&gt;Rejected",BB___HK___AMHS__Others[YearMonth],"2024-07")</f>
        <v>0</v>
      </c>
      <c r="CQ60" s="34">
        <f>SUMIFS(BB___HK___AMHS__Others[AR Amount],BB___HK___AMHS__Others[PO No.],AR_725[[#This Row],[tsmc PO '#]],BB___HK___AMHS__Others[Status],"&lt;&gt;Rejected",BB___HK___AMHS__Others[YearMonth],"2024-08")</f>
        <v>0</v>
      </c>
      <c r="CR60" s="44">
        <f>SUMIFS(BB___HK___AMHS__Others[Tax],BB___HK___AMHS__Others[PO No.],AR_725[[#This Row],[tsmc PO '#]],BB___HK___AMHS__Others[Status],"&lt;&gt;Rejected",BB___HK___AMHS__Others[YearMonth],"2024-08")</f>
        <v>0</v>
      </c>
      <c r="CS60" s="62">
        <f>SUMIFS(BB___HK___AMHS__Others[AR Amount],BB___HK___AMHS__Others[PO No.],AR_725[[#This Row],[tsmc PO '#]],BB___HK___AMHS__Others[Status],"&lt;&gt;Rejected",BB___HK___AMHS__Others[YearMonth],"2024-09")</f>
        <v>0</v>
      </c>
      <c r="CT60" s="601">
        <f>SUMIFS(BB___HK___AMHS__Others[Tax],BB___HK___AMHS__Others[PO No.],AR_725[[#This Row],[tsmc PO '#]],BB___HK___AMHS__Others[Status],"&lt;&gt;Rejected",BB___HK___AMHS__Others[YearMonth],"2024-09")</f>
        <v>0</v>
      </c>
    </row>
    <row r="61" spans="1:98" ht="14.1" hidden="1">
      <c r="A61" s="30" t="s">
        <v>12</v>
      </c>
      <c r="B61" s="30" t="s">
        <v>2098</v>
      </c>
      <c r="D61" s="50" t="s">
        <v>2099</v>
      </c>
      <c r="E61" s="105" t="s">
        <v>2052</v>
      </c>
      <c r="F61" s="48" t="s">
        <v>2053</v>
      </c>
      <c r="G61" s="48" t="s">
        <v>1384</v>
      </c>
      <c r="H61" s="50">
        <v>4590004646</v>
      </c>
      <c r="I61" s="30" t="s">
        <v>448</v>
      </c>
      <c r="J61" s="30" t="s">
        <v>2121</v>
      </c>
      <c r="K61" s="62">
        <v>5300</v>
      </c>
      <c r="L61" s="30"/>
      <c r="M61" s="86"/>
      <c r="N61" s="87"/>
      <c r="O61" s="88"/>
      <c r="P6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6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6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61" s="72">
        <f>IF(AR_725[[#This Row],[PO Amount]]=0,1,AR_725[[#This Row],[Total AR (Sent)]]/AR_725[[#This Row],[PO Amount]])</f>
        <v>0</v>
      </c>
      <c r="T61" s="45">
        <f>AR_725[[#This Row],[PO Amount]]-AR_725[[#This Row],[Total AR (Sent)]]</f>
        <v>5300</v>
      </c>
      <c r="U61" s="40"/>
      <c r="V61" s="40"/>
      <c r="W61" s="46"/>
      <c r="X61" s="46"/>
      <c r="Y61" s="46"/>
      <c r="Z61" s="46"/>
      <c r="AA61" s="46"/>
      <c r="AB61" s="40"/>
      <c r="AC61" s="40"/>
      <c r="AD61" s="40"/>
      <c r="AE61" s="46"/>
      <c r="AF61" s="46"/>
      <c r="AG61" s="46"/>
      <c r="AH61" s="46"/>
      <c r="AI61" s="46"/>
      <c r="AJ61" s="41"/>
      <c r="AK61" s="46"/>
      <c r="AL61" s="46"/>
      <c r="AM61" s="46"/>
      <c r="AN61" s="46"/>
      <c r="AO61" s="46"/>
      <c r="AP61" s="46"/>
      <c r="AQ61" s="46"/>
      <c r="AR61" s="41"/>
      <c r="AS61" s="46"/>
      <c r="AT61" s="41"/>
      <c r="AU61" s="41"/>
      <c r="AV61" s="41"/>
      <c r="AW61" s="41"/>
      <c r="AX61" s="41"/>
      <c r="AY61" s="41"/>
      <c r="AZ61" s="41"/>
      <c r="BA61" s="46"/>
      <c r="BB61" s="41"/>
      <c r="BC61" s="41"/>
      <c r="BD61" s="41"/>
      <c r="BE61" s="46"/>
      <c r="BF61" s="41"/>
      <c r="BG61" s="46"/>
      <c r="BH61" s="41"/>
      <c r="BI61" s="41"/>
      <c r="BJ61" s="41"/>
      <c r="BK61" s="41"/>
      <c r="BL61" s="41"/>
      <c r="BM61" s="41"/>
      <c r="BN61" s="41"/>
      <c r="BO61" s="46"/>
      <c r="BP61" s="41"/>
      <c r="BQ61" s="40"/>
      <c r="BR61" s="40"/>
      <c r="BS61" s="40"/>
      <c r="BT61" s="40"/>
      <c r="BU61" s="40"/>
      <c r="BV61" s="40"/>
      <c r="BW61" s="40"/>
      <c r="BX61" s="34"/>
      <c r="BZ61" s="40"/>
      <c r="CA61" s="40"/>
      <c r="CB61" s="34"/>
      <c r="CC61" s="34"/>
      <c r="CD61" s="34"/>
      <c r="CE61" s="34"/>
      <c r="CF61" s="34"/>
      <c r="CG61" s="122"/>
      <c r="CI61" s="122"/>
      <c r="CJ61" s="30"/>
      <c r="CK61" s="122">
        <v>0</v>
      </c>
      <c r="CL61" s="122">
        <v>0</v>
      </c>
      <c r="CM61" s="122">
        <v>0</v>
      </c>
      <c r="CN61" s="122">
        <v>0</v>
      </c>
      <c r="CO61" s="122">
        <f>SUMIFS(BB___HK___AMHS__Others[AR Amount],BB___HK___AMHS__Others[PO No.],AR_725[[#This Row],[tsmc PO '#]],BB___HK___AMHS__Others[Status],"&lt;&gt;Rejected",BB___HK___AMHS__Others[YearMonth],"2024-07")</f>
        <v>0</v>
      </c>
      <c r="CP61" s="122">
        <f>SUMIFS(BB___HK___AMHS__Others[Tax],BB___HK___AMHS__Others[PO No.],AR_725[[#This Row],[tsmc PO '#]],BB___HK___AMHS__Others[Status],"&lt;&gt;Rejected",BB___HK___AMHS__Others[YearMonth],"2024-07")</f>
        <v>0</v>
      </c>
      <c r="CQ61" s="34">
        <f>SUMIFS(BB___HK___AMHS__Others[AR Amount],BB___HK___AMHS__Others[PO No.],AR_725[[#This Row],[tsmc PO '#]],BB___HK___AMHS__Others[Status],"&lt;&gt;Rejected",BB___HK___AMHS__Others[YearMonth],"2024-08")</f>
        <v>0</v>
      </c>
      <c r="CR61" s="44">
        <f>SUMIFS(BB___HK___AMHS__Others[Tax],BB___HK___AMHS__Others[PO No.],AR_725[[#This Row],[tsmc PO '#]],BB___HK___AMHS__Others[Status],"&lt;&gt;Rejected",BB___HK___AMHS__Others[YearMonth],"2024-08")</f>
        <v>0</v>
      </c>
      <c r="CS61" s="62">
        <f>SUMIFS(BB___HK___AMHS__Others[AR Amount],BB___HK___AMHS__Others[PO No.],AR_725[[#This Row],[tsmc PO '#]],BB___HK___AMHS__Others[Status],"&lt;&gt;Rejected",BB___HK___AMHS__Others[YearMonth],"2024-09")</f>
        <v>0</v>
      </c>
      <c r="CT61" s="601">
        <f>SUMIFS(BB___HK___AMHS__Others[Tax],BB___HK___AMHS__Others[PO No.],AR_725[[#This Row],[tsmc PO '#]],BB___HK___AMHS__Others[Status],"&lt;&gt;Rejected",BB___HK___AMHS__Others[YearMonth],"2024-09")</f>
        <v>0</v>
      </c>
    </row>
    <row r="62" spans="1:98" ht="14.1" hidden="1">
      <c r="A62" s="30" t="s">
        <v>12</v>
      </c>
      <c r="B62" s="30" t="s">
        <v>2098</v>
      </c>
      <c r="D62" s="50" t="s">
        <v>2099</v>
      </c>
      <c r="E62" s="105" t="s">
        <v>2052</v>
      </c>
      <c r="F62" s="48" t="s">
        <v>2100</v>
      </c>
      <c r="G62" s="48" t="s">
        <v>1384</v>
      </c>
      <c r="H62" s="50">
        <v>4590004647</v>
      </c>
      <c r="I62" s="30" t="s">
        <v>448</v>
      </c>
      <c r="J62" s="30" t="s">
        <v>2122</v>
      </c>
      <c r="K62" s="62">
        <v>2172.5</v>
      </c>
      <c r="L62" s="30"/>
      <c r="M62" s="86">
        <v>44805</v>
      </c>
      <c r="N62" s="87" t="s">
        <v>2063</v>
      </c>
      <c r="O62" s="88" t="s">
        <v>2123</v>
      </c>
      <c r="P6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6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6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62" s="72">
        <f>IF(AR_725[[#This Row],[PO Amount]]=0,1,AR_725[[#This Row],[Total AR (Sent)]]/AR_725[[#This Row],[PO Amount]])</f>
        <v>0</v>
      </c>
      <c r="T62" s="75">
        <f>AR_725[[#This Row],[PO Amount]]-AR_725[[#This Row],[Total AR (Sent)]]</f>
        <v>2172.5</v>
      </c>
      <c r="U62" s="40"/>
      <c r="V62" s="40"/>
      <c r="W62" s="46"/>
      <c r="X62" s="46"/>
      <c r="Y62" s="46"/>
      <c r="Z62" s="46"/>
      <c r="AA62" s="46"/>
      <c r="AB62" s="40"/>
      <c r="AC62" s="40"/>
      <c r="AD62" s="40"/>
      <c r="AE62" s="46"/>
      <c r="AF62" s="46"/>
      <c r="AG62" s="40"/>
      <c r="AH62" s="46"/>
      <c r="AI62" s="40"/>
      <c r="AJ62" s="46"/>
      <c r="AK62" s="40"/>
      <c r="AL62" s="46"/>
      <c r="AM62" s="40"/>
      <c r="AN62" s="46"/>
      <c r="AO62" s="40"/>
      <c r="AP62" s="46"/>
      <c r="AQ62" s="40"/>
      <c r="AR62" s="41"/>
      <c r="AS62" s="40"/>
      <c r="AT62" s="41"/>
      <c r="AU62" s="40"/>
      <c r="AV62" s="41"/>
      <c r="AW62" s="40"/>
      <c r="AX62" s="41"/>
      <c r="AY62" s="40"/>
      <c r="AZ62" s="41"/>
      <c r="BA62" s="41"/>
      <c r="BB62" s="41"/>
      <c r="BC62" s="40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6"/>
      <c r="BP62" s="41"/>
      <c r="BQ62" s="46"/>
      <c r="BR62" s="40"/>
      <c r="BS62" s="40"/>
      <c r="BT62" s="40"/>
      <c r="BU62" s="40"/>
      <c r="BV62" s="40"/>
      <c r="BW62" s="40"/>
      <c r="BX62" s="34"/>
      <c r="BZ62" s="40"/>
      <c r="CA62" s="40"/>
      <c r="CB62" s="34"/>
      <c r="CC62" s="34"/>
      <c r="CD62" s="34"/>
      <c r="CE62" s="34"/>
      <c r="CF62" s="34"/>
      <c r="CG62" s="122"/>
      <c r="CI62" s="122"/>
      <c r="CJ62" s="30"/>
      <c r="CK62" s="122">
        <v>0</v>
      </c>
      <c r="CL62" s="122">
        <v>0</v>
      </c>
      <c r="CM62" s="122">
        <v>0</v>
      </c>
      <c r="CN62" s="122">
        <v>0</v>
      </c>
      <c r="CO62" s="122">
        <f>SUMIFS(BB___HK___AMHS__Others[AR Amount],BB___HK___AMHS__Others[PO No.],AR_725[[#This Row],[tsmc PO '#]],BB___HK___AMHS__Others[Status],"&lt;&gt;Rejected",BB___HK___AMHS__Others[YearMonth],"2024-07")</f>
        <v>0</v>
      </c>
      <c r="CP62" s="122">
        <f>SUMIFS(BB___HK___AMHS__Others[Tax],BB___HK___AMHS__Others[PO No.],AR_725[[#This Row],[tsmc PO '#]],BB___HK___AMHS__Others[Status],"&lt;&gt;Rejected",BB___HK___AMHS__Others[YearMonth],"2024-07")</f>
        <v>0</v>
      </c>
      <c r="CQ62" s="34">
        <f>SUMIFS(BB___HK___AMHS__Others[AR Amount],BB___HK___AMHS__Others[PO No.],AR_725[[#This Row],[tsmc PO '#]],BB___HK___AMHS__Others[Status],"&lt;&gt;Rejected",BB___HK___AMHS__Others[YearMonth],"2024-08")</f>
        <v>0</v>
      </c>
      <c r="CR62" s="44">
        <f>SUMIFS(BB___HK___AMHS__Others[Tax],BB___HK___AMHS__Others[PO No.],AR_725[[#This Row],[tsmc PO '#]],BB___HK___AMHS__Others[Status],"&lt;&gt;Rejected",BB___HK___AMHS__Others[YearMonth],"2024-08")</f>
        <v>0</v>
      </c>
      <c r="CS62" s="62">
        <f>SUMIFS(BB___HK___AMHS__Others[AR Amount],BB___HK___AMHS__Others[PO No.],AR_725[[#This Row],[tsmc PO '#]],BB___HK___AMHS__Others[Status],"&lt;&gt;Rejected",BB___HK___AMHS__Others[YearMonth],"2024-09")</f>
        <v>0</v>
      </c>
      <c r="CT62" s="601">
        <f>SUMIFS(BB___HK___AMHS__Others[Tax],BB___HK___AMHS__Others[PO No.],AR_725[[#This Row],[tsmc PO '#]],BB___HK___AMHS__Others[Status],"&lt;&gt;Rejected",BB___HK___AMHS__Others[YearMonth],"2024-09")</f>
        <v>0</v>
      </c>
    </row>
    <row r="63" spans="1:98" ht="14.1" hidden="1">
      <c r="A63" s="30" t="s">
        <v>9</v>
      </c>
      <c r="B63" s="30" t="s">
        <v>2051</v>
      </c>
      <c r="C63" s="30" t="s">
        <v>42</v>
      </c>
      <c r="D63" s="50" t="s">
        <v>1759</v>
      </c>
      <c r="E63" s="50" t="s">
        <v>2065</v>
      </c>
      <c r="F63" s="64" t="s">
        <v>2066</v>
      </c>
      <c r="G63" s="48" t="s">
        <v>312</v>
      </c>
      <c r="H63" s="50">
        <v>4590004971</v>
      </c>
      <c r="I63" s="30" t="s">
        <v>120</v>
      </c>
      <c r="J63" s="30" t="s">
        <v>253</v>
      </c>
      <c r="K63" s="62">
        <v>626000</v>
      </c>
      <c r="L63" s="30"/>
      <c r="M63" s="86">
        <v>44817</v>
      </c>
      <c r="N63" s="87" t="s">
        <v>2059</v>
      </c>
      <c r="O63" s="88" t="s">
        <v>2056</v>
      </c>
      <c r="P6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441418</v>
      </c>
      <c r="Q6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409882</v>
      </c>
      <c r="R6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441418</v>
      </c>
      <c r="S63" s="72">
        <f>IF(AR_725[[#This Row],[PO Amount]]=0,1,AR_725[[#This Row],[Total AR (Sent)]]/AR_725[[#This Row],[PO Amount]])</f>
        <v>0.70514057507987216</v>
      </c>
      <c r="T63" s="45">
        <f>AR_725[[#This Row],[PO Amount]]-AR_725[[#This Row],[Total AR (Sent)]]</f>
        <v>184582</v>
      </c>
      <c r="U63" s="40"/>
      <c r="V63" s="40"/>
      <c r="W63" s="46"/>
      <c r="X63" s="46"/>
      <c r="Y63" s="46"/>
      <c r="Z63" s="46"/>
      <c r="AA63" s="46"/>
      <c r="AB63" s="40"/>
      <c r="AC63" s="40"/>
      <c r="AD63" s="40"/>
      <c r="AE63" s="46"/>
      <c r="AF63" s="46"/>
      <c r="AG63" s="46"/>
      <c r="AH63" s="46"/>
      <c r="AI63" s="46"/>
      <c r="AJ63" s="41"/>
      <c r="AK63" s="46"/>
      <c r="AL63" s="46"/>
      <c r="AM63" s="46"/>
      <c r="AN63" s="46"/>
      <c r="AO63" s="46"/>
      <c r="AP63" s="46"/>
      <c r="AQ63" s="46"/>
      <c r="AR63" s="41"/>
      <c r="AS63" s="46"/>
      <c r="AT63" s="41"/>
      <c r="AU63" s="41"/>
      <c r="AV63" s="41"/>
      <c r="AW63" s="41"/>
      <c r="AX63" s="41"/>
      <c r="AY63" s="41"/>
      <c r="AZ63" s="41"/>
      <c r="BA63" s="47">
        <v>33076</v>
      </c>
      <c r="BB63" s="42">
        <v>1849</v>
      </c>
      <c r="BC63" s="41"/>
      <c r="BD63" s="41"/>
      <c r="BE63" s="46"/>
      <c r="BF63" s="41"/>
      <c r="BG63" s="46"/>
      <c r="BH63" s="41"/>
      <c r="BI63" s="42">
        <v>54072</v>
      </c>
      <c r="BJ63" s="41"/>
      <c r="BK63" s="41"/>
      <c r="BL63" s="41"/>
      <c r="BM63" s="53">
        <f>244801-244801</f>
        <v>0</v>
      </c>
      <c r="BN63" s="41"/>
      <c r="BO63" s="47">
        <v>244801</v>
      </c>
      <c r="BP63" s="41"/>
      <c r="BQ63" s="40"/>
      <c r="BR63" s="40"/>
      <c r="BS63" s="47">
        <v>5592</v>
      </c>
      <c r="BT63" s="40"/>
      <c r="BU63" s="40"/>
      <c r="BV63" s="40"/>
      <c r="BW63" s="40"/>
      <c r="BX63" s="34"/>
      <c r="BY63" s="47">
        <v>72341</v>
      </c>
      <c r="BZ63" s="40"/>
      <c r="CA63" s="40"/>
      <c r="CB63" s="34"/>
      <c r="CC63" s="34"/>
      <c r="CD63" s="34"/>
      <c r="CE63" s="34"/>
      <c r="CF63" s="34"/>
      <c r="CG63" s="122"/>
      <c r="CI63" s="122"/>
      <c r="CJ63" s="30"/>
      <c r="CK63" s="122">
        <v>0</v>
      </c>
      <c r="CL63" s="122">
        <v>0</v>
      </c>
      <c r="CM63" s="122">
        <v>0</v>
      </c>
      <c r="CN63" s="122">
        <v>0</v>
      </c>
      <c r="CO63" s="122">
        <f>SUMIFS(BB___HK___AMHS__Others[AR Amount],BB___HK___AMHS__Others[PO No.],AR_725[[#This Row],[tsmc PO '#]],BB___HK___AMHS__Others[Status],"&lt;&gt;Rejected",BB___HK___AMHS__Others[YearMonth],"2024-07")</f>
        <v>31536</v>
      </c>
      <c r="CP63" s="122">
        <f>SUMIFS(BB___HK___AMHS__Others[Tax],BB___HK___AMHS__Others[PO No.],AR_725[[#This Row],[tsmc PO '#]],BB___HK___AMHS__Others[Status],"&lt;&gt;Rejected",BB___HK___AMHS__Others[YearMonth],"2024-07")</f>
        <v>0</v>
      </c>
      <c r="CQ63" s="34">
        <f>SUMIFS(BB___HK___AMHS__Others[AR Amount],BB___HK___AMHS__Others[PO No.],AR_725[[#This Row],[tsmc PO '#]],BB___HK___AMHS__Others[Status],"&lt;&gt;Rejected",BB___HK___AMHS__Others[YearMonth],"2024-08")</f>
        <v>0</v>
      </c>
      <c r="CR63" s="44">
        <f>SUMIFS(BB___HK___AMHS__Others[Tax],BB___HK___AMHS__Others[PO No.],AR_725[[#This Row],[tsmc PO '#]],BB___HK___AMHS__Others[Status],"&lt;&gt;Rejected",BB___HK___AMHS__Others[YearMonth],"2024-08")</f>
        <v>0</v>
      </c>
      <c r="CS63" s="62">
        <f>SUMIFS(BB___HK___AMHS__Others[AR Amount],BB___HK___AMHS__Others[PO No.],AR_725[[#This Row],[tsmc PO '#]],BB___HK___AMHS__Others[Status],"&lt;&gt;Rejected",BB___HK___AMHS__Others[YearMonth],"2024-09")</f>
        <v>0</v>
      </c>
      <c r="CT63" s="601">
        <f>SUMIFS(BB___HK___AMHS__Others[Tax],BB___HK___AMHS__Others[PO No.],AR_725[[#This Row],[tsmc PO '#]],BB___HK___AMHS__Others[Status],"&lt;&gt;Rejected",BB___HK___AMHS__Others[YearMonth],"2024-09")</f>
        <v>0</v>
      </c>
    </row>
    <row r="64" spans="1:98" ht="14.1" hidden="1">
      <c r="A64" s="30" t="s">
        <v>9</v>
      </c>
      <c r="B64" s="30" t="s">
        <v>2051</v>
      </c>
      <c r="C64" s="30" t="s">
        <v>42</v>
      </c>
      <c r="D64" s="50"/>
      <c r="E64" s="48" t="s">
        <v>2067</v>
      </c>
      <c r="F64" s="48" t="s">
        <v>2124</v>
      </c>
      <c r="G64" s="48" t="s">
        <v>312</v>
      </c>
      <c r="H64" s="50">
        <v>4590005093</v>
      </c>
      <c r="I64" s="30" t="s">
        <v>196</v>
      </c>
      <c r="J64" s="30" t="s">
        <v>194</v>
      </c>
      <c r="K64" s="62">
        <v>1228000</v>
      </c>
      <c r="L64" s="30" t="s">
        <v>2062</v>
      </c>
      <c r="M64" s="86">
        <v>44819</v>
      </c>
      <c r="N64" s="87" t="s">
        <v>2063</v>
      </c>
      <c r="O64" s="88" t="s">
        <v>2056</v>
      </c>
      <c r="P6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1228000</v>
      </c>
      <c r="Q6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1228000</v>
      </c>
      <c r="R6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1228000</v>
      </c>
      <c r="S64" s="72">
        <f>IF(AR_725[[#This Row],[PO Amount]]=0,1,AR_725[[#This Row],[Total AR (Sent)]]/AR_725[[#This Row],[PO Amount]])</f>
        <v>1</v>
      </c>
      <c r="T64" s="45">
        <f>AR_725[[#This Row],[PO Amount]]-AR_725[[#This Row],[Total AR (Sent)]]</f>
        <v>0</v>
      </c>
      <c r="U64" s="40"/>
      <c r="V64" s="40"/>
      <c r="W64" s="46"/>
      <c r="X64" s="46"/>
      <c r="Y64" s="46"/>
      <c r="Z64" s="46"/>
      <c r="AA64" s="46"/>
      <c r="AB64" s="40"/>
      <c r="AC64" s="40"/>
      <c r="AD64" s="40"/>
      <c r="AE64" s="46"/>
      <c r="AF64" s="46"/>
      <c r="AG64" s="46"/>
      <c r="AH64" s="46"/>
      <c r="AI64" s="40"/>
      <c r="AJ64" s="34"/>
      <c r="AK64" s="40"/>
      <c r="AL64" s="40"/>
      <c r="AM64" s="40"/>
      <c r="AN64" s="40"/>
      <c r="AO64" s="40"/>
      <c r="AP64" s="40"/>
      <c r="AQ64" s="40"/>
      <c r="AR64" s="34"/>
      <c r="AS64" s="40"/>
      <c r="AU64" s="34"/>
      <c r="AV64" s="34"/>
      <c r="AW64" s="52">
        <v>190340</v>
      </c>
      <c r="AX64" s="41"/>
      <c r="AY64" s="53">
        <v>14641</v>
      </c>
      <c r="AZ64" s="34"/>
      <c r="BA64" s="40"/>
      <c r="BB64" s="34"/>
      <c r="BC64" s="41"/>
      <c r="BD64" s="41"/>
      <c r="BE64" s="47">
        <v>839966</v>
      </c>
      <c r="BF64" s="34"/>
      <c r="BG64" s="40"/>
      <c r="BH64" s="34"/>
      <c r="BI64" s="42">
        <v>183053</v>
      </c>
      <c r="BJ64" s="34"/>
      <c r="BK64" s="34"/>
      <c r="BL64" s="34"/>
      <c r="BM64" s="34"/>
      <c r="BN64" s="34"/>
      <c r="BO64" s="40"/>
      <c r="BP64" s="34"/>
      <c r="BQ64" s="40"/>
      <c r="BR64" s="40"/>
      <c r="BS64" s="40"/>
      <c r="BT64" s="40"/>
      <c r="BU64" s="40"/>
      <c r="BV64" s="40"/>
      <c r="BW64" s="40"/>
      <c r="BX64" s="34"/>
      <c r="BZ64" s="40"/>
      <c r="CA64" s="40"/>
      <c r="CB64" s="34"/>
      <c r="CC64" s="34"/>
      <c r="CD64" s="34"/>
      <c r="CE64" s="34"/>
      <c r="CF64" s="34"/>
      <c r="CG64" s="122"/>
      <c r="CI64" s="122"/>
      <c r="CJ64" s="30"/>
      <c r="CK64" s="122">
        <v>0</v>
      </c>
      <c r="CL64" s="122">
        <v>0</v>
      </c>
      <c r="CM64" s="122">
        <v>0</v>
      </c>
      <c r="CN64" s="122">
        <v>0</v>
      </c>
      <c r="CO64" s="122">
        <f>SUMIFS(BB___HK___AMHS__Others[AR Amount],BB___HK___AMHS__Others[PO No.],AR_725[[#This Row],[tsmc PO '#]],BB___HK___AMHS__Others[Status],"&lt;&gt;Rejected",BB___HK___AMHS__Others[YearMonth],"2024-07")</f>
        <v>0</v>
      </c>
      <c r="CP64" s="122">
        <f>SUMIFS(BB___HK___AMHS__Others[Tax],BB___HK___AMHS__Others[PO No.],AR_725[[#This Row],[tsmc PO '#]],BB___HK___AMHS__Others[Status],"&lt;&gt;Rejected",BB___HK___AMHS__Others[YearMonth],"2024-07")</f>
        <v>0</v>
      </c>
      <c r="CQ64" s="34">
        <f>SUMIFS(BB___HK___AMHS__Others[AR Amount],BB___HK___AMHS__Others[PO No.],AR_725[[#This Row],[tsmc PO '#]],BB___HK___AMHS__Others[Status],"&lt;&gt;Rejected",BB___HK___AMHS__Others[YearMonth],"2024-08")</f>
        <v>0</v>
      </c>
      <c r="CR64" s="44">
        <f>SUMIFS(BB___HK___AMHS__Others[Tax],BB___HK___AMHS__Others[PO No.],AR_725[[#This Row],[tsmc PO '#]],BB___HK___AMHS__Others[Status],"&lt;&gt;Rejected",BB___HK___AMHS__Others[YearMonth],"2024-08")</f>
        <v>0</v>
      </c>
      <c r="CS64" s="62">
        <f>SUMIFS(BB___HK___AMHS__Others[AR Amount],BB___HK___AMHS__Others[PO No.],AR_725[[#This Row],[tsmc PO '#]],BB___HK___AMHS__Others[Status],"&lt;&gt;Rejected",BB___HK___AMHS__Others[YearMonth],"2024-09")</f>
        <v>0</v>
      </c>
      <c r="CT64" s="601">
        <f>SUMIFS(BB___HK___AMHS__Others[Tax],BB___HK___AMHS__Others[PO No.],AR_725[[#This Row],[tsmc PO '#]],BB___HK___AMHS__Others[Status],"&lt;&gt;Rejected",BB___HK___AMHS__Others[YearMonth],"2024-09")</f>
        <v>0</v>
      </c>
    </row>
    <row r="65" spans="1:98" ht="14.1" hidden="1">
      <c r="A65" s="30" t="s">
        <v>8</v>
      </c>
      <c r="B65" s="30" t="s">
        <v>8</v>
      </c>
      <c r="D65" s="50" t="s">
        <v>8</v>
      </c>
      <c r="E65" s="604" t="s">
        <v>2109</v>
      </c>
      <c r="F65" s="64" t="s">
        <v>2110</v>
      </c>
      <c r="G65" s="64" t="s">
        <v>756</v>
      </c>
      <c r="H65" s="50">
        <v>4590005159</v>
      </c>
      <c r="I65" s="30" t="s">
        <v>480</v>
      </c>
      <c r="J65" s="30" t="s">
        <v>476</v>
      </c>
      <c r="K65" s="62">
        <v>51628.05</v>
      </c>
      <c r="L65" s="30"/>
      <c r="M65" s="86"/>
      <c r="N65" s="87"/>
      <c r="O65" s="88"/>
      <c r="P6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21277.96</v>
      </c>
      <c r="Q6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21277.96</v>
      </c>
      <c r="R6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21277.96</v>
      </c>
      <c r="S65" s="72">
        <f>IF(AR_725[[#This Row],[PO Amount]]=0,1,AR_725[[#This Row],[Total AR (Sent)]]/AR_725[[#This Row],[PO Amount]])</f>
        <v>0.41213952492879352</v>
      </c>
      <c r="T65" s="45">
        <f>AR_725[[#This Row],[PO Amount]]-AR_725[[#This Row],[Total AR (Sent)]]</f>
        <v>30350.090000000004</v>
      </c>
      <c r="U65" s="40"/>
      <c r="V65" s="40"/>
      <c r="W65" s="46"/>
      <c r="X65" s="46"/>
      <c r="Y65" s="46"/>
      <c r="Z65" s="46"/>
      <c r="AA65" s="46"/>
      <c r="AB65" s="40"/>
      <c r="AC65" s="40"/>
      <c r="AD65" s="40"/>
      <c r="AE65" s="46"/>
      <c r="AF65" s="46"/>
      <c r="AG65" s="46"/>
      <c r="AH65" s="46"/>
      <c r="AI65" s="41"/>
      <c r="AJ65" s="41"/>
      <c r="AK65" s="41"/>
      <c r="AL65" s="46"/>
      <c r="AM65" s="46"/>
      <c r="AN65" s="46"/>
      <c r="AO65" s="46"/>
      <c r="AP65" s="46"/>
      <c r="AQ65" s="46"/>
      <c r="AR65" s="41"/>
      <c r="AS65" s="46"/>
      <c r="AT65" s="41"/>
      <c r="AU65" s="41"/>
      <c r="AV65" s="41"/>
      <c r="AW65" s="41"/>
      <c r="AX65" s="41"/>
      <c r="AY65" s="41"/>
      <c r="AZ65" s="41"/>
      <c r="BA65" s="46"/>
      <c r="BB65" s="41"/>
      <c r="BC65" s="41"/>
      <c r="BD65" s="41"/>
      <c r="BE65" s="46"/>
      <c r="BF65" s="41"/>
      <c r="BG65" s="46"/>
      <c r="BH65" s="41"/>
      <c r="BI65" s="41"/>
      <c r="BJ65" s="41"/>
      <c r="BK65" s="41"/>
      <c r="BL65" s="41"/>
      <c r="BM65" s="41"/>
      <c r="BN65" s="41"/>
      <c r="BO65" s="46"/>
      <c r="BP65" s="41"/>
      <c r="BQ65" s="40"/>
      <c r="BR65" s="40"/>
      <c r="BS65" s="40"/>
      <c r="BT65" s="40"/>
      <c r="BU65" s="40"/>
      <c r="BV65" s="40"/>
      <c r="BW65" s="40"/>
      <c r="BX65" s="34"/>
      <c r="BY65" s="77">
        <f>21278-21278</f>
        <v>0</v>
      </c>
      <c r="BZ65" s="40"/>
      <c r="CA65" s="40"/>
      <c r="CB65" s="34"/>
      <c r="CC65" s="34"/>
      <c r="CD65" s="34"/>
      <c r="CE65" s="34"/>
      <c r="CF65" s="34"/>
      <c r="CG65" s="122">
        <f>SUMIFS(BB___HK___AMHS__Others[AR Amount],BB___HK___AMHS__Others[PO No.],AR_725[[#This Row],[tsmc PO '#]],BB___HK___AMHS__Others[Status],"&lt;&gt;Rejected",BB___HK___AMHS__Others[YearMonth],"2024-03")</f>
        <v>21277.96</v>
      </c>
      <c r="CI65" s="122">
        <f>SUMIFS(BB___HK___AMHS__Others[AR Amount],BB___HK___AMHS__Others[PO No.],AR_725[[#This Row],[tsmc PO '#]],BB___HK___AMHS__Others[Status],"&lt;&gt;Rejected",BB___HK___AMHS__Others[YearMonth],"2024-04")</f>
        <v>0</v>
      </c>
      <c r="CJ65" s="30"/>
      <c r="CK65" s="122">
        <v>0</v>
      </c>
      <c r="CL65" s="122">
        <v>0</v>
      </c>
      <c r="CM65" s="122">
        <v>0</v>
      </c>
      <c r="CN65" s="122">
        <v>0</v>
      </c>
      <c r="CO65" s="122">
        <f>SUMIFS(BB___HK___AMHS__Others[AR Amount],BB___HK___AMHS__Others[PO No.],AR_725[[#This Row],[tsmc PO '#]],BB___HK___AMHS__Others[Status],"&lt;&gt;Rejected",BB___HK___AMHS__Others[YearMonth],"2024-07")</f>
        <v>0</v>
      </c>
      <c r="CP65" s="122">
        <f>SUMIFS(BB___HK___AMHS__Others[Tax],BB___HK___AMHS__Others[PO No.],AR_725[[#This Row],[tsmc PO '#]],BB___HK___AMHS__Others[Status],"&lt;&gt;Rejected",BB___HK___AMHS__Others[YearMonth],"2024-07")</f>
        <v>0</v>
      </c>
      <c r="CQ65" s="34">
        <f>SUMIFS(BB___HK___AMHS__Others[AR Amount],BB___HK___AMHS__Others[PO No.],AR_725[[#This Row],[tsmc PO '#]],BB___HK___AMHS__Others[Status],"&lt;&gt;Rejected",BB___HK___AMHS__Others[YearMonth],"2024-08")</f>
        <v>0</v>
      </c>
      <c r="CR65" s="44">
        <f>SUMIFS(BB___HK___AMHS__Others[Tax],BB___HK___AMHS__Others[PO No.],AR_725[[#This Row],[tsmc PO '#]],BB___HK___AMHS__Others[Status],"&lt;&gt;Rejected",BB___HK___AMHS__Others[YearMonth],"2024-08")</f>
        <v>0</v>
      </c>
      <c r="CS65" s="62">
        <f>SUMIFS(BB___HK___AMHS__Others[AR Amount],BB___HK___AMHS__Others[PO No.],AR_725[[#This Row],[tsmc PO '#]],BB___HK___AMHS__Others[Status],"&lt;&gt;Rejected",BB___HK___AMHS__Others[YearMonth],"2024-09")</f>
        <v>0</v>
      </c>
      <c r="CT65" s="601">
        <f>SUMIFS(BB___HK___AMHS__Others[Tax],BB___HK___AMHS__Others[PO No.],AR_725[[#This Row],[tsmc PO '#]],BB___HK___AMHS__Others[Status],"&lt;&gt;Rejected",BB___HK___AMHS__Others[YearMonth],"2024-09")</f>
        <v>0</v>
      </c>
    </row>
    <row r="66" spans="1:98" ht="14.1" hidden="1">
      <c r="A66" s="30" t="s">
        <v>8</v>
      </c>
      <c r="B66" s="30" t="s">
        <v>8</v>
      </c>
      <c r="D66" s="50" t="s">
        <v>8</v>
      </c>
      <c r="E66" s="604" t="s">
        <v>2109</v>
      </c>
      <c r="F66" s="64" t="s">
        <v>2110</v>
      </c>
      <c r="G66" s="50" t="s">
        <v>1316</v>
      </c>
      <c r="H66" s="50">
        <v>4590005167</v>
      </c>
      <c r="I66" s="30" t="s">
        <v>294</v>
      </c>
      <c r="J66" s="30" t="s">
        <v>292</v>
      </c>
      <c r="K66" s="62">
        <v>225446.39999999999</v>
      </c>
      <c r="L66" s="30"/>
      <c r="M66" s="86"/>
      <c r="N66" s="87"/>
      <c r="O66" s="88"/>
      <c r="P6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112722.88</v>
      </c>
      <c r="Q6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11272</v>
      </c>
      <c r="R6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112722.88</v>
      </c>
      <c r="S66" s="72">
        <f>IF(AR_725[[#This Row],[PO Amount]]=0,1,AR_725[[#This Row],[Total AR (Sent)]]/AR_725[[#This Row],[PO Amount]])</f>
        <v>0.49999858059387953</v>
      </c>
      <c r="T66" s="45">
        <f>AR_725[[#This Row],[PO Amount]]-AR_725[[#This Row],[Total AR (Sent)]]</f>
        <v>112723.51999999999</v>
      </c>
      <c r="U66" s="40"/>
      <c r="V66" s="40"/>
      <c r="W66" s="46"/>
      <c r="X66" s="46"/>
      <c r="Y66" s="46"/>
      <c r="Z66" s="46"/>
      <c r="AA66" s="46"/>
      <c r="AB66" s="40"/>
      <c r="AC66" s="40"/>
      <c r="AD66" s="40"/>
      <c r="AE66" s="46"/>
      <c r="AF66" s="46"/>
      <c r="AG66" s="46"/>
      <c r="AH66" s="46"/>
      <c r="AI66" s="46"/>
      <c r="AJ66" s="41"/>
      <c r="AK66" s="46"/>
      <c r="AL66" s="46"/>
      <c r="AM66" s="46"/>
      <c r="AN66" s="46"/>
      <c r="AO66" s="46"/>
      <c r="AP66" s="46"/>
      <c r="AQ66" s="46"/>
      <c r="AR66" s="41"/>
      <c r="AS66" s="46"/>
      <c r="AT66" s="41"/>
      <c r="AU66" s="41"/>
      <c r="AV66" s="41"/>
      <c r="AW66" s="41"/>
      <c r="AX66" s="41"/>
      <c r="AY66" s="41"/>
      <c r="AZ66" s="41"/>
      <c r="BA66" s="47">
        <v>11272</v>
      </c>
      <c r="BB66" s="41"/>
      <c r="BC66" s="41"/>
      <c r="BD66" s="41"/>
      <c r="BE66" s="46"/>
      <c r="BF66" s="41"/>
      <c r="BG66" s="46"/>
      <c r="BH66" s="41"/>
      <c r="BI66" s="41"/>
      <c r="BJ66" s="41"/>
      <c r="BK66" s="41"/>
      <c r="BL66" s="41"/>
      <c r="BM66" s="41"/>
      <c r="BN66" s="41"/>
      <c r="BO66" s="46"/>
      <c r="BP66" s="41"/>
      <c r="BQ66" s="90">
        <f>101451-101451</f>
        <v>0</v>
      </c>
      <c r="BR66" s="40"/>
      <c r="BS66" s="40"/>
      <c r="BT66" s="40"/>
      <c r="BU66" s="40"/>
      <c r="BV66" s="40"/>
      <c r="BW66" s="40"/>
      <c r="BX66" s="34"/>
      <c r="BZ66" s="40"/>
      <c r="CA66" s="40"/>
      <c r="CB66" s="34"/>
      <c r="CC66" s="34"/>
      <c r="CD66" s="34"/>
      <c r="CE66" s="34"/>
      <c r="CF66" s="34"/>
      <c r="CG66" s="122">
        <f>SUMIFS(BB___HK___AMHS__Others[AR Amount],BB___HK___AMHS__Others[PO No.],AR_725[[#This Row],[tsmc PO '#]],BB___HK___AMHS__Others[Status],"&lt;&gt;Rejected",BB___HK___AMHS__Others[YearMonth],"2024-03")</f>
        <v>0</v>
      </c>
      <c r="CI66" s="122">
        <f>SUMIFS(BB___HK___AMHS__Others[AR Amount],BB___HK___AMHS__Others[PO No.],AR_725[[#This Row],[tsmc PO '#]],BB___HK___AMHS__Others[Status],"&lt;&gt;Rejected",BB___HK___AMHS__Others[YearMonth],"2024-04")</f>
        <v>0</v>
      </c>
      <c r="CJ66" s="30"/>
      <c r="CK66" s="122">
        <v>0</v>
      </c>
      <c r="CL66" s="122">
        <v>0</v>
      </c>
      <c r="CM66" s="122">
        <v>0</v>
      </c>
      <c r="CN66" s="122">
        <v>0</v>
      </c>
      <c r="CO66" s="122">
        <f>SUMIFS(BB___HK___AMHS__Others[AR Amount],BB___HK___AMHS__Others[PO No.],AR_725[[#This Row],[tsmc PO '#]],BB___HK___AMHS__Others[Status],"&lt;&gt;Rejected",BB___HK___AMHS__Others[YearMonth],"2024-07")</f>
        <v>101450.88</v>
      </c>
      <c r="CP66" s="122">
        <f>SUMIFS(BB___HK___AMHS__Others[Tax],BB___HK___AMHS__Others[PO No.],AR_725[[#This Row],[tsmc PO '#]],BB___HK___AMHS__Others[Status],"&lt;&gt;Rejected",BB___HK___AMHS__Others[YearMonth],"2024-07")</f>
        <v>0</v>
      </c>
      <c r="CQ66" s="34">
        <f>SUMIFS(BB___HK___AMHS__Others[AR Amount],BB___HK___AMHS__Others[PO No.],AR_725[[#This Row],[tsmc PO '#]],BB___HK___AMHS__Others[Status],"&lt;&gt;Rejected",BB___HK___AMHS__Others[YearMonth],"2024-08")</f>
        <v>0</v>
      </c>
      <c r="CR66" s="44">
        <f>SUMIFS(BB___HK___AMHS__Others[Tax],BB___HK___AMHS__Others[PO No.],AR_725[[#This Row],[tsmc PO '#]],BB___HK___AMHS__Others[Status],"&lt;&gt;Rejected",BB___HK___AMHS__Others[YearMonth],"2024-08")</f>
        <v>0</v>
      </c>
      <c r="CS66" s="62">
        <f>SUMIFS(BB___HK___AMHS__Others[AR Amount],BB___HK___AMHS__Others[PO No.],AR_725[[#This Row],[tsmc PO '#]],BB___HK___AMHS__Others[Status],"&lt;&gt;Rejected",BB___HK___AMHS__Others[YearMonth],"2024-09")</f>
        <v>0</v>
      </c>
      <c r="CT66" s="601">
        <f>SUMIFS(BB___HK___AMHS__Others[Tax],BB___HK___AMHS__Others[PO No.],AR_725[[#This Row],[tsmc PO '#]],BB___HK___AMHS__Others[Status],"&lt;&gt;Rejected",BB___HK___AMHS__Others[YearMonth],"2024-09")</f>
        <v>0</v>
      </c>
    </row>
    <row r="67" spans="1:98" ht="14.1" hidden="1">
      <c r="A67" s="30" t="s">
        <v>8</v>
      </c>
      <c r="B67" s="30" t="s">
        <v>8</v>
      </c>
      <c r="D67" s="50" t="s">
        <v>8</v>
      </c>
      <c r="E67" s="604" t="s">
        <v>2109</v>
      </c>
      <c r="F67" s="64" t="s">
        <v>2110</v>
      </c>
      <c r="G67" s="48" t="s">
        <v>2125</v>
      </c>
      <c r="H67" s="50">
        <v>4590005172</v>
      </c>
      <c r="I67" s="30" t="s">
        <v>300</v>
      </c>
      <c r="J67" s="30" t="s">
        <v>472</v>
      </c>
      <c r="K67" s="62">
        <v>1113677.02</v>
      </c>
      <c r="L67" s="30"/>
      <c r="M67" s="86"/>
      <c r="N67" s="87"/>
      <c r="O67" s="88"/>
      <c r="P6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721517.13</v>
      </c>
      <c r="Q6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222735</v>
      </c>
      <c r="R6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721517.13</v>
      </c>
      <c r="S67" s="72">
        <f>IF(AR_725[[#This Row],[PO Amount]]=0,1,AR_725[[#This Row],[Total AR (Sent)]]/AR_725[[#This Row],[PO Amount]])</f>
        <v>0.64786928080818262</v>
      </c>
      <c r="T67" s="45">
        <f>AR_725[[#This Row],[PO Amount]]-AR_725[[#This Row],[Total AR (Sent)]]</f>
        <v>392159.89</v>
      </c>
      <c r="U67" s="40"/>
      <c r="V67" s="40"/>
      <c r="W67" s="46"/>
      <c r="X67" s="46"/>
      <c r="Y67" s="46"/>
      <c r="Z67" s="46"/>
      <c r="AA67" s="46"/>
      <c r="AB67" s="40"/>
      <c r="AC67" s="40"/>
      <c r="AD67" s="40"/>
      <c r="AE67" s="46"/>
      <c r="AF67" s="46"/>
      <c r="AG67" s="46"/>
      <c r="AH67" s="46"/>
      <c r="AI67" s="46"/>
      <c r="AJ67" s="41"/>
      <c r="AK67" s="46"/>
      <c r="AL67" s="46"/>
      <c r="AM67" s="46"/>
      <c r="AN67" s="46"/>
      <c r="AO67" s="46"/>
      <c r="AP67" s="46"/>
      <c r="AQ67" s="46"/>
      <c r="AR67" s="41"/>
      <c r="AS67" s="46"/>
      <c r="AT67" s="41"/>
      <c r="AU67" s="41"/>
      <c r="AV67" s="41"/>
      <c r="AW67" s="41"/>
      <c r="AX67" s="41"/>
      <c r="AY67" s="41"/>
      <c r="AZ67" s="41"/>
      <c r="BA67" s="46"/>
      <c r="BB67" s="41"/>
      <c r="BC67" s="41"/>
      <c r="BD67" s="41"/>
      <c r="BE67" s="46"/>
      <c r="BF67" s="41"/>
      <c r="BG67" s="46"/>
      <c r="BH67" s="41"/>
      <c r="BI67" s="41"/>
      <c r="BJ67" s="41"/>
      <c r="BK67" s="41"/>
      <c r="BL67" s="41"/>
      <c r="BM67" s="41"/>
      <c r="BN67" s="41"/>
      <c r="BO67" s="46"/>
      <c r="BP67" s="41"/>
      <c r="BQ67" s="40"/>
      <c r="BR67" s="40"/>
      <c r="BS67" s="40"/>
      <c r="BT67" s="40"/>
      <c r="BU67" s="40"/>
      <c r="BV67" s="40"/>
      <c r="BW67" s="40"/>
      <c r="BX67" s="34"/>
      <c r="BY67" s="47">
        <v>222735</v>
      </c>
      <c r="BZ67" s="40"/>
      <c r="CA67" s="46"/>
      <c r="CB67" s="34"/>
      <c r="CC67" s="34"/>
      <c r="CD67" s="34"/>
      <c r="CE67" s="34"/>
      <c r="CF67" s="34"/>
      <c r="CG67" s="122">
        <f>SUMIFS(BB___HK___AMHS__Others[AR Amount],BB___HK___AMHS__Others[PO No.],AR_725[[#This Row],[tsmc PO '#]],BB___HK___AMHS__Others[Status],"&lt;&gt;Rejected",BB___HK___AMHS__Others[YearMonth],"2024-03")</f>
        <v>0</v>
      </c>
      <c r="CI67" s="122">
        <f>SUMIFS(BB___HK___AMHS__Others[AR Amount],BB___HK___AMHS__Others[PO No.],AR_725[[#This Row],[tsmc PO '#]],BB___HK___AMHS__Others[Status],"&lt;&gt;Rejected",BB___HK___AMHS__Others[YearMonth],"2024-04")</f>
        <v>498782.13</v>
      </c>
      <c r="CJ67" s="30"/>
      <c r="CK67" s="122">
        <v>0</v>
      </c>
      <c r="CL67" s="122">
        <v>0</v>
      </c>
      <c r="CM67" s="122">
        <v>0</v>
      </c>
      <c r="CN67" s="122">
        <v>0</v>
      </c>
      <c r="CO67" s="122">
        <f>SUMIFS(BB___HK___AMHS__Others[AR Amount],BB___HK___AMHS__Others[PO No.],AR_725[[#This Row],[tsmc PO '#]],BB___HK___AMHS__Others[Status],"&lt;&gt;Rejected",BB___HK___AMHS__Others[YearMonth],"2024-07")</f>
        <v>0</v>
      </c>
      <c r="CP67" s="122">
        <f>SUMIFS(BB___HK___AMHS__Others[Tax],BB___HK___AMHS__Others[PO No.],AR_725[[#This Row],[tsmc PO '#]],BB___HK___AMHS__Others[Status],"&lt;&gt;Rejected",BB___HK___AMHS__Others[YearMonth],"2024-07")</f>
        <v>0</v>
      </c>
      <c r="CQ67" s="34">
        <f>SUMIFS(BB___HK___AMHS__Others[AR Amount],BB___HK___AMHS__Others[PO No.],AR_725[[#This Row],[tsmc PO '#]],BB___HK___AMHS__Others[Status],"&lt;&gt;Rejected",BB___HK___AMHS__Others[YearMonth],"2024-08")</f>
        <v>0</v>
      </c>
      <c r="CR67" s="44">
        <f>SUMIFS(BB___HK___AMHS__Others[Tax],BB___HK___AMHS__Others[PO No.],AR_725[[#This Row],[tsmc PO '#]],BB___HK___AMHS__Others[Status],"&lt;&gt;Rejected",BB___HK___AMHS__Others[YearMonth],"2024-08")</f>
        <v>0</v>
      </c>
      <c r="CS67" s="62">
        <f>SUMIFS(BB___HK___AMHS__Others[AR Amount],BB___HK___AMHS__Others[PO No.],AR_725[[#This Row],[tsmc PO '#]],BB___HK___AMHS__Others[Status],"&lt;&gt;Rejected",BB___HK___AMHS__Others[YearMonth],"2024-09")</f>
        <v>0</v>
      </c>
      <c r="CT67" s="601">
        <f>SUMIFS(BB___HK___AMHS__Others[Tax],BB___HK___AMHS__Others[PO No.],AR_725[[#This Row],[tsmc PO '#]],BB___HK___AMHS__Others[Status],"&lt;&gt;Rejected",BB___HK___AMHS__Others[YearMonth],"2024-09")</f>
        <v>0</v>
      </c>
    </row>
    <row r="68" spans="1:98" ht="14.1" hidden="1">
      <c r="A68" s="30" t="s">
        <v>9</v>
      </c>
      <c r="B68" s="30" t="s">
        <v>2051</v>
      </c>
      <c r="C68" s="30" t="s">
        <v>42</v>
      </c>
      <c r="D68" s="50" t="s">
        <v>1759</v>
      </c>
      <c r="E68" s="50" t="s">
        <v>2065</v>
      </c>
      <c r="F68" s="48" t="s">
        <v>2114</v>
      </c>
      <c r="G68" s="48" t="s">
        <v>312</v>
      </c>
      <c r="H68" s="50">
        <v>4590005240</v>
      </c>
      <c r="I68" s="30" t="s">
        <v>199</v>
      </c>
      <c r="J68" s="30" t="s">
        <v>197</v>
      </c>
      <c r="K68" s="62">
        <v>1050000</v>
      </c>
      <c r="L68" s="30" t="s">
        <v>2054</v>
      </c>
      <c r="M68" s="86">
        <v>44819</v>
      </c>
      <c r="N68" s="87" t="s">
        <v>2059</v>
      </c>
      <c r="O68" s="88" t="s">
        <v>2056</v>
      </c>
      <c r="P6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621472.81000000006</v>
      </c>
      <c r="Q6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604130.18000000005</v>
      </c>
      <c r="R6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621472.81000000006</v>
      </c>
      <c r="S68" s="72">
        <f>IF(AR_725[[#This Row],[PO Amount]]=0,1,AR_725[[#This Row],[Total AR (Sent)]]/AR_725[[#This Row],[PO Amount]])</f>
        <v>0.59187886666666667</v>
      </c>
      <c r="T68" s="45">
        <f>AR_725[[#This Row],[PO Amount]]-AR_725[[#This Row],[Total AR (Sent)]]</f>
        <v>428527.18999999994</v>
      </c>
      <c r="U68" s="40"/>
      <c r="V68" s="40"/>
      <c r="W68" s="46"/>
      <c r="X68" s="46"/>
      <c r="Y68" s="46"/>
      <c r="Z68" s="46"/>
      <c r="AA68" s="46"/>
      <c r="AB68" s="40"/>
      <c r="AC68" s="40"/>
      <c r="AD68" s="40"/>
      <c r="AE68" s="46"/>
      <c r="AF68" s="46"/>
      <c r="AG68" s="46"/>
      <c r="AH68" s="46"/>
      <c r="AI68" s="40"/>
      <c r="AJ68" s="34"/>
      <c r="AK68" s="40"/>
      <c r="AL68" s="40"/>
      <c r="AM68" s="40"/>
      <c r="AN68" s="40"/>
      <c r="AO68" s="40"/>
      <c r="AP68" s="40"/>
      <c r="AQ68" s="40"/>
      <c r="AR68" s="34"/>
      <c r="AS68" s="40"/>
      <c r="AU68" s="34"/>
      <c r="AV68" s="34"/>
      <c r="AW68" s="52">
        <v>176648</v>
      </c>
      <c r="AX68" s="52">
        <v>9874.6200000000008</v>
      </c>
      <c r="AY68" s="53">
        <v>132082</v>
      </c>
      <c r="AZ68" s="53">
        <v>7383.38</v>
      </c>
      <c r="BA68" s="47">
        <v>42200</v>
      </c>
      <c r="BB68" s="42">
        <v>2358.98</v>
      </c>
      <c r="BC68" s="41"/>
      <c r="BD68" s="41"/>
      <c r="BE68" s="40"/>
      <c r="BF68" s="34"/>
      <c r="BG68" s="40"/>
      <c r="BH68" s="34"/>
      <c r="BI68" s="34"/>
      <c r="BJ68" s="34"/>
      <c r="BK68" s="34"/>
      <c r="BL68" s="34"/>
      <c r="BM68" s="34"/>
      <c r="BN68" s="34"/>
      <c r="BO68" s="40"/>
      <c r="BP68" s="34"/>
      <c r="BQ68" s="40"/>
      <c r="BR68" s="40"/>
      <c r="BS68" s="40"/>
      <c r="BT68" s="40"/>
      <c r="BU68" s="47">
        <v>223978</v>
      </c>
      <c r="BV68" s="42">
        <v>12520.37</v>
      </c>
      <c r="BW68" s="47">
        <v>24898.53</v>
      </c>
      <c r="BX68" s="42">
        <v>1391.83</v>
      </c>
      <c r="BZ68" s="40"/>
      <c r="CA68" s="40"/>
      <c r="CB68" s="34"/>
      <c r="CC68" s="34"/>
      <c r="CD68" s="34"/>
      <c r="CE68" s="34"/>
      <c r="CF68" s="34"/>
      <c r="CG68" s="125">
        <v>4323.6499999999996</v>
      </c>
      <c r="CH68" s="329">
        <v>241.69</v>
      </c>
      <c r="CI68" s="122"/>
      <c r="CJ68" s="30"/>
      <c r="CK68" s="122">
        <v>0</v>
      </c>
      <c r="CL68" s="122">
        <v>0</v>
      </c>
      <c r="CM68" s="122">
        <v>17342.63</v>
      </c>
      <c r="CN68" s="122">
        <v>0</v>
      </c>
      <c r="CO68" s="122">
        <f>SUMIFS(BB___HK___AMHS__Others[AR Amount],BB___HK___AMHS__Others[PO No.],AR_725[[#This Row],[tsmc PO '#]],BB___HK___AMHS__Others[Status],"&lt;&gt;Rejected",BB___HK___AMHS__Others[YearMonth],"2024-07")</f>
        <v>0</v>
      </c>
      <c r="CP68" s="122">
        <f>SUMIFS(BB___HK___AMHS__Others[Tax],BB___HK___AMHS__Others[PO No.],AR_725[[#This Row],[tsmc PO '#]],BB___HK___AMHS__Others[Status],"&lt;&gt;Rejected",BB___HK___AMHS__Others[YearMonth],"2024-07")</f>
        <v>0</v>
      </c>
      <c r="CQ68" s="34">
        <f>SUMIFS(BB___HK___AMHS__Others[AR Amount],BB___HK___AMHS__Others[PO No.],AR_725[[#This Row],[tsmc PO '#]],BB___HK___AMHS__Others[Status],"&lt;&gt;Rejected",BB___HK___AMHS__Others[YearMonth],"2024-08")</f>
        <v>0</v>
      </c>
      <c r="CR68" s="44">
        <f>SUMIFS(BB___HK___AMHS__Others[Tax],BB___HK___AMHS__Others[PO No.],AR_725[[#This Row],[tsmc PO '#]],BB___HK___AMHS__Others[Status],"&lt;&gt;Rejected",BB___HK___AMHS__Others[YearMonth],"2024-08")</f>
        <v>0</v>
      </c>
      <c r="CS68" s="62">
        <f>SUMIFS(BB___HK___AMHS__Others[AR Amount],BB___HK___AMHS__Others[PO No.],AR_725[[#This Row],[tsmc PO '#]],BB___HK___AMHS__Others[Status],"&lt;&gt;Rejected",BB___HK___AMHS__Others[YearMonth],"2024-09")</f>
        <v>0</v>
      </c>
      <c r="CT68" s="601">
        <f>SUMIFS(BB___HK___AMHS__Others[Tax],BB___HK___AMHS__Others[PO No.],AR_725[[#This Row],[tsmc PO '#]],BB___HK___AMHS__Others[Status],"&lt;&gt;Rejected",BB___HK___AMHS__Others[YearMonth],"2024-09")</f>
        <v>0</v>
      </c>
    </row>
    <row r="69" spans="1:98" ht="14.1" hidden="1">
      <c r="A69" s="30" t="s">
        <v>9</v>
      </c>
      <c r="B69" s="30" t="s">
        <v>2051</v>
      </c>
      <c r="D69" s="50" t="s">
        <v>1759</v>
      </c>
      <c r="E69" s="50" t="s">
        <v>2065</v>
      </c>
      <c r="F69" s="60" t="s">
        <v>2074</v>
      </c>
      <c r="G69" s="48" t="s">
        <v>312</v>
      </c>
      <c r="H69" s="50">
        <v>4590006189</v>
      </c>
      <c r="I69" s="30" t="s">
        <v>262</v>
      </c>
      <c r="J69" s="30" t="s">
        <v>260</v>
      </c>
      <c r="K69" s="62">
        <v>4340000</v>
      </c>
      <c r="L69" s="30" t="s">
        <v>2062</v>
      </c>
      <c r="M69" s="86">
        <v>44833</v>
      </c>
      <c r="N69" s="87" t="s">
        <v>2063</v>
      </c>
      <c r="O69" s="88" t="s">
        <v>2056</v>
      </c>
      <c r="P6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3895546</v>
      </c>
      <c r="Q6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2095586</v>
      </c>
      <c r="R6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3895546</v>
      </c>
      <c r="S69" s="72">
        <f>IF(AR_725[[#This Row],[PO Amount]]=0,1,AR_725[[#This Row],[Total AR (Sent)]]/AR_725[[#This Row],[PO Amount]])</f>
        <v>0.89759124423963133</v>
      </c>
      <c r="T69" s="39">
        <f>AR_725[[#This Row],[PO Amount]]-AR_725[[#This Row],[Total AR (Sent)]]</f>
        <v>444454</v>
      </c>
      <c r="U69" s="40"/>
      <c r="V69" s="40"/>
      <c r="W69" s="41"/>
      <c r="X69" s="41"/>
      <c r="Y69" s="41"/>
      <c r="Z69" s="41"/>
      <c r="AA69" s="41"/>
      <c r="AB69" s="40"/>
      <c r="AC69" s="40"/>
      <c r="AD69" s="40"/>
      <c r="AE69" s="41"/>
      <c r="AF69" s="41"/>
      <c r="AG69" s="41"/>
      <c r="AH69" s="41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U69" s="34"/>
      <c r="AV69" s="34"/>
      <c r="AW69" s="41"/>
      <c r="AX69" s="41"/>
      <c r="AY69" s="34"/>
      <c r="AZ69" s="34"/>
      <c r="BA69" s="42">
        <v>258520</v>
      </c>
      <c r="BB69" s="34"/>
      <c r="BC69" s="41"/>
      <c r="BD69" s="41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40"/>
      <c r="BR69" s="40"/>
      <c r="BS69" s="42">
        <v>248691</v>
      </c>
      <c r="BT69" s="40"/>
      <c r="BU69" s="42">
        <v>596404</v>
      </c>
      <c r="BV69" s="40"/>
      <c r="BW69" s="42">
        <v>91781</v>
      </c>
      <c r="BX69" s="34"/>
      <c r="BY69" s="42">
        <v>118993</v>
      </c>
      <c r="BZ69" s="40"/>
      <c r="CA69" s="42">
        <v>27303</v>
      </c>
      <c r="CB69" s="34"/>
      <c r="CC69" s="42">
        <v>190243</v>
      </c>
      <c r="CD69" s="34"/>
      <c r="CE69" s="34"/>
      <c r="CF69" s="34"/>
      <c r="CG69" s="125">
        <v>563651</v>
      </c>
      <c r="CI69" s="116">
        <v>1636643</v>
      </c>
      <c r="CJ69" s="30"/>
      <c r="CK69" s="122">
        <v>11661</v>
      </c>
      <c r="CL69" s="122">
        <v>0</v>
      </c>
      <c r="CM69" s="122">
        <v>132983</v>
      </c>
      <c r="CN69" s="122">
        <v>0</v>
      </c>
      <c r="CO69" s="34">
        <f>SUMIFS(BB___HK___AMHS__Others[AR Amount],BB___HK___AMHS__Others[PO No.],AR_725[[#This Row],[tsmc PO '#]],BB___HK___AMHS__Others[Status],"&lt;&gt;Rejected",BB___HK___AMHS__Others[YearMonth],"2024-07")</f>
        <v>0</v>
      </c>
      <c r="CP69" s="122">
        <f>SUMIFS(BB___HK___AMHS__Others[Tax],BB___HK___AMHS__Others[PO No.],AR_725[[#This Row],[tsmc PO '#]],BB___HK___AMHS__Others[Status],"&lt;&gt;Rejected",BB___HK___AMHS__Others[YearMonth],"2024-07")</f>
        <v>0</v>
      </c>
      <c r="CQ69" s="34">
        <f>SUMIFS(BB___HK___AMHS__Others[AR Amount],BB___HK___AMHS__Others[PO No.],AR_725[[#This Row],[tsmc PO '#]],BB___HK___AMHS__Others[Status],"&lt;&gt;Rejected",BB___HK___AMHS__Others[YearMonth],"2024-08")</f>
        <v>18673</v>
      </c>
      <c r="CR69" s="44">
        <f>SUMIFS(BB___HK___AMHS__Others[Tax],BB___HK___AMHS__Others[PO No.],AR_725[[#This Row],[tsmc PO '#]],BB___HK___AMHS__Others[Status],"&lt;&gt;Rejected",BB___HK___AMHS__Others[YearMonth],"2024-08")</f>
        <v>0</v>
      </c>
      <c r="CS69" s="62">
        <f>SUMIFS(BB___HK___AMHS__Others[AR Amount],BB___HK___AMHS__Others[PO No.],AR_725[[#This Row],[tsmc PO '#]],BB___HK___AMHS__Others[Status],"&lt;&gt;Rejected",BB___HK___AMHS__Others[YearMonth],"2024-09")</f>
        <v>0</v>
      </c>
      <c r="CT69" s="601">
        <f>SUMIFS(BB___HK___AMHS__Others[Tax],BB___HK___AMHS__Others[PO No.],AR_725[[#This Row],[tsmc PO '#]],BB___HK___AMHS__Others[Status],"&lt;&gt;Rejected",BB___HK___AMHS__Others[YearMonth],"2024-09")</f>
        <v>0</v>
      </c>
    </row>
    <row r="70" spans="1:98" ht="14.1" hidden="1">
      <c r="A70" s="30" t="s">
        <v>9</v>
      </c>
      <c r="B70" s="30" t="s">
        <v>2051</v>
      </c>
      <c r="D70" s="50" t="s">
        <v>1759</v>
      </c>
      <c r="E70" s="50" t="s">
        <v>2065</v>
      </c>
      <c r="F70" s="64" t="s">
        <v>2074</v>
      </c>
      <c r="G70" s="64" t="s">
        <v>321</v>
      </c>
      <c r="H70" s="50">
        <v>4590006293</v>
      </c>
      <c r="I70" s="30" t="s">
        <v>120</v>
      </c>
      <c r="J70" s="30" t="s">
        <v>322</v>
      </c>
      <c r="K70" s="62">
        <v>707246</v>
      </c>
      <c r="L70" s="30"/>
      <c r="M70" s="86"/>
      <c r="N70" s="87"/>
      <c r="O70" s="88"/>
      <c r="P7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327541</v>
      </c>
      <c r="Q7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327541</v>
      </c>
      <c r="R7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327541</v>
      </c>
      <c r="S70" s="72">
        <f>IF(AR_725[[#This Row],[PO Amount]]=0,1,AR_725[[#This Row],[Total AR (Sent)]]/AR_725[[#This Row],[PO Amount]])</f>
        <v>0.46312174264683009</v>
      </c>
      <c r="T70" s="45">
        <f>AR_725[[#This Row],[PO Amount]]-AR_725[[#This Row],[Total AR (Sent)]]</f>
        <v>379705</v>
      </c>
      <c r="U70" s="40"/>
      <c r="V70" s="40"/>
      <c r="W70" s="46"/>
      <c r="X70" s="46"/>
      <c r="Y70" s="46"/>
      <c r="Z70" s="46"/>
      <c r="AA70" s="46"/>
      <c r="AB70" s="40"/>
      <c r="AC70" s="40"/>
      <c r="AD70" s="40"/>
      <c r="AE70" s="46"/>
      <c r="AF70" s="46"/>
      <c r="AG70" s="46"/>
      <c r="AH70" s="46"/>
      <c r="AI70" s="46"/>
      <c r="AJ70" s="41"/>
      <c r="AK70" s="46"/>
      <c r="AL70" s="46"/>
      <c r="AM70" s="46"/>
      <c r="AN70" s="46"/>
      <c r="AO70" s="46"/>
      <c r="AP70" s="46"/>
      <c r="AQ70" s="46"/>
      <c r="AR70" s="41"/>
      <c r="AS70" s="46"/>
      <c r="AT70" s="41"/>
      <c r="AU70" s="41"/>
      <c r="AV70" s="41"/>
      <c r="AW70" s="41"/>
      <c r="AX70" s="41"/>
      <c r="AY70" s="41"/>
      <c r="AZ70" s="41"/>
      <c r="BA70" s="46"/>
      <c r="BB70" s="41"/>
      <c r="BC70" s="41"/>
      <c r="BD70" s="41"/>
      <c r="BE70" s="47">
        <v>42476</v>
      </c>
      <c r="BF70" s="41"/>
      <c r="BG70" s="46"/>
      <c r="BH70" s="41"/>
      <c r="BI70" s="41"/>
      <c r="BJ70" s="41"/>
      <c r="BK70" s="42">
        <v>87212</v>
      </c>
      <c r="BL70" s="41"/>
      <c r="BM70" s="41"/>
      <c r="BN70" s="41"/>
      <c r="BO70" s="47">
        <v>38596</v>
      </c>
      <c r="BP70" s="41"/>
      <c r="BQ70" s="47">
        <v>159257</v>
      </c>
      <c r="BR70" s="40"/>
      <c r="BS70" s="40"/>
      <c r="BT70" s="40"/>
      <c r="BU70" s="40"/>
      <c r="BV70" s="40"/>
      <c r="BW70" s="40"/>
      <c r="BX70" s="34"/>
      <c r="BZ70" s="40"/>
      <c r="CA70" s="40"/>
      <c r="CB70" s="34"/>
      <c r="CC70" s="34"/>
      <c r="CD70" s="34"/>
      <c r="CE70" s="34"/>
      <c r="CF70" s="34"/>
      <c r="CG70" s="122"/>
      <c r="CI70" s="122"/>
      <c r="CJ70" s="30"/>
      <c r="CK70" s="122">
        <v>0</v>
      </c>
      <c r="CL70" s="122">
        <v>0</v>
      </c>
      <c r="CM70" s="122">
        <v>0</v>
      </c>
      <c r="CN70" s="122">
        <v>0</v>
      </c>
      <c r="CO70" s="122">
        <f>SUMIFS(BB___HK___AMHS__Others[AR Amount],BB___HK___AMHS__Others[PO No.],AR_725[[#This Row],[tsmc PO '#]],BB___HK___AMHS__Others[Status],"&lt;&gt;Rejected",BB___HK___AMHS__Others[YearMonth],"2024-07")</f>
        <v>0</v>
      </c>
      <c r="CP70" s="122">
        <f>SUMIFS(BB___HK___AMHS__Others[Tax],BB___HK___AMHS__Others[PO No.],AR_725[[#This Row],[tsmc PO '#]],BB___HK___AMHS__Others[Status],"&lt;&gt;Rejected",BB___HK___AMHS__Others[YearMonth],"2024-07")</f>
        <v>0</v>
      </c>
      <c r="CQ70" s="34">
        <f>SUMIFS(BB___HK___AMHS__Others[AR Amount],BB___HK___AMHS__Others[PO No.],AR_725[[#This Row],[tsmc PO '#]],BB___HK___AMHS__Others[Status],"&lt;&gt;Rejected",BB___HK___AMHS__Others[YearMonth],"2024-08")</f>
        <v>0</v>
      </c>
      <c r="CR70" s="44">
        <f>SUMIFS(BB___HK___AMHS__Others[Tax],BB___HK___AMHS__Others[PO No.],AR_725[[#This Row],[tsmc PO '#]],BB___HK___AMHS__Others[Status],"&lt;&gt;Rejected",BB___HK___AMHS__Others[YearMonth],"2024-08")</f>
        <v>0</v>
      </c>
      <c r="CS70" s="62">
        <f>SUMIFS(BB___HK___AMHS__Others[AR Amount],BB___HK___AMHS__Others[PO No.],AR_725[[#This Row],[tsmc PO '#]],BB___HK___AMHS__Others[Status],"&lt;&gt;Rejected",BB___HK___AMHS__Others[YearMonth],"2024-09")</f>
        <v>0</v>
      </c>
      <c r="CT70" s="601">
        <f>SUMIFS(BB___HK___AMHS__Others[Tax],BB___HK___AMHS__Others[PO No.],AR_725[[#This Row],[tsmc PO '#]],BB___HK___AMHS__Others[Status],"&lt;&gt;Rejected",BB___HK___AMHS__Others[YearMonth],"2024-09")</f>
        <v>0</v>
      </c>
    </row>
    <row r="71" spans="1:98" ht="14.1" hidden="1">
      <c r="A71" s="30" t="s">
        <v>19</v>
      </c>
      <c r="B71" s="30" t="s">
        <v>19</v>
      </c>
      <c r="D71" s="50"/>
      <c r="E71" s="605" t="s">
        <v>2126</v>
      </c>
      <c r="F71" s="66" t="s">
        <v>2126</v>
      </c>
      <c r="G71" s="48" t="s">
        <v>2127</v>
      </c>
      <c r="H71" s="50">
        <v>4590006323</v>
      </c>
      <c r="J71" s="30" t="s">
        <v>2128</v>
      </c>
      <c r="K71" s="62">
        <v>359204</v>
      </c>
      <c r="L71" s="30"/>
      <c r="M71" s="86"/>
      <c r="N71" s="87"/>
      <c r="O71" s="88"/>
      <c r="P7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7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7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71" s="72">
        <f>IF(AR_725[[#This Row],[PO Amount]]=0,1,AR_725[[#This Row],[Total AR (Sent)]]/AR_725[[#This Row],[PO Amount]])</f>
        <v>0</v>
      </c>
      <c r="T71" s="45">
        <f>AR_725[[#This Row],[PO Amount]]-AR_725[[#This Row],[Total AR (Sent)]]</f>
        <v>359204</v>
      </c>
      <c r="U71" s="40"/>
      <c r="V71" s="40"/>
      <c r="W71" s="46"/>
      <c r="X71" s="46"/>
      <c r="Y71" s="46"/>
      <c r="Z71" s="46"/>
      <c r="AA71" s="46"/>
      <c r="AB71" s="40"/>
      <c r="AC71" s="40"/>
      <c r="AD71" s="40"/>
      <c r="AE71" s="46"/>
      <c r="AF71" s="46"/>
      <c r="AG71" s="46"/>
      <c r="AH71" s="46"/>
      <c r="AI71" s="46"/>
      <c r="AJ71" s="41"/>
      <c r="AK71" s="46"/>
      <c r="AL71" s="46"/>
      <c r="AM71" s="46"/>
      <c r="AN71" s="46"/>
      <c r="AO71" s="46"/>
      <c r="AP71" s="46"/>
      <c r="AQ71" s="46"/>
      <c r="AR71" s="41"/>
      <c r="AS71" s="46"/>
      <c r="AT71" s="41"/>
      <c r="AU71" s="41"/>
      <c r="AV71" s="41"/>
      <c r="AW71" s="41"/>
      <c r="AX71" s="41"/>
      <c r="AY71" s="41"/>
      <c r="AZ71" s="41"/>
      <c r="BA71" s="46"/>
      <c r="BB71" s="41"/>
      <c r="BC71" s="41"/>
      <c r="BD71" s="41"/>
      <c r="BE71" s="46"/>
      <c r="BF71" s="41"/>
      <c r="BG71" s="46"/>
      <c r="BH71" s="41"/>
      <c r="BI71" s="41"/>
      <c r="BJ71" s="41"/>
      <c r="BK71" s="41"/>
      <c r="BL71" s="41"/>
      <c r="BM71" s="41"/>
      <c r="BN71" s="41"/>
      <c r="BO71" s="46"/>
      <c r="BP71" s="41"/>
      <c r="BQ71" s="40"/>
      <c r="BR71" s="40"/>
      <c r="BS71" s="40"/>
      <c r="BT71" s="40"/>
      <c r="BU71" s="40"/>
      <c r="BV71" s="40"/>
      <c r="BW71" s="40"/>
      <c r="BX71" s="34"/>
      <c r="BZ71" s="40"/>
      <c r="CA71" s="40"/>
      <c r="CB71" s="34"/>
      <c r="CC71" s="34"/>
      <c r="CD71" s="34"/>
      <c r="CE71" s="34"/>
      <c r="CF71" s="34"/>
      <c r="CG71" s="122"/>
      <c r="CI71" s="122"/>
      <c r="CJ71" s="30"/>
      <c r="CK71" s="122">
        <v>0</v>
      </c>
      <c r="CL71" s="122">
        <v>0</v>
      </c>
      <c r="CM71" s="122">
        <v>0</v>
      </c>
      <c r="CN71" s="122">
        <v>0</v>
      </c>
      <c r="CO71" s="122">
        <f>SUMIFS(BB___HK___AMHS__Others[AR Amount],BB___HK___AMHS__Others[PO No.],AR_725[[#This Row],[tsmc PO '#]],BB___HK___AMHS__Others[Status],"&lt;&gt;Rejected",BB___HK___AMHS__Others[YearMonth],"2024-07")</f>
        <v>0</v>
      </c>
      <c r="CP71" s="122">
        <f>SUMIFS(BB___HK___AMHS__Others[Tax],BB___HK___AMHS__Others[PO No.],AR_725[[#This Row],[tsmc PO '#]],BB___HK___AMHS__Others[Status],"&lt;&gt;Rejected",BB___HK___AMHS__Others[YearMonth],"2024-07")</f>
        <v>0</v>
      </c>
      <c r="CQ71" s="34">
        <f>SUMIFS(BB___HK___AMHS__Others[AR Amount],BB___HK___AMHS__Others[PO No.],AR_725[[#This Row],[tsmc PO '#]],BB___HK___AMHS__Others[Status],"&lt;&gt;Rejected",BB___HK___AMHS__Others[YearMonth],"2024-08")</f>
        <v>0</v>
      </c>
      <c r="CR71" s="44">
        <f>SUMIFS(BB___HK___AMHS__Others[Tax],BB___HK___AMHS__Others[PO No.],AR_725[[#This Row],[tsmc PO '#]],BB___HK___AMHS__Others[Status],"&lt;&gt;Rejected",BB___HK___AMHS__Others[YearMonth],"2024-08")</f>
        <v>0</v>
      </c>
      <c r="CS71" s="62">
        <f>SUMIFS(BB___HK___AMHS__Others[AR Amount],BB___HK___AMHS__Others[PO No.],AR_725[[#This Row],[tsmc PO '#]],BB___HK___AMHS__Others[Status],"&lt;&gt;Rejected",BB___HK___AMHS__Others[YearMonth],"2024-09")</f>
        <v>0</v>
      </c>
      <c r="CT71" s="601">
        <f>SUMIFS(BB___HK___AMHS__Others[Tax],BB___HK___AMHS__Others[PO No.],AR_725[[#This Row],[tsmc PO '#]],BB___HK___AMHS__Others[Status],"&lt;&gt;Rejected",BB___HK___AMHS__Others[YearMonth],"2024-09")</f>
        <v>0</v>
      </c>
    </row>
    <row r="72" spans="1:98" ht="14.1" hidden="1">
      <c r="A72" s="30" t="s">
        <v>8</v>
      </c>
      <c r="B72" s="30" t="s">
        <v>8</v>
      </c>
      <c r="D72" s="50" t="s">
        <v>1546</v>
      </c>
      <c r="E72" s="606" t="s">
        <v>2052</v>
      </c>
      <c r="F72" s="64" t="s">
        <v>2053</v>
      </c>
      <c r="G72" s="64" t="s">
        <v>2125</v>
      </c>
      <c r="H72" s="50">
        <v>4590006628</v>
      </c>
      <c r="I72" s="30" t="s">
        <v>584</v>
      </c>
      <c r="J72" s="30" t="s">
        <v>644</v>
      </c>
      <c r="K72" s="62">
        <v>290688.3</v>
      </c>
      <c r="L72" s="30"/>
      <c r="M72" s="86"/>
      <c r="N72" s="87"/>
      <c r="O72" s="88"/>
      <c r="P7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57922.320000000007</v>
      </c>
      <c r="Q7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33419.730000000003</v>
      </c>
      <c r="R7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57922.320000000007</v>
      </c>
      <c r="S72" s="72">
        <f>IF(AR_725[[#This Row],[PO Amount]]=0,1,AR_725[[#This Row],[Total AR (Sent)]]/AR_725[[#This Row],[PO Amount]])</f>
        <v>0.1992592065108916</v>
      </c>
      <c r="T72" s="45">
        <f>AR_725[[#This Row],[PO Amount]]-AR_725[[#This Row],[Total AR (Sent)]]</f>
        <v>232765.97999999998</v>
      </c>
      <c r="U72" s="40"/>
      <c r="V72" s="40"/>
      <c r="W72" s="46"/>
      <c r="X72" s="46"/>
      <c r="Y72" s="46"/>
      <c r="Z72" s="46"/>
      <c r="AA72" s="46"/>
      <c r="AB72" s="40"/>
      <c r="AC72" s="40"/>
      <c r="AD72" s="40"/>
      <c r="AE72" s="46"/>
      <c r="AF72" s="46"/>
      <c r="AG72" s="46"/>
      <c r="AH72" s="46"/>
      <c r="AI72" s="46"/>
      <c r="AJ72" s="41"/>
      <c r="AK72" s="46"/>
      <c r="AL72" s="46"/>
      <c r="AM72" s="46"/>
      <c r="AN72" s="46"/>
      <c r="AO72" s="46"/>
      <c r="AP72" s="46"/>
      <c r="AQ72" s="46"/>
      <c r="AR72" s="41"/>
      <c r="AS72" s="46"/>
      <c r="AT72" s="41"/>
      <c r="AU72" s="41"/>
      <c r="AV72" s="41"/>
      <c r="AW72" s="41"/>
      <c r="AX72" s="41"/>
      <c r="AY72" s="41"/>
      <c r="AZ72" s="41"/>
      <c r="BA72" s="46"/>
      <c r="BB72" s="41"/>
      <c r="BC72" s="41"/>
      <c r="BD72" s="41"/>
      <c r="BE72" s="46"/>
      <c r="BF72" s="41"/>
      <c r="BG72" s="46"/>
      <c r="BH72" s="41"/>
      <c r="BI72" s="41"/>
      <c r="BJ72" s="41"/>
      <c r="BK72" s="41"/>
      <c r="BL72" s="41"/>
      <c r="BM72" s="41"/>
      <c r="BN72" s="41"/>
      <c r="BO72" s="46"/>
      <c r="BP72" s="41"/>
      <c r="BQ72" s="40"/>
      <c r="BR72" s="40"/>
      <c r="BS72" s="40"/>
      <c r="BT72" s="40"/>
      <c r="BU72" s="40"/>
      <c r="BV72" s="40"/>
      <c r="BW72" s="40"/>
      <c r="BX72" s="34"/>
      <c r="BY72" s="47">
        <v>33419.730000000003</v>
      </c>
      <c r="BZ72" s="42">
        <v>1868.16</v>
      </c>
      <c r="CA72" s="40"/>
      <c r="CB72" s="34"/>
      <c r="CC72" s="34"/>
      <c r="CD72" s="34"/>
      <c r="CE72" s="34"/>
      <c r="CF72" s="34"/>
      <c r="CG72" s="122">
        <f>SUMIFS(BB___HK___AMHS__Others[AR Amount],BB___HK___AMHS__Others[PO No.],AR_725[[#This Row],[tsmc PO '#]],BB___HK___AMHS__Others[Status],"&lt;&gt;Rejected",BB___HK___AMHS__Others[YearMonth],"2024-03")</f>
        <v>0</v>
      </c>
      <c r="CI72" s="122">
        <f>SUMIFS(BB___HK___AMHS__Others[AR Amount],BB___HK___AMHS__Others[PO No.],AR_725[[#This Row],[tsmc PO '#]],BB___HK___AMHS__Others[Status],"&lt;&gt;Rejected",BB___HK___AMHS__Others[YearMonth],"2024-04")</f>
        <v>0</v>
      </c>
      <c r="CJ72" s="30"/>
      <c r="CK72" s="122">
        <v>24502.59</v>
      </c>
      <c r="CL72" s="122">
        <v>1369.69</v>
      </c>
      <c r="CM72" s="122">
        <v>0</v>
      </c>
      <c r="CN72" s="122">
        <v>0</v>
      </c>
      <c r="CO72" s="122">
        <f>SUMIFS(BB___HK___AMHS__Others[AR Amount],BB___HK___AMHS__Others[PO No.],AR_725[[#This Row],[tsmc PO '#]],BB___HK___AMHS__Others[Status],"&lt;&gt;Rejected",BB___HK___AMHS__Others[YearMonth],"2024-07")</f>
        <v>0</v>
      </c>
      <c r="CP72" s="122">
        <f>SUMIFS(BB___HK___AMHS__Others[Tax],BB___HK___AMHS__Others[PO No.],AR_725[[#This Row],[tsmc PO '#]],BB___HK___AMHS__Others[Status],"&lt;&gt;Rejected",BB___HK___AMHS__Others[YearMonth],"2024-07")</f>
        <v>0</v>
      </c>
      <c r="CQ72" s="34">
        <f>SUMIFS(BB___HK___AMHS__Others[AR Amount],BB___HK___AMHS__Others[PO No.],AR_725[[#This Row],[tsmc PO '#]],BB___HK___AMHS__Others[Status],"&lt;&gt;Rejected",BB___HK___AMHS__Others[YearMonth],"2024-08")</f>
        <v>0</v>
      </c>
      <c r="CR72" s="44">
        <f>SUMIFS(BB___HK___AMHS__Others[Tax],BB___HK___AMHS__Others[PO No.],AR_725[[#This Row],[tsmc PO '#]],BB___HK___AMHS__Others[Status],"&lt;&gt;Rejected",BB___HK___AMHS__Others[YearMonth],"2024-08")</f>
        <v>0</v>
      </c>
      <c r="CS72" s="62">
        <f>SUMIFS(BB___HK___AMHS__Others[AR Amount],BB___HK___AMHS__Others[PO No.],AR_725[[#This Row],[tsmc PO '#]],BB___HK___AMHS__Others[Status],"&lt;&gt;Rejected",BB___HK___AMHS__Others[YearMonth],"2024-09")</f>
        <v>0</v>
      </c>
      <c r="CT72" s="601">
        <f>SUMIFS(BB___HK___AMHS__Others[Tax],BB___HK___AMHS__Others[PO No.],AR_725[[#This Row],[tsmc PO '#]],BB___HK___AMHS__Others[Status],"&lt;&gt;Rejected",BB___HK___AMHS__Others[YearMonth],"2024-09")</f>
        <v>0</v>
      </c>
    </row>
    <row r="73" spans="1:98" ht="14.1" hidden="1">
      <c r="A73" s="30" t="s">
        <v>8</v>
      </c>
      <c r="B73" s="30" t="s">
        <v>8</v>
      </c>
      <c r="D73" s="50" t="s">
        <v>1546</v>
      </c>
      <c r="E73" s="606" t="s">
        <v>2052</v>
      </c>
      <c r="F73" s="64" t="s">
        <v>2053</v>
      </c>
      <c r="G73" s="64" t="s">
        <v>2125</v>
      </c>
      <c r="H73" s="50">
        <v>4590006629</v>
      </c>
      <c r="I73" s="30" t="s">
        <v>584</v>
      </c>
      <c r="J73" s="30" t="s">
        <v>646</v>
      </c>
      <c r="K73" s="62">
        <v>128799.71</v>
      </c>
      <c r="L73" s="30"/>
      <c r="M73" s="86"/>
      <c r="N73" s="87"/>
      <c r="O73" s="88"/>
      <c r="P7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19085.93</v>
      </c>
      <c r="Q7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10901.21</v>
      </c>
      <c r="R7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19085.93</v>
      </c>
      <c r="S73" s="72">
        <f>IF(AR_725[[#This Row],[PO Amount]]=0,1,AR_725[[#This Row],[Total AR (Sent)]]/AR_725[[#This Row],[PO Amount]])</f>
        <v>0.14818301997729652</v>
      </c>
      <c r="T73" s="45">
        <f>AR_725[[#This Row],[PO Amount]]-AR_725[[#This Row],[Total AR (Sent)]]</f>
        <v>109713.78</v>
      </c>
      <c r="U73" s="40"/>
      <c r="V73" s="40"/>
      <c r="W73" s="46"/>
      <c r="X73" s="46"/>
      <c r="Y73" s="46"/>
      <c r="Z73" s="46"/>
      <c r="AA73" s="46"/>
      <c r="AB73" s="40"/>
      <c r="AC73" s="40"/>
      <c r="AD73" s="40"/>
      <c r="AE73" s="46"/>
      <c r="AF73" s="46"/>
      <c r="AG73" s="46"/>
      <c r="AH73" s="46"/>
      <c r="AI73" s="46"/>
      <c r="AJ73" s="41"/>
      <c r="AK73" s="46"/>
      <c r="AL73" s="46"/>
      <c r="AM73" s="46"/>
      <c r="AN73" s="46"/>
      <c r="AO73" s="46"/>
      <c r="AP73" s="46"/>
      <c r="AQ73" s="46"/>
      <c r="AR73" s="41"/>
      <c r="AS73" s="46"/>
      <c r="AT73" s="41"/>
      <c r="AU73" s="41"/>
      <c r="AV73" s="41"/>
      <c r="AW73" s="41"/>
      <c r="AX73" s="41"/>
      <c r="AY73" s="41"/>
      <c r="AZ73" s="41"/>
      <c r="BA73" s="46"/>
      <c r="BB73" s="41"/>
      <c r="BC73" s="41"/>
      <c r="BD73" s="41"/>
      <c r="BE73" s="46"/>
      <c r="BF73" s="41"/>
      <c r="BG73" s="41"/>
      <c r="BH73" s="41"/>
      <c r="BI73" s="41"/>
      <c r="BJ73" s="41"/>
      <c r="BK73" s="41"/>
      <c r="BL73" s="41"/>
      <c r="BM73" s="41"/>
      <c r="BN73" s="41"/>
      <c r="BO73" s="46"/>
      <c r="BP73" s="41"/>
      <c r="BQ73" s="40"/>
      <c r="BR73" s="40"/>
      <c r="BS73" s="40"/>
      <c r="BT73" s="40"/>
      <c r="BU73" s="40"/>
      <c r="BV73" s="40"/>
      <c r="BW73" s="40"/>
      <c r="BX73" s="34"/>
      <c r="BY73" s="47">
        <v>10901.21</v>
      </c>
      <c r="BZ73" s="42">
        <v>609.38</v>
      </c>
      <c r="CA73" s="40"/>
      <c r="CB73" s="34"/>
      <c r="CC73" s="34"/>
      <c r="CD73" s="34"/>
      <c r="CE73" s="34"/>
      <c r="CF73" s="34"/>
      <c r="CG73" s="122">
        <f>SUMIFS(BB___HK___AMHS__Others[AR Amount],BB___HK___AMHS__Others[PO No.],AR_725[[#This Row],[tsmc PO '#]],BB___HK___AMHS__Others[Status],"&lt;&gt;Rejected",BB___HK___AMHS__Others[YearMonth],"2024-03")</f>
        <v>0</v>
      </c>
      <c r="CI73" s="122">
        <f>SUMIFS(BB___HK___AMHS__Others[AR Amount],BB___HK___AMHS__Others[PO No.],AR_725[[#This Row],[tsmc PO '#]],BB___HK___AMHS__Others[Status],"&lt;&gt;Rejected",BB___HK___AMHS__Others[YearMonth],"2024-04")</f>
        <v>0</v>
      </c>
      <c r="CJ73" s="30"/>
      <c r="CK73" s="122">
        <v>8184.72</v>
      </c>
      <c r="CL73" s="122">
        <v>457.53</v>
      </c>
      <c r="CM73" s="122">
        <v>0</v>
      </c>
      <c r="CN73" s="122">
        <v>0</v>
      </c>
      <c r="CO73" s="122">
        <f>SUMIFS(BB___HK___AMHS__Others[AR Amount],BB___HK___AMHS__Others[PO No.],AR_725[[#This Row],[tsmc PO '#]],BB___HK___AMHS__Others[Status],"&lt;&gt;Rejected",BB___HK___AMHS__Others[YearMonth],"2024-07")</f>
        <v>0</v>
      </c>
      <c r="CP73" s="122">
        <f>SUMIFS(BB___HK___AMHS__Others[Tax],BB___HK___AMHS__Others[PO No.],AR_725[[#This Row],[tsmc PO '#]],BB___HK___AMHS__Others[Status],"&lt;&gt;Rejected",BB___HK___AMHS__Others[YearMonth],"2024-07")</f>
        <v>0</v>
      </c>
      <c r="CQ73" s="34">
        <f>SUMIFS(BB___HK___AMHS__Others[AR Amount],BB___HK___AMHS__Others[PO No.],AR_725[[#This Row],[tsmc PO '#]],BB___HK___AMHS__Others[Status],"&lt;&gt;Rejected",BB___HK___AMHS__Others[YearMonth],"2024-08")</f>
        <v>0</v>
      </c>
      <c r="CR73" s="44">
        <f>SUMIFS(BB___HK___AMHS__Others[Tax],BB___HK___AMHS__Others[PO No.],AR_725[[#This Row],[tsmc PO '#]],BB___HK___AMHS__Others[Status],"&lt;&gt;Rejected",BB___HK___AMHS__Others[YearMonth],"2024-08")</f>
        <v>0</v>
      </c>
      <c r="CS73" s="62">
        <f>SUMIFS(BB___HK___AMHS__Others[AR Amount],BB___HK___AMHS__Others[PO No.],AR_725[[#This Row],[tsmc PO '#]],BB___HK___AMHS__Others[Status],"&lt;&gt;Rejected",BB___HK___AMHS__Others[YearMonth],"2024-09")</f>
        <v>0</v>
      </c>
      <c r="CT73" s="601">
        <f>SUMIFS(BB___HK___AMHS__Others[Tax],BB___HK___AMHS__Others[PO No.],AR_725[[#This Row],[tsmc PO '#]],BB___HK___AMHS__Others[Status],"&lt;&gt;Rejected",BB___HK___AMHS__Others[YearMonth],"2024-09")</f>
        <v>0</v>
      </c>
    </row>
    <row r="74" spans="1:98" ht="14.1" hidden="1">
      <c r="A74" s="30" t="s">
        <v>13</v>
      </c>
      <c r="B74" s="30" t="s">
        <v>13</v>
      </c>
      <c r="D74" s="50"/>
      <c r="E74" s="48" t="s">
        <v>2129</v>
      </c>
      <c r="F74" s="48" t="s">
        <v>2130</v>
      </c>
      <c r="G74" s="48" t="s">
        <v>2131</v>
      </c>
      <c r="H74" s="50">
        <v>4590006707</v>
      </c>
      <c r="I74" s="30" t="s">
        <v>227</v>
      </c>
      <c r="J74" s="30" t="s">
        <v>226</v>
      </c>
      <c r="K74" s="62">
        <v>10906774.779999999</v>
      </c>
      <c r="L74" s="30" t="s">
        <v>2054</v>
      </c>
      <c r="M74" s="86">
        <v>44846</v>
      </c>
      <c r="N74" s="87" t="s">
        <v>2132</v>
      </c>
      <c r="O74" s="88" t="s">
        <v>2056</v>
      </c>
      <c r="P7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10848813.17</v>
      </c>
      <c r="Q7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10848813.17</v>
      </c>
      <c r="R7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10848813.17</v>
      </c>
      <c r="S74" s="72">
        <f>IF(AR_725[[#This Row],[PO Amount]]=0,1,AR_725[[#This Row],[Total AR (Sent)]]/AR_725[[#This Row],[PO Amount]])</f>
        <v>0.99468572413301459</v>
      </c>
      <c r="T74" s="45">
        <f>AR_725[[#This Row],[PO Amount]]-AR_725[[#This Row],[Total AR (Sent)]]</f>
        <v>57961.609999999404</v>
      </c>
      <c r="U74" s="40"/>
      <c r="V74" s="40"/>
      <c r="W74" s="46"/>
      <c r="X74" s="46"/>
      <c r="Y74" s="46"/>
      <c r="Z74" s="46"/>
      <c r="AA74" s="46"/>
      <c r="AB74" s="40"/>
      <c r="AC74" s="40"/>
      <c r="AD74" s="40"/>
      <c r="AE74" s="46"/>
      <c r="AF74" s="46"/>
      <c r="AG74" s="46"/>
      <c r="AH74" s="46"/>
      <c r="AI74" s="34"/>
      <c r="AJ74" s="34"/>
      <c r="AK74" s="34"/>
      <c r="AL74" s="40"/>
      <c r="AM74" s="40"/>
      <c r="AN74" s="40"/>
      <c r="AO74" s="40"/>
      <c r="AP74" s="40"/>
      <c r="AQ74" s="40"/>
      <c r="AR74" s="34"/>
      <c r="AS74" s="40"/>
      <c r="AU74" s="34"/>
      <c r="AV74" s="34"/>
      <c r="AW74" s="41"/>
      <c r="AX74" s="41"/>
      <c r="AY74" s="53">
        <v>871165</v>
      </c>
      <c r="AZ74" s="53">
        <v>74920.240000000005</v>
      </c>
      <c r="BA74" s="40"/>
      <c r="BB74" s="34"/>
      <c r="BC74" s="41"/>
      <c r="BD74" s="41"/>
      <c r="BE74" s="47">
        <v>3367834.67</v>
      </c>
      <c r="BF74" s="41"/>
      <c r="BG74" s="34"/>
      <c r="BH74" s="34"/>
      <c r="BI74" s="42">
        <v>2766325.5</v>
      </c>
      <c r="BJ74" s="34"/>
      <c r="BK74" s="42">
        <v>3843488</v>
      </c>
      <c r="BL74" s="34"/>
      <c r="BM74" s="34"/>
      <c r="BN74" s="34"/>
      <c r="BO74" s="40"/>
      <c r="BP74" s="34"/>
      <c r="BQ74" s="40"/>
      <c r="BR74" s="40"/>
      <c r="BS74" s="40"/>
      <c r="BT74" s="40"/>
      <c r="BU74" s="40"/>
      <c r="BV74" s="40"/>
      <c r="BW74" s="40"/>
      <c r="BX74" s="34"/>
      <c r="BZ74" s="40"/>
      <c r="CA74" s="40"/>
      <c r="CB74" s="34"/>
      <c r="CC74" s="34"/>
      <c r="CD74" s="34"/>
      <c r="CE74" s="34"/>
      <c r="CF74" s="34"/>
      <c r="CG74" s="122"/>
      <c r="CI74" s="122"/>
      <c r="CJ74" s="30"/>
      <c r="CK74" s="122">
        <v>0</v>
      </c>
      <c r="CL74" s="122">
        <v>0</v>
      </c>
      <c r="CM74" s="122">
        <v>0</v>
      </c>
      <c r="CN74" s="122">
        <v>0</v>
      </c>
      <c r="CO74" s="122">
        <f>SUMIFS(BB___HK___AMHS__Others[AR Amount],BB___HK___AMHS__Others[PO No.],AR_725[[#This Row],[tsmc PO '#]],BB___HK___AMHS__Others[Status],"&lt;&gt;Rejected",BB___HK___AMHS__Others[YearMonth],"2024-07")</f>
        <v>0</v>
      </c>
      <c r="CP74" s="122">
        <f>SUMIFS(BB___HK___AMHS__Others[Tax],BB___HK___AMHS__Others[PO No.],AR_725[[#This Row],[tsmc PO '#]],BB___HK___AMHS__Others[Status],"&lt;&gt;Rejected",BB___HK___AMHS__Others[YearMonth],"2024-07")</f>
        <v>0</v>
      </c>
      <c r="CQ74" s="34">
        <f>SUMIFS(BB___HK___AMHS__Others[AR Amount],BB___HK___AMHS__Others[PO No.],AR_725[[#This Row],[tsmc PO '#]],BB___HK___AMHS__Others[Status],"&lt;&gt;Rejected",BB___HK___AMHS__Others[YearMonth],"2024-08")</f>
        <v>0</v>
      </c>
      <c r="CR74" s="44">
        <f>SUMIFS(BB___HK___AMHS__Others[Tax],BB___HK___AMHS__Others[PO No.],AR_725[[#This Row],[tsmc PO '#]],BB___HK___AMHS__Others[Status],"&lt;&gt;Rejected",BB___HK___AMHS__Others[YearMonth],"2024-08")</f>
        <v>0</v>
      </c>
      <c r="CS74" s="62">
        <f>SUMIFS(BB___HK___AMHS__Others[AR Amount],BB___HK___AMHS__Others[PO No.],AR_725[[#This Row],[tsmc PO '#]],BB___HK___AMHS__Others[Status],"&lt;&gt;Rejected",BB___HK___AMHS__Others[YearMonth],"2024-09")</f>
        <v>0</v>
      </c>
      <c r="CT74" s="601">
        <f>SUMIFS(BB___HK___AMHS__Others[Tax],BB___HK___AMHS__Others[PO No.],AR_725[[#This Row],[tsmc PO '#]],BB___HK___AMHS__Others[Status],"&lt;&gt;Rejected",BB___HK___AMHS__Others[YearMonth],"2024-09")</f>
        <v>0</v>
      </c>
    </row>
    <row r="75" spans="1:98" ht="14.1" hidden="1">
      <c r="A75" s="30" t="s">
        <v>9</v>
      </c>
      <c r="B75" s="30" t="s">
        <v>2051</v>
      </c>
      <c r="D75" s="50" t="s">
        <v>1759</v>
      </c>
      <c r="E75" s="50" t="s">
        <v>2065</v>
      </c>
      <c r="F75" s="64" t="s">
        <v>2066</v>
      </c>
      <c r="G75" s="64" t="s">
        <v>321</v>
      </c>
      <c r="H75" s="50">
        <v>4590006720</v>
      </c>
      <c r="I75" s="30" t="s">
        <v>120</v>
      </c>
      <c r="J75" s="30" t="s">
        <v>323</v>
      </c>
      <c r="K75" s="62">
        <v>700000</v>
      </c>
      <c r="L75" s="30" t="s">
        <v>2062</v>
      </c>
      <c r="M75" s="86">
        <v>44846</v>
      </c>
      <c r="N75" s="87" t="s">
        <v>2063</v>
      </c>
      <c r="O75" s="88" t="s">
        <v>2056</v>
      </c>
      <c r="P7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132846</v>
      </c>
      <c r="Q7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132846</v>
      </c>
      <c r="R7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132846</v>
      </c>
      <c r="S75" s="72">
        <f>IF(AR_725[[#This Row],[PO Amount]]=0,1,AR_725[[#This Row],[Total AR (Sent)]]/AR_725[[#This Row],[PO Amount]])</f>
        <v>0.18978</v>
      </c>
      <c r="T75" s="39">
        <f>AR_725[[#This Row],[PO Amount]]-AR_725[[#This Row],[Total AR (Sent)]]</f>
        <v>567154</v>
      </c>
      <c r="U75" s="40"/>
      <c r="V75" s="40"/>
      <c r="W75" s="41"/>
      <c r="X75" s="41"/>
      <c r="Y75" s="41"/>
      <c r="Z75" s="41"/>
      <c r="AA75" s="41"/>
      <c r="AB75" s="40"/>
      <c r="AC75" s="40"/>
      <c r="AD75" s="40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2">
        <v>34259</v>
      </c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0"/>
      <c r="BR75" s="40"/>
      <c r="BS75" s="34"/>
      <c r="BT75" s="40"/>
      <c r="BU75" s="34"/>
      <c r="BV75" s="40"/>
      <c r="BW75" s="34"/>
      <c r="BX75" s="34"/>
      <c r="BY75" s="34"/>
      <c r="BZ75" s="40"/>
      <c r="CA75" s="40"/>
      <c r="CB75" s="34"/>
      <c r="CC75" s="42">
        <v>98587</v>
      </c>
      <c r="CD75" s="34"/>
      <c r="CE75" s="34"/>
      <c r="CF75" s="34"/>
      <c r="CG75" s="122"/>
      <c r="CI75" s="122"/>
      <c r="CJ75" s="30"/>
      <c r="CK75" s="122">
        <v>0</v>
      </c>
      <c r="CL75" s="122">
        <v>0</v>
      </c>
      <c r="CM75" s="122">
        <v>0</v>
      </c>
      <c r="CN75" s="122">
        <v>0</v>
      </c>
      <c r="CO75" s="122">
        <f>SUMIFS(BB___HK___AMHS__Others[AR Amount],BB___HK___AMHS__Others[PO No.],AR_725[[#This Row],[tsmc PO '#]],BB___HK___AMHS__Others[Status],"&lt;&gt;Rejected",BB___HK___AMHS__Others[YearMonth],"2024-07")</f>
        <v>0</v>
      </c>
      <c r="CP75" s="122">
        <f>SUMIFS(BB___HK___AMHS__Others[Tax],BB___HK___AMHS__Others[PO No.],AR_725[[#This Row],[tsmc PO '#]],BB___HK___AMHS__Others[Status],"&lt;&gt;Rejected",BB___HK___AMHS__Others[YearMonth],"2024-07")</f>
        <v>0</v>
      </c>
      <c r="CQ75" s="34">
        <f>SUMIFS(BB___HK___AMHS__Others[AR Amount],BB___HK___AMHS__Others[PO No.],AR_725[[#This Row],[tsmc PO '#]],BB___HK___AMHS__Others[Status],"&lt;&gt;Rejected",BB___HK___AMHS__Others[YearMonth],"2024-08")</f>
        <v>0</v>
      </c>
      <c r="CR75" s="44">
        <f>SUMIFS(BB___HK___AMHS__Others[Tax],BB___HK___AMHS__Others[PO No.],AR_725[[#This Row],[tsmc PO '#]],BB___HK___AMHS__Others[Status],"&lt;&gt;Rejected",BB___HK___AMHS__Others[YearMonth],"2024-08")</f>
        <v>0</v>
      </c>
      <c r="CS75" s="62">
        <f>SUMIFS(BB___HK___AMHS__Others[AR Amount],BB___HK___AMHS__Others[PO No.],AR_725[[#This Row],[tsmc PO '#]],BB___HK___AMHS__Others[Status],"&lt;&gt;Rejected",BB___HK___AMHS__Others[YearMonth],"2024-09")</f>
        <v>0</v>
      </c>
      <c r="CT75" s="601">
        <f>SUMIFS(BB___HK___AMHS__Others[Tax],BB___HK___AMHS__Others[PO No.],AR_725[[#This Row],[tsmc PO '#]],BB___HK___AMHS__Others[Status],"&lt;&gt;Rejected",BB___HK___AMHS__Others[YearMonth],"2024-09")</f>
        <v>0</v>
      </c>
    </row>
    <row r="76" spans="1:98" ht="14.1" hidden="1">
      <c r="A76" s="30" t="s">
        <v>12</v>
      </c>
      <c r="B76" s="30" t="s">
        <v>2098</v>
      </c>
      <c r="D76" s="50" t="s">
        <v>2099</v>
      </c>
      <c r="E76" s="105" t="s">
        <v>2052</v>
      </c>
      <c r="F76" s="64" t="s">
        <v>2100</v>
      </c>
      <c r="G76" s="64" t="s">
        <v>1384</v>
      </c>
      <c r="H76" s="50">
        <v>4590006743</v>
      </c>
      <c r="I76" s="30" t="s">
        <v>448</v>
      </c>
      <c r="J76" s="30" t="s">
        <v>524</v>
      </c>
      <c r="K76" s="62">
        <v>47326.37</v>
      </c>
      <c r="L76" s="30"/>
      <c r="M76" s="86"/>
      <c r="N76" s="87"/>
      <c r="O76" s="88"/>
      <c r="P7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23122</v>
      </c>
      <c r="Q7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23122</v>
      </c>
      <c r="R7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23122</v>
      </c>
      <c r="S76" s="72">
        <f>IF(AR_725[[#This Row],[PO Amount]]=0,1,AR_725[[#This Row],[Total AR (Sent)]]/AR_725[[#This Row],[PO Amount]])</f>
        <v>0.48856483182631583</v>
      </c>
      <c r="T76" s="45">
        <f>AR_725[[#This Row],[PO Amount]]-AR_725[[#This Row],[Total AR (Sent)]]</f>
        <v>24204.370000000003</v>
      </c>
      <c r="U76" s="40"/>
      <c r="V76" s="40"/>
      <c r="W76" s="46"/>
      <c r="X76" s="46"/>
      <c r="Y76" s="46"/>
      <c r="Z76" s="46"/>
      <c r="AA76" s="46"/>
      <c r="AB76" s="40"/>
      <c r="AC76" s="40"/>
      <c r="AD76" s="40"/>
      <c r="AE76" s="46"/>
      <c r="AF76" s="46"/>
      <c r="AG76" s="46"/>
      <c r="AH76" s="46"/>
      <c r="AI76" s="41"/>
      <c r="AJ76" s="41"/>
      <c r="AK76" s="41"/>
      <c r="AL76" s="46"/>
      <c r="AM76" s="46"/>
      <c r="AN76" s="46"/>
      <c r="AO76" s="46"/>
      <c r="AP76" s="46"/>
      <c r="AQ76" s="46"/>
      <c r="AR76" s="41"/>
      <c r="AS76" s="46"/>
      <c r="AT76" s="41"/>
      <c r="AU76" s="41"/>
      <c r="AV76" s="41"/>
      <c r="AW76" s="41"/>
      <c r="AX76" s="41"/>
      <c r="AY76" s="41"/>
      <c r="AZ76" s="41"/>
      <c r="BA76" s="46"/>
      <c r="BB76" s="41"/>
      <c r="BC76" s="41"/>
      <c r="BD76" s="41"/>
      <c r="BE76" s="46"/>
      <c r="BF76" s="41"/>
      <c r="BG76" s="41"/>
      <c r="BH76" s="41"/>
      <c r="BI76" s="41"/>
      <c r="BJ76" s="41"/>
      <c r="BK76" s="41"/>
      <c r="BL76" s="41"/>
      <c r="BM76" s="41"/>
      <c r="BN76" s="41"/>
      <c r="BO76" s="46"/>
      <c r="BP76" s="41"/>
      <c r="BQ76" s="90">
        <v>23122</v>
      </c>
      <c r="BR76" s="40"/>
      <c r="BS76" s="40"/>
      <c r="BT76" s="40"/>
      <c r="BU76" s="40"/>
      <c r="BV76" s="40"/>
      <c r="BW76" s="40"/>
      <c r="BX76" s="34"/>
      <c r="BZ76" s="40"/>
      <c r="CA76" s="40"/>
      <c r="CB76" s="34"/>
      <c r="CC76" s="34"/>
      <c r="CD76" s="34"/>
      <c r="CE76" s="34"/>
      <c r="CF76" s="34"/>
      <c r="CG76" s="122"/>
      <c r="CI76" s="122"/>
      <c r="CJ76" s="30"/>
      <c r="CK76" s="122">
        <v>0</v>
      </c>
      <c r="CL76" s="122">
        <v>0</v>
      </c>
      <c r="CM76" s="122">
        <v>0</v>
      </c>
      <c r="CN76" s="122">
        <v>0</v>
      </c>
      <c r="CO76" s="122">
        <f>SUMIFS(BB___HK___AMHS__Others[AR Amount],BB___HK___AMHS__Others[PO No.],AR_725[[#This Row],[tsmc PO '#]],BB___HK___AMHS__Others[Status],"&lt;&gt;Rejected",BB___HK___AMHS__Others[YearMonth],"2024-07")</f>
        <v>0</v>
      </c>
      <c r="CP76" s="122">
        <f>SUMIFS(BB___HK___AMHS__Others[Tax],BB___HK___AMHS__Others[PO No.],AR_725[[#This Row],[tsmc PO '#]],BB___HK___AMHS__Others[Status],"&lt;&gt;Rejected",BB___HK___AMHS__Others[YearMonth],"2024-07")</f>
        <v>0</v>
      </c>
      <c r="CQ76" s="34">
        <f>SUMIFS(BB___HK___AMHS__Others[AR Amount],BB___HK___AMHS__Others[PO No.],AR_725[[#This Row],[tsmc PO '#]],BB___HK___AMHS__Others[Status],"&lt;&gt;Rejected",BB___HK___AMHS__Others[YearMonth],"2024-08")</f>
        <v>0</v>
      </c>
      <c r="CR76" s="44">
        <f>SUMIFS(BB___HK___AMHS__Others[Tax],BB___HK___AMHS__Others[PO No.],AR_725[[#This Row],[tsmc PO '#]],BB___HK___AMHS__Others[Status],"&lt;&gt;Rejected",BB___HK___AMHS__Others[YearMonth],"2024-08")</f>
        <v>0</v>
      </c>
      <c r="CS76" s="62">
        <f>SUMIFS(BB___HK___AMHS__Others[AR Amount],BB___HK___AMHS__Others[PO No.],AR_725[[#This Row],[tsmc PO '#]],BB___HK___AMHS__Others[Status],"&lt;&gt;Rejected",BB___HK___AMHS__Others[YearMonth],"2024-09")</f>
        <v>0</v>
      </c>
      <c r="CT76" s="601">
        <f>SUMIFS(BB___HK___AMHS__Others[Tax],BB___HK___AMHS__Others[PO No.],AR_725[[#This Row],[tsmc PO '#]],BB___HK___AMHS__Others[Status],"&lt;&gt;Rejected",BB___HK___AMHS__Others[YearMonth],"2024-09")</f>
        <v>0</v>
      </c>
    </row>
    <row r="77" spans="1:98" ht="14.1" hidden="1">
      <c r="A77" s="30" t="s">
        <v>9</v>
      </c>
      <c r="B77" s="30" t="s">
        <v>2051</v>
      </c>
      <c r="C77" s="30" t="s">
        <v>42</v>
      </c>
      <c r="D77" s="50" t="s">
        <v>1720</v>
      </c>
      <c r="E77" s="48" t="s">
        <v>2133</v>
      </c>
      <c r="F77" s="48" t="s">
        <v>2133</v>
      </c>
      <c r="G77" s="48" t="s">
        <v>2134</v>
      </c>
      <c r="H77" s="50">
        <v>4590006744</v>
      </c>
      <c r="I77" s="30" t="s">
        <v>104</v>
      </c>
      <c r="J77" s="30" t="s">
        <v>264</v>
      </c>
      <c r="K77" s="62">
        <v>6500000</v>
      </c>
      <c r="L77" s="30" t="s">
        <v>2062</v>
      </c>
      <c r="M77" s="86">
        <v>44847</v>
      </c>
      <c r="N77" s="87" t="s">
        <v>2063</v>
      </c>
      <c r="O77" s="88" t="s">
        <v>2111</v>
      </c>
      <c r="P7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6499999.9999999991</v>
      </c>
      <c r="Q7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6174999.9999999991</v>
      </c>
      <c r="R7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6500000</v>
      </c>
      <c r="S77" s="72">
        <f>IF(AR_725[[#This Row],[PO Amount]]=0,1,AR_725[[#This Row],[Total AR (Sent)]]/AR_725[[#This Row],[PO Amount]])</f>
        <v>0.99999999999999989</v>
      </c>
      <c r="T77" s="45">
        <f>AR_725[[#This Row],[PO Amount]]-AR_725[[#This Row],[Total AR (Sent)]]</f>
        <v>0</v>
      </c>
      <c r="U77" s="40"/>
      <c r="V77" s="40"/>
      <c r="W77" s="46"/>
      <c r="X77" s="46"/>
      <c r="Y77" s="46"/>
      <c r="Z77" s="46"/>
      <c r="AA77" s="46"/>
      <c r="AB77" s="40"/>
      <c r="AC77" s="40"/>
      <c r="AD77" s="40"/>
      <c r="AE77" s="46"/>
      <c r="AF77" s="46"/>
      <c r="AG77" s="46"/>
      <c r="AH77" s="46"/>
      <c r="AI77" s="40"/>
      <c r="AJ77" s="40"/>
      <c r="AK77" s="40"/>
      <c r="AL77" s="40"/>
      <c r="AM77" s="40"/>
      <c r="AN77" s="40"/>
      <c r="AO77" s="40"/>
      <c r="AP77" s="40"/>
      <c r="AQ77" s="40"/>
      <c r="AR77" s="34"/>
      <c r="AS77" s="40"/>
      <c r="AU77" s="34"/>
      <c r="AV77" s="34"/>
      <c r="AW77" s="41"/>
      <c r="AX77" s="41"/>
      <c r="AY77" s="53"/>
      <c r="AZ77" s="34"/>
      <c r="BA77" s="47">
        <v>6174999.9999999991</v>
      </c>
      <c r="BB77" s="34"/>
      <c r="BC77" s="41"/>
      <c r="BD77" s="41"/>
      <c r="BE77" s="40"/>
      <c r="BF77" s="34"/>
      <c r="BG77" s="34"/>
      <c r="BH77" s="34"/>
      <c r="BI77" s="34"/>
      <c r="BJ77" s="34"/>
      <c r="BK77" s="34"/>
      <c r="BL77" s="34"/>
      <c r="BM77" s="34"/>
      <c r="BN77" s="34"/>
      <c r="BO77" s="40"/>
      <c r="BP77" s="34"/>
      <c r="BQ77" s="40"/>
      <c r="BR77" s="40"/>
      <c r="BS77" s="40"/>
      <c r="BT77" s="40"/>
      <c r="BU77" s="40"/>
      <c r="BV77" s="40"/>
      <c r="BW77" s="40"/>
      <c r="BX77" s="34"/>
      <c r="BZ77" s="40"/>
      <c r="CA77" s="40"/>
      <c r="CB77" s="34"/>
      <c r="CC77" s="34"/>
      <c r="CD77" s="34"/>
      <c r="CE77" s="34"/>
      <c r="CF77" s="34"/>
      <c r="CG77" s="122"/>
      <c r="CI77" s="122"/>
      <c r="CJ77" s="30"/>
      <c r="CK77" s="122">
        <v>325000</v>
      </c>
      <c r="CL77" s="122">
        <v>0</v>
      </c>
      <c r="CM77" s="122">
        <v>0</v>
      </c>
      <c r="CN77" s="122">
        <v>0</v>
      </c>
      <c r="CO77" s="122">
        <f>SUMIFS(BB___HK___AMHS__Others[AR Amount],BB___HK___AMHS__Others[PO No.],AR_725[[#This Row],[tsmc PO '#]],BB___HK___AMHS__Others[Status],"&lt;&gt;Rejected",BB___HK___AMHS__Others[YearMonth],"2024-07")</f>
        <v>0</v>
      </c>
      <c r="CP77" s="122">
        <f>SUMIFS(BB___HK___AMHS__Others[Tax],BB___HK___AMHS__Others[PO No.],AR_725[[#This Row],[tsmc PO '#]],BB___HK___AMHS__Others[Status],"&lt;&gt;Rejected",BB___HK___AMHS__Others[YearMonth],"2024-07")</f>
        <v>0</v>
      </c>
      <c r="CQ77" s="34">
        <f>SUMIFS(BB___HK___AMHS__Others[AR Amount],BB___HK___AMHS__Others[PO No.],AR_725[[#This Row],[tsmc PO '#]],BB___HK___AMHS__Others[Status],"&lt;&gt;Rejected",BB___HK___AMHS__Others[YearMonth],"2024-08")</f>
        <v>0</v>
      </c>
      <c r="CR77" s="44">
        <f>SUMIFS(BB___HK___AMHS__Others[Tax],BB___HK___AMHS__Others[PO No.],AR_725[[#This Row],[tsmc PO '#]],BB___HK___AMHS__Others[Status],"&lt;&gt;Rejected",BB___HK___AMHS__Others[YearMonth],"2024-08")</f>
        <v>0</v>
      </c>
      <c r="CS77" s="62">
        <f>SUMIFS(BB___HK___AMHS__Others[AR Amount],BB___HK___AMHS__Others[PO No.],AR_725[[#This Row],[tsmc PO '#]],BB___HK___AMHS__Others[Status],"&lt;&gt;Rejected",BB___HK___AMHS__Others[YearMonth],"2024-09")</f>
        <v>0</v>
      </c>
      <c r="CT77" s="601">
        <f>SUMIFS(BB___HK___AMHS__Others[Tax],BB___HK___AMHS__Others[PO No.],AR_725[[#This Row],[tsmc PO '#]],BB___HK___AMHS__Others[Status],"&lt;&gt;Rejected",BB___HK___AMHS__Others[YearMonth],"2024-09")</f>
        <v>0</v>
      </c>
    </row>
    <row r="78" spans="1:98" ht="14.1">
      <c r="A78" s="30" t="s">
        <v>8</v>
      </c>
      <c r="B78" s="30" t="s">
        <v>8</v>
      </c>
      <c r="D78" s="50" t="s">
        <v>8</v>
      </c>
      <c r="E78" s="48" t="s">
        <v>2109</v>
      </c>
      <c r="F78" s="64" t="s">
        <v>2110</v>
      </c>
      <c r="G78" s="64" t="s">
        <v>1435</v>
      </c>
      <c r="H78" s="50">
        <v>4590006750</v>
      </c>
      <c r="I78" s="30" t="s">
        <v>268</v>
      </c>
      <c r="J78" s="30" t="s">
        <v>266</v>
      </c>
      <c r="K78" s="62">
        <v>24500000</v>
      </c>
      <c r="L78" s="30" t="s">
        <v>2062</v>
      </c>
      <c r="M78" s="86">
        <v>44847</v>
      </c>
      <c r="N78" s="87" t="s">
        <v>2063</v>
      </c>
      <c r="O78" s="88" t="s">
        <v>2089</v>
      </c>
      <c r="P7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20882965</v>
      </c>
      <c r="Q7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14375488</v>
      </c>
      <c r="R7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19871841</v>
      </c>
      <c r="S78" s="72">
        <f>IF(AR_725[[#This Row],[PO Amount]]=0,1,AR_725[[#This Row],[Total AR (Sent)]]/AR_725[[#This Row],[PO Amount]])</f>
        <v>0.85236591836734699</v>
      </c>
      <c r="T78" s="39">
        <f>AR_725[[#This Row],[PO Amount]]-AR_725[[#This Row],[Total AR (Sent)]]</f>
        <v>3617035</v>
      </c>
      <c r="U78" s="40"/>
      <c r="V78" s="40"/>
      <c r="W78" s="41"/>
      <c r="X78" s="41"/>
      <c r="Y78" s="41"/>
      <c r="Z78" s="41"/>
      <c r="AA78" s="41"/>
      <c r="AB78" s="40"/>
      <c r="AC78" s="40"/>
      <c r="AD78" s="40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2">
        <v>2868170</v>
      </c>
      <c r="BB78" s="41"/>
      <c r="BC78" s="52">
        <f>1095446-1095446</f>
        <v>0</v>
      </c>
      <c r="BD78" s="41"/>
      <c r="BE78" s="41"/>
      <c r="BF78" s="41"/>
      <c r="BG78" s="61">
        <f>2288874-2288874</f>
        <v>0</v>
      </c>
      <c r="BH78" s="41"/>
      <c r="BI78" s="61">
        <f>2116023-2116023</f>
        <v>0</v>
      </c>
      <c r="BJ78" s="41"/>
      <c r="BK78" s="40"/>
      <c r="BL78" s="41"/>
      <c r="BM78" s="42">
        <v>7119456</v>
      </c>
      <c r="BN78" s="41"/>
      <c r="BO78" s="41"/>
      <c r="BP78" s="41"/>
      <c r="BQ78" s="34">
        <f>2199118-2199118</f>
        <v>0</v>
      </c>
      <c r="BR78" s="40"/>
      <c r="BS78" s="34"/>
      <c r="BT78" s="40"/>
      <c r="BU78" s="61">
        <f>1562305-1562305</f>
        <v>0</v>
      </c>
      <c r="BV78" s="40"/>
      <c r="BW78" s="42">
        <v>4134250</v>
      </c>
      <c r="BX78" s="34"/>
      <c r="BY78" s="52"/>
      <c r="BZ78" s="40"/>
      <c r="CA78" s="42">
        <v>253612</v>
      </c>
      <c r="CB78" s="34"/>
      <c r="CC78" s="59">
        <f>548984-548984</f>
        <v>0</v>
      </c>
      <c r="CD78" s="34"/>
      <c r="CE78" s="34"/>
      <c r="CF78" s="34"/>
      <c r="CG78" s="122">
        <f>SUMIFS(BB___HK___AMHS__Others[AR Amount],BB___HK___AMHS__Others[PO No.],AR_725[[#This Row],[tsmc PO '#]],BB___HK___AMHS__Others[Status],"&lt;&gt;Rejected",BB___HK___AMHS__Others[YearMonth],"2024-03")</f>
        <v>0</v>
      </c>
      <c r="CI78" s="122">
        <f>SUMIFS(BB___HK___AMHS__Others[AR Amount],BB___HK___AMHS__Others[PO No.],AR_725[[#This Row],[tsmc PO '#]],BB___HK___AMHS__Others[Status],"&lt;&gt;Rejected",BB___HK___AMHS__Others[YearMonth],"2024-04")</f>
        <v>2785485</v>
      </c>
      <c r="CJ78" s="30"/>
      <c r="CK78" s="122">
        <v>992071</v>
      </c>
      <c r="CL78" s="122">
        <v>0</v>
      </c>
      <c r="CM78" s="122">
        <v>1228501</v>
      </c>
      <c r="CN78" s="122">
        <v>0</v>
      </c>
      <c r="CO78" s="34">
        <f>SUMIFS(BB___HK___AMHS__Others[AR Amount],BB___HK___AMHS__Others[PO No.],AR_725[[#This Row],[tsmc PO '#]],BB___HK___AMHS__Others[Status],"&lt;&gt;Rejected",BB___HK___AMHS__Others[YearMonth],"2024-07")</f>
        <v>0</v>
      </c>
      <c r="CP78" s="122">
        <f>SUMIFS(BB___HK___AMHS__Others[Tax],BB___HK___AMHS__Others[PO No.],AR_725[[#This Row],[tsmc PO '#]],BB___HK___AMHS__Others[Status],"&lt;&gt;Rejected",BB___HK___AMHS__Others[YearMonth],"2024-07")</f>
        <v>0</v>
      </c>
      <c r="CQ78" s="34">
        <f>SUMIFS(BB___HK___AMHS__Others[AR Amount],BB___HK___AMHS__Others[PO No.],AR_725[[#This Row],[tsmc PO '#]],BB___HK___AMHS__Others[Status],"&lt;&gt;Rejected",BB___HK___AMHS__Others[YearMonth],"2024-08")</f>
        <v>490296</v>
      </c>
      <c r="CR78" s="44">
        <f>SUMIFS(BB___HK___AMHS__Others[Tax],BB___HK___AMHS__Others[PO No.],AR_725[[#This Row],[tsmc PO '#]],BB___HK___AMHS__Others[Status],"&lt;&gt;Rejected",BB___HK___AMHS__Others[YearMonth],"2024-08")</f>
        <v>0</v>
      </c>
      <c r="CS78" s="62">
        <f>SUMIFS(BB___HK___AMHS__Others[AR Amount],BB___HK___AMHS__Others[PO No.],AR_725[[#This Row],[tsmc PO '#]],BB___HK___AMHS__Others[Status],"&lt;&gt;Rejected",BB___HK___AMHS__Others[YearMonth],"2024-09")</f>
        <v>1011124</v>
      </c>
      <c r="CT78" s="601">
        <f>SUMIFS(BB___HK___AMHS__Others[Tax],BB___HK___AMHS__Others[PO No.],AR_725[[#This Row],[tsmc PO '#]],BB___HK___AMHS__Others[Status],"&lt;&gt;Rejected",BB___HK___AMHS__Others[YearMonth],"2024-09")</f>
        <v>0</v>
      </c>
    </row>
    <row r="79" spans="1:98" ht="14.1">
      <c r="A79" s="30" t="s">
        <v>8</v>
      </c>
      <c r="B79" s="30" t="s">
        <v>8</v>
      </c>
      <c r="D79" s="50" t="s">
        <v>8</v>
      </c>
      <c r="E79" s="48" t="s">
        <v>2109</v>
      </c>
      <c r="F79" s="64" t="s">
        <v>2110</v>
      </c>
      <c r="G79" s="50" t="s">
        <v>1316</v>
      </c>
      <c r="H79" s="50">
        <v>4590006814</v>
      </c>
      <c r="I79" s="30" t="s">
        <v>300</v>
      </c>
      <c r="J79" s="30" t="s">
        <v>455</v>
      </c>
      <c r="K79" s="62">
        <v>437000</v>
      </c>
      <c r="L79" s="30"/>
      <c r="M79" s="86"/>
      <c r="N79" s="87"/>
      <c r="O79" s="88"/>
      <c r="P7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357880</v>
      </c>
      <c r="Q7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296095</v>
      </c>
      <c r="R7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353740</v>
      </c>
      <c r="S79" s="72">
        <f>IF(AR_725[[#This Row],[PO Amount]]=0,1,AR_725[[#This Row],[Total AR (Sent)]]/AR_725[[#This Row],[PO Amount]])</f>
        <v>0.81894736842105265</v>
      </c>
      <c r="T79" s="39">
        <f>AR_725[[#This Row],[PO Amount]]-AR_725[[#This Row],[Total AR (Sent)]]</f>
        <v>79120</v>
      </c>
      <c r="U79" s="40"/>
      <c r="V79" s="40"/>
      <c r="W79" s="41"/>
      <c r="X79" s="41"/>
      <c r="Y79" s="41"/>
      <c r="Z79" s="41"/>
      <c r="AA79" s="41"/>
      <c r="AB79" s="40"/>
      <c r="AC79" s="40"/>
      <c r="AD79" s="40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0"/>
      <c r="BR79" s="40"/>
      <c r="BS79" s="34"/>
      <c r="BT79" s="40"/>
      <c r="BU79" s="34"/>
      <c r="BV79" s="40"/>
      <c r="BW79" s="34"/>
      <c r="BX79" s="34"/>
      <c r="BY79" s="42">
        <v>158250</v>
      </c>
      <c r="BZ79" s="40"/>
      <c r="CA79" s="41"/>
      <c r="CB79" s="34"/>
      <c r="CC79" s="52">
        <f>14128-14128</f>
        <v>0</v>
      </c>
      <c r="CD79" s="34"/>
      <c r="CE79" s="34"/>
      <c r="CF79" s="34"/>
      <c r="CG79" s="122">
        <f>SUMIFS(BB___HK___AMHS__Others[AR Amount],BB___HK___AMHS__Others[PO No.],AR_725[[#This Row],[tsmc PO '#]],BB___HK___AMHS__Others[Status],"&lt;&gt;Rejected",BB___HK___AMHS__Others[YearMonth],"2024-03")</f>
        <v>137845</v>
      </c>
      <c r="CI79" s="122">
        <f>SUMIFS(BB___HK___AMHS__Others[AR Amount],BB___HK___AMHS__Others[PO No.],AR_725[[#This Row],[tsmc PO '#]],BB___HK___AMHS__Others[Status],"&lt;&gt;Rejected",BB___HK___AMHS__Others[YearMonth],"2024-04")</f>
        <v>27055</v>
      </c>
      <c r="CJ79" s="30"/>
      <c r="CK79" s="122">
        <v>0</v>
      </c>
      <c r="CL79" s="122">
        <v>0</v>
      </c>
      <c r="CM79" s="122">
        <v>25300</v>
      </c>
      <c r="CN79" s="122">
        <v>0</v>
      </c>
      <c r="CO79" s="122">
        <f>SUMIFS(BB___HK___AMHS__Others[AR Amount],BB___HK___AMHS__Others[PO No.],AR_725[[#This Row],[tsmc PO '#]],BB___HK___AMHS__Others[Status],"&lt;&gt;Rejected",BB___HK___AMHS__Others[YearMonth],"2024-07")</f>
        <v>5290</v>
      </c>
      <c r="CP79" s="122">
        <f>SUMIFS(BB___HK___AMHS__Others[Tax],BB___HK___AMHS__Others[PO No.],AR_725[[#This Row],[tsmc PO '#]],BB___HK___AMHS__Others[Status],"&lt;&gt;Rejected",BB___HK___AMHS__Others[YearMonth],"2024-07")</f>
        <v>0</v>
      </c>
      <c r="CQ79" s="34">
        <f>SUMIFS(BB___HK___AMHS__Others[AR Amount],BB___HK___AMHS__Others[PO No.],AR_725[[#This Row],[tsmc PO '#]],BB___HK___AMHS__Others[Status],"&lt;&gt;Rejected",BB___HK___AMHS__Others[YearMonth],"2024-08")</f>
        <v>0</v>
      </c>
      <c r="CR79" s="44">
        <f>SUMIFS(BB___HK___AMHS__Others[Tax],BB___HK___AMHS__Others[PO No.],AR_725[[#This Row],[tsmc PO '#]],BB___HK___AMHS__Others[Status],"&lt;&gt;Rejected",BB___HK___AMHS__Others[YearMonth],"2024-08")</f>
        <v>0</v>
      </c>
      <c r="CS79" s="62">
        <f>SUMIFS(BB___HK___AMHS__Others[AR Amount],BB___HK___AMHS__Others[PO No.],AR_725[[#This Row],[tsmc PO '#]],BB___HK___AMHS__Others[Status],"&lt;&gt;Rejected",BB___HK___AMHS__Others[YearMonth],"2024-09")</f>
        <v>4140</v>
      </c>
      <c r="CT79" s="601">
        <f>SUMIFS(BB___HK___AMHS__Others[Tax],BB___HK___AMHS__Others[PO No.],AR_725[[#This Row],[tsmc PO '#]],BB___HK___AMHS__Others[Status],"&lt;&gt;Rejected",BB___HK___AMHS__Others[YearMonth],"2024-09")</f>
        <v>0</v>
      </c>
    </row>
    <row r="80" spans="1:98" ht="14.1" hidden="1">
      <c r="A80" s="30" t="s">
        <v>10</v>
      </c>
      <c r="B80" s="30" t="s">
        <v>10</v>
      </c>
      <c r="D80" s="50" t="s">
        <v>1546</v>
      </c>
      <c r="E80" s="64" t="s">
        <v>2052</v>
      </c>
      <c r="F80" s="64" t="s">
        <v>2135</v>
      </c>
      <c r="G80" s="48" t="s">
        <v>934</v>
      </c>
      <c r="H80" s="50">
        <v>4590006871</v>
      </c>
      <c r="I80" s="30" t="s">
        <v>135</v>
      </c>
      <c r="J80" s="30" t="s">
        <v>935</v>
      </c>
      <c r="K80" s="62">
        <v>941126</v>
      </c>
      <c r="L80" s="30"/>
      <c r="M80" s="86"/>
      <c r="N80" s="87"/>
      <c r="O80" s="88"/>
      <c r="P8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941126</v>
      </c>
      <c r="Q8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218639</v>
      </c>
      <c r="R8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821446</v>
      </c>
      <c r="S80" s="72">
        <f>IF(AR_725[[#This Row],[PO Amount]]=0,1,AR_725[[#This Row],[Total AR (Sent)]]/AR_725[[#This Row],[PO Amount]])</f>
        <v>1</v>
      </c>
      <c r="T80" s="45">
        <f>AR_725[[#This Row],[PO Amount]]-AR_725[[#This Row],[Total AR (Sent)]]</f>
        <v>0</v>
      </c>
      <c r="U80" s="40"/>
      <c r="V80" s="40"/>
      <c r="W80" s="46"/>
      <c r="X80" s="46"/>
      <c r="Y80" s="46"/>
      <c r="Z80" s="46"/>
      <c r="AA80" s="46"/>
      <c r="AB80" s="40"/>
      <c r="AC80" s="40"/>
      <c r="AD80" s="40"/>
      <c r="AE80" s="46"/>
      <c r="AF80" s="46"/>
      <c r="AG80" s="46"/>
      <c r="AH80" s="46"/>
      <c r="AI80" s="41"/>
      <c r="AJ80" s="41"/>
      <c r="AK80" s="41"/>
      <c r="AL80" s="46"/>
      <c r="AM80" s="46"/>
      <c r="AN80" s="46"/>
      <c r="AO80" s="46"/>
      <c r="AP80" s="46"/>
      <c r="AQ80" s="46"/>
      <c r="AR80" s="41"/>
      <c r="AS80" s="46"/>
      <c r="AT80" s="41"/>
      <c r="AU80" s="41"/>
      <c r="AV80" s="41"/>
      <c r="AW80" s="41"/>
      <c r="AX80" s="41"/>
      <c r="AY80" s="41"/>
      <c r="AZ80" s="41"/>
      <c r="BA80" s="46"/>
      <c r="BB80" s="41"/>
      <c r="BC80" s="41"/>
      <c r="BD80" s="41"/>
      <c r="BE80" s="46"/>
      <c r="BF80" s="41"/>
      <c r="BG80" s="41"/>
      <c r="BH80" s="41"/>
      <c r="BI80" s="41"/>
      <c r="BJ80" s="41"/>
      <c r="BK80" s="41"/>
      <c r="BL80" s="41"/>
      <c r="BM80" s="41"/>
      <c r="BN80" s="41"/>
      <c r="BO80" s="46"/>
      <c r="BP80" s="41"/>
      <c r="BQ80" s="40"/>
      <c r="BR80" s="40"/>
      <c r="BS80" s="40"/>
      <c r="BT80" s="40"/>
      <c r="BU80" s="40"/>
      <c r="BV80" s="40"/>
      <c r="BW80" s="40"/>
      <c r="BX80" s="34"/>
      <c r="BZ80" s="40"/>
      <c r="CA80" s="40"/>
      <c r="CB80" s="34"/>
      <c r="CC80" s="34"/>
      <c r="CD80" s="34"/>
      <c r="CE80" s="34"/>
      <c r="CF80" s="34"/>
      <c r="CG80" s="123">
        <v>218639</v>
      </c>
      <c r="CI80" s="116">
        <v>259718</v>
      </c>
      <c r="CJ80" s="30"/>
      <c r="CK80" s="122">
        <v>212785</v>
      </c>
      <c r="CL80" s="122">
        <v>0</v>
      </c>
      <c r="CM80" s="122">
        <v>130304</v>
      </c>
      <c r="CN80" s="122">
        <v>0</v>
      </c>
      <c r="CO80" s="34">
        <f>SUMIFS(BB___HK___AMHS__Others[AR Amount],BB___HK___AMHS__Others[PO No.],AR_725[[#This Row],[tsmc PO '#]],BB___HK___AMHS__Others[Status],"&lt;&gt;Rejected",BB___HK___AMHS__Others[YearMonth],"2024-07")</f>
        <v>0</v>
      </c>
      <c r="CP80" s="122">
        <f>SUMIFS(BB___HK___AMHS__Others[Tax],BB___HK___AMHS__Others[PO No.],AR_725[[#This Row],[tsmc PO '#]],BB___HK___AMHS__Others[Status],"&lt;&gt;Rejected",BB___HK___AMHS__Others[YearMonth],"2024-07")</f>
        <v>0</v>
      </c>
      <c r="CQ80" s="34">
        <f>SUMIFS(BB___HK___AMHS__Others[AR Amount],BB___HK___AMHS__Others[PO No.],AR_725[[#This Row],[tsmc PO '#]],BB___HK___AMHS__Others[Status],"&lt;&gt;Rejected",BB___HK___AMHS__Others[YearMonth],"2024-08")</f>
        <v>119680</v>
      </c>
      <c r="CR80" s="44">
        <f>SUMIFS(BB___HK___AMHS__Others[Tax],BB___HK___AMHS__Others[PO No.],AR_725[[#This Row],[tsmc PO '#]],BB___HK___AMHS__Others[Status],"&lt;&gt;Rejected",BB___HK___AMHS__Others[YearMonth],"2024-08")</f>
        <v>0</v>
      </c>
      <c r="CS80" s="62">
        <f>SUMIFS(BB___HK___AMHS__Others[AR Amount],BB___HK___AMHS__Others[PO No.],AR_725[[#This Row],[tsmc PO '#]],BB___HK___AMHS__Others[Status],"&lt;&gt;Rejected",BB___HK___AMHS__Others[YearMonth],"2024-09")</f>
        <v>0</v>
      </c>
      <c r="CT80" s="601">
        <f>SUMIFS(BB___HK___AMHS__Others[Tax],BB___HK___AMHS__Others[PO No.],AR_725[[#This Row],[tsmc PO '#]],BB___HK___AMHS__Others[Status],"&lt;&gt;Rejected",BB___HK___AMHS__Others[YearMonth],"2024-09")</f>
        <v>0</v>
      </c>
    </row>
    <row r="81" spans="1:98" ht="14.1" hidden="1">
      <c r="A81" s="30" t="s">
        <v>12</v>
      </c>
      <c r="B81" s="30" t="s">
        <v>2098</v>
      </c>
      <c r="D81" s="50"/>
      <c r="E81" s="605" t="s">
        <v>2126</v>
      </c>
      <c r="F81" s="64" t="s">
        <v>2126</v>
      </c>
      <c r="G81" s="48" t="s">
        <v>1384</v>
      </c>
      <c r="H81" s="50">
        <v>4590007564</v>
      </c>
      <c r="I81" s="30" t="s">
        <v>448</v>
      </c>
      <c r="J81" s="30" t="s">
        <v>2136</v>
      </c>
      <c r="K81" s="62">
        <v>1557</v>
      </c>
      <c r="L81" s="30"/>
      <c r="M81" s="86"/>
      <c r="N81" s="87"/>
      <c r="O81" s="88"/>
      <c r="P8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8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8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81" s="72">
        <f>IF(AR_725[[#This Row],[PO Amount]]=0,1,AR_725[[#This Row],[Total AR (Sent)]]/AR_725[[#This Row],[PO Amount]])</f>
        <v>0</v>
      </c>
      <c r="T81" s="45">
        <f>AR_725[[#This Row],[PO Amount]]-AR_725[[#This Row],[Total AR (Sent)]]</f>
        <v>1557</v>
      </c>
      <c r="U81" s="40"/>
      <c r="V81" s="40"/>
      <c r="W81" s="46"/>
      <c r="X81" s="46"/>
      <c r="Y81" s="46"/>
      <c r="Z81" s="46"/>
      <c r="AA81" s="46"/>
      <c r="AB81" s="40"/>
      <c r="AC81" s="40"/>
      <c r="AD81" s="40"/>
      <c r="AE81" s="46"/>
      <c r="AF81" s="46"/>
      <c r="AG81" s="46"/>
      <c r="AH81" s="46"/>
      <c r="AI81" s="46"/>
      <c r="AJ81" s="46"/>
      <c r="AK81" s="46"/>
      <c r="AL81" s="46"/>
      <c r="AM81" s="46"/>
      <c r="AN81" s="46"/>
      <c r="AO81" s="46"/>
      <c r="AP81" s="46"/>
      <c r="AQ81" s="46"/>
      <c r="AR81" s="41"/>
      <c r="AS81" s="46"/>
      <c r="AT81" s="41"/>
      <c r="AU81" s="41"/>
      <c r="AV81" s="41"/>
      <c r="AW81" s="41"/>
      <c r="AX81" s="41"/>
      <c r="AY81" s="41"/>
      <c r="AZ81" s="41"/>
      <c r="BA81" s="46"/>
      <c r="BB81" s="41"/>
      <c r="BC81" s="41"/>
      <c r="BD81" s="41"/>
      <c r="BE81" s="46"/>
      <c r="BF81" s="41"/>
      <c r="BG81" s="41"/>
      <c r="BH81" s="41"/>
      <c r="BI81" s="41"/>
      <c r="BJ81" s="41"/>
      <c r="BK81" s="41"/>
      <c r="BL81" s="41"/>
      <c r="BM81" s="41"/>
      <c r="BN81" s="41"/>
      <c r="BO81" s="46"/>
      <c r="BP81" s="41"/>
      <c r="BQ81" s="40"/>
      <c r="BR81" s="40"/>
      <c r="BS81" s="40"/>
      <c r="BT81" s="40"/>
      <c r="BU81" s="40"/>
      <c r="BV81" s="40"/>
      <c r="BW81" s="40"/>
      <c r="BX81" s="34"/>
      <c r="BZ81" s="40"/>
      <c r="CA81" s="40"/>
      <c r="CB81" s="34"/>
      <c r="CC81" s="34"/>
      <c r="CD81" s="34"/>
      <c r="CE81" s="34"/>
      <c r="CF81" s="34"/>
      <c r="CG81" s="122"/>
      <c r="CI81" s="122"/>
      <c r="CJ81" s="30"/>
      <c r="CK81" s="122">
        <v>0</v>
      </c>
      <c r="CL81" s="122">
        <v>0</v>
      </c>
      <c r="CM81" s="122">
        <v>0</v>
      </c>
      <c r="CN81" s="122">
        <v>0</v>
      </c>
      <c r="CO81" s="122">
        <f>SUMIFS(BB___HK___AMHS__Others[AR Amount],BB___HK___AMHS__Others[PO No.],AR_725[[#This Row],[tsmc PO '#]],BB___HK___AMHS__Others[Status],"&lt;&gt;Rejected",BB___HK___AMHS__Others[YearMonth],"2024-07")</f>
        <v>0</v>
      </c>
      <c r="CP81" s="122">
        <f>SUMIFS(BB___HK___AMHS__Others[Tax],BB___HK___AMHS__Others[PO No.],AR_725[[#This Row],[tsmc PO '#]],BB___HK___AMHS__Others[Status],"&lt;&gt;Rejected",BB___HK___AMHS__Others[YearMonth],"2024-07")</f>
        <v>0</v>
      </c>
      <c r="CQ81" s="34">
        <f>SUMIFS(BB___HK___AMHS__Others[AR Amount],BB___HK___AMHS__Others[PO No.],AR_725[[#This Row],[tsmc PO '#]],BB___HK___AMHS__Others[Status],"&lt;&gt;Rejected",BB___HK___AMHS__Others[YearMonth],"2024-08")</f>
        <v>0</v>
      </c>
      <c r="CR81" s="44">
        <f>SUMIFS(BB___HK___AMHS__Others[Tax],BB___HK___AMHS__Others[PO No.],AR_725[[#This Row],[tsmc PO '#]],BB___HK___AMHS__Others[Status],"&lt;&gt;Rejected",BB___HK___AMHS__Others[YearMonth],"2024-08")</f>
        <v>0</v>
      </c>
      <c r="CS81" s="62">
        <f>SUMIFS(BB___HK___AMHS__Others[AR Amount],BB___HK___AMHS__Others[PO No.],AR_725[[#This Row],[tsmc PO '#]],BB___HK___AMHS__Others[Status],"&lt;&gt;Rejected",BB___HK___AMHS__Others[YearMonth],"2024-09")</f>
        <v>0</v>
      </c>
      <c r="CT81" s="601">
        <f>SUMIFS(BB___HK___AMHS__Others[Tax],BB___HK___AMHS__Others[PO No.],AR_725[[#This Row],[tsmc PO '#]],BB___HK___AMHS__Others[Status],"&lt;&gt;Rejected",BB___HK___AMHS__Others[YearMonth],"2024-09")</f>
        <v>0</v>
      </c>
    </row>
    <row r="82" spans="1:98" ht="14.1" hidden="1">
      <c r="A82" s="30" t="s">
        <v>9</v>
      </c>
      <c r="B82" s="30" t="s">
        <v>2051</v>
      </c>
      <c r="C82" s="30" t="s">
        <v>42</v>
      </c>
      <c r="D82" s="50" t="s">
        <v>1759</v>
      </c>
      <c r="E82" s="50" t="s">
        <v>2065</v>
      </c>
      <c r="F82" s="64" t="s">
        <v>2074</v>
      </c>
      <c r="G82" s="63" t="s">
        <v>321</v>
      </c>
      <c r="H82" s="50">
        <v>4590007599</v>
      </c>
      <c r="I82" s="30" t="s">
        <v>272</v>
      </c>
      <c r="J82" s="30" t="s">
        <v>270</v>
      </c>
      <c r="K82" s="62">
        <v>2480033</v>
      </c>
      <c r="L82" s="30" t="s">
        <v>2062</v>
      </c>
      <c r="M82" s="86">
        <v>44855</v>
      </c>
      <c r="N82" s="87" t="s">
        <v>2063</v>
      </c>
      <c r="O82" s="88" t="s">
        <v>2056</v>
      </c>
      <c r="P8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2380831.7799999998</v>
      </c>
      <c r="Q8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2380831.7799999998</v>
      </c>
      <c r="R8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2380831.7799999998</v>
      </c>
      <c r="S82" s="72">
        <f>IF(AR_725[[#This Row],[PO Amount]]=0,1,AR_725[[#This Row],[Total AR (Sent)]]/AR_725[[#This Row],[PO Amount]])</f>
        <v>0.960000040322044</v>
      </c>
      <c r="T82" s="45">
        <f>AR_725[[#This Row],[PO Amount]]-AR_725[[#This Row],[Total AR (Sent)]]</f>
        <v>99201.220000000205</v>
      </c>
      <c r="U82" s="40"/>
      <c r="V82" s="40"/>
      <c r="W82" s="46"/>
      <c r="X82" s="46"/>
      <c r="Y82" s="46"/>
      <c r="Z82" s="46"/>
      <c r="AA82" s="46"/>
      <c r="AB82" s="40"/>
      <c r="AC82" s="40"/>
      <c r="AD82" s="40"/>
      <c r="AE82" s="46"/>
      <c r="AF82" s="46"/>
      <c r="AG82" s="46"/>
      <c r="AH82" s="46"/>
      <c r="AI82" s="46"/>
      <c r="AJ82" s="41"/>
      <c r="AK82" s="46"/>
      <c r="AL82" s="46"/>
      <c r="AM82" s="46"/>
      <c r="AN82" s="46"/>
      <c r="AO82" s="46"/>
      <c r="AP82" s="46"/>
      <c r="AQ82" s="46"/>
      <c r="AR82" s="41"/>
      <c r="AS82" s="46"/>
      <c r="AT82" s="41"/>
      <c r="AU82" s="41"/>
      <c r="AV82" s="41"/>
      <c r="AW82" s="41"/>
      <c r="AX82" s="41"/>
      <c r="AY82" s="41"/>
      <c r="AZ82" s="41"/>
      <c r="BA82" s="47">
        <v>2124000</v>
      </c>
      <c r="BB82" s="41"/>
      <c r="BC82" s="42">
        <v>232030</v>
      </c>
      <c r="BD82" s="41"/>
      <c r="BE82" s="46"/>
      <c r="BF82" s="41"/>
      <c r="BG82" s="41"/>
      <c r="BH82" s="41"/>
      <c r="BI82" s="41"/>
      <c r="BJ82" s="41"/>
      <c r="BK82" s="41"/>
      <c r="BL82" s="41"/>
      <c r="BM82" s="41"/>
      <c r="BN82" s="41"/>
      <c r="BO82" s="46"/>
      <c r="BP82" s="41"/>
      <c r="BQ82" s="40"/>
      <c r="BR82" s="40"/>
      <c r="BS82" s="40"/>
      <c r="BT82" s="40"/>
      <c r="BU82" s="40"/>
      <c r="BV82" s="40"/>
      <c r="BW82" s="40"/>
      <c r="BX82" s="34"/>
      <c r="BZ82" s="40"/>
      <c r="CA82" s="40"/>
      <c r="CB82" s="34"/>
      <c r="CC82" s="34"/>
      <c r="CD82" s="34"/>
      <c r="CE82" s="42">
        <v>24801.78</v>
      </c>
      <c r="CF82" s="34"/>
      <c r="CG82" s="122"/>
      <c r="CI82" s="122"/>
      <c r="CJ82" s="30"/>
      <c r="CK82" s="122">
        <v>0</v>
      </c>
      <c r="CL82" s="122">
        <v>0</v>
      </c>
      <c r="CM82" s="122">
        <v>0</v>
      </c>
      <c r="CN82" s="122">
        <v>0</v>
      </c>
      <c r="CO82" s="122">
        <f>SUMIFS(BB___HK___AMHS__Others[AR Amount],BB___HK___AMHS__Others[PO No.],AR_725[[#This Row],[tsmc PO '#]],BB___HK___AMHS__Others[Status],"&lt;&gt;Rejected",BB___HK___AMHS__Others[YearMonth],"2024-07")</f>
        <v>0</v>
      </c>
      <c r="CP82" s="122">
        <f>SUMIFS(BB___HK___AMHS__Others[Tax],BB___HK___AMHS__Others[PO No.],AR_725[[#This Row],[tsmc PO '#]],BB___HK___AMHS__Others[Status],"&lt;&gt;Rejected",BB___HK___AMHS__Others[YearMonth],"2024-07")</f>
        <v>0</v>
      </c>
      <c r="CQ82" s="34">
        <f>SUMIFS(BB___HK___AMHS__Others[AR Amount],BB___HK___AMHS__Others[PO No.],AR_725[[#This Row],[tsmc PO '#]],BB___HK___AMHS__Others[Status],"&lt;&gt;Rejected",BB___HK___AMHS__Others[YearMonth],"2024-08")</f>
        <v>0</v>
      </c>
      <c r="CR82" s="44">
        <f>SUMIFS(BB___HK___AMHS__Others[Tax],BB___HK___AMHS__Others[PO No.],AR_725[[#This Row],[tsmc PO '#]],BB___HK___AMHS__Others[Status],"&lt;&gt;Rejected",BB___HK___AMHS__Others[YearMonth],"2024-08")</f>
        <v>0</v>
      </c>
      <c r="CS82" s="62">
        <f>SUMIFS(BB___HK___AMHS__Others[AR Amount],BB___HK___AMHS__Others[PO No.],AR_725[[#This Row],[tsmc PO '#]],BB___HK___AMHS__Others[Status],"&lt;&gt;Rejected",BB___HK___AMHS__Others[YearMonth],"2024-09")</f>
        <v>0</v>
      </c>
      <c r="CT82" s="601">
        <f>SUMIFS(BB___HK___AMHS__Others[Tax],BB___HK___AMHS__Others[PO No.],AR_725[[#This Row],[tsmc PO '#]],BB___HK___AMHS__Others[Status],"&lt;&gt;Rejected",BB___HK___AMHS__Others[YearMonth],"2024-09")</f>
        <v>0</v>
      </c>
    </row>
    <row r="83" spans="1:98" ht="14.1" hidden="1">
      <c r="A83" s="30" t="s">
        <v>8</v>
      </c>
      <c r="B83" s="30" t="s">
        <v>8</v>
      </c>
      <c r="D83" s="50" t="s">
        <v>8</v>
      </c>
      <c r="E83" s="48" t="s">
        <v>2109</v>
      </c>
      <c r="F83" s="64" t="s">
        <v>2110</v>
      </c>
      <c r="G83" s="50" t="s">
        <v>1316</v>
      </c>
      <c r="H83" s="50">
        <v>4590007785</v>
      </c>
      <c r="I83" s="30" t="s">
        <v>300</v>
      </c>
      <c r="J83" s="30" t="s">
        <v>296</v>
      </c>
      <c r="K83" s="62">
        <v>47460</v>
      </c>
      <c r="L83" s="30" t="s">
        <v>2062</v>
      </c>
      <c r="M83" s="86">
        <v>44862</v>
      </c>
      <c r="N83" s="87" t="s">
        <v>2063</v>
      </c>
      <c r="O83" s="88" t="s">
        <v>2056</v>
      </c>
      <c r="P8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47460</v>
      </c>
      <c r="Q8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47460</v>
      </c>
      <c r="R8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47460</v>
      </c>
      <c r="S83" s="72">
        <f>IF(AR_725[[#This Row],[PO Amount]]=0,1,AR_725[[#This Row],[Total AR (Sent)]]/AR_725[[#This Row],[PO Amount]])</f>
        <v>1</v>
      </c>
      <c r="T83" s="45">
        <f>AR_725[[#This Row],[PO Amount]]-AR_725[[#This Row],[Total AR (Sent)]]</f>
        <v>0</v>
      </c>
      <c r="U83" s="40"/>
      <c r="V83" s="40"/>
      <c r="W83" s="46"/>
      <c r="X83" s="46"/>
      <c r="Y83" s="46"/>
      <c r="Z83" s="46"/>
      <c r="AA83" s="46"/>
      <c r="AB83" s="40"/>
      <c r="AC83" s="40"/>
      <c r="AD83" s="40"/>
      <c r="AE83" s="46"/>
      <c r="AF83" s="46"/>
      <c r="AG83" s="46"/>
      <c r="AH83" s="46"/>
      <c r="AI83" s="46"/>
      <c r="AJ83" s="41"/>
      <c r="AK83" s="46"/>
      <c r="AL83" s="46"/>
      <c r="AM83" s="46"/>
      <c r="AN83" s="46"/>
      <c r="AO83" s="46"/>
      <c r="AP83" s="46"/>
      <c r="AQ83" s="46"/>
      <c r="AR83" s="41"/>
      <c r="AS83" s="46"/>
      <c r="AT83" s="41"/>
      <c r="AU83" s="41"/>
      <c r="AV83" s="41"/>
      <c r="AW83" s="41"/>
      <c r="AX83" s="41"/>
      <c r="AY83" s="41"/>
      <c r="AZ83" s="41"/>
      <c r="BA83" s="46"/>
      <c r="BB83" s="41"/>
      <c r="BC83" s="41"/>
      <c r="BD83" s="41"/>
      <c r="BE83" s="46"/>
      <c r="BF83" s="41"/>
      <c r="BG83" s="41"/>
      <c r="BH83" s="41"/>
      <c r="BI83" s="61">
        <f>47460-47460</f>
        <v>0</v>
      </c>
      <c r="BJ83" s="41"/>
      <c r="BK83" s="41"/>
      <c r="BL83" s="41"/>
      <c r="BM83" s="41"/>
      <c r="BN83" s="41"/>
      <c r="BO83" s="46">
        <v>47460</v>
      </c>
      <c r="BP83" s="41"/>
      <c r="BQ83" s="40"/>
      <c r="BR83" s="40"/>
      <c r="BS83" s="40"/>
      <c r="BT83" s="40"/>
      <c r="BU83" s="40"/>
      <c r="BV83" s="40"/>
      <c r="BW83" s="40"/>
      <c r="BX83" s="34"/>
      <c r="BZ83" s="40"/>
      <c r="CA83" s="40"/>
      <c r="CB83" s="34"/>
      <c r="CC83" s="34"/>
      <c r="CD83" s="34"/>
      <c r="CE83" s="34"/>
      <c r="CF83" s="34"/>
      <c r="CG83" s="122">
        <f>SUMIFS(BB___HK___AMHS__Others[AR Amount],BB___HK___AMHS__Others[PO No.],AR_725[[#This Row],[tsmc PO '#]],BB___HK___AMHS__Others[Status],"&lt;&gt;Rejected",BB___HK___AMHS__Others[YearMonth],"2024-03")</f>
        <v>0</v>
      </c>
      <c r="CI83" s="122">
        <f>SUMIFS(BB___HK___AMHS__Others[AR Amount],BB___HK___AMHS__Others[PO No.],AR_725[[#This Row],[tsmc PO '#]],BB___HK___AMHS__Others[Status],"&lt;&gt;Rejected",BB___HK___AMHS__Others[YearMonth],"2024-04")</f>
        <v>0</v>
      </c>
      <c r="CJ83" s="30"/>
      <c r="CK83" s="122">
        <v>0</v>
      </c>
      <c r="CL83" s="122">
        <v>0</v>
      </c>
      <c r="CM83" s="122">
        <v>0</v>
      </c>
      <c r="CN83" s="122">
        <v>0</v>
      </c>
      <c r="CO83" s="122">
        <f>SUMIFS(BB___HK___AMHS__Others[AR Amount],BB___HK___AMHS__Others[PO No.],AR_725[[#This Row],[tsmc PO '#]],BB___HK___AMHS__Others[Status],"&lt;&gt;Rejected",BB___HK___AMHS__Others[YearMonth],"2024-07")</f>
        <v>0</v>
      </c>
      <c r="CP83" s="122">
        <f>SUMIFS(BB___HK___AMHS__Others[Tax],BB___HK___AMHS__Others[PO No.],AR_725[[#This Row],[tsmc PO '#]],BB___HK___AMHS__Others[Status],"&lt;&gt;Rejected",BB___HK___AMHS__Others[YearMonth],"2024-07")</f>
        <v>0</v>
      </c>
      <c r="CQ83" s="34">
        <f>SUMIFS(BB___HK___AMHS__Others[AR Amount],BB___HK___AMHS__Others[PO No.],AR_725[[#This Row],[tsmc PO '#]],BB___HK___AMHS__Others[Status],"&lt;&gt;Rejected",BB___HK___AMHS__Others[YearMonth],"2024-08")</f>
        <v>0</v>
      </c>
      <c r="CR83" s="44">
        <f>SUMIFS(BB___HK___AMHS__Others[Tax],BB___HK___AMHS__Others[PO No.],AR_725[[#This Row],[tsmc PO '#]],BB___HK___AMHS__Others[Status],"&lt;&gt;Rejected",BB___HK___AMHS__Others[YearMonth],"2024-08")</f>
        <v>0</v>
      </c>
      <c r="CS83" s="62">
        <f>SUMIFS(BB___HK___AMHS__Others[AR Amount],BB___HK___AMHS__Others[PO No.],AR_725[[#This Row],[tsmc PO '#]],BB___HK___AMHS__Others[Status],"&lt;&gt;Rejected",BB___HK___AMHS__Others[YearMonth],"2024-09")</f>
        <v>0</v>
      </c>
      <c r="CT83" s="601">
        <f>SUMIFS(BB___HK___AMHS__Others[Tax],BB___HK___AMHS__Others[PO No.],AR_725[[#This Row],[tsmc PO '#]],BB___HK___AMHS__Others[Status],"&lt;&gt;Rejected",BB___HK___AMHS__Others[YearMonth],"2024-09")</f>
        <v>0</v>
      </c>
    </row>
    <row r="84" spans="1:98" ht="14.1" hidden="1">
      <c r="A84" s="30" t="s">
        <v>8</v>
      </c>
      <c r="B84" s="30" t="s">
        <v>8</v>
      </c>
      <c r="D84" s="50" t="s">
        <v>8</v>
      </c>
      <c r="E84" s="604" t="s">
        <v>2109</v>
      </c>
      <c r="F84" s="64" t="s">
        <v>2110</v>
      </c>
      <c r="G84" s="64" t="s">
        <v>1768</v>
      </c>
      <c r="H84" s="50">
        <v>4590007798</v>
      </c>
      <c r="I84" s="30" t="s">
        <v>300</v>
      </c>
      <c r="J84" s="30" t="s">
        <v>2137</v>
      </c>
      <c r="K84" s="62">
        <v>377825.6</v>
      </c>
      <c r="L84" s="30"/>
      <c r="M84" s="86">
        <v>44862</v>
      </c>
      <c r="N84" s="87" t="s">
        <v>2063</v>
      </c>
      <c r="O84" s="88"/>
      <c r="P8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111872</v>
      </c>
      <c r="Q8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8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111872</v>
      </c>
      <c r="S84" s="72">
        <f>IF(AR_725[[#This Row],[PO Amount]]=0,1,AR_725[[#This Row],[Total AR (Sent)]]/AR_725[[#This Row],[PO Amount]])</f>
        <v>0.29609428265316062</v>
      </c>
      <c r="T84" s="45">
        <f>AR_725[[#This Row],[PO Amount]]-AR_725[[#This Row],[Total AR (Sent)]]</f>
        <v>265953.59999999998</v>
      </c>
      <c r="U84" s="40"/>
      <c r="V84" s="40"/>
      <c r="W84" s="46"/>
      <c r="X84" s="46"/>
      <c r="Y84" s="46"/>
      <c r="Z84" s="46"/>
      <c r="AA84" s="46"/>
      <c r="AB84" s="40"/>
      <c r="AC84" s="40"/>
      <c r="AD84" s="40"/>
      <c r="AE84" s="46"/>
      <c r="AF84" s="46"/>
      <c r="AG84" s="46"/>
      <c r="AH84" s="46"/>
      <c r="AI84" s="41"/>
      <c r="AJ84" s="41"/>
      <c r="AK84" s="41"/>
      <c r="AL84" s="46"/>
      <c r="AM84" s="46"/>
      <c r="AN84" s="46"/>
      <c r="AO84" s="46"/>
      <c r="AP84" s="46"/>
      <c r="AQ84" s="46"/>
      <c r="AR84" s="41"/>
      <c r="AS84" s="46"/>
      <c r="AT84" s="41"/>
      <c r="AU84" s="41"/>
      <c r="AV84" s="41"/>
      <c r="AW84" s="41"/>
      <c r="AX84" s="41"/>
      <c r="AY84" s="41"/>
      <c r="AZ84" s="41"/>
      <c r="BA84" s="46"/>
      <c r="BB84" s="41"/>
      <c r="BC84" s="41"/>
      <c r="BD84" s="41"/>
      <c r="BE84" s="46"/>
      <c r="BF84" s="41"/>
      <c r="BG84" s="40"/>
      <c r="BH84" s="41"/>
      <c r="BI84" s="61">
        <f>18891-18891</f>
        <v>0</v>
      </c>
      <c r="BJ84" s="41"/>
      <c r="BK84" s="41"/>
      <c r="BL84" s="41"/>
      <c r="BM84" s="41"/>
      <c r="BN84" s="41"/>
      <c r="BO84" s="46">
        <f>18891-18891</f>
        <v>0</v>
      </c>
      <c r="BP84" s="41"/>
      <c r="BQ84" s="40"/>
      <c r="BR84" s="40"/>
      <c r="BS84" s="40"/>
      <c r="BT84" s="40"/>
      <c r="BU84" s="40"/>
      <c r="BV84" s="40"/>
      <c r="BW84" s="40"/>
      <c r="BX84" s="34"/>
      <c r="BY84" s="77">
        <f>56674-56674</f>
        <v>0</v>
      </c>
      <c r="BZ84" s="40"/>
      <c r="CA84" s="40"/>
      <c r="CB84" s="34"/>
      <c r="CC84" s="34"/>
      <c r="CD84" s="34"/>
      <c r="CE84" s="34"/>
      <c r="CF84" s="34"/>
      <c r="CG84" s="122">
        <f>SUMIFS(BB___HK___AMHS__Others[AR Amount],BB___HK___AMHS__Others[PO No.],AR_725[[#This Row],[tsmc PO '#]],BB___HK___AMHS__Others[Status],"&lt;&gt;Rejected",BB___HK___AMHS__Others[YearMonth],"2024-03")</f>
        <v>0</v>
      </c>
      <c r="CI84" s="122">
        <f>SUMIFS(BB___HK___AMHS__Others[AR Amount],BB___HK___AMHS__Others[PO No.],AR_725[[#This Row],[tsmc PO '#]],BB___HK___AMHS__Others[Status],"&lt;&gt;Rejected",BB___HK___AMHS__Others[YearMonth],"2024-04")</f>
        <v>0</v>
      </c>
      <c r="CJ84" s="30"/>
      <c r="CK84" s="122">
        <v>0</v>
      </c>
      <c r="CL84" s="122">
        <v>0</v>
      </c>
      <c r="CM84" s="122">
        <v>0</v>
      </c>
      <c r="CN84" s="122">
        <v>0</v>
      </c>
      <c r="CO84" s="34">
        <f>SUMIFS(BB___HK___AMHS__Others[AR Amount],BB___HK___AMHS__Others[PO No.],AR_725[[#This Row],[tsmc PO '#]],BB___HK___AMHS__Others[Status],"&lt;&gt;Rejected",BB___HK___AMHS__Others[YearMonth],"2024-07")</f>
        <v>0</v>
      </c>
      <c r="CP84" s="122">
        <f>SUMIFS(BB___HK___AMHS__Others[Tax],BB___HK___AMHS__Others[PO No.],AR_725[[#This Row],[tsmc PO '#]],BB___HK___AMHS__Others[Status],"&lt;&gt;Rejected",BB___HK___AMHS__Others[YearMonth],"2024-07")</f>
        <v>0</v>
      </c>
      <c r="CQ84" s="34">
        <f>SUMIFS(BB___HK___AMHS__Others[AR Amount],BB___HK___AMHS__Others[PO No.],AR_725[[#This Row],[tsmc PO '#]],BB___HK___AMHS__Others[Status],"&lt;&gt;Rejected",BB___HK___AMHS__Others[YearMonth],"2024-08")</f>
        <v>111872</v>
      </c>
      <c r="CR84" s="44">
        <f>SUMIFS(BB___HK___AMHS__Others[Tax],BB___HK___AMHS__Others[PO No.],AR_725[[#This Row],[tsmc PO '#]],BB___HK___AMHS__Others[Status],"&lt;&gt;Rejected",BB___HK___AMHS__Others[YearMonth],"2024-08")</f>
        <v>0</v>
      </c>
      <c r="CS84" s="62">
        <f>SUMIFS(BB___HK___AMHS__Others[AR Amount],BB___HK___AMHS__Others[PO No.],AR_725[[#This Row],[tsmc PO '#]],BB___HK___AMHS__Others[Status],"&lt;&gt;Rejected",BB___HK___AMHS__Others[YearMonth],"2024-09")</f>
        <v>0</v>
      </c>
      <c r="CT84" s="601">
        <f>SUMIFS(BB___HK___AMHS__Others[Tax],BB___HK___AMHS__Others[PO No.],AR_725[[#This Row],[tsmc PO '#]],BB___HK___AMHS__Others[Status],"&lt;&gt;Rejected",BB___HK___AMHS__Others[YearMonth],"2024-09")</f>
        <v>0</v>
      </c>
    </row>
    <row r="85" spans="1:98" ht="14.1">
      <c r="A85" s="30" t="s">
        <v>11</v>
      </c>
      <c r="B85" s="30" t="s">
        <v>2051</v>
      </c>
      <c r="D85" s="50" t="s">
        <v>1759</v>
      </c>
      <c r="E85" s="50" t="s">
        <v>2065</v>
      </c>
      <c r="F85" s="66" t="s">
        <v>2074</v>
      </c>
      <c r="G85" s="32" t="s">
        <v>321</v>
      </c>
      <c r="H85" s="50">
        <v>4590008082</v>
      </c>
      <c r="I85" s="30" t="s">
        <v>122</v>
      </c>
      <c r="J85" s="30" t="s">
        <v>324</v>
      </c>
      <c r="K85" s="62">
        <v>4770930</v>
      </c>
      <c r="L85" s="30"/>
      <c r="M85" s="86">
        <v>44869</v>
      </c>
      <c r="N85" s="87" t="s">
        <v>2059</v>
      </c>
      <c r="O85" s="88" t="s">
        <v>2056</v>
      </c>
      <c r="P8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2278211</v>
      </c>
      <c r="Q8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838436</v>
      </c>
      <c r="R8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1494630</v>
      </c>
      <c r="S85" s="72">
        <f>IF(AR_725[[#This Row],[PO Amount]]=0,1,AR_725[[#This Row],[Total AR (Sent)]]/AR_725[[#This Row],[PO Amount]])</f>
        <v>0.47751926773186781</v>
      </c>
      <c r="T85" s="45">
        <f>AR_725[[#This Row],[PO Amount]]-AR_725[[#This Row],[Total AR (Sent)]]</f>
        <v>2492719</v>
      </c>
      <c r="U85" s="40"/>
      <c r="V85" s="40"/>
      <c r="W85" s="46"/>
      <c r="X85" s="46"/>
      <c r="Y85" s="46"/>
      <c r="Z85" s="46"/>
      <c r="AA85" s="46"/>
      <c r="AB85" s="40"/>
      <c r="AC85" s="40"/>
      <c r="AD85" s="40"/>
      <c r="AE85" s="46"/>
      <c r="AF85" s="46"/>
      <c r="AG85" s="46"/>
      <c r="AH85" s="46"/>
      <c r="AI85" s="46"/>
      <c r="AJ85" s="41"/>
      <c r="AK85" s="46"/>
      <c r="AL85" s="46"/>
      <c r="AM85" s="46"/>
      <c r="AN85" s="46"/>
      <c r="AO85" s="46"/>
      <c r="AP85" s="46"/>
      <c r="AQ85" s="46"/>
      <c r="AR85" s="41"/>
      <c r="AS85" s="46"/>
      <c r="AT85" s="41"/>
      <c r="AU85" s="41"/>
      <c r="AV85" s="41"/>
      <c r="AW85" s="41"/>
      <c r="AX85" s="41"/>
      <c r="AY85" s="41"/>
      <c r="AZ85" s="41"/>
      <c r="BA85" s="46"/>
      <c r="BB85" s="41"/>
      <c r="BC85" s="41"/>
      <c r="BD85" s="41"/>
      <c r="BE85" s="47">
        <v>543706</v>
      </c>
      <c r="BF85" s="41"/>
      <c r="BG85" s="41"/>
      <c r="BH85" s="41"/>
      <c r="BI85" s="41"/>
      <c r="BJ85" s="41"/>
      <c r="BK85" s="41"/>
      <c r="BL85" s="41"/>
      <c r="BM85" s="41"/>
      <c r="BN85" s="41"/>
      <c r="BO85" s="46"/>
      <c r="BP85" s="41"/>
      <c r="BQ85" s="40"/>
      <c r="BR85" s="40"/>
      <c r="BS85" s="40"/>
      <c r="BT85" s="40"/>
      <c r="BU85" s="40"/>
      <c r="BV85" s="40"/>
      <c r="BW85" s="40"/>
      <c r="BX85" s="34"/>
      <c r="BZ85" s="40"/>
      <c r="CA85" s="47">
        <v>177982</v>
      </c>
      <c r="CB85" s="34"/>
      <c r="CC85" s="34"/>
      <c r="CD85" s="34"/>
      <c r="CE85" s="42">
        <v>116748</v>
      </c>
      <c r="CF85" s="34"/>
      <c r="CG85" s="122"/>
      <c r="CI85" s="116">
        <v>148812</v>
      </c>
      <c r="CJ85" s="30"/>
      <c r="CK85" s="122">
        <v>119205</v>
      </c>
      <c r="CL85" s="122">
        <v>0</v>
      </c>
      <c r="CM85" s="122">
        <v>388177</v>
      </c>
      <c r="CN85" s="122">
        <v>0</v>
      </c>
      <c r="CO85" s="122">
        <f>SUMIFS(BB___HK___AMHS__Others[AR Amount],BB___HK___AMHS__Others[PO No.],AR_725[[#This Row],[tsmc PO '#]],BB___HK___AMHS__Others[Status],"&lt;&gt;Rejected",BB___HK___AMHS__Others[YearMonth],"2024-07")</f>
        <v>0</v>
      </c>
      <c r="CP85" s="122">
        <f>SUMIFS(BB___HK___AMHS__Others[Tax],BB___HK___AMHS__Others[PO No.],AR_725[[#This Row],[tsmc PO '#]],BB___HK___AMHS__Others[Status],"&lt;&gt;Rejected",BB___HK___AMHS__Others[YearMonth],"2024-07")</f>
        <v>0</v>
      </c>
      <c r="CQ85" s="34">
        <f>SUMIFS(BB___HK___AMHS__Others[AR Amount],BB___HK___AMHS__Others[PO No.],AR_725[[#This Row],[tsmc PO '#]],BB___HK___AMHS__Others[Status],"&lt;&gt;Rejected",BB___HK___AMHS__Others[YearMonth],"2024-08")</f>
        <v>0</v>
      </c>
      <c r="CR85" s="44">
        <f>SUMIFS(BB___HK___AMHS__Others[Tax],BB___HK___AMHS__Others[PO No.],AR_725[[#This Row],[tsmc PO '#]],BB___HK___AMHS__Others[Status],"&lt;&gt;Rejected",BB___HK___AMHS__Others[YearMonth],"2024-08")</f>
        <v>0</v>
      </c>
      <c r="CS85" s="62">
        <f>SUMIFS(BB___HK___AMHS__Others[AR Amount],BB___HK___AMHS__Others[PO No.],AR_725[[#This Row],[tsmc PO '#]],BB___HK___AMHS__Others[Status],"&lt;&gt;Rejected",BB___HK___AMHS__Others[YearMonth],"2024-09")</f>
        <v>783581</v>
      </c>
      <c r="CT85" s="601">
        <f>SUMIFS(BB___HK___AMHS__Others[Tax],BB___HK___AMHS__Others[PO No.],AR_725[[#This Row],[tsmc PO '#]],BB___HK___AMHS__Others[Status],"&lt;&gt;Rejected",BB___HK___AMHS__Others[YearMonth],"2024-09")</f>
        <v>0</v>
      </c>
    </row>
    <row r="86" spans="1:98" ht="14.1" hidden="1">
      <c r="A86" s="30" t="s">
        <v>8</v>
      </c>
      <c r="B86" s="30" t="s">
        <v>8</v>
      </c>
      <c r="D86" s="50" t="s">
        <v>8</v>
      </c>
      <c r="E86" s="48" t="s">
        <v>2109</v>
      </c>
      <c r="F86" s="66" t="s">
        <v>2110</v>
      </c>
      <c r="G86" s="50" t="s">
        <v>1316</v>
      </c>
      <c r="H86" s="50">
        <v>4590008087</v>
      </c>
      <c r="I86" s="30" t="s">
        <v>300</v>
      </c>
      <c r="J86" s="30" t="s">
        <v>520</v>
      </c>
      <c r="K86" s="62">
        <v>162769</v>
      </c>
      <c r="L86" s="30"/>
      <c r="M86" s="86"/>
      <c r="N86" s="87"/>
      <c r="O86" s="88"/>
      <c r="P8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162769</v>
      </c>
      <c r="Q8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162769</v>
      </c>
      <c r="R8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162769</v>
      </c>
      <c r="S86" s="72">
        <f>IF(AR_725[[#This Row],[PO Amount]]=0,1,AR_725[[#This Row],[Total AR (Sent)]]/AR_725[[#This Row],[PO Amount]])</f>
        <v>1</v>
      </c>
      <c r="T86" s="45">
        <f>AR_725[[#This Row],[PO Amount]]-AR_725[[#This Row],[Total AR (Sent)]]</f>
        <v>0</v>
      </c>
      <c r="U86" s="40"/>
      <c r="V86" s="40"/>
      <c r="W86" s="46"/>
      <c r="X86" s="46"/>
      <c r="Y86" s="46"/>
      <c r="Z86" s="46"/>
      <c r="AA86" s="46"/>
      <c r="AB86" s="40"/>
      <c r="AC86" s="40"/>
      <c r="AD86" s="40"/>
      <c r="AE86" s="46"/>
      <c r="AF86" s="46"/>
      <c r="AG86" s="46"/>
      <c r="AH86" s="46"/>
      <c r="AI86" s="41"/>
      <c r="AJ86" s="41"/>
      <c r="AK86" s="41"/>
      <c r="AL86" s="46"/>
      <c r="AM86" s="46"/>
      <c r="AN86" s="46"/>
      <c r="AO86" s="46"/>
      <c r="AP86" s="46"/>
      <c r="AQ86" s="46"/>
      <c r="AR86" s="41"/>
      <c r="AS86" s="46"/>
      <c r="AT86" s="41"/>
      <c r="AU86" s="41"/>
      <c r="AV86" s="41"/>
      <c r="AW86" s="41"/>
      <c r="AX86" s="41"/>
      <c r="AY86" s="41"/>
      <c r="AZ86" s="41"/>
      <c r="BA86" s="46"/>
      <c r="BB86" s="41"/>
      <c r="BC86" s="41"/>
      <c r="BD86" s="41"/>
      <c r="BE86" s="47">
        <v>32554</v>
      </c>
      <c r="BF86" s="41"/>
      <c r="BG86" s="41"/>
      <c r="BH86" s="41"/>
      <c r="BI86" s="41"/>
      <c r="BJ86" s="41"/>
      <c r="BK86" s="41"/>
      <c r="BL86" s="41"/>
      <c r="BM86" s="41"/>
      <c r="BN86" s="41"/>
      <c r="BO86" s="46"/>
      <c r="BP86" s="41"/>
      <c r="BQ86" s="40"/>
      <c r="BR86" s="40"/>
      <c r="BS86" s="40"/>
      <c r="BT86" s="40"/>
      <c r="BU86" s="40"/>
      <c r="BV86" s="40"/>
      <c r="BW86" s="40"/>
      <c r="BX86" s="34"/>
      <c r="BZ86" s="40"/>
      <c r="CA86" s="70">
        <f>130215</f>
        <v>130215</v>
      </c>
      <c r="CB86" s="34"/>
      <c r="CC86" s="34"/>
      <c r="CD86" s="34"/>
      <c r="CE86" s="34"/>
      <c r="CF86" s="34"/>
      <c r="CG86" s="122">
        <f>SUMIFS(BB___HK___AMHS__Others[AR Amount],BB___HK___AMHS__Others[PO No.],AR_725[[#This Row],[tsmc PO '#]],BB___HK___AMHS__Others[Status],"&lt;&gt;Rejected",BB___HK___AMHS__Others[YearMonth],"2024-03")</f>
        <v>0</v>
      </c>
      <c r="CH86" s="30" t="s">
        <v>2068</v>
      </c>
      <c r="CI86" s="122">
        <f>SUMIFS(BB___HK___AMHS__Others[AR Amount],BB___HK___AMHS__Others[PO No.],AR_725[[#This Row],[tsmc PO '#]],BB___HK___AMHS__Others[Status],"&lt;&gt;Rejected",BB___HK___AMHS__Others[YearMonth],"2024-04")</f>
        <v>0</v>
      </c>
      <c r="CJ86" s="30"/>
      <c r="CK86" s="122">
        <v>0</v>
      </c>
      <c r="CL86" s="122">
        <v>0</v>
      </c>
      <c r="CM86" s="122">
        <v>0</v>
      </c>
      <c r="CN86" s="122">
        <v>0</v>
      </c>
      <c r="CO86" s="122">
        <f>SUMIFS(BB___HK___AMHS__Others[AR Amount],BB___HK___AMHS__Others[PO No.],AR_725[[#This Row],[tsmc PO '#]],BB___HK___AMHS__Others[Status],"&lt;&gt;Rejected",BB___HK___AMHS__Others[YearMonth],"2024-07")</f>
        <v>0</v>
      </c>
      <c r="CP86" s="122">
        <f>SUMIFS(BB___HK___AMHS__Others[Tax],BB___HK___AMHS__Others[PO No.],AR_725[[#This Row],[tsmc PO '#]],BB___HK___AMHS__Others[Status],"&lt;&gt;Rejected",BB___HK___AMHS__Others[YearMonth],"2024-07")</f>
        <v>0</v>
      </c>
      <c r="CQ86" s="34">
        <f>SUMIFS(BB___HK___AMHS__Others[AR Amount],BB___HK___AMHS__Others[PO No.],AR_725[[#This Row],[tsmc PO '#]],BB___HK___AMHS__Others[Status],"&lt;&gt;Rejected",BB___HK___AMHS__Others[YearMonth],"2024-08")</f>
        <v>0</v>
      </c>
      <c r="CR86" s="44">
        <f>SUMIFS(BB___HK___AMHS__Others[Tax],BB___HK___AMHS__Others[PO No.],AR_725[[#This Row],[tsmc PO '#]],BB___HK___AMHS__Others[Status],"&lt;&gt;Rejected",BB___HK___AMHS__Others[YearMonth],"2024-08")</f>
        <v>0</v>
      </c>
      <c r="CS86" s="62">
        <f>SUMIFS(BB___HK___AMHS__Others[AR Amount],BB___HK___AMHS__Others[PO No.],AR_725[[#This Row],[tsmc PO '#]],BB___HK___AMHS__Others[Status],"&lt;&gt;Rejected",BB___HK___AMHS__Others[YearMonth],"2024-09")</f>
        <v>0</v>
      </c>
      <c r="CT86" s="601">
        <f>SUMIFS(BB___HK___AMHS__Others[Tax],BB___HK___AMHS__Others[PO No.],AR_725[[#This Row],[tsmc PO '#]],BB___HK___AMHS__Others[Status],"&lt;&gt;Rejected",BB___HK___AMHS__Others[YearMonth],"2024-09")</f>
        <v>0</v>
      </c>
    </row>
    <row r="87" spans="1:98" ht="14.1" hidden="1">
      <c r="A87" s="30" t="s">
        <v>10</v>
      </c>
      <c r="B87" s="30" t="s">
        <v>10</v>
      </c>
      <c r="D87" s="50" t="s">
        <v>1546</v>
      </c>
      <c r="E87" s="605" t="s">
        <v>2052</v>
      </c>
      <c r="F87" s="66" t="s">
        <v>2053</v>
      </c>
      <c r="G87" s="63" t="s">
        <v>314</v>
      </c>
      <c r="H87" s="50">
        <v>4590008115</v>
      </c>
      <c r="I87" s="30" t="s">
        <v>584</v>
      </c>
      <c r="J87" s="30" t="s">
        <v>650</v>
      </c>
      <c r="K87" s="62">
        <v>164514.35999999999</v>
      </c>
      <c r="L87" s="30"/>
      <c r="M87" s="86"/>
      <c r="N87" s="87"/>
      <c r="O87" s="88"/>
      <c r="P8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119231.30000000002</v>
      </c>
      <c r="Q8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69266</v>
      </c>
      <c r="R8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119231.30000000002</v>
      </c>
      <c r="S87" s="72">
        <f>IF(AR_725[[#This Row],[PO Amount]]=0,1,AR_725[[#This Row],[Total AR (Sent)]]/AR_725[[#This Row],[PO Amount]])</f>
        <v>0.72474706767239061</v>
      </c>
      <c r="T87" s="45">
        <f>AR_725[[#This Row],[PO Amount]]-AR_725[[#This Row],[Total AR (Sent)]]</f>
        <v>45283.059999999969</v>
      </c>
      <c r="U87" s="40"/>
      <c r="V87" s="40"/>
      <c r="W87" s="46"/>
      <c r="X87" s="46"/>
      <c r="Y87" s="46"/>
      <c r="Z87" s="46"/>
      <c r="AA87" s="46"/>
      <c r="AB87" s="40"/>
      <c r="AC87" s="40"/>
      <c r="AD87" s="40"/>
      <c r="AE87" s="46"/>
      <c r="AF87" s="46"/>
      <c r="AG87" s="46"/>
      <c r="AH87" s="46"/>
      <c r="AI87" s="46"/>
      <c r="AJ87" s="41"/>
      <c r="AK87" s="46"/>
      <c r="AL87" s="46"/>
      <c r="AM87" s="46"/>
      <c r="AN87" s="46"/>
      <c r="AO87" s="46"/>
      <c r="AP87" s="46"/>
      <c r="AQ87" s="46"/>
      <c r="AR87" s="41"/>
      <c r="AS87" s="46"/>
      <c r="AT87" s="41"/>
      <c r="AU87" s="41"/>
      <c r="AV87" s="41"/>
      <c r="AW87" s="41"/>
      <c r="AX87" s="41"/>
      <c r="AY87" s="41"/>
      <c r="AZ87" s="41"/>
      <c r="BA87" s="46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6"/>
      <c r="BP87" s="41"/>
      <c r="BQ87" s="40"/>
      <c r="BR87" s="40"/>
      <c r="BS87" s="40"/>
      <c r="BT87" s="40"/>
      <c r="BU87" s="40"/>
      <c r="BV87" s="40"/>
      <c r="BW87" s="40"/>
      <c r="BX87" s="34"/>
      <c r="BY87" s="47">
        <v>69266</v>
      </c>
      <c r="BZ87" s="42">
        <v>3872</v>
      </c>
      <c r="CA87" s="40"/>
      <c r="CB87" s="34"/>
      <c r="CC87" s="34"/>
      <c r="CD87" s="34"/>
      <c r="CE87" s="34"/>
      <c r="CF87" s="34"/>
      <c r="CG87" s="122"/>
      <c r="CI87" s="116">
        <v>13358.49</v>
      </c>
      <c r="CJ87" s="330">
        <v>716.85</v>
      </c>
      <c r="CK87" s="122">
        <v>6732.13</v>
      </c>
      <c r="CL87" s="122">
        <v>0</v>
      </c>
      <c r="CM87" s="122">
        <v>0</v>
      </c>
      <c r="CN87" s="122">
        <v>0</v>
      </c>
      <c r="CO87" s="34">
        <f>SUMIFS(BB___HK___AMHS__Others[AR Amount],BB___HK___AMHS__Others[PO No.],AR_725[[#This Row],[tsmc PO '#]],BB___HK___AMHS__Others[Status],"&lt;&gt;Rejected",BB___HK___AMHS__Others[YearMonth],"2024-07")</f>
        <v>0</v>
      </c>
      <c r="CP87" s="122">
        <f>SUMIFS(BB___HK___AMHS__Others[Tax],BB___HK___AMHS__Others[PO No.],AR_725[[#This Row],[tsmc PO '#]],BB___HK___AMHS__Others[Status],"&lt;&gt;Rejected",BB___HK___AMHS__Others[YearMonth],"2024-07")</f>
        <v>0</v>
      </c>
      <c r="CQ87" s="34">
        <f>SUMIFS(BB___HK___AMHS__Others[AR Amount],BB___HK___AMHS__Others[PO No.],AR_725[[#This Row],[tsmc PO '#]],BB___HK___AMHS__Others[Status],"&lt;&gt;Rejected",BB___HK___AMHS__Others[YearMonth],"2024-08")</f>
        <v>29874.68</v>
      </c>
      <c r="CR87" s="44">
        <f>SUMIFS(BB___HK___AMHS__Others[Tax],BB___HK___AMHS__Others[PO No.],AR_725[[#This Row],[tsmc PO '#]],BB___HK___AMHS__Others[Status],"&lt;&gt;Rejected",BB___HK___AMHS__Others[YearMonth],"2024-08")</f>
        <v>1664.65</v>
      </c>
      <c r="CS87" s="62">
        <f>SUMIFS(BB___HK___AMHS__Others[AR Amount],BB___HK___AMHS__Others[PO No.],AR_725[[#This Row],[tsmc PO '#]],BB___HK___AMHS__Others[Status],"&lt;&gt;Rejected",BB___HK___AMHS__Others[YearMonth],"2024-09")</f>
        <v>0</v>
      </c>
      <c r="CT87" s="601">
        <f>SUMIFS(BB___HK___AMHS__Others[Tax],BB___HK___AMHS__Others[PO No.],AR_725[[#This Row],[tsmc PO '#]],BB___HK___AMHS__Others[Status],"&lt;&gt;Rejected",BB___HK___AMHS__Others[YearMonth],"2024-09")</f>
        <v>0</v>
      </c>
    </row>
    <row r="88" spans="1:98" ht="14.1" hidden="1">
      <c r="A88" s="30" t="s">
        <v>10</v>
      </c>
      <c r="B88" s="30" t="s">
        <v>10</v>
      </c>
      <c r="D88" s="50" t="s">
        <v>1546</v>
      </c>
      <c r="E88" s="63" t="s">
        <v>2052</v>
      </c>
      <c r="F88" s="64" t="s">
        <v>2053</v>
      </c>
      <c r="G88" s="63" t="s">
        <v>314</v>
      </c>
      <c r="H88" s="50">
        <v>4590008116</v>
      </c>
      <c r="I88" s="30" t="s">
        <v>584</v>
      </c>
      <c r="J88" s="30" t="s">
        <v>652</v>
      </c>
      <c r="K88" s="62">
        <v>99351.1</v>
      </c>
      <c r="L88" s="30"/>
      <c r="M88" s="86"/>
      <c r="N88" s="87"/>
      <c r="O88" s="88"/>
      <c r="P8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88925.86</v>
      </c>
      <c r="Q8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55726</v>
      </c>
      <c r="R8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88925.86</v>
      </c>
      <c r="S88" s="72">
        <f>IF(AR_725[[#This Row],[PO Amount]]=0,1,AR_725[[#This Row],[Total AR (Sent)]]/AR_725[[#This Row],[PO Amount]])</f>
        <v>0.8950666877367236</v>
      </c>
      <c r="T88" s="45">
        <f>AR_725[[#This Row],[PO Amount]]-AR_725[[#This Row],[Total AR (Sent)]]</f>
        <v>10425.240000000005</v>
      </c>
      <c r="U88" s="40"/>
      <c r="V88" s="40"/>
      <c r="W88" s="46"/>
      <c r="X88" s="46"/>
      <c r="Y88" s="46"/>
      <c r="Z88" s="46"/>
      <c r="AA88" s="46"/>
      <c r="AB88" s="40"/>
      <c r="AC88" s="40"/>
      <c r="AD88" s="40"/>
      <c r="AE88" s="46"/>
      <c r="AF88" s="46"/>
      <c r="AG88" s="46"/>
      <c r="AH88" s="46"/>
      <c r="AI88" s="46"/>
      <c r="AJ88" s="41"/>
      <c r="AK88" s="46"/>
      <c r="AL88" s="46"/>
      <c r="AM88" s="46"/>
      <c r="AN88" s="46"/>
      <c r="AO88" s="46"/>
      <c r="AP88" s="46"/>
      <c r="AQ88" s="46"/>
      <c r="AR88" s="41"/>
      <c r="AS88" s="46"/>
      <c r="AT88" s="41"/>
      <c r="AU88" s="41"/>
      <c r="AV88" s="41"/>
      <c r="AW88" s="41"/>
      <c r="AX88" s="41"/>
      <c r="AY88" s="41"/>
      <c r="AZ88" s="41"/>
      <c r="BA88" s="46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6"/>
      <c r="BP88" s="41"/>
      <c r="BQ88" s="40"/>
      <c r="BR88" s="40"/>
      <c r="BS88" s="40"/>
      <c r="BT88" s="40"/>
      <c r="BU88" s="40"/>
      <c r="BV88" s="40"/>
      <c r="BW88" s="40"/>
      <c r="BX88" s="34"/>
      <c r="BY88" s="47">
        <v>55726</v>
      </c>
      <c r="BZ88" s="42">
        <v>3115</v>
      </c>
      <c r="CA88" s="40"/>
      <c r="CB88" s="34"/>
      <c r="CC88" s="34"/>
      <c r="CD88" s="34"/>
      <c r="CE88" s="34"/>
      <c r="CF88" s="34"/>
      <c r="CG88" s="122"/>
      <c r="CI88" s="116">
        <v>12206.62</v>
      </c>
      <c r="CJ88" s="330">
        <v>647.54</v>
      </c>
      <c r="CK88" s="122">
        <v>0</v>
      </c>
      <c r="CL88" s="122">
        <v>0</v>
      </c>
      <c r="CM88" s="122">
        <v>0</v>
      </c>
      <c r="CN88" s="122">
        <v>0</v>
      </c>
      <c r="CO88" s="34">
        <f>SUMIFS(BB___HK___AMHS__Others[AR Amount],BB___HK___AMHS__Others[PO No.],AR_725[[#This Row],[tsmc PO '#]],BB___HK___AMHS__Others[Status],"&lt;&gt;Rejected",BB___HK___AMHS__Others[YearMonth],"2024-07")</f>
        <v>0</v>
      </c>
      <c r="CP88" s="122">
        <f>SUMIFS(BB___HK___AMHS__Others[Tax],BB___HK___AMHS__Others[PO No.],AR_725[[#This Row],[tsmc PO '#]],BB___HK___AMHS__Others[Status],"&lt;&gt;Rejected",BB___HK___AMHS__Others[YearMonth],"2024-07")</f>
        <v>0</v>
      </c>
      <c r="CQ88" s="34">
        <f>SUMIFS(BB___HK___AMHS__Others[AR Amount],BB___HK___AMHS__Others[PO No.],AR_725[[#This Row],[tsmc PO '#]],BB___HK___AMHS__Others[Status],"&lt;&gt;Rejected",BB___HK___AMHS__Others[YearMonth],"2024-08")</f>
        <v>20993.24</v>
      </c>
      <c r="CR88" s="44">
        <f>SUMIFS(BB___HK___AMHS__Others[Tax],BB___HK___AMHS__Others[PO No.],AR_725[[#This Row],[tsmc PO '#]],BB___HK___AMHS__Others[Status],"&lt;&gt;Rejected",BB___HK___AMHS__Others[YearMonth],"2024-08")</f>
        <v>1169.6300000000001</v>
      </c>
      <c r="CS88" s="62">
        <f>SUMIFS(BB___HK___AMHS__Others[AR Amount],BB___HK___AMHS__Others[PO No.],AR_725[[#This Row],[tsmc PO '#]],BB___HK___AMHS__Others[Status],"&lt;&gt;Rejected",BB___HK___AMHS__Others[YearMonth],"2024-09")</f>
        <v>0</v>
      </c>
      <c r="CT88" s="601">
        <f>SUMIFS(BB___HK___AMHS__Others[Tax],BB___HK___AMHS__Others[PO No.],AR_725[[#This Row],[tsmc PO '#]],BB___HK___AMHS__Others[Status],"&lt;&gt;Rejected",BB___HK___AMHS__Others[YearMonth],"2024-09")</f>
        <v>0</v>
      </c>
    </row>
    <row r="89" spans="1:98" ht="14.1" hidden="1">
      <c r="A89" s="30" t="s">
        <v>19</v>
      </c>
      <c r="B89" s="30" t="s">
        <v>19</v>
      </c>
      <c r="D89" s="50"/>
      <c r="E89" s="64" t="s">
        <v>2126</v>
      </c>
      <c r="F89" s="64" t="s">
        <v>2126</v>
      </c>
      <c r="G89" s="48" t="s">
        <v>54</v>
      </c>
      <c r="H89" s="50">
        <v>4590008129</v>
      </c>
      <c r="I89" s="30" t="s">
        <v>357</v>
      </c>
      <c r="J89" s="30" t="s">
        <v>356</v>
      </c>
      <c r="K89" s="62">
        <v>23257.83</v>
      </c>
      <c r="L89" s="30"/>
      <c r="M89" s="86"/>
      <c r="N89" s="87"/>
      <c r="O89" s="88"/>
      <c r="P8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23257.83</v>
      </c>
      <c r="Q8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23257.83</v>
      </c>
      <c r="R8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23257.83</v>
      </c>
      <c r="S89" s="72">
        <f>IF(AR_725[[#This Row],[PO Amount]]=0,1,AR_725[[#This Row],[Total AR (Sent)]]/AR_725[[#This Row],[PO Amount]])</f>
        <v>1</v>
      </c>
      <c r="T89" s="45">
        <f>AR_725[[#This Row],[PO Amount]]-AR_725[[#This Row],[Total AR (Sent)]]</f>
        <v>0</v>
      </c>
      <c r="U89" s="40"/>
      <c r="V89" s="40"/>
      <c r="W89" s="46"/>
      <c r="X89" s="46"/>
      <c r="Y89" s="46"/>
      <c r="Z89" s="46"/>
      <c r="AA89" s="46"/>
      <c r="AB89" s="40"/>
      <c r="AC89" s="40"/>
      <c r="AD89" s="40"/>
      <c r="AE89" s="46"/>
      <c r="AF89" s="46"/>
      <c r="AG89" s="46"/>
      <c r="AH89" s="46"/>
      <c r="AI89" s="46"/>
      <c r="AJ89" s="41"/>
      <c r="AK89" s="46"/>
      <c r="AL89" s="46"/>
      <c r="AM89" s="46"/>
      <c r="AN89" s="46"/>
      <c r="AO89" s="46"/>
      <c r="AP89" s="46"/>
      <c r="AQ89" s="46"/>
      <c r="AR89" s="41"/>
      <c r="AS89" s="46"/>
      <c r="AT89" s="41"/>
      <c r="AU89" s="41"/>
      <c r="AV89" s="41"/>
      <c r="AW89" s="41"/>
      <c r="AX89" s="41"/>
      <c r="AY89" s="41"/>
      <c r="AZ89" s="41"/>
      <c r="BA89" s="46"/>
      <c r="BB89" s="41"/>
      <c r="BC89" s="41"/>
      <c r="BD89" s="41"/>
      <c r="BE89" s="46"/>
      <c r="BF89" s="41"/>
      <c r="BG89" s="42">
        <v>23257.83</v>
      </c>
      <c r="BH89" s="41"/>
      <c r="BI89" s="41"/>
      <c r="BJ89" s="41"/>
      <c r="BK89" s="41"/>
      <c r="BL89" s="41"/>
      <c r="BM89" s="41"/>
      <c r="BN89" s="41"/>
      <c r="BO89" s="46"/>
      <c r="BP89" s="41"/>
      <c r="BQ89" s="40"/>
      <c r="BR89" s="40"/>
      <c r="BS89" s="40"/>
      <c r="BT89" s="40"/>
      <c r="BU89" s="40"/>
      <c r="BV89" s="40"/>
      <c r="BW89" s="40"/>
      <c r="BX89" s="34"/>
      <c r="BZ89" s="40"/>
      <c r="CA89" s="40"/>
      <c r="CB89" s="34"/>
      <c r="CC89" s="34"/>
      <c r="CD89" s="34"/>
      <c r="CE89" s="34"/>
      <c r="CF89" s="34"/>
      <c r="CG89" s="122"/>
      <c r="CI89" s="122"/>
      <c r="CJ89" s="30"/>
      <c r="CK89" s="122">
        <v>0</v>
      </c>
      <c r="CL89" s="122">
        <v>0</v>
      </c>
      <c r="CM89" s="122">
        <v>0</v>
      </c>
      <c r="CN89" s="122">
        <v>0</v>
      </c>
      <c r="CO89" s="122">
        <f>SUMIFS(BB___HK___AMHS__Others[AR Amount],BB___HK___AMHS__Others[PO No.],AR_725[[#This Row],[tsmc PO '#]],BB___HK___AMHS__Others[Status],"&lt;&gt;Rejected",BB___HK___AMHS__Others[YearMonth],"2024-07")</f>
        <v>0</v>
      </c>
      <c r="CP89" s="122">
        <f>SUMIFS(BB___HK___AMHS__Others[Tax],BB___HK___AMHS__Others[PO No.],AR_725[[#This Row],[tsmc PO '#]],BB___HK___AMHS__Others[Status],"&lt;&gt;Rejected",BB___HK___AMHS__Others[YearMonth],"2024-07")</f>
        <v>0</v>
      </c>
      <c r="CQ89" s="34">
        <f>SUMIFS(BB___HK___AMHS__Others[AR Amount],BB___HK___AMHS__Others[PO No.],AR_725[[#This Row],[tsmc PO '#]],BB___HK___AMHS__Others[Status],"&lt;&gt;Rejected",BB___HK___AMHS__Others[YearMonth],"2024-08")</f>
        <v>0</v>
      </c>
      <c r="CR89" s="44">
        <f>SUMIFS(BB___HK___AMHS__Others[Tax],BB___HK___AMHS__Others[PO No.],AR_725[[#This Row],[tsmc PO '#]],BB___HK___AMHS__Others[Status],"&lt;&gt;Rejected",BB___HK___AMHS__Others[YearMonth],"2024-08")</f>
        <v>0</v>
      </c>
      <c r="CS89" s="62">
        <f>SUMIFS(BB___HK___AMHS__Others[AR Amount],BB___HK___AMHS__Others[PO No.],AR_725[[#This Row],[tsmc PO '#]],BB___HK___AMHS__Others[Status],"&lt;&gt;Rejected",BB___HK___AMHS__Others[YearMonth],"2024-09")</f>
        <v>0</v>
      </c>
      <c r="CT89" s="601">
        <f>SUMIFS(BB___HK___AMHS__Others[Tax],BB___HK___AMHS__Others[PO No.],AR_725[[#This Row],[tsmc PO '#]],BB___HK___AMHS__Others[Status],"&lt;&gt;Rejected",BB___HK___AMHS__Others[YearMonth],"2024-09")</f>
        <v>0</v>
      </c>
    </row>
    <row r="90" spans="1:98" ht="14.1" hidden="1">
      <c r="A90" s="30" t="s">
        <v>8</v>
      </c>
      <c r="B90" s="30" t="s">
        <v>8</v>
      </c>
      <c r="D90" s="50" t="s">
        <v>8</v>
      </c>
      <c r="E90" s="604" t="s">
        <v>2109</v>
      </c>
      <c r="F90" s="66" t="s">
        <v>2110</v>
      </c>
      <c r="G90" s="50" t="s">
        <v>1316</v>
      </c>
      <c r="H90" s="50">
        <v>4590008147</v>
      </c>
      <c r="J90" s="30" t="s">
        <v>2138</v>
      </c>
      <c r="K90" s="62">
        <v>19201</v>
      </c>
      <c r="L90" s="30"/>
      <c r="M90" s="86"/>
      <c r="N90" s="87"/>
      <c r="O90" s="88"/>
      <c r="P9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9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9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90" s="72">
        <f>IF(AR_725[[#This Row],[PO Amount]]=0,1,AR_725[[#This Row],[Total AR (Sent)]]/AR_725[[#This Row],[PO Amount]])</f>
        <v>0</v>
      </c>
      <c r="T90" s="75">
        <f>AR_725[[#This Row],[PO Amount]]-AR_725[[#This Row],[Total AR (Sent)]]</f>
        <v>19201</v>
      </c>
      <c r="U90" s="40"/>
      <c r="V90" s="40"/>
      <c r="W90" s="46"/>
      <c r="X90" s="46"/>
      <c r="Y90" s="46"/>
      <c r="Z90" s="46"/>
      <c r="AA90" s="46"/>
      <c r="AB90" s="40"/>
      <c r="AC90" s="40"/>
      <c r="AD90" s="40"/>
      <c r="AE90" s="46"/>
      <c r="AF90" s="46"/>
      <c r="AG90" s="46"/>
      <c r="AH90" s="46"/>
      <c r="AI90" s="41"/>
      <c r="AJ90" s="41"/>
      <c r="AK90" s="41"/>
      <c r="AL90" s="46"/>
      <c r="AM90" s="46"/>
      <c r="AN90" s="46"/>
      <c r="AO90" s="46"/>
      <c r="AP90" s="46"/>
      <c r="AQ90" s="46"/>
      <c r="AR90" s="41"/>
      <c r="AS90" s="46"/>
      <c r="AT90" s="41"/>
      <c r="AU90" s="41"/>
      <c r="AV90" s="41"/>
      <c r="AW90" s="41"/>
      <c r="AX90" s="41"/>
      <c r="AY90" s="41"/>
      <c r="AZ90" s="41"/>
      <c r="BA90" s="46"/>
      <c r="BB90" s="41"/>
      <c r="BC90" s="54"/>
      <c r="BD90" s="41"/>
      <c r="BE90" s="46"/>
      <c r="BF90" s="41"/>
      <c r="BG90" s="41"/>
      <c r="BH90" s="41"/>
      <c r="BI90" s="41"/>
      <c r="BJ90" s="41"/>
      <c r="BK90" s="41"/>
      <c r="BL90" s="41"/>
      <c r="BM90" s="41"/>
      <c r="BN90" s="41"/>
      <c r="BO90" s="46"/>
      <c r="BP90" s="41"/>
      <c r="BQ90" s="46"/>
      <c r="BR90" s="40"/>
      <c r="BS90" s="40"/>
      <c r="BT90" s="40"/>
      <c r="BU90" s="40"/>
      <c r="BV90" s="40"/>
      <c r="BW90" s="40"/>
      <c r="BX90" s="34"/>
      <c r="BZ90" s="40"/>
      <c r="CA90" s="40"/>
      <c r="CB90" s="34"/>
      <c r="CC90" s="34"/>
      <c r="CD90" s="34"/>
      <c r="CE90" s="34"/>
      <c r="CF90" s="34"/>
      <c r="CG90" s="122">
        <f>SUMIFS(BB___HK___AMHS__Others[AR Amount],BB___HK___AMHS__Others[PO No.],AR_725[[#This Row],[tsmc PO '#]],BB___HK___AMHS__Others[Status],"&lt;&gt;Rejected",BB___HK___AMHS__Others[YearMonth],"2024-03")</f>
        <v>0</v>
      </c>
      <c r="CI90" s="122">
        <f>SUMIFS(BB___HK___AMHS__Others[AR Amount],BB___HK___AMHS__Others[PO No.],AR_725[[#This Row],[tsmc PO '#]],BB___HK___AMHS__Others[Status],"&lt;&gt;Rejected",BB___HK___AMHS__Others[YearMonth],"2024-04")</f>
        <v>0</v>
      </c>
      <c r="CJ90" s="30"/>
      <c r="CK90" s="122">
        <v>0</v>
      </c>
      <c r="CL90" s="122">
        <v>0</v>
      </c>
      <c r="CM90" s="122">
        <v>0</v>
      </c>
      <c r="CN90" s="122">
        <v>0</v>
      </c>
      <c r="CO90" s="122">
        <f>SUMIFS(BB___HK___AMHS__Others[AR Amount],BB___HK___AMHS__Others[PO No.],AR_725[[#This Row],[tsmc PO '#]],BB___HK___AMHS__Others[Status],"&lt;&gt;Rejected",BB___HK___AMHS__Others[YearMonth],"2024-07")</f>
        <v>0</v>
      </c>
      <c r="CP90" s="122">
        <f>SUMIFS(BB___HK___AMHS__Others[Tax],BB___HK___AMHS__Others[PO No.],AR_725[[#This Row],[tsmc PO '#]],BB___HK___AMHS__Others[Status],"&lt;&gt;Rejected",BB___HK___AMHS__Others[YearMonth],"2024-07")</f>
        <v>0</v>
      </c>
      <c r="CQ90" s="34">
        <f>SUMIFS(BB___HK___AMHS__Others[AR Amount],BB___HK___AMHS__Others[PO No.],AR_725[[#This Row],[tsmc PO '#]],BB___HK___AMHS__Others[Status],"&lt;&gt;Rejected",BB___HK___AMHS__Others[YearMonth],"2024-08")</f>
        <v>0</v>
      </c>
      <c r="CR90" s="44">
        <f>SUMIFS(BB___HK___AMHS__Others[Tax],BB___HK___AMHS__Others[PO No.],AR_725[[#This Row],[tsmc PO '#]],BB___HK___AMHS__Others[Status],"&lt;&gt;Rejected",BB___HK___AMHS__Others[YearMonth],"2024-08")</f>
        <v>0</v>
      </c>
      <c r="CS90" s="62">
        <f>SUMIFS(BB___HK___AMHS__Others[AR Amount],BB___HK___AMHS__Others[PO No.],AR_725[[#This Row],[tsmc PO '#]],BB___HK___AMHS__Others[Status],"&lt;&gt;Rejected",BB___HK___AMHS__Others[YearMonth],"2024-09")</f>
        <v>0</v>
      </c>
      <c r="CT90" s="601">
        <f>SUMIFS(BB___HK___AMHS__Others[Tax],BB___HK___AMHS__Others[PO No.],AR_725[[#This Row],[tsmc PO '#]],BB___HK___AMHS__Others[Status],"&lt;&gt;Rejected",BB___HK___AMHS__Others[YearMonth],"2024-09")</f>
        <v>0</v>
      </c>
    </row>
    <row r="91" spans="1:98" ht="14.1" hidden="1">
      <c r="A91" s="30" t="s">
        <v>9</v>
      </c>
      <c r="B91" s="30" t="s">
        <v>2051</v>
      </c>
      <c r="D91" s="50" t="s">
        <v>1720</v>
      </c>
      <c r="E91" s="48" t="s">
        <v>2060</v>
      </c>
      <c r="F91" s="66" t="s">
        <v>2100</v>
      </c>
      <c r="G91" s="57" t="s">
        <v>937</v>
      </c>
      <c r="H91" s="50">
        <v>4590008170</v>
      </c>
      <c r="I91" s="30" t="s">
        <v>425</v>
      </c>
      <c r="J91" s="30" t="s">
        <v>655</v>
      </c>
      <c r="K91" s="62">
        <v>507650</v>
      </c>
      <c r="L91" s="30"/>
      <c r="M91" s="86"/>
      <c r="N91" s="87"/>
      <c r="O91" s="88"/>
      <c r="P9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197729.21000000002</v>
      </c>
      <c r="Q9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139168.01</v>
      </c>
      <c r="R9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197729.21000000002</v>
      </c>
      <c r="S91" s="72">
        <f>IF(AR_725[[#This Row],[PO Amount]]=0,1,AR_725[[#This Row],[Total AR (Sent)]]/AR_725[[#This Row],[PO Amount]])</f>
        <v>0.389499084014577</v>
      </c>
      <c r="T91" s="39">
        <f>AR_725[[#This Row],[PO Amount]]-AR_725[[#This Row],[Total AR (Sent)]]</f>
        <v>309920.78999999998</v>
      </c>
      <c r="U91" s="40"/>
      <c r="V91" s="40"/>
      <c r="W91" s="41"/>
      <c r="X91" s="41"/>
      <c r="Y91" s="41"/>
      <c r="Z91" s="41"/>
      <c r="AA91" s="41"/>
      <c r="AB91" s="40"/>
      <c r="AC91" s="40"/>
      <c r="AD91" s="40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0"/>
      <c r="BR91" s="40"/>
      <c r="BS91" s="34"/>
      <c r="BT91" s="40"/>
      <c r="BU91" s="34"/>
      <c r="BV91" s="40"/>
      <c r="BW91" s="34"/>
      <c r="BX91" s="34"/>
      <c r="BY91" s="42">
        <v>14852</v>
      </c>
      <c r="BZ91" s="40"/>
      <c r="CA91" s="42">
        <v>75865.81</v>
      </c>
      <c r="CB91" s="34"/>
      <c r="CC91" s="42">
        <v>8925.39</v>
      </c>
      <c r="CD91" s="34"/>
      <c r="CE91" s="42">
        <v>39524.81</v>
      </c>
      <c r="CF91" s="34"/>
      <c r="CG91" s="122"/>
      <c r="CI91" s="122"/>
      <c r="CJ91" s="30"/>
      <c r="CK91" s="122">
        <v>0</v>
      </c>
      <c r="CL91" s="122">
        <v>0</v>
      </c>
      <c r="CM91" s="122">
        <v>0</v>
      </c>
      <c r="CN91" s="122">
        <v>0</v>
      </c>
      <c r="CO91" s="122">
        <f>SUMIFS(BB___HK___AMHS__Others[AR Amount],BB___HK___AMHS__Others[PO No.],AR_725[[#This Row],[tsmc PO '#]],BB___HK___AMHS__Others[Status],"&lt;&gt;Rejected",BB___HK___AMHS__Others[YearMonth],"2024-07")</f>
        <v>58561.2</v>
      </c>
      <c r="CP91" s="122">
        <f>SUMIFS(BB___HK___AMHS__Others[Tax],BB___HK___AMHS__Others[PO No.],AR_725[[#This Row],[tsmc PO '#]],BB___HK___AMHS__Others[Status],"&lt;&gt;Rejected",BB___HK___AMHS__Others[YearMonth],"2024-07")</f>
        <v>0</v>
      </c>
      <c r="CQ91" s="34">
        <f>SUMIFS(BB___HK___AMHS__Others[AR Amount],BB___HK___AMHS__Others[PO No.],AR_725[[#This Row],[tsmc PO '#]],BB___HK___AMHS__Others[Status],"&lt;&gt;Rejected",BB___HK___AMHS__Others[YearMonth],"2024-08")</f>
        <v>0</v>
      </c>
      <c r="CR91" s="44">
        <f>SUMIFS(BB___HK___AMHS__Others[Tax],BB___HK___AMHS__Others[PO No.],AR_725[[#This Row],[tsmc PO '#]],BB___HK___AMHS__Others[Status],"&lt;&gt;Rejected",BB___HK___AMHS__Others[YearMonth],"2024-08")</f>
        <v>0</v>
      </c>
      <c r="CS91" s="62">
        <f>SUMIFS(BB___HK___AMHS__Others[AR Amount],BB___HK___AMHS__Others[PO No.],AR_725[[#This Row],[tsmc PO '#]],BB___HK___AMHS__Others[Status],"&lt;&gt;Rejected",BB___HK___AMHS__Others[YearMonth],"2024-09")</f>
        <v>0</v>
      </c>
      <c r="CT91" s="601">
        <f>SUMIFS(BB___HK___AMHS__Others[Tax],BB___HK___AMHS__Others[PO No.],AR_725[[#This Row],[tsmc PO '#]],BB___HK___AMHS__Others[Status],"&lt;&gt;Rejected",BB___HK___AMHS__Others[YearMonth],"2024-09")</f>
        <v>0</v>
      </c>
    </row>
    <row r="92" spans="1:98" ht="14.1" hidden="1">
      <c r="A92" s="30" t="s">
        <v>15</v>
      </c>
      <c r="B92" s="30" t="s">
        <v>13</v>
      </c>
      <c r="D92" s="50"/>
      <c r="E92" s="63" t="s">
        <v>2139</v>
      </c>
      <c r="F92" s="64" t="s">
        <v>2139</v>
      </c>
      <c r="G92" s="48" t="s">
        <v>54</v>
      </c>
      <c r="H92" s="50">
        <v>4590008191</v>
      </c>
      <c r="I92" s="30" t="s">
        <v>278</v>
      </c>
      <c r="J92" s="30" t="s">
        <v>389</v>
      </c>
      <c r="K92" s="62">
        <v>6340</v>
      </c>
      <c r="L92" s="30"/>
      <c r="M92" s="86"/>
      <c r="N92" s="87"/>
      <c r="O92" s="88"/>
      <c r="P9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6340</v>
      </c>
      <c r="Q9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6340</v>
      </c>
      <c r="R9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6340</v>
      </c>
      <c r="S92" s="72">
        <f>IF(AR_725[[#This Row],[PO Amount]]=0,1,AR_725[[#This Row],[Total AR (Sent)]]/AR_725[[#This Row],[PO Amount]])</f>
        <v>1</v>
      </c>
      <c r="T92" s="45">
        <f>AR_725[[#This Row],[PO Amount]]-AR_725[[#This Row],[Total AR (Sent)]]</f>
        <v>0</v>
      </c>
      <c r="U92" s="40"/>
      <c r="V92" s="40"/>
      <c r="W92" s="46"/>
      <c r="X92" s="46"/>
      <c r="Y92" s="46"/>
      <c r="Z92" s="46"/>
      <c r="AA92" s="46"/>
      <c r="AB92" s="40"/>
      <c r="AC92" s="40"/>
      <c r="AD92" s="40"/>
      <c r="AE92" s="46"/>
      <c r="AF92" s="46"/>
      <c r="AG92" s="46"/>
      <c r="AH92" s="46"/>
      <c r="AI92" s="46"/>
      <c r="AJ92" s="41"/>
      <c r="AK92" s="46"/>
      <c r="AL92" s="46"/>
      <c r="AM92" s="46"/>
      <c r="AN92" s="46"/>
      <c r="AO92" s="46"/>
      <c r="AP92" s="46"/>
      <c r="AQ92" s="46"/>
      <c r="AR92" s="41"/>
      <c r="AS92" s="46"/>
      <c r="AT92" s="41"/>
      <c r="AU92" s="41"/>
      <c r="AV92" s="41"/>
      <c r="AW92" s="41"/>
      <c r="AX92" s="41"/>
      <c r="AY92" s="41"/>
      <c r="AZ92" s="41"/>
      <c r="BA92" s="46"/>
      <c r="BB92" s="41"/>
      <c r="BC92" s="41"/>
      <c r="BD92" s="41"/>
      <c r="BE92" s="46"/>
      <c r="BF92" s="41"/>
      <c r="BG92" s="41"/>
      <c r="BH92" s="41"/>
      <c r="BI92" s="42">
        <v>6340</v>
      </c>
      <c r="BJ92" s="41"/>
      <c r="BK92" s="41"/>
      <c r="BL92" s="41"/>
      <c r="BM92" s="41"/>
      <c r="BN92" s="41"/>
      <c r="BO92" s="46"/>
      <c r="BP92" s="41"/>
      <c r="BQ92" s="40"/>
      <c r="BR92" s="40"/>
      <c r="BS92" s="40"/>
      <c r="BT92" s="40"/>
      <c r="BU92" s="40"/>
      <c r="BV92" s="40"/>
      <c r="BW92" s="40"/>
      <c r="BX92" s="34"/>
      <c r="BZ92" s="40"/>
      <c r="CA92" s="40"/>
      <c r="CB92" s="34"/>
      <c r="CC92" s="34"/>
      <c r="CD92" s="34"/>
      <c r="CE92" s="34"/>
      <c r="CF92" s="34"/>
      <c r="CG92" s="122"/>
      <c r="CI92" s="122"/>
      <c r="CJ92" s="30"/>
      <c r="CK92" s="122">
        <v>0</v>
      </c>
      <c r="CL92" s="122">
        <v>0</v>
      </c>
      <c r="CM92" s="122">
        <v>0</v>
      </c>
      <c r="CN92" s="122">
        <v>0</v>
      </c>
      <c r="CO92" s="122">
        <f>SUMIFS(BB___HK___AMHS__Others[AR Amount],BB___HK___AMHS__Others[PO No.],AR_725[[#This Row],[tsmc PO '#]],BB___HK___AMHS__Others[Status],"&lt;&gt;Rejected",BB___HK___AMHS__Others[YearMonth],"2024-07")</f>
        <v>0</v>
      </c>
      <c r="CP92" s="122">
        <f>SUMIFS(BB___HK___AMHS__Others[Tax],BB___HK___AMHS__Others[PO No.],AR_725[[#This Row],[tsmc PO '#]],BB___HK___AMHS__Others[Status],"&lt;&gt;Rejected",BB___HK___AMHS__Others[YearMonth],"2024-07")</f>
        <v>0</v>
      </c>
      <c r="CQ92" s="34">
        <f>SUMIFS(BB___HK___AMHS__Others[AR Amount],BB___HK___AMHS__Others[PO No.],AR_725[[#This Row],[tsmc PO '#]],BB___HK___AMHS__Others[Status],"&lt;&gt;Rejected",BB___HK___AMHS__Others[YearMonth],"2024-08")</f>
        <v>0</v>
      </c>
      <c r="CR92" s="44">
        <f>SUMIFS(BB___HK___AMHS__Others[Tax],BB___HK___AMHS__Others[PO No.],AR_725[[#This Row],[tsmc PO '#]],BB___HK___AMHS__Others[Status],"&lt;&gt;Rejected",BB___HK___AMHS__Others[YearMonth],"2024-08")</f>
        <v>0</v>
      </c>
      <c r="CS92" s="62">
        <f>SUMIFS(BB___HK___AMHS__Others[AR Amount],BB___HK___AMHS__Others[PO No.],AR_725[[#This Row],[tsmc PO '#]],BB___HK___AMHS__Others[Status],"&lt;&gt;Rejected",BB___HK___AMHS__Others[YearMonth],"2024-09")</f>
        <v>0</v>
      </c>
      <c r="CT92" s="601">
        <f>SUMIFS(BB___HK___AMHS__Others[Tax],BB___HK___AMHS__Others[PO No.],AR_725[[#This Row],[tsmc PO '#]],BB___HK___AMHS__Others[Status],"&lt;&gt;Rejected",BB___HK___AMHS__Others[YearMonth],"2024-09")</f>
        <v>0</v>
      </c>
    </row>
    <row r="93" spans="1:98" ht="14.1" hidden="1">
      <c r="A93" s="30" t="s">
        <v>14</v>
      </c>
      <c r="B93" s="30" t="s">
        <v>14</v>
      </c>
      <c r="D93" s="50" t="s">
        <v>1546</v>
      </c>
      <c r="E93" s="605" t="s">
        <v>2052</v>
      </c>
      <c r="F93" s="66" t="s">
        <v>2053</v>
      </c>
      <c r="G93" s="48" t="s">
        <v>2140</v>
      </c>
      <c r="H93" s="50">
        <v>4590008207</v>
      </c>
      <c r="I93" s="30" t="s">
        <v>528</v>
      </c>
      <c r="J93" s="30" t="s">
        <v>527</v>
      </c>
      <c r="K93" s="62">
        <v>12226</v>
      </c>
      <c r="L93" s="30" t="s">
        <v>2054</v>
      </c>
      <c r="M93" s="86">
        <v>44879</v>
      </c>
      <c r="N93" s="87" t="s">
        <v>2101</v>
      </c>
      <c r="O93" s="88" t="s">
        <v>2056</v>
      </c>
      <c r="P9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5506</v>
      </c>
      <c r="Q9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5506</v>
      </c>
      <c r="R9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5506</v>
      </c>
      <c r="S93" s="72">
        <f>IF(AR_725[[#This Row],[PO Amount]]=0,1,AR_725[[#This Row],[Total AR (Sent)]]/AR_725[[#This Row],[PO Amount]])</f>
        <v>0.45035170947161784</v>
      </c>
      <c r="T93" s="45">
        <f>AR_725[[#This Row],[PO Amount]]-AR_725[[#This Row],[Total AR (Sent)]]</f>
        <v>6720</v>
      </c>
      <c r="U93" s="40"/>
      <c r="V93" s="40"/>
      <c r="W93" s="46"/>
      <c r="X93" s="46"/>
      <c r="Y93" s="46"/>
      <c r="Z93" s="46"/>
      <c r="AA93" s="46"/>
      <c r="AB93" s="40"/>
      <c r="AC93" s="40"/>
      <c r="AD93" s="40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1"/>
      <c r="AS93" s="46"/>
      <c r="AT93" s="41"/>
      <c r="AU93" s="41"/>
      <c r="AV93" s="41"/>
      <c r="AW93" s="41"/>
      <c r="AX93" s="41"/>
      <c r="AY93" s="41"/>
      <c r="AZ93" s="41"/>
      <c r="BA93" s="46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6"/>
      <c r="BP93" s="41"/>
      <c r="BQ93" s="81">
        <v>5506</v>
      </c>
      <c r="BR93" s="81">
        <v>1051</v>
      </c>
      <c r="BS93" s="40"/>
      <c r="BT93" s="40"/>
      <c r="BU93" s="40"/>
      <c r="BV93" s="40"/>
      <c r="BW93" s="40"/>
      <c r="BX93" s="34"/>
      <c r="BZ93" s="40"/>
      <c r="CA93" s="40"/>
      <c r="CB93" s="34"/>
      <c r="CC93" s="34"/>
      <c r="CD93" s="34"/>
      <c r="CE93" s="34"/>
      <c r="CF93" s="34"/>
      <c r="CG93" s="122"/>
      <c r="CI93" s="122"/>
      <c r="CJ93" s="30"/>
      <c r="CK93" s="122">
        <v>0</v>
      </c>
      <c r="CL93" s="122">
        <v>0</v>
      </c>
      <c r="CM93" s="122">
        <v>0</v>
      </c>
      <c r="CN93" s="122">
        <v>0</v>
      </c>
      <c r="CO93" s="122">
        <f>SUMIFS(BB___HK___AMHS__Others[AR Amount],BB___HK___AMHS__Others[PO No.],AR_725[[#This Row],[tsmc PO '#]],BB___HK___AMHS__Others[Status],"&lt;&gt;Rejected",BB___HK___AMHS__Others[YearMonth],"2024-07")</f>
        <v>0</v>
      </c>
      <c r="CP93" s="122">
        <f>SUMIFS(BB___HK___AMHS__Others[Tax],BB___HK___AMHS__Others[PO No.],AR_725[[#This Row],[tsmc PO '#]],BB___HK___AMHS__Others[Status],"&lt;&gt;Rejected",BB___HK___AMHS__Others[YearMonth],"2024-07")</f>
        <v>0</v>
      </c>
      <c r="CQ93" s="34">
        <f>SUMIFS(BB___HK___AMHS__Others[AR Amount],BB___HK___AMHS__Others[PO No.],AR_725[[#This Row],[tsmc PO '#]],BB___HK___AMHS__Others[Status],"&lt;&gt;Rejected",BB___HK___AMHS__Others[YearMonth],"2024-08")</f>
        <v>0</v>
      </c>
      <c r="CR93" s="44">
        <f>SUMIFS(BB___HK___AMHS__Others[Tax],BB___HK___AMHS__Others[PO No.],AR_725[[#This Row],[tsmc PO '#]],BB___HK___AMHS__Others[Status],"&lt;&gt;Rejected",BB___HK___AMHS__Others[YearMonth],"2024-08")</f>
        <v>0</v>
      </c>
      <c r="CS93" s="62">
        <f>SUMIFS(BB___HK___AMHS__Others[AR Amount],BB___HK___AMHS__Others[PO No.],AR_725[[#This Row],[tsmc PO '#]],BB___HK___AMHS__Others[Status],"&lt;&gt;Rejected",BB___HK___AMHS__Others[YearMonth],"2024-09")</f>
        <v>0</v>
      </c>
      <c r="CT93" s="601">
        <f>SUMIFS(BB___HK___AMHS__Others[Tax],BB___HK___AMHS__Others[PO No.],AR_725[[#This Row],[tsmc PO '#]],BB___HK___AMHS__Others[Status],"&lt;&gt;Rejected",BB___HK___AMHS__Others[YearMonth],"2024-09")</f>
        <v>0</v>
      </c>
    </row>
    <row r="94" spans="1:98" ht="14.1" hidden="1">
      <c r="A94" s="30" t="s">
        <v>9</v>
      </c>
      <c r="B94" s="30" t="s">
        <v>2051</v>
      </c>
      <c r="C94" s="30" t="s">
        <v>42</v>
      </c>
      <c r="D94" s="50" t="s">
        <v>1759</v>
      </c>
      <c r="E94" s="50" t="s">
        <v>2044</v>
      </c>
      <c r="F94" s="66" t="s">
        <v>2090</v>
      </c>
      <c r="G94" s="64" t="s">
        <v>312</v>
      </c>
      <c r="H94" s="50">
        <v>4590008240</v>
      </c>
      <c r="I94" s="30" t="s">
        <v>303</v>
      </c>
      <c r="J94" s="30" t="s">
        <v>302</v>
      </c>
      <c r="K94" s="62">
        <v>3042902.07</v>
      </c>
      <c r="L94" s="30"/>
      <c r="M94" s="86"/>
      <c r="N94" s="87"/>
      <c r="O94" s="88"/>
      <c r="P9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3042902.07</v>
      </c>
      <c r="Q9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3042902.07</v>
      </c>
      <c r="R9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3042902.07</v>
      </c>
      <c r="S94" s="72">
        <f>IF(AR_725[[#This Row],[PO Amount]]=0,1,AR_725[[#This Row],[Total AR (Sent)]]/AR_725[[#This Row],[PO Amount]])</f>
        <v>1</v>
      </c>
      <c r="T94" s="45">
        <f>AR_725[[#This Row],[PO Amount]]-AR_725[[#This Row],[Total AR (Sent)]]</f>
        <v>0</v>
      </c>
      <c r="U94" s="40"/>
      <c r="V94" s="40"/>
      <c r="W94" s="46"/>
      <c r="X94" s="46"/>
      <c r="Y94" s="46"/>
      <c r="Z94" s="46"/>
      <c r="AA94" s="46"/>
      <c r="AB94" s="40"/>
      <c r="AC94" s="40"/>
      <c r="AD94" s="40"/>
      <c r="AE94" s="46"/>
      <c r="AF94" s="46"/>
      <c r="AG94" s="46"/>
      <c r="AH94" s="46"/>
      <c r="AI94" s="46"/>
      <c r="AJ94" s="41"/>
      <c r="AK94" s="46"/>
      <c r="AL94" s="46"/>
      <c r="AM94" s="46"/>
      <c r="AN94" s="46"/>
      <c r="AO94" s="46"/>
      <c r="AP94" s="46"/>
      <c r="AQ94" s="46"/>
      <c r="AR94" s="41"/>
      <c r="AS94" s="46"/>
      <c r="AT94" s="41"/>
      <c r="AU94" s="41"/>
      <c r="AV94" s="41"/>
      <c r="AW94" s="41"/>
      <c r="AX94" s="41"/>
      <c r="AY94" s="41"/>
      <c r="AZ94" s="41"/>
      <c r="BA94" s="46"/>
      <c r="BB94" s="41"/>
      <c r="BC94" s="95">
        <v>2492280.0699999998</v>
      </c>
      <c r="BD94" s="41"/>
      <c r="BE94" s="41"/>
      <c r="BF94" s="41"/>
      <c r="BG94" s="42">
        <v>550622</v>
      </c>
      <c r="BH94" s="41"/>
      <c r="BI94" s="41"/>
      <c r="BJ94" s="41"/>
      <c r="BK94" s="41"/>
      <c r="BL94" s="41"/>
      <c r="BM94" s="41"/>
      <c r="BN94" s="41"/>
      <c r="BO94" s="46"/>
      <c r="BP94" s="41"/>
      <c r="BQ94" s="40"/>
      <c r="BR94" s="40"/>
      <c r="BS94" s="40"/>
      <c r="BT94" s="40"/>
      <c r="BU94" s="40"/>
      <c r="BV94" s="40"/>
      <c r="BW94" s="40"/>
      <c r="BX94" s="34"/>
      <c r="BZ94" s="40"/>
      <c r="CA94" s="40"/>
      <c r="CB94" s="34"/>
      <c r="CC94" s="34"/>
      <c r="CD94" s="34"/>
      <c r="CE94" s="34"/>
      <c r="CF94" s="34"/>
      <c r="CG94" s="122"/>
      <c r="CI94" s="122"/>
      <c r="CJ94" s="30"/>
      <c r="CK94" s="122">
        <v>0</v>
      </c>
      <c r="CL94" s="122">
        <v>0</v>
      </c>
      <c r="CM94" s="122">
        <v>0</v>
      </c>
      <c r="CN94" s="122">
        <v>0</v>
      </c>
      <c r="CO94" s="122">
        <f>SUMIFS(BB___HK___AMHS__Others[AR Amount],BB___HK___AMHS__Others[PO No.],AR_725[[#This Row],[tsmc PO '#]],BB___HK___AMHS__Others[Status],"&lt;&gt;Rejected",BB___HK___AMHS__Others[YearMonth],"2024-07")</f>
        <v>0</v>
      </c>
      <c r="CP94" s="122">
        <f>SUMIFS(BB___HK___AMHS__Others[Tax],BB___HK___AMHS__Others[PO No.],AR_725[[#This Row],[tsmc PO '#]],BB___HK___AMHS__Others[Status],"&lt;&gt;Rejected",BB___HK___AMHS__Others[YearMonth],"2024-07")</f>
        <v>0</v>
      </c>
      <c r="CQ94" s="34">
        <f>SUMIFS(BB___HK___AMHS__Others[AR Amount],BB___HK___AMHS__Others[PO No.],AR_725[[#This Row],[tsmc PO '#]],BB___HK___AMHS__Others[Status],"&lt;&gt;Rejected",BB___HK___AMHS__Others[YearMonth],"2024-08")</f>
        <v>0</v>
      </c>
      <c r="CR94" s="44">
        <f>SUMIFS(BB___HK___AMHS__Others[Tax],BB___HK___AMHS__Others[PO No.],AR_725[[#This Row],[tsmc PO '#]],BB___HK___AMHS__Others[Status],"&lt;&gt;Rejected",BB___HK___AMHS__Others[YearMonth],"2024-08")</f>
        <v>0</v>
      </c>
      <c r="CS94" s="62">
        <f>SUMIFS(BB___HK___AMHS__Others[AR Amount],BB___HK___AMHS__Others[PO No.],AR_725[[#This Row],[tsmc PO '#]],BB___HK___AMHS__Others[Status],"&lt;&gt;Rejected",BB___HK___AMHS__Others[YearMonth],"2024-09")</f>
        <v>0</v>
      </c>
      <c r="CT94" s="601">
        <f>SUMIFS(BB___HK___AMHS__Others[Tax],BB___HK___AMHS__Others[PO No.],AR_725[[#This Row],[tsmc PO '#]],BB___HK___AMHS__Others[Status],"&lt;&gt;Rejected",BB___HK___AMHS__Others[YearMonth],"2024-09")</f>
        <v>0</v>
      </c>
    </row>
    <row r="95" spans="1:98" ht="14.1" hidden="1">
      <c r="A95" s="30" t="s">
        <v>9</v>
      </c>
      <c r="B95" s="30" t="s">
        <v>2051</v>
      </c>
      <c r="C95" s="30" t="s">
        <v>42</v>
      </c>
      <c r="D95" s="50"/>
      <c r="E95" s="30" t="s">
        <v>2044</v>
      </c>
      <c r="F95" s="66" t="s">
        <v>2141</v>
      </c>
      <c r="G95" s="64" t="s">
        <v>333</v>
      </c>
      <c r="H95" s="50">
        <v>4590008319</v>
      </c>
      <c r="I95" s="30" t="s">
        <v>335</v>
      </c>
      <c r="J95" s="30" t="s">
        <v>334</v>
      </c>
      <c r="K95" s="62">
        <v>1625000</v>
      </c>
      <c r="L95" s="30"/>
      <c r="M95" s="86"/>
      <c r="N95" s="87"/>
      <c r="O95" s="88"/>
      <c r="P9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821051</v>
      </c>
      <c r="Q9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821051</v>
      </c>
      <c r="R9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821051</v>
      </c>
      <c r="S95" s="72">
        <f>IF(AR_725[[#This Row],[PO Amount]]=0,1,AR_725[[#This Row],[Total AR (Sent)]]/AR_725[[#This Row],[PO Amount]])</f>
        <v>0.50526215384615381</v>
      </c>
      <c r="T95" s="45">
        <f>AR_725[[#This Row],[PO Amount]]-AR_725[[#This Row],[Total AR (Sent)]]</f>
        <v>803949</v>
      </c>
      <c r="U95" s="40"/>
      <c r="V95" s="40"/>
      <c r="W95" s="46"/>
      <c r="X95" s="46"/>
      <c r="Y95" s="46"/>
      <c r="Z95" s="46"/>
      <c r="AA95" s="46"/>
      <c r="AB95" s="40"/>
      <c r="AC95" s="40"/>
      <c r="AD95" s="40"/>
      <c r="AE95" s="46"/>
      <c r="AF95" s="46"/>
      <c r="AG95" s="46"/>
      <c r="AH95" s="46"/>
      <c r="AI95" s="41"/>
      <c r="AJ95" s="41"/>
      <c r="AK95" s="41"/>
      <c r="AL95" s="46"/>
      <c r="AM95" s="46"/>
      <c r="AN95" s="46"/>
      <c r="AO95" s="46"/>
      <c r="AP95" s="46"/>
      <c r="AQ95" s="46"/>
      <c r="AR95" s="41"/>
      <c r="AS95" s="46"/>
      <c r="AT95" s="41"/>
      <c r="AU95" s="41"/>
      <c r="AV95" s="41"/>
      <c r="AW95" s="41"/>
      <c r="AX95" s="41"/>
      <c r="AY95" s="41"/>
      <c r="AZ95" s="41"/>
      <c r="BA95" s="46"/>
      <c r="BB95" s="41"/>
      <c r="BC95" s="41"/>
      <c r="BD95" s="41"/>
      <c r="BE95" s="42">
        <v>355581</v>
      </c>
      <c r="BF95" s="41"/>
      <c r="BG95" s="41"/>
      <c r="BH95" s="41"/>
      <c r="BI95" s="41"/>
      <c r="BJ95" s="41"/>
      <c r="BK95" s="42">
        <v>293555</v>
      </c>
      <c r="BL95" s="41"/>
      <c r="BM95" s="42">
        <v>171915</v>
      </c>
      <c r="BN95" s="41"/>
      <c r="BO95" s="46"/>
      <c r="BP95" s="41"/>
      <c r="BQ95" s="40"/>
      <c r="BR95" s="40"/>
      <c r="BS95" s="40"/>
      <c r="BT95" s="40"/>
      <c r="BU95" s="40"/>
      <c r="BV95" s="40"/>
      <c r="BW95" s="40"/>
      <c r="BX95" s="34"/>
      <c r="BZ95" s="40"/>
      <c r="CA95" s="40"/>
      <c r="CB95" s="34"/>
      <c r="CC95" s="34"/>
      <c r="CD95" s="34"/>
      <c r="CE95" s="34"/>
      <c r="CF95" s="34"/>
      <c r="CG95" s="122"/>
      <c r="CI95" s="122"/>
      <c r="CJ95" s="30"/>
      <c r="CK95" s="122">
        <v>0</v>
      </c>
      <c r="CL95" s="122">
        <v>0</v>
      </c>
      <c r="CM95" s="122">
        <v>0</v>
      </c>
      <c r="CN95" s="122">
        <v>0</v>
      </c>
      <c r="CO95" s="122">
        <f>SUMIFS(BB___HK___AMHS__Others[AR Amount],BB___HK___AMHS__Others[PO No.],AR_725[[#This Row],[tsmc PO '#]],BB___HK___AMHS__Others[Status],"&lt;&gt;Rejected",BB___HK___AMHS__Others[YearMonth],"2024-07")</f>
        <v>0</v>
      </c>
      <c r="CP95" s="122">
        <f>SUMIFS(BB___HK___AMHS__Others[Tax],BB___HK___AMHS__Others[PO No.],AR_725[[#This Row],[tsmc PO '#]],BB___HK___AMHS__Others[Status],"&lt;&gt;Rejected",BB___HK___AMHS__Others[YearMonth],"2024-07")</f>
        <v>0</v>
      </c>
      <c r="CQ95" s="34">
        <f>SUMIFS(BB___HK___AMHS__Others[AR Amount],BB___HK___AMHS__Others[PO No.],AR_725[[#This Row],[tsmc PO '#]],BB___HK___AMHS__Others[Status],"&lt;&gt;Rejected",BB___HK___AMHS__Others[YearMonth],"2024-08")</f>
        <v>0</v>
      </c>
      <c r="CR95" s="44">
        <f>SUMIFS(BB___HK___AMHS__Others[Tax],BB___HK___AMHS__Others[PO No.],AR_725[[#This Row],[tsmc PO '#]],BB___HK___AMHS__Others[Status],"&lt;&gt;Rejected",BB___HK___AMHS__Others[YearMonth],"2024-08")</f>
        <v>0</v>
      </c>
      <c r="CS95" s="62">
        <f>SUMIFS(BB___HK___AMHS__Others[AR Amount],BB___HK___AMHS__Others[PO No.],AR_725[[#This Row],[tsmc PO '#]],BB___HK___AMHS__Others[Status],"&lt;&gt;Rejected",BB___HK___AMHS__Others[YearMonth],"2024-09")</f>
        <v>0</v>
      </c>
      <c r="CT95" s="601">
        <f>SUMIFS(BB___HK___AMHS__Others[Tax],BB___HK___AMHS__Others[PO No.],AR_725[[#This Row],[tsmc PO '#]],BB___HK___AMHS__Others[Status],"&lt;&gt;Rejected",BB___HK___AMHS__Others[YearMonth],"2024-09")</f>
        <v>0</v>
      </c>
    </row>
    <row r="96" spans="1:98" ht="14.1">
      <c r="A96" s="30" t="s">
        <v>10</v>
      </c>
      <c r="B96" s="30" t="s">
        <v>10</v>
      </c>
      <c r="C96" s="30" t="s">
        <v>1794</v>
      </c>
      <c r="D96" s="50"/>
      <c r="E96" s="606" t="s">
        <v>2126</v>
      </c>
      <c r="F96" s="66" t="s">
        <v>2126</v>
      </c>
      <c r="G96" s="64" t="s">
        <v>2142</v>
      </c>
      <c r="H96" s="50">
        <v>4590008486</v>
      </c>
      <c r="I96" s="30" t="s">
        <v>361</v>
      </c>
      <c r="J96" s="30" t="s">
        <v>558</v>
      </c>
      <c r="K96" s="62">
        <v>954136.5</v>
      </c>
      <c r="L96" s="30"/>
      <c r="M96" s="86"/>
      <c r="N96" s="87"/>
      <c r="O96" s="88"/>
      <c r="P9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561100</v>
      </c>
      <c r="Q9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270404</v>
      </c>
      <c r="R9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561100</v>
      </c>
      <c r="S96" s="72">
        <f>IF(AR_725[[#This Row],[PO Amount]]=0,1,AR_725[[#This Row],[Total AR (Sent)]]/AR_725[[#This Row],[PO Amount]])</f>
        <v>0.58807099403492058</v>
      </c>
      <c r="T96" s="75">
        <f>AR_725[[#This Row],[PO Amount]]-AR_725[[#This Row],[Total AR (Sent)]]</f>
        <v>393036.5</v>
      </c>
      <c r="U96" s="40"/>
      <c r="V96" s="40"/>
      <c r="W96" s="46"/>
      <c r="X96" s="46"/>
      <c r="Y96" s="46"/>
      <c r="Z96" s="46"/>
      <c r="AA96" s="46"/>
      <c r="AB96" s="40"/>
      <c r="AC96" s="40"/>
      <c r="AD96" s="40"/>
      <c r="AE96" s="46"/>
      <c r="AF96" s="46"/>
      <c r="AG96" s="46"/>
      <c r="AH96" s="46"/>
      <c r="AI96" s="46"/>
      <c r="AJ96" s="41"/>
      <c r="AK96" s="46"/>
      <c r="AL96" s="46"/>
      <c r="AM96" s="46"/>
      <c r="AN96" s="46"/>
      <c r="AO96" s="46"/>
      <c r="AP96" s="46"/>
      <c r="AQ96" s="46"/>
      <c r="AR96" s="41"/>
      <c r="AS96" s="46"/>
      <c r="AT96" s="41"/>
      <c r="AU96" s="41"/>
      <c r="AV96" s="41"/>
      <c r="AW96" s="41"/>
      <c r="AX96" s="41"/>
      <c r="AY96" s="41"/>
      <c r="AZ96" s="41"/>
      <c r="BA96" s="46"/>
      <c r="BB96" s="41"/>
      <c r="BC96" s="54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6"/>
      <c r="BP96" s="41"/>
      <c r="BQ96" s="46"/>
      <c r="BR96" s="40"/>
      <c r="BS96" s="47">
        <v>270404</v>
      </c>
      <c r="BT96" s="40"/>
      <c r="BU96" s="40"/>
      <c r="BV96" s="40"/>
      <c r="BW96" s="40"/>
      <c r="BX96" s="34"/>
      <c r="BZ96" s="40"/>
      <c r="CA96" s="40"/>
      <c r="CB96" s="34"/>
      <c r="CC96" s="34"/>
      <c r="CD96" s="34"/>
      <c r="CE96" s="34"/>
      <c r="CF96" s="34"/>
      <c r="CG96" s="122"/>
      <c r="CI96" s="122"/>
      <c r="CJ96" s="30"/>
      <c r="CK96" s="122">
        <v>0</v>
      </c>
      <c r="CL96" s="122">
        <v>0</v>
      </c>
      <c r="CM96" s="122">
        <v>0</v>
      </c>
      <c r="CN96" s="122">
        <v>0</v>
      </c>
      <c r="CO96" s="122">
        <f>SUMIFS(BB___HK___AMHS__Others[AR Amount],BB___HK___AMHS__Others[PO No.],AR_725[[#This Row],[tsmc PO '#]],BB___HK___AMHS__Others[Status],"&lt;&gt;Rejected",BB___HK___AMHS__Others[YearMonth],"2024-07")</f>
        <v>0</v>
      </c>
      <c r="CP96" s="122">
        <f>SUMIFS(BB___HK___AMHS__Others[Tax],BB___HK___AMHS__Others[PO No.],AR_725[[#This Row],[tsmc PO '#]],BB___HK___AMHS__Others[Status],"&lt;&gt;Rejected",BB___HK___AMHS__Others[YearMonth],"2024-07")</f>
        <v>0</v>
      </c>
      <c r="CQ96" s="34">
        <f>SUMIFS(BB___HK___AMHS__Others[AR Amount],BB___HK___AMHS__Others[PO No.],AR_725[[#This Row],[tsmc PO '#]],BB___HK___AMHS__Others[Status],"&lt;&gt;Rejected",BB___HK___AMHS__Others[YearMonth],"2024-08")</f>
        <v>0</v>
      </c>
      <c r="CR96" s="44">
        <f>SUMIFS(BB___HK___AMHS__Others[Tax],BB___HK___AMHS__Others[PO No.],AR_725[[#This Row],[tsmc PO '#]],BB___HK___AMHS__Others[Status],"&lt;&gt;Rejected",BB___HK___AMHS__Others[YearMonth],"2024-08")</f>
        <v>0</v>
      </c>
      <c r="CS96" s="62">
        <f>SUMIFS(BB___HK___AMHS__Others[AR Amount],BB___HK___AMHS__Others[PO No.],AR_725[[#This Row],[tsmc PO '#]],BB___HK___AMHS__Others[Status],"&lt;&gt;Rejected",BB___HK___AMHS__Others[YearMonth],"2024-09")</f>
        <v>290696</v>
      </c>
      <c r="CT96" s="601">
        <f>SUMIFS(BB___HK___AMHS__Others[Tax],BB___HK___AMHS__Others[PO No.],AR_725[[#This Row],[tsmc PO '#]],BB___HK___AMHS__Others[Status],"&lt;&gt;Rejected",BB___HK___AMHS__Others[YearMonth],"2024-09")</f>
        <v>0</v>
      </c>
    </row>
    <row r="97" spans="1:98" ht="14.1" hidden="1">
      <c r="A97" s="30" t="s">
        <v>13</v>
      </c>
      <c r="B97" s="30" t="s">
        <v>13</v>
      </c>
      <c r="C97" s="30" t="s">
        <v>1794</v>
      </c>
      <c r="D97" s="50"/>
      <c r="E97" s="63" t="s">
        <v>2126</v>
      </c>
      <c r="F97" s="66" t="s">
        <v>2126</v>
      </c>
      <c r="G97" s="63" t="s">
        <v>315</v>
      </c>
      <c r="H97" s="50">
        <v>4590008674</v>
      </c>
      <c r="I97" s="30" t="s">
        <v>361</v>
      </c>
      <c r="J97" s="30" t="s">
        <v>359</v>
      </c>
      <c r="K97" s="62">
        <v>327419.43</v>
      </c>
      <c r="L97" s="30"/>
      <c r="M97" s="86"/>
      <c r="N97" s="87"/>
      <c r="O97" s="88"/>
      <c r="P9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300145</v>
      </c>
      <c r="Q9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300145</v>
      </c>
      <c r="R9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300145</v>
      </c>
      <c r="S97" s="72">
        <f>IF(AR_725[[#This Row],[PO Amount]]=0,1,AR_725[[#This Row],[Total AR (Sent)]]/AR_725[[#This Row],[PO Amount]])</f>
        <v>0.91669880434401829</v>
      </c>
      <c r="T97" s="75">
        <f>AR_725[[#This Row],[PO Amount]]-AR_725[[#This Row],[Total AR (Sent)]]</f>
        <v>27274.429999999993</v>
      </c>
      <c r="U97" s="40"/>
      <c r="V97" s="40"/>
      <c r="W97" s="46"/>
      <c r="X97" s="46"/>
      <c r="Y97" s="46"/>
      <c r="Z97" s="46"/>
      <c r="AA97" s="46"/>
      <c r="AB97" s="40"/>
      <c r="AC97" s="40"/>
      <c r="AD97" s="40"/>
      <c r="AE97" s="46"/>
      <c r="AF97" s="46"/>
      <c r="AG97" s="46"/>
      <c r="AH97" s="46"/>
      <c r="AI97" s="46"/>
      <c r="AJ97" s="41"/>
      <c r="AK97" s="46"/>
      <c r="AL97" s="46"/>
      <c r="AM97" s="46"/>
      <c r="AN97" s="46"/>
      <c r="AO97" s="46"/>
      <c r="AP97" s="46"/>
      <c r="AQ97" s="46"/>
      <c r="AR97" s="41"/>
      <c r="AS97" s="46"/>
      <c r="AT97" s="41"/>
      <c r="AU97" s="41"/>
      <c r="AV97" s="41"/>
      <c r="AW97" s="41"/>
      <c r="AX97" s="41"/>
      <c r="AY97" s="41"/>
      <c r="AZ97" s="41"/>
      <c r="BA97" s="46"/>
      <c r="BB97" s="41"/>
      <c r="BC97" s="54"/>
      <c r="BD97" s="41"/>
      <c r="BE97" s="46"/>
      <c r="BF97" s="41"/>
      <c r="BG97" s="42">
        <v>61129</v>
      </c>
      <c r="BH97" s="41"/>
      <c r="BI97" s="41"/>
      <c r="BJ97" s="41"/>
      <c r="BK97" s="41"/>
      <c r="BL97" s="41"/>
      <c r="BM97" s="42">
        <v>239016</v>
      </c>
      <c r="BN97" s="41"/>
      <c r="BO97" s="46"/>
      <c r="BP97" s="41"/>
      <c r="BQ97" s="46"/>
      <c r="BR97" s="40"/>
      <c r="BS97" s="40"/>
      <c r="BT97" s="40"/>
      <c r="BU97" s="40"/>
      <c r="BV97" s="40"/>
      <c r="BW97" s="40"/>
      <c r="BX97" s="34"/>
      <c r="BZ97" s="40"/>
      <c r="CA97" s="40"/>
      <c r="CB97" s="34"/>
      <c r="CC97" s="34"/>
      <c r="CD97" s="34"/>
      <c r="CE97" s="34"/>
      <c r="CF97" s="34"/>
      <c r="CG97" s="122"/>
      <c r="CI97" s="122"/>
      <c r="CJ97" s="30"/>
      <c r="CK97" s="122">
        <v>0</v>
      </c>
      <c r="CL97" s="122">
        <v>0</v>
      </c>
      <c r="CM97" s="122">
        <v>0</v>
      </c>
      <c r="CN97" s="122">
        <v>0</v>
      </c>
      <c r="CO97" s="122">
        <f>SUMIFS(BB___HK___AMHS__Others[AR Amount],BB___HK___AMHS__Others[PO No.],AR_725[[#This Row],[tsmc PO '#]],BB___HK___AMHS__Others[Status],"&lt;&gt;Rejected",BB___HK___AMHS__Others[YearMonth],"2024-07")</f>
        <v>0</v>
      </c>
      <c r="CP97" s="122">
        <f>SUMIFS(BB___HK___AMHS__Others[Tax],BB___HK___AMHS__Others[PO No.],AR_725[[#This Row],[tsmc PO '#]],BB___HK___AMHS__Others[Status],"&lt;&gt;Rejected",BB___HK___AMHS__Others[YearMonth],"2024-07")</f>
        <v>0</v>
      </c>
      <c r="CQ97" s="34">
        <f>SUMIFS(BB___HK___AMHS__Others[AR Amount],BB___HK___AMHS__Others[PO No.],AR_725[[#This Row],[tsmc PO '#]],BB___HK___AMHS__Others[Status],"&lt;&gt;Rejected",BB___HK___AMHS__Others[YearMonth],"2024-08")</f>
        <v>0</v>
      </c>
      <c r="CR97" s="44">
        <f>SUMIFS(BB___HK___AMHS__Others[Tax],BB___HK___AMHS__Others[PO No.],AR_725[[#This Row],[tsmc PO '#]],BB___HK___AMHS__Others[Status],"&lt;&gt;Rejected",BB___HK___AMHS__Others[YearMonth],"2024-08")</f>
        <v>0</v>
      </c>
      <c r="CS97" s="62">
        <f>SUMIFS(BB___HK___AMHS__Others[AR Amount],BB___HK___AMHS__Others[PO No.],AR_725[[#This Row],[tsmc PO '#]],BB___HK___AMHS__Others[Status],"&lt;&gt;Rejected",BB___HK___AMHS__Others[YearMonth],"2024-09")</f>
        <v>0</v>
      </c>
      <c r="CT97" s="601">
        <f>SUMIFS(BB___HK___AMHS__Others[Tax],BB___HK___AMHS__Others[PO No.],AR_725[[#This Row],[tsmc PO '#]],BB___HK___AMHS__Others[Status],"&lt;&gt;Rejected",BB___HK___AMHS__Others[YearMonth],"2024-09")</f>
        <v>0</v>
      </c>
    </row>
    <row r="98" spans="1:98" ht="14.1" hidden="1">
      <c r="A98" s="30" t="s">
        <v>13</v>
      </c>
      <c r="B98" s="30" t="s">
        <v>13</v>
      </c>
      <c r="D98" s="50"/>
      <c r="E98" s="50" t="s">
        <v>2044</v>
      </c>
      <c r="F98" s="60" t="s">
        <v>2090</v>
      </c>
      <c r="G98" s="48" t="s">
        <v>2143</v>
      </c>
      <c r="H98" s="50">
        <v>4590008827</v>
      </c>
      <c r="I98" s="30" t="s">
        <v>222</v>
      </c>
      <c r="J98" s="113" t="s">
        <v>390</v>
      </c>
      <c r="K98" s="62">
        <v>926011.72</v>
      </c>
      <c r="L98" s="30"/>
      <c r="M98" s="86">
        <v>44937</v>
      </c>
      <c r="N98" s="87" t="s">
        <v>2063</v>
      </c>
      <c r="O98" s="88" t="s">
        <v>2104</v>
      </c>
      <c r="P9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923604.72</v>
      </c>
      <c r="Q98" s="114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923604.72</v>
      </c>
      <c r="R9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923604.72</v>
      </c>
      <c r="S98" s="72">
        <f>IF(AR_725[[#This Row],[PO Amount]]=0,1,AR_725[[#This Row],[Total AR (Sent)]]/AR_725[[#This Row],[PO Amount]])</f>
        <v>0.99740068084667433</v>
      </c>
      <c r="T98" s="75">
        <f>AR_725[[#This Row],[PO Amount]]-AR_725[[#This Row],[Total AR (Sent)]]</f>
        <v>2407</v>
      </c>
      <c r="U98" s="40"/>
      <c r="V98" s="40"/>
      <c r="W98" s="46"/>
      <c r="X98" s="46"/>
      <c r="Y98" s="46"/>
      <c r="Z98" s="46"/>
      <c r="AA98" s="46"/>
      <c r="AB98" s="40"/>
      <c r="AC98" s="40"/>
      <c r="AD98" s="40"/>
      <c r="AE98" s="46"/>
      <c r="AF98" s="46"/>
      <c r="AG98" s="40"/>
      <c r="AH98" s="46"/>
      <c r="AI98" s="40"/>
      <c r="AJ98" s="41"/>
      <c r="AK98" s="40"/>
      <c r="AL98" s="46"/>
      <c r="AM98" s="40"/>
      <c r="AN98" s="46"/>
      <c r="AO98" s="40"/>
      <c r="AP98" s="46"/>
      <c r="AQ98" s="40"/>
      <c r="AR98" s="41"/>
      <c r="AS98" s="40"/>
      <c r="AT98" s="41"/>
      <c r="AU98" s="40"/>
      <c r="AV98" s="41"/>
      <c r="AW98" s="40"/>
      <c r="AX98" s="41"/>
      <c r="AY98" s="40"/>
      <c r="AZ98" s="41"/>
      <c r="BA98" s="41"/>
      <c r="BB98" s="41"/>
      <c r="BC98" s="40"/>
      <c r="BD98" s="41"/>
      <c r="BE98" s="41"/>
      <c r="BF98" s="41"/>
      <c r="BG98" s="41"/>
      <c r="BH98" s="41"/>
      <c r="BI98" s="42">
        <v>185202.34</v>
      </c>
      <c r="BJ98" s="41"/>
      <c r="BK98" s="42">
        <v>4405.0200000000004</v>
      </c>
      <c r="BL98" s="41"/>
      <c r="BM98" s="42">
        <v>99676.09</v>
      </c>
      <c r="BN98" s="34"/>
      <c r="BO98" s="47">
        <v>29325.47</v>
      </c>
      <c r="BP98" s="41"/>
      <c r="BQ98" s="47">
        <v>97673.16</v>
      </c>
      <c r="BR98" s="40"/>
      <c r="BS98" s="47">
        <v>300813.71000000002</v>
      </c>
      <c r="BT98" s="40"/>
      <c r="BU98" s="47">
        <v>206508.93</v>
      </c>
      <c r="BV98" s="40"/>
      <c r="BW98" s="40"/>
      <c r="BX98" s="34"/>
      <c r="BZ98" s="40"/>
      <c r="CA98" s="40"/>
      <c r="CB98" s="34"/>
      <c r="CC98" s="34"/>
      <c r="CD98" s="34"/>
      <c r="CE98" s="34"/>
      <c r="CF98" s="34"/>
      <c r="CG98" s="122"/>
      <c r="CI98" s="122"/>
      <c r="CJ98" s="30"/>
      <c r="CK98" s="122">
        <v>0</v>
      </c>
      <c r="CL98" s="122">
        <v>0</v>
      </c>
      <c r="CM98" s="122">
        <v>0</v>
      </c>
      <c r="CN98" s="122">
        <v>0</v>
      </c>
      <c r="CO98" s="122">
        <f>SUMIFS(BB___HK___AMHS__Others[AR Amount],BB___HK___AMHS__Others[PO No.],AR_725[[#This Row],[tsmc PO '#]],BB___HK___AMHS__Others[Status],"&lt;&gt;Rejected",BB___HK___AMHS__Others[YearMonth],"2024-07")</f>
        <v>0</v>
      </c>
      <c r="CP98" s="122">
        <f>SUMIFS(BB___HK___AMHS__Others[Tax],BB___HK___AMHS__Others[PO No.],AR_725[[#This Row],[tsmc PO '#]],BB___HK___AMHS__Others[Status],"&lt;&gt;Rejected",BB___HK___AMHS__Others[YearMonth],"2024-07")</f>
        <v>0</v>
      </c>
      <c r="CQ98" s="34">
        <f>SUMIFS(BB___HK___AMHS__Others[AR Amount],BB___HK___AMHS__Others[PO No.],AR_725[[#This Row],[tsmc PO '#]],BB___HK___AMHS__Others[Status],"&lt;&gt;Rejected",BB___HK___AMHS__Others[YearMonth],"2024-08")</f>
        <v>0</v>
      </c>
      <c r="CR98" s="44">
        <f>SUMIFS(BB___HK___AMHS__Others[Tax],BB___HK___AMHS__Others[PO No.],AR_725[[#This Row],[tsmc PO '#]],BB___HK___AMHS__Others[Status],"&lt;&gt;Rejected",BB___HK___AMHS__Others[YearMonth],"2024-08")</f>
        <v>0</v>
      </c>
      <c r="CS98" s="62">
        <f>SUMIFS(BB___HK___AMHS__Others[AR Amount],BB___HK___AMHS__Others[PO No.],AR_725[[#This Row],[tsmc PO '#]],BB___HK___AMHS__Others[Status],"&lt;&gt;Rejected",BB___HK___AMHS__Others[YearMonth],"2024-09")</f>
        <v>0</v>
      </c>
      <c r="CT98" s="601">
        <f>SUMIFS(BB___HK___AMHS__Others[Tax],BB___HK___AMHS__Others[PO No.],AR_725[[#This Row],[tsmc PO '#]],BB___HK___AMHS__Others[Status],"&lt;&gt;Rejected",BB___HK___AMHS__Others[YearMonth],"2024-09")</f>
        <v>0</v>
      </c>
    </row>
    <row r="99" spans="1:98" ht="14.1" hidden="1">
      <c r="A99" s="30" t="s">
        <v>9</v>
      </c>
      <c r="B99" s="30" t="s">
        <v>2051</v>
      </c>
      <c r="C99" s="30" t="s">
        <v>42</v>
      </c>
      <c r="D99" s="50" t="s">
        <v>1720</v>
      </c>
      <c r="E99" s="48" t="s">
        <v>2060</v>
      </c>
      <c r="F99" s="48" t="s">
        <v>2095</v>
      </c>
      <c r="G99" s="63" t="s">
        <v>312</v>
      </c>
      <c r="H99" s="50">
        <v>4590009036</v>
      </c>
      <c r="I99" s="30" t="s">
        <v>104</v>
      </c>
      <c r="J99" s="30" t="s">
        <v>362</v>
      </c>
      <c r="K99" s="62">
        <v>125975</v>
      </c>
      <c r="L99" s="30"/>
      <c r="M99" s="86">
        <v>44945</v>
      </c>
      <c r="N99" s="87" t="s">
        <v>2063</v>
      </c>
      <c r="O99" s="88" t="s">
        <v>2056</v>
      </c>
      <c r="P9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125975</v>
      </c>
      <c r="Q9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125975</v>
      </c>
      <c r="R9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125975</v>
      </c>
      <c r="S99" s="72">
        <f>IF(AR_725[[#This Row],[PO Amount]]=0,1,AR_725[[#This Row],[Total AR (Sent)]]/AR_725[[#This Row],[PO Amount]])</f>
        <v>1</v>
      </c>
      <c r="T99" s="75">
        <f>AR_725[[#This Row],[PO Amount]]-AR_725[[#This Row],[Total AR (Sent)]]</f>
        <v>0</v>
      </c>
      <c r="U99" s="40"/>
      <c r="V99" s="40"/>
      <c r="W99" s="46"/>
      <c r="X99" s="46"/>
      <c r="Y99" s="46"/>
      <c r="Z99" s="46"/>
      <c r="AA99" s="46"/>
      <c r="AB99" s="40"/>
      <c r="AC99" s="40"/>
      <c r="AD99" s="40"/>
      <c r="AE99" s="46"/>
      <c r="AF99" s="46"/>
      <c r="AG99" s="40"/>
      <c r="AH99" s="46"/>
      <c r="AI99" s="40"/>
      <c r="AJ99" s="41"/>
      <c r="AK99" s="40"/>
      <c r="AL99" s="46"/>
      <c r="AM99" s="40"/>
      <c r="AN99" s="46"/>
      <c r="AO99" s="40"/>
      <c r="AP99" s="46"/>
      <c r="AQ99" s="40"/>
      <c r="AR99" s="41"/>
      <c r="AS99" s="40"/>
      <c r="AT99" s="41"/>
      <c r="AU99" s="40"/>
      <c r="AV99" s="41"/>
      <c r="AW99" s="40"/>
      <c r="AX99" s="41"/>
      <c r="AY99" s="40"/>
      <c r="AZ99" s="41"/>
      <c r="BA99" s="41"/>
      <c r="BB99" s="41"/>
      <c r="BC99" s="40"/>
      <c r="BD99" s="41"/>
      <c r="BE99" s="41"/>
      <c r="BF99" s="41"/>
      <c r="BG99" s="42">
        <v>8973</v>
      </c>
      <c r="BH99" s="41"/>
      <c r="BI99" s="42">
        <v>72888</v>
      </c>
      <c r="BJ99" s="41"/>
      <c r="BK99" s="42">
        <v>10155</v>
      </c>
      <c r="BL99" s="41"/>
      <c r="BM99" s="41"/>
      <c r="BN99" s="41"/>
      <c r="BO99" s="46"/>
      <c r="BP99" s="41"/>
      <c r="BQ99" s="46"/>
      <c r="BR99" s="40"/>
      <c r="BS99" s="40"/>
      <c r="BT99" s="40"/>
      <c r="BU99" s="40"/>
      <c r="BV99" s="40"/>
      <c r="BW99" s="40"/>
      <c r="BX99" s="34"/>
      <c r="BY99" s="47">
        <v>33959</v>
      </c>
      <c r="BZ99" s="40"/>
      <c r="CA99" s="40"/>
      <c r="CB99" s="34"/>
      <c r="CC99" s="34"/>
      <c r="CD99" s="34"/>
      <c r="CE99" s="34"/>
      <c r="CF99" s="34"/>
      <c r="CG99" s="122"/>
      <c r="CI99" s="122"/>
      <c r="CJ99" s="30"/>
      <c r="CK99" s="122">
        <v>0</v>
      </c>
      <c r="CL99" s="122">
        <v>0</v>
      </c>
      <c r="CM99" s="122">
        <v>0</v>
      </c>
      <c r="CN99" s="122">
        <v>0</v>
      </c>
      <c r="CO99" s="122">
        <f>SUMIFS(BB___HK___AMHS__Others[AR Amount],BB___HK___AMHS__Others[PO No.],AR_725[[#This Row],[tsmc PO '#]],BB___HK___AMHS__Others[Status],"&lt;&gt;Rejected",BB___HK___AMHS__Others[YearMonth],"2024-07")</f>
        <v>0</v>
      </c>
      <c r="CP99" s="122">
        <f>SUMIFS(BB___HK___AMHS__Others[Tax],BB___HK___AMHS__Others[PO No.],AR_725[[#This Row],[tsmc PO '#]],BB___HK___AMHS__Others[Status],"&lt;&gt;Rejected",BB___HK___AMHS__Others[YearMonth],"2024-07")</f>
        <v>0</v>
      </c>
      <c r="CQ99" s="34">
        <f>SUMIFS(BB___HK___AMHS__Others[AR Amount],BB___HK___AMHS__Others[PO No.],AR_725[[#This Row],[tsmc PO '#]],BB___HK___AMHS__Others[Status],"&lt;&gt;Rejected",BB___HK___AMHS__Others[YearMonth],"2024-08")</f>
        <v>0</v>
      </c>
      <c r="CR99" s="44">
        <f>SUMIFS(BB___HK___AMHS__Others[Tax],BB___HK___AMHS__Others[PO No.],AR_725[[#This Row],[tsmc PO '#]],BB___HK___AMHS__Others[Status],"&lt;&gt;Rejected",BB___HK___AMHS__Others[YearMonth],"2024-08")</f>
        <v>0</v>
      </c>
      <c r="CS99" s="62">
        <f>SUMIFS(BB___HK___AMHS__Others[AR Amount],BB___HK___AMHS__Others[PO No.],AR_725[[#This Row],[tsmc PO '#]],BB___HK___AMHS__Others[Status],"&lt;&gt;Rejected",BB___HK___AMHS__Others[YearMonth],"2024-09")</f>
        <v>0</v>
      </c>
      <c r="CT99" s="601">
        <f>SUMIFS(BB___HK___AMHS__Others[Tax],BB___HK___AMHS__Others[PO No.],AR_725[[#This Row],[tsmc PO '#]],BB___HK___AMHS__Others[Status],"&lt;&gt;Rejected",BB___HK___AMHS__Others[YearMonth],"2024-09")</f>
        <v>0</v>
      </c>
    </row>
    <row r="100" spans="1:98" ht="14.1" hidden="1">
      <c r="A100" s="30" t="s">
        <v>13</v>
      </c>
      <c r="B100" s="30" t="s">
        <v>2113</v>
      </c>
      <c r="C100" s="30" t="s">
        <v>1794</v>
      </c>
      <c r="D100" s="50"/>
      <c r="E100" s="57" t="s">
        <v>2126</v>
      </c>
      <c r="F100" s="64" t="s">
        <v>2126</v>
      </c>
      <c r="G100" s="48" t="s">
        <v>54</v>
      </c>
      <c r="H100" s="50">
        <v>4590009148</v>
      </c>
      <c r="I100" s="30" t="s">
        <v>361</v>
      </c>
      <c r="J100" s="30" t="s">
        <v>462</v>
      </c>
      <c r="K100" s="62">
        <v>35767.300000000003</v>
      </c>
      <c r="L100" s="30"/>
      <c r="M100" s="86">
        <v>44958</v>
      </c>
      <c r="N100" s="87" t="s">
        <v>2063</v>
      </c>
      <c r="O100" s="88" t="s">
        <v>2104</v>
      </c>
      <c r="P10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35767</v>
      </c>
      <c r="Q10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35767</v>
      </c>
      <c r="R10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35767</v>
      </c>
      <c r="S100" s="72">
        <f>IF(AR_725[[#This Row],[PO Amount]]=0,1,AR_725[[#This Row],[Total AR (Sent)]]/AR_725[[#This Row],[PO Amount]])</f>
        <v>0.99999161245047841</v>
      </c>
      <c r="T100" s="75">
        <f>AR_725[[#This Row],[PO Amount]]-AR_725[[#This Row],[Total AR (Sent)]]</f>
        <v>0.30000000000291038</v>
      </c>
      <c r="U100" s="40"/>
      <c r="V100" s="40"/>
      <c r="W100" s="46"/>
      <c r="X100" s="46"/>
      <c r="Y100" s="46"/>
      <c r="Z100" s="46"/>
      <c r="AA100" s="46"/>
      <c r="AB100" s="40"/>
      <c r="AC100" s="40"/>
      <c r="AD100" s="40"/>
      <c r="AE100" s="46"/>
      <c r="AF100" s="46"/>
      <c r="AG100" s="40"/>
      <c r="AH100" s="46"/>
      <c r="AI100" s="40"/>
      <c r="AJ100" s="41"/>
      <c r="AK100" s="40"/>
      <c r="AL100" s="46"/>
      <c r="AM100" s="40"/>
      <c r="AN100" s="46"/>
      <c r="AO100" s="40"/>
      <c r="AP100" s="46"/>
      <c r="AQ100" s="40"/>
      <c r="AR100" s="41"/>
      <c r="AS100" s="40"/>
      <c r="AT100" s="41"/>
      <c r="AU100" s="40"/>
      <c r="AV100" s="41"/>
      <c r="AW100" s="40"/>
      <c r="AX100" s="41"/>
      <c r="AY100" s="40"/>
      <c r="AZ100" s="41"/>
      <c r="BA100" s="41"/>
      <c r="BB100" s="41"/>
      <c r="BC100" s="40"/>
      <c r="BD100" s="41"/>
      <c r="BE100" s="41"/>
      <c r="BF100" s="41"/>
      <c r="BG100" s="41"/>
      <c r="BH100" s="41"/>
      <c r="BI100" s="41"/>
      <c r="BJ100" s="41"/>
      <c r="BK100" s="41"/>
      <c r="BL100" s="41"/>
      <c r="BM100" s="42">
        <v>35767</v>
      </c>
      <c r="BN100" s="41"/>
      <c r="BO100" s="46"/>
      <c r="BP100" s="41"/>
      <c r="BQ100" s="46"/>
      <c r="BR100" s="40"/>
      <c r="BS100" s="40"/>
      <c r="BT100" s="40"/>
      <c r="BU100" s="40"/>
      <c r="BV100" s="40"/>
      <c r="BW100" s="40"/>
      <c r="BX100" s="34"/>
      <c r="BZ100" s="40"/>
      <c r="CA100" s="40"/>
      <c r="CB100" s="34"/>
      <c r="CC100" s="34"/>
      <c r="CD100" s="34"/>
      <c r="CE100" s="34"/>
      <c r="CF100" s="34"/>
      <c r="CG100" s="122"/>
      <c r="CI100" s="122"/>
      <c r="CJ100" s="30"/>
      <c r="CK100" s="122">
        <v>0</v>
      </c>
      <c r="CL100" s="122">
        <v>0</v>
      </c>
      <c r="CM100" s="122">
        <v>0</v>
      </c>
      <c r="CN100" s="122">
        <v>0</v>
      </c>
      <c r="CO100" s="122">
        <f>SUMIFS(BB___HK___AMHS__Others[AR Amount],BB___HK___AMHS__Others[PO No.],AR_725[[#This Row],[tsmc PO '#]],BB___HK___AMHS__Others[Status],"&lt;&gt;Rejected",BB___HK___AMHS__Others[YearMonth],"2024-07")</f>
        <v>0</v>
      </c>
      <c r="CP100" s="122">
        <f>SUMIFS(BB___HK___AMHS__Others[Tax],BB___HK___AMHS__Others[PO No.],AR_725[[#This Row],[tsmc PO '#]],BB___HK___AMHS__Others[Status],"&lt;&gt;Rejected",BB___HK___AMHS__Others[YearMonth],"2024-07")</f>
        <v>0</v>
      </c>
      <c r="CQ100" s="34">
        <f>SUMIFS(BB___HK___AMHS__Others[AR Amount],BB___HK___AMHS__Others[PO No.],AR_725[[#This Row],[tsmc PO '#]],BB___HK___AMHS__Others[Status],"&lt;&gt;Rejected",BB___HK___AMHS__Others[YearMonth],"2024-08")</f>
        <v>0</v>
      </c>
      <c r="CR100" s="44">
        <f>SUMIFS(BB___HK___AMHS__Others[Tax],BB___HK___AMHS__Others[PO No.],AR_725[[#This Row],[tsmc PO '#]],BB___HK___AMHS__Others[Status],"&lt;&gt;Rejected",BB___HK___AMHS__Others[YearMonth],"2024-08")</f>
        <v>0</v>
      </c>
      <c r="CS100" s="62">
        <f>SUMIFS(BB___HK___AMHS__Others[AR Amount],BB___HK___AMHS__Others[PO No.],AR_725[[#This Row],[tsmc PO '#]],BB___HK___AMHS__Others[Status],"&lt;&gt;Rejected",BB___HK___AMHS__Others[YearMonth],"2024-09")</f>
        <v>0</v>
      </c>
      <c r="CT100" s="601">
        <f>SUMIFS(BB___HK___AMHS__Others[Tax],BB___HK___AMHS__Others[PO No.],AR_725[[#This Row],[tsmc PO '#]],BB___HK___AMHS__Others[Status],"&lt;&gt;Rejected",BB___HK___AMHS__Others[YearMonth],"2024-09")</f>
        <v>0</v>
      </c>
    </row>
    <row r="101" spans="1:98" ht="14.1" hidden="1">
      <c r="A101" s="30" t="s">
        <v>13</v>
      </c>
      <c r="B101" s="30" t="s">
        <v>13</v>
      </c>
      <c r="C101" s="30" t="s">
        <v>1794</v>
      </c>
      <c r="D101" s="50"/>
      <c r="E101" s="64" t="s">
        <v>2126</v>
      </c>
      <c r="F101" s="64" t="s">
        <v>2126</v>
      </c>
      <c r="G101" s="48" t="s">
        <v>822</v>
      </c>
      <c r="H101" s="50">
        <v>4590009466</v>
      </c>
      <c r="I101" s="30" t="s">
        <v>563</v>
      </c>
      <c r="J101" s="30" t="s">
        <v>561</v>
      </c>
      <c r="K101" s="41">
        <v>3463200</v>
      </c>
      <c r="L101" s="30"/>
      <c r="M101" s="86"/>
      <c r="N101" s="87"/>
      <c r="O101" s="88"/>
      <c r="P10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3139500</v>
      </c>
      <c r="Q10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3139500</v>
      </c>
      <c r="R10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3139500</v>
      </c>
      <c r="S101" s="72">
        <f>IF(AR_725[[#This Row],[PO Amount]]=0,1,AR_725[[#This Row],[Total AR (Sent)]]/AR_725[[#This Row],[PO Amount]])</f>
        <v>0.90653153153153154</v>
      </c>
      <c r="T101" s="68">
        <f>AR_725[[#This Row],[PO Amount]]-AR_725[[#This Row],[Total AR (Sent)]]</f>
        <v>323700</v>
      </c>
      <c r="U101" s="40"/>
      <c r="V101" s="40"/>
      <c r="W101" s="41"/>
      <c r="X101" s="41"/>
      <c r="Y101" s="41"/>
      <c r="Z101" s="41"/>
      <c r="AA101" s="41"/>
      <c r="AB101" s="40"/>
      <c r="AC101" s="40"/>
      <c r="AD101" s="40"/>
      <c r="AE101" s="41"/>
      <c r="AF101" s="41"/>
      <c r="AG101" s="41"/>
      <c r="AH101" s="41"/>
      <c r="AI101" s="34"/>
      <c r="AJ101" s="41"/>
      <c r="AK101" s="34"/>
      <c r="AL101" s="41"/>
      <c r="AM101" s="34"/>
      <c r="AN101" s="41"/>
      <c r="AO101" s="34"/>
      <c r="AP101" s="41"/>
      <c r="AQ101" s="34"/>
      <c r="AR101" s="41"/>
      <c r="AS101" s="34"/>
      <c r="AT101" s="41"/>
      <c r="AU101" s="34"/>
      <c r="AV101" s="41"/>
      <c r="AW101" s="34"/>
      <c r="AX101" s="41"/>
      <c r="AY101" s="34"/>
      <c r="AZ101" s="41"/>
      <c r="BA101" s="41"/>
      <c r="BB101" s="41"/>
      <c r="BC101" s="34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0"/>
      <c r="BS101" s="42">
        <v>402225</v>
      </c>
      <c r="BT101" s="40"/>
      <c r="BU101" s="34"/>
      <c r="BV101" s="40"/>
      <c r="BW101" s="34"/>
      <c r="BX101" s="34"/>
      <c r="BY101" s="42">
        <v>650478</v>
      </c>
      <c r="BZ101" s="40"/>
      <c r="CA101" s="69">
        <f>375238-375238</f>
        <v>0</v>
      </c>
      <c r="CB101" s="34"/>
      <c r="CC101" s="42">
        <v>375238</v>
      </c>
      <c r="CD101" s="34"/>
      <c r="CE101" s="42">
        <v>1711559</v>
      </c>
      <c r="CF101" s="34"/>
      <c r="CG101" s="122"/>
      <c r="CI101" s="122"/>
      <c r="CJ101" s="30"/>
      <c r="CK101" s="122">
        <v>0</v>
      </c>
      <c r="CL101" s="122">
        <v>0</v>
      </c>
      <c r="CM101" s="122">
        <v>0</v>
      </c>
      <c r="CN101" s="122">
        <v>0</v>
      </c>
      <c r="CO101" s="122">
        <f>SUMIFS(BB___HK___AMHS__Others[AR Amount],BB___HK___AMHS__Others[PO No.],AR_725[[#This Row],[tsmc PO '#]],BB___HK___AMHS__Others[Status],"&lt;&gt;Rejected",BB___HK___AMHS__Others[YearMonth],"2024-07")</f>
        <v>0</v>
      </c>
      <c r="CP101" s="122">
        <f>SUMIFS(BB___HK___AMHS__Others[Tax],BB___HK___AMHS__Others[PO No.],AR_725[[#This Row],[tsmc PO '#]],BB___HK___AMHS__Others[Status],"&lt;&gt;Rejected",BB___HK___AMHS__Others[YearMonth],"2024-07")</f>
        <v>0</v>
      </c>
      <c r="CQ101" s="34">
        <f>SUMIFS(BB___HK___AMHS__Others[AR Amount],BB___HK___AMHS__Others[PO No.],AR_725[[#This Row],[tsmc PO '#]],BB___HK___AMHS__Others[Status],"&lt;&gt;Rejected",BB___HK___AMHS__Others[YearMonth],"2024-08")</f>
        <v>0</v>
      </c>
      <c r="CR101" s="44">
        <f>SUMIFS(BB___HK___AMHS__Others[Tax],BB___HK___AMHS__Others[PO No.],AR_725[[#This Row],[tsmc PO '#]],BB___HK___AMHS__Others[Status],"&lt;&gt;Rejected",BB___HK___AMHS__Others[YearMonth],"2024-08")</f>
        <v>0</v>
      </c>
      <c r="CS101" s="62">
        <f>SUMIFS(BB___HK___AMHS__Others[AR Amount],BB___HK___AMHS__Others[PO No.],AR_725[[#This Row],[tsmc PO '#]],BB___HK___AMHS__Others[Status],"&lt;&gt;Rejected",BB___HK___AMHS__Others[YearMonth],"2024-09")</f>
        <v>0</v>
      </c>
      <c r="CT101" s="601">
        <f>SUMIFS(BB___HK___AMHS__Others[Tax],BB___HK___AMHS__Others[PO No.],AR_725[[#This Row],[tsmc PO '#]],BB___HK___AMHS__Others[Status],"&lt;&gt;Rejected",BB___HK___AMHS__Others[YearMonth],"2024-09")</f>
        <v>0</v>
      </c>
    </row>
    <row r="102" spans="1:98" ht="14.1" hidden="1">
      <c r="A102" s="30" t="s">
        <v>10</v>
      </c>
      <c r="B102" s="30" t="s">
        <v>10</v>
      </c>
      <c r="C102" s="30" t="s">
        <v>1794</v>
      </c>
      <c r="D102" s="50"/>
      <c r="E102" s="57" t="s">
        <v>2126</v>
      </c>
      <c r="F102" s="48"/>
      <c r="G102" s="48" t="s">
        <v>2144</v>
      </c>
      <c r="H102" s="50">
        <v>4590009735</v>
      </c>
      <c r="I102" s="30" t="s">
        <v>563</v>
      </c>
      <c r="J102" s="30" t="s">
        <v>2145</v>
      </c>
      <c r="K102" s="46">
        <v>133900</v>
      </c>
      <c r="L102" s="30"/>
      <c r="M102" s="86"/>
      <c r="N102" s="87"/>
      <c r="O102" s="88"/>
      <c r="P10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10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10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102" s="72">
        <f>IF(AR_725[[#This Row],[PO Amount]]=0,1,AR_725[[#This Row],[Total AR (Sent)]]/AR_725[[#This Row],[PO Amount]])</f>
        <v>0</v>
      </c>
      <c r="T102" s="75">
        <f>AR_725[[#This Row],[PO Amount]]-AR_725[[#This Row],[Total AR (Sent)]]</f>
        <v>133900</v>
      </c>
      <c r="U102" s="40"/>
      <c r="V102" s="40"/>
      <c r="W102" s="46"/>
      <c r="X102" s="46"/>
      <c r="Y102" s="46"/>
      <c r="Z102" s="46"/>
      <c r="AA102" s="46"/>
      <c r="AB102" s="40"/>
      <c r="AC102" s="40"/>
      <c r="AD102" s="40"/>
      <c r="AE102" s="46"/>
      <c r="AF102" s="46"/>
      <c r="AG102" s="46"/>
      <c r="AH102" s="46"/>
      <c r="AI102" s="40"/>
      <c r="AJ102" s="46"/>
      <c r="AK102" s="40"/>
      <c r="AL102" s="46"/>
      <c r="AM102" s="40"/>
      <c r="AN102" s="46"/>
      <c r="AO102" s="40"/>
      <c r="AP102" s="46"/>
      <c r="AQ102" s="40"/>
      <c r="AR102" s="41"/>
      <c r="AS102" s="40"/>
      <c r="AT102" s="41"/>
      <c r="AU102" s="40"/>
      <c r="AV102" s="41"/>
      <c r="AW102" s="40"/>
      <c r="AX102" s="41"/>
      <c r="AY102" s="40"/>
      <c r="AZ102" s="41"/>
      <c r="BA102" s="41"/>
      <c r="BB102" s="41"/>
      <c r="BC102" s="40"/>
      <c r="BD102" s="41"/>
      <c r="BE102" s="46"/>
      <c r="BF102" s="41"/>
      <c r="BG102" s="41"/>
      <c r="BH102" s="41"/>
      <c r="BI102" s="41"/>
      <c r="BJ102" s="41"/>
      <c r="BK102" s="41"/>
      <c r="BL102" s="41"/>
      <c r="BM102" s="41"/>
      <c r="BN102" s="41"/>
      <c r="BO102" s="46"/>
      <c r="BP102" s="41"/>
      <c r="BQ102" s="46"/>
      <c r="BR102" s="40"/>
      <c r="BS102" s="40"/>
      <c r="BT102" s="40"/>
      <c r="BU102" s="40"/>
      <c r="BV102" s="40"/>
      <c r="BW102" s="40"/>
      <c r="BX102" s="34"/>
      <c r="BZ102" s="40"/>
      <c r="CA102" s="40"/>
      <c r="CB102" s="34"/>
      <c r="CC102" s="34"/>
      <c r="CD102" s="34"/>
      <c r="CE102" s="34"/>
      <c r="CF102" s="34"/>
      <c r="CG102" s="122"/>
      <c r="CI102" s="122"/>
      <c r="CJ102" s="30"/>
      <c r="CK102" s="122">
        <v>0</v>
      </c>
      <c r="CL102" s="122">
        <v>0</v>
      </c>
      <c r="CM102" s="122">
        <v>0</v>
      </c>
      <c r="CN102" s="122">
        <v>0</v>
      </c>
      <c r="CO102" s="122">
        <f>SUMIFS(BB___HK___AMHS__Others[AR Amount],BB___HK___AMHS__Others[PO No.],AR_725[[#This Row],[tsmc PO '#]],BB___HK___AMHS__Others[Status],"&lt;&gt;Rejected",BB___HK___AMHS__Others[YearMonth],"2024-07")</f>
        <v>0</v>
      </c>
      <c r="CP102" s="122">
        <f>SUMIFS(BB___HK___AMHS__Others[Tax],BB___HK___AMHS__Others[PO No.],AR_725[[#This Row],[tsmc PO '#]],BB___HK___AMHS__Others[Status],"&lt;&gt;Rejected",BB___HK___AMHS__Others[YearMonth],"2024-07")</f>
        <v>0</v>
      </c>
      <c r="CQ102" s="34">
        <f>SUMIFS(BB___HK___AMHS__Others[AR Amount],BB___HK___AMHS__Others[PO No.],AR_725[[#This Row],[tsmc PO '#]],BB___HK___AMHS__Others[Status],"&lt;&gt;Rejected",BB___HK___AMHS__Others[YearMonth],"2024-08")</f>
        <v>0</v>
      </c>
      <c r="CR102" s="44">
        <f>SUMIFS(BB___HK___AMHS__Others[Tax],BB___HK___AMHS__Others[PO No.],AR_725[[#This Row],[tsmc PO '#]],BB___HK___AMHS__Others[Status],"&lt;&gt;Rejected",BB___HK___AMHS__Others[YearMonth],"2024-08")</f>
        <v>0</v>
      </c>
      <c r="CS102" s="62">
        <f>SUMIFS(BB___HK___AMHS__Others[AR Amount],BB___HK___AMHS__Others[PO No.],AR_725[[#This Row],[tsmc PO '#]],BB___HK___AMHS__Others[Status],"&lt;&gt;Rejected",BB___HK___AMHS__Others[YearMonth],"2024-09")</f>
        <v>0</v>
      </c>
      <c r="CT102" s="601">
        <f>SUMIFS(BB___HK___AMHS__Others[Tax],BB___HK___AMHS__Others[PO No.],AR_725[[#This Row],[tsmc PO '#]],BB___HK___AMHS__Others[Status],"&lt;&gt;Rejected",BB___HK___AMHS__Others[YearMonth],"2024-09")</f>
        <v>0</v>
      </c>
    </row>
    <row r="103" spans="1:98" ht="14.1" hidden="1">
      <c r="A103" s="30" t="s">
        <v>19</v>
      </c>
      <c r="B103" s="30" t="s">
        <v>19</v>
      </c>
      <c r="C103" s="30" t="s">
        <v>1794</v>
      </c>
      <c r="D103" s="50"/>
      <c r="E103" s="57" t="s">
        <v>2126</v>
      </c>
      <c r="F103" s="48"/>
      <c r="G103" s="48" t="s">
        <v>2127</v>
      </c>
      <c r="H103" s="50">
        <v>4590009792</v>
      </c>
      <c r="I103" s="30" t="s">
        <v>563</v>
      </c>
      <c r="J103" s="30" t="s">
        <v>2146</v>
      </c>
      <c r="K103" s="46">
        <v>161320</v>
      </c>
      <c r="L103" s="30"/>
      <c r="M103" s="86"/>
      <c r="N103" s="87"/>
      <c r="O103" s="88"/>
      <c r="P10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10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10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103" s="72">
        <f>IF(AR_725[[#This Row],[PO Amount]]=0,1,AR_725[[#This Row],[Total AR (Sent)]]/AR_725[[#This Row],[PO Amount]])</f>
        <v>0</v>
      </c>
      <c r="T103" s="75">
        <f>AR_725[[#This Row],[PO Amount]]-AR_725[[#This Row],[Total AR (Sent)]]</f>
        <v>161320</v>
      </c>
      <c r="U103" s="40"/>
      <c r="V103" s="40"/>
      <c r="W103" s="46"/>
      <c r="X103" s="46"/>
      <c r="Y103" s="46"/>
      <c r="Z103" s="46"/>
      <c r="AA103" s="46"/>
      <c r="AB103" s="40"/>
      <c r="AC103" s="40"/>
      <c r="AD103" s="40"/>
      <c r="AE103" s="46"/>
      <c r="AF103" s="46"/>
      <c r="AG103" s="46"/>
      <c r="AH103" s="46"/>
      <c r="AI103" s="40"/>
      <c r="AJ103" s="46"/>
      <c r="AK103" s="40"/>
      <c r="AL103" s="46"/>
      <c r="AM103" s="40"/>
      <c r="AN103" s="46"/>
      <c r="AO103" s="40"/>
      <c r="AP103" s="46"/>
      <c r="AQ103" s="40"/>
      <c r="AR103" s="41"/>
      <c r="AS103" s="40"/>
      <c r="AT103" s="41"/>
      <c r="AU103" s="40"/>
      <c r="AV103" s="41"/>
      <c r="AW103" s="40"/>
      <c r="AX103" s="41"/>
      <c r="AY103" s="40"/>
      <c r="AZ103" s="41"/>
      <c r="BA103" s="41"/>
      <c r="BB103" s="41"/>
      <c r="BC103" s="40"/>
      <c r="BD103" s="41"/>
      <c r="BE103" s="46"/>
      <c r="BF103" s="41"/>
      <c r="BG103" s="41"/>
      <c r="BH103" s="41"/>
      <c r="BI103" s="41"/>
      <c r="BJ103" s="41"/>
      <c r="BK103" s="41"/>
      <c r="BL103" s="41"/>
      <c r="BM103" s="41"/>
      <c r="BN103" s="41"/>
      <c r="BO103" s="46"/>
      <c r="BP103" s="41"/>
      <c r="BQ103" s="46"/>
      <c r="BR103" s="40"/>
      <c r="BS103" s="40"/>
      <c r="BT103" s="40"/>
      <c r="BU103" s="40"/>
      <c r="BV103" s="40"/>
      <c r="BW103" s="40"/>
      <c r="BX103" s="34"/>
      <c r="BZ103" s="40"/>
      <c r="CA103" s="40"/>
      <c r="CB103" s="34"/>
      <c r="CC103" s="34"/>
      <c r="CD103" s="34"/>
      <c r="CE103" s="34"/>
      <c r="CF103" s="34"/>
      <c r="CG103" s="122"/>
      <c r="CI103" s="122"/>
      <c r="CJ103" s="30"/>
      <c r="CK103" s="122">
        <v>0</v>
      </c>
      <c r="CL103" s="122">
        <v>0</v>
      </c>
      <c r="CM103" s="122">
        <v>0</v>
      </c>
      <c r="CN103" s="122">
        <v>0</v>
      </c>
      <c r="CO103" s="122">
        <f>SUMIFS(BB___HK___AMHS__Others[AR Amount],BB___HK___AMHS__Others[PO No.],AR_725[[#This Row],[tsmc PO '#]],BB___HK___AMHS__Others[Status],"&lt;&gt;Rejected",BB___HK___AMHS__Others[YearMonth],"2024-07")</f>
        <v>0</v>
      </c>
      <c r="CP103" s="122">
        <f>SUMIFS(BB___HK___AMHS__Others[Tax],BB___HK___AMHS__Others[PO No.],AR_725[[#This Row],[tsmc PO '#]],BB___HK___AMHS__Others[Status],"&lt;&gt;Rejected",BB___HK___AMHS__Others[YearMonth],"2024-07")</f>
        <v>0</v>
      </c>
      <c r="CQ103" s="34">
        <f>SUMIFS(BB___HK___AMHS__Others[AR Amount],BB___HK___AMHS__Others[PO No.],AR_725[[#This Row],[tsmc PO '#]],BB___HK___AMHS__Others[Status],"&lt;&gt;Rejected",BB___HK___AMHS__Others[YearMonth],"2024-08")</f>
        <v>0</v>
      </c>
      <c r="CR103" s="44">
        <f>SUMIFS(BB___HK___AMHS__Others[Tax],BB___HK___AMHS__Others[PO No.],AR_725[[#This Row],[tsmc PO '#]],BB___HK___AMHS__Others[Status],"&lt;&gt;Rejected",BB___HK___AMHS__Others[YearMonth],"2024-08")</f>
        <v>0</v>
      </c>
      <c r="CS103" s="62">
        <f>SUMIFS(BB___HK___AMHS__Others[AR Amount],BB___HK___AMHS__Others[PO No.],AR_725[[#This Row],[tsmc PO '#]],BB___HK___AMHS__Others[Status],"&lt;&gt;Rejected",BB___HK___AMHS__Others[YearMonth],"2024-09")</f>
        <v>0</v>
      </c>
      <c r="CT103" s="601">
        <f>SUMIFS(BB___HK___AMHS__Others[Tax],BB___HK___AMHS__Others[PO No.],AR_725[[#This Row],[tsmc PO '#]],BB___HK___AMHS__Others[Status],"&lt;&gt;Rejected",BB___HK___AMHS__Others[YearMonth],"2024-09")</f>
        <v>0</v>
      </c>
    </row>
    <row r="104" spans="1:98" ht="14.1" hidden="1">
      <c r="A104" s="30" t="s">
        <v>9</v>
      </c>
      <c r="B104" s="30" t="s">
        <v>2051</v>
      </c>
      <c r="D104" s="50" t="s">
        <v>1706</v>
      </c>
      <c r="E104" s="57" t="s">
        <v>2070</v>
      </c>
      <c r="F104" s="48" t="s">
        <v>2115</v>
      </c>
      <c r="G104" s="50" t="s">
        <v>1432</v>
      </c>
      <c r="H104" s="50">
        <v>4590009808</v>
      </c>
      <c r="I104" s="30" t="s">
        <v>129</v>
      </c>
      <c r="J104" s="30" t="s">
        <v>486</v>
      </c>
      <c r="K104" s="46">
        <v>1270000</v>
      </c>
      <c r="L104" s="30"/>
      <c r="M104" s="86"/>
      <c r="N104" s="87"/>
      <c r="O104" s="88"/>
      <c r="P10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1270000</v>
      </c>
      <c r="Q10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1069803</v>
      </c>
      <c r="R10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1270000</v>
      </c>
      <c r="S104" s="72">
        <f>IF(AR_725[[#This Row],[PO Amount]]=0,1,AR_725[[#This Row],[Total AR (Sent)]]/AR_725[[#This Row],[PO Amount]])</f>
        <v>1</v>
      </c>
      <c r="T104" s="75">
        <f>AR_725[[#This Row],[PO Amount]]-AR_725[[#This Row],[Total AR (Sent)]]</f>
        <v>0</v>
      </c>
      <c r="U104" s="40"/>
      <c r="V104" s="40"/>
      <c r="W104" s="46"/>
      <c r="X104" s="46"/>
      <c r="Y104" s="46"/>
      <c r="Z104" s="46"/>
      <c r="AA104" s="46"/>
      <c r="AB104" s="40"/>
      <c r="AC104" s="40"/>
      <c r="AD104" s="40"/>
      <c r="AE104" s="46"/>
      <c r="AF104" s="46"/>
      <c r="AG104" s="46"/>
      <c r="AH104" s="46"/>
      <c r="AI104" s="40"/>
      <c r="AJ104" s="41"/>
      <c r="AK104" s="40"/>
      <c r="AL104" s="46"/>
      <c r="AM104" s="40"/>
      <c r="AN104" s="46"/>
      <c r="AO104" s="40"/>
      <c r="AP104" s="46"/>
      <c r="AQ104" s="40"/>
      <c r="AR104" s="41"/>
      <c r="AS104" s="40"/>
      <c r="AT104" s="41"/>
      <c r="AU104" s="40"/>
      <c r="AV104" s="41"/>
      <c r="AW104" s="40"/>
      <c r="AX104" s="41"/>
      <c r="AY104" s="40"/>
      <c r="AZ104" s="41"/>
      <c r="BA104" s="41"/>
      <c r="BB104" s="41"/>
      <c r="BC104" s="40"/>
      <c r="BD104" s="41"/>
      <c r="BE104" s="46"/>
      <c r="BF104" s="41"/>
      <c r="BG104" s="41"/>
      <c r="BH104" s="41"/>
      <c r="BI104" s="41"/>
      <c r="BJ104" s="41"/>
      <c r="BK104" s="41"/>
      <c r="BL104" s="41"/>
      <c r="BM104" s="41"/>
      <c r="BN104" s="41"/>
      <c r="BO104" s="47">
        <v>671430</v>
      </c>
      <c r="BP104" s="41"/>
      <c r="BQ104" s="47">
        <v>210597</v>
      </c>
      <c r="BR104" s="40"/>
      <c r="BS104" s="47">
        <v>69835</v>
      </c>
      <c r="BT104" s="40"/>
      <c r="BU104" s="47">
        <v>54721</v>
      </c>
      <c r="BV104" s="40"/>
      <c r="BW104" s="40"/>
      <c r="BX104" s="34"/>
      <c r="BZ104" s="40"/>
      <c r="CA104" s="40"/>
      <c r="CB104" s="34"/>
      <c r="CC104" s="34"/>
      <c r="CD104" s="34"/>
      <c r="CE104" s="34"/>
      <c r="CF104" s="34"/>
      <c r="CG104" s="123">
        <v>63220</v>
      </c>
      <c r="CI104" s="122"/>
      <c r="CJ104" s="30"/>
      <c r="CK104" s="122">
        <v>0</v>
      </c>
      <c r="CL104" s="122">
        <v>0</v>
      </c>
      <c r="CM104" s="122">
        <v>75742</v>
      </c>
      <c r="CN104" s="122">
        <v>0</v>
      </c>
      <c r="CO104" s="122">
        <f>SUMIFS(BB___HK___AMHS__Others[AR Amount],BB___HK___AMHS__Others[PO No.],AR_725[[#This Row],[tsmc PO '#]],BB___HK___AMHS__Others[Status],"&lt;&gt;Rejected",BB___HK___AMHS__Others[YearMonth],"2024-07")</f>
        <v>124455</v>
      </c>
      <c r="CP104" s="122">
        <f>SUMIFS(BB___HK___AMHS__Others[Tax],BB___HK___AMHS__Others[PO No.],AR_725[[#This Row],[tsmc PO '#]],BB___HK___AMHS__Others[Status],"&lt;&gt;Rejected",BB___HK___AMHS__Others[YearMonth],"2024-07")</f>
        <v>0</v>
      </c>
      <c r="CQ104" s="34">
        <f>SUMIFS(BB___HK___AMHS__Others[AR Amount],BB___HK___AMHS__Others[PO No.],AR_725[[#This Row],[tsmc PO '#]],BB___HK___AMHS__Others[Status],"&lt;&gt;Rejected",BB___HK___AMHS__Others[YearMonth],"2024-08")</f>
        <v>0</v>
      </c>
      <c r="CR104" s="44">
        <f>SUMIFS(BB___HK___AMHS__Others[Tax],BB___HK___AMHS__Others[PO No.],AR_725[[#This Row],[tsmc PO '#]],BB___HK___AMHS__Others[Status],"&lt;&gt;Rejected",BB___HK___AMHS__Others[YearMonth],"2024-08")</f>
        <v>0</v>
      </c>
      <c r="CS104" s="62">
        <f>SUMIFS(BB___HK___AMHS__Others[AR Amount],BB___HK___AMHS__Others[PO No.],AR_725[[#This Row],[tsmc PO '#]],BB___HK___AMHS__Others[Status],"&lt;&gt;Rejected",BB___HK___AMHS__Others[YearMonth],"2024-09")</f>
        <v>0</v>
      </c>
      <c r="CT104" s="601">
        <f>SUMIFS(BB___HK___AMHS__Others[Tax],BB___HK___AMHS__Others[PO No.],AR_725[[#This Row],[tsmc PO '#]],BB___HK___AMHS__Others[Status],"&lt;&gt;Rejected",BB___HK___AMHS__Others[YearMonth],"2024-09")</f>
        <v>0</v>
      </c>
    </row>
    <row r="105" spans="1:98" ht="14.1" hidden="1">
      <c r="A105" s="30" t="s">
        <v>16</v>
      </c>
      <c r="B105" s="30" t="s">
        <v>2113</v>
      </c>
      <c r="D105" s="50" t="s">
        <v>8</v>
      </c>
      <c r="E105" s="48" t="s">
        <v>2109</v>
      </c>
      <c r="F105" s="48" t="s">
        <v>2110</v>
      </c>
      <c r="G105" s="50" t="s">
        <v>881</v>
      </c>
      <c r="H105" s="50">
        <v>4590009958</v>
      </c>
      <c r="I105" s="30" t="s">
        <v>434</v>
      </c>
      <c r="J105" s="30" t="s">
        <v>433</v>
      </c>
      <c r="K105" s="46">
        <v>147089.60000000001</v>
      </c>
      <c r="L105" s="30"/>
      <c r="M105" s="86"/>
      <c r="N105" s="87"/>
      <c r="O105" s="88"/>
      <c r="P10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147089.60000000001</v>
      </c>
      <c r="Q10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147089.60000000001</v>
      </c>
      <c r="R10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147089.60000000001</v>
      </c>
      <c r="S105" s="72">
        <f>IF(AR_725[[#This Row],[PO Amount]]=0,1,AR_725[[#This Row],[Total AR (Sent)]]/AR_725[[#This Row],[PO Amount]])</f>
        <v>1</v>
      </c>
      <c r="T105" s="75">
        <f>AR_725[[#This Row],[PO Amount]]-AR_725[[#This Row],[Total AR (Sent)]]</f>
        <v>0</v>
      </c>
      <c r="U105" s="40"/>
      <c r="V105" s="40"/>
      <c r="W105" s="46"/>
      <c r="X105" s="46"/>
      <c r="Y105" s="46"/>
      <c r="Z105" s="46"/>
      <c r="AA105" s="46"/>
      <c r="AB105" s="40"/>
      <c r="AC105" s="40"/>
      <c r="AD105" s="40"/>
      <c r="AE105" s="46"/>
      <c r="AF105" s="46"/>
      <c r="AG105" s="46"/>
      <c r="AH105" s="46"/>
      <c r="AI105" s="34"/>
      <c r="AJ105" s="41"/>
      <c r="AK105" s="34"/>
      <c r="AL105" s="46"/>
      <c r="AM105" s="40"/>
      <c r="AN105" s="46"/>
      <c r="AO105" s="40"/>
      <c r="AP105" s="46"/>
      <c r="AQ105" s="40"/>
      <c r="AR105" s="41"/>
      <c r="AS105" s="40"/>
      <c r="AT105" s="41"/>
      <c r="AU105" s="40"/>
      <c r="AV105" s="41"/>
      <c r="AW105" s="40"/>
      <c r="AX105" s="41"/>
      <c r="AY105" s="40"/>
      <c r="AZ105" s="41"/>
      <c r="BA105" s="41"/>
      <c r="BB105" s="41"/>
      <c r="BC105" s="40"/>
      <c r="BD105" s="41"/>
      <c r="BE105" s="46"/>
      <c r="BF105" s="41"/>
      <c r="BG105" s="41"/>
      <c r="BH105" s="41"/>
      <c r="BI105" s="41"/>
      <c r="BJ105" s="41"/>
      <c r="BK105" s="42">
        <v>147089.60000000001</v>
      </c>
      <c r="BL105" s="41"/>
      <c r="BM105" s="41"/>
      <c r="BN105" s="41"/>
      <c r="BO105" s="46"/>
      <c r="BP105" s="41"/>
      <c r="BQ105" s="46"/>
      <c r="BR105" s="40"/>
      <c r="BS105" s="40"/>
      <c r="BT105" s="40"/>
      <c r="BU105" s="40"/>
      <c r="BV105" s="40"/>
      <c r="BW105" s="40"/>
      <c r="BX105" s="34"/>
      <c r="BZ105" s="40"/>
      <c r="CA105" s="40"/>
      <c r="CB105" s="34"/>
      <c r="CC105" s="34"/>
      <c r="CD105" s="34"/>
      <c r="CE105" s="34"/>
      <c r="CF105" s="34"/>
      <c r="CG105" s="122"/>
      <c r="CI105" s="122"/>
      <c r="CJ105" s="30"/>
      <c r="CK105" s="122">
        <v>0</v>
      </c>
      <c r="CL105" s="122">
        <v>0</v>
      </c>
      <c r="CM105" s="122">
        <v>0</v>
      </c>
      <c r="CN105" s="122">
        <v>0</v>
      </c>
      <c r="CO105" s="122">
        <f>SUMIFS(BB___HK___AMHS__Others[AR Amount],BB___HK___AMHS__Others[PO No.],AR_725[[#This Row],[tsmc PO '#]],BB___HK___AMHS__Others[Status],"&lt;&gt;Rejected",BB___HK___AMHS__Others[YearMonth],"2024-07")</f>
        <v>0</v>
      </c>
      <c r="CP105" s="122">
        <f>SUMIFS(BB___HK___AMHS__Others[Tax],BB___HK___AMHS__Others[PO No.],AR_725[[#This Row],[tsmc PO '#]],BB___HK___AMHS__Others[Status],"&lt;&gt;Rejected",BB___HK___AMHS__Others[YearMonth],"2024-07")</f>
        <v>0</v>
      </c>
      <c r="CQ105" s="34">
        <f>SUMIFS(BB___HK___AMHS__Others[AR Amount],BB___HK___AMHS__Others[PO No.],AR_725[[#This Row],[tsmc PO '#]],BB___HK___AMHS__Others[Status],"&lt;&gt;Rejected",BB___HK___AMHS__Others[YearMonth],"2024-08")</f>
        <v>0</v>
      </c>
      <c r="CR105" s="44">
        <f>SUMIFS(BB___HK___AMHS__Others[Tax],BB___HK___AMHS__Others[PO No.],AR_725[[#This Row],[tsmc PO '#]],BB___HK___AMHS__Others[Status],"&lt;&gt;Rejected",BB___HK___AMHS__Others[YearMonth],"2024-08")</f>
        <v>0</v>
      </c>
      <c r="CS105" s="62">
        <f>SUMIFS(BB___HK___AMHS__Others[AR Amount],BB___HK___AMHS__Others[PO No.],AR_725[[#This Row],[tsmc PO '#]],BB___HK___AMHS__Others[Status],"&lt;&gt;Rejected",BB___HK___AMHS__Others[YearMonth],"2024-09")</f>
        <v>0</v>
      </c>
      <c r="CT105" s="601">
        <f>SUMIFS(BB___HK___AMHS__Others[Tax],BB___HK___AMHS__Others[PO No.],AR_725[[#This Row],[tsmc PO '#]],BB___HK___AMHS__Others[Status],"&lt;&gt;Rejected",BB___HK___AMHS__Others[YearMonth],"2024-09")</f>
        <v>0</v>
      </c>
    </row>
    <row r="106" spans="1:98" ht="14.1" hidden="1">
      <c r="A106" s="30" t="s">
        <v>9</v>
      </c>
      <c r="B106" s="30" t="s">
        <v>2051</v>
      </c>
      <c r="D106" s="50" t="s">
        <v>1706</v>
      </c>
      <c r="E106" s="57" t="s">
        <v>2070</v>
      </c>
      <c r="F106" s="48" t="s">
        <v>2147</v>
      </c>
      <c r="G106" s="64" t="s">
        <v>313</v>
      </c>
      <c r="H106" s="50">
        <v>4590009963</v>
      </c>
      <c r="I106" s="30" t="s">
        <v>118</v>
      </c>
      <c r="J106" s="30" t="s">
        <v>729</v>
      </c>
      <c r="K106" s="41">
        <v>1949096</v>
      </c>
      <c r="L106" s="30"/>
      <c r="M106" s="86">
        <v>45008</v>
      </c>
      <c r="N106" s="87"/>
      <c r="O106" s="88" t="s">
        <v>2148</v>
      </c>
      <c r="P10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1702853</v>
      </c>
      <c r="Q10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1017194</v>
      </c>
      <c r="R10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1702853</v>
      </c>
      <c r="S106" s="72">
        <f>IF(AR_725[[#This Row],[PO Amount]]=0,1,AR_725[[#This Row],[Total AR (Sent)]]/AR_725[[#This Row],[PO Amount]])</f>
        <v>0.87366296991015324</v>
      </c>
      <c r="T106" s="68">
        <f>AR_725[[#This Row],[PO Amount]]-AR_725[[#This Row],[Total AR (Sent)]]</f>
        <v>246243</v>
      </c>
      <c r="U106" s="40"/>
      <c r="V106" s="40"/>
      <c r="W106" s="41"/>
      <c r="X106" s="41"/>
      <c r="Y106" s="41"/>
      <c r="Z106" s="41"/>
      <c r="AA106" s="41"/>
      <c r="AB106" s="40"/>
      <c r="AC106" s="40"/>
      <c r="AD106" s="40"/>
      <c r="AE106" s="41"/>
      <c r="AF106" s="41"/>
      <c r="AG106" s="41"/>
      <c r="AH106" s="41"/>
      <c r="AI106" s="34"/>
      <c r="AJ106" s="41"/>
      <c r="AK106" s="34"/>
      <c r="AL106" s="41"/>
      <c r="AM106" s="34"/>
      <c r="AN106" s="41"/>
      <c r="AO106" s="34"/>
      <c r="AP106" s="41"/>
      <c r="AQ106" s="34"/>
      <c r="AR106" s="41"/>
      <c r="AS106" s="34"/>
      <c r="AT106" s="41"/>
      <c r="AU106" s="34"/>
      <c r="AV106" s="41"/>
      <c r="AW106" s="34"/>
      <c r="AX106" s="41"/>
      <c r="AY106" s="34"/>
      <c r="AZ106" s="41"/>
      <c r="BA106" s="41"/>
      <c r="BB106" s="41"/>
      <c r="BC106" s="34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0"/>
      <c r="BS106" s="34"/>
      <c r="BT106" s="40"/>
      <c r="BU106" s="34"/>
      <c r="BV106" s="40"/>
      <c r="BW106" s="34"/>
      <c r="BX106" s="34"/>
      <c r="BY106" s="34"/>
      <c r="BZ106" s="40"/>
      <c r="CA106" s="40"/>
      <c r="CB106" s="34"/>
      <c r="CC106" s="43">
        <v>1017194</v>
      </c>
      <c r="CD106" s="34"/>
      <c r="CE106" s="34"/>
      <c r="CF106" s="34"/>
      <c r="CG106" s="122"/>
      <c r="CI106" s="116">
        <v>615595</v>
      </c>
      <c r="CJ106" s="30"/>
      <c r="CK106" s="122">
        <v>70064</v>
      </c>
      <c r="CL106" s="122">
        <v>0</v>
      </c>
      <c r="CM106" s="122">
        <v>0</v>
      </c>
      <c r="CN106" s="122">
        <v>0</v>
      </c>
      <c r="CO106" s="122">
        <f>SUMIFS(BB___HK___AMHS__Others[AR Amount],BB___HK___AMHS__Others[PO No.],AR_725[[#This Row],[tsmc PO '#]],BB___HK___AMHS__Others[Status],"&lt;&gt;Rejected",BB___HK___AMHS__Others[YearMonth],"2024-07")</f>
        <v>0</v>
      </c>
      <c r="CP106" s="122">
        <f>SUMIFS(BB___HK___AMHS__Others[Tax],BB___HK___AMHS__Others[PO No.],AR_725[[#This Row],[tsmc PO '#]],BB___HK___AMHS__Others[Status],"&lt;&gt;Rejected",BB___HK___AMHS__Others[YearMonth],"2024-07")</f>
        <v>0</v>
      </c>
      <c r="CQ106" s="34">
        <f>SUMIFS(BB___HK___AMHS__Others[AR Amount],BB___HK___AMHS__Others[PO No.],AR_725[[#This Row],[tsmc PO '#]],BB___HK___AMHS__Others[Status],"&lt;&gt;Rejected",BB___HK___AMHS__Others[YearMonth],"2024-08")</f>
        <v>0</v>
      </c>
      <c r="CR106" s="44">
        <f>SUMIFS(BB___HK___AMHS__Others[Tax],BB___HK___AMHS__Others[PO No.],AR_725[[#This Row],[tsmc PO '#]],BB___HK___AMHS__Others[Status],"&lt;&gt;Rejected",BB___HK___AMHS__Others[YearMonth],"2024-08")</f>
        <v>0</v>
      </c>
      <c r="CS106" s="62">
        <f>SUMIFS(BB___HK___AMHS__Others[AR Amount],BB___HK___AMHS__Others[PO No.],AR_725[[#This Row],[tsmc PO '#]],BB___HK___AMHS__Others[Status],"&lt;&gt;Rejected",BB___HK___AMHS__Others[YearMonth],"2024-09")</f>
        <v>0</v>
      </c>
      <c r="CT106" s="601">
        <f>SUMIFS(BB___HK___AMHS__Others[Tax],BB___HK___AMHS__Others[PO No.],AR_725[[#This Row],[tsmc PO '#]],BB___HK___AMHS__Others[Status],"&lt;&gt;Rejected",BB___HK___AMHS__Others[YearMonth],"2024-09")</f>
        <v>0</v>
      </c>
    </row>
    <row r="107" spans="1:98" ht="14.1" hidden="1">
      <c r="A107" s="30" t="s">
        <v>16</v>
      </c>
      <c r="B107" s="30" t="s">
        <v>2113</v>
      </c>
      <c r="C107" s="30" t="s">
        <v>1794</v>
      </c>
      <c r="D107" s="50"/>
      <c r="E107" s="57" t="s">
        <v>2126</v>
      </c>
      <c r="F107" s="48" t="s">
        <v>2126</v>
      </c>
      <c r="G107" s="48" t="s">
        <v>2119</v>
      </c>
      <c r="H107" s="50">
        <v>4590010046</v>
      </c>
      <c r="I107" s="30" t="s">
        <v>361</v>
      </c>
      <c r="J107" s="30" t="s">
        <v>2149</v>
      </c>
      <c r="K107" s="46">
        <v>31044.799999999999</v>
      </c>
      <c r="L107" s="30"/>
      <c r="M107" s="86"/>
      <c r="N107" s="87"/>
      <c r="O107" s="88"/>
      <c r="P10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10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10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107" s="72">
        <f>IF(AR_725[[#This Row],[PO Amount]]=0,1,AR_725[[#This Row],[Total AR (Sent)]]/AR_725[[#This Row],[PO Amount]])</f>
        <v>0</v>
      </c>
      <c r="T107" s="75">
        <f>AR_725[[#This Row],[PO Amount]]-AR_725[[#This Row],[Total AR (Sent)]]</f>
        <v>31044.799999999999</v>
      </c>
      <c r="U107" s="40"/>
      <c r="V107" s="40"/>
      <c r="W107" s="46"/>
      <c r="X107" s="46"/>
      <c r="Y107" s="46"/>
      <c r="Z107" s="46"/>
      <c r="AA107" s="46"/>
      <c r="AB107" s="40"/>
      <c r="AC107" s="40"/>
      <c r="AD107" s="40"/>
      <c r="AE107" s="46"/>
      <c r="AF107" s="46"/>
      <c r="AG107" s="46"/>
      <c r="AH107" s="46"/>
      <c r="AI107" s="40"/>
      <c r="AJ107" s="46"/>
      <c r="AK107" s="40"/>
      <c r="AL107" s="46"/>
      <c r="AM107" s="40"/>
      <c r="AN107" s="46"/>
      <c r="AO107" s="40"/>
      <c r="AP107" s="46"/>
      <c r="AQ107" s="40"/>
      <c r="AR107" s="41"/>
      <c r="AS107" s="40"/>
      <c r="AT107" s="41"/>
      <c r="AU107" s="40"/>
      <c r="AV107" s="41"/>
      <c r="AW107" s="40"/>
      <c r="AX107" s="41"/>
      <c r="AY107" s="40"/>
      <c r="AZ107" s="41"/>
      <c r="BA107" s="41"/>
      <c r="BB107" s="41"/>
      <c r="BC107" s="40"/>
      <c r="BD107" s="41"/>
      <c r="BE107" s="46"/>
      <c r="BF107" s="41"/>
      <c r="BG107" s="41"/>
      <c r="BH107" s="41"/>
      <c r="BI107" s="41"/>
      <c r="BJ107" s="41"/>
      <c r="BK107" s="41"/>
      <c r="BL107" s="41"/>
      <c r="BM107" s="41"/>
      <c r="BN107" s="41"/>
      <c r="BO107" s="46"/>
      <c r="BP107" s="41"/>
      <c r="BQ107" s="46"/>
      <c r="BR107" s="40"/>
      <c r="BS107" s="40"/>
      <c r="BT107" s="40"/>
      <c r="BU107" s="40"/>
      <c r="BV107" s="40"/>
      <c r="BW107" s="40"/>
      <c r="BX107" s="34"/>
      <c r="BZ107" s="40"/>
      <c r="CA107" s="40"/>
      <c r="CB107" s="34"/>
      <c r="CC107" s="34"/>
      <c r="CD107" s="34"/>
      <c r="CE107" s="34"/>
      <c r="CF107" s="34"/>
      <c r="CG107" s="122"/>
      <c r="CI107" s="122"/>
      <c r="CJ107" s="30"/>
      <c r="CK107" s="122">
        <v>0</v>
      </c>
      <c r="CL107" s="122">
        <v>0</v>
      </c>
      <c r="CM107" s="122">
        <v>0</v>
      </c>
      <c r="CN107" s="122">
        <v>0</v>
      </c>
      <c r="CO107" s="122">
        <f>SUMIFS(BB___HK___AMHS__Others[AR Amount],BB___HK___AMHS__Others[PO No.],AR_725[[#This Row],[tsmc PO '#]],BB___HK___AMHS__Others[Status],"&lt;&gt;Rejected",BB___HK___AMHS__Others[YearMonth],"2024-07")</f>
        <v>0</v>
      </c>
      <c r="CP107" s="122">
        <f>SUMIFS(BB___HK___AMHS__Others[Tax],BB___HK___AMHS__Others[PO No.],AR_725[[#This Row],[tsmc PO '#]],BB___HK___AMHS__Others[Status],"&lt;&gt;Rejected",BB___HK___AMHS__Others[YearMonth],"2024-07")</f>
        <v>0</v>
      </c>
      <c r="CQ107" s="34">
        <f>SUMIFS(BB___HK___AMHS__Others[AR Amount],BB___HK___AMHS__Others[PO No.],AR_725[[#This Row],[tsmc PO '#]],BB___HK___AMHS__Others[Status],"&lt;&gt;Rejected",BB___HK___AMHS__Others[YearMonth],"2024-08")</f>
        <v>0</v>
      </c>
      <c r="CR107" s="44">
        <f>SUMIFS(BB___HK___AMHS__Others[Tax],BB___HK___AMHS__Others[PO No.],AR_725[[#This Row],[tsmc PO '#]],BB___HK___AMHS__Others[Status],"&lt;&gt;Rejected",BB___HK___AMHS__Others[YearMonth],"2024-08")</f>
        <v>0</v>
      </c>
      <c r="CS107" s="62">
        <f>SUMIFS(BB___HK___AMHS__Others[AR Amount],BB___HK___AMHS__Others[PO No.],AR_725[[#This Row],[tsmc PO '#]],BB___HK___AMHS__Others[Status],"&lt;&gt;Rejected",BB___HK___AMHS__Others[YearMonth],"2024-09")</f>
        <v>0</v>
      </c>
      <c r="CT107" s="601">
        <f>SUMIFS(BB___HK___AMHS__Others[Tax],BB___HK___AMHS__Others[PO No.],AR_725[[#This Row],[tsmc PO '#]],BB___HK___AMHS__Others[Status],"&lt;&gt;Rejected",BB___HK___AMHS__Others[YearMonth],"2024-09")</f>
        <v>0</v>
      </c>
    </row>
    <row r="108" spans="1:98" ht="14.1" hidden="1">
      <c r="A108" s="30" t="s">
        <v>16</v>
      </c>
      <c r="B108" s="30" t="s">
        <v>2113</v>
      </c>
      <c r="D108" s="50"/>
      <c r="E108" s="57" t="s">
        <v>2126</v>
      </c>
      <c r="F108" s="64" t="s">
        <v>2126</v>
      </c>
      <c r="G108" s="48" t="s">
        <v>1021</v>
      </c>
      <c r="H108" s="36">
        <v>4590010362</v>
      </c>
      <c r="I108" s="30" t="s">
        <v>361</v>
      </c>
      <c r="J108" s="30" t="s">
        <v>1022</v>
      </c>
      <c r="K108" s="321">
        <v>6429.12</v>
      </c>
      <c r="L108" s="30"/>
      <c r="M108" s="86"/>
      <c r="N108" s="87"/>
      <c r="O108" s="88"/>
      <c r="P10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6429.12</v>
      </c>
      <c r="Q10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6429.12</v>
      </c>
      <c r="R10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6429.12</v>
      </c>
      <c r="S108" s="72">
        <f>IF(AR_725[[#This Row],[PO Amount]]=0,1,AR_725[[#This Row],[Total AR (Sent)]]/AR_725[[#This Row],[PO Amount]])</f>
        <v>1</v>
      </c>
      <c r="T108" s="75">
        <f>AR_725[[#This Row],[PO Amount]]-AR_725[[#This Row],[Total AR (Sent)]]</f>
        <v>0</v>
      </c>
      <c r="U108" s="40"/>
      <c r="V108" s="40"/>
      <c r="W108" s="46"/>
      <c r="X108" s="46"/>
      <c r="Y108" s="46"/>
      <c r="Z108" s="46"/>
      <c r="AA108" s="46"/>
      <c r="AB108" s="40"/>
      <c r="AC108" s="40"/>
      <c r="AD108" s="40"/>
      <c r="AE108" s="46"/>
      <c r="AF108" s="46"/>
      <c r="AG108" s="46"/>
      <c r="AH108" s="46"/>
      <c r="AI108" s="34"/>
      <c r="AJ108" s="41"/>
      <c r="AK108" s="34"/>
      <c r="AL108" s="46"/>
      <c r="AM108" s="40"/>
      <c r="AN108" s="46"/>
      <c r="AO108" s="40"/>
      <c r="AP108" s="46"/>
      <c r="AQ108" s="40"/>
      <c r="AR108" s="41"/>
      <c r="AS108" s="40"/>
      <c r="AT108" s="41"/>
      <c r="AU108" s="40"/>
      <c r="AV108" s="41"/>
      <c r="AW108" s="40"/>
      <c r="AX108" s="41"/>
      <c r="AY108" s="40"/>
      <c r="AZ108" s="41"/>
      <c r="BA108" s="41"/>
      <c r="BB108" s="41"/>
      <c r="BC108" s="40"/>
      <c r="BD108" s="41"/>
      <c r="BE108" s="46"/>
      <c r="BF108" s="41"/>
      <c r="BG108" s="41"/>
      <c r="BH108" s="41"/>
      <c r="BI108" s="41"/>
      <c r="BJ108" s="41"/>
      <c r="BK108" s="41"/>
      <c r="BL108" s="41"/>
      <c r="BM108" s="41"/>
      <c r="BN108" s="41"/>
      <c r="BO108" s="46"/>
      <c r="BP108" s="41"/>
      <c r="BQ108" s="46"/>
      <c r="BR108" s="40"/>
      <c r="BS108" s="40"/>
      <c r="BT108" s="40"/>
      <c r="BU108" s="40"/>
      <c r="BV108" s="40"/>
      <c r="BW108" s="40"/>
      <c r="BX108" s="34"/>
      <c r="BZ108" s="40"/>
      <c r="CA108" s="40"/>
      <c r="CB108" s="34"/>
      <c r="CC108" s="34"/>
      <c r="CD108" s="34"/>
      <c r="CE108" s="34"/>
      <c r="CF108" s="34"/>
      <c r="CG108" s="122">
        <v>6429.12</v>
      </c>
      <c r="CI108" s="122"/>
      <c r="CJ108" s="30"/>
      <c r="CK108" s="122">
        <v>0</v>
      </c>
      <c r="CL108" s="122">
        <v>0</v>
      </c>
      <c r="CM108" s="122">
        <v>0</v>
      </c>
      <c r="CN108" s="122">
        <v>0</v>
      </c>
      <c r="CO108" s="122">
        <f>SUMIFS(BB___HK___AMHS__Others[AR Amount],BB___HK___AMHS__Others[PO No.],AR_725[[#This Row],[tsmc PO '#]],BB___HK___AMHS__Others[Status],"&lt;&gt;Rejected",BB___HK___AMHS__Others[YearMonth],"2024-07")</f>
        <v>0</v>
      </c>
      <c r="CP108" s="122">
        <f>SUMIFS(BB___HK___AMHS__Others[Tax],BB___HK___AMHS__Others[PO No.],AR_725[[#This Row],[tsmc PO '#]],BB___HK___AMHS__Others[Status],"&lt;&gt;Rejected",BB___HK___AMHS__Others[YearMonth],"2024-07")</f>
        <v>0</v>
      </c>
      <c r="CQ108" s="34">
        <f>SUMIFS(BB___HK___AMHS__Others[AR Amount],BB___HK___AMHS__Others[PO No.],AR_725[[#This Row],[tsmc PO '#]],BB___HK___AMHS__Others[Status],"&lt;&gt;Rejected",BB___HK___AMHS__Others[YearMonth],"2024-08")</f>
        <v>0</v>
      </c>
      <c r="CR108" s="44">
        <f>SUMIFS(BB___HK___AMHS__Others[Tax],BB___HK___AMHS__Others[PO No.],AR_725[[#This Row],[tsmc PO '#]],BB___HK___AMHS__Others[Status],"&lt;&gt;Rejected",BB___HK___AMHS__Others[YearMonth],"2024-08")</f>
        <v>0</v>
      </c>
      <c r="CS108" s="62">
        <f>SUMIFS(BB___HK___AMHS__Others[AR Amount],BB___HK___AMHS__Others[PO No.],AR_725[[#This Row],[tsmc PO '#]],BB___HK___AMHS__Others[Status],"&lt;&gt;Rejected",BB___HK___AMHS__Others[YearMonth],"2024-09")</f>
        <v>0</v>
      </c>
      <c r="CT108" s="601">
        <f>SUMIFS(BB___HK___AMHS__Others[Tax],BB___HK___AMHS__Others[PO No.],AR_725[[#This Row],[tsmc PO '#]],BB___HK___AMHS__Others[Status],"&lt;&gt;Rejected",BB___HK___AMHS__Others[YearMonth],"2024-09")</f>
        <v>0</v>
      </c>
    </row>
    <row r="109" spans="1:98" ht="14.1" hidden="1">
      <c r="A109" s="30" t="s">
        <v>13</v>
      </c>
      <c r="B109" s="30" t="s">
        <v>2113</v>
      </c>
      <c r="D109" s="50"/>
      <c r="E109" s="57" t="s">
        <v>2126</v>
      </c>
      <c r="F109" s="64" t="s">
        <v>2126</v>
      </c>
      <c r="G109" s="48" t="s">
        <v>2150</v>
      </c>
      <c r="H109" s="36">
        <v>4590010363</v>
      </c>
      <c r="I109" s="30" t="s">
        <v>361</v>
      </c>
      <c r="J109" s="106" t="s">
        <v>1015</v>
      </c>
      <c r="K109" s="321">
        <v>3214.58</v>
      </c>
      <c r="L109" s="30"/>
      <c r="M109" s="86"/>
      <c r="N109" s="87"/>
      <c r="O109" s="88"/>
      <c r="P10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10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10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109" s="72">
        <f>IF(AR_725[[#This Row],[PO Amount]]=0,1,AR_725[[#This Row],[Total AR (Sent)]]/AR_725[[#This Row],[PO Amount]])</f>
        <v>0</v>
      </c>
      <c r="T109" s="75">
        <f>AR_725[[#This Row],[PO Amount]]-AR_725[[#This Row],[Total AR (Sent)]]</f>
        <v>3214.58</v>
      </c>
      <c r="U109" s="40"/>
      <c r="V109" s="40"/>
      <c r="W109" s="46"/>
      <c r="X109" s="46"/>
      <c r="Y109" s="46"/>
      <c r="Z109" s="46"/>
      <c r="AA109" s="46"/>
      <c r="AB109" s="40"/>
      <c r="AC109" s="40"/>
      <c r="AD109" s="40"/>
      <c r="AE109" s="46"/>
      <c r="AF109" s="46"/>
      <c r="AG109" s="46"/>
      <c r="AH109" s="46"/>
      <c r="AI109" s="40"/>
      <c r="AJ109" s="46"/>
      <c r="AK109" s="40"/>
      <c r="AL109" s="46"/>
      <c r="AM109" s="40"/>
      <c r="AN109" s="46"/>
      <c r="AO109" s="40"/>
      <c r="AP109" s="46"/>
      <c r="AQ109" s="40"/>
      <c r="AR109" s="41"/>
      <c r="AS109" s="40"/>
      <c r="AT109" s="41"/>
      <c r="AU109" s="40"/>
      <c r="AV109" s="41"/>
      <c r="AW109" s="40"/>
      <c r="AX109" s="41"/>
      <c r="AY109" s="40"/>
      <c r="AZ109" s="41"/>
      <c r="BA109" s="41"/>
      <c r="BB109" s="41"/>
      <c r="BC109" s="40"/>
      <c r="BD109" s="41"/>
      <c r="BE109" s="46"/>
      <c r="BF109" s="41"/>
      <c r="BG109" s="41"/>
      <c r="BH109" s="41"/>
      <c r="BI109" s="41"/>
      <c r="BJ109" s="41"/>
      <c r="BK109" s="41"/>
      <c r="BL109" s="41"/>
      <c r="BM109" s="41"/>
      <c r="BN109" s="41"/>
      <c r="BO109" s="46"/>
      <c r="BP109" s="41"/>
      <c r="BQ109" s="46"/>
      <c r="BR109" s="40"/>
      <c r="BS109" s="40"/>
      <c r="BT109" s="40"/>
      <c r="BU109" s="40"/>
      <c r="BV109" s="40"/>
      <c r="BW109" s="40"/>
      <c r="BX109" s="34"/>
      <c r="BZ109" s="40"/>
      <c r="CA109" s="40"/>
      <c r="CB109" s="34"/>
      <c r="CC109" s="34"/>
      <c r="CD109" s="34"/>
      <c r="CE109" s="34"/>
      <c r="CF109" s="34"/>
      <c r="CG109" s="122"/>
      <c r="CI109" s="122"/>
      <c r="CJ109" s="30"/>
      <c r="CK109" s="122">
        <v>0</v>
      </c>
      <c r="CL109" s="122">
        <v>0</v>
      </c>
      <c r="CM109" s="122">
        <v>0</v>
      </c>
      <c r="CN109" s="122">
        <v>0</v>
      </c>
      <c r="CO109" s="122">
        <f>SUMIFS(BB___HK___AMHS__Others[AR Amount],BB___HK___AMHS__Others[PO No.],AR_725[[#This Row],[tsmc PO '#]],BB___HK___AMHS__Others[Status],"&lt;&gt;Rejected",BB___HK___AMHS__Others[YearMonth],"2024-07")</f>
        <v>0</v>
      </c>
      <c r="CP109" s="122">
        <f>SUMIFS(BB___HK___AMHS__Others[Tax],BB___HK___AMHS__Others[PO No.],AR_725[[#This Row],[tsmc PO '#]],BB___HK___AMHS__Others[Status],"&lt;&gt;Rejected",BB___HK___AMHS__Others[YearMonth],"2024-07")</f>
        <v>0</v>
      </c>
      <c r="CQ109" s="34">
        <f>SUMIFS(BB___HK___AMHS__Others[AR Amount],BB___HK___AMHS__Others[PO No.],AR_725[[#This Row],[tsmc PO '#]],BB___HK___AMHS__Others[Status],"&lt;&gt;Rejected",BB___HK___AMHS__Others[YearMonth],"2024-08")</f>
        <v>0</v>
      </c>
      <c r="CR109" s="44">
        <f>SUMIFS(BB___HK___AMHS__Others[Tax],BB___HK___AMHS__Others[PO No.],AR_725[[#This Row],[tsmc PO '#]],BB___HK___AMHS__Others[Status],"&lt;&gt;Rejected",BB___HK___AMHS__Others[YearMonth],"2024-08")</f>
        <v>0</v>
      </c>
      <c r="CS109" s="62">
        <f>SUMIFS(BB___HK___AMHS__Others[AR Amount],BB___HK___AMHS__Others[PO No.],AR_725[[#This Row],[tsmc PO '#]],BB___HK___AMHS__Others[Status],"&lt;&gt;Rejected",BB___HK___AMHS__Others[YearMonth],"2024-09")</f>
        <v>0</v>
      </c>
      <c r="CT109" s="601">
        <f>SUMIFS(BB___HK___AMHS__Others[Tax],BB___HK___AMHS__Others[PO No.],AR_725[[#This Row],[tsmc PO '#]],BB___HK___AMHS__Others[Status],"&lt;&gt;Rejected",BB___HK___AMHS__Others[YearMonth],"2024-09")</f>
        <v>0</v>
      </c>
    </row>
    <row r="110" spans="1:98" ht="14.1" hidden="1">
      <c r="A110" s="30" t="s">
        <v>16</v>
      </c>
      <c r="B110" s="30" t="s">
        <v>2113</v>
      </c>
      <c r="D110" s="50"/>
      <c r="E110" s="57" t="s">
        <v>2126</v>
      </c>
      <c r="F110" s="48" t="s">
        <v>2126</v>
      </c>
      <c r="G110" s="48" t="s">
        <v>2151</v>
      </c>
      <c r="H110" s="36">
        <v>4590010393</v>
      </c>
      <c r="I110" s="30" t="s">
        <v>361</v>
      </c>
      <c r="J110" s="30" t="s">
        <v>2152</v>
      </c>
      <c r="K110" s="321">
        <v>4821.87</v>
      </c>
      <c r="L110" s="30"/>
      <c r="M110" s="86"/>
      <c r="N110" s="87"/>
      <c r="O110" s="88"/>
      <c r="P11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11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11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110" s="72">
        <f>IF(AR_725[[#This Row],[PO Amount]]=0,1,AR_725[[#This Row],[Total AR (Sent)]]/AR_725[[#This Row],[PO Amount]])</f>
        <v>0</v>
      </c>
      <c r="T110" s="75">
        <f>AR_725[[#This Row],[PO Amount]]-AR_725[[#This Row],[Total AR (Sent)]]</f>
        <v>4821.87</v>
      </c>
      <c r="U110" s="40"/>
      <c r="V110" s="40"/>
      <c r="W110" s="46"/>
      <c r="X110" s="46"/>
      <c r="Y110" s="46"/>
      <c r="Z110" s="46"/>
      <c r="AA110" s="46"/>
      <c r="AB110" s="40"/>
      <c r="AC110" s="40"/>
      <c r="AD110" s="40"/>
      <c r="AE110" s="46"/>
      <c r="AF110" s="46"/>
      <c r="AG110" s="46"/>
      <c r="AH110" s="46"/>
      <c r="AI110" s="40"/>
      <c r="AJ110" s="46"/>
      <c r="AK110" s="40"/>
      <c r="AL110" s="46"/>
      <c r="AM110" s="40"/>
      <c r="AN110" s="46"/>
      <c r="AO110" s="40"/>
      <c r="AP110" s="46"/>
      <c r="AQ110" s="40"/>
      <c r="AR110" s="41"/>
      <c r="AS110" s="40"/>
      <c r="AT110" s="41"/>
      <c r="AU110" s="40"/>
      <c r="AV110" s="41"/>
      <c r="AW110" s="40"/>
      <c r="AX110" s="41"/>
      <c r="AY110" s="40"/>
      <c r="AZ110" s="41"/>
      <c r="BA110" s="41"/>
      <c r="BB110" s="41"/>
      <c r="BC110" s="40"/>
      <c r="BD110" s="41"/>
      <c r="BE110" s="46"/>
      <c r="BF110" s="41"/>
      <c r="BG110" s="41"/>
      <c r="BH110" s="41"/>
      <c r="BI110" s="41"/>
      <c r="BJ110" s="41"/>
      <c r="BK110" s="41"/>
      <c r="BL110" s="41"/>
      <c r="BM110" s="41"/>
      <c r="BN110" s="41"/>
      <c r="BO110" s="46"/>
      <c r="BP110" s="41"/>
      <c r="BQ110" s="46"/>
      <c r="BR110" s="40"/>
      <c r="BS110" s="40"/>
      <c r="BT110" s="40"/>
      <c r="BU110" s="40"/>
      <c r="BV110" s="40"/>
      <c r="BW110" s="40"/>
      <c r="BX110" s="34"/>
      <c r="BZ110" s="40"/>
      <c r="CA110" s="40"/>
      <c r="CB110" s="34"/>
      <c r="CC110" s="34"/>
      <c r="CD110" s="34"/>
      <c r="CE110" s="34"/>
      <c r="CF110" s="34"/>
      <c r="CG110" s="122"/>
      <c r="CI110" s="122"/>
      <c r="CJ110" s="30"/>
      <c r="CK110" s="122">
        <v>0</v>
      </c>
      <c r="CL110" s="122">
        <v>0</v>
      </c>
      <c r="CM110" s="122">
        <v>0</v>
      </c>
      <c r="CN110" s="122">
        <v>0</v>
      </c>
      <c r="CO110" s="122">
        <f>SUMIFS(BB___HK___AMHS__Others[AR Amount],BB___HK___AMHS__Others[PO No.],AR_725[[#This Row],[tsmc PO '#]],BB___HK___AMHS__Others[Status],"&lt;&gt;Rejected",BB___HK___AMHS__Others[YearMonth],"2024-07")</f>
        <v>0</v>
      </c>
      <c r="CP110" s="122">
        <f>SUMIFS(BB___HK___AMHS__Others[Tax],BB___HK___AMHS__Others[PO No.],AR_725[[#This Row],[tsmc PO '#]],BB___HK___AMHS__Others[Status],"&lt;&gt;Rejected",BB___HK___AMHS__Others[YearMonth],"2024-07")</f>
        <v>0</v>
      </c>
      <c r="CQ110" s="34">
        <f>SUMIFS(BB___HK___AMHS__Others[AR Amount],BB___HK___AMHS__Others[PO No.],AR_725[[#This Row],[tsmc PO '#]],BB___HK___AMHS__Others[Status],"&lt;&gt;Rejected",BB___HK___AMHS__Others[YearMonth],"2024-08")</f>
        <v>0</v>
      </c>
      <c r="CR110" s="44">
        <f>SUMIFS(BB___HK___AMHS__Others[Tax],BB___HK___AMHS__Others[PO No.],AR_725[[#This Row],[tsmc PO '#]],BB___HK___AMHS__Others[Status],"&lt;&gt;Rejected",BB___HK___AMHS__Others[YearMonth],"2024-08")</f>
        <v>0</v>
      </c>
      <c r="CS110" s="62">
        <f>SUMIFS(BB___HK___AMHS__Others[AR Amount],BB___HK___AMHS__Others[PO No.],AR_725[[#This Row],[tsmc PO '#]],BB___HK___AMHS__Others[Status],"&lt;&gt;Rejected",BB___HK___AMHS__Others[YearMonth],"2024-09")</f>
        <v>0</v>
      </c>
      <c r="CT110" s="601">
        <f>SUMIFS(BB___HK___AMHS__Others[Tax],BB___HK___AMHS__Others[PO No.],AR_725[[#This Row],[tsmc PO '#]],BB___HK___AMHS__Others[Status],"&lt;&gt;Rejected",BB___HK___AMHS__Others[YearMonth],"2024-09")</f>
        <v>0</v>
      </c>
    </row>
    <row r="111" spans="1:98" ht="14.1" hidden="1">
      <c r="A111" s="30" t="s">
        <v>13</v>
      </c>
      <c r="B111" s="30" t="s">
        <v>2113</v>
      </c>
      <c r="D111" s="50"/>
      <c r="E111" s="57" t="s">
        <v>2126</v>
      </c>
      <c r="F111" s="50" t="s">
        <v>2126</v>
      </c>
      <c r="G111" s="48" t="s">
        <v>2153</v>
      </c>
      <c r="H111" s="50">
        <v>4590010394</v>
      </c>
      <c r="I111" s="30" t="s">
        <v>361</v>
      </c>
      <c r="J111" s="71" t="s">
        <v>811</v>
      </c>
      <c r="K111" s="322">
        <v>4821.87</v>
      </c>
      <c r="L111" s="30"/>
      <c r="N111" s="87"/>
      <c r="P11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4821.87</v>
      </c>
      <c r="Q11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4821.87</v>
      </c>
      <c r="R11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4821.87</v>
      </c>
      <c r="S111" s="72">
        <f>IF(AR_725[[#This Row],[PO Amount]]=0,1,AR_725[[#This Row],[Total AR (Sent)]]/AR_725[[#This Row],[PO Amount]])</f>
        <v>1</v>
      </c>
      <c r="T111" s="73">
        <f>AR_725[[#This Row],[PO Amount]]-AR_725[[#This Row],[Total AR (Sent)]]</f>
        <v>0</v>
      </c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34"/>
      <c r="AS111" s="40"/>
      <c r="AU111" s="34"/>
      <c r="AV111" s="41"/>
      <c r="AW111" s="40"/>
      <c r="AX111" s="34"/>
      <c r="AY111" s="40"/>
      <c r="AZ111" s="34"/>
      <c r="BA111" s="40"/>
      <c r="BB111" s="34"/>
      <c r="BC111" s="40"/>
      <c r="BD111" s="40"/>
      <c r="BE111" s="40"/>
      <c r="BF111" s="40"/>
      <c r="BG111" s="40"/>
      <c r="BH111" s="40"/>
      <c r="BI111" s="40"/>
      <c r="BJ111" s="40"/>
      <c r="BK111" s="40"/>
      <c r="BL111" s="34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Z111" s="34"/>
      <c r="CA111" s="40"/>
      <c r="CB111" s="34"/>
      <c r="CC111" s="34"/>
      <c r="CD111" s="34"/>
      <c r="CE111" s="74">
        <v>4821.87</v>
      </c>
      <c r="CF111" s="34"/>
      <c r="CG111" s="122"/>
      <c r="CI111" s="122"/>
      <c r="CJ111" s="30"/>
      <c r="CK111" s="122">
        <v>0</v>
      </c>
      <c r="CL111" s="122">
        <v>0</v>
      </c>
      <c r="CM111" s="122">
        <v>0</v>
      </c>
      <c r="CN111" s="122">
        <v>0</v>
      </c>
      <c r="CO111" s="122">
        <f>SUMIFS(BB___HK___AMHS__Others[AR Amount],BB___HK___AMHS__Others[PO No.],AR_725[[#This Row],[tsmc PO '#]],BB___HK___AMHS__Others[Status],"&lt;&gt;Rejected",BB___HK___AMHS__Others[YearMonth],"2024-07")</f>
        <v>0</v>
      </c>
      <c r="CP111" s="122">
        <f>SUMIFS(BB___HK___AMHS__Others[Tax],BB___HK___AMHS__Others[PO No.],AR_725[[#This Row],[tsmc PO '#]],BB___HK___AMHS__Others[Status],"&lt;&gt;Rejected",BB___HK___AMHS__Others[YearMonth],"2024-07")</f>
        <v>0</v>
      </c>
      <c r="CQ111" s="34">
        <f>SUMIFS(BB___HK___AMHS__Others[AR Amount],BB___HK___AMHS__Others[PO No.],AR_725[[#This Row],[tsmc PO '#]],BB___HK___AMHS__Others[Status],"&lt;&gt;Rejected",BB___HK___AMHS__Others[YearMonth],"2024-08")</f>
        <v>0</v>
      </c>
      <c r="CR111" s="44">
        <f>SUMIFS(BB___HK___AMHS__Others[Tax],BB___HK___AMHS__Others[PO No.],AR_725[[#This Row],[tsmc PO '#]],BB___HK___AMHS__Others[Status],"&lt;&gt;Rejected",BB___HK___AMHS__Others[YearMonth],"2024-08")</f>
        <v>0</v>
      </c>
      <c r="CS111" s="62">
        <f>SUMIFS(BB___HK___AMHS__Others[AR Amount],BB___HK___AMHS__Others[PO No.],AR_725[[#This Row],[tsmc PO '#]],BB___HK___AMHS__Others[Status],"&lt;&gt;Rejected",BB___HK___AMHS__Others[YearMonth],"2024-09")</f>
        <v>0</v>
      </c>
      <c r="CT111" s="601">
        <f>SUMIFS(BB___HK___AMHS__Others[Tax],BB___HK___AMHS__Others[PO No.],AR_725[[#This Row],[tsmc PO '#]],BB___HK___AMHS__Others[Status],"&lt;&gt;Rejected",BB___HK___AMHS__Others[YearMonth],"2024-09")</f>
        <v>0</v>
      </c>
    </row>
    <row r="112" spans="1:98" ht="14.1" hidden="1">
      <c r="A112" s="30" t="s">
        <v>16</v>
      </c>
      <c r="B112" s="30" t="s">
        <v>2113</v>
      </c>
      <c r="D112" s="50"/>
      <c r="E112" s="57" t="s">
        <v>2126</v>
      </c>
      <c r="F112" s="48" t="s">
        <v>2126</v>
      </c>
      <c r="G112" s="48" t="s">
        <v>813</v>
      </c>
      <c r="H112" s="36">
        <v>4590010395</v>
      </c>
      <c r="I112" s="30" t="s">
        <v>361</v>
      </c>
      <c r="J112" s="30" t="s">
        <v>814</v>
      </c>
      <c r="K112" s="321">
        <v>3214.58</v>
      </c>
      <c r="L112" s="30"/>
      <c r="M112" s="86"/>
      <c r="N112" s="87"/>
      <c r="O112" s="88"/>
      <c r="P11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11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11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112" s="72">
        <f>IF(AR_725[[#This Row],[PO Amount]]=0,1,AR_725[[#This Row],[Total AR (Sent)]]/AR_725[[#This Row],[PO Amount]])</f>
        <v>0</v>
      </c>
      <c r="T112" s="75">
        <f>AR_725[[#This Row],[PO Amount]]-AR_725[[#This Row],[Total AR (Sent)]]</f>
        <v>3214.58</v>
      </c>
      <c r="U112" s="40"/>
      <c r="V112" s="40"/>
      <c r="W112" s="46"/>
      <c r="X112" s="46"/>
      <c r="Y112" s="46"/>
      <c r="Z112" s="46"/>
      <c r="AA112" s="46"/>
      <c r="AB112" s="40"/>
      <c r="AC112" s="40"/>
      <c r="AD112" s="40"/>
      <c r="AE112" s="46"/>
      <c r="AF112" s="46"/>
      <c r="AG112" s="46"/>
      <c r="AH112" s="46"/>
      <c r="AI112" s="40"/>
      <c r="AJ112" s="46"/>
      <c r="AK112" s="40"/>
      <c r="AL112" s="46"/>
      <c r="AM112" s="40"/>
      <c r="AN112" s="46"/>
      <c r="AO112" s="40"/>
      <c r="AP112" s="46"/>
      <c r="AQ112" s="40"/>
      <c r="AR112" s="41"/>
      <c r="AS112" s="40"/>
      <c r="AT112" s="41"/>
      <c r="AU112" s="40"/>
      <c r="AV112" s="41"/>
      <c r="AW112" s="40"/>
      <c r="AX112" s="41"/>
      <c r="AY112" s="40"/>
      <c r="AZ112" s="41"/>
      <c r="BA112" s="41"/>
      <c r="BB112" s="41"/>
      <c r="BC112" s="40"/>
      <c r="BD112" s="41"/>
      <c r="BE112" s="46"/>
      <c r="BF112" s="41"/>
      <c r="BG112" s="41"/>
      <c r="BH112" s="41"/>
      <c r="BI112" s="41"/>
      <c r="BJ112" s="41"/>
      <c r="BK112" s="41"/>
      <c r="BL112" s="41"/>
      <c r="BM112" s="41"/>
      <c r="BN112" s="41"/>
      <c r="BO112" s="46"/>
      <c r="BP112" s="41"/>
      <c r="BQ112" s="46"/>
      <c r="BR112" s="40"/>
      <c r="BS112" s="40"/>
      <c r="BT112" s="40"/>
      <c r="BU112" s="40"/>
      <c r="BV112" s="40"/>
      <c r="BW112" s="40"/>
      <c r="BX112" s="34"/>
      <c r="BZ112" s="40"/>
      <c r="CA112" s="40"/>
      <c r="CB112" s="34"/>
      <c r="CC112" s="34"/>
      <c r="CD112" s="34"/>
      <c r="CE112" s="115">
        <f>3214.58-3214.58</f>
        <v>0</v>
      </c>
      <c r="CF112" s="34"/>
      <c r="CG112" s="122"/>
      <c r="CI112" s="122"/>
      <c r="CJ112" s="30"/>
      <c r="CK112" s="122">
        <v>0</v>
      </c>
      <c r="CL112" s="122">
        <v>0</v>
      </c>
      <c r="CM112" s="122">
        <v>0</v>
      </c>
      <c r="CN112" s="122">
        <v>0</v>
      </c>
      <c r="CO112" s="122">
        <f>SUMIFS(BB___HK___AMHS__Others[AR Amount],BB___HK___AMHS__Others[PO No.],AR_725[[#This Row],[tsmc PO '#]],BB___HK___AMHS__Others[Status],"&lt;&gt;Rejected",BB___HK___AMHS__Others[YearMonth],"2024-07")</f>
        <v>0</v>
      </c>
      <c r="CP112" s="122">
        <f>SUMIFS(BB___HK___AMHS__Others[Tax],BB___HK___AMHS__Others[PO No.],AR_725[[#This Row],[tsmc PO '#]],BB___HK___AMHS__Others[Status],"&lt;&gt;Rejected",BB___HK___AMHS__Others[YearMonth],"2024-07")</f>
        <v>0</v>
      </c>
      <c r="CQ112" s="34">
        <f>SUMIFS(BB___HK___AMHS__Others[AR Amount],BB___HK___AMHS__Others[PO No.],AR_725[[#This Row],[tsmc PO '#]],BB___HK___AMHS__Others[Status],"&lt;&gt;Rejected",BB___HK___AMHS__Others[YearMonth],"2024-08")</f>
        <v>0</v>
      </c>
      <c r="CR112" s="44">
        <f>SUMIFS(BB___HK___AMHS__Others[Tax],BB___HK___AMHS__Others[PO No.],AR_725[[#This Row],[tsmc PO '#]],BB___HK___AMHS__Others[Status],"&lt;&gt;Rejected",BB___HK___AMHS__Others[YearMonth],"2024-08")</f>
        <v>0</v>
      </c>
      <c r="CS112" s="62">
        <f>SUMIFS(BB___HK___AMHS__Others[AR Amount],BB___HK___AMHS__Others[PO No.],AR_725[[#This Row],[tsmc PO '#]],BB___HK___AMHS__Others[Status],"&lt;&gt;Rejected",BB___HK___AMHS__Others[YearMonth],"2024-09")</f>
        <v>0</v>
      </c>
      <c r="CT112" s="601">
        <f>SUMIFS(BB___HK___AMHS__Others[Tax],BB___HK___AMHS__Others[PO No.],AR_725[[#This Row],[tsmc PO '#]],BB___HK___AMHS__Others[Status],"&lt;&gt;Rejected",BB___HK___AMHS__Others[YearMonth],"2024-09")</f>
        <v>0</v>
      </c>
    </row>
    <row r="113" spans="1:98" ht="14.1" hidden="1">
      <c r="A113" s="30" t="s">
        <v>13</v>
      </c>
      <c r="B113" s="30" t="s">
        <v>2113</v>
      </c>
      <c r="D113" s="50"/>
      <c r="E113" s="57" t="s">
        <v>2126</v>
      </c>
      <c r="F113" s="48" t="s">
        <v>2126</v>
      </c>
      <c r="G113" s="48" t="s">
        <v>1014</v>
      </c>
      <c r="H113" s="36">
        <v>4590010397</v>
      </c>
      <c r="I113" s="30" t="s">
        <v>361</v>
      </c>
      <c r="J113" s="106" t="s">
        <v>1015</v>
      </c>
      <c r="K113" s="321">
        <v>3214.58</v>
      </c>
      <c r="L113" s="30"/>
      <c r="M113" s="86"/>
      <c r="N113" s="87"/>
      <c r="O113" s="88"/>
      <c r="P11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3214.58</v>
      </c>
      <c r="Q11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3214.58</v>
      </c>
      <c r="R11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3214.58</v>
      </c>
      <c r="S113" s="72">
        <f>IF(AR_725[[#This Row],[PO Amount]]=0,1,AR_725[[#This Row],[Total AR (Sent)]]/AR_725[[#This Row],[PO Amount]])</f>
        <v>1</v>
      </c>
      <c r="T113" s="75">
        <f>AR_725[[#This Row],[PO Amount]]-AR_725[[#This Row],[Total AR (Sent)]]</f>
        <v>0</v>
      </c>
      <c r="U113" s="40"/>
      <c r="V113" s="40"/>
      <c r="W113" s="46"/>
      <c r="X113" s="46"/>
      <c r="Y113" s="46"/>
      <c r="Z113" s="46"/>
      <c r="AA113" s="46"/>
      <c r="AB113" s="40"/>
      <c r="AC113" s="40"/>
      <c r="AD113" s="40"/>
      <c r="AE113" s="46"/>
      <c r="AF113" s="46"/>
      <c r="AG113" s="46"/>
      <c r="AH113" s="46"/>
      <c r="AI113" s="40"/>
      <c r="AJ113" s="46"/>
      <c r="AK113" s="40"/>
      <c r="AL113" s="46"/>
      <c r="AM113" s="40"/>
      <c r="AN113" s="46"/>
      <c r="AO113" s="40"/>
      <c r="AP113" s="46"/>
      <c r="AQ113" s="40"/>
      <c r="AR113" s="41"/>
      <c r="AS113" s="40"/>
      <c r="AT113" s="41"/>
      <c r="AU113" s="40"/>
      <c r="AV113" s="41"/>
      <c r="AW113" s="40"/>
      <c r="AX113" s="41"/>
      <c r="AY113" s="40"/>
      <c r="AZ113" s="41"/>
      <c r="BA113" s="41"/>
      <c r="BB113" s="41"/>
      <c r="BC113" s="40"/>
      <c r="BD113" s="41"/>
      <c r="BE113" s="46"/>
      <c r="BF113" s="41"/>
      <c r="BG113" s="41"/>
      <c r="BH113" s="41"/>
      <c r="BI113" s="41"/>
      <c r="BJ113" s="41"/>
      <c r="BK113" s="41"/>
      <c r="BL113" s="41"/>
      <c r="BM113" s="41"/>
      <c r="BN113" s="41"/>
      <c r="BO113" s="46"/>
      <c r="BP113" s="41"/>
      <c r="BQ113" s="46"/>
      <c r="BR113" s="40"/>
      <c r="BS113" s="40"/>
      <c r="BT113" s="40"/>
      <c r="BU113" s="40"/>
      <c r="BV113" s="40"/>
      <c r="BW113" s="40"/>
      <c r="BX113" s="34"/>
      <c r="BZ113" s="40"/>
      <c r="CA113" s="40"/>
      <c r="CB113" s="34"/>
      <c r="CC113" s="34"/>
      <c r="CD113" s="34"/>
      <c r="CE113" s="34"/>
      <c r="CF113" s="34"/>
      <c r="CG113" s="122">
        <v>3214.58</v>
      </c>
      <c r="CI113" s="122"/>
      <c r="CJ113" s="30"/>
      <c r="CK113" s="122">
        <v>0</v>
      </c>
      <c r="CL113" s="122">
        <v>0</v>
      </c>
      <c r="CM113" s="122">
        <v>0</v>
      </c>
      <c r="CN113" s="122">
        <v>0</v>
      </c>
      <c r="CO113" s="122">
        <f>SUMIFS(BB___HK___AMHS__Others[AR Amount],BB___HK___AMHS__Others[PO No.],AR_725[[#This Row],[tsmc PO '#]],BB___HK___AMHS__Others[Status],"&lt;&gt;Rejected",BB___HK___AMHS__Others[YearMonth],"2024-07")</f>
        <v>0</v>
      </c>
      <c r="CP113" s="122">
        <f>SUMIFS(BB___HK___AMHS__Others[Tax],BB___HK___AMHS__Others[PO No.],AR_725[[#This Row],[tsmc PO '#]],BB___HK___AMHS__Others[Status],"&lt;&gt;Rejected",BB___HK___AMHS__Others[YearMonth],"2024-07")</f>
        <v>0</v>
      </c>
      <c r="CQ113" s="34">
        <f>SUMIFS(BB___HK___AMHS__Others[AR Amount],BB___HK___AMHS__Others[PO No.],AR_725[[#This Row],[tsmc PO '#]],BB___HK___AMHS__Others[Status],"&lt;&gt;Rejected",BB___HK___AMHS__Others[YearMonth],"2024-08")</f>
        <v>0</v>
      </c>
      <c r="CR113" s="44">
        <f>SUMIFS(BB___HK___AMHS__Others[Tax],BB___HK___AMHS__Others[PO No.],AR_725[[#This Row],[tsmc PO '#]],BB___HK___AMHS__Others[Status],"&lt;&gt;Rejected",BB___HK___AMHS__Others[YearMonth],"2024-08")</f>
        <v>0</v>
      </c>
      <c r="CS113" s="62">
        <f>SUMIFS(BB___HK___AMHS__Others[AR Amount],BB___HK___AMHS__Others[PO No.],AR_725[[#This Row],[tsmc PO '#]],BB___HK___AMHS__Others[Status],"&lt;&gt;Rejected",BB___HK___AMHS__Others[YearMonth],"2024-09")</f>
        <v>0</v>
      </c>
      <c r="CT113" s="601">
        <f>SUMIFS(BB___HK___AMHS__Others[Tax],BB___HK___AMHS__Others[PO No.],AR_725[[#This Row],[tsmc PO '#]],BB___HK___AMHS__Others[Status],"&lt;&gt;Rejected",BB___HK___AMHS__Others[YearMonth],"2024-09")</f>
        <v>0</v>
      </c>
    </row>
    <row r="114" spans="1:98" ht="14.1" hidden="1">
      <c r="A114" s="30" t="s">
        <v>13</v>
      </c>
      <c r="B114" s="30" t="s">
        <v>2113</v>
      </c>
      <c r="D114" s="50"/>
      <c r="E114" s="57" t="s">
        <v>2126</v>
      </c>
      <c r="F114" s="48" t="s">
        <v>2126</v>
      </c>
      <c r="G114" s="48" t="s">
        <v>2154</v>
      </c>
      <c r="H114" s="36">
        <v>4590010398</v>
      </c>
      <c r="I114" s="30" t="s">
        <v>361</v>
      </c>
      <c r="J114" s="106" t="s">
        <v>2155</v>
      </c>
      <c r="K114" s="321">
        <v>4821.87</v>
      </c>
      <c r="L114" s="30"/>
      <c r="M114" s="86"/>
      <c r="N114" s="87"/>
      <c r="O114" s="88"/>
      <c r="P11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11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11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114" s="72">
        <f>IF(AR_725[[#This Row],[PO Amount]]=0,1,AR_725[[#This Row],[Total AR (Sent)]]/AR_725[[#This Row],[PO Amount]])</f>
        <v>0</v>
      </c>
      <c r="T114" s="75">
        <f>AR_725[[#This Row],[PO Amount]]-AR_725[[#This Row],[Total AR (Sent)]]</f>
        <v>4821.87</v>
      </c>
      <c r="U114" s="40"/>
      <c r="V114" s="40"/>
      <c r="W114" s="46"/>
      <c r="X114" s="46"/>
      <c r="Y114" s="46"/>
      <c r="Z114" s="46"/>
      <c r="AA114" s="46"/>
      <c r="AB114" s="40"/>
      <c r="AC114" s="40"/>
      <c r="AD114" s="40"/>
      <c r="AE114" s="46"/>
      <c r="AF114" s="46"/>
      <c r="AG114" s="46"/>
      <c r="AH114" s="46"/>
      <c r="AI114" s="40"/>
      <c r="AJ114" s="46"/>
      <c r="AK114" s="40"/>
      <c r="AL114" s="46"/>
      <c r="AM114" s="40"/>
      <c r="AN114" s="46"/>
      <c r="AO114" s="40"/>
      <c r="AP114" s="46"/>
      <c r="AQ114" s="40"/>
      <c r="AR114" s="41"/>
      <c r="AS114" s="40"/>
      <c r="AT114" s="41"/>
      <c r="AU114" s="40"/>
      <c r="AV114" s="41"/>
      <c r="AW114" s="40"/>
      <c r="AX114" s="41"/>
      <c r="AY114" s="40"/>
      <c r="AZ114" s="41"/>
      <c r="BA114" s="41"/>
      <c r="BB114" s="41"/>
      <c r="BC114" s="40"/>
      <c r="BD114" s="41"/>
      <c r="BE114" s="46"/>
      <c r="BF114" s="41"/>
      <c r="BG114" s="41"/>
      <c r="BH114" s="41"/>
      <c r="BI114" s="41"/>
      <c r="BJ114" s="41"/>
      <c r="BK114" s="41"/>
      <c r="BL114" s="41"/>
      <c r="BM114" s="41"/>
      <c r="BN114" s="41"/>
      <c r="BO114" s="46"/>
      <c r="BP114" s="41"/>
      <c r="BQ114" s="46"/>
      <c r="BR114" s="40"/>
      <c r="BS114" s="40"/>
      <c r="BT114" s="40"/>
      <c r="BU114" s="40"/>
      <c r="BV114" s="40"/>
      <c r="BW114" s="40"/>
      <c r="BX114" s="34"/>
      <c r="BZ114" s="40"/>
      <c r="CA114" s="40"/>
      <c r="CB114" s="34"/>
      <c r="CC114" s="34"/>
      <c r="CD114" s="34"/>
      <c r="CE114" s="34"/>
      <c r="CF114" s="34"/>
      <c r="CG114" s="122"/>
      <c r="CI114" s="122"/>
      <c r="CJ114" s="30"/>
      <c r="CK114" s="122">
        <v>0</v>
      </c>
      <c r="CL114" s="122">
        <v>0</v>
      </c>
      <c r="CM114" s="122">
        <v>0</v>
      </c>
      <c r="CN114" s="122">
        <v>0</v>
      </c>
      <c r="CO114" s="122">
        <f>SUMIFS(BB___HK___AMHS__Others[AR Amount],BB___HK___AMHS__Others[PO No.],AR_725[[#This Row],[tsmc PO '#]],BB___HK___AMHS__Others[Status],"&lt;&gt;Rejected",BB___HK___AMHS__Others[YearMonth],"2024-07")</f>
        <v>0</v>
      </c>
      <c r="CP114" s="122">
        <f>SUMIFS(BB___HK___AMHS__Others[Tax],BB___HK___AMHS__Others[PO No.],AR_725[[#This Row],[tsmc PO '#]],BB___HK___AMHS__Others[Status],"&lt;&gt;Rejected",BB___HK___AMHS__Others[YearMonth],"2024-07")</f>
        <v>0</v>
      </c>
      <c r="CQ114" s="34">
        <f>SUMIFS(BB___HK___AMHS__Others[AR Amount],BB___HK___AMHS__Others[PO No.],AR_725[[#This Row],[tsmc PO '#]],BB___HK___AMHS__Others[Status],"&lt;&gt;Rejected",BB___HK___AMHS__Others[YearMonth],"2024-08")</f>
        <v>0</v>
      </c>
      <c r="CR114" s="44">
        <f>SUMIFS(BB___HK___AMHS__Others[Tax],BB___HK___AMHS__Others[PO No.],AR_725[[#This Row],[tsmc PO '#]],BB___HK___AMHS__Others[Status],"&lt;&gt;Rejected",BB___HK___AMHS__Others[YearMonth],"2024-08")</f>
        <v>0</v>
      </c>
      <c r="CS114" s="62">
        <f>SUMIFS(BB___HK___AMHS__Others[AR Amount],BB___HK___AMHS__Others[PO No.],AR_725[[#This Row],[tsmc PO '#]],BB___HK___AMHS__Others[Status],"&lt;&gt;Rejected",BB___HK___AMHS__Others[YearMonth],"2024-09")</f>
        <v>0</v>
      </c>
      <c r="CT114" s="601">
        <f>SUMIFS(BB___HK___AMHS__Others[Tax],BB___HK___AMHS__Others[PO No.],AR_725[[#This Row],[tsmc PO '#]],BB___HK___AMHS__Others[Status],"&lt;&gt;Rejected",BB___HK___AMHS__Others[YearMonth],"2024-09")</f>
        <v>0</v>
      </c>
    </row>
    <row r="115" spans="1:98" ht="14.1" hidden="1">
      <c r="A115" s="30" t="s">
        <v>10</v>
      </c>
      <c r="B115" s="30" t="s">
        <v>10</v>
      </c>
      <c r="D115" s="50"/>
      <c r="E115" s="48" t="s">
        <v>2090</v>
      </c>
      <c r="F115" s="48"/>
      <c r="G115" s="48" t="s">
        <v>54</v>
      </c>
      <c r="H115" s="50">
        <v>4590010418</v>
      </c>
      <c r="I115" s="30" t="s">
        <v>222</v>
      </c>
      <c r="J115" s="30" t="s">
        <v>488</v>
      </c>
      <c r="K115" s="46">
        <v>32459.14</v>
      </c>
      <c r="L115" s="30"/>
      <c r="M115" s="86">
        <v>45041</v>
      </c>
      <c r="N115" s="87"/>
      <c r="O115" s="88" t="s">
        <v>2156</v>
      </c>
      <c r="P11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32459.14</v>
      </c>
      <c r="Q11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32459.14</v>
      </c>
      <c r="R11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32459.14</v>
      </c>
      <c r="S115" s="72">
        <f>IF(AR_725[[#This Row],[PO Amount]]=0,1,AR_725[[#This Row],[Total AR (Sent)]]/AR_725[[#This Row],[PO Amount]])</f>
        <v>1</v>
      </c>
      <c r="T115" s="75">
        <f>AR_725[[#This Row],[PO Amount]]-AR_725[[#This Row],[Total AR (Sent)]]</f>
        <v>0</v>
      </c>
      <c r="U115" s="40"/>
      <c r="V115" s="40"/>
      <c r="W115" s="46"/>
      <c r="X115" s="46"/>
      <c r="Y115" s="46"/>
      <c r="Z115" s="46"/>
      <c r="AA115" s="46"/>
      <c r="AB115" s="40"/>
      <c r="AC115" s="40"/>
      <c r="AD115" s="40"/>
      <c r="AE115" s="46"/>
      <c r="AF115" s="46"/>
      <c r="AG115" s="46"/>
      <c r="AH115" s="46"/>
      <c r="AI115" s="40"/>
      <c r="AJ115" s="41"/>
      <c r="AK115" s="40"/>
      <c r="AL115" s="46"/>
      <c r="AM115" s="40"/>
      <c r="AN115" s="46"/>
      <c r="AO115" s="40"/>
      <c r="AP115" s="46"/>
      <c r="AQ115" s="40"/>
      <c r="AR115" s="41"/>
      <c r="AS115" s="40"/>
      <c r="AT115" s="41"/>
      <c r="AU115" s="40"/>
      <c r="AV115" s="41"/>
      <c r="AW115" s="40"/>
      <c r="AX115" s="41"/>
      <c r="AY115" s="40"/>
      <c r="AZ115" s="41"/>
      <c r="BA115" s="41"/>
      <c r="BB115" s="41"/>
      <c r="BC115" s="40"/>
      <c r="BD115" s="41"/>
      <c r="BE115" s="46"/>
      <c r="BF115" s="41"/>
      <c r="BG115" s="41"/>
      <c r="BH115" s="41"/>
      <c r="BI115" s="41"/>
      <c r="BJ115" s="41"/>
      <c r="BK115" s="41"/>
      <c r="BL115" s="41"/>
      <c r="BM115" s="41"/>
      <c r="BN115" s="41"/>
      <c r="BO115" s="47">
        <v>6491.83</v>
      </c>
      <c r="BP115" s="41"/>
      <c r="BQ115" s="47">
        <v>2372.7800000000002</v>
      </c>
      <c r="BR115" s="40"/>
      <c r="BS115" s="47">
        <v>11383.67</v>
      </c>
      <c r="BT115" s="40"/>
      <c r="BU115" s="40"/>
      <c r="BV115" s="40"/>
      <c r="BW115" s="47">
        <v>12210.86</v>
      </c>
      <c r="BX115" s="34"/>
      <c r="BZ115" s="40"/>
      <c r="CA115" s="40"/>
      <c r="CB115" s="34"/>
      <c r="CC115" s="34"/>
      <c r="CD115" s="34"/>
      <c r="CE115" s="34"/>
      <c r="CF115" s="34"/>
      <c r="CG115" s="122"/>
      <c r="CI115" s="122"/>
      <c r="CJ115" s="30"/>
      <c r="CK115" s="122">
        <v>0</v>
      </c>
      <c r="CL115" s="122">
        <v>0</v>
      </c>
      <c r="CM115" s="122">
        <v>0</v>
      </c>
      <c r="CN115" s="122">
        <v>0</v>
      </c>
      <c r="CO115" s="122">
        <f>SUMIFS(BB___HK___AMHS__Others[AR Amount],BB___HK___AMHS__Others[PO No.],AR_725[[#This Row],[tsmc PO '#]],BB___HK___AMHS__Others[Status],"&lt;&gt;Rejected",BB___HK___AMHS__Others[YearMonth],"2024-07")</f>
        <v>0</v>
      </c>
      <c r="CP115" s="122">
        <f>SUMIFS(BB___HK___AMHS__Others[Tax],BB___HK___AMHS__Others[PO No.],AR_725[[#This Row],[tsmc PO '#]],BB___HK___AMHS__Others[Status],"&lt;&gt;Rejected",BB___HK___AMHS__Others[YearMonth],"2024-07")</f>
        <v>0</v>
      </c>
      <c r="CQ115" s="34">
        <f>SUMIFS(BB___HK___AMHS__Others[AR Amount],BB___HK___AMHS__Others[PO No.],AR_725[[#This Row],[tsmc PO '#]],BB___HK___AMHS__Others[Status],"&lt;&gt;Rejected",BB___HK___AMHS__Others[YearMonth],"2024-08")</f>
        <v>0</v>
      </c>
      <c r="CR115" s="44">
        <f>SUMIFS(BB___HK___AMHS__Others[Tax],BB___HK___AMHS__Others[PO No.],AR_725[[#This Row],[tsmc PO '#]],BB___HK___AMHS__Others[Status],"&lt;&gt;Rejected",BB___HK___AMHS__Others[YearMonth],"2024-08")</f>
        <v>0</v>
      </c>
      <c r="CS115" s="62">
        <f>SUMIFS(BB___HK___AMHS__Others[AR Amount],BB___HK___AMHS__Others[PO No.],AR_725[[#This Row],[tsmc PO '#]],BB___HK___AMHS__Others[Status],"&lt;&gt;Rejected",BB___HK___AMHS__Others[YearMonth],"2024-09")</f>
        <v>0</v>
      </c>
      <c r="CT115" s="601">
        <f>SUMIFS(BB___HK___AMHS__Others[Tax],BB___HK___AMHS__Others[PO No.],AR_725[[#This Row],[tsmc PO '#]],BB___HK___AMHS__Others[Status],"&lt;&gt;Rejected",BB___HK___AMHS__Others[YearMonth],"2024-09")</f>
        <v>0</v>
      </c>
    </row>
    <row r="116" spans="1:98" ht="14.1" hidden="1">
      <c r="A116" s="30" t="s">
        <v>13</v>
      </c>
      <c r="B116" s="30" t="s">
        <v>2113</v>
      </c>
      <c r="D116" s="50"/>
      <c r="E116" s="57" t="s">
        <v>2126</v>
      </c>
      <c r="F116" s="48" t="s">
        <v>2126</v>
      </c>
      <c r="G116" s="48" t="s">
        <v>2157</v>
      </c>
      <c r="H116" s="36">
        <v>4590010419</v>
      </c>
      <c r="J116" s="107" t="s">
        <v>2158</v>
      </c>
      <c r="K116" s="321">
        <v>3491.02</v>
      </c>
      <c r="L116" s="30"/>
      <c r="M116" s="86"/>
      <c r="N116" s="87"/>
      <c r="O116" s="88"/>
      <c r="P11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11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11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116" s="72">
        <f>IF(AR_725[[#This Row],[PO Amount]]=0,1,AR_725[[#This Row],[Total AR (Sent)]]/AR_725[[#This Row],[PO Amount]])</f>
        <v>0</v>
      </c>
      <c r="T116" s="75">
        <f>AR_725[[#This Row],[PO Amount]]-AR_725[[#This Row],[Total AR (Sent)]]</f>
        <v>3491.02</v>
      </c>
      <c r="U116" s="40"/>
      <c r="V116" s="40"/>
      <c r="W116" s="46"/>
      <c r="X116" s="46"/>
      <c r="Y116" s="46"/>
      <c r="Z116" s="46"/>
      <c r="AA116" s="46"/>
      <c r="AB116" s="40"/>
      <c r="AC116" s="40"/>
      <c r="AD116" s="40"/>
      <c r="AE116" s="46"/>
      <c r="AF116" s="46"/>
      <c r="AG116" s="46"/>
      <c r="AH116" s="46"/>
      <c r="AI116" s="40"/>
      <c r="AJ116" s="46"/>
      <c r="AK116" s="40"/>
      <c r="AL116" s="46"/>
      <c r="AM116" s="40"/>
      <c r="AN116" s="46"/>
      <c r="AO116" s="40"/>
      <c r="AP116" s="46"/>
      <c r="AQ116" s="40"/>
      <c r="AR116" s="41"/>
      <c r="AS116" s="40"/>
      <c r="AT116" s="41"/>
      <c r="AU116" s="40"/>
      <c r="AV116" s="41"/>
      <c r="AW116" s="40"/>
      <c r="AX116" s="41"/>
      <c r="AY116" s="40"/>
      <c r="AZ116" s="41"/>
      <c r="BA116" s="41"/>
      <c r="BB116" s="41"/>
      <c r="BC116" s="40"/>
      <c r="BD116" s="41"/>
      <c r="BE116" s="46"/>
      <c r="BF116" s="41"/>
      <c r="BG116" s="41"/>
      <c r="BH116" s="41"/>
      <c r="BI116" s="41"/>
      <c r="BJ116" s="41"/>
      <c r="BK116" s="41"/>
      <c r="BL116" s="41"/>
      <c r="BM116" s="41"/>
      <c r="BN116" s="41"/>
      <c r="BO116" s="46"/>
      <c r="BP116" s="41"/>
      <c r="BQ116" s="46"/>
      <c r="BR116" s="40"/>
      <c r="BS116" s="40"/>
      <c r="BT116" s="40"/>
      <c r="BU116" s="40"/>
      <c r="BV116" s="40"/>
      <c r="BW116" s="40"/>
      <c r="BX116" s="34"/>
      <c r="BZ116" s="40"/>
      <c r="CA116" s="40"/>
      <c r="CB116" s="34"/>
      <c r="CC116" s="34"/>
      <c r="CD116" s="34"/>
      <c r="CE116" s="34"/>
      <c r="CF116" s="34"/>
      <c r="CG116" s="122"/>
      <c r="CI116" s="122"/>
      <c r="CJ116" s="30"/>
      <c r="CK116" s="122">
        <v>0</v>
      </c>
      <c r="CL116" s="122">
        <v>0</v>
      </c>
      <c r="CM116" s="122">
        <v>0</v>
      </c>
      <c r="CN116" s="122">
        <v>0</v>
      </c>
      <c r="CO116" s="122">
        <f>SUMIFS(BB___HK___AMHS__Others[AR Amount],BB___HK___AMHS__Others[PO No.],AR_725[[#This Row],[tsmc PO '#]],BB___HK___AMHS__Others[Status],"&lt;&gt;Rejected",BB___HK___AMHS__Others[YearMonth],"2024-07")</f>
        <v>0</v>
      </c>
      <c r="CP116" s="122">
        <f>SUMIFS(BB___HK___AMHS__Others[Tax],BB___HK___AMHS__Others[PO No.],AR_725[[#This Row],[tsmc PO '#]],BB___HK___AMHS__Others[Status],"&lt;&gt;Rejected",BB___HK___AMHS__Others[YearMonth],"2024-07")</f>
        <v>0</v>
      </c>
      <c r="CQ116" s="34">
        <f>SUMIFS(BB___HK___AMHS__Others[AR Amount],BB___HK___AMHS__Others[PO No.],AR_725[[#This Row],[tsmc PO '#]],BB___HK___AMHS__Others[Status],"&lt;&gt;Rejected",BB___HK___AMHS__Others[YearMonth],"2024-08")</f>
        <v>0</v>
      </c>
      <c r="CR116" s="44">
        <f>SUMIFS(BB___HK___AMHS__Others[Tax],BB___HK___AMHS__Others[PO No.],AR_725[[#This Row],[tsmc PO '#]],BB___HK___AMHS__Others[Status],"&lt;&gt;Rejected",BB___HK___AMHS__Others[YearMonth],"2024-08")</f>
        <v>0</v>
      </c>
      <c r="CS116" s="62">
        <f>SUMIFS(BB___HK___AMHS__Others[AR Amount],BB___HK___AMHS__Others[PO No.],AR_725[[#This Row],[tsmc PO '#]],BB___HK___AMHS__Others[Status],"&lt;&gt;Rejected",BB___HK___AMHS__Others[YearMonth],"2024-09")</f>
        <v>0</v>
      </c>
      <c r="CT116" s="601">
        <f>SUMIFS(BB___HK___AMHS__Others[Tax],BB___HK___AMHS__Others[PO No.],AR_725[[#This Row],[tsmc PO '#]],BB___HK___AMHS__Others[Status],"&lt;&gt;Rejected",BB___HK___AMHS__Others[YearMonth],"2024-09")</f>
        <v>0</v>
      </c>
    </row>
    <row r="117" spans="1:98" ht="14.1" hidden="1">
      <c r="A117" s="30" t="s">
        <v>16</v>
      </c>
      <c r="B117" s="30" t="s">
        <v>2113</v>
      </c>
      <c r="D117" s="50"/>
      <c r="E117" s="57" t="s">
        <v>2126</v>
      </c>
      <c r="F117" s="48" t="s">
        <v>2126</v>
      </c>
      <c r="G117" s="48" t="s">
        <v>1018</v>
      </c>
      <c r="H117" s="36">
        <v>4590010420</v>
      </c>
      <c r="I117" s="30" t="s">
        <v>361</v>
      </c>
      <c r="J117" s="71" t="s">
        <v>1019</v>
      </c>
      <c r="K117" s="321">
        <v>3491.02</v>
      </c>
      <c r="L117" s="30"/>
      <c r="M117" s="86"/>
      <c r="N117" s="87"/>
      <c r="O117" s="88"/>
      <c r="P11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3491.02</v>
      </c>
      <c r="Q11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3491.02</v>
      </c>
      <c r="R11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3491.02</v>
      </c>
      <c r="S117" s="72">
        <f>IF(AR_725[[#This Row],[PO Amount]]=0,1,AR_725[[#This Row],[Total AR (Sent)]]/AR_725[[#This Row],[PO Amount]])</f>
        <v>1</v>
      </c>
      <c r="T117" s="75">
        <f>AR_725[[#This Row],[PO Amount]]-AR_725[[#This Row],[Total AR (Sent)]]</f>
        <v>0</v>
      </c>
      <c r="U117" s="40"/>
      <c r="V117" s="40"/>
      <c r="W117" s="46"/>
      <c r="X117" s="46"/>
      <c r="Y117" s="46"/>
      <c r="Z117" s="46"/>
      <c r="AA117" s="46"/>
      <c r="AB117" s="40"/>
      <c r="AC117" s="40"/>
      <c r="AD117" s="40"/>
      <c r="AE117" s="46"/>
      <c r="AF117" s="46"/>
      <c r="AG117" s="46"/>
      <c r="AH117" s="46"/>
      <c r="AI117" s="40"/>
      <c r="AJ117" s="46"/>
      <c r="AK117" s="40"/>
      <c r="AL117" s="46"/>
      <c r="AM117" s="40"/>
      <c r="AN117" s="46"/>
      <c r="AO117" s="40"/>
      <c r="AP117" s="46"/>
      <c r="AQ117" s="40"/>
      <c r="AR117" s="41"/>
      <c r="AS117" s="40"/>
      <c r="AT117" s="41"/>
      <c r="AU117" s="40"/>
      <c r="AV117" s="41"/>
      <c r="AW117" s="40"/>
      <c r="AX117" s="41"/>
      <c r="AY117" s="40"/>
      <c r="AZ117" s="41"/>
      <c r="BA117" s="41"/>
      <c r="BB117" s="41"/>
      <c r="BC117" s="40"/>
      <c r="BD117" s="41"/>
      <c r="BE117" s="46"/>
      <c r="BF117" s="41"/>
      <c r="BG117" s="41"/>
      <c r="BH117" s="41"/>
      <c r="BI117" s="41"/>
      <c r="BJ117" s="41"/>
      <c r="BK117" s="41"/>
      <c r="BL117" s="41"/>
      <c r="BM117" s="41"/>
      <c r="BN117" s="41"/>
      <c r="BO117" s="46"/>
      <c r="BP117" s="41"/>
      <c r="BQ117" s="46"/>
      <c r="BR117" s="40"/>
      <c r="BS117" s="40"/>
      <c r="BT117" s="40"/>
      <c r="BU117" s="40"/>
      <c r="BV117" s="40"/>
      <c r="BW117" s="40"/>
      <c r="BX117" s="34"/>
      <c r="BZ117" s="40"/>
      <c r="CA117" s="40"/>
      <c r="CB117" s="34"/>
      <c r="CC117" s="34"/>
      <c r="CD117" s="34"/>
      <c r="CE117" s="34"/>
      <c r="CF117" s="34"/>
      <c r="CG117" s="125">
        <v>3491.02</v>
      </c>
      <c r="CI117" s="122"/>
      <c r="CJ117" s="30"/>
      <c r="CK117" s="122">
        <v>0</v>
      </c>
      <c r="CL117" s="122">
        <v>0</v>
      </c>
      <c r="CM117" s="122">
        <v>0</v>
      </c>
      <c r="CN117" s="122">
        <v>0</v>
      </c>
      <c r="CO117" s="122">
        <f>SUMIFS(BB___HK___AMHS__Others[AR Amount],BB___HK___AMHS__Others[PO No.],AR_725[[#This Row],[tsmc PO '#]],BB___HK___AMHS__Others[Status],"&lt;&gt;Rejected",BB___HK___AMHS__Others[YearMonth],"2024-07")</f>
        <v>0</v>
      </c>
      <c r="CP117" s="122">
        <f>SUMIFS(BB___HK___AMHS__Others[Tax],BB___HK___AMHS__Others[PO No.],AR_725[[#This Row],[tsmc PO '#]],BB___HK___AMHS__Others[Status],"&lt;&gt;Rejected",BB___HK___AMHS__Others[YearMonth],"2024-07")</f>
        <v>0</v>
      </c>
      <c r="CQ117" s="34">
        <f>SUMIFS(BB___HK___AMHS__Others[AR Amount],BB___HK___AMHS__Others[PO No.],AR_725[[#This Row],[tsmc PO '#]],BB___HK___AMHS__Others[Status],"&lt;&gt;Rejected",BB___HK___AMHS__Others[YearMonth],"2024-08")</f>
        <v>0</v>
      </c>
      <c r="CR117" s="44">
        <f>SUMIFS(BB___HK___AMHS__Others[Tax],BB___HK___AMHS__Others[PO No.],AR_725[[#This Row],[tsmc PO '#]],BB___HK___AMHS__Others[Status],"&lt;&gt;Rejected",BB___HK___AMHS__Others[YearMonth],"2024-08")</f>
        <v>0</v>
      </c>
      <c r="CS117" s="62">
        <f>SUMIFS(BB___HK___AMHS__Others[AR Amount],BB___HK___AMHS__Others[PO No.],AR_725[[#This Row],[tsmc PO '#]],BB___HK___AMHS__Others[Status],"&lt;&gt;Rejected",BB___HK___AMHS__Others[YearMonth],"2024-09")</f>
        <v>0</v>
      </c>
      <c r="CT117" s="601">
        <f>SUMIFS(BB___HK___AMHS__Others[Tax],BB___HK___AMHS__Others[PO No.],AR_725[[#This Row],[tsmc PO '#]],BB___HK___AMHS__Others[Status],"&lt;&gt;Rejected",BB___HK___AMHS__Others[YearMonth],"2024-09")</f>
        <v>0</v>
      </c>
    </row>
    <row r="118" spans="1:98" ht="14.1" hidden="1">
      <c r="A118" s="30" t="s">
        <v>9</v>
      </c>
      <c r="B118" s="30" t="s">
        <v>2051</v>
      </c>
      <c r="C118" s="30" t="s">
        <v>2159</v>
      </c>
      <c r="D118" s="50" t="s">
        <v>1720</v>
      </c>
      <c r="E118" s="48" t="s">
        <v>2060</v>
      </c>
      <c r="F118" s="48" t="s">
        <v>2095</v>
      </c>
      <c r="G118" s="64" t="s">
        <v>312</v>
      </c>
      <c r="H118" s="50">
        <v>4590010557</v>
      </c>
      <c r="I118" s="30" t="s">
        <v>104</v>
      </c>
      <c r="J118" s="30" t="s">
        <v>464</v>
      </c>
      <c r="K118" s="46">
        <v>166000</v>
      </c>
      <c r="L118" s="30"/>
      <c r="M118" s="86">
        <v>45043</v>
      </c>
      <c r="N118" s="87"/>
      <c r="O118" s="88" t="s">
        <v>2160</v>
      </c>
      <c r="P11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166000</v>
      </c>
      <c r="Q11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166000</v>
      </c>
      <c r="R11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166000</v>
      </c>
      <c r="S118" s="72">
        <f>IF(AR_725[[#This Row],[PO Amount]]=0,1,AR_725[[#This Row],[Total AR (Sent)]]/AR_725[[#This Row],[PO Amount]])</f>
        <v>1</v>
      </c>
      <c r="T118" s="75">
        <f>AR_725[[#This Row],[PO Amount]]-AR_725[[#This Row],[Total AR (Sent)]]</f>
        <v>0</v>
      </c>
      <c r="U118" s="40"/>
      <c r="V118" s="40"/>
      <c r="W118" s="46"/>
      <c r="X118" s="46"/>
      <c r="Y118" s="46"/>
      <c r="Z118" s="46"/>
      <c r="AA118" s="46"/>
      <c r="AB118" s="40"/>
      <c r="AC118" s="40"/>
      <c r="AD118" s="40"/>
      <c r="AE118" s="46"/>
      <c r="AF118" s="46"/>
      <c r="AG118" s="46"/>
      <c r="AH118" s="46"/>
      <c r="AI118" s="34"/>
      <c r="AJ118" s="41"/>
      <c r="AK118" s="34"/>
      <c r="AL118" s="46"/>
      <c r="AM118" s="40"/>
      <c r="AN118" s="46"/>
      <c r="AO118" s="40"/>
      <c r="AP118" s="46"/>
      <c r="AQ118" s="40"/>
      <c r="AR118" s="41"/>
      <c r="AS118" s="40"/>
      <c r="AT118" s="41"/>
      <c r="AU118" s="40"/>
      <c r="AV118" s="41"/>
      <c r="AW118" s="40"/>
      <c r="AX118" s="41"/>
      <c r="AY118" s="40"/>
      <c r="AZ118" s="41"/>
      <c r="BA118" s="41"/>
      <c r="BB118" s="41"/>
      <c r="BC118" s="40"/>
      <c r="BD118" s="41"/>
      <c r="BE118" s="46"/>
      <c r="BF118" s="41"/>
      <c r="BG118" s="41"/>
      <c r="BH118" s="41"/>
      <c r="BI118" s="41"/>
      <c r="BJ118" s="41"/>
      <c r="BK118" s="41"/>
      <c r="BL118" s="41"/>
      <c r="BM118" s="42">
        <v>57388</v>
      </c>
      <c r="BN118" s="41"/>
      <c r="BO118" s="46"/>
      <c r="BP118" s="41"/>
      <c r="BQ118" s="46"/>
      <c r="BR118" s="40"/>
      <c r="BS118" s="40"/>
      <c r="BT118" s="40"/>
      <c r="BU118" s="40"/>
      <c r="BV118" s="40"/>
      <c r="BW118" s="40"/>
      <c r="BX118" s="34"/>
      <c r="BY118" s="47">
        <v>108612</v>
      </c>
      <c r="BZ118" s="40"/>
      <c r="CA118" s="40"/>
      <c r="CB118" s="34"/>
      <c r="CC118" s="34"/>
      <c r="CD118" s="34"/>
      <c r="CE118" s="34"/>
      <c r="CF118" s="34"/>
      <c r="CG118" s="122"/>
      <c r="CI118" s="122"/>
      <c r="CJ118" s="30"/>
      <c r="CK118" s="122">
        <v>0</v>
      </c>
      <c r="CL118" s="122">
        <v>0</v>
      </c>
      <c r="CM118" s="122">
        <v>0</v>
      </c>
      <c r="CN118" s="122">
        <v>0</v>
      </c>
      <c r="CO118" s="122">
        <f>SUMIFS(BB___HK___AMHS__Others[AR Amount],BB___HK___AMHS__Others[PO No.],AR_725[[#This Row],[tsmc PO '#]],BB___HK___AMHS__Others[Status],"&lt;&gt;Rejected",BB___HK___AMHS__Others[YearMonth],"2024-07")</f>
        <v>0</v>
      </c>
      <c r="CP118" s="122">
        <f>SUMIFS(BB___HK___AMHS__Others[Tax],BB___HK___AMHS__Others[PO No.],AR_725[[#This Row],[tsmc PO '#]],BB___HK___AMHS__Others[Status],"&lt;&gt;Rejected",BB___HK___AMHS__Others[YearMonth],"2024-07")</f>
        <v>0</v>
      </c>
      <c r="CQ118" s="34">
        <f>SUMIFS(BB___HK___AMHS__Others[AR Amount],BB___HK___AMHS__Others[PO No.],AR_725[[#This Row],[tsmc PO '#]],BB___HK___AMHS__Others[Status],"&lt;&gt;Rejected",BB___HK___AMHS__Others[YearMonth],"2024-08")</f>
        <v>0</v>
      </c>
      <c r="CR118" s="44">
        <f>SUMIFS(BB___HK___AMHS__Others[Tax],BB___HK___AMHS__Others[PO No.],AR_725[[#This Row],[tsmc PO '#]],BB___HK___AMHS__Others[Status],"&lt;&gt;Rejected",BB___HK___AMHS__Others[YearMonth],"2024-08")</f>
        <v>0</v>
      </c>
      <c r="CS118" s="62">
        <f>SUMIFS(BB___HK___AMHS__Others[AR Amount],BB___HK___AMHS__Others[PO No.],AR_725[[#This Row],[tsmc PO '#]],BB___HK___AMHS__Others[Status],"&lt;&gt;Rejected",BB___HK___AMHS__Others[YearMonth],"2024-09")</f>
        <v>0</v>
      </c>
      <c r="CT118" s="601">
        <f>SUMIFS(BB___HK___AMHS__Others[Tax],BB___HK___AMHS__Others[PO No.],AR_725[[#This Row],[tsmc PO '#]],BB___HK___AMHS__Others[Status],"&lt;&gt;Rejected",BB___HK___AMHS__Others[YearMonth],"2024-09")</f>
        <v>0</v>
      </c>
    </row>
    <row r="119" spans="1:98" ht="14.1" hidden="1">
      <c r="A119" s="30" t="s">
        <v>13</v>
      </c>
      <c r="B119" s="30" t="s">
        <v>2113</v>
      </c>
      <c r="D119" s="50"/>
      <c r="E119" s="57" t="s">
        <v>2126</v>
      </c>
      <c r="F119" s="57" t="s">
        <v>2126</v>
      </c>
      <c r="G119" s="48" t="s">
        <v>2161</v>
      </c>
      <c r="H119" s="36">
        <v>4590010739</v>
      </c>
      <c r="J119" s="71" t="s">
        <v>2162</v>
      </c>
      <c r="K119" s="321">
        <v>4821.84</v>
      </c>
      <c r="L119" s="30"/>
      <c r="M119" s="86"/>
      <c r="N119" s="87"/>
      <c r="O119" s="88"/>
      <c r="P11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11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11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119" s="72">
        <f>IF(AR_725[[#This Row],[PO Amount]]=0,1,AR_725[[#This Row],[Total AR (Sent)]]/AR_725[[#This Row],[PO Amount]])</f>
        <v>0</v>
      </c>
      <c r="T119" s="75">
        <f>AR_725[[#This Row],[PO Amount]]-AR_725[[#This Row],[Total AR (Sent)]]</f>
        <v>4821.84</v>
      </c>
      <c r="U119" s="40"/>
      <c r="V119" s="40"/>
      <c r="W119" s="46"/>
      <c r="X119" s="46"/>
      <c r="Y119" s="46"/>
      <c r="Z119" s="46"/>
      <c r="AA119" s="46"/>
      <c r="AB119" s="40"/>
      <c r="AC119" s="40"/>
      <c r="AD119" s="40"/>
      <c r="AE119" s="46"/>
      <c r="AF119" s="46"/>
      <c r="AG119" s="46"/>
      <c r="AH119" s="46"/>
      <c r="AI119" s="40"/>
      <c r="AJ119" s="46"/>
      <c r="AK119" s="40"/>
      <c r="AL119" s="46"/>
      <c r="AM119" s="40"/>
      <c r="AN119" s="46"/>
      <c r="AO119" s="40"/>
      <c r="AP119" s="46"/>
      <c r="AQ119" s="40"/>
      <c r="AR119" s="41"/>
      <c r="AS119" s="40"/>
      <c r="AT119" s="41"/>
      <c r="AU119" s="40"/>
      <c r="AV119" s="41"/>
      <c r="AW119" s="40"/>
      <c r="AX119" s="41"/>
      <c r="AY119" s="40"/>
      <c r="AZ119" s="41"/>
      <c r="BA119" s="41"/>
      <c r="BB119" s="41"/>
      <c r="BC119" s="40"/>
      <c r="BD119" s="41"/>
      <c r="BE119" s="46"/>
      <c r="BF119" s="41"/>
      <c r="BG119" s="41"/>
      <c r="BH119" s="41"/>
      <c r="BI119" s="41"/>
      <c r="BJ119" s="41"/>
      <c r="BK119" s="41"/>
      <c r="BL119" s="41"/>
      <c r="BM119" s="41"/>
      <c r="BN119" s="41"/>
      <c r="BO119" s="46"/>
      <c r="BP119" s="41"/>
      <c r="BQ119" s="46"/>
      <c r="BR119" s="40"/>
      <c r="BS119" s="40"/>
      <c r="BT119" s="40"/>
      <c r="BU119" s="40"/>
      <c r="BV119" s="40"/>
      <c r="BW119" s="40"/>
      <c r="BX119" s="34"/>
      <c r="BZ119" s="40"/>
      <c r="CA119" s="40"/>
      <c r="CB119" s="34"/>
      <c r="CC119" s="34"/>
      <c r="CD119" s="34"/>
      <c r="CE119" s="34">
        <f>4821.84-4821.84</f>
        <v>0</v>
      </c>
      <c r="CF119" s="34"/>
      <c r="CG119" s="122"/>
      <c r="CI119" s="122"/>
      <c r="CJ119" s="30"/>
      <c r="CK119" s="122">
        <v>0</v>
      </c>
      <c r="CL119" s="122">
        <v>0</v>
      </c>
      <c r="CM119" s="122">
        <v>0</v>
      </c>
      <c r="CN119" s="122">
        <v>0</v>
      </c>
      <c r="CO119" s="122">
        <f>SUMIFS(BB___HK___AMHS__Others[AR Amount],BB___HK___AMHS__Others[PO No.],AR_725[[#This Row],[tsmc PO '#]],BB___HK___AMHS__Others[Status],"&lt;&gt;Rejected",BB___HK___AMHS__Others[YearMonth],"2024-07")</f>
        <v>0</v>
      </c>
      <c r="CP119" s="122">
        <f>SUMIFS(BB___HK___AMHS__Others[Tax],BB___HK___AMHS__Others[PO No.],AR_725[[#This Row],[tsmc PO '#]],BB___HK___AMHS__Others[Status],"&lt;&gt;Rejected",BB___HK___AMHS__Others[YearMonth],"2024-07")</f>
        <v>0</v>
      </c>
      <c r="CQ119" s="34">
        <f>SUMIFS(BB___HK___AMHS__Others[AR Amount],BB___HK___AMHS__Others[PO No.],AR_725[[#This Row],[tsmc PO '#]],BB___HK___AMHS__Others[Status],"&lt;&gt;Rejected",BB___HK___AMHS__Others[YearMonth],"2024-08")</f>
        <v>0</v>
      </c>
      <c r="CR119" s="44">
        <f>SUMIFS(BB___HK___AMHS__Others[Tax],BB___HK___AMHS__Others[PO No.],AR_725[[#This Row],[tsmc PO '#]],BB___HK___AMHS__Others[Status],"&lt;&gt;Rejected",BB___HK___AMHS__Others[YearMonth],"2024-08")</f>
        <v>0</v>
      </c>
      <c r="CS119" s="62">
        <f>SUMIFS(BB___HK___AMHS__Others[AR Amount],BB___HK___AMHS__Others[PO No.],AR_725[[#This Row],[tsmc PO '#]],BB___HK___AMHS__Others[Status],"&lt;&gt;Rejected",BB___HK___AMHS__Others[YearMonth],"2024-09")</f>
        <v>0</v>
      </c>
      <c r="CT119" s="601">
        <f>SUMIFS(BB___HK___AMHS__Others[Tax],BB___HK___AMHS__Others[PO No.],AR_725[[#This Row],[tsmc PO '#]],BB___HK___AMHS__Others[Status],"&lt;&gt;Rejected",BB___HK___AMHS__Others[YearMonth],"2024-09")</f>
        <v>0</v>
      </c>
    </row>
    <row r="120" spans="1:98" ht="14.1" hidden="1">
      <c r="A120" s="30" t="s">
        <v>11</v>
      </c>
      <c r="B120" s="30" t="s">
        <v>2163</v>
      </c>
      <c r="D120" s="50" t="s">
        <v>1546</v>
      </c>
      <c r="E120" s="604" t="s">
        <v>2052</v>
      </c>
      <c r="F120" s="48" t="s">
        <v>2053</v>
      </c>
      <c r="G120" s="48" t="s">
        <v>995</v>
      </c>
      <c r="H120" s="50">
        <v>4590010774</v>
      </c>
      <c r="I120" s="30" t="s">
        <v>584</v>
      </c>
      <c r="J120" s="30" t="s">
        <v>996</v>
      </c>
      <c r="K120" s="62">
        <v>765747.69</v>
      </c>
      <c r="L120" s="30"/>
      <c r="M120" s="86"/>
      <c r="N120" s="87" t="s">
        <v>2164</v>
      </c>
      <c r="O120" s="88" t="s">
        <v>2148</v>
      </c>
      <c r="P12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538489.49</v>
      </c>
      <c r="Q12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489494.45</v>
      </c>
      <c r="R12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538489.49</v>
      </c>
      <c r="S120" s="72">
        <f>IF(AR_725[[#This Row],[PO Amount]]=0,1,AR_725[[#This Row],[Total AR (Sent)]]/AR_725[[#This Row],[PO Amount]])</f>
        <v>0.70322052163160953</v>
      </c>
      <c r="T120" s="75">
        <f>AR_725[[#This Row],[PO Amount]]-AR_725[[#This Row],[Total AR (Sent)]]</f>
        <v>227258.19999999995</v>
      </c>
      <c r="U120" s="40"/>
      <c r="V120" s="40"/>
      <c r="W120" s="46"/>
      <c r="X120" s="46"/>
      <c r="Y120" s="46"/>
      <c r="Z120" s="46"/>
      <c r="AA120" s="46"/>
      <c r="AB120" s="40"/>
      <c r="AC120" s="40"/>
      <c r="AD120" s="40"/>
      <c r="AE120" s="46"/>
      <c r="AF120" s="46"/>
      <c r="AG120" s="46"/>
      <c r="AH120" s="46"/>
      <c r="AI120" s="40"/>
      <c r="AJ120" s="41"/>
      <c r="AK120" s="40"/>
      <c r="AL120" s="46"/>
      <c r="AM120" s="40"/>
      <c r="AN120" s="46"/>
      <c r="AO120" s="40"/>
      <c r="AP120" s="46"/>
      <c r="AQ120" s="40"/>
      <c r="AR120" s="41"/>
      <c r="AS120" s="40"/>
      <c r="AT120" s="41"/>
      <c r="AU120" s="40"/>
      <c r="AV120" s="41"/>
      <c r="AW120" s="40"/>
      <c r="AX120" s="41"/>
      <c r="AY120" s="40"/>
      <c r="AZ120" s="41"/>
      <c r="BA120" s="41"/>
      <c r="BB120" s="41"/>
      <c r="BC120" s="40"/>
      <c r="BD120" s="41"/>
      <c r="BE120" s="46"/>
      <c r="BF120" s="41"/>
      <c r="BG120" s="41"/>
      <c r="BH120" s="41"/>
      <c r="BI120" s="41"/>
      <c r="BJ120" s="41"/>
      <c r="BK120" s="41"/>
      <c r="BL120" s="41"/>
      <c r="BM120" s="41"/>
      <c r="BN120" s="41"/>
      <c r="BO120" s="46"/>
      <c r="BP120" s="41"/>
      <c r="BQ120" s="46"/>
      <c r="BR120" s="40"/>
      <c r="BS120" s="40"/>
      <c r="BT120" s="40"/>
      <c r="BU120" s="40"/>
      <c r="BV120" s="40"/>
      <c r="BW120" s="40"/>
      <c r="BX120" s="34"/>
      <c r="BZ120" s="34"/>
      <c r="CA120" s="40"/>
      <c r="CB120" s="34"/>
      <c r="CC120" s="34"/>
      <c r="CD120" s="34"/>
      <c r="CE120" s="34"/>
      <c r="CF120" s="34"/>
      <c r="CG120" s="125">
        <v>489494.45</v>
      </c>
      <c r="CH120" s="327">
        <v>27362.74</v>
      </c>
      <c r="CI120" s="122"/>
      <c r="CJ120" s="30"/>
      <c r="CK120" s="122">
        <v>48995.040000000001</v>
      </c>
      <c r="CL120" s="122">
        <v>0</v>
      </c>
      <c r="CM120" s="122">
        <v>0</v>
      </c>
      <c r="CN120" s="122">
        <v>0</v>
      </c>
      <c r="CO120" s="122">
        <f>SUMIFS(BB___HK___AMHS__Others[AR Amount],BB___HK___AMHS__Others[PO No.],AR_725[[#This Row],[tsmc PO '#]],BB___HK___AMHS__Others[Status],"&lt;&gt;Rejected",BB___HK___AMHS__Others[YearMonth],"2024-07")</f>
        <v>0</v>
      </c>
      <c r="CP120" s="122">
        <f>SUMIFS(BB___HK___AMHS__Others[Tax],BB___HK___AMHS__Others[PO No.],AR_725[[#This Row],[tsmc PO '#]],BB___HK___AMHS__Others[Status],"&lt;&gt;Rejected",BB___HK___AMHS__Others[YearMonth],"2024-07")</f>
        <v>0</v>
      </c>
      <c r="CQ120" s="34">
        <f>SUMIFS(BB___HK___AMHS__Others[AR Amount],BB___HK___AMHS__Others[PO No.],AR_725[[#This Row],[tsmc PO '#]],BB___HK___AMHS__Others[Status],"&lt;&gt;Rejected",BB___HK___AMHS__Others[YearMonth],"2024-08")</f>
        <v>0</v>
      </c>
      <c r="CR120" s="44">
        <f>SUMIFS(BB___HK___AMHS__Others[Tax],BB___HK___AMHS__Others[PO No.],AR_725[[#This Row],[tsmc PO '#]],BB___HK___AMHS__Others[Status],"&lt;&gt;Rejected",BB___HK___AMHS__Others[YearMonth],"2024-08")</f>
        <v>0</v>
      </c>
      <c r="CS120" s="62">
        <f>SUMIFS(BB___HK___AMHS__Others[AR Amount],BB___HK___AMHS__Others[PO No.],AR_725[[#This Row],[tsmc PO '#]],BB___HK___AMHS__Others[Status],"&lt;&gt;Rejected",BB___HK___AMHS__Others[YearMonth],"2024-09")</f>
        <v>0</v>
      </c>
      <c r="CT120" s="601">
        <f>SUMIFS(BB___HK___AMHS__Others[Tax],BB___HK___AMHS__Others[PO No.],AR_725[[#This Row],[tsmc PO '#]],BB___HK___AMHS__Others[Status],"&lt;&gt;Rejected",BB___HK___AMHS__Others[YearMonth],"2024-09")</f>
        <v>0</v>
      </c>
    </row>
    <row r="121" spans="1:98" ht="14.1" hidden="1">
      <c r="A121" s="30" t="s">
        <v>11</v>
      </c>
      <c r="B121" s="30" t="s">
        <v>2163</v>
      </c>
      <c r="D121" s="50" t="s">
        <v>1546</v>
      </c>
      <c r="E121" s="604" t="s">
        <v>2052</v>
      </c>
      <c r="F121" s="48" t="s">
        <v>2053</v>
      </c>
      <c r="G121" s="48" t="s">
        <v>995</v>
      </c>
      <c r="H121" s="50">
        <v>4590010913</v>
      </c>
      <c r="I121" s="30" t="s">
        <v>584</v>
      </c>
      <c r="J121" s="30" t="s">
        <v>998</v>
      </c>
      <c r="K121" s="62">
        <v>184504.51</v>
      </c>
      <c r="L121" s="30"/>
      <c r="M121" s="86"/>
      <c r="N121" s="87" t="s">
        <v>2164</v>
      </c>
      <c r="O121" s="88" t="s">
        <v>2160</v>
      </c>
      <c r="P12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143132.66</v>
      </c>
      <c r="Q12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134211.51</v>
      </c>
      <c r="R12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143132.66</v>
      </c>
      <c r="S121" s="72">
        <f>IF(AR_725[[#This Row],[PO Amount]]=0,1,AR_725[[#This Row],[Total AR (Sent)]]/AR_725[[#This Row],[PO Amount]])</f>
        <v>0.775767811854572</v>
      </c>
      <c r="T121" s="75">
        <f>AR_725[[#This Row],[PO Amount]]-AR_725[[#This Row],[Total AR (Sent)]]</f>
        <v>41371.850000000006</v>
      </c>
      <c r="U121" s="40"/>
      <c r="V121" s="40"/>
      <c r="W121" s="46"/>
      <c r="X121" s="46"/>
      <c r="Y121" s="46"/>
      <c r="Z121" s="46"/>
      <c r="AA121" s="46"/>
      <c r="AB121" s="40"/>
      <c r="AC121" s="40"/>
      <c r="AD121" s="40"/>
      <c r="AE121" s="46"/>
      <c r="AF121" s="46"/>
      <c r="AG121" s="46"/>
      <c r="AH121" s="46"/>
      <c r="AI121" s="40"/>
      <c r="AJ121" s="41"/>
      <c r="AK121" s="40"/>
      <c r="AL121" s="46"/>
      <c r="AM121" s="40"/>
      <c r="AN121" s="46"/>
      <c r="AO121" s="40"/>
      <c r="AP121" s="46"/>
      <c r="AQ121" s="40"/>
      <c r="AR121" s="41"/>
      <c r="AS121" s="40"/>
      <c r="AT121" s="41"/>
      <c r="AU121" s="40"/>
      <c r="AV121" s="41"/>
      <c r="AW121" s="40"/>
      <c r="AX121" s="41"/>
      <c r="AY121" s="40"/>
      <c r="AZ121" s="41"/>
      <c r="BA121" s="41"/>
      <c r="BB121" s="41"/>
      <c r="BC121" s="40"/>
      <c r="BD121" s="41"/>
      <c r="BE121" s="46"/>
      <c r="BF121" s="41"/>
      <c r="BG121" s="41"/>
      <c r="BH121" s="41"/>
      <c r="BI121" s="41"/>
      <c r="BJ121" s="41"/>
      <c r="BK121" s="41"/>
      <c r="BL121" s="41"/>
      <c r="BM121" s="41"/>
      <c r="BN121" s="41"/>
      <c r="BO121" s="46"/>
      <c r="BP121" s="41"/>
      <c r="BQ121" s="46"/>
      <c r="BR121" s="40"/>
      <c r="BS121" s="40"/>
      <c r="BT121" s="40"/>
      <c r="BU121" s="40"/>
      <c r="BV121" s="40"/>
      <c r="BW121" s="40"/>
      <c r="BX121" s="34"/>
      <c r="BZ121" s="34"/>
      <c r="CA121" s="40"/>
      <c r="CB121" s="34"/>
      <c r="CC121" s="34"/>
      <c r="CD121" s="34"/>
      <c r="CE121" s="34"/>
      <c r="CF121" s="34"/>
      <c r="CG121" s="125">
        <v>134211.51</v>
      </c>
      <c r="CH121" s="327">
        <v>7502.42</v>
      </c>
      <c r="CI121" s="122"/>
      <c r="CJ121" s="30"/>
      <c r="CK121" s="122">
        <v>8921.15</v>
      </c>
      <c r="CL121" s="122">
        <v>0</v>
      </c>
      <c r="CM121" s="122">
        <v>0</v>
      </c>
      <c r="CN121" s="122">
        <v>0</v>
      </c>
      <c r="CO121" s="122">
        <f>SUMIFS(BB___HK___AMHS__Others[AR Amount],BB___HK___AMHS__Others[PO No.],AR_725[[#This Row],[tsmc PO '#]],BB___HK___AMHS__Others[Status],"&lt;&gt;Rejected",BB___HK___AMHS__Others[YearMonth],"2024-07")</f>
        <v>0</v>
      </c>
      <c r="CP121" s="122">
        <f>SUMIFS(BB___HK___AMHS__Others[Tax],BB___HK___AMHS__Others[PO No.],AR_725[[#This Row],[tsmc PO '#]],BB___HK___AMHS__Others[Status],"&lt;&gt;Rejected",BB___HK___AMHS__Others[YearMonth],"2024-07")</f>
        <v>0</v>
      </c>
      <c r="CQ121" s="34">
        <f>SUMIFS(BB___HK___AMHS__Others[AR Amount],BB___HK___AMHS__Others[PO No.],AR_725[[#This Row],[tsmc PO '#]],BB___HK___AMHS__Others[Status],"&lt;&gt;Rejected",BB___HK___AMHS__Others[YearMonth],"2024-08")</f>
        <v>0</v>
      </c>
      <c r="CR121" s="44">
        <f>SUMIFS(BB___HK___AMHS__Others[Tax],BB___HK___AMHS__Others[PO No.],AR_725[[#This Row],[tsmc PO '#]],BB___HK___AMHS__Others[Status],"&lt;&gt;Rejected",BB___HK___AMHS__Others[YearMonth],"2024-08")</f>
        <v>0</v>
      </c>
      <c r="CS121" s="62">
        <f>SUMIFS(BB___HK___AMHS__Others[AR Amount],BB___HK___AMHS__Others[PO No.],AR_725[[#This Row],[tsmc PO '#]],BB___HK___AMHS__Others[Status],"&lt;&gt;Rejected",BB___HK___AMHS__Others[YearMonth],"2024-09")</f>
        <v>0</v>
      </c>
      <c r="CT121" s="601">
        <f>SUMIFS(BB___HK___AMHS__Others[Tax],BB___HK___AMHS__Others[PO No.],AR_725[[#This Row],[tsmc PO '#]],BB___HK___AMHS__Others[Status],"&lt;&gt;Rejected",BB___HK___AMHS__Others[YearMonth],"2024-09")</f>
        <v>0</v>
      </c>
    </row>
    <row r="122" spans="1:98" ht="14.1" hidden="1">
      <c r="A122" s="30" t="s">
        <v>10</v>
      </c>
      <c r="B122" s="30" t="s">
        <v>10</v>
      </c>
      <c r="D122" s="50"/>
      <c r="E122" s="48" t="s">
        <v>2126</v>
      </c>
      <c r="F122" s="57" t="s">
        <v>2126</v>
      </c>
      <c r="G122" s="64" t="s">
        <v>2142</v>
      </c>
      <c r="H122" s="50">
        <v>4590011081</v>
      </c>
      <c r="I122" s="30" t="s">
        <v>361</v>
      </c>
      <c r="J122" s="30" t="s">
        <v>489</v>
      </c>
      <c r="K122" s="62">
        <v>1607.29</v>
      </c>
      <c r="L122" s="30"/>
      <c r="M122" s="86">
        <v>45064</v>
      </c>
      <c r="N122" s="87"/>
      <c r="O122" s="88" t="s">
        <v>2156</v>
      </c>
      <c r="P12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1607.29</v>
      </c>
      <c r="Q12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12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1607.29</v>
      </c>
      <c r="S122" s="72">
        <f>IF(AR_725[[#This Row],[PO Amount]]=0,1,AR_725[[#This Row],[Total AR (Sent)]]/AR_725[[#This Row],[PO Amount]])</f>
        <v>1</v>
      </c>
      <c r="T122" s="75">
        <f>AR_725[[#This Row],[PO Amount]]-AR_725[[#This Row],[Total AR (Sent)]]</f>
        <v>0</v>
      </c>
      <c r="U122" s="40"/>
      <c r="V122" s="40"/>
      <c r="W122" s="46"/>
      <c r="X122" s="46"/>
      <c r="Y122" s="46"/>
      <c r="Z122" s="46"/>
      <c r="AA122" s="46"/>
      <c r="AB122" s="40"/>
      <c r="AC122" s="40"/>
      <c r="AD122" s="40"/>
      <c r="AE122" s="46"/>
      <c r="AF122" s="46"/>
      <c r="AG122" s="46"/>
      <c r="AH122" s="46"/>
      <c r="AI122" s="40"/>
      <c r="AJ122" s="46"/>
      <c r="AK122" s="40"/>
      <c r="AL122" s="46"/>
      <c r="AM122" s="40"/>
      <c r="AN122" s="46"/>
      <c r="AO122" s="40"/>
      <c r="AP122" s="46"/>
      <c r="AQ122" s="40"/>
      <c r="AR122" s="41"/>
      <c r="AS122" s="40"/>
      <c r="AT122" s="41"/>
      <c r="AU122" s="40"/>
      <c r="AV122" s="41"/>
      <c r="AW122" s="40"/>
      <c r="AX122" s="41"/>
      <c r="AY122" s="40"/>
      <c r="AZ122" s="41"/>
      <c r="BA122" s="41"/>
      <c r="BB122" s="41"/>
      <c r="BC122" s="40"/>
      <c r="BD122" s="41"/>
      <c r="BE122" s="46"/>
      <c r="BF122" s="41"/>
      <c r="BG122" s="41"/>
      <c r="BH122" s="41"/>
      <c r="BI122" s="41"/>
      <c r="BJ122" s="41"/>
      <c r="BK122" s="41"/>
      <c r="BL122" s="41"/>
      <c r="BM122" s="41"/>
      <c r="BN122" s="41"/>
      <c r="BO122" s="46"/>
      <c r="BP122" s="41"/>
      <c r="BQ122" s="46"/>
      <c r="BR122" s="40"/>
      <c r="BS122" s="40"/>
      <c r="BT122" s="40"/>
      <c r="BU122" s="40"/>
      <c r="BV122" s="40"/>
      <c r="BW122" s="40"/>
      <c r="BX122" s="34"/>
      <c r="BZ122" s="40"/>
      <c r="CA122" s="40"/>
      <c r="CB122" s="34"/>
      <c r="CC122" s="34"/>
      <c r="CD122" s="34"/>
      <c r="CE122" s="34"/>
      <c r="CF122" s="34"/>
      <c r="CG122" s="122"/>
      <c r="CI122" s="122"/>
      <c r="CJ122" s="30"/>
      <c r="CK122" s="122">
        <v>0</v>
      </c>
      <c r="CL122" s="122">
        <v>0</v>
      </c>
      <c r="CM122" s="122">
        <v>0</v>
      </c>
      <c r="CN122" s="122">
        <v>0</v>
      </c>
      <c r="CO122" s="122">
        <f>SUMIFS(BB___HK___AMHS__Others[AR Amount],BB___HK___AMHS__Others[PO No.],AR_725[[#This Row],[tsmc PO '#]],BB___HK___AMHS__Others[Status],"&lt;&gt;Rejected",BB___HK___AMHS__Others[YearMonth],"2024-07")</f>
        <v>1607.29</v>
      </c>
      <c r="CP122" s="122">
        <f>SUMIFS(BB___HK___AMHS__Others[Tax],BB___HK___AMHS__Others[PO No.],AR_725[[#This Row],[tsmc PO '#]],BB___HK___AMHS__Others[Status],"&lt;&gt;Rejected",BB___HK___AMHS__Others[YearMonth],"2024-07")</f>
        <v>0</v>
      </c>
      <c r="CQ122" s="34">
        <f>SUMIFS(BB___HK___AMHS__Others[AR Amount],BB___HK___AMHS__Others[PO No.],AR_725[[#This Row],[tsmc PO '#]],BB___HK___AMHS__Others[Status],"&lt;&gt;Rejected",BB___HK___AMHS__Others[YearMonth],"2024-08")</f>
        <v>0</v>
      </c>
      <c r="CR122" s="44">
        <f>SUMIFS(BB___HK___AMHS__Others[Tax],BB___HK___AMHS__Others[PO No.],AR_725[[#This Row],[tsmc PO '#]],BB___HK___AMHS__Others[Status],"&lt;&gt;Rejected",BB___HK___AMHS__Others[YearMonth],"2024-08")</f>
        <v>0</v>
      </c>
      <c r="CS122" s="62">
        <f>SUMIFS(BB___HK___AMHS__Others[AR Amount],BB___HK___AMHS__Others[PO No.],AR_725[[#This Row],[tsmc PO '#]],BB___HK___AMHS__Others[Status],"&lt;&gt;Rejected",BB___HK___AMHS__Others[YearMonth],"2024-09")</f>
        <v>0</v>
      </c>
      <c r="CT122" s="601">
        <f>SUMIFS(BB___HK___AMHS__Others[Tax],BB___HK___AMHS__Others[PO No.],AR_725[[#This Row],[tsmc PO '#]],BB___HK___AMHS__Others[Status],"&lt;&gt;Rejected",BB___HK___AMHS__Others[YearMonth],"2024-09")</f>
        <v>0</v>
      </c>
    </row>
    <row r="123" spans="1:98" ht="14.1" hidden="1">
      <c r="A123" s="30" t="s">
        <v>16</v>
      </c>
      <c r="B123" s="30" t="s">
        <v>2113</v>
      </c>
      <c r="D123" s="50"/>
      <c r="E123" s="603" t="s">
        <v>2126</v>
      </c>
      <c r="F123" s="57" t="s">
        <v>2126</v>
      </c>
      <c r="G123" s="63" t="s">
        <v>2165</v>
      </c>
      <c r="H123" s="50">
        <v>4590011082</v>
      </c>
      <c r="I123" s="30" t="s">
        <v>361</v>
      </c>
      <c r="J123" s="30" t="s">
        <v>2166</v>
      </c>
      <c r="K123" s="62">
        <v>3214.58</v>
      </c>
      <c r="L123" s="30"/>
      <c r="M123" s="86">
        <v>45064</v>
      </c>
      <c r="N123" s="87"/>
      <c r="O123" s="88" t="s">
        <v>2156</v>
      </c>
      <c r="P12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12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12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123" s="72">
        <f>IF(AR_725[[#This Row],[PO Amount]]=0,1,AR_725[[#This Row],[Total AR (Sent)]]/AR_725[[#This Row],[PO Amount]])</f>
        <v>0</v>
      </c>
      <c r="T123" s="75">
        <f>AR_725[[#This Row],[PO Amount]]-AR_725[[#This Row],[Total AR (Sent)]]</f>
        <v>3214.58</v>
      </c>
      <c r="U123" s="40"/>
      <c r="V123" s="40"/>
      <c r="W123" s="46"/>
      <c r="X123" s="46"/>
      <c r="Y123" s="46"/>
      <c r="Z123" s="46"/>
      <c r="AA123" s="46"/>
      <c r="AB123" s="40"/>
      <c r="AC123" s="40"/>
      <c r="AD123" s="40"/>
      <c r="AE123" s="46"/>
      <c r="AF123" s="46"/>
      <c r="AG123" s="46"/>
      <c r="AH123" s="46"/>
      <c r="AI123" s="40"/>
      <c r="AJ123" s="41"/>
      <c r="AK123" s="40"/>
      <c r="AL123" s="46"/>
      <c r="AM123" s="40"/>
      <c r="AN123" s="46"/>
      <c r="AO123" s="40"/>
      <c r="AP123" s="46"/>
      <c r="AQ123" s="40"/>
      <c r="AR123" s="41"/>
      <c r="AS123" s="40"/>
      <c r="AT123" s="41"/>
      <c r="AU123" s="40"/>
      <c r="AV123" s="41"/>
      <c r="AW123" s="40"/>
      <c r="AX123" s="41"/>
      <c r="AY123" s="40"/>
      <c r="AZ123" s="41"/>
      <c r="BA123" s="41"/>
      <c r="BB123" s="41"/>
      <c r="BC123" s="40"/>
      <c r="BD123" s="41"/>
      <c r="BE123" s="46"/>
      <c r="BF123" s="41"/>
      <c r="BG123" s="41"/>
      <c r="BH123" s="41"/>
      <c r="BI123" s="41"/>
      <c r="BJ123" s="41"/>
      <c r="BK123" s="41"/>
      <c r="BL123" s="41"/>
      <c r="BM123" s="41"/>
      <c r="BN123" s="41"/>
      <c r="BO123" s="46"/>
      <c r="BP123" s="41"/>
      <c r="BQ123" s="46"/>
      <c r="BR123" s="40"/>
      <c r="BS123" s="40"/>
      <c r="BT123" s="40"/>
      <c r="BU123" s="40"/>
      <c r="BV123" s="40"/>
      <c r="BW123" s="40"/>
      <c r="BX123" s="34"/>
      <c r="BZ123" s="40"/>
      <c r="CA123" s="40"/>
      <c r="CB123" s="34"/>
      <c r="CC123" s="34"/>
      <c r="CD123" s="34"/>
      <c r="CE123" s="34"/>
      <c r="CF123" s="34"/>
      <c r="CG123" s="122"/>
      <c r="CI123" s="122"/>
      <c r="CJ123" s="30"/>
      <c r="CK123" s="122">
        <v>0</v>
      </c>
      <c r="CL123" s="122">
        <v>0</v>
      </c>
      <c r="CM123" s="122">
        <v>0</v>
      </c>
      <c r="CN123" s="122">
        <v>0</v>
      </c>
      <c r="CO123" s="122">
        <f>SUMIFS(BB___HK___AMHS__Others[AR Amount],BB___HK___AMHS__Others[PO No.],AR_725[[#This Row],[tsmc PO '#]],BB___HK___AMHS__Others[Status],"&lt;&gt;Rejected",BB___HK___AMHS__Others[YearMonth],"2024-07")</f>
        <v>0</v>
      </c>
      <c r="CP123" s="122">
        <f>SUMIFS(BB___HK___AMHS__Others[Tax],BB___HK___AMHS__Others[PO No.],AR_725[[#This Row],[tsmc PO '#]],BB___HK___AMHS__Others[Status],"&lt;&gt;Rejected",BB___HK___AMHS__Others[YearMonth],"2024-07")</f>
        <v>0</v>
      </c>
      <c r="CQ123" s="34">
        <f>SUMIFS(BB___HK___AMHS__Others[AR Amount],BB___HK___AMHS__Others[PO No.],AR_725[[#This Row],[tsmc PO '#]],BB___HK___AMHS__Others[Status],"&lt;&gt;Rejected",BB___HK___AMHS__Others[YearMonth],"2024-08")</f>
        <v>0</v>
      </c>
      <c r="CR123" s="44">
        <f>SUMIFS(BB___HK___AMHS__Others[Tax],BB___HK___AMHS__Others[PO No.],AR_725[[#This Row],[tsmc PO '#]],BB___HK___AMHS__Others[Status],"&lt;&gt;Rejected",BB___HK___AMHS__Others[YearMonth],"2024-08")</f>
        <v>0</v>
      </c>
      <c r="CS123" s="62">
        <f>SUMIFS(BB___HK___AMHS__Others[AR Amount],BB___HK___AMHS__Others[PO No.],AR_725[[#This Row],[tsmc PO '#]],BB___HK___AMHS__Others[Status],"&lt;&gt;Rejected",BB___HK___AMHS__Others[YearMonth],"2024-09")</f>
        <v>0</v>
      </c>
      <c r="CT123" s="601">
        <f>SUMIFS(BB___HK___AMHS__Others[Tax],BB___HK___AMHS__Others[PO No.],AR_725[[#This Row],[tsmc PO '#]],BB___HK___AMHS__Others[Status],"&lt;&gt;Rejected",BB___HK___AMHS__Others[YearMonth],"2024-09")</f>
        <v>0</v>
      </c>
    </row>
    <row r="124" spans="1:98" ht="14.1" hidden="1">
      <c r="A124" s="30" t="s">
        <v>13</v>
      </c>
      <c r="B124" s="30" t="s">
        <v>2113</v>
      </c>
      <c r="D124" s="50"/>
      <c r="E124" s="57" t="s">
        <v>2126</v>
      </c>
      <c r="F124" s="57" t="s">
        <v>2126</v>
      </c>
      <c r="G124" s="50" t="s">
        <v>881</v>
      </c>
      <c r="H124" s="50">
        <v>4590011083</v>
      </c>
      <c r="I124" s="30" t="s">
        <v>361</v>
      </c>
      <c r="J124" s="106" t="s">
        <v>1012</v>
      </c>
      <c r="K124" s="62">
        <v>3214.56</v>
      </c>
      <c r="L124" s="30"/>
      <c r="M124" s="86">
        <v>45064</v>
      </c>
      <c r="N124" s="87"/>
      <c r="O124" s="88" t="s">
        <v>2156</v>
      </c>
      <c r="P12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3214.56</v>
      </c>
      <c r="Q12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3214.56</v>
      </c>
      <c r="R12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3214.56</v>
      </c>
      <c r="S124" s="72">
        <f>IF(AR_725[[#This Row],[PO Amount]]=0,1,AR_725[[#This Row],[Total AR (Sent)]]/AR_725[[#This Row],[PO Amount]])</f>
        <v>1</v>
      </c>
      <c r="T124" s="75">
        <f>AR_725[[#This Row],[PO Amount]]-AR_725[[#This Row],[Total AR (Sent)]]</f>
        <v>0</v>
      </c>
      <c r="U124" s="40"/>
      <c r="V124" s="40"/>
      <c r="W124" s="46"/>
      <c r="X124" s="46"/>
      <c r="Y124" s="46"/>
      <c r="Z124" s="46"/>
      <c r="AA124" s="46"/>
      <c r="AB124" s="40"/>
      <c r="AC124" s="40"/>
      <c r="AD124" s="40"/>
      <c r="AE124" s="46"/>
      <c r="AF124" s="46"/>
      <c r="AG124" s="46"/>
      <c r="AH124" s="46"/>
      <c r="AI124" s="40"/>
      <c r="AJ124" s="41"/>
      <c r="AK124" s="40"/>
      <c r="AL124" s="46"/>
      <c r="AM124" s="40"/>
      <c r="AN124" s="46"/>
      <c r="AO124" s="40"/>
      <c r="AP124" s="46"/>
      <c r="AQ124" s="40"/>
      <c r="AR124" s="41"/>
      <c r="AS124" s="40"/>
      <c r="AT124" s="41"/>
      <c r="AU124" s="40"/>
      <c r="AV124" s="41"/>
      <c r="AW124" s="40"/>
      <c r="AX124" s="41"/>
      <c r="AY124" s="40"/>
      <c r="AZ124" s="41"/>
      <c r="BA124" s="41"/>
      <c r="BB124" s="41"/>
      <c r="BC124" s="40"/>
      <c r="BD124" s="41"/>
      <c r="BE124" s="46"/>
      <c r="BF124" s="41"/>
      <c r="BG124" s="41"/>
      <c r="BH124" s="41"/>
      <c r="BI124" s="41"/>
      <c r="BJ124" s="41"/>
      <c r="BK124" s="41"/>
      <c r="BL124" s="41"/>
      <c r="BM124" s="41"/>
      <c r="BN124" s="41"/>
      <c r="BO124" s="46"/>
      <c r="BP124" s="41"/>
      <c r="BQ124" s="46"/>
      <c r="BR124" s="40"/>
      <c r="BS124" s="40"/>
      <c r="BT124" s="40"/>
      <c r="BU124" s="40"/>
      <c r="BV124" s="40"/>
      <c r="BW124" s="40"/>
      <c r="BX124" s="34"/>
      <c r="BZ124" s="40"/>
      <c r="CA124" s="40"/>
      <c r="CB124" s="34"/>
      <c r="CC124" s="34"/>
      <c r="CD124" s="34"/>
      <c r="CE124" s="34"/>
      <c r="CF124" s="34"/>
      <c r="CG124" s="122">
        <v>3214.56</v>
      </c>
      <c r="CI124" s="122"/>
      <c r="CJ124" s="30"/>
      <c r="CK124" s="122">
        <v>0</v>
      </c>
      <c r="CL124" s="122">
        <v>0</v>
      </c>
      <c r="CM124" s="122">
        <v>0</v>
      </c>
      <c r="CN124" s="122">
        <v>0</v>
      </c>
      <c r="CO124" s="122">
        <f>SUMIFS(BB___HK___AMHS__Others[AR Amount],BB___HK___AMHS__Others[PO No.],AR_725[[#This Row],[tsmc PO '#]],BB___HK___AMHS__Others[Status],"&lt;&gt;Rejected",BB___HK___AMHS__Others[YearMonth],"2024-07")</f>
        <v>0</v>
      </c>
      <c r="CP124" s="122">
        <f>SUMIFS(BB___HK___AMHS__Others[Tax],BB___HK___AMHS__Others[PO No.],AR_725[[#This Row],[tsmc PO '#]],BB___HK___AMHS__Others[Status],"&lt;&gt;Rejected",BB___HK___AMHS__Others[YearMonth],"2024-07")</f>
        <v>0</v>
      </c>
      <c r="CQ124" s="34">
        <f>SUMIFS(BB___HK___AMHS__Others[AR Amount],BB___HK___AMHS__Others[PO No.],AR_725[[#This Row],[tsmc PO '#]],BB___HK___AMHS__Others[Status],"&lt;&gt;Rejected",BB___HK___AMHS__Others[YearMonth],"2024-08")</f>
        <v>0</v>
      </c>
      <c r="CR124" s="44">
        <f>SUMIFS(BB___HK___AMHS__Others[Tax],BB___HK___AMHS__Others[PO No.],AR_725[[#This Row],[tsmc PO '#]],BB___HK___AMHS__Others[Status],"&lt;&gt;Rejected",BB___HK___AMHS__Others[YearMonth],"2024-08")</f>
        <v>0</v>
      </c>
      <c r="CS124" s="62">
        <f>SUMIFS(BB___HK___AMHS__Others[AR Amount],BB___HK___AMHS__Others[PO No.],AR_725[[#This Row],[tsmc PO '#]],BB___HK___AMHS__Others[Status],"&lt;&gt;Rejected",BB___HK___AMHS__Others[YearMonth],"2024-09")</f>
        <v>0</v>
      </c>
      <c r="CT124" s="601">
        <f>SUMIFS(BB___HK___AMHS__Others[Tax],BB___HK___AMHS__Others[PO No.],AR_725[[#This Row],[tsmc PO '#]],BB___HK___AMHS__Others[Status],"&lt;&gt;Rejected",BB___HK___AMHS__Others[YearMonth],"2024-09")</f>
        <v>0</v>
      </c>
    </row>
    <row r="125" spans="1:98" ht="14.1" hidden="1">
      <c r="A125" s="30" t="s">
        <v>13</v>
      </c>
      <c r="B125" s="30" t="s">
        <v>2113</v>
      </c>
      <c r="D125" s="50"/>
      <c r="E125" s="48" t="s">
        <v>2126</v>
      </c>
      <c r="F125" s="48" t="s">
        <v>2126</v>
      </c>
      <c r="G125" s="64" t="s">
        <v>2167</v>
      </c>
      <c r="H125" s="50">
        <v>4590011084</v>
      </c>
      <c r="I125" s="30" t="s">
        <v>361</v>
      </c>
      <c r="J125" s="30" t="s">
        <v>787</v>
      </c>
      <c r="K125" s="62">
        <v>967.93</v>
      </c>
      <c r="L125" s="30"/>
      <c r="M125" s="86">
        <v>45064</v>
      </c>
      <c r="N125" s="87"/>
      <c r="O125" s="88" t="s">
        <v>2156</v>
      </c>
      <c r="P12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967.93</v>
      </c>
      <c r="Q12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967.93</v>
      </c>
      <c r="R12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967.93</v>
      </c>
      <c r="S125" s="72">
        <f>IF(AR_725[[#This Row],[PO Amount]]=0,1,AR_725[[#This Row],[Total AR (Sent)]]/AR_725[[#This Row],[PO Amount]])</f>
        <v>1</v>
      </c>
      <c r="T125" s="75">
        <f>AR_725[[#This Row],[PO Amount]]-AR_725[[#This Row],[Total AR (Sent)]]</f>
        <v>0</v>
      </c>
      <c r="U125" s="40"/>
      <c r="V125" s="40"/>
      <c r="W125" s="46"/>
      <c r="X125" s="46"/>
      <c r="Y125" s="46"/>
      <c r="Z125" s="46"/>
      <c r="AA125" s="46"/>
      <c r="AB125" s="40"/>
      <c r="AC125" s="40"/>
      <c r="AD125" s="40"/>
      <c r="AE125" s="46"/>
      <c r="AF125" s="46"/>
      <c r="AG125" s="46"/>
      <c r="AH125" s="46"/>
      <c r="AI125" s="40"/>
      <c r="AJ125" s="46"/>
      <c r="AK125" s="40"/>
      <c r="AL125" s="46"/>
      <c r="AM125" s="40"/>
      <c r="AN125" s="46"/>
      <c r="AO125" s="40"/>
      <c r="AP125" s="46"/>
      <c r="AQ125" s="40"/>
      <c r="AR125" s="41"/>
      <c r="AS125" s="40"/>
      <c r="AT125" s="41"/>
      <c r="AU125" s="40"/>
      <c r="AV125" s="41"/>
      <c r="AW125" s="40"/>
      <c r="AX125" s="41"/>
      <c r="AY125" s="40"/>
      <c r="AZ125" s="41"/>
      <c r="BA125" s="41"/>
      <c r="BB125" s="41"/>
      <c r="BC125" s="40"/>
      <c r="BD125" s="41"/>
      <c r="BE125" s="46"/>
      <c r="BF125" s="41"/>
      <c r="BG125" s="41"/>
      <c r="BH125" s="41"/>
      <c r="BI125" s="41"/>
      <c r="BJ125" s="41"/>
      <c r="BK125" s="41"/>
      <c r="BL125" s="41"/>
      <c r="BM125" s="41"/>
      <c r="BN125" s="41"/>
      <c r="BO125" s="46"/>
      <c r="BP125" s="41"/>
      <c r="BQ125" s="46"/>
      <c r="BR125" s="40"/>
      <c r="BS125" s="40"/>
      <c r="BT125" s="40"/>
      <c r="BU125" s="40"/>
      <c r="BV125" s="40"/>
      <c r="BW125" s="40"/>
      <c r="BX125" s="34"/>
      <c r="BZ125" s="40"/>
      <c r="CA125" s="40"/>
      <c r="CB125" s="34"/>
      <c r="CC125" s="34"/>
      <c r="CD125" s="34"/>
      <c r="CE125" s="42">
        <v>967.93</v>
      </c>
      <c r="CF125" s="34"/>
      <c r="CG125" s="122"/>
      <c r="CI125" s="122"/>
      <c r="CJ125" s="30"/>
      <c r="CK125" s="122">
        <v>0</v>
      </c>
      <c r="CL125" s="122">
        <v>0</v>
      </c>
      <c r="CM125" s="122">
        <v>0</v>
      </c>
      <c r="CN125" s="122">
        <v>0</v>
      </c>
      <c r="CO125" s="122">
        <f>SUMIFS(BB___HK___AMHS__Others[AR Amount],BB___HK___AMHS__Others[PO No.],AR_725[[#This Row],[tsmc PO '#]],BB___HK___AMHS__Others[Status],"&lt;&gt;Rejected",BB___HK___AMHS__Others[YearMonth],"2024-07")</f>
        <v>0</v>
      </c>
      <c r="CP125" s="122">
        <f>SUMIFS(BB___HK___AMHS__Others[Tax],BB___HK___AMHS__Others[PO No.],AR_725[[#This Row],[tsmc PO '#]],BB___HK___AMHS__Others[Status],"&lt;&gt;Rejected",BB___HK___AMHS__Others[YearMonth],"2024-07")</f>
        <v>0</v>
      </c>
      <c r="CQ125" s="34">
        <f>SUMIFS(BB___HK___AMHS__Others[AR Amount],BB___HK___AMHS__Others[PO No.],AR_725[[#This Row],[tsmc PO '#]],BB___HK___AMHS__Others[Status],"&lt;&gt;Rejected",BB___HK___AMHS__Others[YearMonth],"2024-08")</f>
        <v>0</v>
      </c>
      <c r="CR125" s="44">
        <f>SUMIFS(BB___HK___AMHS__Others[Tax],BB___HK___AMHS__Others[PO No.],AR_725[[#This Row],[tsmc PO '#]],BB___HK___AMHS__Others[Status],"&lt;&gt;Rejected",BB___HK___AMHS__Others[YearMonth],"2024-08")</f>
        <v>0</v>
      </c>
      <c r="CS125" s="62">
        <f>SUMIFS(BB___HK___AMHS__Others[AR Amount],BB___HK___AMHS__Others[PO No.],AR_725[[#This Row],[tsmc PO '#]],BB___HK___AMHS__Others[Status],"&lt;&gt;Rejected",BB___HK___AMHS__Others[YearMonth],"2024-09")</f>
        <v>0</v>
      </c>
      <c r="CT125" s="601">
        <f>SUMIFS(BB___HK___AMHS__Others[Tax],BB___HK___AMHS__Others[PO No.],AR_725[[#This Row],[tsmc PO '#]],BB___HK___AMHS__Others[Status],"&lt;&gt;Rejected",BB___HK___AMHS__Others[YearMonth],"2024-09")</f>
        <v>0</v>
      </c>
    </row>
    <row r="126" spans="1:98" ht="14.1" hidden="1">
      <c r="A126" s="30" t="s">
        <v>19</v>
      </c>
      <c r="B126" s="30" t="s">
        <v>19</v>
      </c>
      <c r="D126" s="50"/>
      <c r="E126" s="57"/>
      <c r="F126" s="48" t="s">
        <v>2090</v>
      </c>
      <c r="G126" s="48" t="s">
        <v>2127</v>
      </c>
      <c r="H126" s="50">
        <v>4590011098</v>
      </c>
      <c r="I126" s="30" t="s">
        <v>222</v>
      </c>
      <c r="J126" s="113" t="s">
        <v>493</v>
      </c>
      <c r="K126" s="62">
        <v>116175.85</v>
      </c>
      <c r="L126" s="30"/>
      <c r="M126" s="86"/>
      <c r="N126" s="87"/>
      <c r="O126" s="88"/>
      <c r="P12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116175.85</v>
      </c>
      <c r="Q126" s="114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112678.08</v>
      </c>
      <c r="R12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116175.85</v>
      </c>
      <c r="S126" s="72">
        <f>IF(AR_725[[#This Row],[PO Amount]]=0,1,AR_725[[#This Row],[Total AR (Sent)]]/AR_725[[#This Row],[PO Amount]])</f>
        <v>1</v>
      </c>
      <c r="T126" s="75">
        <f>AR_725[[#This Row],[PO Amount]]-AR_725[[#This Row],[Total AR (Sent)]]</f>
        <v>0</v>
      </c>
      <c r="U126" s="40"/>
      <c r="V126" s="40"/>
      <c r="W126" s="46"/>
      <c r="X126" s="46"/>
      <c r="Y126" s="46"/>
      <c r="Z126" s="46"/>
      <c r="AA126" s="46"/>
      <c r="AB126" s="40"/>
      <c r="AC126" s="40"/>
      <c r="AD126" s="40"/>
      <c r="AE126" s="46"/>
      <c r="AF126" s="46"/>
      <c r="AG126" s="46"/>
      <c r="AH126" s="46"/>
      <c r="AI126" s="40"/>
      <c r="AJ126" s="46"/>
      <c r="AK126" s="40"/>
      <c r="AL126" s="46"/>
      <c r="AM126" s="40"/>
      <c r="AN126" s="46"/>
      <c r="AO126" s="40"/>
      <c r="AP126" s="46"/>
      <c r="AQ126" s="40"/>
      <c r="AR126" s="41"/>
      <c r="AS126" s="40"/>
      <c r="AT126" s="41"/>
      <c r="AU126" s="40"/>
      <c r="AV126" s="41"/>
      <c r="AW126" s="40"/>
      <c r="AX126" s="41"/>
      <c r="AY126" s="40"/>
      <c r="AZ126" s="41"/>
      <c r="BA126" s="41"/>
      <c r="BB126" s="41"/>
      <c r="BC126" s="40"/>
      <c r="BD126" s="41"/>
      <c r="BE126" s="46"/>
      <c r="BF126" s="41"/>
      <c r="BG126" s="41"/>
      <c r="BH126" s="41"/>
      <c r="BI126" s="41"/>
      <c r="BJ126" s="41"/>
      <c r="BK126" s="41"/>
      <c r="BL126" s="41"/>
      <c r="BM126" s="41"/>
      <c r="BN126" s="41"/>
      <c r="BO126" s="47">
        <v>23235.17</v>
      </c>
      <c r="BP126" s="41"/>
      <c r="BQ126" s="70">
        <f>89129.25-89129.25</f>
        <v>0</v>
      </c>
      <c r="BR126" s="40"/>
      <c r="BS126" s="47">
        <v>89442.91</v>
      </c>
      <c r="BT126" s="40"/>
      <c r="BU126" s="40"/>
      <c r="BV126" s="40"/>
      <c r="BW126" s="40"/>
      <c r="BX126" s="34"/>
      <c r="BZ126" s="40"/>
      <c r="CA126" s="40"/>
      <c r="CB126" s="34"/>
      <c r="CC126" s="34"/>
      <c r="CD126" s="34"/>
      <c r="CE126" s="34"/>
      <c r="CF126" s="34"/>
      <c r="CG126" s="122"/>
      <c r="CI126" s="122"/>
      <c r="CJ126" s="30"/>
      <c r="CK126" s="122">
        <v>3497.77</v>
      </c>
      <c r="CL126" s="122">
        <v>0</v>
      </c>
      <c r="CM126" s="122">
        <v>0</v>
      </c>
      <c r="CN126" s="122">
        <v>0</v>
      </c>
      <c r="CO126" s="122">
        <f>SUMIFS(BB___HK___AMHS__Others[AR Amount],BB___HK___AMHS__Others[PO No.],AR_725[[#This Row],[tsmc PO '#]],BB___HK___AMHS__Others[Status],"&lt;&gt;Rejected",BB___HK___AMHS__Others[YearMonth],"2024-07")</f>
        <v>0</v>
      </c>
      <c r="CP126" s="122">
        <f>SUMIFS(BB___HK___AMHS__Others[Tax],BB___HK___AMHS__Others[PO No.],AR_725[[#This Row],[tsmc PO '#]],BB___HK___AMHS__Others[Status],"&lt;&gt;Rejected",BB___HK___AMHS__Others[YearMonth],"2024-07")</f>
        <v>0</v>
      </c>
      <c r="CQ126" s="34">
        <f>SUMIFS(BB___HK___AMHS__Others[AR Amount],BB___HK___AMHS__Others[PO No.],AR_725[[#This Row],[tsmc PO '#]],BB___HK___AMHS__Others[Status],"&lt;&gt;Rejected",BB___HK___AMHS__Others[YearMonth],"2024-08")</f>
        <v>0</v>
      </c>
      <c r="CR126" s="44">
        <f>SUMIFS(BB___HK___AMHS__Others[Tax],BB___HK___AMHS__Others[PO No.],AR_725[[#This Row],[tsmc PO '#]],BB___HK___AMHS__Others[Status],"&lt;&gt;Rejected",BB___HK___AMHS__Others[YearMonth],"2024-08")</f>
        <v>0</v>
      </c>
      <c r="CS126" s="62">
        <f>SUMIFS(BB___HK___AMHS__Others[AR Amount],BB___HK___AMHS__Others[PO No.],AR_725[[#This Row],[tsmc PO '#]],BB___HK___AMHS__Others[Status],"&lt;&gt;Rejected",BB___HK___AMHS__Others[YearMonth],"2024-09")</f>
        <v>0</v>
      </c>
      <c r="CT126" s="601">
        <f>SUMIFS(BB___HK___AMHS__Others[Tax],BB___HK___AMHS__Others[PO No.],AR_725[[#This Row],[tsmc PO '#]],BB___HK___AMHS__Others[Status],"&lt;&gt;Rejected",BB___HK___AMHS__Others[YearMonth],"2024-09")</f>
        <v>0</v>
      </c>
    </row>
    <row r="127" spans="1:98" ht="14.1">
      <c r="A127" s="30" t="s">
        <v>14</v>
      </c>
      <c r="B127" s="30" t="s">
        <v>14</v>
      </c>
      <c r="D127" s="50" t="s">
        <v>1546</v>
      </c>
      <c r="E127" s="48" t="s">
        <v>2060</v>
      </c>
      <c r="F127" s="48" t="s">
        <v>2100</v>
      </c>
      <c r="G127" s="48" t="s">
        <v>1163</v>
      </c>
      <c r="H127" s="50">
        <v>4590011208</v>
      </c>
      <c r="I127" s="30" t="s">
        <v>1167</v>
      </c>
      <c r="J127" s="30" t="s">
        <v>1164</v>
      </c>
      <c r="K127" s="62">
        <v>88379</v>
      </c>
      <c r="L127" s="30"/>
      <c r="M127" s="86">
        <v>45071</v>
      </c>
      <c r="N127" s="87"/>
      <c r="O127" s="88" t="s">
        <v>2156</v>
      </c>
      <c r="P12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83963</v>
      </c>
      <c r="Q12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34816</v>
      </c>
      <c r="R12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58328</v>
      </c>
      <c r="S127" s="72">
        <f>IF(AR_725[[#This Row],[PO Amount]]=0,1,AR_725[[#This Row],[Total AR (Sent)]]/AR_725[[#This Row],[PO Amount]])</f>
        <v>0.9500333789701173</v>
      </c>
      <c r="T127" s="75">
        <f>AR_725[[#This Row],[PO Amount]]-AR_725[[#This Row],[Total AR (Sent)]]</f>
        <v>4416</v>
      </c>
      <c r="U127" s="40"/>
      <c r="V127" s="40"/>
      <c r="W127" s="46"/>
      <c r="X127" s="46"/>
      <c r="Y127" s="46"/>
      <c r="Z127" s="46"/>
      <c r="AA127" s="46"/>
      <c r="AB127" s="40"/>
      <c r="AC127" s="40"/>
      <c r="AD127" s="40"/>
      <c r="AE127" s="46"/>
      <c r="AF127" s="46"/>
      <c r="AG127" s="46"/>
      <c r="AH127" s="46"/>
      <c r="AI127" s="40"/>
      <c r="AJ127" s="41"/>
      <c r="AK127" s="40"/>
      <c r="AL127" s="46"/>
      <c r="AM127" s="40"/>
      <c r="AN127" s="46"/>
      <c r="AO127" s="40"/>
      <c r="AP127" s="46"/>
      <c r="AQ127" s="40"/>
      <c r="AR127" s="41"/>
      <c r="AS127" s="40"/>
      <c r="AT127" s="41"/>
      <c r="AU127" s="40"/>
      <c r="AV127" s="41"/>
      <c r="AW127" s="40"/>
      <c r="AX127" s="41"/>
      <c r="AY127" s="40"/>
      <c r="AZ127" s="41"/>
      <c r="BA127" s="41"/>
      <c r="BB127" s="41"/>
      <c r="BC127" s="40"/>
      <c r="BD127" s="41"/>
      <c r="BE127" s="46"/>
      <c r="BF127" s="41"/>
      <c r="BG127" s="41"/>
      <c r="BH127" s="41"/>
      <c r="BI127" s="41"/>
      <c r="BJ127" s="41"/>
      <c r="BK127" s="41"/>
      <c r="BL127" s="41"/>
      <c r="BM127" s="41"/>
      <c r="BN127" s="41"/>
      <c r="BO127" s="46"/>
      <c r="BP127" s="41"/>
      <c r="BQ127" s="40">
        <v>34816</v>
      </c>
      <c r="BR127" s="40"/>
      <c r="BS127" s="40"/>
      <c r="BT127" s="40"/>
      <c r="BU127" s="40"/>
      <c r="BV127" s="40"/>
      <c r="BW127" s="40"/>
      <c r="BX127" s="34"/>
      <c r="BZ127" s="40"/>
      <c r="CA127" s="40"/>
      <c r="CB127" s="34"/>
      <c r="CC127" s="34"/>
      <c r="CD127" s="34"/>
      <c r="CE127" s="34"/>
      <c r="CF127" s="34"/>
      <c r="CG127" s="122"/>
      <c r="CI127" s="116">
        <v>23512</v>
      </c>
      <c r="CJ127" s="30"/>
      <c r="CK127" s="122">
        <v>0</v>
      </c>
      <c r="CL127" s="122">
        <v>0</v>
      </c>
      <c r="CM127" s="122">
        <v>0</v>
      </c>
      <c r="CN127" s="122">
        <v>0</v>
      </c>
      <c r="CO127" s="122">
        <f>SUMIFS(BB___HK___AMHS__Others[AR Amount],BB___HK___AMHS__Others[PO No.],AR_725[[#This Row],[tsmc PO '#]],BB___HK___AMHS__Others[Status],"&lt;&gt;Rejected",BB___HK___AMHS__Others[YearMonth],"2024-07")</f>
        <v>0</v>
      </c>
      <c r="CP127" s="122">
        <f>SUMIFS(BB___HK___AMHS__Others[Tax],BB___HK___AMHS__Others[PO No.],AR_725[[#This Row],[tsmc PO '#]],BB___HK___AMHS__Others[Status],"&lt;&gt;Rejected",BB___HK___AMHS__Others[YearMonth],"2024-07")</f>
        <v>0</v>
      </c>
      <c r="CQ127" s="34">
        <f>SUMIFS(BB___HK___AMHS__Others[AR Amount],BB___HK___AMHS__Others[PO No.],AR_725[[#This Row],[tsmc PO '#]],BB___HK___AMHS__Others[Status],"&lt;&gt;Rejected",BB___HK___AMHS__Others[YearMonth],"2024-08")</f>
        <v>0</v>
      </c>
      <c r="CR127" s="44">
        <f>SUMIFS(BB___HK___AMHS__Others[Tax],BB___HK___AMHS__Others[PO No.],AR_725[[#This Row],[tsmc PO '#]],BB___HK___AMHS__Others[Status],"&lt;&gt;Rejected",BB___HK___AMHS__Others[YearMonth],"2024-08")</f>
        <v>0</v>
      </c>
      <c r="CS127" s="62">
        <f>SUMIFS(BB___HK___AMHS__Others[AR Amount],BB___HK___AMHS__Others[PO No.],AR_725[[#This Row],[tsmc PO '#]],BB___HK___AMHS__Others[Status],"&lt;&gt;Rejected",BB___HK___AMHS__Others[YearMonth],"2024-09")</f>
        <v>25635</v>
      </c>
      <c r="CT127" s="601">
        <f>SUMIFS(BB___HK___AMHS__Others[Tax],BB___HK___AMHS__Others[PO No.],AR_725[[#This Row],[tsmc PO '#]],BB___HK___AMHS__Others[Status],"&lt;&gt;Rejected",BB___HK___AMHS__Others[YearMonth],"2024-09")</f>
        <v>0</v>
      </c>
    </row>
    <row r="128" spans="1:98" ht="14.1" hidden="1">
      <c r="A128" s="30" t="s">
        <v>13</v>
      </c>
      <c r="B128" s="30" t="s">
        <v>2113</v>
      </c>
      <c r="D128" s="50"/>
      <c r="E128" s="603" t="s">
        <v>2126</v>
      </c>
      <c r="F128" s="57" t="s">
        <v>2126</v>
      </c>
      <c r="G128" s="48" t="s">
        <v>2168</v>
      </c>
      <c r="H128" s="50">
        <v>4590011215</v>
      </c>
      <c r="J128" s="106" t="s">
        <v>2169</v>
      </c>
      <c r="K128" s="62">
        <v>4821.87</v>
      </c>
      <c r="L128" s="30"/>
      <c r="M128" s="86">
        <v>45071</v>
      </c>
      <c r="N128" s="87"/>
      <c r="O128" s="88" t="s">
        <v>2156</v>
      </c>
      <c r="P12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12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12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128" s="72">
        <f>IF(AR_725[[#This Row],[PO Amount]]=0,1,AR_725[[#This Row],[Total AR (Sent)]]/AR_725[[#This Row],[PO Amount]])</f>
        <v>0</v>
      </c>
      <c r="T128" s="75">
        <f>AR_725[[#This Row],[PO Amount]]-AR_725[[#This Row],[Total AR (Sent)]]</f>
        <v>4821.87</v>
      </c>
      <c r="U128" s="40"/>
      <c r="V128" s="40"/>
      <c r="W128" s="46"/>
      <c r="X128" s="46"/>
      <c r="Y128" s="46"/>
      <c r="Z128" s="46"/>
      <c r="AA128" s="46"/>
      <c r="AB128" s="40"/>
      <c r="AC128" s="40"/>
      <c r="AD128" s="40"/>
      <c r="AE128" s="46"/>
      <c r="AF128" s="46"/>
      <c r="AG128" s="46"/>
      <c r="AH128" s="46"/>
      <c r="AI128" s="40"/>
      <c r="AJ128" s="46"/>
      <c r="AK128" s="40"/>
      <c r="AL128" s="46"/>
      <c r="AM128" s="40"/>
      <c r="AN128" s="46"/>
      <c r="AO128" s="40"/>
      <c r="AP128" s="46"/>
      <c r="AQ128" s="40"/>
      <c r="AR128" s="41"/>
      <c r="AS128" s="34"/>
      <c r="AT128" s="41"/>
      <c r="AU128" s="34"/>
      <c r="AV128" s="41"/>
      <c r="AW128" s="34"/>
      <c r="AX128" s="41"/>
      <c r="AY128" s="34"/>
      <c r="AZ128" s="41"/>
      <c r="BA128" s="41"/>
      <c r="BB128" s="41"/>
      <c r="BC128" s="34"/>
      <c r="BD128" s="41"/>
      <c r="BE128" s="46"/>
      <c r="BF128" s="41"/>
      <c r="BG128" s="41"/>
      <c r="BH128" s="41"/>
      <c r="BI128" s="41"/>
      <c r="BJ128" s="41"/>
      <c r="BK128" s="41"/>
      <c r="BL128" s="41"/>
      <c r="BM128" s="41"/>
      <c r="BN128" s="41"/>
      <c r="BO128" s="46"/>
      <c r="BP128" s="41"/>
      <c r="BQ128" s="46"/>
      <c r="BR128" s="40"/>
      <c r="BS128" s="40"/>
      <c r="BT128" s="40"/>
      <c r="BU128" s="40"/>
      <c r="BV128" s="40"/>
      <c r="BW128" s="40"/>
      <c r="BX128" s="34"/>
      <c r="BZ128" s="40"/>
      <c r="CA128" s="40"/>
      <c r="CB128" s="34"/>
      <c r="CC128" s="34"/>
      <c r="CD128" s="34"/>
      <c r="CE128" s="34"/>
      <c r="CF128" s="34"/>
      <c r="CG128" s="122"/>
      <c r="CI128" s="122"/>
      <c r="CJ128" s="30"/>
      <c r="CK128" s="122">
        <v>0</v>
      </c>
      <c r="CL128" s="122">
        <v>0</v>
      </c>
      <c r="CM128" s="122">
        <v>0</v>
      </c>
      <c r="CN128" s="122">
        <v>0</v>
      </c>
      <c r="CO128" s="122">
        <f>SUMIFS(BB___HK___AMHS__Others[AR Amount],BB___HK___AMHS__Others[PO No.],AR_725[[#This Row],[tsmc PO '#]],BB___HK___AMHS__Others[Status],"&lt;&gt;Rejected",BB___HK___AMHS__Others[YearMonth],"2024-07")</f>
        <v>0</v>
      </c>
      <c r="CP128" s="122">
        <f>SUMIFS(BB___HK___AMHS__Others[Tax],BB___HK___AMHS__Others[PO No.],AR_725[[#This Row],[tsmc PO '#]],BB___HK___AMHS__Others[Status],"&lt;&gt;Rejected",BB___HK___AMHS__Others[YearMonth],"2024-07")</f>
        <v>0</v>
      </c>
      <c r="CQ128" s="34">
        <f>SUMIFS(BB___HK___AMHS__Others[AR Amount],BB___HK___AMHS__Others[PO No.],AR_725[[#This Row],[tsmc PO '#]],BB___HK___AMHS__Others[Status],"&lt;&gt;Rejected",BB___HK___AMHS__Others[YearMonth],"2024-08")</f>
        <v>0</v>
      </c>
      <c r="CR128" s="44">
        <f>SUMIFS(BB___HK___AMHS__Others[Tax],BB___HK___AMHS__Others[PO No.],AR_725[[#This Row],[tsmc PO '#]],BB___HK___AMHS__Others[Status],"&lt;&gt;Rejected",BB___HK___AMHS__Others[YearMonth],"2024-08")</f>
        <v>0</v>
      </c>
      <c r="CS128" s="62">
        <f>SUMIFS(BB___HK___AMHS__Others[AR Amount],BB___HK___AMHS__Others[PO No.],AR_725[[#This Row],[tsmc PO '#]],BB___HK___AMHS__Others[Status],"&lt;&gt;Rejected",BB___HK___AMHS__Others[YearMonth],"2024-09")</f>
        <v>0</v>
      </c>
      <c r="CT128" s="601">
        <f>SUMIFS(BB___HK___AMHS__Others[Tax],BB___HK___AMHS__Others[PO No.],AR_725[[#This Row],[tsmc PO '#]],BB___HK___AMHS__Others[Status],"&lt;&gt;Rejected",BB___HK___AMHS__Others[YearMonth],"2024-09")</f>
        <v>0</v>
      </c>
    </row>
    <row r="129" spans="1:98" ht="14.1" hidden="1">
      <c r="A129" s="30" t="s">
        <v>9</v>
      </c>
      <c r="B129" s="30" t="s">
        <v>2051</v>
      </c>
      <c r="C129" s="30" t="s">
        <v>42</v>
      </c>
      <c r="D129" s="50" t="s">
        <v>1720</v>
      </c>
      <c r="E129" s="48"/>
      <c r="F129" s="48"/>
      <c r="G129" s="64" t="s">
        <v>2170</v>
      </c>
      <c r="H129" s="50">
        <v>4590011254</v>
      </c>
      <c r="I129" s="30" t="s">
        <v>104</v>
      </c>
      <c r="J129" s="30" t="s">
        <v>496</v>
      </c>
      <c r="K129" s="62">
        <v>145000</v>
      </c>
      <c r="L129" s="30"/>
      <c r="M129" s="86">
        <v>45072</v>
      </c>
      <c r="N129" s="87"/>
      <c r="O129" s="88" t="s">
        <v>2148</v>
      </c>
      <c r="P12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145000</v>
      </c>
      <c r="Q12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145000</v>
      </c>
      <c r="R12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145000</v>
      </c>
      <c r="S129" s="72">
        <f>IF(AR_725[[#This Row],[PO Amount]]=0,1,AR_725[[#This Row],[Total AR (Sent)]]/AR_725[[#This Row],[PO Amount]])</f>
        <v>1</v>
      </c>
      <c r="T129" s="75">
        <f>AR_725[[#This Row],[PO Amount]]-AR_725[[#This Row],[Total AR (Sent)]]</f>
        <v>0</v>
      </c>
      <c r="U129" s="40"/>
      <c r="V129" s="40"/>
      <c r="W129" s="46"/>
      <c r="X129" s="46"/>
      <c r="Y129" s="46"/>
      <c r="Z129" s="46"/>
      <c r="AA129" s="46"/>
      <c r="AB129" s="40"/>
      <c r="AC129" s="40"/>
      <c r="AD129" s="40"/>
      <c r="AE129" s="46"/>
      <c r="AF129" s="46"/>
      <c r="AG129" s="46"/>
      <c r="AH129" s="46"/>
      <c r="AI129" s="40"/>
      <c r="AJ129" s="46"/>
      <c r="AK129" s="40"/>
      <c r="AL129" s="46"/>
      <c r="AM129" s="40"/>
      <c r="AN129" s="46"/>
      <c r="AO129" s="40"/>
      <c r="AP129" s="46"/>
      <c r="AQ129" s="40"/>
      <c r="AR129" s="41"/>
      <c r="AS129" s="34"/>
      <c r="AT129" s="41"/>
      <c r="AU129" s="34"/>
      <c r="AV129" s="41"/>
      <c r="AW129" s="34"/>
      <c r="AX129" s="41"/>
      <c r="AY129" s="40"/>
      <c r="AZ129" s="41"/>
      <c r="BA129" s="41"/>
      <c r="BB129" s="41"/>
      <c r="BC129" s="40"/>
      <c r="BD129" s="41"/>
      <c r="BE129" s="46"/>
      <c r="BF129" s="41"/>
      <c r="BG129" s="41"/>
      <c r="BH129" s="41"/>
      <c r="BI129" s="41"/>
      <c r="BJ129" s="41"/>
      <c r="BK129" s="41"/>
      <c r="BL129" s="41"/>
      <c r="BM129" s="41"/>
      <c r="BN129" s="41"/>
      <c r="BO129" s="47">
        <v>132459</v>
      </c>
      <c r="BP129" s="41"/>
      <c r="BQ129" s="47">
        <v>12541</v>
      </c>
      <c r="BR129" s="40"/>
      <c r="BS129" s="40"/>
      <c r="BT129" s="40"/>
      <c r="BU129" s="40"/>
      <c r="BV129" s="40"/>
      <c r="BW129" s="40"/>
      <c r="BX129" s="34"/>
      <c r="BZ129" s="40"/>
      <c r="CA129" s="40"/>
      <c r="CB129" s="34"/>
      <c r="CC129" s="34"/>
      <c r="CD129" s="34"/>
      <c r="CE129" s="34"/>
      <c r="CF129" s="34"/>
      <c r="CG129" s="122"/>
      <c r="CI129" s="122"/>
      <c r="CJ129" s="30"/>
      <c r="CK129" s="122">
        <v>0</v>
      </c>
      <c r="CL129" s="122">
        <v>0</v>
      </c>
      <c r="CM129" s="122">
        <v>0</v>
      </c>
      <c r="CN129" s="122">
        <v>0</v>
      </c>
      <c r="CO129" s="122">
        <f>SUMIFS(BB___HK___AMHS__Others[AR Amount],BB___HK___AMHS__Others[PO No.],AR_725[[#This Row],[tsmc PO '#]],BB___HK___AMHS__Others[Status],"&lt;&gt;Rejected",BB___HK___AMHS__Others[YearMonth],"2024-07")</f>
        <v>0</v>
      </c>
      <c r="CP129" s="122">
        <f>SUMIFS(BB___HK___AMHS__Others[Tax],BB___HK___AMHS__Others[PO No.],AR_725[[#This Row],[tsmc PO '#]],BB___HK___AMHS__Others[Status],"&lt;&gt;Rejected",BB___HK___AMHS__Others[YearMonth],"2024-07")</f>
        <v>0</v>
      </c>
      <c r="CQ129" s="34">
        <f>SUMIFS(BB___HK___AMHS__Others[AR Amount],BB___HK___AMHS__Others[PO No.],AR_725[[#This Row],[tsmc PO '#]],BB___HK___AMHS__Others[Status],"&lt;&gt;Rejected",BB___HK___AMHS__Others[YearMonth],"2024-08")</f>
        <v>0</v>
      </c>
      <c r="CR129" s="44">
        <f>SUMIFS(BB___HK___AMHS__Others[Tax],BB___HK___AMHS__Others[PO No.],AR_725[[#This Row],[tsmc PO '#]],BB___HK___AMHS__Others[Status],"&lt;&gt;Rejected",BB___HK___AMHS__Others[YearMonth],"2024-08")</f>
        <v>0</v>
      </c>
      <c r="CS129" s="62">
        <f>SUMIFS(BB___HK___AMHS__Others[AR Amount],BB___HK___AMHS__Others[PO No.],AR_725[[#This Row],[tsmc PO '#]],BB___HK___AMHS__Others[Status],"&lt;&gt;Rejected",BB___HK___AMHS__Others[YearMonth],"2024-09")</f>
        <v>0</v>
      </c>
      <c r="CT129" s="601">
        <f>SUMIFS(BB___HK___AMHS__Others[Tax],BB___HK___AMHS__Others[PO No.],AR_725[[#This Row],[tsmc PO '#]],BB___HK___AMHS__Others[Status],"&lt;&gt;Rejected",BB___HK___AMHS__Others[YearMonth],"2024-09")</f>
        <v>0</v>
      </c>
    </row>
    <row r="130" spans="1:98" ht="14.1" hidden="1">
      <c r="A130" s="30" t="s">
        <v>9</v>
      </c>
      <c r="B130" s="30" t="s">
        <v>2051</v>
      </c>
      <c r="C130" s="30" t="s">
        <v>2159</v>
      </c>
      <c r="D130" s="50" t="s">
        <v>1546</v>
      </c>
      <c r="E130" s="57" t="s">
        <v>2052</v>
      </c>
      <c r="F130" s="48" t="s">
        <v>2076</v>
      </c>
      <c r="G130" s="48" t="s">
        <v>942</v>
      </c>
      <c r="H130" s="50">
        <v>4590011320</v>
      </c>
      <c r="I130" s="30" t="s">
        <v>125</v>
      </c>
      <c r="J130" s="30" t="s">
        <v>498</v>
      </c>
      <c r="K130" s="62">
        <v>766999.1</v>
      </c>
      <c r="L130" s="30"/>
      <c r="M130" s="86">
        <v>45077</v>
      </c>
      <c r="N130" s="87"/>
      <c r="O130" s="88" t="s">
        <v>2160</v>
      </c>
      <c r="P13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728614.2200000002</v>
      </c>
      <c r="Q13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603831.63000000012</v>
      </c>
      <c r="R13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728614.2200000002</v>
      </c>
      <c r="S130" s="72">
        <f>IF(AR_725[[#This Row],[PO Amount]]=0,1,AR_725[[#This Row],[Total AR (Sent)]]/AR_725[[#This Row],[PO Amount]])</f>
        <v>0.94995446539637429</v>
      </c>
      <c r="T130" s="75">
        <f>AR_725[[#This Row],[PO Amount]]-AR_725[[#This Row],[Total AR (Sent)]]</f>
        <v>38384.879999999772</v>
      </c>
      <c r="U130" s="40"/>
      <c r="V130" s="40"/>
      <c r="W130" s="46"/>
      <c r="X130" s="46"/>
      <c r="Y130" s="46"/>
      <c r="Z130" s="46"/>
      <c r="AA130" s="46"/>
      <c r="AB130" s="40"/>
      <c r="AC130" s="40"/>
      <c r="AD130" s="40"/>
      <c r="AE130" s="46"/>
      <c r="AF130" s="46"/>
      <c r="AG130" s="46"/>
      <c r="AH130" s="46"/>
      <c r="AI130" s="34"/>
      <c r="AJ130" s="41"/>
      <c r="AK130" s="34"/>
      <c r="AL130" s="46"/>
      <c r="AM130" s="40"/>
      <c r="AN130" s="46"/>
      <c r="AO130" s="40"/>
      <c r="AP130" s="46"/>
      <c r="AQ130" s="40"/>
      <c r="AR130" s="41"/>
      <c r="AS130" s="34"/>
      <c r="AT130" s="41"/>
      <c r="AU130" s="34"/>
      <c r="AV130" s="41"/>
      <c r="AW130" s="34"/>
      <c r="AX130" s="41"/>
      <c r="AY130" s="40"/>
      <c r="AZ130" s="41"/>
      <c r="BA130" s="41"/>
      <c r="BB130" s="41"/>
      <c r="BC130" s="40"/>
      <c r="BD130" s="41"/>
      <c r="BE130" s="46"/>
      <c r="BF130" s="41"/>
      <c r="BG130" s="41"/>
      <c r="BH130" s="41"/>
      <c r="BI130" s="41"/>
      <c r="BJ130" s="41"/>
      <c r="BK130" s="41"/>
      <c r="BL130" s="41"/>
      <c r="BM130" s="41"/>
      <c r="BN130" s="41"/>
      <c r="BO130" s="47">
        <v>103519.94</v>
      </c>
      <c r="BP130" s="41"/>
      <c r="BQ130" s="47">
        <v>145337.31</v>
      </c>
      <c r="BR130" s="40"/>
      <c r="BS130" s="47">
        <v>48145.15</v>
      </c>
      <c r="BT130" s="40"/>
      <c r="BU130" s="47">
        <v>96525.06</v>
      </c>
      <c r="BV130" s="40"/>
      <c r="BW130" s="40"/>
      <c r="BX130" s="34"/>
      <c r="BZ130" s="40"/>
      <c r="CA130" s="47">
        <v>163956.87</v>
      </c>
      <c r="CB130" s="34"/>
      <c r="CC130" s="34"/>
      <c r="CD130" s="34"/>
      <c r="CE130" s="34"/>
      <c r="CF130" s="34"/>
      <c r="CG130" s="123">
        <v>46347.3</v>
      </c>
      <c r="CI130" s="122"/>
      <c r="CJ130" s="30"/>
      <c r="CK130" s="122">
        <v>114862.28</v>
      </c>
      <c r="CL130" s="122">
        <v>0</v>
      </c>
      <c r="CM130" s="122">
        <v>9920.31</v>
      </c>
      <c r="CN130" s="122">
        <v>0</v>
      </c>
      <c r="CO130" s="122">
        <f>SUMIFS(BB___HK___AMHS__Others[AR Amount],BB___HK___AMHS__Others[PO No.],AR_725[[#This Row],[tsmc PO '#]],BB___HK___AMHS__Others[Status],"&lt;&gt;Rejected",BB___HK___AMHS__Others[YearMonth],"2024-07")</f>
        <v>0</v>
      </c>
      <c r="CP130" s="122">
        <f>SUMIFS(BB___HK___AMHS__Others[Tax],BB___HK___AMHS__Others[PO No.],AR_725[[#This Row],[tsmc PO '#]],BB___HK___AMHS__Others[Status],"&lt;&gt;Rejected",BB___HK___AMHS__Others[YearMonth],"2024-07")</f>
        <v>0</v>
      </c>
      <c r="CQ130" s="34">
        <f>SUMIFS(BB___HK___AMHS__Others[AR Amount],BB___HK___AMHS__Others[PO No.],AR_725[[#This Row],[tsmc PO '#]],BB___HK___AMHS__Others[Status],"&lt;&gt;Rejected",BB___HK___AMHS__Others[YearMonth],"2024-08")</f>
        <v>0</v>
      </c>
      <c r="CR130" s="44">
        <f>SUMIFS(BB___HK___AMHS__Others[Tax],BB___HK___AMHS__Others[PO No.],AR_725[[#This Row],[tsmc PO '#]],BB___HK___AMHS__Others[Status],"&lt;&gt;Rejected",BB___HK___AMHS__Others[YearMonth],"2024-08")</f>
        <v>0</v>
      </c>
      <c r="CS130" s="62">
        <f>SUMIFS(BB___HK___AMHS__Others[AR Amount],BB___HK___AMHS__Others[PO No.],AR_725[[#This Row],[tsmc PO '#]],BB___HK___AMHS__Others[Status],"&lt;&gt;Rejected",BB___HK___AMHS__Others[YearMonth],"2024-09")</f>
        <v>0</v>
      </c>
      <c r="CT130" s="601">
        <f>SUMIFS(BB___HK___AMHS__Others[Tax],BB___HK___AMHS__Others[PO No.],AR_725[[#This Row],[tsmc PO '#]],BB___HK___AMHS__Others[Status],"&lt;&gt;Rejected",BB___HK___AMHS__Others[YearMonth],"2024-09")</f>
        <v>0</v>
      </c>
    </row>
    <row r="131" spans="1:98" ht="14.1" hidden="1">
      <c r="A131" s="30" t="s">
        <v>16</v>
      </c>
      <c r="B131" s="30" t="s">
        <v>2113</v>
      </c>
      <c r="D131" s="50"/>
      <c r="E131" s="57"/>
      <c r="F131" s="57" t="s">
        <v>2171</v>
      </c>
      <c r="G131" s="48" t="s">
        <v>807</v>
      </c>
      <c r="H131" s="50">
        <v>4590011384</v>
      </c>
      <c r="I131" s="30" t="s">
        <v>839</v>
      </c>
      <c r="J131" s="30" t="s">
        <v>835</v>
      </c>
      <c r="K131" s="62">
        <v>102343.84</v>
      </c>
      <c r="L131" s="30"/>
      <c r="M131" s="86">
        <v>45079</v>
      </c>
      <c r="N131" s="87"/>
      <c r="O131" s="88" t="s">
        <v>2156</v>
      </c>
      <c r="P13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102343.84</v>
      </c>
      <c r="Q13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102343.84</v>
      </c>
      <c r="R13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131" s="72">
        <f>IF(AR_725[[#This Row],[PO Amount]]=0,1,AR_725[[#This Row],[Total AR (Sent)]]/AR_725[[#This Row],[PO Amount]])</f>
        <v>1</v>
      </c>
      <c r="T131" s="75">
        <f>AR_725[[#This Row],[PO Amount]]-AR_725[[#This Row],[Total AR (Sent)]]</f>
        <v>0</v>
      </c>
      <c r="U131" s="40"/>
      <c r="V131" s="40"/>
      <c r="W131" s="46"/>
      <c r="X131" s="46"/>
      <c r="Y131" s="46"/>
      <c r="Z131" s="46"/>
      <c r="AA131" s="46"/>
      <c r="AB131" s="40"/>
      <c r="AC131" s="40"/>
      <c r="AD131" s="40"/>
      <c r="AE131" s="46"/>
      <c r="AF131" s="46"/>
      <c r="AG131" s="46"/>
      <c r="AH131" s="46"/>
      <c r="AI131" s="40"/>
      <c r="AJ131" s="41"/>
      <c r="AK131" s="40"/>
      <c r="AL131" s="46"/>
      <c r="AM131" s="40"/>
      <c r="AN131" s="46"/>
      <c r="AO131" s="40"/>
      <c r="AP131" s="46"/>
      <c r="AQ131" s="40"/>
      <c r="AR131" s="41"/>
      <c r="AS131" s="34"/>
      <c r="AT131" s="41"/>
      <c r="AU131" s="34"/>
      <c r="AV131" s="41"/>
      <c r="AW131" s="34"/>
      <c r="AX131" s="41"/>
      <c r="AY131" s="40"/>
      <c r="AZ131" s="41"/>
      <c r="BA131" s="41"/>
      <c r="BB131" s="41"/>
      <c r="BC131" s="40"/>
      <c r="BD131" s="41"/>
      <c r="BE131" s="46"/>
      <c r="BF131" s="41"/>
      <c r="BG131" s="41"/>
      <c r="BH131" s="41"/>
      <c r="BI131" s="41"/>
      <c r="BJ131" s="41"/>
      <c r="BK131" s="41"/>
      <c r="BL131" s="41"/>
      <c r="BM131" s="41"/>
      <c r="BN131" s="41"/>
      <c r="BO131" s="46"/>
      <c r="BP131" s="41"/>
      <c r="BQ131" s="40"/>
      <c r="BR131" s="40"/>
      <c r="BS131" s="40"/>
      <c r="BT131" s="40"/>
      <c r="BU131" s="40"/>
      <c r="BV131" s="40"/>
      <c r="BW131" s="40"/>
      <c r="BX131" s="34"/>
      <c r="BZ131" s="40"/>
      <c r="CA131" s="40"/>
      <c r="CB131" s="34"/>
      <c r="CC131" s="34"/>
      <c r="CD131" s="34"/>
      <c r="CE131" s="61">
        <v>102343.84</v>
      </c>
      <c r="CF131" s="34"/>
      <c r="CG131" s="122"/>
      <c r="CI131" s="122"/>
      <c r="CJ131" s="30"/>
      <c r="CK131" s="122">
        <v>0</v>
      </c>
      <c r="CL131" s="122">
        <v>0</v>
      </c>
      <c r="CM131" s="122">
        <v>0</v>
      </c>
      <c r="CN131" s="122">
        <v>0</v>
      </c>
      <c r="CO131" s="122">
        <f>SUMIFS(BB___HK___AMHS__Others[AR Amount],BB___HK___AMHS__Others[PO No.],AR_725[[#This Row],[tsmc PO '#]],BB___HK___AMHS__Others[Status],"&lt;&gt;Rejected",BB___HK___AMHS__Others[YearMonth],"2024-07")</f>
        <v>0</v>
      </c>
      <c r="CP131" s="122">
        <f>SUMIFS(BB___HK___AMHS__Others[Tax],BB___HK___AMHS__Others[PO No.],AR_725[[#This Row],[tsmc PO '#]],BB___HK___AMHS__Others[Status],"&lt;&gt;Rejected",BB___HK___AMHS__Others[YearMonth],"2024-07")</f>
        <v>0</v>
      </c>
      <c r="CQ131" s="34">
        <f>SUMIFS(BB___HK___AMHS__Others[AR Amount],BB___HK___AMHS__Others[PO No.],AR_725[[#This Row],[tsmc PO '#]],BB___HK___AMHS__Others[Status],"&lt;&gt;Rejected",BB___HK___AMHS__Others[YearMonth],"2024-08")</f>
        <v>0</v>
      </c>
      <c r="CR131" s="44">
        <f>SUMIFS(BB___HK___AMHS__Others[Tax],BB___HK___AMHS__Others[PO No.],AR_725[[#This Row],[tsmc PO '#]],BB___HK___AMHS__Others[Status],"&lt;&gt;Rejected",BB___HK___AMHS__Others[YearMonth],"2024-08")</f>
        <v>0</v>
      </c>
      <c r="CS131" s="62">
        <f>SUMIFS(BB___HK___AMHS__Others[AR Amount],BB___HK___AMHS__Others[PO No.],AR_725[[#This Row],[tsmc PO '#]],BB___HK___AMHS__Others[Status],"&lt;&gt;Rejected",BB___HK___AMHS__Others[YearMonth],"2024-09")</f>
        <v>0</v>
      </c>
      <c r="CT131" s="601">
        <f>SUMIFS(BB___HK___AMHS__Others[Tax],BB___HK___AMHS__Others[PO No.],AR_725[[#This Row],[tsmc PO '#]],BB___HK___AMHS__Others[Status],"&lt;&gt;Rejected",BB___HK___AMHS__Others[YearMonth],"2024-09")</f>
        <v>0</v>
      </c>
    </row>
    <row r="132" spans="1:98" ht="14.1" hidden="1">
      <c r="A132" s="30" t="s">
        <v>13</v>
      </c>
      <c r="B132" s="30" t="s">
        <v>2113</v>
      </c>
      <c r="D132" s="50"/>
      <c r="E132" s="603" t="s">
        <v>2126</v>
      </c>
      <c r="F132" s="57" t="s">
        <v>2126</v>
      </c>
      <c r="G132" s="48" t="s">
        <v>2143</v>
      </c>
      <c r="H132" s="50">
        <v>4590012221</v>
      </c>
      <c r="J132" s="106" t="s">
        <v>2172</v>
      </c>
      <c r="K132" s="62">
        <v>72698.399999999994</v>
      </c>
      <c r="L132" s="30"/>
      <c r="M132" s="86">
        <v>45105</v>
      </c>
      <c r="N132" s="87"/>
      <c r="O132" s="88" t="s">
        <v>2156</v>
      </c>
      <c r="P13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13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13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132" s="72">
        <f>IF(AR_725[[#This Row],[PO Amount]]=0,1,AR_725[[#This Row],[Total AR (Sent)]]/AR_725[[#This Row],[PO Amount]])</f>
        <v>0</v>
      </c>
      <c r="T132" s="75">
        <f>AR_725[[#This Row],[PO Amount]]-AR_725[[#This Row],[Total AR (Sent)]]</f>
        <v>72698.399999999994</v>
      </c>
      <c r="U132" s="40"/>
      <c r="V132" s="40"/>
      <c r="W132" s="46"/>
      <c r="X132" s="46"/>
      <c r="Y132" s="46"/>
      <c r="Z132" s="46"/>
      <c r="AA132" s="46"/>
      <c r="AB132" s="40"/>
      <c r="AC132" s="40"/>
      <c r="AD132" s="40"/>
      <c r="AE132" s="46"/>
      <c r="AF132" s="46"/>
      <c r="AG132" s="46"/>
      <c r="AH132" s="46"/>
      <c r="AI132" s="40"/>
      <c r="AJ132" s="46"/>
      <c r="AK132" s="40"/>
      <c r="AL132" s="46"/>
      <c r="AM132" s="40"/>
      <c r="AN132" s="46"/>
      <c r="AO132" s="40"/>
      <c r="AP132" s="46"/>
      <c r="AQ132" s="40"/>
      <c r="AR132" s="41"/>
      <c r="AS132" s="34"/>
      <c r="AT132" s="41"/>
      <c r="AU132" s="34"/>
      <c r="AV132" s="41"/>
      <c r="AW132" s="34"/>
      <c r="AX132" s="41"/>
      <c r="AY132" s="34"/>
      <c r="AZ132" s="41"/>
      <c r="BA132" s="41"/>
      <c r="BB132" s="41"/>
      <c r="BC132" s="34"/>
      <c r="BD132" s="41"/>
      <c r="BE132" s="46"/>
      <c r="BF132" s="41"/>
      <c r="BG132" s="41"/>
      <c r="BH132" s="41"/>
      <c r="BI132" s="41"/>
      <c r="BJ132" s="41"/>
      <c r="BK132" s="40"/>
      <c r="BL132" s="41"/>
      <c r="BM132" s="41"/>
      <c r="BN132" s="41"/>
      <c r="BO132" s="46"/>
      <c r="BP132" s="41"/>
      <c r="BQ132" s="46"/>
      <c r="BR132" s="40"/>
      <c r="BS132" s="40"/>
      <c r="BT132" s="40"/>
      <c r="BU132" s="40"/>
      <c r="BV132" s="40"/>
      <c r="BW132" s="40"/>
      <c r="BX132" s="34"/>
      <c r="BZ132" s="40"/>
      <c r="CA132" s="40"/>
      <c r="CB132" s="34"/>
      <c r="CC132" s="34"/>
      <c r="CD132" s="34"/>
      <c r="CE132" s="34"/>
      <c r="CF132" s="34"/>
      <c r="CG132" s="122"/>
      <c r="CI132" s="122"/>
      <c r="CJ132" s="30"/>
      <c r="CK132" s="122">
        <v>0</v>
      </c>
      <c r="CL132" s="122">
        <v>0</v>
      </c>
      <c r="CM132" s="122">
        <v>0</v>
      </c>
      <c r="CN132" s="122">
        <v>0</v>
      </c>
      <c r="CO132" s="122">
        <f>SUMIFS(BB___HK___AMHS__Others[AR Amount],BB___HK___AMHS__Others[PO No.],AR_725[[#This Row],[tsmc PO '#]],BB___HK___AMHS__Others[Status],"&lt;&gt;Rejected",BB___HK___AMHS__Others[YearMonth],"2024-07")</f>
        <v>0</v>
      </c>
      <c r="CP132" s="122">
        <f>SUMIFS(BB___HK___AMHS__Others[Tax],BB___HK___AMHS__Others[PO No.],AR_725[[#This Row],[tsmc PO '#]],BB___HK___AMHS__Others[Status],"&lt;&gt;Rejected",BB___HK___AMHS__Others[YearMonth],"2024-07")</f>
        <v>0</v>
      </c>
      <c r="CQ132" s="34">
        <f>SUMIFS(BB___HK___AMHS__Others[AR Amount],BB___HK___AMHS__Others[PO No.],AR_725[[#This Row],[tsmc PO '#]],BB___HK___AMHS__Others[Status],"&lt;&gt;Rejected",BB___HK___AMHS__Others[YearMonth],"2024-08")</f>
        <v>0</v>
      </c>
      <c r="CR132" s="44">
        <f>SUMIFS(BB___HK___AMHS__Others[Tax],BB___HK___AMHS__Others[PO No.],AR_725[[#This Row],[tsmc PO '#]],BB___HK___AMHS__Others[Status],"&lt;&gt;Rejected",BB___HK___AMHS__Others[YearMonth],"2024-08")</f>
        <v>0</v>
      </c>
      <c r="CS132" s="62">
        <f>SUMIFS(BB___HK___AMHS__Others[AR Amount],BB___HK___AMHS__Others[PO No.],AR_725[[#This Row],[tsmc PO '#]],BB___HK___AMHS__Others[Status],"&lt;&gt;Rejected",BB___HK___AMHS__Others[YearMonth],"2024-09")</f>
        <v>0</v>
      </c>
      <c r="CT132" s="601">
        <f>SUMIFS(BB___HK___AMHS__Others[Tax],BB___HK___AMHS__Others[PO No.],AR_725[[#This Row],[tsmc PO '#]],BB___HK___AMHS__Others[Status],"&lt;&gt;Rejected",BB___HK___AMHS__Others[YearMonth],"2024-09")</f>
        <v>0</v>
      </c>
    </row>
    <row r="133" spans="1:98" ht="14.1" hidden="1">
      <c r="A133" s="30" t="s">
        <v>11</v>
      </c>
      <c r="B133" s="30" t="s">
        <v>2051</v>
      </c>
      <c r="C133" s="30" t="s">
        <v>2173</v>
      </c>
      <c r="D133" s="50"/>
      <c r="E133" s="57"/>
      <c r="F133" s="48" t="s">
        <v>2090</v>
      </c>
      <c r="G133" s="48" t="s">
        <v>54</v>
      </c>
      <c r="H133" s="50">
        <v>4590012251</v>
      </c>
      <c r="I133" s="30" t="s">
        <v>500</v>
      </c>
      <c r="J133" s="30" t="s">
        <v>499</v>
      </c>
      <c r="K133" s="62">
        <v>130000</v>
      </c>
      <c r="L133" s="30"/>
      <c r="M133" s="86">
        <v>45106</v>
      </c>
      <c r="N133" s="87"/>
      <c r="O133" s="88" t="s">
        <v>2156</v>
      </c>
      <c r="P13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130000</v>
      </c>
      <c r="Q13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130000</v>
      </c>
      <c r="R13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130000</v>
      </c>
      <c r="S133" s="72">
        <f>IF(AR_725[[#This Row],[PO Amount]]=0,1,AR_725[[#This Row],[Total AR (Sent)]]/AR_725[[#This Row],[PO Amount]])</f>
        <v>1</v>
      </c>
      <c r="T133" s="75">
        <f>AR_725[[#This Row],[PO Amount]]-AR_725[[#This Row],[Total AR (Sent)]]</f>
        <v>0</v>
      </c>
      <c r="U133" s="40"/>
      <c r="V133" s="40"/>
      <c r="W133" s="46"/>
      <c r="X133" s="46"/>
      <c r="Y133" s="46"/>
      <c r="Z133" s="46"/>
      <c r="AA133" s="46"/>
      <c r="AB133" s="40"/>
      <c r="AC133" s="40"/>
      <c r="AD133" s="40"/>
      <c r="AE133" s="46"/>
      <c r="AF133" s="46"/>
      <c r="AG133" s="46"/>
      <c r="AH133" s="46"/>
      <c r="AI133" s="40"/>
      <c r="AJ133" s="46"/>
      <c r="AK133" s="40"/>
      <c r="AL133" s="46"/>
      <c r="AM133" s="40"/>
      <c r="AN133" s="46"/>
      <c r="AO133" s="40"/>
      <c r="AP133" s="46"/>
      <c r="AQ133" s="40"/>
      <c r="AR133" s="41"/>
      <c r="AS133" s="34"/>
      <c r="AT133" s="41"/>
      <c r="AU133" s="34"/>
      <c r="AV133" s="41"/>
      <c r="AW133" s="34"/>
      <c r="AX133" s="41"/>
      <c r="AY133" s="40"/>
      <c r="AZ133" s="41"/>
      <c r="BA133" s="41"/>
      <c r="BB133" s="41"/>
      <c r="BC133" s="40"/>
      <c r="BD133" s="41"/>
      <c r="BE133" s="46"/>
      <c r="BF133" s="41"/>
      <c r="BG133" s="41"/>
      <c r="BH133" s="41"/>
      <c r="BI133" s="41"/>
      <c r="BJ133" s="41"/>
      <c r="BK133" s="40"/>
      <c r="BL133" s="41"/>
      <c r="BM133" s="41"/>
      <c r="BN133" s="41"/>
      <c r="BO133" s="47">
        <v>121712.5</v>
      </c>
      <c r="BP133" s="42">
        <v>10467.280000000001</v>
      </c>
      <c r="BQ133" s="47">
        <v>8287.5</v>
      </c>
      <c r="BR133" s="81">
        <v>712.72</v>
      </c>
      <c r="BS133" s="40"/>
      <c r="BT133" s="40"/>
      <c r="BU133" s="40"/>
      <c r="BV133" s="40"/>
      <c r="BW133" s="40"/>
      <c r="BX133" s="34"/>
      <c r="BZ133" s="40"/>
      <c r="CA133" s="40"/>
      <c r="CB133" s="34"/>
      <c r="CC133" s="34"/>
      <c r="CD133" s="34"/>
      <c r="CE133" s="34"/>
      <c r="CF133" s="34"/>
      <c r="CG133" s="122"/>
      <c r="CI133" s="122"/>
      <c r="CJ133" s="30"/>
      <c r="CK133" s="122">
        <v>0</v>
      </c>
      <c r="CL133" s="122">
        <v>0</v>
      </c>
      <c r="CM133" s="122">
        <v>0</v>
      </c>
      <c r="CN133" s="122">
        <v>0</v>
      </c>
      <c r="CO133" s="122">
        <f>SUMIFS(BB___HK___AMHS__Others[AR Amount],BB___HK___AMHS__Others[PO No.],AR_725[[#This Row],[tsmc PO '#]],BB___HK___AMHS__Others[Status],"&lt;&gt;Rejected",BB___HK___AMHS__Others[YearMonth],"2024-07")</f>
        <v>0</v>
      </c>
      <c r="CP133" s="122">
        <f>SUMIFS(BB___HK___AMHS__Others[Tax],BB___HK___AMHS__Others[PO No.],AR_725[[#This Row],[tsmc PO '#]],BB___HK___AMHS__Others[Status],"&lt;&gt;Rejected",BB___HK___AMHS__Others[YearMonth],"2024-07")</f>
        <v>0</v>
      </c>
      <c r="CQ133" s="34">
        <f>SUMIFS(BB___HK___AMHS__Others[AR Amount],BB___HK___AMHS__Others[PO No.],AR_725[[#This Row],[tsmc PO '#]],BB___HK___AMHS__Others[Status],"&lt;&gt;Rejected",BB___HK___AMHS__Others[YearMonth],"2024-08")</f>
        <v>0</v>
      </c>
      <c r="CR133" s="44">
        <f>SUMIFS(BB___HK___AMHS__Others[Tax],BB___HK___AMHS__Others[PO No.],AR_725[[#This Row],[tsmc PO '#]],BB___HK___AMHS__Others[Status],"&lt;&gt;Rejected",BB___HK___AMHS__Others[YearMonth],"2024-08")</f>
        <v>0</v>
      </c>
      <c r="CS133" s="62">
        <f>SUMIFS(BB___HK___AMHS__Others[AR Amount],BB___HK___AMHS__Others[PO No.],AR_725[[#This Row],[tsmc PO '#]],BB___HK___AMHS__Others[Status],"&lt;&gt;Rejected",BB___HK___AMHS__Others[YearMonth],"2024-09")</f>
        <v>0</v>
      </c>
      <c r="CT133" s="601">
        <f>SUMIFS(BB___HK___AMHS__Others[Tax],BB___HK___AMHS__Others[PO No.],AR_725[[#This Row],[tsmc PO '#]],BB___HK___AMHS__Others[Status],"&lt;&gt;Rejected",BB___HK___AMHS__Others[YearMonth],"2024-09")</f>
        <v>0</v>
      </c>
    </row>
    <row r="134" spans="1:98" ht="14.1" hidden="1">
      <c r="A134" s="30" t="s">
        <v>13</v>
      </c>
      <c r="B134" s="30" t="s">
        <v>13</v>
      </c>
      <c r="D134" s="50"/>
      <c r="E134" s="603" t="s">
        <v>2126</v>
      </c>
      <c r="F134" s="57" t="s">
        <v>2126</v>
      </c>
      <c r="G134" s="48" t="s">
        <v>2174</v>
      </c>
      <c r="H134" s="50">
        <v>4590012280</v>
      </c>
      <c r="I134" s="30" t="s">
        <v>361</v>
      </c>
      <c r="J134" s="30" t="s">
        <v>2175</v>
      </c>
      <c r="K134" s="62">
        <v>4899</v>
      </c>
      <c r="L134" s="30"/>
      <c r="M134" s="86">
        <v>45111</v>
      </c>
      <c r="N134" s="87"/>
      <c r="O134" s="88" t="s">
        <v>2156</v>
      </c>
      <c r="P13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13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13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134" s="72">
        <f>IF(AR_725[[#This Row],[PO Amount]]=0,1,AR_725[[#This Row],[Total AR (Sent)]]/AR_725[[#This Row],[PO Amount]])</f>
        <v>0</v>
      </c>
      <c r="T134" s="75">
        <f>AR_725[[#This Row],[PO Amount]]-AR_725[[#This Row],[Total AR (Sent)]]</f>
        <v>4899</v>
      </c>
      <c r="U134" s="40"/>
      <c r="V134" s="40"/>
      <c r="W134" s="46"/>
      <c r="X134" s="46"/>
      <c r="Y134" s="46"/>
      <c r="Z134" s="46"/>
      <c r="AA134" s="46"/>
      <c r="AB134" s="40"/>
      <c r="AC134" s="40"/>
      <c r="AD134" s="40"/>
      <c r="AE134" s="46"/>
      <c r="AF134" s="46"/>
      <c r="AG134" s="46"/>
      <c r="AH134" s="46"/>
      <c r="AI134" s="40"/>
      <c r="AJ134" s="46"/>
      <c r="AK134" s="40"/>
      <c r="AL134" s="46"/>
      <c r="AM134" s="40"/>
      <c r="AN134" s="46"/>
      <c r="AO134" s="40"/>
      <c r="AP134" s="46"/>
      <c r="AQ134" s="40"/>
      <c r="AR134" s="41"/>
      <c r="AS134" s="34"/>
      <c r="AT134" s="41"/>
      <c r="AU134" s="34"/>
      <c r="AV134" s="41"/>
      <c r="AW134" s="34"/>
      <c r="AX134" s="41"/>
      <c r="AY134" s="34"/>
      <c r="AZ134" s="41"/>
      <c r="BA134" s="41"/>
      <c r="BB134" s="41"/>
      <c r="BC134" s="34"/>
      <c r="BD134" s="41"/>
      <c r="BE134" s="46"/>
      <c r="BF134" s="41"/>
      <c r="BG134" s="41"/>
      <c r="BH134" s="41"/>
      <c r="BI134" s="41"/>
      <c r="BJ134" s="41"/>
      <c r="BK134" s="40"/>
      <c r="BL134" s="41"/>
      <c r="BM134" s="41"/>
      <c r="BN134" s="41"/>
      <c r="BO134" s="46"/>
      <c r="BP134" s="41"/>
      <c r="BQ134" s="46"/>
      <c r="BR134" s="40"/>
      <c r="BS134" s="40"/>
      <c r="BT134" s="40"/>
      <c r="BU134" s="40"/>
      <c r="BV134" s="40"/>
      <c r="BW134" s="40"/>
      <c r="BX134" s="34"/>
      <c r="BZ134" s="40"/>
      <c r="CA134" s="40"/>
      <c r="CB134" s="34"/>
      <c r="CC134" s="34"/>
      <c r="CD134" s="34"/>
      <c r="CE134" s="34"/>
      <c r="CF134" s="34"/>
      <c r="CG134" s="122"/>
      <c r="CI134" s="122"/>
      <c r="CJ134" s="30"/>
      <c r="CK134" s="122">
        <v>0</v>
      </c>
      <c r="CL134" s="122">
        <v>0</v>
      </c>
      <c r="CM134" s="122">
        <v>0</v>
      </c>
      <c r="CN134" s="122">
        <v>0</v>
      </c>
      <c r="CO134" s="122">
        <f>SUMIFS(BB___HK___AMHS__Others[AR Amount],BB___HK___AMHS__Others[PO No.],AR_725[[#This Row],[tsmc PO '#]],BB___HK___AMHS__Others[Status],"&lt;&gt;Rejected",BB___HK___AMHS__Others[YearMonth],"2024-07")</f>
        <v>0</v>
      </c>
      <c r="CP134" s="122">
        <f>SUMIFS(BB___HK___AMHS__Others[Tax],BB___HK___AMHS__Others[PO No.],AR_725[[#This Row],[tsmc PO '#]],BB___HK___AMHS__Others[Status],"&lt;&gt;Rejected",BB___HK___AMHS__Others[YearMonth],"2024-07")</f>
        <v>0</v>
      </c>
      <c r="CQ134" s="34">
        <f>SUMIFS(BB___HK___AMHS__Others[AR Amount],BB___HK___AMHS__Others[PO No.],AR_725[[#This Row],[tsmc PO '#]],BB___HK___AMHS__Others[Status],"&lt;&gt;Rejected",BB___HK___AMHS__Others[YearMonth],"2024-08")</f>
        <v>0</v>
      </c>
      <c r="CR134" s="44">
        <f>SUMIFS(BB___HK___AMHS__Others[Tax],BB___HK___AMHS__Others[PO No.],AR_725[[#This Row],[tsmc PO '#]],BB___HK___AMHS__Others[Status],"&lt;&gt;Rejected",BB___HK___AMHS__Others[YearMonth],"2024-08")</f>
        <v>0</v>
      </c>
      <c r="CS134" s="62">
        <f>SUMIFS(BB___HK___AMHS__Others[AR Amount],BB___HK___AMHS__Others[PO No.],AR_725[[#This Row],[tsmc PO '#]],BB___HK___AMHS__Others[Status],"&lt;&gt;Rejected",BB___HK___AMHS__Others[YearMonth],"2024-09")</f>
        <v>0</v>
      </c>
      <c r="CT134" s="601">
        <f>SUMIFS(BB___HK___AMHS__Others[Tax],BB___HK___AMHS__Others[PO No.],AR_725[[#This Row],[tsmc PO '#]],BB___HK___AMHS__Others[Status],"&lt;&gt;Rejected",BB___HK___AMHS__Others[YearMonth],"2024-09")</f>
        <v>0</v>
      </c>
    </row>
    <row r="135" spans="1:98" ht="14.1" hidden="1">
      <c r="A135" s="30" t="s">
        <v>9</v>
      </c>
      <c r="B135" s="30" t="s">
        <v>2051</v>
      </c>
      <c r="C135" s="30" t="s">
        <v>2159</v>
      </c>
      <c r="D135" s="50"/>
      <c r="E135" s="57"/>
      <c r="F135" s="48" t="s">
        <v>2090</v>
      </c>
      <c r="G135" s="48" t="s">
        <v>54</v>
      </c>
      <c r="H135" s="50">
        <v>4590012300</v>
      </c>
      <c r="I135" s="30" t="s">
        <v>534</v>
      </c>
      <c r="J135" s="30" t="s">
        <v>532</v>
      </c>
      <c r="K135" s="62">
        <v>425398.67</v>
      </c>
      <c r="L135" s="30"/>
      <c r="M135" s="86">
        <v>45113</v>
      </c>
      <c r="N135" s="87"/>
      <c r="O135" s="88" t="s">
        <v>2160</v>
      </c>
      <c r="P13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425398.67</v>
      </c>
      <c r="Q13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425398.67</v>
      </c>
      <c r="R13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425398.67</v>
      </c>
      <c r="S135" s="72">
        <f>IF(AR_725[[#This Row],[PO Amount]]=0,1,AR_725[[#This Row],[Total AR (Sent)]]/AR_725[[#This Row],[PO Amount]])</f>
        <v>1</v>
      </c>
      <c r="T135" s="75">
        <f>AR_725[[#This Row],[PO Amount]]-AR_725[[#This Row],[Total AR (Sent)]]</f>
        <v>0</v>
      </c>
      <c r="U135" s="40"/>
      <c r="V135" s="40"/>
      <c r="W135" s="46"/>
      <c r="X135" s="46"/>
      <c r="Y135" s="46"/>
      <c r="Z135" s="46"/>
      <c r="AA135" s="46"/>
      <c r="AB135" s="40"/>
      <c r="AC135" s="40"/>
      <c r="AD135" s="40"/>
      <c r="AE135" s="46"/>
      <c r="AF135" s="46"/>
      <c r="AG135" s="46"/>
      <c r="AH135" s="46"/>
      <c r="AI135" s="40"/>
      <c r="AJ135" s="46"/>
      <c r="AK135" s="40"/>
      <c r="AL135" s="46"/>
      <c r="AM135" s="40"/>
      <c r="AN135" s="46"/>
      <c r="AO135" s="40"/>
      <c r="AP135" s="46"/>
      <c r="AQ135" s="40"/>
      <c r="AR135" s="41"/>
      <c r="AS135" s="34"/>
      <c r="AT135" s="41"/>
      <c r="AU135" s="34"/>
      <c r="AV135" s="41"/>
      <c r="AW135" s="34"/>
      <c r="AX135" s="41"/>
      <c r="AY135" s="40"/>
      <c r="AZ135" s="41"/>
      <c r="BA135" s="41"/>
      <c r="BB135" s="41"/>
      <c r="BC135" s="40"/>
      <c r="BD135" s="41"/>
      <c r="BE135" s="46"/>
      <c r="BF135" s="41"/>
      <c r="BG135" s="41"/>
      <c r="BH135" s="41"/>
      <c r="BI135" s="41"/>
      <c r="BJ135" s="41"/>
      <c r="BK135" s="40"/>
      <c r="BL135" s="41"/>
      <c r="BM135" s="41"/>
      <c r="BN135" s="41"/>
      <c r="BO135" s="46"/>
      <c r="BP135" s="41"/>
      <c r="BQ135" s="81">
        <v>425398.67</v>
      </c>
      <c r="BR135" s="81">
        <v>23779.79</v>
      </c>
      <c r="BS135" s="40"/>
      <c r="BT135" s="40"/>
      <c r="BU135" s="40"/>
      <c r="BV135" s="40"/>
      <c r="BW135" s="40"/>
      <c r="BX135" s="34"/>
      <c r="BZ135" s="40"/>
      <c r="CA135" s="40"/>
      <c r="CB135" s="34"/>
      <c r="CC135" s="34"/>
      <c r="CD135" s="34"/>
      <c r="CE135" s="34"/>
      <c r="CF135" s="34"/>
      <c r="CG135" s="122"/>
      <c r="CI135" s="122"/>
      <c r="CJ135" s="30"/>
      <c r="CK135" s="122">
        <v>0</v>
      </c>
      <c r="CL135" s="122">
        <v>0</v>
      </c>
      <c r="CM135" s="122">
        <v>0</v>
      </c>
      <c r="CN135" s="122">
        <v>0</v>
      </c>
      <c r="CO135" s="122">
        <f>SUMIFS(BB___HK___AMHS__Others[AR Amount],BB___HK___AMHS__Others[PO No.],AR_725[[#This Row],[tsmc PO '#]],BB___HK___AMHS__Others[Status],"&lt;&gt;Rejected",BB___HK___AMHS__Others[YearMonth],"2024-07")</f>
        <v>0</v>
      </c>
      <c r="CP135" s="122">
        <f>SUMIFS(BB___HK___AMHS__Others[Tax],BB___HK___AMHS__Others[PO No.],AR_725[[#This Row],[tsmc PO '#]],BB___HK___AMHS__Others[Status],"&lt;&gt;Rejected",BB___HK___AMHS__Others[YearMonth],"2024-07")</f>
        <v>0</v>
      </c>
      <c r="CQ135" s="34">
        <f>SUMIFS(BB___HK___AMHS__Others[AR Amount],BB___HK___AMHS__Others[PO No.],AR_725[[#This Row],[tsmc PO '#]],BB___HK___AMHS__Others[Status],"&lt;&gt;Rejected",BB___HK___AMHS__Others[YearMonth],"2024-08")</f>
        <v>0</v>
      </c>
      <c r="CR135" s="44">
        <f>SUMIFS(BB___HK___AMHS__Others[Tax],BB___HK___AMHS__Others[PO No.],AR_725[[#This Row],[tsmc PO '#]],BB___HK___AMHS__Others[Status],"&lt;&gt;Rejected",BB___HK___AMHS__Others[YearMonth],"2024-08")</f>
        <v>0</v>
      </c>
      <c r="CS135" s="62">
        <f>SUMIFS(BB___HK___AMHS__Others[AR Amount],BB___HK___AMHS__Others[PO No.],AR_725[[#This Row],[tsmc PO '#]],BB___HK___AMHS__Others[Status],"&lt;&gt;Rejected",BB___HK___AMHS__Others[YearMonth],"2024-09")</f>
        <v>0</v>
      </c>
      <c r="CT135" s="601">
        <f>SUMIFS(BB___HK___AMHS__Others[Tax],BB___HK___AMHS__Others[PO No.],AR_725[[#This Row],[tsmc PO '#]],BB___HK___AMHS__Others[Status],"&lt;&gt;Rejected",BB___HK___AMHS__Others[YearMonth],"2024-09")</f>
        <v>0</v>
      </c>
    </row>
    <row r="136" spans="1:98" ht="14.1" hidden="1">
      <c r="A136" s="30" t="s">
        <v>9</v>
      </c>
      <c r="B136" s="30" t="s">
        <v>2051</v>
      </c>
      <c r="C136" s="30" t="s">
        <v>2159</v>
      </c>
      <c r="D136" s="50"/>
      <c r="E136" s="57"/>
      <c r="F136" s="48" t="s">
        <v>2090</v>
      </c>
      <c r="G136" s="63" t="s">
        <v>2176</v>
      </c>
      <c r="H136" s="50">
        <v>4590012310</v>
      </c>
      <c r="I136" s="30" t="s">
        <v>592</v>
      </c>
      <c r="J136" s="30" t="s">
        <v>590</v>
      </c>
      <c r="K136" s="62">
        <v>135355</v>
      </c>
      <c r="L136" s="30"/>
      <c r="M136" s="86">
        <v>45113</v>
      </c>
      <c r="N136" s="87"/>
      <c r="O136" s="88" t="s">
        <v>2160</v>
      </c>
      <c r="P13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135355</v>
      </c>
      <c r="Q13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135355</v>
      </c>
      <c r="R13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135355</v>
      </c>
      <c r="S136" s="72">
        <f>IF(AR_725[[#This Row],[PO Amount]]=0,1,AR_725[[#This Row],[Total AR (Sent)]]/AR_725[[#This Row],[PO Amount]])</f>
        <v>1</v>
      </c>
      <c r="T136" s="75">
        <f>AR_725[[#This Row],[PO Amount]]-AR_725[[#This Row],[Total AR (Sent)]]</f>
        <v>0</v>
      </c>
      <c r="U136" s="40"/>
      <c r="V136" s="40"/>
      <c r="W136" s="46"/>
      <c r="X136" s="46"/>
      <c r="Y136" s="46"/>
      <c r="Z136" s="46"/>
      <c r="AA136" s="46"/>
      <c r="AB136" s="40"/>
      <c r="AC136" s="40"/>
      <c r="AD136" s="40"/>
      <c r="AE136" s="46"/>
      <c r="AF136" s="46"/>
      <c r="AG136" s="46"/>
      <c r="AH136" s="46"/>
      <c r="AI136" s="40"/>
      <c r="AJ136" s="41"/>
      <c r="AK136" s="40"/>
      <c r="AL136" s="46"/>
      <c r="AM136" s="40"/>
      <c r="AN136" s="46"/>
      <c r="AO136" s="40"/>
      <c r="AP136" s="46"/>
      <c r="AQ136" s="40"/>
      <c r="AR136" s="41"/>
      <c r="AS136" s="34"/>
      <c r="AT136" s="41"/>
      <c r="AU136" s="34"/>
      <c r="AV136" s="41"/>
      <c r="AW136" s="34"/>
      <c r="AX136" s="41"/>
      <c r="AY136" s="40"/>
      <c r="AZ136" s="41"/>
      <c r="BA136" s="41"/>
      <c r="BB136" s="41"/>
      <c r="BC136" s="40"/>
      <c r="BD136" s="41"/>
      <c r="BE136" s="46"/>
      <c r="BF136" s="41"/>
      <c r="BG136" s="41"/>
      <c r="BH136" s="41"/>
      <c r="BI136" s="41"/>
      <c r="BJ136" s="41"/>
      <c r="BK136" s="40"/>
      <c r="BL136" s="41"/>
      <c r="BM136" s="41"/>
      <c r="BN136" s="41"/>
      <c r="BO136" s="46"/>
      <c r="BP136" s="41"/>
      <c r="BQ136" s="70">
        <f>135355-135355</f>
        <v>0</v>
      </c>
      <c r="BR136" s="40"/>
      <c r="BS136" s="77">
        <f>135355-135355</f>
        <v>0</v>
      </c>
      <c r="BT136" s="40"/>
      <c r="BU136" s="47">
        <v>135355</v>
      </c>
      <c r="BV136" s="40"/>
      <c r="BW136" s="40"/>
      <c r="BX136" s="34"/>
      <c r="BZ136" s="40"/>
      <c r="CA136" s="40"/>
      <c r="CB136" s="34"/>
      <c r="CC136" s="34"/>
      <c r="CD136" s="34"/>
      <c r="CE136" s="34"/>
      <c r="CF136" s="34"/>
      <c r="CG136" s="122"/>
      <c r="CI136" s="122"/>
      <c r="CJ136" s="30"/>
      <c r="CK136" s="122">
        <v>0</v>
      </c>
      <c r="CL136" s="122">
        <v>0</v>
      </c>
      <c r="CM136" s="122">
        <v>0</v>
      </c>
      <c r="CN136" s="122">
        <v>0</v>
      </c>
      <c r="CO136" s="122">
        <f>SUMIFS(BB___HK___AMHS__Others[AR Amount],BB___HK___AMHS__Others[PO No.],AR_725[[#This Row],[tsmc PO '#]],BB___HK___AMHS__Others[Status],"&lt;&gt;Rejected",BB___HK___AMHS__Others[YearMonth],"2024-07")</f>
        <v>0</v>
      </c>
      <c r="CP136" s="122">
        <f>SUMIFS(BB___HK___AMHS__Others[Tax],BB___HK___AMHS__Others[PO No.],AR_725[[#This Row],[tsmc PO '#]],BB___HK___AMHS__Others[Status],"&lt;&gt;Rejected",BB___HK___AMHS__Others[YearMonth],"2024-07")</f>
        <v>0</v>
      </c>
      <c r="CQ136" s="34">
        <f>SUMIFS(BB___HK___AMHS__Others[AR Amount],BB___HK___AMHS__Others[PO No.],AR_725[[#This Row],[tsmc PO '#]],BB___HK___AMHS__Others[Status],"&lt;&gt;Rejected",BB___HK___AMHS__Others[YearMonth],"2024-08")</f>
        <v>0</v>
      </c>
      <c r="CR136" s="44">
        <f>SUMIFS(BB___HK___AMHS__Others[Tax],BB___HK___AMHS__Others[PO No.],AR_725[[#This Row],[tsmc PO '#]],BB___HK___AMHS__Others[Status],"&lt;&gt;Rejected",BB___HK___AMHS__Others[YearMonth],"2024-08")</f>
        <v>0</v>
      </c>
      <c r="CS136" s="62">
        <f>SUMIFS(BB___HK___AMHS__Others[AR Amount],BB___HK___AMHS__Others[PO No.],AR_725[[#This Row],[tsmc PO '#]],BB___HK___AMHS__Others[Status],"&lt;&gt;Rejected",BB___HK___AMHS__Others[YearMonth],"2024-09")</f>
        <v>0</v>
      </c>
      <c r="CT136" s="601">
        <f>SUMIFS(BB___HK___AMHS__Others[Tax],BB___HK___AMHS__Others[PO No.],AR_725[[#This Row],[tsmc PO '#]],BB___HK___AMHS__Others[Status],"&lt;&gt;Rejected",BB___HK___AMHS__Others[YearMonth],"2024-09")</f>
        <v>0</v>
      </c>
    </row>
    <row r="137" spans="1:98" ht="14.1" hidden="1">
      <c r="A137" s="30" t="s">
        <v>13</v>
      </c>
      <c r="B137" s="30" t="s">
        <v>13</v>
      </c>
      <c r="D137" s="50"/>
      <c r="E137" s="603" t="s">
        <v>2126</v>
      </c>
      <c r="F137" s="48"/>
      <c r="G137" s="63" t="s">
        <v>2177</v>
      </c>
      <c r="H137" s="50">
        <v>4590012460</v>
      </c>
      <c r="I137" s="30" t="s">
        <v>361</v>
      </c>
      <c r="J137" s="30" t="s">
        <v>2178</v>
      </c>
      <c r="K137" s="46">
        <v>1892.66</v>
      </c>
      <c r="L137" s="30"/>
      <c r="M137" s="86">
        <v>45121</v>
      </c>
      <c r="N137" s="87"/>
      <c r="O137" s="88" t="s">
        <v>2179</v>
      </c>
      <c r="P13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13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13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137" s="72">
        <f>IF(AR_725[[#This Row],[PO Amount]]=0,1,AR_725[[#This Row],[Total AR (Sent)]]/AR_725[[#This Row],[PO Amount]])</f>
        <v>0</v>
      </c>
      <c r="T137" s="75">
        <f>AR_725[[#This Row],[PO Amount]]-AR_725[[#This Row],[Total AR (Sent)]]</f>
        <v>1892.66</v>
      </c>
      <c r="U137" s="40"/>
      <c r="V137" s="40"/>
      <c r="W137" s="46"/>
      <c r="X137" s="46"/>
      <c r="Y137" s="46"/>
      <c r="Z137" s="46"/>
      <c r="AA137" s="46"/>
      <c r="AB137" s="40"/>
      <c r="AC137" s="40"/>
      <c r="AD137" s="40"/>
      <c r="AE137" s="46"/>
      <c r="AF137" s="46"/>
      <c r="AG137" s="40"/>
      <c r="AH137" s="46"/>
      <c r="AI137" s="40"/>
      <c r="AJ137" s="46"/>
      <c r="AK137" s="40"/>
      <c r="AL137" s="46"/>
      <c r="AM137" s="40"/>
      <c r="AN137" s="46"/>
      <c r="AO137" s="40"/>
      <c r="AP137" s="46"/>
      <c r="AQ137" s="40"/>
      <c r="AR137" s="41"/>
      <c r="AS137" s="40"/>
      <c r="AT137" s="41"/>
      <c r="AU137" s="40"/>
      <c r="AV137" s="41"/>
      <c r="AW137" s="40"/>
      <c r="AX137" s="41"/>
      <c r="AY137" s="40"/>
      <c r="AZ137" s="41"/>
      <c r="BA137" s="41"/>
      <c r="BB137" s="83"/>
      <c r="BC137" s="40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6"/>
      <c r="BP137" s="41"/>
      <c r="BQ137" s="46"/>
      <c r="BR137" s="40"/>
      <c r="BS137" s="40"/>
      <c r="BT137" s="40"/>
      <c r="BU137" s="40"/>
      <c r="BV137" s="40"/>
      <c r="BW137" s="40"/>
      <c r="BX137" s="34"/>
      <c r="BZ137" s="40"/>
      <c r="CA137" s="40"/>
      <c r="CB137" s="34"/>
      <c r="CC137" s="34"/>
      <c r="CD137" s="34"/>
      <c r="CE137" s="34"/>
      <c r="CF137" s="34"/>
      <c r="CG137" s="122"/>
      <c r="CI137" s="122"/>
      <c r="CJ137" s="30"/>
      <c r="CK137" s="122">
        <v>0</v>
      </c>
      <c r="CL137" s="122">
        <v>0</v>
      </c>
      <c r="CM137" s="122">
        <v>0</v>
      </c>
      <c r="CN137" s="122">
        <v>0</v>
      </c>
      <c r="CO137" s="122">
        <f>SUMIFS(BB___HK___AMHS__Others[AR Amount],BB___HK___AMHS__Others[PO No.],AR_725[[#This Row],[tsmc PO '#]],BB___HK___AMHS__Others[Status],"&lt;&gt;Rejected",BB___HK___AMHS__Others[YearMonth],"2024-07")</f>
        <v>0</v>
      </c>
      <c r="CP137" s="122">
        <f>SUMIFS(BB___HK___AMHS__Others[Tax],BB___HK___AMHS__Others[PO No.],AR_725[[#This Row],[tsmc PO '#]],BB___HK___AMHS__Others[Status],"&lt;&gt;Rejected",BB___HK___AMHS__Others[YearMonth],"2024-07")</f>
        <v>0</v>
      </c>
      <c r="CQ137" s="34">
        <f>SUMIFS(BB___HK___AMHS__Others[AR Amount],BB___HK___AMHS__Others[PO No.],AR_725[[#This Row],[tsmc PO '#]],BB___HK___AMHS__Others[Status],"&lt;&gt;Rejected",BB___HK___AMHS__Others[YearMonth],"2024-08")</f>
        <v>0</v>
      </c>
      <c r="CR137" s="44">
        <f>SUMIFS(BB___HK___AMHS__Others[Tax],BB___HK___AMHS__Others[PO No.],AR_725[[#This Row],[tsmc PO '#]],BB___HK___AMHS__Others[Status],"&lt;&gt;Rejected",BB___HK___AMHS__Others[YearMonth],"2024-08")</f>
        <v>0</v>
      </c>
      <c r="CS137" s="62">
        <f>SUMIFS(BB___HK___AMHS__Others[AR Amount],BB___HK___AMHS__Others[PO No.],AR_725[[#This Row],[tsmc PO '#]],BB___HK___AMHS__Others[Status],"&lt;&gt;Rejected",BB___HK___AMHS__Others[YearMonth],"2024-09")</f>
        <v>0</v>
      </c>
      <c r="CT137" s="601">
        <f>SUMIFS(BB___HK___AMHS__Others[Tax],BB___HK___AMHS__Others[PO No.],AR_725[[#This Row],[tsmc PO '#]],BB___HK___AMHS__Others[Status],"&lt;&gt;Rejected",BB___HK___AMHS__Others[YearMonth],"2024-09")</f>
        <v>0</v>
      </c>
    </row>
    <row r="138" spans="1:98" ht="14.1" hidden="1">
      <c r="A138" s="30" t="s">
        <v>8</v>
      </c>
      <c r="B138" s="30" t="s">
        <v>8</v>
      </c>
      <c r="D138" s="50" t="s">
        <v>8</v>
      </c>
      <c r="E138" s="48" t="s">
        <v>2109</v>
      </c>
      <c r="F138" s="48" t="s">
        <v>2110</v>
      </c>
      <c r="G138" s="64" t="s">
        <v>2180</v>
      </c>
      <c r="H138" s="50">
        <v>4590012467</v>
      </c>
      <c r="I138" s="30" t="s">
        <v>1292</v>
      </c>
      <c r="J138" s="30" t="s">
        <v>1291</v>
      </c>
      <c r="K138" s="46">
        <v>564725.9</v>
      </c>
      <c r="L138" s="30"/>
      <c r="M138" s="86">
        <v>45121</v>
      </c>
      <c r="N138" s="87"/>
      <c r="O138" s="88" t="s">
        <v>2160</v>
      </c>
      <c r="P13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564725.9</v>
      </c>
      <c r="Q13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564725.9</v>
      </c>
      <c r="R13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564725.9</v>
      </c>
      <c r="S138" s="72">
        <f>IF(AR_725[[#This Row],[PO Amount]]=0,1,AR_725[[#This Row],[Total AR (Sent)]]/AR_725[[#This Row],[PO Amount]])</f>
        <v>1</v>
      </c>
      <c r="T138" s="75">
        <f>AR_725[[#This Row],[PO Amount]]-AR_725[[#This Row],[Total AR (Sent)]]</f>
        <v>0</v>
      </c>
      <c r="U138" s="40"/>
      <c r="V138" s="40"/>
      <c r="W138" s="46"/>
      <c r="X138" s="46"/>
      <c r="Y138" s="46"/>
      <c r="Z138" s="46"/>
      <c r="AA138" s="46"/>
      <c r="AB138" s="40"/>
      <c r="AC138" s="40"/>
      <c r="AD138" s="40"/>
      <c r="AE138" s="46"/>
      <c r="AF138" s="46"/>
      <c r="AG138" s="40"/>
      <c r="AH138" s="46"/>
      <c r="AI138" s="34"/>
      <c r="AJ138" s="41"/>
      <c r="AK138" s="34"/>
      <c r="AL138" s="46"/>
      <c r="AM138" s="40"/>
      <c r="AN138" s="46"/>
      <c r="AO138" s="40"/>
      <c r="AP138" s="46"/>
      <c r="AQ138" s="40"/>
      <c r="AR138" s="41"/>
      <c r="AS138" s="40"/>
      <c r="AT138" s="41"/>
      <c r="AU138" s="40"/>
      <c r="AV138" s="41"/>
      <c r="AW138" s="40"/>
      <c r="AX138" s="41"/>
      <c r="AY138" s="40"/>
      <c r="AZ138" s="41"/>
      <c r="BA138" s="41"/>
      <c r="BB138" s="41"/>
      <c r="BC138" s="40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6"/>
      <c r="BP138" s="41"/>
      <c r="BQ138" s="46"/>
      <c r="BR138" s="40"/>
      <c r="BS138" s="40"/>
      <c r="BT138" s="40"/>
      <c r="BU138" s="40"/>
      <c r="BV138" s="40"/>
      <c r="BW138" s="40"/>
      <c r="BX138" s="34"/>
      <c r="BZ138" s="40"/>
      <c r="CA138" s="40"/>
      <c r="CB138" s="34"/>
      <c r="CC138" s="34"/>
      <c r="CD138" s="34"/>
      <c r="CE138" s="42">
        <v>564725.9</v>
      </c>
      <c r="CF138" s="34"/>
      <c r="CG138" s="122">
        <f>SUMIFS(BB___HK___AMHS__Others[AR Amount],BB___HK___AMHS__Others[PO No.],AR_725[[#This Row],[tsmc PO '#]],BB___HK___AMHS__Others[Status],"&lt;&gt;Rejected",BB___HK___AMHS__Others[YearMonth],"2024-03")</f>
        <v>0</v>
      </c>
      <c r="CI138" s="122">
        <f>SUMIFS(BB___HK___AMHS__Others[AR Amount],BB___HK___AMHS__Others[PO No.],AR_725[[#This Row],[tsmc PO '#]],BB___HK___AMHS__Others[Status],"&lt;&gt;Rejected",BB___HK___AMHS__Others[YearMonth],"2024-04")</f>
        <v>0</v>
      </c>
      <c r="CJ138" s="30"/>
      <c r="CK138" s="122">
        <v>0</v>
      </c>
      <c r="CL138" s="122">
        <v>0</v>
      </c>
      <c r="CM138" s="122">
        <v>0</v>
      </c>
      <c r="CN138" s="122">
        <v>0</v>
      </c>
      <c r="CO138" s="122">
        <f>SUMIFS(BB___HK___AMHS__Others[AR Amount],BB___HK___AMHS__Others[PO No.],AR_725[[#This Row],[tsmc PO '#]],BB___HK___AMHS__Others[Status],"&lt;&gt;Rejected",BB___HK___AMHS__Others[YearMonth],"2024-07")</f>
        <v>0</v>
      </c>
      <c r="CP138" s="122">
        <f>SUMIFS(BB___HK___AMHS__Others[Tax],BB___HK___AMHS__Others[PO No.],AR_725[[#This Row],[tsmc PO '#]],BB___HK___AMHS__Others[Status],"&lt;&gt;Rejected",BB___HK___AMHS__Others[YearMonth],"2024-07")</f>
        <v>0</v>
      </c>
      <c r="CQ138" s="34">
        <f>SUMIFS(BB___HK___AMHS__Others[AR Amount],BB___HK___AMHS__Others[PO No.],AR_725[[#This Row],[tsmc PO '#]],BB___HK___AMHS__Others[Status],"&lt;&gt;Rejected",BB___HK___AMHS__Others[YearMonth],"2024-08")</f>
        <v>0</v>
      </c>
      <c r="CR138" s="44">
        <f>SUMIFS(BB___HK___AMHS__Others[Tax],BB___HK___AMHS__Others[PO No.],AR_725[[#This Row],[tsmc PO '#]],BB___HK___AMHS__Others[Status],"&lt;&gt;Rejected",BB___HK___AMHS__Others[YearMonth],"2024-08")</f>
        <v>0</v>
      </c>
      <c r="CS138" s="62">
        <f>SUMIFS(BB___HK___AMHS__Others[AR Amount],BB___HK___AMHS__Others[PO No.],AR_725[[#This Row],[tsmc PO '#]],BB___HK___AMHS__Others[Status],"&lt;&gt;Rejected",BB___HK___AMHS__Others[YearMonth],"2024-09")</f>
        <v>0</v>
      </c>
      <c r="CT138" s="601">
        <f>SUMIFS(BB___HK___AMHS__Others[Tax],BB___HK___AMHS__Others[PO No.],AR_725[[#This Row],[tsmc PO '#]],BB___HK___AMHS__Others[Status],"&lt;&gt;Rejected",BB___HK___AMHS__Others[YearMonth],"2024-09")</f>
        <v>0</v>
      </c>
    </row>
    <row r="139" spans="1:98" ht="14.1" hidden="1">
      <c r="A139" s="30" t="s">
        <v>13</v>
      </c>
      <c r="B139" s="30" t="s">
        <v>13</v>
      </c>
      <c r="D139" s="50"/>
      <c r="E139" s="57"/>
      <c r="F139" s="57"/>
      <c r="G139" s="48" t="s">
        <v>54</v>
      </c>
      <c r="H139" s="50">
        <v>4590012674</v>
      </c>
      <c r="I139" s="30" t="s">
        <v>537</v>
      </c>
      <c r="J139" s="30" t="s">
        <v>535</v>
      </c>
      <c r="K139" s="62">
        <v>10313881</v>
      </c>
      <c r="L139" s="30"/>
      <c r="M139" s="86"/>
      <c r="N139" s="87"/>
      <c r="O139" s="88"/>
      <c r="P13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10313881</v>
      </c>
      <c r="Q13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10313881</v>
      </c>
      <c r="R13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10313881</v>
      </c>
      <c r="S139" s="72">
        <f>IF(AR_725[[#This Row],[PO Amount]]=0,1,AR_725[[#This Row],[Total AR (Sent)]]/AR_725[[#This Row],[PO Amount]])</f>
        <v>1</v>
      </c>
      <c r="T139" s="75">
        <f>AR_725[[#This Row],[PO Amount]]-AR_725[[#This Row],[Total AR (Sent)]]</f>
        <v>0</v>
      </c>
      <c r="U139" s="40"/>
      <c r="V139" s="40"/>
      <c r="W139" s="46"/>
      <c r="X139" s="46"/>
      <c r="Y139" s="46"/>
      <c r="Z139" s="46"/>
      <c r="AA139" s="46"/>
      <c r="AB139" s="40"/>
      <c r="AC139" s="40"/>
      <c r="AD139" s="40"/>
      <c r="AE139" s="46"/>
      <c r="AF139" s="46"/>
      <c r="AG139" s="46"/>
      <c r="AH139" s="46"/>
      <c r="AI139" s="40"/>
      <c r="AJ139" s="41"/>
      <c r="AK139" s="40"/>
      <c r="AL139" s="46"/>
      <c r="AM139" s="40"/>
      <c r="AN139" s="46"/>
      <c r="AO139" s="40"/>
      <c r="AP139" s="46"/>
      <c r="AQ139" s="40"/>
      <c r="AR139" s="41"/>
      <c r="AS139" s="34"/>
      <c r="AT139" s="41"/>
      <c r="AU139" s="34"/>
      <c r="AV139" s="41"/>
      <c r="AW139" s="34"/>
      <c r="AX139" s="41"/>
      <c r="AY139" s="40"/>
      <c r="AZ139" s="41"/>
      <c r="BA139" s="41"/>
      <c r="BB139" s="41"/>
      <c r="BC139" s="40"/>
      <c r="BD139" s="41"/>
      <c r="BE139" s="46"/>
      <c r="BF139" s="41"/>
      <c r="BG139" s="41"/>
      <c r="BH139" s="41"/>
      <c r="BI139" s="41"/>
      <c r="BJ139" s="41"/>
      <c r="BK139" s="41"/>
      <c r="BL139" s="41"/>
      <c r="BM139" s="41"/>
      <c r="BN139" s="41"/>
      <c r="BO139" s="46"/>
      <c r="BP139" s="41"/>
      <c r="BQ139" s="81">
        <v>6500000</v>
      </c>
      <c r="BR139" s="40"/>
      <c r="BS139" s="40"/>
      <c r="BT139" s="40"/>
      <c r="BU139" s="40"/>
      <c r="BV139" s="40"/>
      <c r="BW139" s="40"/>
      <c r="BX139" s="34"/>
      <c r="BZ139" s="40"/>
      <c r="CA139" s="40">
        <v>3813881</v>
      </c>
      <c r="CB139" s="34"/>
      <c r="CC139" s="34"/>
      <c r="CD139" s="34"/>
      <c r="CE139" s="34"/>
      <c r="CF139" s="34"/>
      <c r="CG139" s="122"/>
      <c r="CI139" s="122"/>
      <c r="CJ139" s="30"/>
      <c r="CK139" s="122">
        <v>0</v>
      </c>
      <c r="CL139" s="122">
        <v>0</v>
      </c>
      <c r="CM139" s="122">
        <v>0</v>
      </c>
      <c r="CN139" s="122">
        <v>0</v>
      </c>
      <c r="CO139" s="122">
        <f>SUMIFS(BB___HK___AMHS__Others[AR Amount],BB___HK___AMHS__Others[PO No.],AR_725[[#This Row],[tsmc PO '#]],BB___HK___AMHS__Others[Status],"&lt;&gt;Rejected",BB___HK___AMHS__Others[YearMonth],"2024-07")</f>
        <v>0</v>
      </c>
      <c r="CP139" s="122">
        <f>SUMIFS(BB___HK___AMHS__Others[Tax],BB___HK___AMHS__Others[PO No.],AR_725[[#This Row],[tsmc PO '#]],BB___HK___AMHS__Others[Status],"&lt;&gt;Rejected",BB___HK___AMHS__Others[YearMonth],"2024-07")</f>
        <v>0</v>
      </c>
      <c r="CQ139" s="34">
        <f>SUMIFS(BB___HK___AMHS__Others[AR Amount],BB___HK___AMHS__Others[PO No.],AR_725[[#This Row],[tsmc PO '#]],BB___HK___AMHS__Others[Status],"&lt;&gt;Rejected",BB___HK___AMHS__Others[YearMonth],"2024-08")</f>
        <v>0</v>
      </c>
      <c r="CR139" s="44">
        <f>SUMIFS(BB___HK___AMHS__Others[Tax],BB___HK___AMHS__Others[PO No.],AR_725[[#This Row],[tsmc PO '#]],BB___HK___AMHS__Others[Status],"&lt;&gt;Rejected",BB___HK___AMHS__Others[YearMonth],"2024-08")</f>
        <v>0</v>
      </c>
      <c r="CS139" s="62">
        <f>SUMIFS(BB___HK___AMHS__Others[AR Amount],BB___HK___AMHS__Others[PO No.],AR_725[[#This Row],[tsmc PO '#]],BB___HK___AMHS__Others[Status],"&lt;&gt;Rejected",BB___HK___AMHS__Others[YearMonth],"2024-09")</f>
        <v>0</v>
      </c>
      <c r="CT139" s="601">
        <f>SUMIFS(BB___HK___AMHS__Others[Tax],BB___HK___AMHS__Others[PO No.],AR_725[[#This Row],[tsmc PO '#]],BB___HK___AMHS__Others[Status],"&lt;&gt;Rejected",BB___HK___AMHS__Others[YearMonth],"2024-09")</f>
        <v>0</v>
      </c>
    </row>
    <row r="140" spans="1:98" ht="14.1" hidden="1">
      <c r="A140" s="30" t="s">
        <v>9</v>
      </c>
      <c r="B140" s="30" t="s">
        <v>2051</v>
      </c>
      <c r="C140" s="30" t="s">
        <v>2159</v>
      </c>
      <c r="D140" s="50" t="s">
        <v>1706</v>
      </c>
      <c r="E140" s="57"/>
      <c r="F140" s="48"/>
      <c r="G140" s="63" t="s">
        <v>2181</v>
      </c>
      <c r="H140" s="50">
        <v>4590012687</v>
      </c>
      <c r="I140" s="30" t="s">
        <v>129</v>
      </c>
      <c r="J140" s="30" t="s">
        <v>657</v>
      </c>
      <c r="K140" s="46">
        <v>84843.78</v>
      </c>
      <c r="L140" s="30"/>
      <c r="M140" s="86">
        <v>45132</v>
      </c>
      <c r="N140" s="87"/>
      <c r="O140" s="88" t="s">
        <v>2156</v>
      </c>
      <c r="P14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84843.78</v>
      </c>
      <c r="Q14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84843.78</v>
      </c>
      <c r="R14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84843.78</v>
      </c>
      <c r="S140" s="72">
        <f>IF(AR_725[[#This Row],[PO Amount]]=0,1,AR_725[[#This Row],[Total AR (Sent)]]/AR_725[[#This Row],[PO Amount]])</f>
        <v>1</v>
      </c>
      <c r="T140" s="75">
        <f>AR_725[[#This Row],[PO Amount]]-AR_725[[#This Row],[Total AR (Sent)]]</f>
        <v>0</v>
      </c>
      <c r="U140" s="40"/>
      <c r="V140" s="40"/>
      <c r="W140" s="46"/>
      <c r="X140" s="46"/>
      <c r="Y140" s="46"/>
      <c r="Z140" s="46"/>
      <c r="AA140" s="46"/>
      <c r="AB140" s="40"/>
      <c r="AC140" s="40"/>
      <c r="AD140" s="40"/>
      <c r="AE140" s="46"/>
      <c r="AF140" s="46"/>
      <c r="AG140" s="40"/>
      <c r="AH140" s="46"/>
      <c r="AI140" s="40"/>
      <c r="AJ140" s="46"/>
      <c r="AK140" s="40"/>
      <c r="AL140" s="46"/>
      <c r="AM140" s="40"/>
      <c r="AN140" s="46"/>
      <c r="AO140" s="40"/>
      <c r="AP140" s="46"/>
      <c r="AQ140" s="40"/>
      <c r="AR140" s="41"/>
      <c r="AS140" s="40"/>
      <c r="AT140" s="41"/>
      <c r="AU140" s="40"/>
      <c r="AV140" s="41"/>
      <c r="AW140" s="40"/>
      <c r="AX140" s="41"/>
      <c r="AY140" s="40"/>
      <c r="AZ140" s="41"/>
      <c r="BA140" s="41"/>
      <c r="BB140" s="41"/>
      <c r="BC140" s="40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6"/>
      <c r="BP140" s="41"/>
      <c r="BQ140" s="46"/>
      <c r="BR140" s="40"/>
      <c r="BS140" s="40"/>
      <c r="BT140" s="40"/>
      <c r="BU140" s="40"/>
      <c r="BV140" s="40"/>
      <c r="BW140" s="40"/>
      <c r="BX140" s="34"/>
      <c r="BY140" s="47">
        <v>84843.78</v>
      </c>
      <c r="BZ140" s="40"/>
      <c r="CA140" s="40"/>
      <c r="CB140" s="34"/>
      <c r="CC140" s="34"/>
      <c r="CD140" s="34"/>
      <c r="CE140" s="34"/>
      <c r="CF140" s="34"/>
      <c r="CG140" s="122"/>
      <c r="CI140" s="122"/>
      <c r="CJ140" s="30"/>
      <c r="CK140" s="122">
        <v>0</v>
      </c>
      <c r="CL140" s="122">
        <v>0</v>
      </c>
      <c r="CM140" s="122">
        <v>0</v>
      </c>
      <c r="CN140" s="122">
        <v>0</v>
      </c>
      <c r="CO140" s="122">
        <f>SUMIFS(BB___HK___AMHS__Others[AR Amount],BB___HK___AMHS__Others[PO No.],AR_725[[#This Row],[tsmc PO '#]],BB___HK___AMHS__Others[Status],"&lt;&gt;Rejected",BB___HK___AMHS__Others[YearMonth],"2024-07")</f>
        <v>0</v>
      </c>
      <c r="CP140" s="122">
        <f>SUMIFS(BB___HK___AMHS__Others[Tax],BB___HK___AMHS__Others[PO No.],AR_725[[#This Row],[tsmc PO '#]],BB___HK___AMHS__Others[Status],"&lt;&gt;Rejected",BB___HK___AMHS__Others[YearMonth],"2024-07")</f>
        <v>0</v>
      </c>
      <c r="CQ140" s="34">
        <f>SUMIFS(BB___HK___AMHS__Others[AR Amount],BB___HK___AMHS__Others[PO No.],AR_725[[#This Row],[tsmc PO '#]],BB___HK___AMHS__Others[Status],"&lt;&gt;Rejected",BB___HK___AMHS__Others[YearMonth],"2024-08")</f>
        <v>0</v>
      </c>
      <c r="CR140" s="44">
        <f>SUMIFS(BB___HK___AMHS__Others[Tax],BB___HK___AMHS__Others[PO No.],AR_725[[#This Row],[tsmc PO '#]],BB___HK___AMHS__Others[Status],"&lt;&gt;Rejected",BB___HK___AMHS__Others[YearMonth],"2024-08")</f>
        <v>0</v>
      </c>
      <c r="CS140" s="62">
        <f>SUMIFS(BB___HK___AMHS__Others[AR Amount],BB___HK___AMHS__Others[PO No.],AR_725[[#This Row],[tsmc PO '#]],BB___HK___AMHS__Others[Status],"&lt;&gt;Rejected",BB___HK___AMHS__Others[YearMonth],"2024-09")</f>
        <v>0</v>
      </c>
      <c r="CT140" s="601">
        <f>SUMIFS(BB___HK___AMHS__Others[Tax],BB___HK___AMHS__Others[PO No.],AR_725[[#This Row],[tsmc PO '#]],BB___HK___AMHS__Others[Status],"&lt;&gt;Rejected",BB___HK___AMHS__Others[YearMonth],"2024-09")</f>
        <v>0</v>
      </c>
    </row>
    <row r="141" spans="1:98" ht="14.1" hidden="1">
      <c r="A141" s="30" t="s">
        <v>13</v>
      </c>
      <c r="B141" s="30" t="s">
        <v>13</v>
      </c>
      <c r="D141" s="50"/>
      <c r="E141" s="57"/>
      <c r="F141" s="57"/>
      <c r="G141" s="63" t="s">
        <v>2182</v>
      </c>
      <c r="H141" s="50">
        <v>4590012793</v>
      </c>
      <c r="I141" s="30" t="s">
        <v>537</v>
      </c>
      <c r="J141" s="30" t="s">
        <v>539</v>
      </c>
      <c r="K141" s="46">
        <v>11000000</v>
      </c>
      <c r="L141" s="30"/>
      <c r="M141" s="86">
        <v>45140</v>
      </c>
      <c r="N141" s="87"/>
      <c r="O141" s="88" t="s">
        <v>2156</v>
      </c>
      <c r="P14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11000000</v>
      </c>
      <c r="Q14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11000000</v>
      </c>
      <c r="R14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11000000</v>
      </c>
      <c r="S141" s="72">
        <f>IF(AR_725[[#This Row],[PO Amount]]=0,1,AR_725[[#This Row],[Total AR (Sent)]]/AR_725[[#This Row],[PO Amount]])</f>
        <v>1</v>
      </c>
      <c r="T141" s="75">
        <f>AR_725[[#This Row],[PO Amount]]-AR_725[[#This Row],[Total AR (Sent)]]</f>
        <v>0</v>
      </c>
      <c r="U141" s="40"/>
      <c r="V141" s="40"/>
      <c r="W141" s="46"/>
      <c r="X141" s="46"/>
      <c r="Y141" s="46"/>
      <c r="Z141" s="46"/>
      <c r="AA141" s="46"/>
      <c r="AB141" s="40"/>
      <c r="AC141" s="40"/>
      <c r="AD141" s="40"/>
      <c r="AE141" s="46"/>
      <c r="AF141" s="46"/>
      <c r="AG141" s="40"/>
      <c r="AH141" s="46"/>
      <c r="AI141" s="40"/>
      <c r="AJ141" s="46"/>
      <c r="AK141" s="40"/>
      <c r="AL141" s="46"/>
      <c r="AM141" s="40"/>
      <c r="AN141" s="46"/>
      <c r="AO141" s="40"/>
      <c r="AP141" s="46"/>
      <c r="AQ141" s="40"/>
      <c r="AR141" s="41"/>
      <c r="AS141" s="40"/>
      <c r="AT141" s="41"/>
      <c r="AU141" s="40"/>
      <c r="AV141" s="41"/>
      <c r="AW141" s="40"/>
      <c r="AX141" s="41"/>
      <c r="AY141" s="40"/>
      <c r="AZ141" s="41"/>
      <c r="BA141" s="41"/>
      <c r="BB141" s="41"/>
      <c r="BC141" s="40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6"/>
      <c r="BP141" s="41"/>
      <c r="BQ141" s="81">
        <v>11000000</v>
      </c>
      <c r="BR141" s="40"/>
      <c r="BS141" s="40"/>
      <c r="BT141" s="40"/>
      <c r="BU141" s="40"/>
      <c r="BV141" s="40"/>
      <c r="BW141" s="40"/>
      <c r="BX141" s="34"/>
      <c r="BZ141" s="40"/>
      <c r="CA141" s="40"/>
      <c r="CB141" s="34"/>
      <c r="CC141" s="34"/>
      <c r="CD141" s="34"/>
      <c r="CE141" s="34"/>
      <c r="CF141" s="34"/>
      <c r="CG141" s="122"/>
      <c r="CI141" s="122"/>
      <c r="CJ141" s="30"/>
      <c r="CK141" s="122">
        <v>0</v>
      </c>
      <c r="CL141" s="122">
        <v>0</v>
      </c>
      <c r="CM141" s="122">
        <v>0</v>
      </c>
      <c r="CN141" s="122">
        <v>0</v>
      </c>
      <c r="CO141" s="122">
        <f>SUMIFS(BB___HK___AMHS__Others[AR Amount],BB___HK___AMHS__Others[PO No.],AR_725[[#This Row],[tsmc PO '#]],BB___HK___AMHS__Others[Status],"&lt;&gt;Rejected",BB___HK___AMHS__Others[YearMonth],"2024-07")</f>
        <v>0</v>
      </c>
      <c r="CP141" s="122">
        <f>SUMIFS(BB___HK___AMHS__Others[Tax],BB___HK___AMHS__Others[PO No.],AR_725[[#This Row],[tsmc PO '#]],BB___HK___AMHS__Others[Status],"&lt;&gt;Rejected",BB___HK___AMHS__Others[YearMonth],"2024-07")</f>
        <v>0</v>
      </c>
      <c r="CQ141" s="34">
        <f>SUMIFS(BB___HK___AMHS__Others[AR Amount],BB___HK___AMHS__Others[PO No.],AR_725[[#This Row],[tsmc PO '#]],BB___HK___AMHS__Others[Status],"&lt;&gt;Rejected",BB___HK___AMHS__Others[YearMonth],"2024-08")</f>
        <v>0</v>
      </c>
      <c r="CR141" s="44">
        <f>SUMIFS(BB___HK___AMHS__Others[Tax],BB___HK___AMHS__Others[PO No.],AR_725[[#This Row],[tsmc PO '#]],BB___HK___AMHS__Others[Status],"&lt;&gt;Rejected",BB___HK___AMHS__Others[YearMonth],"2024-08")</f>
        <v>0</v>
      </c>
      <c r="CS141" s="62">
        <f>SUMIFS(BB___HK___AMHS__Others[AR Amount],BB___HK___AMHS__Others[PO No.],AR_725[[#This Row],[tsmc PO '#]],BB___HK___AMHS__Others[Status],"&lt;&gt;Rejected",BB___HK___AMHS__Others[YearMonth],"2024-09")</f>
        <v>0</v>
      </c>
      <c r="CT141" s="601">
        <f>SUMIFS(BB___HK___AMHS__Others[Tax],BB___HK___AMHS__Others[PO No.],AR_725[[#This Row],[tsmc PO '#]],BB___HK___AMHS__Others[Status],"&lt;&gt;Rejected",BB___HK___AMHS__Others[YearMonth],"2024-09")</f>
        <v>0</v>
      </c>
    </row>
    <row r="142" spans="1:98" ht="14.1" hidden="1">
      <c r="A142" s="30" t="s">
        <v>8</v>
      </c>
      <c r="B142" s="30" t="s">
        <v>8</v>
      </c>
      <c r="D142" s="50" t="s">
        <v>8</v>
      </c>
      <c r="E142" s="48" t="s">
        <v>2109</v>
      </c>
      <c r="F142" s="57" t="s">
        <v>2110</v>
      </c>
      <c r="G142" s="63" t="s">
        <v>2183</v>
      </c>
      <c r="H142" s="50">
        <v>4590012802</v>
      </c>
      <c r="I142" s="30" t="s">
        <v>252</v>
      </c>
      <c r="J142" s="30" t="s">
        <v>418</v>
      </c>
      <c r="K142" s="46">
        <v>21199.81</v>
      </c>
      <c r="L142" s="30"/>
      <c r="M142" s="86">
        <v>45142</v>
      </c>
      <c r="N142" s="87"/>
      <c r="O142" s="88" t="s">
        <v>2148</v>
      </c>
      <c r="P14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21199.81</v>
      </c>
      <c r="Q14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21199.81</v>
      </c>
      <c r="R14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21199.81</v>
      </c>
      <c r="S142" s="72">
        <f>IF(AR_725[[#This Row],[PO Amount]]=0,1,AR_725[[#This Row],[Total AR (Sent)]]/AR_725[[#This Row],[PO Amount]])</f>
        <v>1</v>
      </c>
      <c r="T142" s="75">
        <f>AR_725[[#This Row],[PO Amount]]-AR_725[[#This Row],[Total AR (Sent)]]</f>
        <v>0</v>
      </c>
      <c r="U142" s="40"/>
      <c r="V142" s="40"/>
      <c r="W142" s="46"/>
      <c r="X142" s="46"/>
      <c r="Y142" s="46"/>
      <c r="Z142" s="46"/>
      <c r="AA142" s="46"/>
      <c r="AB142" s="40"/>
      <c r="AC142" s="40"/>
      <c r="AD142" s="40"/>
      <c r="AE142" s="46"/>
      <c r="AF142" s="46"/>
      <c r="AG142" s="40"/>
      <c r="AH142" s="46"/>
      <c r="AI142" s="40"/>
      <c r="AJ142" s="41"/>
      <c r="AK142" s="40"/>
      <c r="AL142" s="46"/>
      <c r="AM142" s="40"/>
      <c r="AN142" s="46"/>
      <c r="AO142" s="40"/>
      <c r="AP142" s="46"/>
      <c r="AQ142" s="40"/>
      <c r="AR142" s="41"/>
      <c r="AS142" s="40"/>
      <c r="AT142" s="41"/>
      <c r="AU142" s="40"/>
      <c r="AV142" s="41"/>
      <c r="AW142" s="40"/>
      <c r="AX142" s="41"/>
      <c r="AY142" s="40"/>
      <c r="AZ142" s="83"/>
      <c r="BA142" s="41"/>
      <c r="BB142" s="83"/>
      <c r="BC142" s="40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6"/>
      <c r="BP142" s="41"/>
      <c r="BQ142" s="46"/>
      <c r="BR142" s="40"/>
      <c r="BS142" s="47">
        <v>21199.81</v>
      </c>
      <c r="BT142" s="40"/>
      <c r="BU142" s="40"/>
      <c r="BV142" s="40"/>
      <c r="BW142" s="40"/>
      <c r="BX142" s="34"/>
      <c r="BZ142" s="40"/>
      <c r="CA142" s="46"/>
      <c r="CB142" s="34">
        <v>21199.81</v>
      </c>
      <c r="CC142" s="34"/>
      <c r="CD142" s="34"/>
      <c r="CE142" s="34"/>
      <c r="CF142" s="34"/>
      <c r="CG142" s="122">
        <f>SUMIFS(BB___HK___AMHS__Others[AR Amount],BB___HK___AMHS__Others[PO No.],AR_725[[#This Row],[tsmc PO '#]],BB___HK___AMHS__Others[Status],"&lt;&gt;Rejected",BB___HK___AMHS__Others[YearMonth],"2024-03")</f>
        <v>0</v>
      </c>
      <c r="CI142" s="122">
        <f>SUMIFS(BB___HK___AMHS__Others[AR Amount],BB___HK___AMHS__Others[PO No.],AR_725[[#This Row],[tsmc PO '#]],BB___HK___AMHS__Others[Status],"&lt;&gt;Rejected",BB___HK___AMHS__Others[YearMonth],"2024-04")</f>
        <v>0</v>
      </c>
      <c r="CJ142" s="30"/>
      <c r="CK142" s="122">
        <v>0</v>
      </c>
      <c r="CL142" s="122">
        <v>0</v>
      </c>
      <c r="CM142" s="122">
        <v>0</v>
      </c>
      <c r="CN142" s="122">
        <v>0</v>
      </c>
      <c r="CO142" s="122">
        <f>SUMIFS(BB___HK___AMHS__Others[AR Amount],BB___HK___AMHS__Others[PO No.],AR_725[[#This Row],[tsmc PO '#]],BB___HK___AMHS__Others[Status],"&lt;&gt;Rejected",BB___HK___AMHS__Others[YearMonth],"2024-07")</f>
        <v>0</v>
      </c>
      <c r="CP142" s="122">
        <f>SUMIFS(BB___HK___AMHS__Others[Tax],BB___HK___AMHS__Others[PO No.],AR_725[[#This Row],[tsmc PO '#]],BB___HK___AMHS__Others[Status],"&lt;&gt;Rejected",BB___HK___AMHS__Others[YearMonth],"2024-07")</f>
        <v>0</v>
      </c>
      <c r="CQ142" s="34">
        <f>SUMIFS(BB___HK___AMHS__Others[AR Amount],BB___HK___AMHS__Others[PO No.],AR_725[[#This Row],[tsmc PO '#]],BB___HK___AMHS__Others[Status],"&lt;&gt;Rejected",BB___HK___AMHS__Others[YearMonth],"2024-08")</f>
        <v>0</v>
      </c>
      <c r="CR142" s="44">
        <f>SUMIFS(BB___HK___AMHS__Others[Tax],BB___HK___AMHS__Others[PO No.],AR_725[[#This Row],[tsmc PO '#]],BB___HK___AMHS__Others[Status],"&lt;&gt;Rejected",BB___HK___AMHS__Others[YearMonth],"2024-08")</f>
        <v>0</v>
      </c>
      <c r="CS142" s="62">
        <f>SUMIFS(BB___HK___AMHS__Others[AR Amount],BB___HK___AMHS__Others[PO No.],AR_725[[#This Row],[tsmc PO '#]],BB___HK___AMHS__Others[Status],"&lt;&gt;Rejected",BB___HK___AMHS__Others[YearMonth],"2024-09")</f>
        <v>0</v>
      </c>
      <c r="CT142" s="601">
        <f>SUMIFS(BB___HK___AMHS__Others[Tax],BB___HK___AMHS__Others[PO No.],AR_725[[#This Row],[tsmc PO '#]],BB___HK___AMHS__Others[Status],"&lt;&gt;Rejected",BB___HK___AMHS__Others[YearMonth],"2024-09")</f>
        <v>0</v>
      </c>
    </row>
    <row r="143" spans="1:98" ht="14.1">
      <c r="A143" s="30" t="s">
        <v>9</v>
      </c>
      <c r="B143" s="30" t="s">
        <v>2051</v>
      </c>
      <c r="C143" s="30" t="s">
        <v>2159</v>
      </c>
      <c r="D143" s="50" t="s">
        <v>1706</v>
      </c>
      <c r="E143" s="57" t="s">
        <v>2070</v>
      </c>
      <c r="F143" s="57" t="s">
        <v>2115</v>
      </c>
      <c r="G143" s="50" t="s">
        <v>1432</v>
      </c>
      <c r="H143" s="50">
        <v>4590012855</v>
      </c>
      <c r="I143" s="30" t="s">
        <v>129</v>
      </c>
      <c r="J143" s="30" t="s">
        <v>790</v>
      </c>
      <c r="K143" s="46">
        <v>490000</v>
      </c>
      <c r="L143" s="30"/>
      <c r="M143" s="86">
        <v>45148</v>
      </c>
      <c r="N143" s="87"/>
      <c r="O143" s="88" t="s">
        <v>2148</v>
      </c>
      <c r="P14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451251</v>
      </c>
      <c r="Q14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227355</v>
      </c>
      <c r="R14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397242</v>
      </c>
      <c r="S143" s="72">
        <f>IF(AR_725[[#This Row],[PO Amount]]=0,1,AR_725[[#This Row],[Total AR (Sent)]]/AR_725[[#This Row],[PO Amount]])</f>
        <v>0.92092040816326526</v>
      </c>
      <c r="T143" s="75">
        <f>AR_725[[#This Row],[PO Amount]]-AR_725[[#This Row],[Total AR (Sent)]]</f>
        <v>38749</v>
      </c>
      <c r="U143" s="40"/>
      <c r="V143" s="40"/>
      <c r="W143" s="46"/>
      <c r="X143" s="46"/>
      <c r="Y143" s="46"/>
      <c r="Z143" s="46"/>
      <c r="AA143" s="46"/>
      <c r="AB143" s="40"/>
      <c r="AC143" s="40"/>
      <c r="AD143" s="40"/>
      <c r="AE143" s="46"/>
      <c r="AF143" s="46"/>
      <c r="AG143" s="40"/>
      <c r="AH143" s="46"/>
      <c r="AI143" s="40"/>
      <c r="AJ143" s="41"/>
      <c r="AK143" s="40"/>
      <c r="AL143" s="46"/>
      <c r="AM143" s="40"/>
      <c r="AN143" s="46"/>
      <c r="AO143" s="40"/>
      <c r="AP143" s="46"/>
      <c r="AQ143" s="40"/>
      <c r="AR143" s="41"/>
      <c r="AS143" s="40"/>
      <c r="AT143" s="41"/>
      <c r="AU143" s="40"/>
      <c r="AV143" s="41"/>
      <c r="AW143" s="40"/>
      <c r="AX143" s="41"/>
      <c r="AY143" s="40"/>
      <c r="AZ143" s="83"/>
      <c r="BA143" s="41"/>
      <c r="BB143" s="83"/>
      <c r="BC143" s="40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6"/>
      <c r="BP143" s="41"/>
      <c r="BQ143" s="46"/>
      <c r="BR143" s="40"/>
      <c r="BS143" s="40"/>
      <c r="BT143" s="40"/>
      <c r="BU143" s="40"/>
      <c r="BV143" s="40"/>
      <c r="BW143" s="40"/>
      <c r="BX143" s="34"/>
      <c r="BZ143" s="40"/>
      <c r="CA143" s="40"/>
      <c r="CB143" s="34"/>
      <c r="CC143" s="34"/>
      <c r="CD143" s="34"/>
      <c r="CE143" s="42">
        <v>227355</v>
      </c>
      <c r="CF143" s="34"/>
      <c r="CG143" s="122"/>
      <c r="CI143" s="122"/>
      <c r="CJ143" s="30"/>
      <c r="CK143" s="122">
        <v>0</v>
      </c>
      <c r="CL143" s="122">
        <v>0</v>
      </c>
      <c r="CM143" s="122">
        <v>0</v>
      </c>
      <c r="CN143" s="122">
        <v>0</v>
      </c>
      <c r="CO143" s="34">
        <f>SUMIFS(BB___HK___AMHS__Others[AR Amount],BB___HK___AMHS__Others[PO No.],AR_725[[#This Row],[tsmc PO '#]],BB___HK___AMHS__Others[Status],"&lt;&gt;Rejected",BB___HK___AMHS__Others[YearMonth],"2024-07")</f>
        <v>118691</v>
      </c>
      <c r="CP143" s="122">
        <f>SUMIFS(BB___HK___AMHS__Others[Tax],BB___HK___AMHS__Others[PO No.],AR_725[[#This Row],[tsmc PO '#]],BB___HK___AMHS__Others[Status],"&lt;&gt;Rejected",BB___HK___AMHS__Others[YearMonth],"2024-07")</f>
        <v>0</v>
      </c>
      <c r="CQ143" s="34">
        <f>SUMIFS(BB___HK___AMHS__Others[AR Amount],BB___HK___AMHS__Others[PO No.],AR_725[[#This Row],[tsmc PO '#]],BB___HK___AMHS__Others[Status],"&lt;&gt;Rejected",BB___HK___AMHS__Others[YearMonth],"2024-08")</f>
        <v>51196</v>
      </c>
      <c r="CR143" s="44">
        <f>SUMIFS(BB___HK___AMHS__Others[Tax],BB___HK___AMHS__Others[PO No.],AR_725[[#This Row],[tsmc PO '#]],BB___HK___AMHS__Others[Status],"&lt;&gt;Rejected",BB___HK___AMHS__Others[YearMonth],"2024-08")</f>
        <v>0</v>
      </c>
      <c r="CS143" s="62">
        <f>SUMIFS(BB___HK___AMHS__Others[AR Amount],BB___HK___AMHS__Others[PO No.],AR_725[[#This Row],[tsmc PO '#]],BB___HK___AMHS__Others[Status],"&lt;&gt;Rejected",BB___HK___AMHS__Others[YearMonth],"2024-09")</f>
        <v>54009</v>
      </c>
      <c r="CT143" s="601">
        <f>SUMIFS(BB___HK___AMHS__Others[Tax],BB___HK___AMHS__Others[PO No.],AR_725[[#This Row],[tsmc PO '#]],BB___HK___AMHS__Others[Status],"&lt;&gt;Rejected",BB___HK___AMHS__Others[YearMonth],"2024-09")</f>
        <v>0</v>
      </c>
    </row>
    <row r="144" spans="1:98" ht="14.1" hidden="1">
      <c r="A144" s="30" t="s">
        <v>9</v>
      </c>
      <c r="B144" s="30" t="s">
        <v>2051</v>
      </c>
      <c r="C144" s="30" t="s">
        <v>2184</v>
      </c>
      <c r="D144" s="50" t="s">
        <v>1759</v>
      </c>
      <c r="E144" s="57" t="s">
        <v>2185</v>
      </c>
      <c r="F144" s="48" t="s">
        <v>2074</v>
      </c>
      <c r="G144" s="63" t="s">
        <v>54</v>
      </c>
      <c r="H144" s="50">
        <v>4590012872</v>
      </c>
      <c r="I144" s="30" t="s">
        <v>120</v>
      </c>
      <c r="J144" s="30" t="s">
        <v>593</v>
      </c>
      <c r="K144" s="46">
        <v>408000</v>
      </c>
      <c r="L144" s="30"/>
      <c r="M144" s="86">
        <v>45153</v>
      </c>
      <c r="N144" s="87"/>
      <c r="O144" s="88" t="s">
        <v>2148</v>
      </c>
      <c r="P14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408000</v>
      </c>
      <c r="Q14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408000</v>
      </c>
      <c r="R14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408000</v>
      </c>
      <c r="S144" s="72">
        <f>IF(AR_725[[#This Row],[PO Amount]]=0,1,AR_725[[#This Row],[Total AR (Sent)]]/AR_725[[#This Row],[PO Amount]])</f>
        <v>1</v>
      </c>
      <c r="T144" s="75">
        <f>AR_725[[#This Row],[PO Amount]]-AR_725[[#This Row],[Total AR (Sent)]]</f>
        <v>0</v>
      </c>
      <c r="U144" s="40"/>
      <c r="V144" s="40"/>
      <c r="W144" s="46"/>
      <c r="X144" s="46"/>
      <c r="Y144" s="46"/>
      <c r="Z144" s="46"/>
      <c r="AA144" s="46"/>
      <c r="AB144" s="40"/>
      <c r="AC144" s="40"/>
      <c r="AD144" s="40"/>
      <c r="AE144" s="46"/>
      <c r="AF144" s="46"/>
      <c r="AG144" s="40"/>
      <c r="AH144" s="46"/>
      <c r="AI144" s="40"/>
      <c r="AJ144" s="46"/>
      <c r="AK144" s="40"/>
      <c r="AL144" s="46"/>
      <c r="AM144" s="40"/>
      <c r="AN144" s="46"/>
      <c r="AO144" s="40"/>
      <c r="AP144" s="46"/>
      <c r="AQ144" s="40"/>
      <c r="AR144" s="41"/>
      <c r="AS144" s="40"/>
      <c r="AT144" s="41"/>
      <c r="AU144" s="40"/>
      <c r="AV144" s="41"/>
      <c r="AW144" s="40"/>
      <c r="AX144" s="41"/>
      <c r="AY144" s="40"/>
      <c r="AZ144" s="41"/>
      <c r="BA144" s="41"/>
      <c r="BB144" s="41"/>
      <c r="BC144" s="40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6"/>
      <c r="BP144" s="41"/>
      <c r="BQ144" s="40"/>
      <c r="BR144" s="40"/>
      <c r="BS144" s="46"/>
      <c r="BT144" s="40"/>
      <c r="BU144" s="47">
        <v>408000</v>
      </c>
      <c r="BV144" s="40"/>
      <c r="BW144" s="40"/>
      <c r="BX144" s="34"/>
      <c r="BZ144" s="40"/>
      <c r="CA144" s="40"/>
      <c r="CB144" s="34"/>
      <c r="CC144" s="34"/>
      <c r="CD144" s="34"/>
      <c r="CE144" s="34"/>
      <c r="CF144" s="34"/>
      <c r="CG144" s="122"/>
      <c r="CI144" s="122"/>
      <c r="CJ144" s="30"/>
      <c r="CK144" s="122">
        <v>0</v>
      </c>
      <c r="CL144" s="122">
        <v>0</v>
      </c>
      <c r="CM144" s="122">
        <v>0</v>
      </c>
      <c r="CN144" s="122">
        <v>0</v>
      </c>
      <c r="CO144" s="122">
        <f>SUMIFS(BB___HK___AMHS__Others[AR Amount],BB___HK___AMHS__Others[PO No.],AR_725[[#This Row],[tsmc PO '#]],BB___HK___AMHS__Others[Status],"&lt;&gt;Rejected",BB___HK___AMHS__Others[YearMonth],"2024-07")</f>
        <v>0</v>
      </c>
      <c r="CP144" s="122">
        <f>SUMIFS(BB___HK___AMHS__Others[Tax],BB___HK___AMHS__Others[PO No.],AR_725[[#This Row],[tsmc PO '#]],BB___HK___AMHS__Others[Status],"&lt;&gt;Rejected",BB___HK___AMHS__Others[YearMonth],"2024-07")</f>
        <v>0</v>
      </c>
      <c r="CQ144" s="34">
        <f>SUMIFS(BB___HK___AMHS__Others[AR Amount],BB___HK___AMHS__Others[PO No.],AR_725[[#This Row],[tsmc PO '#]],BB___HK___AMHS__Others[Status],"&lt;&gt;Rejected",BB___HK___AMHS__Others[YearMonth],"2024-08")</f>
        <v>0</v>
      </c>
      <c r="CR144" s="44">
        <f>SUMIFS(BB___HK___AMHS__Others[Tax],BB___HK___AMHS__Others[PO No.],AR_725[[#This Row],[tsmc PO '#]],BB___HK___AMHS__Others[Status],"&lt;&gt;Rejected",BB___HK___AMHS__Others[YearMonth],"2024-08")</f>
        <v>0</v>
      </c>
      <c r="CS144" s="62">
        <f>SUMIFS(BB___HK___AMHS__Others[AR Amount],BB___HK___AMHS__Others[PO No.],AR_725[[#This Row],[tsmc PO '#]],BB___HK___AMHS__Others[Status],"&lt;&gt;Rejected",BB___HK___AMHS__Others[YearMonth],"2024-09")</f>
        <v>0</v>
      </c>
      <c r="CT144" s="601">
        <f>SUMIFS(BB___HK___AMHS__Others[Tax],BB___HK___AMHS__Others[PO No.],AR_725[[#This Row],[tsmc PO '#]],BB___HK___AMHS__Others[Status],"&lt;&gt;Rejected",BB___HK___AMHS__Others[YearMonth],"2024-09")</f>
        <v>0</v>
      </c>
    </row>
    <row r="145" spans="1:98" ht="14.1" hidden="1">
      <c r="A145" s="30" t="s">
        <v>13</v>
      </c>
      <c r="B145" s="30" t="s">
        <v>13</v>
      </c>
      <c r="D145" s="50"/>
      <c r="E145" s="57" t="s">
        <v>2186</v>
      </c>
      <c r="F145" s="57"/>
      <c r="G145" s="63" t="s">
        <v>2187</v>
      </c>
      <c r="H145" s="50">
        <v>4590012881</v>
      </c>
      <c r="I145" s="30" t="s">
        <v>572</v>
      </c>
      <c r="J145" s="30" t="s">
        <v>570</v>
      </c>
      <c r="K145" s="46">
        <v>508031.05</v>
      </c>
      <c r="L145" s="30"/>
      <c r="M145" s="86">
        <v>45154</v>
      </c>
      <c r="N145" s="87"/>
      <c r="O145" s="88" t="s">
        <v>2156</v>
      </c>
      <c r="P14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508031.05</v>
      </c>
      <c r="Q14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508031.05</v>
      </c>
      <c r="R14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508031.05</v>
      </c>
      <c r="S145" s="72">
        <f>IF(AR_725[[#This Row],[PO Amount]]=0,1,AR_725[[#This Row],[Total AR (Sent)]]/AR_725[[#This Row],[PO Amount]])</f>
        <v>1</v>
      </c>
      <c r="T145" s="75">
        <f>AR_725[[#This Row],[PO Amount]]-AR_725[[#This Row],[Total AR (Sent)]]</f>
        <v>0</v>
      </c>
      <c r="U145" s="40"/>
      <c r="V145" s="40"/>
      <c r="W145" s="46"/>
      <c r="X145" s="46"/>
      <c r="Y145" s="46"/>
      <c r="Z145" s="46"/>
      <c r="AA145" s="46"/>
      <c r="AB145" s="40"/>
      <c r="AC145" s="40"/>
      <c r="AD145" s="40"/>
      <c r="AE145" s="46"/>
      <c r="AF145" s="46"/>
      <c r="AG145" s="40"/>
      <c r="AH145" s="46"/>
      <c r="AI145" s="40"/>
      <c r="AJ145" s="46"/>
      <c r="AK145" s="40"/>
      <c r="AL145" s="46"/>
      <c r="AM145" s="40"/>
      <c r="AN145" s="46"/>
      <c r="AO145" s="40"/>
      <c r="AP145" s="46"/>
      <c r="AQ145" s="40"/>
      <c r="AR145" s="41"/>
      <c r="AS145" s="40"/>
      <c r="AT145" s="41"/>
      <c r="AU145" s="40"/>
      <c r="AV145" s="41"/>
      <c r="AW145" s="40"/>
      <c r="AX145" s="41"/>
      <c r="AY145" s="40"/>
      <c r="AZ145" s="41"/>
      <c r="BA145" s="41"/>
      <c r="BB145" s="41"/>
      <c r="BC145" s="40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6"/>
      <c r="BP145" s="41"/>
      <c r="BQ145" s="40"/>
      <c r="BR145" s="40"/>
      <c r="BS145" s="47">
        <v>508031.05</v>
      </c>
      <c r="BT145" s="40"/>
      <c r="BU145" s="40"/>
      <c r="BV145" s="40"/>
      <c r="BW145" s="40"/>
      <c r="BX145" s="34"/>
      <c r="BZ145" s="40"/>
      <c r="CA145" s="40"/>
      <c r="CB145" s="34"/>
      <c r="CC145" s="34"/>
      <c r="CD145" s="34"/>
      <c r="CE145" s="34"/>
      <c r="CF145" s="34"/>
      <c r="CG145" s="122"/>
      <c r="CI145" s="122"/>
      <c r="CJ145" s="30"/>
      <c r="CK145" s="122">
        <v>0</v>
      </c>
      <c r="CL145" s="122">
        <v>0</v>
      </c>
      <c r="CM145" s="122">
        <v>0</v>
      </c>
      <c r="CN145" s="122">
        <v>0</v>
      </c>
      <c r="CO145" s="122">
        <f>SUMIFS(BB___HK___AMHS__Others[AR Amount],BB___HK___AMHS__Others[PO No.],AR_725[[#This Row],[tsmc PO '#]],BB___HK___AMHS__Others[Status],"&lt;&gt;Rejected",BB___HK___AMHS__Others[YearMonth],"2024-07")</f>
        <v>0</v>
      </c>
      <c r="CP145" s="122">
        <f>SUMIFS(BB___HK___AMHS__Others[Tax],BB___HK___AMHS__Others[PO No.],AR_725[[#This Row],[tsmc PO '#]],BB___HK___AMHS__Others[Status],"&lt;&gt;Rejected",BB___HK___AMHS__Others[YearMonth],"2024-07")</f>
        <v>0</v>
      </c>
      <c r="CQ145" s="34">
        <f>SUMIFS(BB___HK___AMHS__Others[AR Amount],BB___HK___AMHS__Others[PO No.],AR_725[[#This Row],[tsmc PO '#]],BB___HK___AMHS__Others[Status],"&lt;&gt;Rejected",BB___HK___AMHS__Others[YearMonth],"2024-08")</f>
        <v>0</v>
      </c>
      <c r="CR145" s="44">
        <f>SUMIFS(BB___HK___AMHS__Others[Tax],BB___HK___AMHS__Others[PO No.],AR_725[[#This Row],[tsmc PO '#]],BB___HK___AMHS__Others[Status],"&lt;&gt;Rejected",BB___HK___AMHS__Others[YearMonth],"2024-08")</f>
        <v>0</v>
      </c>
      <c r="CS145" s="62">
        <f>SUMIFS(BB___HK___AMHS__Others[AR Amount],BB___HK___AMHS__Others[PO No.],AR_725[[#This Row],[tsmc PO '#]],BB___HK___AMHS__Others[Status],"&lt;&gt;Rejected",BB___HK___AMHS__Others[YearMonth],"2024-09")</f>
        <v>0</v>
      </c>
      <c r="CT145" s="601">
        <f>SUMIFS(BB___HK___AMHS__Others[Tax],BB___HK___AMHS__Others[PO No.],AR_725[[#This Row],[tsmc PO '#]],BB___HK___AMHS__Others[Status],"&lt;&gt;Rejected",BB___HK___AMHS__Others[YearMonth],"2024-09")</f>
        <v>0</v>
      </c>
    </row>
    <row r="146" spans="1:98" ht="14.1" hidden="1">
      <c r="A146" s="30" t="s">
        <v>12</v>
      </c>
      <c r="B146" s="30" t="s">
        <v>2113</v>
      </c>
      <c r="D146" s="50" t="s">
        <v>8</v>
      </c>
      <c r="E146" s="48" t="s">
        <v>2109</v>
      </c>
      <c r="F146" s="48" t="s">
        <v>2110</v>
      </c>
      <c r="G146" s="63" t="s">
        <v>2188</v>
      </c>
      <c r="H146" s="50">
        <v>4590012923</v>
      </c>
      <c r="I146" s="30" t="s">
        <v>434</v>
      </c>
      <c r="J146" s="30" t="s">
        <v>609</v>
      </c>
      <c r="K146" s="46">
        <v>95964</v>
      </c>
      <c r="L146" s="30"/>
      <c r="M146" s="86">
        <v>45160</v>
      </c>
      <c r="N146" s="87"/>
      <c r="O146" s="88" t="s">
        <v>2156</v>
      </c>
      <c r="P14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95964</v>
      </c>
      <c r="Q14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95964</v>
      </c>
      <c r="R14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95964</v>
      </c>
      <c r="S146" s="72">
        <f>IF(AR_725[[#This Row],[PO Amount]]=0,1,AR_725[[#This Row],[Total AR (Sent)]]/AR_725[[#This Row],[PO Amount]])</f>
        <v>1</v>
      </c>
      <c r="T146" s="75">
        <f>AR_725[[#This Row],[PO Amount]]-AR_725[[#This Row],[Total AR (Sent)]]</f>
        <v>0</v>
      </c>
      <c r="U146" s="40"/>
      <c r="V146" s="40"/>
      <c r="W146" s="46"/>
      <c r="X146" s="46"/>
      <c r="Y146" s="46"/>
      <c r="Z146" s="46"/>
      <c r="AA146" s="46"/>
      <c r="AB146" s="40"/>
      <c r="AC146" s="40"/>
      <c r="AD146" s="40"/>
      <c r="AE146" s="46"/>
      <c r="AF146" s="46"/>
      <c r="AG146" s="40"/>
      <c r="AH146" s="46"/>
      <c r="AI146" s="40"/>
      <c r="AJ146" s="41"/>
      <c r="AK146" s="40"/>
      <c r="AL146" s="46"/>
      <c r="AM146" s="40"/>
      <c r="AN146" s="46"/>
      <c r="AO146" s="40"/>
      <c r="AP146" s="46"/>
      <c r="AQ146" s="40"/>
      <c r="AR146" s="41"/>
      <c r="AS146" s="40"/>
      <c r="AT146" s="41"/>
      <c r="AU146" s="40"/>
      <c r="AV146" s="41"/>
      <c r="AW146" s="41"/>
      <c r="AX146" s="41"/>
      <c r="AY146" s="41"/>
      <c r="AZ146" s="41"/>
      <c r="BA146" s="41"/>
      <c r="BB146" s="41"/>
      <c r="BC146" s="40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6"/>
      <c r="BP146" s="41"/>
      <c r="BQ146" s="40"/>
      <c r="BR146" s="40"/>
      <c r="BS146" s="46"/>
      <c r="BT146" s="40"/>
      <c r="BU146" s="40"/>
      <c r="BV146" s="40"/>
      <c r="BW146" s="76">
        <v>95964</v>
      </c>
      <c r="BX146" s="34"/>
      <c r="BZ146" s="40"/>
      <c r="CA146" s="40"/>
      <c r="CB146" s="34"/>
      <c r="CC146" s="34"/>
      <c r="CD146" s="34"/>
      <c r="CE146" s="34"/>
      <c r="CF146" s="34"/>
      <c r="CG146" s="122"/>
      <c r="CI146" s="122"/>
      <c r="CJ146" s="30"/>
      <c r="CK146" s="122">
        <v>0</v>
      </c>
      <c r="CL146" s="122">
        <v>0</v>
      </c>
      <c r="CM146" s="122">
        <v>0</v>
      </c>
      <c r="CN146" s="122">
        <v>0</v>
      </c>
      <c r="CO146" s="122">
        <f>SUMIFS(BB___HK___AMHS__Others[AR Amount],BB___HK___AMHS__Others[PO No.],AR_725[[#This Row],[tsmc PO '#]],BB___HK___AMHS__Others[Status],"&lt;&gt;Rejected",BB___HK___AMHS__Others[YearMonth],"2024-07")</f>
        <v>0</v>
      </c>
      <c r="CP146" s="122">
        <f>SUMIFS(BB___HK___AMHS__Others[Tax],BB___HK___AMHS__Others[PO No.],AR_725[[#This Row],[tsmc PO '#]],BB___HK___AMHS__Others[Status],"&lt;&gt;Rejected",BB___HK___AMHS__Others[YearMonth],"2024-07")</f>
        <v>0</v>
      </c>
      <c r="CQ146" s="34">
        <f>SUMIFS(BB___HK___AMHS__Others[AR Amount],BB___HK___AMHS__Others[PO No.],AR_725[[#This Row],[tsmc PO '#]],BB___HK___AMHS__Others[Status],"&lt;&gt;Rejected",BB___HK___AMHS__Others[YearMonth],"2024-08")</f>
        <v>0</v>
      </c>
      <c r="CR146" s="44">
        <f>SUMIFS(BB___HK___AMHS__Others[Tax],BB___HK___AMHS__Others[PO No.],AR_725[[#This Row],[tsmc PO '#]],BB___HK___AMHS__Others[Status],"&lt;&gt;Rejected",BB___HK___AMHS__Others[YearMonth],"2024-08")</f>
        <v>0</v>
      </c>
      <c r="CS146" s="62">
        <f>SUMIFS(BB___HK___AMHS__Others[AR Amount],BB___HK___AMHS__Others[PO No.],AR_725[[#This Row],[tsmc PO '#]],BB___HK___AMHS__Others[Status],"&lt;&gt;Rejected",BB___HK___AMHS__Others[YearMonth],"2024-09")</f>
        <v>0</v>
      </c>
      <c r="CT146" s="601">
        <f>SUMIFS(BB___HK___AMHS__Others[Tax],BB___HK___AMHS__Others[PO No.],AR_725[[#This Row],[tsmc PO '#]],BB___HK___AMHS__Others[Status],"&lt;&gt;Rejected",BB___HK___AMHS__Others[YearMonth],"2024-09")</f>
        <v>0</v>
      </c>
    </row>
    <row r="147" spans="1:98" ht="14.1" hidden="1">
      <c r="A147" s="30" t="s">
        <v>9</v>
      </c>
      <c r="B147" s="30" t="s">
        <v>2051</v>
      </c>
      <c r="C147" s="30" t="s">
        <v>2184</v>
      </c>
      <c r="D147" s="50" t="s">
        <v>1720</v>
      </c>
      <c r="E147" s="48" t="s">
        <v>2060</v>
      </c>
      <c r="F147" s="57" t="s">
        <v>2060</v>
      </c>
      <c r="G147" s="48" t="s">
        <v>934</v>
      </c>
      <c r="H147" s="50">
        <v>4590012982</v>
      </c>
      <c r="I147" s="30" t="s">
        <v>104</v>
      </c>
      <c r="J147" s="30" t="s">
        <v>595</v>
      </c>
      <c r="K147" s="46">
        <v>618842</v>
      </c>
      <c r="L147" s="30"/>
      <c r="M147" s="86">
        <v>45167</v>
      </c>
      <c r="N147" s="87"/>
      <c r="O147" s="88" t="s">
        <v>2148</v>
      </c>
      <c r="P14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436391</v>
      </c>
      <c r="Q14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436391</v>
      </c>
      <c r="R14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436391</v>
      </c>
      <c r="S147" s="72">
        <f>IF(AR_725[[#This Row],[PO Amount]]=0,1,AR_725[[#This Row],[Total AR (Sent)]]/AR_725[[#This Row],[PO Amount]])</f>
        <v>0.70517353379376324</v>
      </c>
      <c r="T147" s="75">
        <f>AR_725[[#This Row],[PO Amount]]-AR_725[[#This Row],[Total AR (Sent)]]</f>
        <v>182451</v>
      </c>
      <c r="U147" s="40"/>
      <c r="V147" s="40"/>
      <c r="W147" s="46"/>
      <c r="X147" s="46"/>
      <c r="Y147" s="46"/>
      <c r="Z147" s="46"/>
      <c r="AA147" s="46"/>
      <c r="AB147" s="40"/>
      <c r="AC147" s="40"/>
      <c r="AD147" s="40"/>
      <c r="AE147" s="46"/>
      <c r="AF147" s="46"/>
      <c r="AG147" s="40"/>
      <c r="AH147" s="46"/>
      <c r="AI147" s="40"/>
      <c r="AJ147" s="46"/>
      <c r="AK147" s="40"/>
      <c r="AL147" s="46"/>
      <c r="AM147" s="40"/>
      <c r="AN147" s="46"/>
      <c r="AO147" s="40"/>
      <c r="AP147" s="46"/>
      <c r="AQ147" s="40"/>
      <c r="AR147" s="41"/>
      <c r="AS147" s="40"/>
      <c r="AT147" s="41"/>
      <c r="AU147" s="40"/>
      <c r="AV147" s="41"/>
      <c r="AW147" s="41"/>
      <c r="AX147" s="41"/>
      <c r="AY147" s="41"/>
      <c r="AZ147" s="41"/>
      <c r="BA147" s="41"/>
      <c r="BB147" s="41"/>
      <c r="BC147" s="40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6"/>
      <c r="BP147" s="41"/>
      <c r="BQ147" s="40"/>
      <c r="BR147" s="40"/>
      <c r="BS147" s="46"/>
      <c r="BT147" s="40"/>
      <c r="BU147" s="47">
        <v>416916</v>
      </c>
      <c r="BV147" s="40"/>
      <c r="BW147" s="40"/>
      <c r="BX147" s="34"/>
      <c r="BY147" s="47">
        <v>19475</v>
      </c>
      <c r="BZ147" s="40"/>
      <c r="CA147" s="40"/>
      <c r="CB147" s="34"/>
      <c r="CC147" s="34"/>
      <c r="CD147" s="34"/>
      <c r="CE147" s="34"/>
      <c r="CF147" s="34"/>
      <c r="CG147" s="122"/>
      <c r="CI147" s="122"/>
      <c r="CJ147" s="30"/>
      <c r="CK147" s="122">
        <v>0</v>
      </c>
      <c r="CL147" s="122">
        <v>0</v>
      </c>
      <c r="CM147" s="122">
        <v>0</v>
      </c>
      <c r="CN147" s="122">
        <v>0</v>
      </c>
      <c r="CO147" s="122">
        <f>SUMIFS(BB___HK___AMHS__Others[AR Amount],BB___HK___AMHS__Others[PO No.],AR_725[[#This Row],[tsmc PO '#]],BB___HK___AMHS__Others[Status],"&lt;&gt;Rejected",BB___HK___AMHS__Others[YearMonth],"2024-07")</f>
        <v>0</v>
      </c>
      <c r="CP147" s="122">
        <f>SUMIFS(BB___HK___AMHS__Others[Tax],BB___HK___AMHS__Others[PO No.],AR_725[[#This Row],[tsmc PO '#]],BB___HK___AMHS__Others[Status],"&lt;&gt;Rejected",BB___HK___AMHS__Others[YearMonth],"2024-07")</f>
        <v>0</v>
      </c>
      <c r="CQ147" s="34">
        <f>SUMIFS(BB___HK___AMHS__Others[AR Amount],BB___HK___AMHS__Others[PO No.],AR_725[[#This Row],[tsmc PO '#]],BB___HK___AMHS__Others[Status],"&lt;&gt;Rejected",BB___HK___AMHS__Others[YearMonth],"2024-08")</f>
        <v>0</v>
      </c>
      <c r="CR147" s="44">
        <f>SUMIFS(BB___HK___AMHS__Others[Tax],BB___HK___AMHS__Others[PO No.],AR_725[[#This Row],[tsmc PO '#]],BB___HK___AMHS__Others[Status],"&lt;&gt;Rejected",BB___HK___AMHS__Others[YearMonth],"2024-08")</f>
        <v>0</v>
      </c>
      <c r="CS147" s="62">
        <f>SUMIFS(BB___HK___AMHS__Others[AR Amount],BB___HK___AMHS__Others[PO No.],AR_725[[#This Row],[tsmc PO '#]],BB___HK___AMHS__Others[Status],"&lt;&gt;Rejected",BB___HK___AMHS__Others[YearMonth],"2024-09")</f>
        <v>0</v>
      </c>
      <c r="CT147" s="601">
        <f>SUMIFS(BB___HK___AMHS__Others[Tax],BB___HK___AMHS__Others[PO No.],AR_725[[#This Row],[tsmc PO '#]],BB___HK___AMHS__Others[Status],"&lt;&gt;Rejected",BB___HK___AMHS__Others[YearMonth],"2024-09")</f>
        <v>0</v>
      </c>
    </row>
    <row r="148" spans="1:98" ht="14.1" hidden="1">
      <c r="A148" s="30" t="s">
        <v>19</v>
      </c>
      <c r="B148" s="30" t="s">
        <v>19</v>
      </c>
      <c r="D148" s="50"/>
      <c r="E148" s="603" t="s">
        <v>2189</v>
      </c>
      <c r="F148" s="57" t="s">
        <v>2126</v>
      </c>
      <c r="G148" s="63" t="s">
        <v>54</v>
      </c>
      <c r="H148" s="50">
        <v>4590013010</v>
      </c>
      <c r="I148" s="30" t="s">
        <v>361</v>
      </c>
      <c r="J148" s="30" t="s">
        <v>2190</v>
      </c>
      <c r="K148" s="46">
        <v>13959.6</v>
      </c>
      <c r="L148" s="30"/>
      <c r="M148" s="86">
        <v>45171</v>
      </c>
      <c r="N148" s="87"/>
      <c r="O148" s="88" t="s">
        <v>2156</v>
      </c>
      <c r="P14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14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14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148" s="72">
        <f>IF(AR_725[[#This Row],[PO Amount]]=0,1,AR_725[[#This Row],[Total AR (Sent)]]/AR_725[[#This Row],[PO Amount]])</f>
        <v>0</v>
      </c>
      <c r="T148" s="75">
        <f>AR_725[[#This Row],[PO Amount]]-AR_725[[#This Row],[Total AR (Sent)]]</f>
        <v>13959.6</v>
      </c>
      <c r="U148" s="40"/>
      <c r="V148" s="40"/>
      <c r="W148" s="46"/>
      <c r="X148" s="46"/>
      <c r="Y148" s="46"/>
      <c r="Z148" s="46"/>
      <c r="AA148" s="46"/>
      <c r="AB148" s="40"/>
      <c r="AC148" s="40"/>
      <c r="AD148" s="40"/>
      <c r="AE148" s="46"/>
      <c r="AF148" s="46"/>
      <c r="AG148" s="40"/>
      <c r="AH148" s="46"/>
      <c r="AI148" s="40"/>
      <c r="AJ148" s="46"/>
      <c r="AK148" s="40"/>
      <c r="AL148" s="46"/>
      <c r="AM148" s="40"/>
      <c r="AN148" s="46"/>
      <c r="AO148" s="40"/>
      <c r="AP148" s="46"/>
      <c r="AQ148" s="40"/>
      <c r="AR148" s="41"/>
      <c r="AS148" s="40"/>
      <c r="AT148" s="41"/>
      <c r="AU148" s="40"/>
      <c r="AV148" s="41"/>
      <c r="AW148" s="41"/>
      <c r="AX148" s="41"/>
      <c r="AY148" s="41"/>
      <c r="AZ148" s="41"/>
      <c r="BA148" s="41"/>
      <c r="BB148" s="41"/>
      <c r="BC148" s="34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6"/>
      <c r="BP148" s="41"/>
      <c r="BQ148" s="40"/>
      <c r="BR148" s="40"/>
      <c r="BS148" s="46"/>
      <c r="BT148" s="40"/>
      <c r="BU148" s="40"/>
      <c r="BV148" s="40"/>
      <c r="BW148" s="40"/>
      <c r="BX148" s="34"/>
      <c r="BZ148" s="40"/>
      <c r="CA148" s="40"/>
      <c r="CB148" s="34"/>
      <c r="CC148" s="34"/>
      <c r="CD148" s="34"/>
      <c r="CE148" s="34"/>
      <c r="CF148" s="34"/>
      <c r="CG148" s="122"/>
      <c r="CI148" s="122"/>
      <c r="CJ148" s="30"/>
      <c r="CK148" s="122">
        <v>0</v>
      </c>
      <c r="CL148" s="122">
        <v>0</v>
      </c>
      <c r="CM148" s="122">
        <v>0</v>
      </c>
      <c r="CN148" s="122">
        <v>0</v>
      </c>
      <c r="CO148" s="122">
        <f>SUMIFS(BB___HK___AMHS__Others[AR Amount],BB___HK___AMHS__Others[PO No.],AR_725[[#This Row],[tsmc PO '#]],BB___HK___AMHS__Others[Status],"&lt;&gt;Rejected",BB___HK___AMHS__Others[YearMonth],"2024-07")</f>
        <v>0</v>
      </c>
      <c r="CP148" s="122">
        <f>SUMIFS(BB___HK___AMHS__Others[Tax],BB___HK___AMHS__Others[PO No.],AR_725[[#This Row],[tsmc PO '#]],BB___HK___AMHS__Others[Status],"&lt;&gt;Rejected",BB___HK___AMHS__Others[YearMonth],"2024-07")</f>
        <v>0</v>
      </c>
      <c r="CQ148" s="34">
        <f>SUMIFS(BB___HK___AMHS__Others[AR Amount],BB___HK___AMHS__Others[PO No.],AR_725[[#This Row],[tsmc PO '#]],BB___HK___AMHS__Others[Status],"&lt;&gt;Rejected",BB___HK___AMHS__Others[YearMonth],"2024-08")</f>
        <v>0</v>
      </c>
      <c r="CR148" s="44">
        <f>SUMIFS(BB___HK___AMHS__Others[Tax],BB___HK___AMHS__Others[PO No.],AR_725[[#This Row],[tsmc PO '#]],BB___HK___AMHS__Others[Status],"&lt;&gt;Rejected",BB___HK___AMHS__Others[YearMonth],"2024-08")</f>
        <v>0</v>
      </c>
      <c r="CS148" s="62">
        <f>SUMIFS(BB___HK___AMHS__Others[AR Amount],BB___HK___AMHS__Others[PO No.],AR_725[[#This Row],[tsmc PO '#]],BB___HK___AMHS__Others[Status],"&lt;&gt;Rejected",BB___HK___AMHS__Others[YearMonth],"2024-09")</f>
        <v>0</v>
      </c>
      <c r="CT148" s="601">
        <f>SUMIFS(BB___HK___AMHS__Others[Tax],BB___HK___AMHS__Others[PO No.],AR_725[[#This Row],[tsmc PO '#]],BB___HK___AMHS__Others[Status],"&lt;&gt;Rejected",BB___HK___AMHS__Others[YearMonth],"2024-09")</f>
        <v>0</v>
      </c>
    </row>
    <row r="149" spans="1:98" ht="14.1" hidden="1">
      <c r="A149" s="30" t="s">
        <v>11</v>
      </c>
      <c r="B149" s="30" t="s">
        <v>2113</v>
      </c>
      <c r="D149" s="50" t="s">
        <v>8</v>
      </c>
      <c r="E149" s="48" t="s">
        <v>2109</v>
      </c>
      <c r="F149" s="48" t="s">
        <v>2110</v>
      </c>
      <c r="G149" s="63" t="s">
        <v>2188</v>
      </c>
      <c r="H149" s="50">
        <v>4590013059</v>
      </c>
      <c r="I149" s="30" t="s">
        <v>434</v>
      </c>
      <c r="J149" s="30" t="s">
        <v>691</v>
      </c>
      <c r="K149" s="46">
        <v>116443.25</v>
      </c>
      <c r="L149" s="30"/>
      <c r="M149" s="86">
        <v>45177</v>
      </c>
      <c r="N149" s="87"/>
      <c r="O149" s="88" t="s">
        <v>2156</v>
      </c>
      <c r="P14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116443.25</v>
      </c>
      <c r="Q14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116443.25</v>
      </c>
      <c r="R14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116443.25</v>
      </c>
      <c r="S149" s="72">
        <f>IF(AR_725[[#This Row],[PO Amount]]=0,1,AR_725[[#This Row],[Total AR (Sent)]]/AR_725[[#This Row],[PO Amount]])</f>
        <v>1</v>
      </c>
      <c r="T149" s="75">
        <f>AR_725[[#This Row],[PO Amount]]-AR_725[[#This Row],[Total AR (Sent)]]</f>
        <v>0</v>
      </c>
      <c r="U149" s="40"/>
      <c r="V149" s="40"/>
      <c r="W149" s="46"/>
      <c r="X149" s="46"/>
      <c r="Y149" s="46"/>
      <c r="Z149" s="46"/>
      <c r="AA149" s="46"/>
      <c r="AB149" s="40"/>
      <c r="AC149" s="40"/>
      <c r="AD149" s="40"/>
      <c r="AE149" s="46"/>
      <c r="AF149" s="46"/>
      <c r="AG149" s="40"/>
      <c r="AH149" s="46"/>
      <c r="AI149" s="40"/>
      <c r="AJ149" s="41"/>
      <c r="AK149" s="40"/>
      <c r="AL149" s="46"/>
      <c r="AM149" s="40"/>
      <c r="AN149" s="46"/>
      <c r="AO149" s="40"/>
      <c r="AP149" s="46"/>
      <c r="AQ149" s="40"/>
      <c r="AR149" s="41"/>
      <c r="AS149" s="40"/>
      <c r="AT149" s="41"/>
      <c r="AU149" s="40"/>
      <c r="AV149" s="41"/>
      <c r="AW149" s="41"/>
      <c r="AX149" s="41"/>
      <c r="AY149" s="41"/>
      <c r="AZ149" s="41"/>
      <c r="BA149" s="41"/>
      <c r="BB149" s="41"/>
      <c r="BC149" s="40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6"/>
      <c r="BP149" s="41"/>
      <c r="BQ149" s="40"/>
      <c r="BR149" s="40"/>
      <c r="BS149" s="46"/>
      <c r="BT149" s="40"/>
      <c r="BU149" s="40"/>
      <c r="BV149" s="40"/>
      <c r="BW149" s="40"/>
      <c r="BX149" s="34"/>
      <c r="BZ149" s="40"/>
      <c r="CA149" s="47">
        <v>116443.25</v>
      </c>
      <c r="CB149" s="34"/>
      <c r="CC149" s="34"/>
      <c r="CD149" s="34"/>
      <c r="CE149" s="34"/>
      <c r="CF149" s="34"/>
      <c r="CG149" s="122"/>
      <c r="CI149" s="122"/>
      <c r="CJ149" s="30"/>
      <c r="CK149" s="122">
        <v>0</v>
      </c>
      <c r="CL149" s="122">
        <v>0</v>
      </c>
      <c r="CM149" s="122">
        <v>0</v>
      </c>
      <c r="CN149" s="122">
        <v>0</v>
      </c>
      <c r="CO149" s="122">
        <f>SUMIFS(BB___HK___AMHS__Others[AR Amount],BB___HK___AMHS__Others[PO No.],AR_725[[#This Row],[tsmc PO '#]],BB___HK___AMHS__Others[Status],"&lt;&gt;Rejected",BB___HK___AMHS__Others[YearMonth],"2024-07")</f>
        <v>0</v>
      </c>
      <c r="CP149" s="122">
        <f>SUMIFS(BB___HK___AMHS__Others[Tax],BB___HK___AMHS__Others[PO No.],AR_725[[#This Row],[tsmc PO '#]],BB___HK___AMHS__Others[Status],"&lt;&gt;Rejected",BB___HK___AMHS__Others[YearMonth],"2024-07")</f>
        <v>0</v>
      </c>
      <c r="CQ149" s="34">
        <f>SUMIFS(BB___HK___AMHS__Others[AR Amount],BB___HK___AMHS__Others[PO No.],AR_725[[#This Row],[tsmc PO '#]],BB___HK___AMHS__Others[Status],"&lt;&gt;Rejected",BB___HK___AMHS__Others[YearMonth],"2024-08")</f>
        <v>0</v>
      </c>
      <c r="CR149" s="44">
        <f>SUMIFS(BB___HK___AMHS__Others[Tax],BB___HK___AMHS__Others[PO No.],AR_725[[#This Row],[tsmc PO '#]],BB___HK___AMHS__Others[Status],"&lt;&gt;Rejected",BB___HK___AMHS__Others[YearMonth],"2024-08")</f>
        <v>0</v>
      </c>
      <c r="CS149" s="62">
        <f>SUMIFS(BB___HK___AMHS__Others[AR Amount],BB___HK___AMHS__Others[PO No.],AR_725[[#This Row],[tsmc PO '#]],BB___HK___AMHS__Others[Status],"&lt;&gt;Rejected",BB___HK___AMHS__Others[YearMonth],"2024-09")</f>
        <v>0</v>
      </c>
      <c r="CT149" s="601">
        <f>SUMIFS(BB___HK___AMHS__Others[Tax],BB___HK___AMHS__Others[PO No.],AR_725[[#This Row],[tsmc PO '#]],BB___HK___AMHS__Others[Status],"&lt;&gt;Rejected",BB___HK___AMHS__Others[YearMonth],"2024-09")</f>
        <v>0</v>
      </c>
    </row>
    <row r="150" spans="1:98" ht="14.1" hidden="1">
      <c r="A150" s="30" t="s">
        <v>12</v>
      </c>
      <c r="B150" s="30" t="s">
        <v>2113</v>
      </c>
      <c r="D150" s="50" t="s">
        <v>8</v>
      </c>
      <c r="E150" s="48" t="s">
        <v>2109</v>
      </c>
      <c r="F150" s="57" t="s">
        <v>2110</v>
      </c>
      <c r="G150" s="63" t="s">
        <v>2188</v>
      </c>
      <c r="H150" s="50">
        <v>4590013060</v>
      </c>
      <c r="I150" s="30" t="s">
        <v>434</v>
      </c>
      <c r="J150" s="30" t="s">
        <v>658</v>
      </c>
      <c r="K150" s="46">
        <v>76766.73</v>
      </c>
      <c r="L150" s="30"/>
      <c r="M150" s="86">
        <v>45177</v>
      </c>
      <c r="N150" s="87"/>
      <c r="O150" s="88" t="s">
        <v>2156</v>
      </c>
      <c r="P15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76767</v>
      </c>
      <c r="Q15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76767</v>
      </c>
      <c r="R15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76766.73</v>
      </c>
      <c r="S150" s="72">
        <f>IF(AR_725[[#This Row],[PO Amount]]=0,1,AR_725[[#This Row],[Total AR (Sent)]]/AR_725[[#This Row],[PO Amount]])</f>
        <v>1.0000035171486399</v>
      </c>
      <c r="T150" s="75">
        <f>AR_725[[#This Row],[PO Amount]]-AR_725[[#This Row],[Total AR (Sent)]]</f>
        <v>-0.27000000000407454</v>
      </c>
      <c r="U150" s="40"/>
      <c r="V150" s="40"/>
      <c r="W150" s="46"/>
      <c r="X150" s="46"/>
      <c r="Y150" s="46"/>
      <c r="Z150" s="46"/>
      <c r="AA150" s="46"/>
      <c r="AB150" s="40"/>
      <c r="AC150" s="40"/>
      <c r="AD150" s="40"/>
      <c r="AE150" s="46"/>
      <c r="AF150" s="46"/>
      <c r="AG150" s="40"/>
      <c r="AH150" s="46"/>
      <c r="AI150" s="40"/>
      <c r="AJ150" s="41"/>
      <c r="AK150" s="40"/>
      <c r="AL150" s="46"/>
      <c r="AM150" s="40"/>
      <c r="AN150" s="46"/>
      <c r="AO150" s="40"/>
      <c r="AP150" s="46"/>
      <c r="AQ150" s="40"/>
      <c r="AR150" s="41"/>
      <c r="AS150" s="40"/>
      <c r="AT150" s="41"/>
      <c r="AU150" s="40"/>
      <c r="AV150" s="41"/>
      <c r="AW150" s="41"/>
      <c r="AX150" s="41"/>
      <c r="AY150" s="41"/>
      <c r="AZ150" s="41"/>
      <c r="BA150" s="41"/>
      <c r="BB150" s="41"/>
      <c r="BC150" s="40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6"/>
      <c r="BP150" s="41"/>
      <c r="BQ150" s="40"/>
      <c r="BR150" s="40"/>
      <c r="BS150" s="46"/>
      <c r="BT150" s="40"/>
      <c r="BU150" s="40"/>
      <c r="BV150" s="40"/>
      <c r="BW150" s="40"/>
      <c r="BX150" s="34"/>
      <c r="BY150" s="47">
        <v>76767</v>
      </c>
      <c r="BZ150" s="40"/>
      <c r="CA150" s="46"/>
      <c r="CB150" s="34"/>
      <c r="CC150" s="34"/>
      <c r="CD150" s="34"/>
      <c r="CE150" s="34"/>
      <c r="CF150" s="34"/>
      <c r="CG150" s="122"/>
      <c r="CI150" s="122"/>
      <c r="CJ150" s="30"/>
      <c r="CK150" s="122">
        <v>0</v>
      </c>
      <c r="CL150" s="122">
        <v>0</v>
      </c>
      <c r="CM150" s="122">
        <v>0</v>
      </c>
      <c r="CN150" s="122">
        <v>0</v>
      </c>
      <c r="CO150" s="122">
        <f>SUMIFS(BB___HK___AMHS__Others[AR Amount],BB___HK___AMHS__Others[PO No.],AR_725[[#This Row],[tsmc PO '#]],BB___HK___AMHS__Others[Status],"&lt;&gt;Rejected",BB___HK___AMHS__Others[YearMonth],"2024-07")</f>
        <v>0</v>
      </c>
      <c r="CP150" s="122">
        <f>SUMIFS(BB___HK___AMHS__Others[Tax],BB___HK___AMHS__Others[PO No.],AR_725[[#This Row],[tsmc PO '#]],BB___HK___AMHS__Others[Status],"&lt;&gt;Rejected",BB___HK___AMHS__Others[YearMonth],"2024-07")</f>
        <v>0</v>
      </c>
      <c r="CQ150" s="34">
        <f>SUMIFS(BB___HK___AMHS__Others[AR Amount],BB___HK___AMHS__Others[PO No.],AR_725[[#This Row],[tsmc PO '#]],BB___HK___AMHS__Others[Status],"&lt;&gt;Rejected",BB___HK___AMHS__Others[YearMonth],"2024-08")</f>
        <v>0</v>
      </c>
      <c r="CR150" s="44">
        <f>SUMIFS(BB___HK___AMHS__Others[Tax],BB___HK___AMHS__Others[PO No.],AR_725[[#This Row],[tsmc PO '#]],BB___HK___AMHS__Others[Status],"&lt;&gt;Rejected",BB___HK___AMHS__Others[YearMonth],"2024-08")</f>
        <v>0</v>
      </c>
      <c r="CS150" s="62">
        <f>SUMIFS(BB___HK___AMHS__Others[AR Amount],BB___HK___AMHS__Others[PO No.],AR_725[[#This Row],[tsmc PO '#]],BB___HK___AMHS__Others[Status],"&lt;&gt;Rejected",BB___HK___AMHS__Others[YearMonth],"2024-09")</f>
        <v>0</v>
      </c>
      <c r="CT150" s="601">
        <f>SUMIFS(BB___HK___AMHS__Others[Tax],BB___HK___AMHS__Others[PO No.],AR_725[[#This Row],[tsmc PO '#]],BB___HK___AMHS__Others[Status],"&lt;&gt;Rejected",BB___HK___AMHS__Others[YearMonth],"2024-09")</f>
        <v>0</v>
      </c>
    </row>
    <row r="151" spans="1:98" ht="14.1" hidden="1">
      <c r="A151" s="30" t="s">
        <v>12</v>
      </c>
      <c r="B151" s="30" t="s">
        <v>2113</v>
      </c>
      <c r="D151" s="50" t="s">
        <v>8</v>
      </c>
      <c r="E151" s="48" t="s">
        <v>2109</v>
      </c>
      <c r="F151" s="57" t="s">
        <v>2110</v>
      </c>
      <c r="G151" s="63" t="s">
        <v>54</v>
      </c>
      <c r="H151" s="50">
        <v>4590013061</v>
      </c>
      <c r="I151" s="30" t="s">
        <v>434</v>
      </c>
      <c r="J151" s="30" t="s">
        <v>659</v>
      </c>
      <c r="K151" s="46">
        <v>115150.1</v>
      </c>
      <c r="L151" s="30"/>
      <c r="M151" s="86">
        <v>45177</v>
      </c>
      <c r="N151" s="87"/>
      <c r="O151" s="88" t="s">
        <v>2156</v>
      </c>
      <c r="P15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115150</v>
      </c>
      <c r="Q15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115150</v>
      </c>
      <c r="R15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115150.1</v>
      </c>
      <c r="S151" s="72">
        <f>IF(AR_725[[#This Row],[PO Amount]]=0,1,AR_725[[#This Row],[Total AR (Sent)]]/AR_725[[#This Row],[PO Amount]])</f>
        <v>0.9999991315682748</v>
      </c>
      <c r="T151" s="75">
        <f>AR_725[[#This Row],[PO Amount]]-AR_725[[#This Row],[Total AR (Sent)]]</f>
        <v>0.10000000000582077</v>
      </c>
      <c r="U151" s="40"/>
      <c r="V151" s="40"/>
      <c r="W151" s="46"/>
      <c r="X151" s="46"/>
      <c r="Y151" s="46"/>
      <c r="Z151" s="46"/>
      <c r="AA151" s="46"/>
      <c r="AB151" s="40"/>
      <c r="AC151" s="40"/>
      <c r="AD151" s="40"/>
      <c r="AE151" s="46"/>
      <c r="AF151" s="46"/>
      <c r="AG151" s="40"/>
      <c r="AH151" s="46"/>
      <c r="AI151" s="40"/>
      <c r="AJ151" s="41"/>
      <c r="AK151" s="40"/>
      <c r="AL151" s="46"/>
      <c r="AM151" s="40"/>
      <c r="AN151" s="46"/>
      <c r="AO151" s="40"/>
      <c r="AP151" s="46"/>
      <c r="AQ151" s="40"/>
      <c r="AR151" s="41"/>
      <c r="AS151" s="40"/>
      <c r="AT151" s="41"/>
      <c r="AU151" s="40"/>
      <c r="AV151" s="41"/>
      <c r="AW151" s="41"/>
      <c r="AX151" s="41"/>
      <c r="AY151" s="41"/>
      <c r="AZ151" s="41"/>
      <c r="BA151" s="41"/>
      <c r="BB151" s="41"/>
      <c r="BC151" s="40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6"/>
      <c r="BP151" s="41"/>
      <c r="BQ151" s="40"/>
      <c r="BR151" s="40"/>
      <c r="BS151" s="46"/>
      <c r="BT151" s="40"/>
      <c r="BU151" s="40"/>
      <c r="BV151" s="40"/>
      <c r="BW151" s="40"/>
      <c r="BX151" s="34"/>
      <c r="BY151" s="47">
        <v>115150</v>
      </c>
      <c r="BZ151" s="40"/>
      <c r="CA151" s="46"/>
      <c r="CB151" s="34"/>
      <c r="CC151" s="34"/>
      <c r="CD151" s="34"/>
      <c r="CE151" s="34"/>
      <c r="CF151" s="34"/>
      <c r="CG151" s="122"/>
      <c r="CI151" s="122"/>
      <c r="CJ151" s="30"/>
      <c r="CK151" s="122">
        <v>0</v>
      </c>
      <c r="CL151" s="122">
        <v>0</v>
      </c>
      <c r="CM151" s="122">
        <v>0</v>
      </c>
      <c r="CN151" s="122">
        <v>0</v>
      </c>
      <c r="CO151" s="122">
        <f>SUMIFS(BB___HK___AMHS__Others[AR Amount],BB___HK___AMHS__Others[PO No.],AR_725[[#This Row],[tsmc PO '#]],BB___HK___AMHS__Others[Status],"&lt;&gt;Rejected",BB___HK___AMHS__Others[YearMonth],"2024-07")</f>
        <v>0</v>
      </c>
      <c r="CP151" s="122">
        <f>SUMIFS(BB___HK___AMHS__Others[Tax],BB___HK___AMHS__Others[PO No.],AR_725[[#This Row],[tsmc PO '#]],BB___HK___AMHS__Others[Status],"&lt;&gt;Rejected",BB___HK___AMHS__Others[YearMonth],"2024-07")</f>
        <v>0</v>
      </c>
      <c r="CQ151" s="34">
        <f>SUMIFS(BB___HK___AMHS__Others[AR Amount],BB___HK___AMHS__Others[PO No.],AR_725[[#This Row],[tsmc PO '#]],BB___HK___AMHS__Others[Status],"&lt;&gt;Rejected",BB___HK___AMHS__Others[YearMonth],"2024-08")</f>
        <v>0</v>
      </c>
      <c r="CR151" s="44">
        <f>SUMIFS(BB___HK___AMHS__Others[Tax],BB___HK___AMHS__Others[PO No.],AR_725[[#This Row],[tsmc PO '#]],BB___HK___AMHS__Others[Status],"&lt;&gt;Rejected",BB___HK___AMHS__Others[YearMonth],"2024-08")</f>
        <v>0</v>
      </c>
      <c r="CS151" s="62">
        <f>SUMIFS(BB___HK___AMHS__Others[AR Amount],BB___HK___AMHS__Others[PO No.],AR_725[[#This Row],[tsmc PO '#]],BB___HK___AMHS__Others[Status],"&lt;&gt;Rejected",BB___HK___AMHS__Others[YearMonth],"2024-09")</f>
        <v>0</v>
      </c>
      <c r="CT151" s="601">
        <f>SUMIFS(BB___HK___AMHS__Others[Tax],BB___HK___AMHS__Others[PO No.],AR_725[[#This Row],[tsmc PO '#]],BB___HK___AMHS__Others[Status],"&lt;&gt;Rejected",BB___HK___AMHS__Others[YearMonth],"2024-09")</f>
        <v>0</v>
      </c>
    </row>
    <row r="152" spans="1:98" ht="14.1" hidden="1">
      <c r="A152" s="30" t="s">
        <v>12</v>
      </c>
      <c r="B152" s="30" t="s">
        <v>2113</v>
      </c>
      <c r="D152" s="50" t="s">
        <v>8</v>
      </c>
      <c r="E152" s="48" t="s">
        <v>2109</v>
      </c>
      <c r="F152" s="57" t="s">
        <v>2110</v>
      </c>
      <c r="G152" s="63" t="s">
        <v>54</v>
      </c>
      <c r="H152" s="50">
        <v>4590013062</v>
      </c>
      <c r="I152" s="30" t="s">
        <v>434</v>
      </c>
      <c r="J152" s="30" t="s">
        <v>661</v>
      </c>
      <c r="K152" s="46">
        <v>93809.87</v>
      </c>
      <c r="L152" s="30"/>
      <c r="M152" s="86">
        <v>45177</v>
      </c>
      <c r="N152" s="87"/>
      <c r="O152" s="88" t="s">
        <v>2156</v>
      </c>
      <c r="P15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93810</v>
      </c>
      <c r="Q15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93810</v>
      </c>
      <c r="R15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93809.87</v>
      </c>
      <c r="S152" s="72">
        <f>IF(AR_725[[#This Row],[PO Amount]]=0,1,AR_725[[#This Row],[Total AR (Sent)]]/AR_725[[#This Row],[PO Amount]])</f>
        <v>1.0000013857816881</v>
      </c>
      <c r="T152" s="75">
        <f>AR_725[[#This Row],[PO Amount]]-AR_725[[#This Row],[Total AR (Sent)]]</f>
        <v>-0.13000000000465661</v>
      </c>
      <c r="U152" s="40"/>
      <c r="V152" s="40"/>
      <c r="W152" s="46"/>
      <c r="X152" s="46"/>
      <c r="Y152" s="46"/>
      <c r="Z152" s="46"/>
      <c r="AA152" s="46"/>
      <c r="AB152" s="40"/>
      <c r="AC152" s="40"/>
      <c r="AD152" s="40"/>
      <c r="AE152" s="46"/>
      <c r="AF152" s="46"/>
      <c r="AG152" s="40"/>
      <c r="AH152" s="46"/>
      <c r="AI152" s="40"/>
      <c r="AJ152" s="41"/>
      <c r="AK152" s="40"/>
      <c r="AL152" s="46"/>
      <c r="AM152" s="40"/>
      <c r="AN152" s="46"/>
      <c r="AO152" s="40"/>
      <c r="AP152" s="46"/>
      <c r="AQ152" s="40"/>
      <c r="AR152" s="41"/>
      <c r="AS152" s="40"/>
      <c r="AT152" s="41"/>
      <c r="AU152" s="40"/>
      <c r="AV152" s="41"/>
      <c r="AW152" s="41"/>
      <c r="AX152" s="41"/>
      <c r="AY152" s="41"/>
      <c r="AZ152" s="41"/>
      <c r="BA152" s="41"/>
      <c r="BB152" s="41"/>
      <c r="BC152" s="40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6"/>
      <c r="BP152" s="41"/>
      <c r="BQ152" s="40"/>
      <c r="BR152" s="40"/>
      <c r="BS152" s="46"/>
      <c r="BT152" s="40"/>
      <c r="BU152" s="40"/>
      <c r="BV152" s="40"/>
      <c r="BW152" s="40"/>
      <c r="BX152" s="34"/>
      <c r="BY152" s="81">
        <v>93810</v>
      </c>
      <c r="BZ152" s="40"/>
      <c r="CA152" s="46"/>
      <c r="CB152" s="34"/>
      <c r="CC152" s="34"/>
      <c r="CD152" s="34"/>
      <c r="CE152" s="34"/>
      <c r="CF152" s="34"/>
      <c r="CG152" s="122"/>
      <c r="CI152" s="122"/>
      <c r="CJ152" s="30"/>
      <c r="CK152" s="122">
        <v>0</v>
      </c>
      <c r="CL152" s="122">
        <v>0</v>
      </c>
      <c r="CM152" s="122">
        <v>0</v>
      </c>
      <c r="CN152" s="122">
        <v>0</v>
      </c>
      <c r="CO152" s="122">
        <f>SUMIFS(BB___HK___AMHS__Others[AR Amount],BB___HK___AMHS__Others[PO No.],AR_725[[#This Row],[tsmc PO '#]],BB___HK___AMHS__Others[Status],"&lt;&gt;Rejected",BB___HK___AMHS__Others[YearMonth],"2024-07")</f>
        <v>0</v>
      </c>
      <c r="CP152" s="122">
        <f>SUMIFS(BB___HK___AMHS__Others[Tax],BB___HK___AMHS__Others[PO No.],AR_725[[#This Row],[tsmc PO '#]],BB___HK___AMHS__Others[Status],"&lt;&gt;Rejected",BB___HK___AMHS__Others[YearMonth],"2024-07")</f>
        <v>0</v>
      </c>
      <c r="CQ152" s="34">
        <f>SUMIFS(BB___HK___AMHS__Others[AR Amount],BB___HK___AMHS__Others[PO No.],AR_725[[#This Row],[tsmc PO '#]],BB___HK___AMHS__Others[Status],"&lt;&gt;Rejected",BB___HK___AMHS__Others[YearMonth],"2024-08")</f>
        <v>0</v>
      </c>
      <c r="CR152" s="44">
        <f>SUMIFS(BB___HK___AMHS__Others[Tax],BB___HK___AMHS__Others[PO No.],AR_725[[#This Row],[tsmc PO '#]],BB___HK___AMHS__Others[Status],"&lt;&gt;Rejected",BB___HK___AMHS__Others[YearMonth],"2024-08")</f>
        <v>0</v>
      </c>
      <c r="CS152" s="62">
        <f>SUMIFS(BB___HK___AMHS__Others[AR Amount],BB___HK___AMHS__Others[PO No.],AR_725[[#This Row],[tsmc PO '#]],BB___HK___AMHS__Others[Status],"&lt;&gt;Rejected",BB___HK___AMHS__Others[YearMonth],"2024-09")</f>
        <v>0</v>
      </c>
      <c r="CT152" s="601">
        <f>SUMIFS(BB___HK___AMHS__Others[Tax],BB___HK___AMHS__Others[PO No.],AR_725[[#This Row],[tsmc PO '#]],BB___HK___AMHS__Others[Status],"&lt;&gt;Rejected",BB___HK___AMHS__Others[YearMonth],"2024-09")</f>
        <v>0</v>
      </c>
    </row>
    <row r="153" spans="1:98" ht="14.1" hidden="1">
      <c r="A153" s="30" t="s">
        <v>12</v>
      </c>
      <c r="B153" s="30" t="s">
        <v>2113</v>
      </c>
      <c r="D153" s="50" t="s">
        <v>8</v>
      </c>
      <c r="E153" s="48" t="s">
        <v>2109</v>
      </c>
      <c r="F153" s="57" t="s">
        <v>2110</v>
      </c>
      <c r="G153" s="63" t="s">
        <v>54</v>
      </c>
      <c r="H153" s="50">
        <v>4590013063</v>
      </c>
      <c r="I153" s="30" t="s">
        <v>434</v>
      </c>
      <c r="J153" s="30" t="s">
        <v>663</v>
      </c>
      <c r="K153" s="46">
        <v>93809.87</v>
      </c>
      <c r="L153" s="30"/>
      <c r="M153" s="86">
        <v>45177</v>
      </c>
      <c r="N153" s="87"/>
      <c r="O153" s="88" t="s">
        <v>2156</v>
      </c>
      <c r="P15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93810</v>
      </c>
      <c r="Q15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93810</v>
      </c>
      <c r="R15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93809.87</v>
      </c>
      <c r="S153" s="72">
        <f>IF(AR_725[[#This Row],[PO Amount]]=0,1,AR_725[[#This Row],[Total AR (Sent)]]/AR_725[[#This Row],[PO Amount]])</f>
        <v>1.0000013857816881</v>
      </c>
      <c r="T153" s="75">
        <f>AR_725[[#This Row],[PO Amount]]-AR_725[[#This Row],[Total AR (Sent)]]</f>
        <v>-0.13000000000465661</v>
      </c>
      <c r="U153" s="40"/>
      <c r="V153" s="40"/>
      <c r="W153" s="46"/>
      <c r="X153" s="46"/>
      <c r="Y153" s="46"/>
      <c r="Z153" s="46"/>
      <c r="AA153" s="46"/>
      <c r="AB153" s="40"/>
      <c r="AC153" s="40"/>
      <c r="AD153" s="40"/>
      <c r="AE153" s="46"/>
      <c r="AF153" s="46"/>
      <c r="AG153" s="40"/>
      <c r="AH153" s="46"/>
      <c r="AI153" s="40"/>
      <c r="AJ153" s="41"/>
      <c r="AK153" s="40"/>
      <c r="AL153" s="46"/>
      <c r="AM153" s="40"/>
      <c r="AN153" s="46"/>
      <c r="AO153" s="40"/>
      <c r="AP153" s="46"/>
      <c r="AQ153" s="40"/>
      <c r="AR153" s="41"/>
      <c r="AS153" s="40"/>
      <c r="AT153" s="41"/>
      <c r="AU153" s="40"/>
      <c r="AV153" s="41"/>
      <c r="AW153" s="40"/>
      <c r="AX153" s="41"/>
      <c r="AY153" s="40"/>
      <c r="AZ153" s="41"/>
      <c r="BA153" s="41"/>
      <c r="BB153" s="41"/>
      <c r="BC153" s="40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6"/>
      <c r="BP153" s="41"/>
      <c r="BQ153" s="40"/>
      <c r="BR153" s="40"/>
      <c r="BS153" s="46"/>
      <c r="BT153" s="40"/>
      <c r="BU153" s="40"/>
      <c r="BV153" s="40"/>
      <c r="BW153" s="40"/>
      <c r="BX153" s="34"/>
      <c r="BY153" s="81">
        <v>93810</v>
      </c>
      <c r="BZ153" s="40"/>
      <c r="CA153" s="46"/>
      <c r="CB153" s="34"/>
      <c r="CC153" s="34"/>
      <c r="CD153" s="34"/>
      <c r="CE153" s="34"/>
      <c r="CF153" s="34"/>
      <c r="CG153" s="122"/>
      <c r="CI153" s="122"/>
      <c r="CJ153" s="30"/>
      <c r="CK153" s="122">
        <v>0</v>
      </c>
      <c r="CL153" s="122">
        <v>0</v>
      </c>
      <c r="CM153" s="122">
        <v>0</v>
      </c>
      <c r="CN153" s="122">
        <v>0</v>
      </c>
      <c r="CO153" s="122">
        <f>SUMIFS(BB___HK___AMHS__Others[AR Amount],BB___HK___AMHS__Others[PO No.],AR_725[[#This Row],[tsmc PO '#]],BB___HK___AMHS__Others[Status],"&lt;&gt;Rejected",BB___HK___AMHS__Others[YearMonth],"2024-07")</f>
        <v>0</v>
      </c>
      <c r="CP153" s="122">
        <f>SUMIFS(BB___HK___AMHS__Others[Tax],BB___HK___AMHS__Others[PO No.],AR_725[[#This Row],[tsmc PO '#]],BB___HK___AMHS__Others[Status],"&lt;&gt;Rejected",BB___HK___AMHS__Others[YearMonth],"2024-07")</f>
        <v>0</v>
      </c>
      <c r="CQ153" s="34">
        <f>SUMIFS(BB___HK___AMHS__Others[AR Amount],BB___HK___AMHS__Others[PO No.],AR_725[[#This Row],[tsmc PO '#]],BB___HK___AMHS__Others[Status],"&lt;&gt;Rejected",BB___HK___AMHS__Others[YearMonth],"2024-08")</f>
        <v>0</v>
      </c>
      <c r="CR153" s="44">
        <f>SUMIFS(BB___HK___AMHS__Others[Tax],BB___HK___AMHS__Others[PO No.],AR_725[[#This Row],[tsmc PO '#]],BB___HK___AMHS__Others[Status],"&lt;&gt;Rejected",BB___HK___AMHS__Others[YearMonth],"2024-08")</f>
        <v>0</v>
      </c>
      <c r="CS153" s="62">
        <f>SUMIFS(BB___HK___AMHS__Others[AR Amount],BB___HK___AMHS__Others[PO No.],AR_725[[#This Row],[tsmc PO '#]],BB___HK___AMHS__Others[Status],"&lt;&gt;Rejected",BB___HK___AMHS__Others[YearMonth],"2024-09")</f>
        <v>0</v>
      </c>
      <c r="CT153" s="601">
        <f>SUMIFS(BB___HK___AMHS__Others[Tax],BB___HK___AMHS__Others[PO No.],AR_725[[#This Row],[tsmc PO '#]],BB___HK___AMHS__Others[Status],"&lt;&gt;Rejected",BB___HK___AMHS__Others[YearMonth],"2024-09")</f>
        <v>0</v>
      </c>
    </row>
    <row r="154" spans="1:98" ht="14.1" hidden="1">
      <c r="A154" s="30" t="s">
        <v>13</v>
      </c>
      <c r="B154" s="30" t="s">
        <v>2113</v>
      </c>
      <c r="D154" s="50"/>
      <c r="E154" s="603" t="s">
        <v>2126</v>
      </c>
      <c r="F154" s="57" t="s">
        <v>2126</v>
      </c>
      <c r="G154" s="63" t="s">
        <v>2191</v>
      </c>
      <c r="H154" s="50">
        <v>4590013089</v>
      </c>
      <c r="I154" s="30" t="s">
        <v>361</v>
      </c>
      <c r="J154" s="30" t="s">
        <v>2192</v>
      </c>
      <c r="K154" s="46">
        <v>8047.2</v>
      </c>
      <c r="L154" s="30"/>
      <c r="M154" s="86"/>
      <c r="N154" s="87"/>
      <c r="O154" s="88"/>
      <c r="P15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15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15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154" s="72">
        <f>IF(AR_725[[#This Row],[PO Amount]]=0,1,AR_725[[#This Row],[Total AR (Sent)]]/AR_725[[#This Row],[PO Amount]])</f>
        <v>0</v>
      </c>
      <c r="T154" s="75">
        <f>AR_725[[#This Row],[PO Amount]]-AR_725[[#This Row],[Total AR (Sent)]]</f>
        <v>8047.2</v>
      </c>
      <c r="U154" s="40"/>
      <c r="V154" s="40"/>
      <c r="W154" s="46"/>
      <c r="X154" s="46"/>
      <c r="Y154" s="46"/>
      <c r="Z154" s="46"/>
      <c r="AA154" s="46"/>
      <c r="AB154" s="40"/>
      <c r="AC154" s="40"/>
      <c r="AD154" s="40"/>
      <c r="AE154" s="46"/>
      <c r="AF154" s="46"/>
      <c r="AG154" s="40"/>
      <c r="AH154" s="46"/>
      <c r="AI154" s="40"/>
      <c r="AJ154" s="46"/>
      <c r="AK154" s="40"/>
      <c r="AL154" s="46"/>
      <c r="AM154" s="40"/>
      <c r="AN154" s="46"/>
      <c r="AO154" s="40"/>
      <c r="AP154" s="46"/>
      <c r="AQ154" s="40"/>
      <c r="AR154" s="41"/>
      <c r="AS154" s="40"/>
      <c r="AT154" s="41"/>
      <c r="AU154" s="40"/>
      <c r="AV154" s="41"/>
      <c r="AW154" s="41"/>
      <c r="AX154" s="41"/>
      <c r="AY154" s="41"/>
      <c r="AZ154" s="41"/>
      <c r="BA154" s="41"/>
      <c r="BB154" s="41"/>
      <c r="BC154" s="34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6"/>
      <c r="BP154" s="41"/>
      <c r="BQ154" s="40"/>
      <c r="BR154" s="40"/>
      <c r="BS154" s="70"/>
      <c r="BT154" s="40"/>
      <c r="BU154" s="40"/>
      <c r="BV154" s="40"/>
      <c r="BW154" s="40"/>
      <c r="BX154" s="34"/>
      <c r="BZ154" s="40"/>
      <c r="CA154" s="40"/>
      <c r="CB154" s="34"/>
      <c r="CC154" s="34"/>
      <c r="CD154" s="34"/>
      <c r="CE154" s="34"/>
      <c r="CF154" s="34"/>
      <c r="CG154" s="122"/>
      <c r="CI154" s="122"/>
      <c r="CJ154" s="30"/>
      <c r="CK154" s="122">
        <v>0</v>
      </c>
      <c r="CL154" s="122">
        <v>0</v>
      </c>
      <c r="CM154" s="122">
        <v>0</v>
      </c>
      <c r="CN154" s="122">
        <v>0</v>
      </c>
      <c r="CO154" s="122">
        <f>SUMIFS(BB___HK___AMHS__Others[AR Amount],BB___HK___AMHS__Others[PO No.],AR_725[[#This Row],[tsmc PO '#]],BB___HK___AMHS__Others[Status],"&lt;&gt;Rejected",BB___HK___AMHS__Others[YearMonth],"2024-07")</f>
        <v>0</v>
      </c>
      <c r="CP154" s="122">
        <f>SUMIFS(BB___HK___AMHS__Others[Tax],BB___HK___AMHS__Others[PO No.],AR_725[[#This Row],[tsmc PO '#]],BB___HK___AMHS__Others[Status],"&lt;&gt;Rejected",BB___HK___AMHS__Others[YearMonth],"2024-07")</f>
        <v>0</v>
      </c>
      <c r="CQ154" s="34">
        <f>SUMIFS(BB___HK___AMHS__Others[AR Amount],BB___HK___AMHS__Others[PO No.],AR_725[[#This Row],[tsmc PO '#]],BB___HK___AMHS__Others[Status],"&lt;&gt;Rejected",BB___HK___AMHS__Others[YearMonth],"2024-08")</f>
        <v>0</v>
      </c>
      <c r="CR154" s="44">
        <f>SUMIFS(BB___HK___AMHS__Others[Tax],BB___HK___AMHS__Others[PO No.],AR_725[[#This Row],[tsmc PO '#]],BB___HK___AMHS__Others[Status],"&lt;&gt;Rejected",BB___HK___AMHS__Others[YearMonth],"2024-08")</f>
        <v>0</v>
      </c>
      <c r="CS154" s="62">
        <f>SUMIFS(BB___HK___AMHS__Others[AR Amount],BB___HK___AMHS__Others[PO No.],AR_725[[#This Row],[tsmc PO '#]],BB___HK___AMHS__Others[Status],"&lt;&gt;Rejected",BB___HK___AMHS__Others[YearMonth],"2024-09")</f>
        <v>0</v>
      </c>
      <c r="CT154" s="601">
        <f>SUMIFS(BB___HK___AMHS__Others[Tax],BB___HK___AMHS__Others[PO No.],AR_725[[#This Row],[tsmc PO '#]],BB___HK___AMHS__Others[Status],"&lt;&gt;Rejected",BB___HK___AMHS__Others[YearMonth],"2024-09")</f>
        <v>0</v>
      </c>
    </row>
    <row r="155" spans="1:98" ht="14.1" hidden="1">
      <c r="A155" s="30" t="s">
        <v>13</v>
      </c>
      <c r="B155" s="30" t="s">
        <v>13</v>
      </c>
      <c r="C155" s="30" t="s">
        <v>1794</v>
      </c>
      <c r="D155" s="50"/>
      <c r="E155" s="57"/>
      <c r="F155" s="118" t="s">
        <v>2126</v>
      </c>
      <c r="G155" s="108" t="s">
        <v>54</v>
      </c>
      <c r="H155" s="50">
        <v>4590013324</v>
      </c>
      <c r="I155" s="30" t="s">
        <v>946</v>
      </c>
      <c r="J155" s="109" t="s">
        <v>944</v>
      </c>
      <c r="K155" s="46">
        <v>793000</v>
      </c>
      <c r="L155" s="30"/>
      <c r="M155" s="86"/>
      <c r="N155" s="87"/>
      <c r="O155" s="88"/>
      <c r="P15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700483</v>
      </c>
      <c r="Q15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589598</v>
      </c>
      <c r="R15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700483</v>
      </c>
      <c r="S155" s="72">
        <f>IF(AR_725[[#This Row],[PO Amount]]=0,1,AR_725[[#This Row],[Total AR (Sent)]]/AR_725[[#This Row],[PO Amount]])</f>
        <v>0.88333291298865069</v>
      </c>
      <c r="T155" s="75">
        <f>AR_725[[#This Row],[PO Amount]]-AR_725[[#This Row],[Total AR (Sent)]]</f>
        <v>92517</v>
      </c>
      <c r="U155" s="40"/>
      <c r="V155" s="40"/>
      <c r="W155" s="46"/>
      <c r="X155" s="46"/>
      <c r="Y155" s="46"/>
      <c r="Z155" s="46"/>
      <c r="AA155" s="46"/>
      <c r="AB155" s="40"/>
      <c r="AC155" s="40"/>
      <c r="AD155" s="40"/>
      <c r="AE155" s="46"/>
      <c r="AF155" s="46"/>
      <c r="AG155" s="40"/>
      <c r="AH155" s="46"/>
      <c r="AI155" s="40"/>
      <c r="AJ155" s="41"/>
      <c r="AK155" s="40"/>
      <c r="AL155" s="46"/>
      <c r="AM155" s="46"/>
      <c r="AN155" s="46"/>
      <c r="AO155" s="40"/>
      <c r="AP155" s="46"/>
      <c r="AQ155" s="40"/>
      <c r="AR155" s="41"/>
      <c r="AS155" s="40"/>
      <c r="AT155" s="41"/>
      <c r="AU155" s="40"/>
      <c r="AV155" s="41"/>
      <c r="AW155" s="41"/>
      <c r="AX155" s="41"/>
      <c r="AY155" s="41"/>
      <c r="AZ155" s="41"/>
      <c r="BA155" s="41"/>
      <c r="BB155" s="41"/>
      <c r="BC155" s="34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6"/>
      <c r="BP155" s="41"/>
      <c r="BQ155" s="40"/>
      <c r="BR155" s="40"/>
      <c r="BS155" s="70"/>
      <c r="BT155" s="40"/>
      <c r="BU155" s="40"/>
      <c r="BV155" s="40"/>
      <c r="BW155" s="40"/>
      <c r="BX155" s="34"/>
      <c r="BZ155" s="40"/>
      <c r="CA155" s="40"/>
      <c r="CB155" s="34"/>
      <c r="CC155" s="34"/>
      <c r="CD155" s="34"/>
      <c r="CE155" s="34"/>
      <c r="CF155" s="34"/>
      <c r="CG155" s="122">
        <v>589598</v>
      </c>
      <c r="CI155" s="122">
        <v>108772</v>
      </c>
      <c r="CJ155" s="30"/>
      <c r="CK155" s="122">
        <v>2113</v>
      </c>
      <c r="CL155" s="122">
        <v>0</v>
      </c>
      <c r="CM155" s="122">
        <v>0</v>
      </c>
      <c r="CN155" s="122">
        <v>0</v>
      </c>
      <c r="CO155" s="122">
        <f>SUMIFS(BB___HK___AMHS__Others[AR Amount],BB___HK___AMHS__Others[PO No.],AR_725[[#This Row],[tsmc PO '#]],BB___HK___AMHS__Others[Status],"&lt;&gt;Rejected",BB___HK___AMHS__Others[YearMonth],"2024-07")</f>
        <v>0</v>
      </c>
      <c r="CP155" s="122">
        <f>SUMIFS(BB___HK___AMHS__Others[Tax],BB___HK___AMHS__Others[PO No.],AR_725[[#This Row],[tsmc PO '#]],BB___HK___AMHS__Others[Status],"&lt;&gt;Rejected",BB___HK___AMHS__Others[YearMonth],"2024-07")</f>
        <v>0</v>
      </c>
      <c r="CQ155" s="34">
        <f>SUMIFS(BB___HK___AMHS__Others[AR Amount],BB___HK___AMHS__Others[PO No.],AR_725[[#This Row],[tsmc PO '#]],BB___HK___AMHS__Others[Status],"&lt;&gt;Rejected",BB___HK___AMHS__Others[YearMonth],"2024-08")</f>
        <v>0</v>
      </c>
      <c r="CR155" s="44">
        <f>SUMIFS(BB___HK___AMHS__Others[Tax],BB___HK___AMHS__Others[PO No.],AR_725[[#This Row],[tsmc PO '#]],BB___HK___AMHS__Others[Status],"&lt;&gt;Rejected",BB___HK___AMHS__Others[YearMonth],"2024-08")</f>
        <v>0</v>
      </c>
      <c r="CS155" s="62">
        <f>SUMIFS(BB___HK___AMHS__Others[AR Amount],BB___HK___AMHS__Others[PO No.],AR_725[[#This Row],[tsmc PO '#]],BB___HK___AMHS__Others[Status],"&lt;&gt;Rejected",BB___HK___AMHS__Others[YearMonth],"2024-09")</f>
        <v>0</v>
      </c>
      <c r="CT155" s="601">
        <f>SUMIFS(BB___HK___AMHS__Others[Tax],BB___HK___AMHS__Others[PO No.],AR_725[[#This Row],[tsmc PO '#]],BB___HK___AMHS__Others[Status],"&lt;&gt;Rejected",BB___HK___AMHS__Others[YearMonth],"2024-09")</f>
        <v>0</v>
      </c>
    </row>
    <row r="156" spans="1:98" ht="14.1" hidden="1">
      <c r="A156" s="30" t="s">
        <v>13</v>
      </c>
      <c r="B156" s="30" t="s">
        <v>13</v>
      </c>
      <c r="D156" s="50"/>
      <c r="E156" s="50" t="s">
        <v>2044</v>
      </c>
      <c r="F156" s="48" t="s">
        <v>2193</v>
      </c>
      <c r="G156" s="63" t="s">
        <v>759</v>
      </c>
      <c r="H156" s="50">
        <v>4590013345</v>
      </c>
      <c r="I156" s="30" t="s">
        <v>227</v>
      </c>
      <c r="J156" s="30" t="s">
        <v>760</v>
      </c>
      <c r="K156" s="46">
        <v>2164306.4</v>
      </c>
      <c r="L156" s="30"/>
      <c r="M156" s="86"/>
      <c r="N156" s="87"/>
      <c r="O156" s="88"/>
      <c r="P15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2164306.4</v>
      </c>
      <c r="Q15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2164306.4</v>
      </c>
      <c r="R15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2164306.4</v>
      </c>
      <c r="S156" s="72">
        <f>IF(AR_725[[#This Row],[PO Amount]]=0,1,AR_725[[#This Row],[Total AR (Sent)]]/AR_725[[#This Row],[PO Amount]])</f>
        <v>1</v>
      </c>
      <c r="T156" s="75">
        <f>AR_725[[#This Row],[PO Amount]]-AR_725[[#This Row],[Total AR (Sent)]]</f>
        <v>0</v>
      </c>
      <c r="U156" s="40"/>
      <c r="V156" s="40"/>
      <c r="W156" s="46"/>
      <c r="X156" s="46"/>
      <c r="Y156" s="46"/>
      <c r="Z156" s="46"/>
      <c r="AA156" s="46"/>
      <c r="AB156" s="40"/>
      <c r="AC156" s="40"/>
      <c r="AD156" s="40"/>
      <c r="AE156" s="46"/>
      <c r="AF156" s="46"/>
      <c r="AG156" s="40"/>
      <c r="AH156" s="46"/>
      <c r="AI156" s="40"/>
      <c r="AJ156" s="41"/>
      <c r="AK156" s="40"/>
      <c r="AL156" s="46"/>
      <c r="AM156" s="40"/>
      <c r="AN156" s="46"/>
      <c r="AO156" s="40"/>
      <c r="AP156" s="46"/>
      <c r="AQ156" s="40"/>
      <c r="AR156" s="41"/>
      <c r="AS156" s="40"/>
      <c r="AT156" s="41"/>
      <c r="AU156" s="40"/>
      <c r="AV156" s="41"/>
      <c r="AW156" s="41"/>
      <c r="AX156" s="41"/>
      <c r="AY156" s="41"/>
      <c r="AZ156" s="41"/>
      <c r="BA156" s="41"/>
      <c r="BB156" s="41"/>
      <c r="BC156" s="40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6"/>
      <c r="BP156" s="41"/>
      <c r="BQ156" s="40"/>
      <c r="BR156" s="40"/>
      <c r="BS156" s="70"/>
      <c r="BT156" s="40"/>
      <c r="BU156" s="40"/>
      <c r="BV156" s="40"/>
      <c r="BW156" s="40"/>
      <c r="BX156" s="34"/>
      <c r="BZ156" s="40"/>
      <c r="CA156" s="40"/>
      <c r="CB156" s="34"/>
      <c r="CC156" s="34"/>
      <c r="CD156" s="34"/>
      <c r="CE156" s="42">
        <v>2164306.4</v>
      </c>
      <c r="CF156" s="34"/>
      <c r="CG156" s="122"/>
      <c r="CI156" s="122"/>
      <c r="CJ156" s="30"/>
      <c r="CK156" s="122">
        <v>0</v>
      </c>
      <c r="CL156" s="122">
        <v>0</v>
      </c>
      <c r="CM156" s="122">
        <v>0</v>
      </c>
      <c r="CN156" s="122">
        <v>0</v>
      </c>
      <c r="CO156" s="122">
        <f>SUMIFS(BB___HK___AMHS__Others[AR Amount],BB___HK___AMHS__Others[PO No.],AR_725[[#This Row],[tsmc PO '#]],BB___HK___AMHS__Others[Status],"&lt;&gt;Rejected",BB___HK___AMHS__Others[YearMonth],"2024-07")</f>
        <v>0</v>
      </c>
      <c r="CP156" s="122">
        <f>SUMIFS(BB___HK___AMHS__Others[Tax],BB___HK___AMHS__Others[PO No.],AR_725[[#This Row],[tsmc PO '#]],BB___HK___AMHS__Others[Status],"&lt;&gt;Rejected",BB___HK___AMHS__Others[YearMonth],"2024-07")</f>
        <v>0</v>
      </c>
      <c r="CQ156" s="34">
        <f>SUMIFS(BB___HK___AMHS__Others[AR Amount],BB___HK___AMHS__Others[PO No.],AR_725[[#This Row],[tsmc PO '#]],BB___HK___AMHS__Others[Status],"&lt;&gt;Rejected",BB___HK___AMHS__Others[YearMonth],"2024-08")</f>
        <v>0</v>
      </c>
      <c r="CR156" s="44">
        <f>SUMIFS(BB___HK___AMHS__Others[Tax],BB___HK___AMHS__Others[PO No.],AR_725[[#This Row],[tsmc PO '#]],BB___HK___AMHS__Others[Status],"&lt;&gt;Rejected",BB___HK___AMHS__Others[YearMonth],"2024-08")</f>
        <v>0</v>
      </c>
      <c r="CS156" s="62">
        <f>SUMIFS(BB___HK___AMHS__Others[AR Amount],BB___HK___AMHS__Others[PO No.],AR_725[[#This Row],[tsmc PO '#]],BB___HK___AMHS__Others[Status],"&lt;&gt;Rejected",BB___HK___AMHS__Others[YearMonth],"2024-09")</f>
        <v>0</v>
      </c>
      <c r="CT156" s="601">
        <f>SUMIFS(BB___HK___AMHS__Others[Tax],BB___HK___AMHS__Others[PO No.],AR_725[[#This Row],[tsmc PO '#]],BB___HK___AMHS__Others[Status],"&lt;&gt;Rejected",BB___HK___AMHS__Others[YearMonth],"2024-09")</f>
        <v>0</v>
      </c>
    </row>
    <row r="157" spans="1:98" ht="14.1" hidden="1">
      <c r="A157" s="30" t="s">
        <v>13</v>
      </c>
      <c r="B157" s="30" t="s">
        <v>13</v>
      </c>
      <c r="D157" s="50"/>
      <c r="E157" s="603" t="s">
        <v>2126</v>
      </c>
      <c r="F157" s="57" t="s">
        <v>2126</v>
      </c>
      <c r="G157" s="63" t="s">
        <v>856</v>
      </c>
      <c r="H157" s="50">
        <v>4590013410</v>
      </c>
      <c r="I157" s="30" t="s">
        <v>361</v>
      </c>
      <c r="J157" s="30" t="s">
        <v>857</v>
      </c>
      <c r="K157" s="46">
        <v>105218.1</v>
      </c>
      <c r="L157" s="30"/>
      <c r="M157" s="86"/>
      <c r="N157" s="87"/>
      <c r="O157" s="88"/>
      <c r="P15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32263.07</v>
      </c>
      <c r="Q15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32263.07</v>
      </c>
      <c r="R15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157" s="72">
        <f>IF(AR_725[[#This Row],[PO Amount]]=0,1,AR_725[[#This Row],[Total AR (Sent)]]/AR_725[[#This Row],[PO Amount]])</f>
        <v>0.3066304181504893</v>
      </c>
      <c r="T157" s="75">
        <f>AR_725[[#This Row],[PO Amount]]-AR_725[[#This Row],[Total AR (Sent)]]</f>
        <v>72955.03</v>
      </c>
      <c r="U157" s="40"/>
      <c r="V157" s="40"/>
      <c r="W157" s="46"/>
      <c r="X157" s="46"/>
      <c r="Y157" s="46"/>
      <c r="Z157" s="46"/>
      <c r="AA157" s="46"/>
      <c r="AB157" s="40"/>
      <c r="AC157" s="40"/>
      <c r="AD157" s="40"/>
      <c r="AE157" s="46"/>
      <c r="AF157" s="46"/>
      <c r="AG157" s="40"/>
      <c r="AH157" s="46"/>
      <c r="AI157" s="40"/>
      <c r="AJ157" s="41"/>
      <c r="AK157" s="40"/>
      <c r="AL157" s="46"/>
      <c r="AM157" s="40"/>
      <c r="AN157" s="46"/>
      <c r="AO157" s="40"/>
      <c r="AP157" s="46"/>
      <c r="AQ157" s="40"/>
      <c r="AR157" s="41"/>
      <c r="AS157" s="40"/>
      <c r="AT157" s="41"/>
      <c r="AU157" s="40"/>
      <c r="AV157" s="41"/>
      <c r="AW157" s="41"/>
      <c r="AX157" s="41"/>
      <c r="AY157" s="41"/>
      <c r="AZ157" s="41"/>
      <c r="BA157" s="41"/>
      <c r="BB157" s="41"/>
      <c r="BC157" s="34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6"/>
      <c r="BP157" s="41"/>
      <c r="BQ157" s="40"/>
      <c r="BR157" s="40"/>
      <c r="BS157" s="70"/>
      <c r="BT157" s="40"/>
      <c r="BU157" s="40"/>
      <c r="BV157" s="40"/>
      <c r="BW157" s="40"/>
      <c r="BX157" s="34"/>
      <c r="BZ157" s="40"/>
      <c r="CA157" s="40"/>
      <c r="CB157" s="34"/>
      <c r="CC157" s="34"/>
      <c r="CD157" s="34"/>
      <c r="CE157" s="61">
        <v>32263.07</v>
      </c>
      <c r="CF157" s="61">
        <v>1803.51</v>
      </c>
      <c r="CG157" s="122"/>
      <c r="CI157" s="122"/>
      <c r="CJ157" s="30"/>
      <c r="CK157" s="122">
        <v>0</v>
      </c>
      <c r="CL157" s="122">
        <v>0</v>
      </c>
      <c r="CM157" s="122">
        <v>0</v>
      </c>
      <c r="CN157" s="122">
        <v>0</v>
      </c>
      <c r="CO157" s="122">
        <f>SUMIFS(BB___HK___AMHS__Others[AR Amount],BB___HK___AMHS__Others[PO No.],AR_725[[#This Row],[tsmc PO '#]],BB___HK___AMHS__Others[Status],"&lt;&gt;Rejected",BB___HK___AMHS__Others[YearMonth],"2024-07")</f>
        <v>0</v>
      </c>
      <c r="CP157" s="122">
        <f>SUMIFS(BB___HK___AMHS__Others[Tax],BB___HK___AMHS__Others[PO No.],AR_725[[#This Row],[tsmc PO '#]],BB___HK___AMHS__Others[Status],"&lt;&gt;Rejected",BB___HK___AMHS__Others[YearMonth],"2024-07")</f>
        <v>0</v>
      </c>
      <c r="CQ157" s="34">
        <f>SUMIFS(BB___HK___AMHS__Others[AR Amount],BB___HK___AMHS__Others[PO No.],AR_725[[#This Row],[tsmc PO '#]],BB___HK___AMHS__Others[Status],"&lt;&gt;Rejected",BB___HK___AMHS__Others[YearMonth],"2024-08")</f>
        <v>0</v>
      </c>
      <c r="CR157" s="44">
        <f>SUMIFS(BB___HK___AMHS__Others[Tax],BB___HK___AMHS__Others[PO No.],AR_725[[#This Row],[tsmc PO '#]],BB___HK___AMHS__Others[Status],"&lt;&gt;Rejected",BB___HK___AMHS__Others[YearMonth],"2024-08")</f>
        <v>0</v>
      </c>
      <c r="CS157" s="62">
        <f>SUMIFS(BB___HK___AMHS__Others[AR Amount],BB___HK___AMHS__Others[PO No.],AR_725[[#This Row],[tsmc PO '#]],BB___HK___AMHS__Others[Status],"&lt;&gt;Rejected",BB___HK___AMHS__Others[YearMonth],"2024-09")</f>
        <v>0</v>
      </c>
      <c r="CT157" s="601">
        <f>SUMIFS(BB___HK___AMHS__Others[Tax],BB___HK___AMHS__Others[PO No.],AR_725[[#This Row],[tsmc PO '#]],BB___HK___AMHS__Others[Status],"&lt;&gt;Rejected",BB___HK___AMHS__Others[YearMonth],"2024-09")</f>
        <v>0</v>
      </c>
    </row>
    <row r="158" spans="1:98" ht="14.1" hidden="1">
      <c r="A158" s="30" t="s">
        <v>13</v>
      </c>
      <c r="B158" s="30" t="s">
        <v>13</v>
      </c>
      <c r="D158" s="50"/>
      <c r="E158" s="50" t="s">
        <v>2044</v>
      </c>
      <c r="F158" s="48" t="s">
        <v>2194</v>
      </c>
      <c r="G158" s="64" t="s">
        <v>54</v>
      </c>
      <c r="H158" s="50">
        <v>4590013412</v>
      </c>
      <c r="I158" s="30" t="s">
        <v>222</v>
      </c>
      <c r="J158" s="106" t="s">
        <v>748</v>
      </c>
      <c r="K158" s="41">
        <v>541839.32999999996</v>
      </c>
      <c r="L158" s="30"/>
      <c r="M158" s="86"/>
      <c r="N158" s="87"/>
      <c r="O158" s="88"/>
      <c r="P15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533120.59000000008</v>
      </c>
      <c r="Q15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459470.44000000006</v>
      </c>
      <c r="R15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533120.59000000008</v>
      </c>
      <c r="S158" s="72">
        <f>IF(AR_725[[#This Row],[PO Amount]]=0,1,AR_725[[#This Row],[Total AR (Sent)]]/AR_725[[#This Row],[PO Amount]])</f>
        <v>0.98390899383402108</v>
      </c>
      <c r="T158" s="68">
        <f>AR_725[[#This Row],[PO Amount]]-AR_725[[#This Row],[Total AR (Sent)]]</f>
        <v>8718.7399999998743</v>
      </c>
      <c r="U158" s="40"/>
      <c r="V158" s="40"/>
      <c r="W158" s="41"/>
      <c r="X158" s="41"/>
      <c r="Y158" s="41"/>
      <c r="Z158" s="41"/>
      <c r="AA158" s="41"/>
      <c r="AB158" s="40"/>
      <c r="AC158" s="40"/>
      <c r="AD158" s="40"/>
      <c r="AE158" s="41"/>
      <c r="AF158" s="41"/>
      <c r="AG158" s="40"/>
      <c r="AH158" s="41"/>
      <c r="AI158" s="40"/>
      <c r="AJ158" s="41"/>
      <c r="AK158" s="40"/>
      <c r="AL158" s="41"/>
      <c r="AM158" s="40"/>
      <c r="AN158" s="41"/>
      <c r="AO158" s="40"/>
      <c r="AP158" s="41"/>
      <c r="AQ158" s="40"/>
      <c r="AR158" s="41"/>
      <c r="AS158" s="40"/>
      <c r="AT158" s="41"/>
      <c r="AU158" s="40"/>
      <c r="AV158" s="41"/>
      <c r="AW158" s="40"/>
      <c r="AX158" s="41"/>
      <c r="AY158" s="40"/>
      <c r="AZ158" s="41"/>
      <c r="BA158" s="41"/>
      <c r="BB158" s="41"/>
      <c r="BC158" s="34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0"/>
      <c r="BR158" s="40"/>
      <c r="BS158" s="61"/>
      <c r="BT158" s="40"/>
      <c r="BU158" s="34"/>
      <c r="BV158" s="40"/>
      <c r="BW158" s="40"/>
      <c r="BX158" s="34"/>
      <c r="BY158" s="34"/>
      <c r="BZ158" s="40"/>
      <c r="CA158" s="52">
        <f>108367.87-108367.87</f>
        <v>0</v>
      </c>
      <c r="CB158" s="34"/>
      <c r="CC158" s="61">
        <f>366451.34-366451.34</f>
        <v>0</v>
      </c>
      <c r="CD158" s="34"/>
      <c r="CE158" s="42">
        <v>357732.59</v>
      </c>
      <c r="CF158" s="34"/>
      <c r="CG158" s="125">
        <v>101737.85</v>
      </c>
      <c r="CI158" s="122"/>
      <c r="CJ158" s="30"/>
      <c r="CK158" s="122">
        <v>73650.149999999994</v>
      </c>
      <c r="CL158" s="122">
        <v>0</v>
      </c>
      <c r="CM158" s="122">
        <v>0</v>
      </c>
      <c r="CN158" s="122">
        <v>0</v>
      </c>
      <c r="CO158" s="122">
        <f>SUMIFS(BB___HK___AMHS__Others[AR Amount],BB___HK___AMHS__Others[PO No.],AR_725[[#This Row],[tsmc PO '#]],BB___HK___AMHS__Others[Status],"&lt;&gt;Rejected",BB___HK___AMHS__Others[YearMonth],"2024-07")</f>
        <v>0</v>
      </c>
      <c r="CP158" s="122">
        <f>SUMIFS(BB___HK___AMHS__Others[Tax],BB___HK___AMHS__Others[PO No.],AR_725[[#This Row],[tsmc PO '#]],BB___HK___AMHS__Others[Status],"&lt;&gt;Rejected",BB___HK___AMHS__Others[YearMonth],"2024-07")</f>
        <v>0</v>
      </c>
      <c r="CQ158" s="34">
        <f>SUMIFS(BB___HK___AMHS__Others[AR Amount],BB___HK___AMHS__Others[PO No.],AR_725[[#This Row],[tsmc PO '#]],BB___HK___AMHS__Others[Status],"&lt;&gt;Rejected",BB___HK___AMHS__Others[YearMonth],"2024-08")</f>
        <v>0</v>
      </c>
      <c r="CR158" s="44">
        <f>SUMIFS(BB___HK___AMHS__Others[Tax],BB___HK___AMHS__Others[PO No.],AR_725[[#This Row],[tsmc PO '#]],BB___HK___AMHS__Others[Status],"&lt;&gt;Rejected",BB___HK___AMHS__Others[YearMonth],"2024-08")</f>
        <v>0</v>
      </c>
      <c r="CS158" s="62">
        <f>SUMIFS(BB___HK___AMHS__Others[AR Amount],BB___HK___AMHS__Others[PO No.],AR_725[[#This Row],[tsmc PO '#]],BB___HK___AMHS__Others[Status],"&lt;&gt;Rejected",BB___HK___AMHS__Others[YearMonth],"2024-09")</f>
        <v>0</v>
      </c>
      <c r="CT158" s="601">
        <f>SUMIFS(BB___HK___AMHS__Others[Tax],BB___HK___AMHS__Others[PO No.],AR_725[[#This Row],[tsmc PO '#]],BB___HK___AMHS__Others[Status],"&lt;&gt;Rejected",BB___HK___AMHS__Others[YearMonth],"2024-09")</f>
        <v>0</v>
      </c>
    </row>
    <row r="159" spans="1:98" ht="14.1" hidden="1">
      <c r="A159" s="30" t="s">
        <v>11</v>
      </c>
      <c r="B159" s="30" t="s">
        <v>2051</v>
      </c>
      <c r="C159" s="30" t="s">
        <v>2159</v>
      </c>
      <c r="D159" s="50" t="s">
        <v>1706</v>
      </c>
      <c r="E159" s="57" t="s">
        <v>2070</v>
      </c>
      <c r="F159" s="48" t="s">
        <v>2115</v>
      </c>
      <c r="G159" s="50" t="s">
        <v>1432</v>
      </c>
      <c r="H159" s="50">
        <v>4590013430</v>
      </c>
      <c r="I159" s="30" t="s">
        <v>129</v>
      </c>
      <c r="J159" s="30" t="s">
        <v>692</v>
      </c>
      <c r="K159" s="41">
        <v>327538.3</v>
      </c>
      <c r="L159" s="30"/>
      <c r="M159" s="86"/>
      <c r="N159" s="87"/>
      <c r="O159" s="88"/>
      <c r="P15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327538.3</v>
      </c>
      <c r="Q15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294784</v>
      </c>
      <c r="R15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327538.3</v>
      </c>
      <c r="S159" s="72">
        <f>IF(AR_725[[#This Row],[PO Amount]]=0,1,AR_725[[#This Row],[Total AR (Sent)]]/AR_725[[#This Row],[PO Amount]])</f>
        <v>1</v>
      </c>
      <c r="T159" s="68">
        <f>AR_725[[#This Row],[PO Amount]]-AR_725[[#This Row],[Total AR (Sent)]]</f>
        <v>0</v>
      </c>
      <c r="U159" s="40"/>
      <c r="V159" s="40"/>
      <c r="W159" s="41"/>
      <c r="X159" s="41"/>
      <c r="Y159" s="41"/>
      <c r="Z159" s="41"/>
      <c r="AA159" s="41"/>
      <c r="AB159" s="40"/>
      <c r="AC159" s="40"/>
      <c r="AD159" s="40"/>
      <c r="AE159" s="41"/>
      <c r="AF159" s="41"/>
      <c r="AG159" s="40"/>
      <c r="AH159" s="41"/>
      <c r="AI159" s="40"/>
      <c r="AJ159" s="41"/>
      <c r="AK159" s="40"/>
      <c r="AL159" s="41"/>
      <c r="AM159" s="40"/>
      <c r="AN159" s="41"/>
      <c r="AO159" s="40"/>
      <c r="AP159" s="41"/>
      <c r="AQ159" s="40"/>
      <c r="AR159" s="41"/>
      <c r="AS159" s="40"/>
      <c r="AT159" s="41"/>
      <c r="AU159" s="40"/>
      <c r="AV159" s="41"/>
      <c r="AW159" s="40"/>
      <c r="AX159" s="41"/>
      <c r="AY159" s="40"/>
      <c r="AZ159" s="41"/>
      <c r="BA159" s="41"/>
      <c r="BB159" s="41"/>
      <c r="BC159" s="34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0"/>
      <c r="BR159" s="40"/>
      <c r="BS159" s="61"/>
      <c r="BT159" s="40"/>
      <c r="BU159" s="34"/>
      <c r="BV159" s="40"/>
      <c r="BW159" s="40"/>
      <c r="BX159" s="34"/>
      <c r="BY159" s="34"/>
      <c r="BZ159" s="40"/>
      <c r="CA159" s="42">
        <v>196523</v>
      </c>
      <c r="CB159" s="34"/>
      <c r="CC159" s="43">
        <v>98261</v>
      </c>
      <c r="CD159" s="34"/>
      <c r="CE159" s="34"/>
      <c r="CF159" s="34"/>
      <c r="CG159" s="122"/>
      <c r="CI159" s="122"/>
      <c r="CJ159" s="30"/>
      <c r="CK159" s="122">
        <v>32754.3</v>
      </c>
      <c r="CL159" s="122">
        <v>0</v>
      </c>
      <c r="CM159" s="122">
        <v>0</v>
      </c>
      <c r="CN159" s="122">
        <v>0</v>
      </c>
      <c r="CO159" s="122">
        <f>SUMIFS(BB___HK___AMHS__Others[AR Amount],BB___HK___AMHS__Others[PO No.],AR_725[[#This Row],[tsmc PO '#]],BB___HK___AMHS__Others[Status],"&lt;&gt;Rejected",BB___HK___AMHS__Others[YearMonth],"2024-07")</f>
        <v>0</v>
      </c>
      <c r="CP159" s="122">
        <f>SUMIFS(BB___HK___AMHS__Others[Tax],BB___HK___AMHS__Others[PO No.],AR_725[[#This Row],[tsmc PO '#]],BB___HK___AMHS__Others[Status],"&lt;&gt;Rejected",BB___HK___AMHS__Others[YearMonth],"2024-07")</f>
        <v>0</v>
      </c>
      <c r="CQ159" s="34">
        <f>SUMIFS(BB___HK___AMHS__Others[AR Amount],BB___HK___AMHS__Others[PO No.],AR_725[[#This Row],[tsmc PO '#]],BB___HK___AMHS__Others[Status],"&lt;&gt;Rejected",BB___HK___AMHS__Others[YearMonth],"2024-08")</f>
        <v>0</v>
      </c>
      <c r="CR159" s="44">
        <f>SUMIFS(BB___HK___AMHS__Others[Tax],BB___HK___AMHS__Others[PO No.],AR_725[[#This Row],[tsmc PO '#]],BB___HK___AMHS__Others[Status],"&lt;&gt;Rejected",BB___HK___AMHS__Others[YearMonth],"2024-08")</f>
        <v>0</v>
      </c>
      <c r="CS159" s="62">
        <f>SUMIFS(BB___HK___AMHS__Others[AR Amount],BB___HK___AMHS__Others[PO No.],AR_725[[#This Row],[tsmc PO '#]],BB___HK___AMHS__Others[Status],"&lt;&gt;Rejected",BB___HK___AMHS__Others[YearMonth],"2024-09")</f>
        <v>0</v>
      </c>
      <c r="CT159" s="601">
        <f>SUMIFS(BB___HK___AMHS__Others[Tax],BB___HK___AMHS__Others[PO No.],AR_725[[#This Row],[tsmc PO '#]],BB___HK___AMHS__Others[Status],"&lt;&gt;Rejected",BB___HK___AMHS__Others[YearMonth],"2024-09")</f>
        <v>0</v>
      </c>
    </row>
    <row r="160" spans="1:98" ht="14.1" hidden="1">
      <c r="A160" s="30" t="s">
        <v>9</v>
      </c>
      <c r="B160" s="30" t="s">
        <v>2051</v>
      </c>
      <c r="C160" s="30" t="s">
        <v>2184</v>
      </c>
      <c r="D160" s="50"/>
      <c r="E160" s="48"/>
      <c r="F160" s="48"/>
      <c r="G160" s="64" t="s">
        <v>54</v>
      </c>
      <c r="H160" s="50">
        <v>4590013431</v>
      </c>
      <c r="I160" s="30" t="s">
        <v>300</v>
      </c>
      <c r="J160" s="30" t="s">
        <v>611</v>
      </c>
      <c r="K160" s="46">
        <v>27027.71</v>
      </c>
      <c r="L160" s="30"/>
      <c r="M160" s="86"/>
      <c r="N160" s="87"/>
      <c r="O160" s="88"/>
      <c r="P16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27027.71</v>
      </c>
      <c r="Q16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27027.71</v>
      </c>
      <c r="R16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27027.71</v>
      </c>
      <c r="S160" s="72">
        <f>IF(AR_725[[#This Row],[PO Amount]]=0,1,AR_725[[#This Row],[Total AR (Sent)]]/AR_725[[#This Row],[PO Amount]])</f>
        <v>1</v>
      </c>
      <c r="T160" s="75">
        <f>AR_725[[#This Row],[PO Amount]]-AR_725[[#This Row],[Total AR (Sent)]]</f>
        <v>0</v>
      </c>
      <c r="U160" s="40"/>
      <c r="V160" s="40"/>
      <c r="W160" s="46"/>
      <c r="X160" s="46"/>
      <c r="Y160" s="46"/>
      <c r="Z160" s="46"/>
      <c r="AA160" s="46"/>
      <c r="AB160" s="40"/>
      <c r="AC160" s="40"/>
      <c r="AD160" s="40"/>
      <c r="AE160" s="46"/>
      <c r="AF160" s="46"/>
      <c r="AG160" s="40"/>
      <c r="AH160" s="46"/>
      <c r="AI160" s="40"/>
      <c r="AJ160" s="46"/>
      <c r="AK160" s="40"/>
      <c r="AL160" s="46"/>
      <c r="AM160" s="40"/>
      <c r="AN160" s="46"/>
      <c r="AO160" s="40"/>
      <c r="AP160" s="46"/>
      <c r="AQ160" s="40"/>
      <c r="AR160" s="41"/>
      <c r="AS160" s="40"/>
      <c r="AT160" s="41"/>
      <c r="AU160" s="40"/>
      <c r="AV160" s="41"/>
      <c r="AW160" s="41"/>
      <c r="AX160" s="41"/>
      <c r="AY160" s="41"/>
      <c r="AZ160" s="41"/>
      <c r="BA160" s="41"/>
      <c r="BB160" s="41"/>
      <c r="BC160" s="40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6"/>
      <c r="BP160" s="41"/>
      <c r="BQ160" s="40"/>
      <c r="BR160" s="40"/>
      <c r="BS160" s="70"/>
      <c r="BT160" s="40"/>
      <c r="BU160" s="40"/>
      <c r="BV160" s="40"/>
      <c r="BW160" s="47">
        <v>27027.71</v>
      </c>
      <c r="BX160" s="34"/>
      <c r="BZ160" s="40"/>
      <c r="CA160" s="40"/>
      <c r="CB160" s="34"/>
      <c r="CC160" s="34"/>
      <c r="CD160" s="34"/>
      <c r="CE160" s="34"/>
      <c r="CF160" s="34"/>
      <c r="CG160" s="122"/>
      <c r="CI160" s="122"/>
      <c r="CJ160" s="30"/>
      <c r="CK160" s="122">
        <v>0</v>
      </c>
      <c r="CL160" s="122">
        <v>0</v>
      </c>
      <c r="CM160" s="122">
        <v>0</v>
      </c>
      <c r="CN160" s="122">
        <v>0</v>
      </c>
      <c r="CO160" s="122">
        <f>SUMIFS(BB___HK___AMHS__Others[AR Amount],BB___HK___AMHS__Others[PO No.],AR_725[[#This Row],[tsmc PO '#]],BB___HK___AMHS__Others[Status],"&lt;&gt;Rejected",BB___HK___AMHS__Others[YearMonth],"2024-07")</f>
        <v>0</v>
      </c>
      <c r="CP160" s="122">
        <f>SUMIFS(BB___HK___AMHS__Others[Tax],BB___HK___AMHS__Others[PO No.],AR_725[[#This Row],[tsmc PO '#]],BB___HK___AMHS__Others[Status],"&lt;&gt;Rejected",BB___HK___AMHS__Others[YearMonth],"2024-07")</f>
        <v>0</v>
      </c>
      <c r="CQ160" s="34">
        <f>SUMIFS(BB___HK___AMHS__Others[AR Amount],BB___HK___AMHS__Others[PO No.],AR_725[[#This Row],[tsmc PO '#]],BB___HK___AMHS__Others[Status],"&lt;&gt;Rejected",BB___HK___AMHS__Others[YearMonth],"2024-08")</f>
        <v>0</v>
      </c>
      <c r="CR160" s="44">
        <f>SUMIFS(BB___HK___AMHS__Others[Tax],BB___HK___AMHS__Others[PO No.],AR_725[[#This Row],[tsmc PO '#]],BB___HK___AMHS__Others[Status],"&lt;&gt;Rejected",BB___HK___AMHS__Others[YearMonth],"2024-08")</f>
        <v>0</v>
      </c>
      <c r="CS160" s="62">
        <f>SUMIFS(BB___HK___AMHS__Others[AR Amount],BB___HK___AMHS__Others[PO No.],AR_725[[#This Row],[tsmc PO '#]],BB___HK___AMHS__Others[Status],"&lt;&gt;Rejected",BB___HK___AMHS__Others[YearMonth],"2024-09")</f>
        <v>0</v>
      </c>
      <c r="CT160" s="601">
        <f>SUMIFS(BB___HK___AMHS__Others[Tax],BB___HK___AMHS__Others[PO No.],AR_725[[#This Row],[tsmc PO '#]],BB___HK___AMHS__Others[Status],"&lt;&gt;Rejected",BB___HK___AMHS__Others[YearMonth],"2024-09")</f>
        <v>0</v>
      </c>
    </row>
    <row r="161" spans="1:98" ht="14.1">
      <c r="A161" s="30" t="s">
        <v>11</v>
      </c>
      <c r="B161" s="30" t="s">
        <v>2051</v>
      </c>
      <c r="C161" s="30" t="s">
        <v>2159</v>
      </c>
      <c r="D161" s="50" t="s">
        <v>1546</v>
      </c>
      <c r="E161" s="603" t="s">
        <v>2052</v>
      </c>
      <c r="F161" s="48" t="s">
        <v>2076</v>
      </c>
      <c r="G161" s="64" t="s">
        <v>948</v>
      </c>
      <c r="H161" s="50">
        <v>4590013433</v>
      </c>
      <c r="I161" s="30" t="s">
        <v>135</v>
      </c>
      <c r="J161" s="30" t="s">
        <v>949</v>
      </c>
      <c r="K161" s="46">
        <v>8832</v>
      </c>
      <c r="L161" s="30"/>
      <c r="M161" s="86"/>
      <c r="N161" s="87"/>
      <c r="O161" s="88"/>
      <c r="P16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6635.52</v>
      </c>
      <c r="Q16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16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5525.76</v>
      </c>
      <c r="S161" s="72">
        <f>IF(AR_725[[#This Row],[PO Amount]]=0,1,AR_725[[#This Row],[Total AR (Sent)]]/AR_725[[#This Row],[PO Amount]])</f>
        <v>0.75130434782608702</v>
      </c>
      <c r="T161" s="75">
        <f>AR_725[[#This Row],[PO Amount]]-AR_725[[#This Row],[Total AR (Sent)]]</f>
        <v>2196.4799999999996</v>
      </c>
      <c r="U161" s="40"/>
      <c r="V161" s="40"/>
      <c r="W161" s="46"/>
      <c r="X161" s="46"/>
      <c r="Y161" s="46"/>
      <c r="Z161" s="46"/>
      <c r="AA161" s="46"/>
      <c r="AB161" s="40"/>
      <c r="AC161" s="40"/>
      <c r="AD161" s="40"/>
      <c r="AE161" s="46"/>
      <c r="AF161" s="46"/>
      <c r="AG161" s="40"/>
      <c r="AH161" s="46"/>
      <c r="AI161" s="34"/>
      <c r="AJ161" s="41"/>
      <c r="AK161" s="34"/>
      <c r="AL161" s="46"/>
      <c r="AM161" s="40"/>
      <c r="AN161" s="46"/>
      <c r="AO161" s="40"/>
      <c r="AP161" s="46"/>
      <c r="AQ161" s="40"/>
      <c r="AR161" s="41"/>
      <c r="AS161" s="40"/>
      <c r="AT161" s="41"/>
      <c r="AU161" s="40"/>
      <c r="AV161" s="41"/>
      <c r="AW161" s="41"/>
      <c r="AX161" s="41"/>
      <c r="AY161" s="41"/>
      <c r="AZ161" s="41"/>
      <c r="BA161" s="41"/>
      <c r="BB161" s="41"/>
      <c r="BC161" s="40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6"/>
      <c r="BP161" s="41"/>
      <c r="BQ161" s="40"/>
      <c r="BR161" s="40"/>
      <c r="BS161" s="70"/>
      <c r="BT161" s="40"/>
      <c r="BU161" s="40"/>
      <c r="BV161" s="40"/>
      <c r="BW161" s="40"/>
      <c r="BX161" s="34"/>
      <c r="BZ161" s="40"/>
      <c r="CA161" s="40"/>
      <c r="CB161" s="34"/>
      <c r="CC161" s="34"/>
      <c r="CD161" s="34"/>
      <c r="CE161" s="34"/>
      <c r="CF161" s="34"/>
      <c r="CG161" s="126">
        <f>5525.76-5525.76</f>
        <v>0</v>
      </c>
      <c r="CI161" s="129">
        <v>5525.76</v>
      </c>
      <c r="CJ161" s="30"/>
      <c r="CK161" s="122">
        <v>0</v>
      </c>
      <c r="CL161" s="122">
        <v>0</v>
      </c>
      <c r="CM161" s="122">
        <v>0</v>
      </c>
      <c r="CN161" s="122">
        <v>0</v>
      </c>
      <c r="CO161" s="122">
        <f>SUMIFS(BB___HK___AMHS__Others[AR Amount],BB___HK___AMHS__Others[PO No.],AR_725[[#This Row],[tsmc PO '#]],BB___HK___AMHS__Others[Status],"&lt;&gt;Rejected",BB___HK___AMHS__Others[YearMonth],"2024-07")</f>
        <v>0</v>
      </c>
      <c r="CP161" s="122">
        <f>SUMIFS(BB___HK___AMHS__Others[Tax],BB___HK___AMHS__Others[PO No.],AR_725[[#This Row],[tsmc PO '#]],BB___HK___AMHS__Others[Status],"&lt;&gt;Rejected",BB___HK___AMHS__Others[YearMonth],"2024-07")</f>
        <v>0</v>
      </c>
      <c r="CQ161" s="34">
        <f>SUMIFS(BB___HK___AMHS__Others[AR Amount],BB___HK___AMHS__Others[PO No.],AR_725[[#This Row],[tsmc PO '#]],BB___HK___AMHS__Others[Status],"&lt;&gt;Rejected",BB___HK___AMHS__Others[YearMonth],"2024-08")</f>
        <v>0</v>
      </c>
      <c r="CR161" s="44">
        <f>SUMIFS(BB___HK___AMHS__Others[Tax],BB___HK___AMHS__Others[PO No.],AR_725[[#This Row],[tsmc PO '#]],BB___HK___AMHS__Others[Status],"&lt;&gt;Rejected",BB___HK___AMHS__Others[YearMonth],"2024-08")</f>
        <v>0</v>
      </c>
      <c r="CS161" s="62">
        <f>SUMIFS(BB___HK___AMHS__Others[AR Amount],BB___HK___AMHS__Others[PO No.],AR_725[[#This Row],[tsmc PO '#]],BB___HK___AMHS__Others[Status],"&lt;&gt;Rejected",BB___HK___AMHS__Others[YearMonth],"2024-09")</f>
        <v>1109.76</v>
      </c>
      <c r="CT161" s="601">
        <f>SUMIFS(BB___HK___AMHS__Others[Tax],BB___HK___AMHS__Others[PO No.],AR_725[[#This Row],[tsmc PO '#]],BB___HK___AMHS__Others[Status],"&lt;&gt;Rejected",BB___HK___AMHS__Others[YearMonth],"2024-09")</f>
        <v>0</v>
      </c>
    </row>
    <row r="162" spans="1:98" ht="14.1" hidden="1">
      <c r="A162" s="30" t="s">
        <v>13</v>
      </c>
      <c r="B162" s="30" t="s">
        <v>13</v>
      </c>
      <c r="D162" s="50"/>
      <c r="E162" s="603" t="s">
        <v>2126</v>
      </c>
      <c r="F162" s="57" t="s">
        <v>2126</v>
      </c>
      <c r="G162" s="63" t="s">
        <v>54</v>
      </c>
      <c r="H162" s="50">
        <v>4590013462</v>
      </c>
      <c r="I162" s="30" t="s">
        <v>361</v>
      </c>
      <c r="J162" s="30" t="s">
        <v>2195</v>
      </c>
      <c r="K162" s="46">
        <v>326221.65000000002</v>
      </c>
      <c r="L162" s="30"/>
      <c r="M162" s="86"/>
      <c r="N162" s="87"/>
      <c r="O162" s="88"/>
      <c r="P16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16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16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162" s="72">
        <f>IF(AR_725[[#This Row],[PO Amount]]=0,1,AR_725[[#This Row],[Total AR (Sent)]]/AR_725[[#This Row],[PO Amount]])</f>
        <v>0</v>
      </c>
      <c r="T162" s="75">
        <f>AR_725[[#This Row],[PO Amount]]-AR_725[[#This Row],[Total AR (Sent)]]</f>
        <v>326221.65000000002</v>
      </c>
      <c r="U162" s="40"/>
      <c r="V162" s="40"/>
      <c r="W162" s="46"/>
      <c r="X162" s="46"/>
      <c r="Y162" s="46"/>
      <c r="Z162" s="46"/>
      <c r="AA162" s="46"/>
      <c r="AB162" s="40"/>
      <c r="AC162" s="40"/>
      <c r="AD162" s="40"/>
      <c r="AE162" s="46"/>
      <c r="AF162" s="46"/>
      <c r="AG162" s="40"/>
      <c r="AH162" s="46"/>
      <c r="AI162" s="40"/>
      <c r="AJ162" s="46"/>
      <c r="AK162" s="40"/>
      <c r="AL162" s="46"/>
      <c r="AM162" s="40"/>
      <c r="AN162" s="46"/>
      <c r="AO162" s="40"/>
      <c r="AP162" s="46"/>
      <c r="AQ162" s="40"/>
      <c r="AR162" s="41"/>
      <c r="AS162" s="40"/>
      <c r="AT162" s="41"/>
      <c r="AU162" s="40"/>
      <c r="AV162" s="41"/>
      <c r="AW162" s="41"/>
      <c r="AX162" s="41"/>
      <c r="AY162" s="41"/>
      <c r="AZ162" s="41"/>
      <c r="BA162" s="41"/>
      <c r="BB162" s="41"/>
      <c r="BC162" s="34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6"/>
      <c r="BP162" s="41"/>
      <c r="BQ162" s="40"/>
      <c r="BR162" s="40"/>
      <c r="BS162" s="70"/>
      <c r="BT162" s="40"/>
      <c r="BU162" s="40"/>
      <c r="BV162" s="40"/>
      <c r="BW162" s="40"/>
      <c r="BX162" s="34"/>
      <c r="BZ162" s="40"/>
      <c r="CA162" s="40"/>
      <c r="CB162" s="34"/>
      <c r="CC162" s="34"/>
      <c r="CD162" s="34"/>
      <c r="CE162" s="34"/>
      <c r="CF162" s="34"/>
      <c r="CG162" s="122"/>
      <c r="CI162" s="122"/>
      <c r="CJ162" s="30"/>
      <c r="CK162" s="122">
        <v>0</v>
      </c>
      <c r="CL162" s="122">
        <v>0</v>
      </c>
      <c r="CM162" s="122">
        <v>0</v>
      </c>
      <c r="CN162" s="122">
        <v>0</v>
      </c>
      <c r="CO162" s="122">
        <f>SUMIFS(BB___HK___AMHS__Others[AR Amount],BB___HK___AMHS__Others[PO No.],AR_725[[#This Row],[tsmc PO '#]],BB___HK___AMHS__Others[Status],"&lt;&gt;Rejected",BB___HK___AMHS__Others[YearMonth],"2024-07")</f>
        <v>0</v>
      </c>
      <c r="CP162" s="122">
        <f>SUMIFS(BB___HK___AMHS__Others[Tax],BB___HK___AMHS__Others[PO No.],AR_725[[#This Row],[tsmc PO '#]],BB___HK___AMHS__Others[Status],"&lt;&gt;Rejected",BB___HK___AMHS__Others[YearMonth],"2024-07")</f>
        <v>0</v>
      </c>
      <c r="CQ162" s="34">
        <f>SUMIFS(BB___HK___AMHS__Others[AR Amount],BB___HK___AMHS__Others[PO No.],AR_725[[#This Row],[tsmc PO '#]],BB___HK___AMHS__Others[Status],"&lt;&gt;Rejected",BB___HK___AMHS__Others[YearMonth],"2024-08")</f>
        <v>0</v>
      </c>
      <c r="CR162" s="44">
        <f>SUMIFS(BB___HK___AMHS__Others[Tax],BB___HK___AMHS__Others[PO No.],AR_725[[#This Row],[tsmc PO '#]],BB___HK___AMHS__Others[Status],"&lt;&gt;Rejected",BB___HK___AMHS__Others[YearMonth],"2024-08")</f>
        <v>0</v>
      </c>
      <c r="CS162" s="62">
        <f>SUMIFS(BB___HK___AMHS__Others[AR Amount],BB___HK___AMHS__Others[PO No.],AR_725[[#This Row],[tsmc PO '#]],BB___HK___AMHS__Others[Status],"&lt;&gt;Rejected",BB___HK___AMHS__Others[YearMonth],"2024-09")</f>
        <v>0</v>
      </c>
      <c r="CT162" s="601">
        <f>SUMIFS(BB___HK___AMHS__Others[Tax],BB___HK___AMHS__Others[PO No.],AR_725[[#This Row],[tsmc PO '#]],BB___HK___AMHS__Others[Status],"&lt;&gt;Rejected",BB___HK___AMHS__Others[YearMonth],"2024-09")</f>
        <v>0</v>
      </c>
    </row>
    <row r="163" spans="1:98" ht="14.1" hidden="1">
      <c r="A163" s="30" t="s">
        <v>11</v>
      </c>
      <c r="B163" s="30" t="s">
        <v>2051</v>
      </c>
      <c r="C163" s="30" t="s">
        <v>2159</v>
      </c>
      <c r="D163" s="50" t="s">
        <v>1706</v>
      </c>
      <c r="E163" s="57" t="s">
        <v>2070</v>
      </c>
      <c r="F163" s="57" t="s">
        <v>2115</v>
      </c>
      <c r="G163" s="35" t="s">
        <v>336</v>
      </c>
      <c r="H163" s="50">
        <v>4590013480</v>
      </c>
      <c r="I163" s="30" t="s">
        <v>129</v>
      </c>
      <c r="J163" s="30" t="s">
        <v>693</v>
      </c>
      <c r="K163" s="46">
        <v>24670.81</v>
      </c>
      <c r="L163" s="30"/>
      <c r="M163" s="86"/>
      <c r="N163" s="87"/>
      <c r="O163" s="88"/>
      <c r="P16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19737</v>
      </c>
      <c r="Q16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19737</v>
      </c>
      <c r="R16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19737</v>
      </c>
      <c r="S163" s="72">
        <f>IF(AR_725[[#This Row],[PO Amount]]=0,1,AR_725[[#This Row],[Total AR (Sent)]]/AR_725[[#This Row],[PO Amount]])</f>
        <v>0.80001426787365304</v>
      </c>
      <c r="T163" s="75">
        <f>AR_725[[#This Row],[PO Amount]]-AR_725[[#This Row],[Total AR (Sent)]]</f>
        <v>4933.8100000000013</v>
      </c>
      <c r="U163" s="40"/>
      <c r="V163" s="40"/>
      <c r="W163" s="46"/>
      <c r="X163" s="46"/>
      <c r="Y163" s="46"/>
      <c r="Z163" s="46"/>
      <c r="AA163" s="46"/>
      <c r="AB163" s="40"/>
      <c r="AC163" s="40"/>
      <c r="AD163" s="40"/>
      <c r="AE163" s="46"/>
      <c r="AF163" s="46"/>
      <c r="AG163" s="40"/>
      <c r="AH163" s="46"/>
      <c r="AI163" s="40"/>
      <c r="AJ163" s="41"/>
      <c r="AK163" s="40"/>
      <c r="AL163" s="46"/>
      <c r="AM163" s="40"/>
      <c r="AN163" s="46"/>
      <c r="AO163" s="40"/>
      <c r="AP163" s="46"/>
      <c r="AQ163" s="40"/>
      <c r="AR163" s="41"/>
      <c r="AS163" s="40"/>
      <c r="AT163" s="41"/>
      <c r="AU163" s="40"/>
      <c r="AV163" s="41"/>
      <c r="AW163" s="40"/>
      <c r="AX163" s="41"/>
      <c r="AY163" s="40"/>
      <c r="AZ163" s="41"/>
      <c r="BA163" s="41"/>
      <c r="BB163" s="41"/>
      <c r="BC163" s="40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6"/>
      <c r="BP163" s="41"/>
      <c r="BQ163" s="40"/>
      <c r="BR163" s="40"/>
      <c r="BS163" s="70"/>
      <c r="BT163" s="40"/>
      <c r="BU163" s="40"/>
      <c r="BV163" s="40"/>
      <c r="BW163" s="40"/>
      <c r="BX163" s="34"/>
      <c r="BZ163" s="40"/>
      <c r="CA163" s="47">
        <v>19737</v>
      </c>
      <c r="CB163" s="34"/>
      <c r="CC163" s="34"/>
      <c r="CD163" s="34"/>
      <c r="CE163" s="34"/>
      <c r="CF163" s="34"/>
      <c r="CG163" s="122"/>
      <c r="CI163" s="122"/>
      <c r="CJ163" s="30"/>
      <c r="CK163" s="122">
        <v>0</v>
      </c>
      <c r="CL163" s="122">
        <v>0</v>
      </c>
      <c r="CM163" s="122">
        <v>0</v>
      </c>
      <c r="CN163" s="122">
        <v>0</v>
      </c>
      <c r="CO163" s="122">
        <f>SUMIFS(BB___HK___AMHS__Others[AR Amount],BB___HK___AMHS__Others[PO No.],AR_725[[#This Row],[tsmc PO '#]],BB___HK___AMHS__Others[Status],"&lt;&gt;Rejected",BB___HK___AMHS__Others[YearMonth],"2024-07")</f>
        <v>0</v>
      </c>
      <c r="CP163" s="122">
        <f>SUMIFS(BB___HK___AMHS__Others[Tax],BB___HK___AMHS__Others[PO No.],AR_725[[#This Row],[tsmc PO '#]],BB___HK___AMHS__Others[Status],"&lt;&gt;Rejected",BB___HK___AMHS__Others[YearMonth],"2024-07")</f>
        <v>0</v>
      </c>
      <c r="CQ163" s="34">
        <f>SUMIFS(BB___HK___AMHS__Others[AR Amount],BB___HK___AMHS__Others[PO No.],AR_725[[#This Row],[tsmc PO '#]],BB___HK___AMHS__Others[Status],"&lt;&gt;Rejected",BB___HK___AMHS__Others[YearMonth],"2024-08")</f>
        <v>0</v>
      </c>
      <c r="CR163" s="44">
        <f>SUMIFS(BB___HK___AMHS__Others[Tax],BB___HK___AMHS__Others[PO No.],AR_725[[#This Row],[tsmc PO '#]],BB___HK___AMHS__Others[Status],"&lt;&gt;Rejected",BB___HK___AMHS__Others[YearMonth],"2024-08")</f>
        <v>0</v>
      </c>
      <c r="CS163" s="62">
        <f>SUMIFS(BB___HK___AMHS__Others[AR Amount],BB___HK___AMHS__Others[PO No.],AR_725[[#This Row],[tsmc PO '#]],BB___HK___AMHS__Others[Status],"&lt;&gt;Rejected",BB___HK___AMHS__Others[YearMonth],"2024-09")</f>
        <v>0</v>
      </c>
      <c r="CT163" s="601">
        <f>SUMIFS(BB___HK___AMHS__Others[Tax],BB___HK___AMHS__Others[PO No.],AR_725[[#This Row],[tsmc PO '#]],BB___HK___AMHS__Others[Status],"&lt;&gt;Rejected",BB___HK___AMHS__Others[YearMonth],"2024-09")</f>
        <v>0</v>
      </c>
    </row>
    <row r="164" spans="1:98" ht="14.1" hidden="1">
      <c r="A164" s="30" t="s">
        <v>11</v>
      </c>
      <c r="B164" s="30" t="s">
        <v>2051</v>
      </c>
      <c r="C164" s="30" t="s">
        <v>2159</v>
      </c>
      <c r="D164" s="50" t="s">
        <v>1706</v>
      </c>
      <c r="E164" s="57" t="s">
        <v>2070</v>
      </c>
      <c r="F164" s="57" t="s">
        <v>2115</v>
      </c>
      <c r="G164" s="35" t="s">
        <v>336</v>
      </c>
      <c r="H164" s="50">
        <v>4590013481</v>
      </c>
      <c r="I164" s="30" t="s">
        <v>129</v>
      </c>
      <c r="J164" s="30" t="s">
        <v>694</v>
      </c>
      <c r="K164" s="46">
        <v>35640</v>
      </c>
      <c r="L164" s="30"/>
      <c r="M164" s="86"/>
      <c r="N164" s="87"/>
      <c r="O164" s="88"/>
      <c r="P16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35640</v>
      </c>
      <c r="Q16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35640</v>
      </c>
      <c r="R16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35640</v>
      </c>
      <c r="S164" s="72">
        <f>IF(AR_725[[#This Row],[PO Amount]]=0,1,AR_725[[#This Row],[Total AR (Sent)]]/AR_725[[#This Row],[PO Amount]])</f>
        <v>1</v>
      </c>
      <c r="T164" s="75">
        <f>AR_725[[#This Row],[PO Amount]]-AR_725[[#This Row],[Total AR (Sent)]]</f>
        <v>0</v>
      </c>
      <c r="U164" s="40"/>
      <c r="V164" s="40"/>
      <c r="W164" s="46"/>
      <c r="X164" s="46"/>
      <c r="Y164" s="46"/>
      <c r="Z164" s="46"/>
      <c r="AA164" s="46"/>
      <c r="AB164" s="40"/>
      <c r="AC164" s="40"/>
      <c r="AD164" s="40"/>
      <c r="AE164" s="46"/>
      <c r="AF164" s="46"/>
      <c r="AG164" s="40"/>
      <c r="AH164" s="46"/>
      <c r="AI164" s="40"/>
      <c r="AJ164" s="41"/>
      <c r="AK164" s="40"/>
      <c r="AL164" s="46"/>
      <c r="AM164" s="40"/>
      <c r="AN164" s="46"/>
      <c r="AO164" s="40"/>
      <c r="AP164" s="46"/>
      <c r="AQ164" s="40"/>
      <c r="AR164" s="41"/>
      <c r="AS164" s="40"/>
      <c r="AT164" s="41"/>
      <c r="AU164" s="40"/>
      <c r="AV164" s="41"/>
      <c r="AW164" s="40"/>
      <c r="AX164" s="41"/>
      <c r="AY164" s="40"/>
      <c r="AZ164" s="41"/>
      <c r="BA164" s="41"/>
      <c r="BB164" s="41"/>
      <c r="BC164" s="40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6"/>
      <c r="BP164" s="41"/>
      <c r="BQ164" s="40"/>
      <c r="BR164" s="40"/>
      <c r="BS164" s="70"/>
      <c r="BT164" s="40"/>
      <c r="BU164" s="40"/>
      <c r="BV164" s="40"/>
      <c r="BW164" s="40"/>
      <c r="BX164" s="34"/>
      <c r="BZ164" s="40"/>
      <c r="CA164" s="47">
        <v>35640</v>
      </c>
      <c r="CB164" s="34"/>
      <c r="CC164" s="34"/>
      <c r="CD164" s="34"/>
      <c r="CE164" s="34"/>
      <c r="CF164" s="34"/>
      <c r="CG164" s="122"/>
      <c r="CI164" s="122"/>
      <c r="CJ164" s="30"/>
      <c r="CK164" s="122">
        <v>0</v>
      </c>
      <c r="CL164" s="122">
        <v>0</v>
      </c>
      <c r="CM164" s="122">
        <v>0</v>
      </c>
      <c r="CN164" s="122">
        <v>0</v>
      </c>
      <c r="CO164" s="122">
        <f>SUMIFS(BB___HK___AMHS__Others[AR Amount],BB___HK___AMHS__Others[PO No.],AR_725[[#This Row],[tsmc PO '#]],BB___HK___AMHS__Others[Status],"&lt;&gt;Rejected",BB___HK___AMHS__Others[YearMonth],"2024-07")</f>
        <v>0</v>
      </c>
      <c r="CP164" s="122">
        <f>SUMIFS(BB___HK___AMHS__Others[Tax],BB___HK___AMHS__Others[PO No.],AR_725[[#This Row],[tsmc PO '#]],BB___HK___AMHS__Others[Status],"&lt;&gt;Rejected",BB___HK___AMHS__Others[YearMonth],"2024-07")</f>
        <v>0</v>
      </c>
      <c r="CQ164" s="34">
        <f>SUMIFS(BB___HK___AMHS__Others[AR Amount],BB___HK___AMHS__Others[PO No.],AR_725[[#This Row],[tsmc PO '#]],BB___HK___AMHS__Others[Status],"&lt;&gt;Rejected",BB___HK___AMHS__Others[YearMonth],"2024-08")</f>
        <v>0</v>
      </c>
      <c r="CR164" s="44">
        <f>SUMIFS(BB___HK___AMHS__Others[Tax],BB___HK___AMHS__Others[PO No.],AR_725[[#This Row],[tsmc PO '#]],BB___HK___AMHS__Others[Status],"&lt;&gt;Rejected",BB___HK___AMHS__Others[YearMonth],"2024-08")</f>
        <v>0</v>
      </c>
      <c r="CS164" s="62">
        <f>SUMIFS(BB___HK___AMHS__Others[AR Amount],BB___HK___AMHS__Others[PO No.],AR_725[[#This Row],[tsmc PO '#]],BB___HK___AMHS__Others[Status],"&lt;&gt;Rejected",BB___HK___AMHS__Others[YearMonth],"2024-09")</f>
        <v>0</v>
      </c>
      <c r="CT164" s="601">
        <f>SUMIFS(BB___HK___AMHS__Others[Tax],BB___HK___AMHS__Others[PO No.],AR_725[[#This Row],[tsmc PO '#]],BB___HK___AMHS__Others[Status],"&lt;&gt;Rejected",BB___HK___AMHS__Others[YearMonth],"2024-09")</f>
        <v>0</v>
      </c>
    </row>
    <row r="165" spans="1:98" ht="14.1" hidden="1">
      <c r="A165" s="30" t="s">
        <v>9</v>
      </c>
      <c r="B165" s="30" t="s">
        <v>2051</v>
      </c>
      <c r="C165" s="30" t="s">
        <v>2184</v>
      </c>
      <c r="D165" s="50" t="s">
        <v>1720</v>
      </c>
      <c r="E165" s="48" t="s">
        <v>2060</v>
      </c>
      <c r="F165" s="48" t="s">
        <v>2060</v>
      </c>
      <c r="G165" s="63" t="s">
        <v>312</v>
      </c>
      <c r="H165" s="50">
        <v>4590013482</v>
      </c>
      <c r="I165" s="30" t="s">
        <v>104</v>
      </c>
      <c r="J165" s="113" t="s">
        <v>664</v>
      </c>
      <c r="K165" s="46">
        <v>83072</v>
      </c>
      <c r="L165" s="30"/>
      <c r="M165" s="86"/>
      <c r="N165" s="87"/>
      <c r="O165" s="88"/>
      <c r="P16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83072</v>
      </c>
      <c r="Q16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45430</v>
      </c>
      <c r="R16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83072</v>
      </c>
      <c r="S165" s="72">
        <f>IF(AR_725[[#This Row],[PO Amount]]=0,1,AR_725[[#This Row],[Total AR (Sent)]]/AR_725[[#This Row],[PO Amount]])</f>
        <v>1</v>
      </c>
      <c r="T165" s="75">
        <f>AR_725[[#This Row],[PO Amount]]-AR_725[[#This Row],[Total AR (Sent)]]</f>
        <v>0</v>
      </c>
      <c r="U165" s="40"/>
      <c r="V165" s="40"/>
      <c r="W165" s="46"/>
      <c r="X165" s="46"/>
      <c r="Y165" s="46"/>
      <c r="Z165" s="46"/>
      <c r="AA165" s="46"/>
      <c r="AB165" s="40"/>
      <c r="AC165" s="40"/>
      <c r="AD165" s="40"/>
      <c r="AE165" s="46"/>
      <c r="AF165" s="46"/>
      <c r="AG165" s="40"/>
      <c r="AH165" s="46"/>
      <c r="AI165" s="40"/>
      <c r="AJ165" s="41"/>
      <c r="AK165" s="40"/>
      <c r="AL165" s="46"/>
      <c r="AM165" s="40"/>
      <c r="AN165" s="46"/>
      <c r="AO165" s="40"/>
      <c r="AP165" s="46"/>
      <c r="AQ165" s="40"/>
      <c r="AR165" s="41"/>
      <c r="AS165" s="40"/>
      <c r="AT165" s="41"/>
      <c r="AU165" s="40"/>
      <c r="AV165" s="41"/>
      <c r="AW165" s="40"/>
      <c r="AX165" s="41"/>
      <c r="AY165" s="40"/>
      <c r="AZ165" s="41"/>
      <c r="BA165" s="41"/>
      <c r="BB165" s="41"/>
      <c r="BC165" s="40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6"/>
      <c r="BP165" s="41"/>
      <c r="BQ165" s="40"/>
      <c r="BR165" s="40"/>
      <c r="BS165" s="70"/>
      <c r="BT165" s="40"/>
      <c r="BU165" s="40"/>
      <c r="BV165" s="40"/>
      <c r="BW165" s="40"/>
      <c r="BX165" s="34"/>
      <c r="BY165" s="47">
        <v>20768</v>
      </c>
      <c r="BZ165" s="40"/>
      <c r="CA165" s="47">
        <v>24662</v>
      </c>
      <c r="CB165" s="34"/>
      <c r="CC165" s="34"/>
      <c r="CD165" s="34"/>
      <c r="CE165" s="34"/>
      <c r="CF165" s="34"/>
      <c r="CG165" s="122"/>
      <c r="CI165" s="122"/>
      <c r="CJ165" s="30"/>
      <c r="CK165" s="122">
        <v>37642</v>
      </c>
      <c r="CL165" s="122">
        <v>0</v>
      </c>
      <c r="CM165" s="122">
        <v>0</v>
      </c>
      <c r="CN165" s="122">
        <v>0</v>
      </c>
      <c r="CO165" s="122">
        <f>SUMIFS(BB___HK___AMHS__Others[AR Amount],BB___HK___AMHS__Others[PO No.],AR_725[[#This Row],[tsmc PO '#]],BB___HK___AMHS__Others[Status],"&lt;&gt;Rejected",BB___HK___AMHS__Others[YearMonth],"2024-07")</f>
        <v>0</v>
      </c>
      <c r="CP165" s="122">
        <f>SUMIFS(BB___HK___AMHS__Others[Tax],BB___HK___AMHS__Others[PO No.],AR_725[[#This Row],[tsmc PO '#]],BB___HK___AMHS__Others[Status],"&lt;&gt;Rejected",BB___HK___AMHS__Others[YearMonth],"2024-07")</f>
        <v>0</v>
      </c>
      <c r="CQ165" s="34">
        <f>SUMIFS(BB___HK___AMHS__Others[AR Amount],BB___HK___AMHS__Others[PO No.],AR_725[[#This Row],[tsmc PO '#]],BB___HK___AMHS__Others[Status],"&lt;&gt;Rejected",BB___HK___AMHS__Others[YearMonth],"2024-08")</f>
        <v>0</v>
      </c>
      <c r="CR165" s="44">
        <f>SUMIFS(BB___HK___AMHS__Others[Tax],BB___HK___AMHS__Others[PO No.],AR_725[[#This Row],[tsmc PO '#]],BB___HK___AMHS__Others[Status],"&lt;&gt;Rejected",BB___HK___AMHS__Others[YearMonth],"2024-08")</f>
        <v>0</v>
      </c>
      <c r="CS165" s="62">
        <f>SUMIFS(BB___HK___AMHS__Others[AR Amount],BB___HK___AMHS__Others[PO No.],AR_725[[#This Row],[tsmc PO '#]],BB___HK___AMHS__Others[Status],"&lt;&gt;Rejected",BB___HK___AMHS__Others[YearMonth],"2024-09")</f>
        <v>0</v>
      </c>
      <c r="CT165" s="601">
        <f>SUMIFS(BB___HK___AMHS__Others[Tax],BB___HK___AMHS__Others[PO No.],AR_725[[#This Row],[tsmc PO '#]],BB___HK___AMHS__Others[Status],"&lt;&gt;Rejected",BB___HK___AMHS__Others[YearMonth],"2024-09")</f>
        <v>0</v>
      </c>
    </row>
    <row r="166" spans="1:98" ht="14.1" hidden="1">
      <c r="A166" s="30" t="s">
        <v>12</v>
      </c>
      <c r="B166" s="30" t="s">
        <v>2113</v>
      </c>
      <c r="C166" s="30" t="s">
        <v>2196</v>
      </c>
      <c r="D166" s="50" t="s">
        <v>1759</v>
      </c>
      <c r="E166" s="50" t="s">
        <v>2065</v>
      </c>
      <c r="F166" s="48" t="s">
        <v>2114</v>
      </c>
      <c r="G166" s="64" t="s">
        <v>1168</v>
      </c>
      <c r="H166" s="50">
        <v>4590013485</v>
      </c>
      <c r="I166" s="30" t="s">
        <v>120</v>
      </c>
      <c r="J166" s="30" t="s">
        <v>1169</v>
      </c>
      <c r="K166" s="46">
        <v>11489.84</v>
      </c>
      <c r="L166" s="30"/>
      <c r="M166" s="86">
        <v>45206</v>
      </c>
      <c r="N166" s="87"/>
      <c r="O166" s="88" t="s">
        <v>2156</v>
      </c>
      <c r="P16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10915.35</v>
      </c>
      <c r="Q16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16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10915.35</v>
      </c>
      <c r="S166" s="72">
        <f>IF(AR_725[[#This Row],[PO Amount]]=0,1,AR_725[[#This Row],[Total AR (Sent)]]/AR_725[[#This Row],[PO Amount]])</f>
        <v>0.9500001740668278</v>
      </c>
      <c r="T166" s="75">
        <f>AR_725[[#This Row],[PO Amount]]-AR_725[[#This Row],[Total AR (Sent)]]</f>
        <v>574.48999999999978</v>
      </c>
      <c r="U166" s="40"/>
      <c r="V166" s="40"/>
      <c r="W166" s="46"/>
      <c r="X166" s="46"/>
      <c r="Y166" s="46"/>
      <c r="Z166" s="46"/>
      <c r="AA166" s="46"/>
      <c r="AB166" s="40"/>
      <c r="AC166" s="40"/>
      <c r="AD166" s="40"/>
      <c r="AE166" s="46"/>
      <c r="AF166" s="46"/>
      <c r="AG166" s="40"/>
      <c r="AH166" s="46"/>
      <c r="AI166" s="40"/>
      <c r="AJ166" s="41"/>
      <c r="AK166" s="40"/>
      <c r="AL166" s="46"/>
      <c r="AM166" s="40"/>
      <c r="AN166" s="46"/>
      <c r="AO166" s="40"/>
      <c r="AP166" s="46"/>
      <c r="AQ166" s="40"/>
      <c r="AR166" s="41"/>
      <c r="AS166" s="40"/>
      <c r="AT166" s="41"/>
      <c r="AU166" s="40"/>
      <c r="AV166" s="41"/>
      <c r="AW166" s="40"/>
      <c r="AX166" s="41"/>
      <c r="AY166" s="40"/>
      <c r="AZ166" s="41"/>
      <c r="BA166" s="41"/>
      <c r="BB166" s="41"/>
      <c r="BC166" s="40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6"/>
      <c r="BP166" s="41"/>
      <c r="BQ166" s="46"/>
      <c r="BR166" s="40"/>
      <c r="BS166" s="40"/>
      <c r="BT166" s="40"/>
      <c r="BU166" s="40"/>
      <c r="BV166" s="40"/>
      <c r="BW166" s="40"/>
      <c r="BX166" s="34"/>
      <c r="BZ166" s="40"/>
      <c r="CA166" s="40"/>
      <c r="CB166" s="34"/>
      <c r="CC166" s="34"/>
      <c r="CD166" s="34"/>
      <c r="CE166" s="34"/>
      <c r="CF166" s="34"/>
      <c r="CG166" s="122"/>
      <c r="CI166" s="116">
        <v>10915.35</v>
      </c>
      <c r="CJ166" s="30"/>
      <c r="CK166" s="122">
        <v>0</v>
      </c>
      <c r="CL166" s="122">
        <v>0</v>
      </c>
      <c r="CM166" s="122">
        <v>0</v>
      </c>
      <c r="CN166" s="122">
        <v>0</v>
      </c>
      <c r="CO166" s="122">
        <f>SUMIFS(BB___HK___AMHS__Others[AR Amount],BB___HK___AMHS__Others[PO No.],AR_725[[#This Row],[tsmc PO '#]],BB___HK___AMHS__Others[Status],"&lt;&gt;Rejected",BB___HK___AMHS__Others[YearMonth],"2024-07")</f>
        <v>0</v>
      </c>
      <c r="CP166" s="122">
        <f>SUMIFS(BB___HK___AMHS__Others[Tax],BB___HK___AMHS__Others[PO No.],AR_725[[#This Row],[tsmc PO '#]],BB___HK___AMHS__Others[Status],"&lt;&gt;Rejected",BB___HK___AMHS__Others[YearMonth],"2024-07")</f>
        <v>0</v>
      </c>
      <c r="CQ166" s="34">
        <f>SUMIFS(BB___HK___AMHS__Others[AR Amount],BB___HK___AMHS__Others[PO No.],AR_725[[#This Row],[tsmc PO '#]],BB___HK___AMHS__Others[Status],"&lt;&gt;Rejected",BB___HK___AMHS__Others[YearMonth],"2024-08")</f>
        <v>0</v>
      </c>
      <c r="CR166" s="44">
        <f>SUMIFS(BB___HK___AMHS__Others[Tax],BB___HK___AMHS__Others[PO No.],AR_725[[#This Row],[tsmc PO '#]],BB___HK___AMHS__Others[Status],"&lt;&gt;Rejected",BB___HK___AMHS__Others[YearMonth],"2024-08")</f>
        <v>0</v>
      </c>
      <c r="CS166" s="62">
        <f>SUMIFS(BB___HK___AMHS__Others[AR Amount],BB___HK___AMHS__Others[PO No.],AR_725[[#This Row],[tsmc PO '#]],BB___HK___AMHS__Others[Status],"&lt;&gt;Rejected",BB___HK___AMHS__Others[YearMonth],"2024-09")</f>
        <v>0</v>
      </c>
      <c r="CT166" s="601">
        <f>SUMIFS(BB___HK___AMHS__Others[Tax],BB___HK___AMHS__Others[PO No.],AR_725[[#This Row],[tsmc PO '#]],BB___HK___AMHS__Others[Status],"&lt;&gt;Rejected",BB___HK___AMHS__Others[YearMonth],"2024-09")</f>
        <v>0</v>
      </c>
    </row>
    <row r="167" spans="1:98" ht="14.1" hidden="1">
      <c r="A167" s="30" t="s">
        <v>8</v>
      </c>
      <c r="B167" s="30" t="s">
        <v>8</v>
      </c>
      <c r="D167" s="50" t="s">
        <v>8</v>
      </c>
      <c r="E167" s="48" t="s">
        <v>2109</v>
      </c>
      <c r="F167" s="57" t="s">
        <v>2110</v>
      </c>
      <c r="G167" s="63" t="s">
        <v>2197</v>
      </c>
      <c r="H167" s="50">
        <v>4590013486</v>
      </c>
      <c r="I167" s="30" t="s">
        <v>300</v>
      </c>
      <c r="J167" s="30" t="s">
        <v>769</v>
      </c>
      <c r="K167" s="46">
        <v>31408</v>
      </c>
      <c r="L167" s="30"/>
      <c r="M167" s="86">
        <v>45206</v>
      </c>
      <c r="N167" s="87"/>
      <c r="O167" s="88" t="s">
        <v>2156</v>
      </c>
      <c r="P16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31408</v>
      </c>
      <c r="Q16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16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31408</v>
      </c>
      <c r="S167" s="72">
        <f>IF(AR_725[[#This Row],[PO Amount]]=0,1,AR_725[[#This Row],[Total AR (Sent)]]/AR_725[[#This Row],[PO Amount]])</f>
        <v>1</v>
      </c>
      <c r="T167" s="75">
        <f>AR_725[[#This Row],[PO Amount]]-AR_725[[#This Row],[Total AR (Sent)]]</f>
        <v>0</v>
      </c>
      <c r="U167" s="40"/>
      <c r="V167" s="40"/>
      <c r="W167" s="46"/>
      <c r="X167" s="46"/>
      <c r="Y167" s="46"/>
      <c r="Z167" s="46"/>
      <c r="AA167" s="46"/>
      <c r="AB167" s="40"/>
      <c r="AC167" s="40"/>
      <c r="AD167" s="40"/>
      <c r="AE167" s="46"/>
      <c r="AF167" s="46"/>
      <c r="AG167" s="40"/>
      <c r="AH167" s="46"/>
      <c r="AI167" s="40"/>
      <c r="AJ167" s="41"/>
      <c r="AK167" s="40"/>
      <c r="AL167" s="46"/>
      <c r="AM167" s="40"/>
      <c r="AN167" s="46"/>
      <c r="AO167" s="40"/>
      <c r="AP167" s="46"/>
      <c r="AQ167" s="40"/>
      <c r="AR167" s="41"/>
      <c r="AS167" s="40"/>
      <c r="AT167" s="41"/>
      <c r="AU167" s="40"/>
      <c r="AV167" s="41"/>
      <c r="AW167" s="40"/>
      <c r="AX167" s="41"/>
      <c r="AY167" s="40"/>
      <c r="AZ167" s="41"/>
      <c r="BA167" s="41"/>
      <c r="BB167" s="41"/>
      <c r="BC167" s="40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6"/>
      <c r="BP167" s="41"/>
      <c r="BQ167" s="46"/>
      <c r="BR167" s="40"/>
      <c r="BS167" s="40"/>
      <c r="BT167" s="40"/>
      <c r="BU167" s="40"/>
      <c r="BV167" s="40"/>
      <c r="BW167" s="40"/>
      <c r="BX167" s="34"/>
      <c r="BZ167" s="40"/>
      <c r="CA167" s="40"/>
      <c r="CB167" s="34"/>
      <c r="CC167" s="34"/>
      <c r="CD167" s="34"/>
      <c r="CE167" s="34"/>
      <c r="CF167" s="34"/>
      <c r="CG167" s="122">
        <f>SUMIFS(BB___HK___AMHS__Others[AR Amount],BB___HK___AMHS__Others[PO No.],AR_725[[#This Row],[tsmc PO '#]],BB___HK___AMHS__Others[Status],"&lt;&gt;Rejected",BB___HK___AMHS__Others[YearMonth],"2024-03")</f>
        <v>0</v>
      </c>
      <c r="CI167" s="122">
        <f>SUMIFS(BB___HK___AMHS__Others[AR Amount],BB___HK___AMHS__Others[PO No.],AR_725[[#This Row],[tsmc PO '#]],BB___HK___AMHS__Others[Status],"&lt;&gt;Rejected",BB___HK___AMHS__Others[YearMonth],"2024-04")</f>
        <v>0</v>
      </c>
      <c r="CJ167" s="30"/>
      <c r="CK167" s="122">
        <v>31408</v>
      </c>
      <c r="CL167" s="122">
        <v>0</v>
      </c>
      <c r="CM167" s="122">
        <v>0</v>
      </c>
      <c r="CN167" s="122">
        <v>0</v>
      </c>
      <c r="CO167" s="122">
        <f>SUMIFS(BB___HK___AMHS__Others[AR Amount],BB___HK___AMHS__Others[PO No.],AR_725[[#This Row],[tsmc PO '#]],BB___HK___AMHS__Others[Status],"&lt;&gt;Rejected",BB___HK___AMHS__Others[YearMonth],"2024-07")</f>
        <v>0</v>
      </c>
      <c r="CP167" s="122">
        <f>SUMIFS(BB___HK___AMHS__Others[Tax],BB___HK___AMHS__Others[PO No.],AR_725[[#This Row],[tsmc PO '#]],BB___HK___AMHS__Others[Status],"&lt;&gt;Rejected",BB___HK___AMHS__Others[YearMonth],"2024-07")</f>
        <v>0</v>
      </c>
      <c r="CQ167" s="34">
        <f>SUMIFS(BB___HK___AMHS__Others[AR Amount],BB___HK___AMHS__Others[PO No.],AR_725[[#This Row],[tsmc PO '#]],BB___HK___AMHS__Others[Status],"&lt;&gt;Rejected",BB___HK___AMHS__Others[YearMonth],"2024-08")</f>
        <v>0</v>
      </c>
      <c r="CR167" s="44">
        <f>SUMIFS(BB___HK___AMHS__Others[Tax],BB___HK___AMHS__Others[PO No.],AR_725[[#This Row],[tsmc PO '#]],BB___HK___AMHS__Others[Status],"&lt;&gt;Rejected",BB___HK___AMHS__Others[YearMonth],"2024-08")</f>
        <v>0</v>
      </c>
      <c r="CS167" s="62">
        <f>SUMIFS(BB___HK___AMHS__Others[AR Amount],BB___HK___AMHS__Others[PO No.],AR_725[[#This Row],[tsmc PO '#]],BB___HK___AMHS__Others[Status],"&lt;&gt;Rejected",BB___HK___AMHS__Others[YearMonth],"2024-09")</f>
        <v>0</v>
      </c>
      <c r="CT167" s="601">
        <f>SUMIFS(BB___HK___AMHS__Others[Tax],BB___HK___AMHS__Others[PO No.],AR_725[[#This Row],[tsmc PO '#]],BB___HK___AMHS__Others[Status],"&lt;&gt;Rejected",BB___HK___AMHS__Others[YearMonth],"2024-09")</f>
        <v>0</v>
      </c>
    </row>
    <row r="168" spans="1:98" ht="14.1" hidden="1">
      <c r="A168" s="30" t="s">
        <v>9</v>
      </c>
      <c r="B168" s="30" t="s">
        <v>2051</v>
      </c>
      <c r="C168" s="30" t="s">
        <v>2184</v>
      </c>
      <c r="D168" s="50" t="s">
        <v>1759</v>
      </c>
      <c r="E168" s="50" t="s">
        <v>2065</v>
      </c>
      <c r="F168" s="57" t="s">
        <v>2198</v>
      </c>
      <c r="G168" s="63" t="s">
        <v>54</v>
      </c>
      <c r="H168" s="50">
        <v>4590013495</v>
      </c>
      <c r="I168" s="30" t="s">
        <v>120</v>
      </c>
      <c r="J168" s="30" t="s">
        <v>695</v>
      </c>
      <c r="K168" s="46">
        <v>99113.34</v>
      </c>
      <c r="L168" s="30"/>
      <c r="M168" s="86">
        <v>45210</v>
      </c>
      <c r="N168" s="87"/>
      <c r="O168" s="88" t="s">
        <v>2156</v>
      </c>
      <c r="P16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99113.34</v>
      </c>
      <c r="Q16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79291</v>
      </c>
      <c r="R16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99113.34</v>
      </c>
      <c r="S168" s="72">
        <f>IF(AR_725[[#This Row],[PO Amount]]=0,1,AR_725[[#This Row],[Total AR (Sent)]]/AR_725[[#This Row],[PO Amount]])</f>
        <v>1</v>
      </c>
      <c r="T168" s="75">
        <f>AR_725[[#This Row],[PO Amount]]-AR_725[[#This Row],[Total AR (Sent)]]</f>
        <v>0</v>
      </c>
      <c r="U168" s="40"/>
      <c r="V168" s="40"/>
      <c r="W168" s="46"/>
      <c r="X168" s="46"/>
      <c r="Y168" s="46"/>
      <c r="Z168" s="46"/>
      <c r="AA168" s="46"/>
      <c r="AB168" s="40"/>
      <c r="AC168" s="40"/>
      <c r="AD168" s="40"/>
      <c r="AE168" s="46"/>
      <c r="AF168" s="46"/>
      <c r="AG168" s="40"/>
      <c r="AH168" s="46"/>
      <c r="AI168" s="40"/>
      <c r="AJ168" s="41"/>
      <c r="AK168" s="40"/>
      <c r="AL168" s="46"/>
      <c r="AM168" s="40"/>
      <c r="AN168" s="46"/>
      <c r="AO168" s="40"/>
      <c r="AP168" s="46"/>
      <c r="AQ168" s="40"/>
      <c r="AR168" s="41"/>
      <c r="AS168" s="40"/>
      <c r="AT168" s="41"/>
      <c r="AU168" s="40"/>
      <c r="AV168" s="41"/>
      <c r="AW168" s="40"/>
      <c r="AX168" s="41"/>
      <c r="AY168" s="40"/>
      <c r="AZ168" s="41"/>
      <c r="BA168" s="41"/>
      <c r="BB168" s="41"/>
      <c r="BC168" s="40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6"/>
      <c r="BP168" s="41"/>
      <c r="BQ168" s="46"/>
      <c r="BR168" s="40"/>
      <c r="BS168" s="40"/>
      <c r="BT168" s="40"/>
      <c r="BU168" s="40"/>
      <c r="BV168" s="40"/>
      <c r="BW168" s="40"/>
      <c r="BX168" s="34"/>
      <c r="BZ168" s="40"/>
      <c r="CA168" s="47">
        <v>79291</v>
      </c>
      <c r="CB168" s="34"/>
      <c r="CC168" s="34"/>
      <c r="CD168" s="34"/>
      <c r="CE168" s="34"/>
      <c r="CF168" s="34"/>
      <c r="CG168" s="122"/>
      <c r="CI168" s="122"/>
      <c r="CJ168" s="30"/>
      <c r="CK168" s="122">
        <v>19822.34</v>
      </c>
      <c r="CL168" s="122">
        <v>0</v>
      </c>
      <c r="CM168" s="122">
        <v>0</v>
      </c>
      <c r="CN168" s="122">
        <v>0</v>
      </c>
      <c r="CO168" s="122">
        <f>SUMIFS(BB___HK___AMHS__Others[AR Amount],BB___HK___AMHS__Others[PO No.],AR_725[[#This Row],[tsmc PO '#]],BB___HK___AMHS__Others[Status],"&lt;&gt;Rejected",BB___HK___AMHS__Others[YearMonth],"2024-07")</f>
        <v>0</v>
      </c>
      <c r="CP168" s="122">
        <f>SUMIFS(BB___HK___AMHS__Others[Tax],BB___HK___AMHS__Others[PO No.],AR_725[[#This Row],[tsmc PO '#]],BB___HK___AMHS__Others[Status],"&lt;&gt;Rejected",BB___HK___AMHS__Others[YearMonth],"2024-07")</f>
        <v>0</v>
      </c>
      <c r="CQ168" s="34">
        <f>SUMIFS(BB___HK___AMHS__Others[AR Amount],BB___HK___AMHS__Others[PO No.],AR_725[[#This Row],[tsmc PO '#]],BB___HK___AMHS__Others[Status],"&lt;&gt;Rejected",BB___HK___AMHS__Others[YearMonth],"2024-08")</f>
        <v>0</v>
      </c>
      <c r="CR168" s="44">
        <f>SUMIFS(BB___HK___AMHS__Others[Tax],BB___HK___AMHS__Others[PO No.],AR_725[[#This Row],[tsmc PO '#]],BB___HK___AMHS__Others[Status],"&lt;&gt;Rejected",BB___HK___AMHS__Others[YearMonth],"2024-08")</f>
        <v>0</v>
      </c>
      <c r="CS168" s="62">
        <f>SUMIFS(BB___HK___AMHS__Others[AR Amount],BB___HK___AMHS__Others[PO No.],AR_725[[#This Row],[tsmc PO '#]],BB___HK___AMHS__Others[Status],"&lt;&gt;Rejected",BB___HK___AMHS__Others[YearMonth],"2024-09")</f>
        <v>0</v>
      </c>
      <c r="CT168" s="601">
        <f>SUMIFS(BB___HK___AMHS__Others[Tax],BB___HK___AMHS__Others[PO No.],AR_725[[#This Row],[tsmc PO '#]],BB___HK___AMHS__Others[Status],"&lt;&gt;Rejected",BB___HK___AMHS__Others[YearMonth],"2024-09")</f>
        <v>0</v>
      </c>
    </row>
    <row r="169" spans="1:98" ht="14.1" hidden="1">
      <c r="A169" s="30" t="s">
        <v>8</v>
      </c>
      <c r="B169" s="30" t="s">
        <v>8</v>
      </c>
      <c r="D169" s="50" t="s">
        <v>8</v>
      </c>
      <c r="E169" s="48" t="s">
        <v>2109</v>
      </c>
      <c r="F169" s="64" t="s">
        <v>2110</v>
      </c>
      <c r="G169" s="63" t="s">
        <v>1453</v>
      </c>
      <c r="H169" s="50">
        <v>4590013561</v>
      </c>
      <c r="I169" s="30" t="s">
        <v>300</v>
      </c>
      <c r="J169" s="30" t="s">
        <v>567</v>
      </c>
      <c r="K169" s="46">
        <v>64464.4</v>
      </c>
      <c r="L169" s="30"/>
      <c r="M169" s="86"/>
      <c r="N169" s="87"/>
      <c r="O169" s="88"/>
      <c r="P16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64464.4</v>
      </c>
      <c r="Q16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25786</v>
      </c>
      <c r="R16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64464.4</v>
      </c>
      <c r="S169" s="72">
        <f>IF(AR_725[[#This Row],[PO Amount]]=0,1,AR_725[[#This Row],[Total AR (Sent)]]/AR_725[[#This Row],[PO Amount]])</f>
        <v>1</v>
      </c>
      <c r="T169" s="75">
        <f>AR_725[[#This Row],[PO Amount]]-AR_725[[#This Row],[Total AR (Sent)]]</f>
        <v>0</v>
      </c>
      <c r="U169" s="40"/>
      <c r="V169" s="40"/>
      <c r="W169" s="46"/>
      <c r="X169" s="46"/>
      <c r="Y169" s="46"/>
      <c r="Z169" s="46"/>
      <c r="AA169" s="46"/>
      <c r="AB169" s="40"/>
      <c r="AC169" s="40"/>
      <c r="AD169" s="40"/>
      <c r="AE169" s="46"/>
      <c r="AF169" s="46"/>
      <c r="AG169" s="40"/>
      <c r="AH169" s="46"/>
      <c r="AI169" s="40"/>
      <c r="AJ169" s="41"/>
      <c r="AK169" s="40"/>
      <c r="AL169" s="46"/>
      <c r="AM169" s="40"/>
      <c r="AN169" s="46"/>
      <c r="AO169" s="40"/>
      <c r="AP169" s="46"/>
      <c r="AQ169" s="40"/>
      <c r="AR169" s="41"/>
      <c r="AS169" s="40"/>
      <c r="AT169" s="41"/>
      <c r="AU169" s="40"/>
      <c r="AV169" s="41"/>
      <c r="AW169" s="40"/>
      <c r="AX169" s="41"/>
      <c r="AY169" s="40"/>
      <c r="AZ169" s="41"/>
      <c r="BA169" s="41"/>
      <c r="BB169" s="41"/>
      <c r="BC169" s="40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6"/>
      <c r="BP169" s="41"/>
      <c r="BQ169" s="40"/>
      <c r="BR169" s="40"/>
      <c r="BS169" s="70"/>
      <c r="BT169" s="40"/>
      <c r="BU169" s="40"/>
      <c r="BV169" s="40"/>
      <c r="BW169" s="40"/>
      <c r="BX169" s="34"/>
      <c r="BZ169" s="40"/>
      <c r="CA169" s="70">
        <v>25786</v>
      </c>
      <c r="CB169" s="34"/>
      <c r="CC169" s="34"/>
      <c r="CD169" s="34"/>
      <c r="CE169" s="34"/>
      <c r="CF169" s="34"/>
      <c r="CG169" s="122">
        <f>SUMIFS(BB___HK___AMHS__Others[AR Amount],BB___HK___AMHS__Others[PO No.],AR_725[[#This Row],[tsmc PO '#]],BB___HK___AMHS__Others[Status],"&lt;&gt;Rejected",BB___HK___AMHS__Others[YearMonth],"2024-03")</f>
        <v>0</v>
      </c>
      <c r="CI169" s="122">
        <f>SUMIFS(BB___HK___AMHS__Others[AR Amount],BB___HK___AMHS__Others[PO No.],AR_725[[#This Row],[tsmc PO '#]],BB___HK___AMHS__Others[Status],"&lt;&gt;Rejected",BB___HK___AMHS__Others[YearMonth],"2024-04")</f>
        <v>0</v>
      </c>
      <c r="CJ169" s="30"/>
      <c r="CK169" s="122">
        <v>0</v>
      </c>
      <c r="CL169" s="122">
        <v>0</v>
      </c>
      <c r="CM169" s="122">
        <v>0</v>
      </c>
      <c r="CN169" s="122">
        <v>0</v>
      </c>
      <c r="CO169" s="122">
        <f>SUMIFS(BB___HK___AMHS__Others[AR Amount],BB___HK___AMHS__Others[PO No.],AR_725[[#This Row],[tsmc PO '#]],BB___HK___AMHS__Others[Status],"&lt;&gt;Rejected",BB___HK___AMHS__Others[YearMonth],"2024-07")</f>
        <v>38678.400000000001</v>
      </c>
      <c r="CP169" s="122">
        <f>SUMIFS(BB___HK___AMHS__Others[Tax],BB___HK___AMHS__Others[PO No.],AR_725[[#This Row],[tsmc PO '#]],BB___HK___AMHS__Others[Status],"&lt;&gt;Rejected",BB___HK___AMHS__Others[YearMonth],"2024-07")</f>
        <v>0</v>
      </c>
      <c r="CQ169" s="34">
        <f>SUMIFS(BB___HK___AMHS__Others[AR Amount],BB___HK___AMHS__Others[PO No.],AR_725[[#This Row],[tsmc PO '#]],BB___HK___AMHS__Others[Status],"&lt;&gt;Rejected",BB___HK___AMHS__Others[YearMonth],"2024-08")</f>
        <v>0</v>
      </c>
      <c r="CR169" s="44">
        <f>SUMIFS(BB___HK___AMHS__Others[Tax],BB___HK___AMHS__Others[PO No.],AR_725[[#This Row],[tsmc PO '#]],BB___HK___AMHS__Others[Status],"&lt;&gt;Rejected",BB___HK___AMHS__Others[YearMonth],"2024-08")</f>
        <v>0</v>
      </c>
      <c r="CS169" s="62">
        <f>SUMIFS(BB___HK___AMHS__Others[AR Amount],BB___HK___AMHS__Others[PO No.],AR_725[[#This Row],[tsmc PO '#]],BB___HK___AMHS__Others[Status],"&lt;&gt;Rejected",BB___HK___AMHS__Others[YearMonth],"2024-09")</f>
        <v>0</v>
      </c>
      <c r="CT169" s="601">
        <f>SUMIFS(BB___HK___AMHS__Others[Tax],BB___HK___AMHS__Others[PO No.],AR_725[[#This Row],[tsmc PO '#]],BB___HK___AMHS__Others[Status],"&lt;&gt;Rejected",BB___HK___AMHS__Others[YearMonth],"2024-09")</f>
        <v>0</v>
      </c>
    </row>
    <row r="170" spans="1:98" ht="14.1" hidden="1">
      <c r="A170" s="30" t="s">
        <v>13</v>
      </c>
      <c r="B170" s="30" t="s">
        <v>13</v>
      </c>
      <c r="D170" s="50"/>
      <c r="E170" s="48" t="s">
        <v>2090</v>
      </c>
      <c r="F170" s="48" t="s">
        <v>2090</v>
      </c>
      <c r="G170" s="64" t="s">
        <v>54</v>
      </c>
      <c r="H170" s="50">
        <v>4590013563</v>
      </c>
      <c r="I170" s="30" t="s">
        <v>222</v>
      </c>
      <c r="J170" s="106" t="s">
        <v>390</v>
      </c>
      <c r="K170" s="41">
        <v>289387.84999999998</v>
      </c>
      <c r="L170" s="30"/>
      <c r="M170" s="86"/>
      <c r="N170" s="87"/>
      <c r="O170" s="88"/>
      <c r="P17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289387.86</v>
      </c>
      <c r="Q17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277483.55</v>
      </c>
      <c r="R17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289387.84999999998</v>
      </c>
      <c r="S170" s="72">
        <f>IF(AR_725[[#This Row],[PO Amount]]=0,1,AR_725[[#This Row],[Total AR (Sent)]]/AR_725[[#This Row],[PO Amount]])</f>
        <v>1.000000034555701</v>
      </c>
      <c r="T170" s="68">
        <f>AR_725[[#This Row],[PO Amount]]-AR_725[[#This Row],[Total AR (Sent)]]</f>
        <v>-1.0000000009313226E-2</v>
      </c>
      <c r="U170" s="40"/>
      <c r="V170" s="40"/>
      <c r="W170" s="41"/>
      <c r="X170" s="41"/>
      <c r="Y170" s="41"/>
      <c r="Z170" s="41"/>
      <c r="AA170" s="41"/>
      <c r="AB170" s="40"/>
      <c r="AC170" s="40"/>
      <c r="AD170" s="40"/>
      <c r="AE170" s="41"/>
      <c r="AF170" s="41"/>
      <c r="AG170" s="40"/>
      <c r="AH170" s="41"/>
      <c r="AI170" s="40"/>
      <c r="AJ170" s="41"/>
      <c r="AK170" s="40"/>
      <c r="AL170" s="41"/>
      <c r="AM170" s="40"/>
      <c r="AN170" s="41"/>
      <c r="AO170" s="40"/>
      <c r="AP170" s="41"/>
      <c r="AQ170" s="40"/>
      <c r="AR170" s="41"/>
      <c r="AS170" s="40"/>
      <c r="AT170" s="41"/>
      <c r="AU170" s="40"/>
      <c r="AV170" s="41"/>
      <c r="AW170" s="40"/>
      <c r="AX170" s="41"/>
      <c r="AY170" s="40"/>
      <c r="AZ170" s="41"/>
      <c r="BA170" s="41"/>
      <c r="BB170" s="41"/>
      <c r="BC170" s="34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0"/>
      <c r="BR170" s="40"/>
      <c r="BS170" s="61"/>
      <c r="BT170" s="40"/>
      <c r="BU170" s="34"/>
      <c r="BV170" s="40"/>
      <c r="BW170" s="40"/>
      <c r="BX170" s="34"/>
      <c r="BY170" s="34"/>
      <c r="BZ170" s="40"/>
      <c r="CA170" s="42">
        <v>57877.57</v>
      </c>
      <c r="CB170" s="34"/>
      <c r="CC170" s="61">
        <f>57841.44-57841.44</f>
        <v>0</v>
      </c>
      <c r="CD170" s="34"/>
      <c r="CE170" s="42">
        <v>49323.18</v>
      </c>
      <c r="CF170" s="34"/>
      <c r="CG170" s="124">
        <v>170282.8</v>
      </c>
      <c r="CI170" s="122"/>
      <c r="CJ170" s="30"/>
      <c r="CK170" s="122">
        <v>11904.31</v>
      </c>
      <c r="CL170" s="122">
        <v>0</v>
      </c>
      <c r="CM170" s="122">
        <v>0</v>
      </c>
      <c r="CN170" s="122">
        <v>0</v>
      </c>
      <c r="CO170" s="122">
        <f>SUMIFS(BB___HK___AMHS__Others[AR Amount],BB___HK___AMHS__Others[PO No.],AR_725[[#This Row],[tsmc PO '#]],BB___HK___AMHS__Others[Status],"&lt;&gt;Rejected",BB___HK___AMHS__Others[YearMonth],"2024-07")</f>
        <v>0</v>
      </c>
      <c r="CP170" s="122">
        <f>SUMIFS(BB___HK___AMHS__Others[Tax],BB___HK___AMHS__Others[PO No.],AR_725[[#This Row],[tsmc PO '#]],BB___HK___AMHS__Others[Status],"&lt;&gt;Rejected",BB___HK___AMHS__Others[YearMonth],"2024-07")</f>
        <v>0</v>
      </c>
      <c r="CQ170" s="34">
        <f>SUMIFS(BB___HK___AMHS__Others[AR Amount],BB___HK___AMHS__Others[PO No.],AR_725[[#This Row],[tsmc PO '#]],BB___HK___AMHS__Others[Status],"&lt;&gt;Rejected",BB___HK___AMHS__Others[YearMonth],"2024-08")</f>
        <v>0</v>
      </c>
      <c r="CR170" s="44">
        <f>SUMIFS(BB___HK___AMHS__Others[Tax],BB___HK___AMHS__Others[PO No.],AR_725[[#This Row],[tsmc PO '#]],BB___HK___AMHS__Others[Status],"&lt;&gt;Rejected",BB___HK___AMHS__Others[YearMonth],"2024-08")</f>
        <v>0</v>
      </c>
      <c r="CS170" s="62">
        <f>SUMIFS(BB___HK___AMHS__Others[AR Amount],BB___HK___AMHS__Others[PO No.],AR_725[[#This Row],[tsmc PO '#]],BB___HK___AMHS__Others[Status],"&lt;&gt;Rejected",BB___HK___AMHS__Others[YearMonth],"2024-09")</f>
        <v>0</v>
      </c>
      <c r="CT170" s="601">
        <f>SUMIFS(BB___HK___AMHS__Others[Tax],BB___HK___AMHS__Others[PO No.],AR_725[[#This Row],[tsmc PO '#]],BB___HK___AMHS__Others[Status],"&lt;&gt;Rejected",BB___HK___AMHS__Others[YearMonth],"2024-09")</f>
        <v>0</v>
      </c>
    </row>
    <row r="171" spans="1:98" ht="14.1">
      <c r="A171" s="30" t="s">
        <v>9</v>
      </c>
      <c r="B171" s="30" t="s">
        <v>2051</v>
      </c>
      <c r="C171" s="30" t="s">
        <v>2184</v>
      </c>
      <c r="D171" s="50" t="s">
        <v>1759</v>
      </c>
      <c r="E171" s="50" t="s">
        <v>2065</v>
      </c>
      <c r="F171" s="48" t="s">
        <v>2199</v>
      </c>
      <c r="G171" s="64" t="s">
        <v>312</v>
      </c>
      <c r="H171" s="50">
        <v>4590013571</v>
      </c>
      <c r="I171" s="30" t="s">
        <v>120</v>
      </c>
      <c r="J171" s="30" t="s">
        <v>699</v>
      </c>
      <c r="K171" s="41">
        <v>140834</v>
      </c>
      <c r="L171" s="30"/>
      <c r="M171" s="86">
        <v>45217</v>
      </c>
      <c r="N171" s="87"/>
      <c r="O171" s="88" t="s">
        <v>2156</v>
      </c>
      <c r="P17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98648.459999999992</v>
      </c>
      <c r="Q17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78529.320000000007</v>
      </c>
      <c r="R17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92807.42</v>
      </c>
      <c r="S171" s="72">
        <f>IF(AR_725[[#This Row],[PO Amount]]=0,1,AR_725[[#This Row],[Total AR (Sent)]]/AR_725[[#This Row],[PO Amount]])</f>
        <v>0.70045912208699601</v>
      </c>
      <c r="T171" s="68">
        <f>AR_725[[#This Row],[PO Amount]]-AR_725[[#This Row],[Total AR (Sent)]]</f>
        <v>42185.540000000008</v>
      </c>
      <c r="U171" s="40"/>
      <c r="V171" s="40"/>
      <c r="W171" s="41"/>
      <c r="X171" s="41"/>
      <c r="Y171" s="41"/>
      <c r="Z171" s="41"/>
      <c r="AA171" s="41"/>
      <c r="AB171" s="40"/>
      <c r="AC171" s="40"/>
      <c r="AD171" s="40"/>
      <c r="AE171" s="41"/>
      <c r="AF171" s="41"/>
      <c r="AG171" s="40"/>
      <c r="AH171" s="41"/>
      <c r="AI171" s="40"/>
      <c r="AJ171" s="41"/>
      <c r="AK171" s="40"/>
      <c r="AL171" s="41"/>
      <c r="AM171" s="40"/>
      <c r="AN171" s="41"/>
      <c r="AO171" s="40"/>
      <c r="AP171" s="41"/>
      <c r="AQ171" s="40"/>
      <c r="AR171" s="41"/>
      <c r="AS171" s="40"/>
      <c r="AT171" s="41"/>
      <c r="AU171" s="40"/>
      <c r="AV171" s="41"/>
      <c r="AW171" s="40"/>
      <c r="AX171" s="41"/>
      <c r="AY171" s="40"/>
      <c r="AZ171" s="41"/>
      <c r="BA171" s="41"/>
      <c r="BB171" s="41"/>
      <c r="BC171" s="34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0"/>
      <c r="BS171" s="34"/>
      <c r="BT171" s="40"/>
      <c r="BU171" s="34"/>
      <c r="BV171" s="40"/>
      <c r="BW171" s="34"/>
      <c r="BX171" s="34"/>
      <c r="BY171" s="34"/>
      <c r="BZ171" s="40"/>
      <c r="CA171" s="42">
        <v>20119</v>
      </c>
      <c r="CB171" s="34">
        <v>20119</v>
      </c>
      <c r="CC171" s="52">
        <v>13629</v>
      </c>
      <c r="CD171" s="34"/>
      <c r="CE171" s="34"/>
      <c r="CF171" s="34"/>
      <c r="CG171" s="123">
        <v>44781.32</v>
      </c>
      <c r="CI171" s="116">
        <v>7788.06</v>
      </c>
      <c r="CJ171" s="30"/>
      <c r="CK171" s="122">
        <v>1947.01</v>
      </c>
      <c r="CL171" s="122">
        <v>0</v>
      </c>
      <c r="CM171" s="122">
        <v>0</v>
      </c>
      <c r="CN171" s="122">
        <v>0</v>
      </c>
      <c r="CO171" s="122">
        <f>SUMIFS(BB___HK___AMHS__Others[AR Amount],BB___HK___AMHS__Others[PO No.],AR_725[[#This Row],[tsmc PO '#]],BB___HK___AMHS__Others[Status],"&lt;&gt;Rejected",BB___HK___AMHS__Others[YearMonth],"2024-07")</f>
        <v>0</v>
      </c>
      <c r="CP171" s="122">
        <f>SUMIFS(BB___HK___AMHS__Others[Tax],BB___HK___AMHS__Others[PO No.],AR_725[[#This Row],[tsmc PO '#]],BB___HK___AMHS__Others[Status],"&lt;&gt;Rejected",BB___HK___AMHS__Others[YearMonth],"2024-07")</f>
        <v>0</v>
      </c>
      <c r="CQ171" s="34">
        <f>SUMIFS(BB___HK___AMHS__Others[AR Amount],BB___HK___AMHS__Others[PO No.],AR_725[[#This Row],[tsmc PO '#]],BB___HK___AMHS__Others[Status],"&lt;&gt;Rejected",BB___HK___AMHS__Others[YearMonth],"2024-08")</f>
        <v>4543.03</v>
      </c>
      <c r="CR171" s="44">
        <f>SUMIFS(BB___HK___AMHS__Others[Tax],BB___HK___AMHS__Others[PO No.],AR_725[[#This Row],[tsmc PO '#]],BB___HK___AMHS__Others[Status],"&lt;&gt;Rejected",BB___HK___AMHS__Others[YearMonth],"2024-08")</f>
        <v>0</v>
      </c>
      <c r="CS171" s="62">
        <f>SUMIFS(BB___HK___AMHS__Others[AR Amount],BB___HK___AMHS__Others[PO No.],AR_725[[#This Row],[tsmc PO '#]],BB___HK___AMHS__Others[Status],"&lt;&gt;Rejected",BB___HK___AMHS__Others[YearMonth],"2024-09")</f>
        <v>5841.04</v>
      </c>
      <c r="CT171" s="601">
        <f>SUMIFS(BB___HK___AMHS__Others[Tax],BB___HK___AMHS__Others[PO No.],AR_725[[#This Row],[tsmc PO '#]],BB___HK___AMHS__Others[Status],"&lt;&gt;Rejected",BB___HK___AMHS__Others[YearMonth],"2024-09")</f>
        <v>0</v>
      </c>
    </row>
    <row r="172" spans="1:98" ht="14.1" hidden="1">
      <c r="A172" s="30" t="s">
        <v>9</v>
      </c>
      <c r="B172" s="30" t="s">
        <v>2051</v>
      </c>
      <c r="C172" s="30" t="s">
        <v>2184</v>
      </c>
      <c r="D172" s="50" t="s">
        <v>1720</v>
      </c>
      <c r="E172" s="48" t="s">
        <v>2060</v>
      </c>
      <c r="F172" s="48" t="s">
        <v>2060</v>
      </c>
      <c r="G172" s="64" t="s">
        <v>312</v>
      </c>
      <c r="H172" s="50">
        <v>4590013572</v>
      </c>
      <c r="I172" s="30" t="s">
        <v>613</v>
      </c>
      <c r="J172" s="30" t="s">
        <v>612</v>
      </c>
      <c r="K172" s="41">
        <v>451501.76</v>
      </c>
      <c r="L172" s="30"/>
      <c r="M172" s="86"/>
      <c r="N172" s="87"/>
      <c r="O172" s="88"/>
      <c r="P17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395409.44</v>
      </c>
      <c r="Q17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395409.44</v>
      </c>
      <c r="R17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395409.44</v>
      </c>
      <c r="S172" s="72">
        <f>IF(AR_725[[#This Row],[PO Amount]]=0,1,AR_725[[#This Row],[Total AR (Sent)]]/AR_725[[#This Row],[PO Amount]])</f>
        <v>0.87576500255502876</v>
      </c>
      <c r="T172" s="68">
        <f>AR_725[[#This Row],[PO Amount]]-AR_725[[#This Row],[Total AR (Sent)]]</f>
        <v>56092.320000000007</v>
      </c>
      <c r="U172" s="40"/>
      <c r="V172" s="40"/>
      <c r="W172" s="41"/>
      <c r="X172" s="41"/>
      <c r="Y172" s="41"/>
      <c r="Z172" s="41"/>
      <c r="AA172" s="41"/>
      <c r="AB172" s="40"/>
      <c r="AC172" s="40"/>
      <c r="AD172" s="40"/>
      <c r="AE172" s="41"/>
      <c r="AF172" s="41"/>
      <c r="AG172" s="40"/>
      <c r="AH172" s="41"/>
      <c r="AI172" s="40"/>
      <c r="AJ172" s="41"/>
      <c r="AK172" s="40"/>
      <c r="AL172" s="41"/>
      <c r="AM172" s="40"/>
      <c r="AN172" s="41"/>
      <c r="AO172" s="40"/>
      <c r="AP172" s="41"/>
      <c r="AQ172" s="40"/>
      <c r="AR172" s="41"/>
      <c r="AS172" s="40"/>
      <c r="AT172" s="41"/>
      <c r="AU172" s="40"/>
      <c r="AV172" s="41"/>
      <c r="AW172" s="40"/>
      <c r="AX172" s="41"/>
      <c r="AY172" s="40"/>
      <c r="AZ172" s="41"/>
      <c r="BA172" s="41"/>
      <c r="BB172" s="41"/>
      <c r="BC172" s="34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0"/>
      <c r="BR172" s="40"/>
      <c r="BS172" s="61"/>
      <c r="BT172" s="40"/>
      <c r="BU172" s="34"/>
      <c r="BV172" s="40"/>
      <c r="BW172" s="42">
        <v>256705.9</v>
      </c>
      <c r="BX172" s="34"/>
      <c r="BY172" s="34"/>
      <c r="BZ172" s="40"/>
      <c r="CA172" s="40"/>
      <c r="CB172" s="34"/>
      <c r="CC172" s="43">
        <v>138703.54</v>
      </c>
      <c r="CD172" s="34"/>
      <c r="CE172" s="34"/>
      <c r="CF172" s="34"/>
      <c r="CG172" s="122"/>
      <c r="CI172" s="122"/>
      <c r="CJ172" s="30"/>
      <c r="CK172" s="122">
        <v>0</v>
      </c>
      <c r="CL172" s="122">
        <v>0</v>
      </c>
      <c r="CM172" s="122">
        <v>0</v>
      </c>
      <c r="CN172" s="122">
        <v>0</v>
      </c>
      <c r="CO172" s="122">
        <f>SUMIFS(BB___HK___AMHS__Others[AR Amount],BB___HK___AMHS__Others[PO No.],AR_725[[#This Row],[tsmc PO '#]],BB___HK___AMHS__Others[Status],"&lt;&gt;Rejected",BB___HK___AMHS__Others[YearMonth],"2024-07")</f>
        <v>0</v>
      </c>
      <c r="CP172" s="122">
        <f>SUMIFS(BB___HK___AMHS__Others[Tax],BB___HK___AMHS__Others[PO No.],AR_725[[#This Row],[tsmc PO '#]],BB___HK___AMHS__Others[Status],"&lt;&gt;Rejected",BB___HK___AMHS__Others[YearMonth],"2024-07")</f>
        <v>0</v>
      </c>
      <c r="CQ172" s="34">
        <f>SUMIFS(BB___HK___AMHS__Others[AR Amount],BB___HK___AMHS__Others[PO No.],AR_725[[#This Row],[tsmc PO '#]],BB___HK___AMHS__Others[Status],"&lt;&gt;Rejected",BB___HK___AMHS__Others[YearMonth],"2024-08")</f>
        <v>0</v>
      </c>
      <c r="CR172" s="44">
        <f>SUMIFS(BB___HK___AMHS__Others[Tax],BB___HK___AMHS__Others[PO No.],AR_725[[#This Row],[tsmc PO '#]],BB___HK___AMHS__Others[Status],"&lt;&gt;Rejected",BB___HK___AMHS__Others[YearMonth],"2024-08")</f>
        <v>0</v>
      </c>
      <c r="CS172" s="62">
        <f>SUMIFS(BB___HK___AMHS__Others[AR Amount],BB___HK___AMHS__Others[PO No.],AR_725[[#This Row],[tsmc PO '#]],BB___HK___AMHS__Others[Status],"&lt;&gt;Rejected",BB___HK___AMHS__Others[YearMonth],"2024-09")</f>
        <v>0</v>
      </c>
      <c r="CT172" s="601">
        <f>SUMIFS(BB___HK___AMHS__Others[Tax],BB___HK___AMHS__Others[PO No.],AR_725[[#This Row],[tsmc PO '#]],BB___HK___AMHS__Others[Status],"&lt;&gt;Rejected",BB___HK___AMHS__Others[YearMonth],"2024-09")</f>
        <v>0</v>
      </c>
    </row>
    <row r="173" spans="1:98" ht="14.1" hidden="1">
      <c r="A173" s="30" t="s">
        <v>12</v>
      </c>
      <c r="B173" s="30" t="s">
        <v>2098</v>
      </c>
      <c r="D173" s="50" t="s">
        <v>2099</v>
      </c>
      <c r="E173" s="105" t="s">
        <v>2052</v>
      </c>
      <c r="F173" s="57" t="s">
        <v>2100</v>
      </c>
      <c r="G173" s="63" t="s">
        <v>54</v>
      </c>
      <c r="H173" s="50">
        <v>4590013602</v>
      </c>
      <c r="I173" s="30" t="s">
        <v>448</v>
      </c>
      <c r="J173" s="30" t="s">
        <v>1342</v>
      </c>
      <c r="K173" s="46">
        <v>16274.95</v>
      </c>
      <c r="L173" s="30"/>
      <c r="M173" s="86">
        <v>45223</v>
      </c>
      <c r="N173" s="87"/>
      <c r="O173" s="88" t="s">
        <v>2156</v>
      </c>
      <c r="P17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16274.95</v>
      </c>
      <c r="Q17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17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16274.95</v>
      </c>
      <c r="S173" s="72">
        <f>IF(AR_725[[#This Row],[PO Amount]]=0,1,AR_725[[#This Row],[Total AR (Sent)]]/AR_725[[#This Row],[PO Amount]])</f>
        <v>1</v>
      </c>
      <c r="T173" s="75">
        <f>AR_725[[#This Row],[PO Amount]]-AR_725[[#This Row],[Total AR (Sent)]]</f>
        <v>0</v>
      </c>
      <c r="U173" s="40"/>
      <c r="V173" s="40"/>
      <c r="W173" s="46"/>
      <c r="X173" s="46"/>
      <c r="Y173" s="46"/>
      <c r="Z173" s="46"/>
      <c r="AA173" s="46"/>
      <c r="AB173" s="40"/>
      <c r="AC173" s="40"/>
      <c r="AD173" s="40"/>
      <c r="AE173" s="46"/>
      <c r="AF173" s="46"/>
      <c r="AG173" s="40"/>
      <c r="AH173" s="46"/>
      <c r="AI173" s="40"/>
      <c r="AJ173" s="46"/>
      <c r="AK173" s="40"/>
      <c r="AL173" s="46"/>
      <c r="AM173" s="40"/>
      <c r="AN173" s="46"/>
      <c r="AO173" s="40"/>
      <c r="AP173" s="46"/>
      <c r="AQ173" s="40"/>
      <c r="AR173" s="41"/>
      <c r="AS173" s="40"/>
      <c r="AT173" s="41"/>
      <c r="AU173" s="40"/>
      <c r="AV173" s="41"/>
      <c r="AW173" s="40"/>
      <c r="AX173" s="41"/>
      <c r="AY173" s="40"/>
      <c r="AZ173" s="41"/>
      <c r="BA173" s="41"/>
      <c r="BB173" s="41"/>
      <c r="BC173" s="40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6"/>
      <c r="BP173" s="41"/>
      <c r="BQ173" s="46"/>
      <c r="BR173" s="40"/>
      <c r="BS173" s="40"/>
      <c r="BT173" s="40"/>
      <c r="BU173" s="40"/>
      <c r="BV173" s="40"/>
      <c r="BW173" s="40"/>
      <c r="BX173" s="34"/>
      <c r="BZ173" s="40"/>
      <c r="CA173" s="40"/>
      <c r="CB173" s="34"/>
      <c r="CC173" s="34"/>
      <c r="CD173" s="34"/>
      <c r="CE173" s="34"/>
      <c r="CF173" s="34"/>
      <c r="CG173" s="122"/>
      <c r="CI173" s="122"/>
      <c r="CJ173" s="30"/>
      <c r="CK173" s="122">
        <v>0</v>
      </c>
      <c r="CL173" s="122">
        <v>0</v>
      </c>
      <c r="CM173" s="122">
        <v>0</v>
      </c>
      <c r="CN173" s="122">
        <v>0</v>
      </c>
      <c r="CO173" s="34">
        <f>SUMIFS(BB___HK___AMHS__Others[AR Amount],BB___HK___AMHS__Others[PO No.],AR_725[[#This Row],[tsmc PO '#]],BB___HK___AMHS__Others[Status],"&lt;&gt;Rejected",BB___HK___AMHS__Others[YearMonth],"2024-07")</f>
        <v>0</v>
      </c>
      <c r="CP173" s="122">
        <f>SUMIFS(BB___HK___AMHS__Others[Tax],BB___HK___AMHS__Others[PO No.],AR_725[[#This Row],[tsmc PO '#]],BB___HK___AMHS__Others[Status],"&lt;&gt;Rejected",BB___HK___AMHS__Others[YearMonth],"2024-07")</f>
        <v>0</v>
      </c>
      <c r="CQ173" s="34">
        <f>SUMIFS(BB___HK___AMHS__Others[AR Amount],BB___HK___AMHS__Others[PO No.],AR_725[[#This Row],[tsmc PO '#]],BB___HK___AMHS__Others[Status],"&lt;&gt;Rejected",BB___HK___AMHS__Others[YearMonth],"2024-08")</f>
        <v>16274.95</v>
      </c>
      <c r="CR173" s="44">
        <f>SUMIFS(BB___HK___AMHS__Others[Tax],BB___HK___AMHS__Others[PO No.],AR_725[[#This Row],[tsmc PO '#]],BB___HK___AMHS__Others[Status],"&lt;&gt;Rejected",BB___HK___AMHS__Others[YearMonth],"2024-08")</f>
        <v>0</v>
      </c>
      <c r="CS173" s="62">
        <f>SUMIFS(BB___HK___AMHS__Others[AR Amount],BB___HK___AMHS__Others[PO No.],AR_725[[#This Row],[tsmc PO '#]],BB___HK___AMHS__Others[Status],"&lt;&gt;Rejected",BB___HK___AMHS__Others[YearMonth],"2024-09")</f>
        <v>0</v>
      </c>
      <c r="CT173" s="601">
        <f>SUMIFS(BB___HK___AMHS__Others[Tax],BB___HK___AMHS__Others[PO No.],AR_725[[#This Row],[tsmc PO '#]],BB___HK___AMHS__Others[Status],"&lt;&gt;Rejected",BB___HK___AMHS__Others[YearMonth],"2024-09")</f>
        <v>0</v>
      </c>
    </row>
    <row r="174" spans="1:98" ht="14.1" hidden="1">
      <c r="A174" s="30" t="s">
        <v>9</v>
      </c>
      <c r="B174" s="30" t="s">
        <v>2051</v>
      </c>
      <c r="C174" s="30" t="s">
        <v>2159</v>
      </c>
      <c r="D174" s="50" t="s">
        <v>1759</v>
      </c>
      <c r="E174" s="57" t="s">
        <v>2185</v>
      </c>
      <c r="F174" s="48" t="s">
        <v>2074</v>
      </c>
      <c r="G174" s="64" t="s">
        <v>312</v>
      </c>
      <c r="H174" s="50">
        <v>4590013603</v>
      </c>
      <c r="I174" s="30" t="s">
        <v>104</v>
      </c>
      <c r="J174" s="30" t="s">
        <v>665</v>
      </c>
      <c r="K174" s="46">
        <v>182627.5</v>
      </c>
      <c r="L174" s="30"/>
      <c r="M174" s="86">
        <v>45223</v>
      </c>
      <c r="N174" s="87"/>
      <c r="O174" s="88" t="s">
        <v>2156</v>
      </c>
      <c r="P17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182627.5</v>
      </c>
      <c r="Q17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182627.5</v>
      </c>
      <c r="R17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182627.5</v>
      </c>
      <c r="S174" s="72">
        <f>IF(AR_725[[#This Row],[PO Amount]]=0,1,AR_725[[#This Row],[Total AR (Sent)]]/AR_725[[#This Row],[PO Amount]])</f>
        <v>1</v>
      </c>
      <c r="T174" s="75">
        <f>AR_725[[#This Row],[PO Amount]]-AR_725[[#This Row],[Total AR (Sent)]]</f>
        <v>0</v>
      </c>
      <c r="U174" s="40"/>
      <c r="V174" s="40"/>
      <c r="W174" s="46"/>
      <c r="X174" s="46"/>
      <c r="Y174" s="46"/>
      <c r="Z174" s="46"/>
      <c r="AA174" s="46"/>
      <c r="AB174" s="40"/>
      <c r="AC174" s="40"/>
      <c r="AD174" s="40"/>
      <c r="AE174" s="46"/>
      <c r="AF174" s="46"/>
      <c r="AG174" s="40"/>
      <c r="AH174" s="46"/>
      <c r="AI174" s="40"/>
      <c r="AJ174" s="46"/>
      <c r="AK174" s="40"/>
      <c r="AL174" s="46"/>
      <c r="AM174" s="40"/>
      <c r="AN174" s="46"/>
      <c r="AO174" s="40"/>
      <c r="AP174" s="46"/>
      <c r="AQ174" s="40"/>
      <c r="AR174" s="41"/>
      <c r="AS174" s="40"/>
      <c r="AT174" s="41"/>
      <c r="AU174" s="40"/>
      <c r="AV174" s="41"/>
      <c r="AW174" s="40"/>
      <c r="AX174" s="41"/>
      <c r="AY174" s="40"/>
      <c r="AZ174" s="41"/>
      <c r="BA174" s="41"/>
      <c r="BB174" s="41"/>
      <c r="BC174" s="40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6"/>
      <c r="BP174" s="41"/>
      <c r="BQ174" s="46"/>
      <c r="BR174" s="40"/>
      <c r="BS174" s="40"/>
      <c r="BT174" s="40"/>
      <c r="BU174" s="40"/>
      <c r="BV174" s="40"/>
      <c r="BW174" s="40"/>
      <c r="BX174" s="34"/>
      <c r="BY174" s="47">
        <v>182627.5</v>
      </c>
      <c r="BZ174" s="40"/>
      <c r="CA174" s="40"/>
      <c r="CB174" s="34"/>
      <c r="CC174" s="34"/>
      <c r="CD174" s="34"/>
      <c r="CE174" s="34"/>
      <c r="CF174" s="34"/>
      <c r="CG174" s="122"/>
      <c r="CI174" s="122"/>
      <c r="CJ174" s="30"/>
      <c r="CK174" s="122">
        <v>0</v>
      </c>
      <c r="CL174" s="122">
        <v>0</v>
      </c>
      <c r="CM174" s="122">
        <v>0</v>
      </c>
      <c r="CN174" s="122">
        <v>0</v>
      </c>
      <c r="CO174" s="122">
        <f>SUMIFS(BB___HK___AMHS__Others[AR Amount],BB___HK___AMHS__Others[PO No.],AR_725[[#This Row],[tsmc PO '#]],BB___HK___AMHS__Others[Status],"&lt;&gt;Rejected",BB___HK___AMHS__Others[YearMonth],"2024-07")</f>
        <v>0</v>
      </c>
      <c r="CP174" s="122">
        <f>SUMIFS(BB___HK___AMHS__Others[Tax],BB___HK___AMHS__Others[PO No.],AR_725[[#This Row],[tsmc PO '#]],BB___HK___AMHS__Others[Status],"&lt;&gt;Rejected",BB___HK___AMHS__Others[YearMonth],"2024-07")</f>
        <v>0</v>
      </c>
      <c r="CQ174" s="34">
        <f>SUMIFS(BB___HK___AMHS__Others[AR Amount],BB___HK___AMHS__Others[PO No.],AR_725[[#This Row],[tsmc PO '#]],BB___HK___AMHS__Others[Status],"&lt;&gt;Rejected",BB___HK___AMHS__Others[YearMonth],"2024-08")</f>
        <v>0</v>
      </c>
      <c r="CR174" s="44">
        <f>SUMIFS(BB___HK___AMHS__Others[Tax],BB___HK___AMHS__Others[PO No.],AR_725[[#This Row],[tsmc PO '#]],BB___HK___AMHS__Others[Status],"&lt;&gt;Rejected",BB___HK___AMHS__Others[YearMonth],"2024-08")</f>
        <v>0</v>
      </c>
      <c r="CS174" s="62">
        <f>SUMIFS(BB___HK___AMHS__Others[AR Amount],BB___HK___AMHS__Others[PO No.],AR_725[[#This Row],[tsmc PO '#]],BB___HK___AMHS__Others[Status],"&lt;&gt;Rejected",BB___HK___AMHS__Others[YearMonth],"2024-09")</f>
        <v>0</v>
      </c>
      <c r="CT174" s="601">
        <f>SUMIFS(BB___HK___AMHS__Others[Tax],BB___HK___AMHS__Others[PO No.],AR_725[[#This Row],[tsmc PO '#]],BB___HK___AMHS__Others[Status],"&lt;&gt;Rejected",BB___HK___AMHS__Others[YearMonth],"2024-09")</f>
        <v>0</v>
      </c>
    </row>
    <row r="175" spans="1:98" ht="14.1" hidden="1">
      <c r="A175" s="30" t="s">
        <v>11</v>
      </c>
      <c r="B175" s="30" t="s">
        <v>2200</v>
      </c>
      <c r="C175" s="30" t="s">
        <v>2173</v>
      </c>
      <c r="D175" s="50" t="s">
        <v>1546</v>
      </c>
      <c r="E175" s="105" t="s">
        <v>2052</v>
      </c>
      <c r="F175" s="57" t="s">
        <v>2086</v>
      </c>
      <c r="G175" s="63" t="s">
        <v>807</v>
      </c>
      <c r="H175" s="50">
        <v>4590013632</v>
      </c>
      <c r="I175" s="30" t="s">
        <v>190</v>
      </c>
      <c r="J175" s="30" t="s">
        <v>808</v>
      </c>
      <c r="K175" s="46">
        <v>16859.189999999999</v>
      </c>
      <c r="L175" s="30"/>
      <c r="M175" s="86">
        <v>45226</v>
      </c>
      <c r="N175" s="87"/>
      <c r="O175" s="88" t="s">
        <v>2156</v>
      </c>
      <c r="P17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16859.189999999999</v>
      </c>
      <c r="Q17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16016.23</v>
      </c>
      <c r="R17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16859.189999999999</v>
      </c>
      <c r="S175" s="72">
        <f>IF(AR_725[[#This Row],[PO Amount]]=0,1,AR_725[[#This Row],[Total AR (Sent)]]/AR_725[[#This Row],[PO Amount]])</f>
        <v>1</v>
      </c>
      <c r="T175" s="75">
        <f>AR_725[[#This Row],[PO Amount]]-AR_725[[#This Row],[Total AR (Sent)]]</f>
        <v>0</v>
      </c>
      <c r="U175" s="40"/>
      <c r="V175" s="40"/>
      <c r="W175" s="46"/>
      <c r="X175" s="46"/>
      <c r="Y175" s="46"/>
      <c r="Z175" s="46"/>
      <c r="AA175" s="46"/>
      <c r="AB175" s="40"/>
      <c r="AC175" s="40"/>
      <c r="AD175" s="40"/>
      <c r="AE175" s="46"/>
      <c r="AF175" s="46"/>
      <c r="AG175" s="40"/>
      <c r="AH175" s="46"/>
      <c r="AI175" s="40"/>
      <c r="AJ175" s="41"/>
      <c r="AK175" s="40"/>
      <c r="AL175" s="46"/>
      <c r="AM175" s="40"/>
      <c r="AN175" s="46"/>
      <c r="AO175" s="40"/>
      <c r="AP175" s="46"/>
      <c r="AQ175" s="40"/>
      <c r="AR175" s="41"/>
      <c r="AS175" s="40"/>
      <c r="AT175" s="41"/>
      <c r="AU175" s="40"/>
      <c r="AV175" s="41"/>
      <c r="AW175" s="40"/>
      <c r="AX175" s="41"/>
      <c r="AY175" s="40"/>
      <c r="AZ175" s="41"/>
      <c r="BA175" s="41"/>
      <c r="BB175" s="41"/>
      <c r="BC175" s="40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6"/>
      <c r="BP175" s="41"/>
      <c r="BQ175" s="46"/>
      <c r="BR175" s="40"/>
      <c r="BS175" s="40"/>
      <c r="BT175" s="40"/>
      <c r="BU175" s="40"/>
      <c r="BV175" s="40"/>
      <c r="BW175" s="70">
        <f>9569-9569</f>
        <v>0</v>
      </c>
      <c r="BX175" s="34"/>
      <c r="BZ175" s="40"/>
      <c r="CA175" s="40"/>
      <c r="CB175" s="34"/>
      <c r="CC175" s="34"/>
      <c r="CD175" s="34"/>
      <c r="CE175" s="42">
        <v>16016.23</v>
      </c>
      <c r="CF175" s="34"/>
      <c r="CG175" s="122"/>
      <c r="CI175" s="116">
        <v>842.96</v>
      </c>
      <c r="CJ175" s="30"/>
      <c r="CK175" s="122">
        <v>0</v>
      </c>
      <c r="CL175" s="122">
        <v>0</v>
      </c>
      <c r="CM175" s="122">
        <v>0</v>
      </c>
      <c r="CN175" s="122">
        <v>0</v>
      </c>
      <c r="CO175" s="122">
        <f>SUMIFS(BB___HK___AMHS__Others[AR Amount],BB___HK___AMHS__Others[PO No.],AR_725[[#This Row],[tsmc PO '#]],BB___HK___AMHS__Others[Status],"&lt;&gt;Rejected",BB___HK___AMHS__Others[YearMonth],"2024-07")</f>
        <v>0</v>
      </c>
      <c r="CP175" s="122">
        <f>SUMIFS(BB___HK___AMHS__Others[Tax],BB___HK___AMHS__Others[PO No.],AR_725[[#This Row],[tsmc PO '#]],BB___HK___AMHS__Others[Status],"&lt;&gt;Rejected",BB___HK___AMHS__Others[YearMonth],"2024-07")</f>
        <v>0</v>
      </c>
      <c r="CQ175" s="34">
        <f>SUMIFS(BB___HK___AMHS__Others[AR Amount],BB___HK___AMHS__Others[PO No.],AR_725[[#This Row],[tsmc PO '#]],BB___HK___AMHS__Others[Status],"&lt;&gt;Rejected",BB___HK___AMHS__Others[YearMonth],"2024-08")</f>
        <v>0</v>
      </c>
      <c r="CR175" s="44">
        <f>SUMIFS(BB___HK___AMHS__Others[Tax],BB___HK___AMHS__Others[PO No.],AR_725[[#This Row],[tsmc PO '#]],BB___HK___AMHS__Others[Status],"&lt;&gt;Rejected",BB___HK___AMHS__Others[YearMonth],"2024-08")</f>
        <v>0</v>
      </c>
      <c r="CS175" s="62">
        <f>SUMIFS(BB___HK___AMHS__Others[AR Amount],BB___HK___AMHS__Others[PO No.],AR_725[[#This Row],[tsmc PO '#]],BB___HK___AMHS__Others[Status],"&lt;&gt;Rejected",BB___HK___AMHS__Others[YearMonth],"2024-09")</f>
        <v>0</v>
      </c>
      <c r="CT175" s="601">
        <f>SUMIFS(BB___HK___AMHS__Others[Tax],BB___HK___AMHS__Others[PO No.],AR_725[[#This Row],[tsmc PO '#]],BB___HK___AMHS__Others[Status],"&lt;&gt;Rejected",BB___HK___AMHS__Others[YearMonth],"2024-09")</f>
        <v>0</v>
      </c>
    </row>
    <row r="176" spans="1:98" ht="14.1" hidden="1">
      <c r="A176" s="30" t="s">
        <v>9</v>
      </c>
      <c r="B176" s="30" t="s">
        <v>2051</v>
      </c>
      <c r="C176" s="30" t="s">
        <v>2184</v>
      </c>
      <c r="D176" s="50" t="s">
        <v>1720</v>
      </c>
      <c r="E176" s="48" t="s">
        <v>2060</v>
      </c>
      <c r="F176" s="48" t="s">
        <v>2100</v>
      </c>
      <c r="G176" s="63" t="s">
        <v>312</v>
      </c>
      <c r="H176" s="50">
        <v>4590013633</v>
      </c>
      <c r="I176" s="30" t="s">
        <v>104</v>
      </c>
      <c r="J176" s="30" t="s">
        <v>667</v>
      </c>
      <c r="K176" s="46">
        <v>264822</v>
      </c>
      <c r="L176" s="30"/>
      <c r="M176" s="86">
        <v>45226</v>
      </c>
      <c r="N176" s="87"/>
      <c r="O176" s="88" t="s">
        <v>2156</v>
      </c>
      <c r="P17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211857.6</v>
      </c>
      <c r="Q17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132411</v>
      </c>
      <c r="R17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211858</v>
      </c>
      <c r="S176" s="72">
        <f>IF(AR_725[[#This Row],[PO Amount]]=0,1,AR_725[[#This Row],[Total AR (Sent)]]/AR_725[[#This Row],[PO Amount]])</f>
        <v>0.8</v>
      </c>
      <c r="T176" s="75">
        <f>AR_725[[#This Row],[PO Amount]]-AR_725[[#This Row],[Total AR (Sent)]]</f>
        <v>52964.399999999994</v>
      </c>
      <c r="U176" s="40"/>
      <c r="V176" s="40"/>
      <c r="W176" s="46"/>
      <c r="X176" s="46"/>
      <c r="Y176" s="46"/>
      <c r="Z176" s="46"/>
      <c r="AA176" s="46"/>
      <c r="AB176" s="40"/>
      <c r="AC176" s="40"/>
      <c r="AD176" s="40"/>
      <c r="AE176" s="46"/>
      <c r="AF176" s="46"/>
      <c r="AG176" s="40"/>
      <c r="AH176" s="46"/>
      <c r="AI176" s="40"/>
      <c r="AJ176" s="41"/>
      <c r="AK176" s="40"/>
      <c r="AL176" s="46"/>
      <c r="AM176" s="40"/>
      <c r="AN176" s="46"/>
      <c r="AO176" s="40"/>
      <c r="AP176" s="46"/>
      <c r="AQ176" s="40"/>
      <c r="AR176" s="41"/>
      <c r="AS176" s="40"/>
      <c r="AT176" s="41"/>
      <c r="AU176" s="40"/>
      <c r="AV176" s="41"/>
      <c r="AW176" s="40"/>
      <c r="AX176" s="41"/>
      <c r="AY176" s="40"/>
      <c r="AZ176" s="41"/>
      <c r="BA176" s="41"/>
      <c r="BB176" s="41"/>
      <c r="BC176" s="40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6"/>
      <c r="BP176" s="41"/>
      <c r="BQ176" s="46"/>
      <c r="BR176" s="40"/>
      <c r="BS176" s="40"/>
      <c r="BT176" s="40"/>
      <c r="BU176" s="40"/>
      <c r="BV176" s="40"/>
      <c r="BW176" s="40"/>
      <c r="BX176" s="34"/>
      <c r="BY176" s="47">
        <v>88274</v>
      </c>
      <c r="BZ176" s="40"/>
      <c r="CA176" s="40"/>
      <c r="CB176" s="34"/>
      <c r="CC176" s="34"/>
      <c r="CD176" s="34"/>
      <c r="CE176" s="42">
        <v>44137</v>
      </c>
      <c r="CF176" s="34"/>
      <c r="CG176" s="122"/>
      <c r="CI176" s="116">
        <v>8827</v>
      </c>
      <c r="CJ176" s="30"/>
      <c r="CK176" s="122">
        <v>0</v>
      </c>
      <c r="CL176" s="122">
        <v>0</v>
      </c>
      <c r="CM176" s="122">
        <v>70619.600000000006</v>
      </c>
      <c r="CN176" s="122">
        <v>0</v>
      </c>
      <c r="CO176" s="122">
        <f>SUMIFS(BB___HK___AMHS__Others[AR Amount],BB___HK___AMHS__Others[PO No.],AR_725[[#This Row],[tsmc PO '#]],BB___HK___AMHS__Others[Status],"&lt;&gt;Rejected",BB___HK___AMHS__Others[YearMonth],"2024-07")</f>
        <v>0</v>
      </c>
      <c r="CP176" s="122">
        <f>SUMIFS(BB___HK___AMHS__Others[Tax],BB___HK___AMHS__Others[PO No.],AR_725[[#This Row],[tsmc PO '#]],BB___HK___AMHS__Others[Status],"&lt;&gt;Rejected",BB___HK___AMHS__Others[YearMonth],"2024-07")</f>
        <v>0</v>
      </c>
      <c r="CQ176" s="34">
        <f>SUMIFS(BB___HK___AMHS__Others[AR Amount],BB___HK___AMHS__Others[PO No.],AR_725[[#This Row],[tsmc PO '#]],BB___HK___AMHS__Others[Status],"&lt;&gt;Rejected",BB___HK___AMHS__Others[YearMonth],"2024-08")</f>
        <v>0</v>
      </c>
      <c r="CR176" s="44">
        <f>SUMIFS(BB___HK___AMHS__Others[Tax],BB___HK___AMHS__Others[PO No.],AR_725[[#This Row],[tsmc PO '#]],BB___HK___AMHS__Others[Status],"&lt;&gt;Rejected",BB___HK___AMHS__Others[YearMonth],"2024-08")</f>
        <v>0</v>
      </c>
      <c r="CS176" s="62">
        <f>SUMIFS(BB___HK___AMHS__Others[AR Amount],BB___HK___AMHS__Others[PO No.],AR_725[[#This Row],[tsmc PO '#]],BB___HK___AMHS__Others[Status],"&lt;&gt;Rejected",BB___HK___AMHS__Others[YearMonth],"2024-09")</f>
        <v>0</v>
      </c>
      <c r="CT176" s="601">
        <f>SUMIFS(BB___HK___AMHS__Others[Tax],BB___HK___AMHS__Others[PO No.],AR_725[[#This Row],[tsmc PO '#]],BB___HK___AMHS__Others[Status],"&lt;&gt;Rejected",BB___HK___AMHS__Others[YearMonth],"2024-09")</f>
        <v>0</v>
      </c>
    </row>
    <row r="177" spans="1:98" ht="14.1" hidden="1">
      <c r="A177" s="30" t="s">
        <v>9</v>
      </c>
      <c r="B177" s="30" t="s">
        <v>2051</v>
      </c>
      <c r="C177" s="30" t="s">
        <v>2184</v>
      </c>
      <c r="D177" s="50" t="s">
        <v>1546</v>
      </c>
      <c r="E177" s="57" t="s">
        <v>2052</v>
      </c>
      <c r="F177" s="48" t="s">
        <v>2076</v>
      </c>
      <c r="G177" s="63" t="s">
        <v>54</v>
      </c>
      <c r="H177" s="50">
        <v>4590013669</v>
      </c>
      <c r="I177" s="30" t="s">
        <v>135</v>
      </c>
      <c r="J177" s="30" t="s">
        <v>1522</v>
      </c>
      <c r="K177" s="46">
        <v>46326.879999999997</v>
      </c>
      <c r="L177" s="30"/>
      <c r="M177" s="86">
        <v>45231</v>
      </c>
      <c r="N177" s="87"/>
      <c r="O177" s="88" t="s">
        <v>2160</v>
      </c>
      <c r="P17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44010.54</v>
      </c>
      <c r="Q17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17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44010.54</v>
      </c>
      <c r="S177" s="72">
        <f>IF(AR_725[[#This Row],[PO Amount]]=0,1,AR_725[[#This Row],[Total AR (Sent)]]/AR_725[[#This Row],[PO Amount]])</f>
        <v>0.95000008634296118</v>
      </c>
      <c r="T177" s="75">
        <f>AR_725[[#This Row],[PO Amount]]-AR_725[[#This Row],[Total AR (Sent)]]</f>
        <v>2316.3399999999965</v>
      </c>
      <c r="U177" s="40"/>
      <c r="V177" s="40"/>
      <c r="W177" s="46"/>
      <c r="X177" s="46"/>
      <c r="Y177" s="46"/>
      <c r="Z177" s="46"/>
      <c r="AA177" s="46"/>
      <c r="AB177" s="40"/>
      <c r="AC177" s="40"/>
      <c r="AD177" s="40"/>
      <c r="AE177" s="46"/>
      <c r="AF177" s="46"/>
      <c r="AG177" s="40"/>
      <c r="AH177" s="46"/>
      <c r="AI177" s="40"/>
      <c r="AJ177" s="46"/>
      <c r="AK177" s="40"/>
      <c r="AL177" s="46"/>
      <c r="AM177" s="40"/>
      <c r="AN177" s="46"/>
      <c r="AO177" s="40"/>
      <c r="AP177" s="46"/>
      <c r="AQ177" s="40"/>
      <c r="AR177" s="41"/>
      <c r="AS177" s="40"/>
      <c r="AT177" s="41"/>
      <c r="AU177" s="40"/>
      <c r="AV177" s="41"/>
      <c r="AW177" s="40"/>
      <c r="AX177" s="41"/>
      <c r="AY177" s="40"/>
      <c r="AZ177" s="41"/>
      <c r="BA177" s="41"/>
      <c r="BB177" s="41"/>
      <c r="BC177" s="40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6"/>
      <c r="BP177" s="41"/>
      <c r="BQ177" s="46"/>
      <c r="BR177" s="40"/>
      <c r="BS177" s="40"/>
      <c r="BT177" s="40"/>
      <c r="BU177" s="40"/>
      <c r="BV177" s="40"/>
      <c r="BW177" s="40"/>
      <c r="BX177" s="34"/>
      <c r="BZ177" s="40"/>
      <c r="CA177" s="40"/>
      <c r="CB177" s="34"/>
      <c r="CC177" s="34"/>
      <c r="CD177" s="34"/>
      <c r="CE177" s="34"/>
      <c r="CF177" s="34"/>
      <c r="CG177" s="122"/>
      <c r="CI177" s="122"/>
      <c r="CJ177" s="30"/>
      <c r="CK177" s="122">
        <v>0</v>
      </c>
      <c r="CL177" s="122">
        <v>0</v>
      </c>
      <c r="CM177" s="122">
        <v>0</v>
      </c>
      <c r="CN177" s="122">
        <v>0</v>
      </c>
      <c r="CO177" s="122">
        <f>SUMIFS(BB___HK___AMHS__Others[AR Amount],BB___HK___AMHS__Others[PO No.],AR_725[[#This Row],[tsmc PO '#]],BB___HK___AMHS__Others[Status],"&lt;&gt;Rejected",BB___HK___AMHS__Others[YearMonth],"2024-07")</f>
        <v>44010.54</v>
      </c>
      <c r="CP177" s="122">
        <f>SUMIFS(BB___HK___AMHS__Others[Tax],BB___HK___AMHS__Others[PO No.],AR_725[[#This Row],[tsmc PO '#]],BB___HK___AMHS__Others[Status],"&lt;&gt;Rejected",BB___HK___AMHS__Others[YearMonth],"2024-07")</f>
        <v>0</v>
      </c>
      <c r="CQ177" s="34">
        <f>SUMIFS(BB___HK___AMHS__Others[AR Amount],BB___HK___AMHS__Others[PO No.],AR_725[[#This Row],[tsmc PO '#]],BB___HK___AMHS__Others[Status],"&lt;&gt;Rejected",BB___HK___AMHS__Others[YearMonth],"2024-08")</f>
        <v>0</v>
      </c>
      <c r="CR177" s="44">
        <f>SUMIFS(BB___HK___AMHS__Others[Tax],BB___HK___AMHS__Others[PO No.],AR_725[[#This Row],[tsmc PO '#]],BB___HK___AMHS__Others[Status],"&lt;&gt;Rejected",BB___HK___AMHS__Others[YearMonth],"2024-08")</f>
        <v>0</v>
      </c>
      <c r="CS177" s="62">
        <f>SUMIFS(BB___HK___AMHS__Others[AR Amount],BB___HK___AMHS__Others[PO No.],AR_725[[#This Row],[tsmc PO '#]],BB___HK___AMHS__Others[Status],"&lt;&gt;Rejected",BB___HK___AMHS__Others[YearMonth],"2024-09")</f>
        <v>0</v>
      </c>
      <c r="CT177" s="601">
        <f>SUMIFS(BB___HK___AMHS__Others[Tax],BB___HK___AMHS__Others[PO No.],AR_725[[#This Row],[tsmc PO '#]],BB___HK___AMHS__Others[Status],"&lt;&gt;Rejected",BB___HK___AMHS__Others[YearMonth],"2024-09")</f>
        <v>0</v>
      </c>
    </row>
    <row r="178" spans="1:98" ht="14.1" hidden="1">
      <c r="A178" s="30" t="s">
        <v>9</v>
      </c>
      <c r="B178" s="30" t="s">
        <v>2051</v>
      </c>
      <c r="C178" s="30" t="s">
        <v>2173</v>
      </c>
      <c r="D178" s="50" t="s">
        <v>1706</v>
      </c>
      <c r="E178" s="604" t="s">
        <v>2095</v>
      </c>
      <c r="F178" s="48" t="s">
        <v>2096</v>
      </c>
      <c r="G178" s="64" t="s">
        <v>1432</v>
      </c>
      <c r="H178" s="50">
        <v>4590013675</v>
      </c>
      <c r="I178" s="30" t="s">
        <v>129</v>
      </c>
      <c r="J178" s="30" t="s">
        <v>669</v>
      </c>
      <c r="K178" s="41">
        <v>125235</v>
      </c>
      <c r="L178" s="30"/>
      <c r="M178" s="86">
        <v>45232</v>
      </c>
      <c r="N178" s="87"/>
      <c r="O178" s="88" t="s">
        <v>2156</v>
      </c>
      <c r="P17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39675</v>
      </c>
      <c r="Q17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39675</v>
      </c>
      <c r="R17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39675</v>
      </c>
      <c r="S178" s="72">
        <f>IF(AR_725[[#This Row],[PO Amount]]=0,1,AR_725[[#This Row],[Total AR (Sent)]]/AR_725[[#This Row],[PO Amount]])</f>
        <v>0.3168044077134986</v>
      </c>
      <c r="T178" s="68">
        <f>AR_725[[#This Row],[PO Amount]]-AR_725[[#This Row],[Total AR (Sent)]]</f>
        <v>85560</v>
      </c>
      <c r="U178" s="40"/>
      <c r="V178" s="40"/>
      <c r="W178" s="41"/>
      <c r="X178" s="41"/>
      <c r="Y178" s="41"/>
      <c r="Z178" s="41"/>
      <c r="AA178" s="41"/>
      <c r="AB178" s="40"/>
      <c r="AC178" s="40"/>
      <c r="AD178" s="40"/>
      <c r="AE178" s="41"/>
      <c r="AF178" s="41"/>
      <c r="AG178" s="40"/>
      <c r="AH178" s="41"/>
      <c r="AI178" s="40"/>
      <c r="AJ178" s="41"/>
      <c r="AK178" s="40"/>
      <c r="AL178" s="41"/>
      <c r="AM178" s="40"/>
      <c r="AN178" s="41"/>
      <c r="AO178" s="40"/>
      <c r="AP178" s="41"/>
      <c r="AQ178" s="40"/>
      <c r="AR178" s="41"/>
      <c r="AS178" s="40"/>
      <c r="AT178" s="41"/>
      <c r="AU178" s="40"/>
      <c r="AV178" s="41"/>
      <c r="AW178" s="40"/>
      <c r="AX178" s="41"/>
      <c r="AY178" s="40"/>
      <c r="AZ178" s="41"/>
      <c r="BA178" s="41"/>
      <c r="BB178" s="41"/>
      <c r="BC178" s="34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0"/>
      <c r="BS178" s="34"/>
      <c r="BT178" s="40"/>
      <c r="BU178" s="34"/>
      <c r="BV178" s="40"/>
      <c r="BW178" s="34"/>
      <c r="BX178" s="34"/>
      <c r="BY178" s="43">
        <v>23101</v>
      </c>
      <c r="BZ178" s="40"/>
      <c r="CA178" s="42">
        <v>13607</v>
      </c>
      <c r="CB178" s="34"/>
      <c r="CC178" s="52">
        <v>2967</v>
      </c>
      <c r="CD178" s="34"/>
      <c r="CE178" s="34"/>
      <c r="CF178" s="34"/>
      <c r="CG178" s="122"/>
      <c r="CI178" s="122"/>
      <c r="CJ178" s="30"/>
      <c r="CK178" s="122">
        <v>0</v>
      </c>
      <c r="CL178" s="122">
        <v>0</v>
      </c>
      <c r="CM178" s="122">
        <v>0</v>
      </c>
      <c r="CN178" s="122">
        <v>0</v>
      </c>
      <c r="CO178" s="122">
        <f>SUMIFS(BB___HK___AMHS__Others[AR Amount],BB___HK___AMHS__Others[PO No.],AR_725[[#This Row],[tsmc PO '#]],BB___HK___AMHS__Others[Status],"&lt;&gt;Rejected",BB___HK___AMHS__Others[YearMonth],"2024-07")</f>
        <v>0</v>
      </c>
      <c r="CP178" s="122">
        <f>SUMIFS(BB___HK___AMHS__Others[Tax],BB___HK___AMHS__Others[PO No.],AR_725[[#This Row],[tsmc PO '#]],BB___HK___AMHS__Others[Status],"&lt;&gt;Rejected",BB___HK___AMHS__Others[YearMonth],"2024-07")</f>
        <v>0</v>
      </c>
      <c r="CQ178" s="34">
        <f>SUMIFS(BB___HK___AMHS__Others[AR Amount],BB___HK___AMHS__Others[PO No.],AR_725[[#This Row],[tsmc PO '#]],BB___HK___AMHS__Others[Status],"&lt;&gt;Rejected",BB___HK___AMHS__Others[YearMonth],"2024-08")</f>
        <v>0</v>
      </c>
      <c r="CR178" s="44">
        <f>SUMIFS(BB___HK___AMHS__Others[Tax],BB___HK___AMHS__Others[PO No.],AR_725[[#This Row],[tsmc PO '#]],BB___HK___AMHS__Others[Status],"&lt;&gt;Rejected",BB___HK___AMHS__Others[YearMonth],"2024-08")</f>
        <v>0</v>
      </c>
      <c r="CS178" s="62">
        <f>SUMIFS(BB___HK___AMHS__Others[AR Amount],BB___HK___AMHS__Others[PO No.],AR_725[[#This Row],[tsmc PO '#]],BB___HK___AMHS__Others[Status],"&lt;&gt;Rejected",BB___HK___AMHS__Others[YearMonth],"2024-09")</f>
        <v>0</v>
      </c>
      <c r="CT178" s="601">
        <f>SUMIFS(BB___HK___AMHS__Others[Tax],BB___HK___AMHS__Others[PO No.],AR_725[[#This Row],[tsmc PO '#]],BB___HK___AMHS__Others[Status],"&lt;&gt;Rejected",BB___HK___AMHS__Others[YearMonth],"2024-09")</f>
        <v>0</v>
      </c>
    </row>
    <row r="179" spans="1:98" ht="14.1" hidden="1">
      <c r="A179" s="30" t="s">
        <v>9</v>
      </c>
      <c r="B179" s="30" t="s">
        <v>2051</v>
      </c>
      <c r="C179" s="30" t="s">
        <v>2184</v>
      </c>
      <c r="D179" s="50" t="s">
        <v>1759</v>
      </c>
      <c r="E179" s="50" t="s">
        <v>2065</v>
      </c>
      <c r="F179" s="57" t="s">
        <v>2201</v>
      </c>
      <c r="G179" s="63" t="s">
        <v>312</v>
      </c>
      <c r="H179" s="50">
        <v>4590013803</v>
      </c>
      <c r="I179" s="30" t="s">
        <v>120</v>
      </c>
      <c r="J179" s="30" t="s">
        <v>700</v>
      </c>
      <c r="K179" s="46">
        <v>1734089.5</v>
      </c>
      <c r="L179" s="30"/>
      <c r="M179" s="86">
        <v>45233</v>
      </c>
      <c r="N179" s="87"/>
      <c r="O179" s="88" t="s">
        <v>2156</v>
      </c>
      <c r="P17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1647385.86</v>
      </c>
      <c r="Q17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1184569</v>
      </c>
      <c r="R17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1647385.86</v>
      </c>
      <c r="S179" s="72">
        <f>IF(AR_725[[#This Row],[PO Amount]]=0,1,AR_725[[#This Row],[Total AR (Sent)]]/AR_725[[#This Row],[PO Amount]])</f>
        <v>0.95000048152070593</v>
      </c>
      <c r="T179" s="75">
        <f>AR_725[[#This Row],[PO Amount]]-AR_725[[#This Row],[Total AR (Sent)]]</f>
        <v>86703.639999999898</v>
      </c>
      <c r="U179" s="40"/>
      <c r="V179" s="40"/>
      <c r="W179" s="46"/>
      <c r="X179" s="46"/>
      <c r="Y179" s="46"/>
      <c r="Z179" s="46"/>
      <c r="AA179" s="46"/>
      <c r="AB179" s="40"/>
      <c r="AC179" s="40"/>
      <c r="AD179" s="40"/>
      <c r="AE179" s="46"/>
      <c r="AF179" s="46"/>
      <c r="AG179" s="40"/>
      <c r="AH179" s="46"/>
      <c r="AI179" s="40"/>
      <c r="AJ179" s="41"/>
      <c r="AK179" s="40"/>
      <c r="AL179" s="46"/>
      <c r="AM179" s="40"/>
      <c r="AN179" s="46"/>
      <c r="AO179" s="40"/>
      <c r="AP179" s="46"/>
      <c r="AQ179" s="40"/>
      <c r="AR179" s="41"/>
      <c r="AS179" s="40"/>
      <c r="AT179" s="41"/>
      <c r="AU179" s="40"/>
      <c r="AV179" s="41"/>
      <c r="AW179" s="40"/>
      <c r="AX179" s="41"/>
      <c r="AY179" s="40"/>
      <c r="AZ179" s="41"/>
      <c r="BA179" s="41"/>
      <c r="BB179" s="41"/>
      <c r="BC179" s="40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6"/>
      <c r="BP179" s="41"/>
      <c r="BQ179" s="46"/>
      <c r="BR179" s="40"/>
      <c r="BS179" s="40"/>
      <c r="BT179" s="40"/>
      <c r="BU179" s="40"/>
      <c r="BV179" s="40"/>
      <c r="BW179" s="40"/>
      <c r="BX179" s="34"/>
      <c r="BZ179" s="40"/>
      <c r="CA179" s="47">
        <v>689784</v>
      </c>
      <c r="CB179" s="34"/>
      <c r="CC179" s="34"/>
      <c r="CD179" s="34"/>
      <c r="CE179" s="42">
        <v>93604</v>
      </c>
      <c r="CF179" s="34"/>
      <c r="CG179" s="123">
        <v>401181</v>
      </c>
      <c r="CI179" s="122"/>
      <c r="CJ179" s="30"/>
      <c r="CK179" s="122">
        <v>283169.89</v>
      </c>
      <c r="CL179" s="122">
        <v>0</v>
      </c>
      <c r="CM179" s="122">
        <v>179646.97</v>
      </c>
      <c r="CN179" s="122">
        <v>0</v>
      </c>
      <c r="CO179" s="122">
        <f>SUMIFS(BB___HK___AMHS__Others[AR Amount],BB___HK___AMHS__Others[PO No.],AR_725[[#This Row],[tsmc PO '#]],BB___HK___AMHS__Others[Status],"&lt;&gt;Rejected",BB___HK___AMHS__Others[YearMonth],"2024-07")</f>
        <v>0</v>
      </c>
      <c r="CP179" s="122">
        <f>SUMIFS(BB___HK___AMHS__Others[Tax],BB___HK___AMHS__Others[PO No.],AR_725[[#This Row],[tsmc PO '#]],BB___HK___AMHS__Others[Status],"&lt;&gt;Rejected",BB___HK___AMHS__Others[YearMonth],"2024-07")</f>
        <v>0</v>
      </c>
      <c r="CQ179" s="34">
        <f>SUMIFS(BB___HK___AMHS__Others[AR Amount],BB___HK___AMHS__Others[PO No.],AR_725[[#This Row],[tsmc PO '#]],BB___HK___AMHS__Others[Status],"&lt;&gt;Rejected",BB___HK___AMHS__Others[YearMonth],"2024-08")</f>
        <v>0</v>
      </c>
      <c r="CR179" s="44">
        <f>SUMIFS(BB___HK___AMHS__Others[Tax],BB___HK___AMHS__Others[PO No.],AR_725[[#This Row],[tsmc PO '#]],BB___HK___AMHS__Others[Status],"&lt;&gt;Rejected",BB___HK___AMHS__Others[YearMonth],"2024-08")</f>
        <v>0</v>
      </c>
      <c r="CS179" s="62">
        <f>SUMIFS(BB___HK___AMHS__Others[AR Amount],BB___HK___AMHS__Others[PO No.],AR_725[[#This Row],[tsmc PO '#]],BB___HK___AMHS__Others[Status],"&lt;&gt;Rejected",BB___HK___AMHS__Others[YearMonth],"2024-09")</f>
        <v>0</v>
      </c>
      <c r="CT179" s="601">
        <f>SUMIFS(BB___HK___AMHS__Others[Tax],BB___HK___AMHS__Others[PO No.],AR_725[[#This Row],[tsmc PO '#]],BB___HK___AMHS__Others[Status],"&lt;&gt;Rejected",BB___HK___AMHS__Others[YearMonth],"2024-09")</f>
        <v>0</v>
      </c>
    </row>
    <row r="180" spans="1:98" ht="14.1" hidden="1">
      <c r="A180" s="30" t="s">
        <v>9</v>
      </c>
      <c r="B180" s="30" t="s">
        <v>2051</v>
      </c>
      <c r="C180" s="30" t="s">
        <v>2184</v>
      </c>
      <c r="D180" s="50" t="s">
        <v>1759</v>
      </c>
      <c r="E180" s="50" t="s">
        <v>2065</v>
      </c>
      <c r="F180" s="57" t="s">
        <v>2198</v>
      </c>
      <c r="G180" s="63" t="s">
        <v>312</v>
      </c>
      <c r="H180" s="50">
        <v>4590013804</v>
      </c>
      <c r="I180" s="30" t="s">
        <v>120</v>
      </c>
      <c r="J180" s="30" t="s">
        <v>670</v>
      </c>
      <c r="K180" s="46">
        <v>2398574.7000000002</v>
      </c>
      <c r="L180" s="30"/>
      <c r="M180" s="86">
        <v>45233</v>
      </c>
      <c r="N180" s="87"/>
      <c r="O180" s="88" t="s">
        <v>2156</v>
      </c>
      <c r="P18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2398574.7000000002</v>
      </c>
      <c r="Q18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2178485</v>
      </c>
      <c r="R18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2398574.7000000002</v>
      </c>
      <c r="S180" s="72">
        <f>IF(AR_725[[#This Row],[PO Amount]]=0,1,AR_725[[#This Row],[Total AR (Sent)]]/AR_725[[#This Row],[PO Amount]])</f>
        <v>1</v>
      </c>
      <c r="T180" s="75">
        <f>AR_725[[#This Row],[PO Amount]]-AR_725[[#This Row],[Total AR (Sent)]]</f>
        <v>0</v>
      </c>
      <c r="U180" s="40"/>
      <c r="V180" s="40"/>
      <c r="W180" s="46"/>
      <c r="X180" s="46"/>
      <c r="Y180" s="46"/>
      <c r="Z180" s="46"/>
      <c r="AA180" s="46"/>
      <c r="AB180" s="40"/>
      <c r="AC180" s="40"/>
      <c r="AD180" s="40"/>
      <c r="AE180" s="46"/>
      <c r="AF180" s="46"/>
      <c r="AG180" s="40"/>
      <c r="AH180" s="46"/>
      <c r="AI180" s="40"/>
      <c r="AJ180" s="41"/>
      <c r="AK180" s="40"/>
      <c r="AL180" s="46"/>
      <c r="AM180" s="40"/>
      <c r="AN180" s="46"/>
      <c r="AO180" s="40"/>
      <c r="AP180" s="46"/>
      <c r="AQ180" s="40"/>
      <c r="AR180" s="41"/>
      <c r="AS180" s="40"/>
      <c r="AT180" s="41"/>
      <c r="AU180" s="40"/>
      <c r="AV180" s="41"/>
      <c r="AW180" s="40"/>
      <c r="AX180" s="41"/>
      <c r="AY180" s="40"/>
      <c r="AZ180" s="41"/>
      <c r="BA180" s="41"/>
      <c r="BB180" s="41"/>
      <c r="BC180" s="40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6"/>
      <c r="BP180" s="41"/>
      <c r="BQ180" s="46"/>
      <c r="BR180" s="40"/>
      <c r="BS180" s="40"/>
      <c r="BT180" s="40"/>
      <c r="BU180" s="40"/>
      <c r="BV180" s="40"/>
      <c r="BW180" s="40"/>
      <c r="BX180" s="34"/>
      <c r="BY180" s="47">
        <v>749171</v>
      </c>
      <c r="BZ180" s="40"/>
      <c r="CA180" s="47">
        <v>1238808</v>
      </c>
      <c r="CB180" s="34"/>
      <c r="CC180" s="34"/>
      <c r="CD180" s="34"/>
      <c r="CE180" s="42">
        <v>190506</v>
      </c>
      <c r="CF180" s="34"/>
      <c r="CG180" s="122"/>
      <c r="CI180" s="122"/>
      <c r="CJ180" s="30"/>
      <c r="CK180" s="122">
        <v>220089.7</v>
      </c>
      <c r="CL180" s="122">
        <v>0</v>
      </c>
      <c r="CM180" s="122">
        <v>0</v>
      </c>
      <c r="CN180" s="122">
        <v>0</v>
      </c>
      <c r="CO180" s="122">
        <f>SUMIFS(BB___HK___AMHS__Others[AR Amount],BB___HK___AMHS__Others[PO No.],AR_725[[#This Row],[tsmc PO '#]],BB___HK___AMHS__Others[Status],"&lt;&gt;Rejected",BB___HK___AMHS__Others[YearMonth],"2024-07")</f>
        <v>0</v>
      </c>
      <c r="CP180" s="122">
        <f>SUMIFS(BB___HK___AMHS__Others[Tax],BB___HK___AMHS__Others[PO No.],AR_725[[#This Row],[tsmc PO '#]],BB___HK___AMHS__Others[Status],"&lt;&gt;Rejected",BB___HK___AMHS__Others[YearMonth],"2024-07")</f>
        <v>0</v>
      </c>
      <c r="CQ180" s="34">
        <f>SUMIFS(BB___HK___AMHS__Others[AR Amount],BB___HK___AMHS__Others[PO No.],AR_725[[#This Row],[tsmc PO '#]],BB___HK___AMHS__Others[Status],"&lt;&gt;Rejected",BB___HK___AMHS__Others[YearMonth],"2024-08")</f>
        <v>0</v>
      </c>
      <c r="CR180" s="44">
        <f>SUMIFS(BB___HK___AMHS__Others[Tax],BB___HK___AMHS__Others[PO No.],AR_725[[#This Row],[tsmc PO '#]],BB___HK___AMHS__Others[Status],"&lt;&gt;Rejected",BB___HK___AMHS__Others[YearMonth],"2024-08")</f>
        <v>0</v>
      </c>
      <c r="CS180" s="62">
        <f>SUMIFS(BB___HK___AMHS__Others[AR Amount],BB___HK___AMHS__Others[PO No.],AR_725[[#This Row],[tsmc PO '#]],BB___HK___AMHS__Others[Status],"&lt;&gt;Rejected",BB___HK___AMHS__Others[YearMonth],"2024-09")</f>
        <v>0</v>
      </c>
      <c r="CT180" s="601">
        <f>SUMIFS(BB___HK___AMHS__Others[Tax],BB___HK___AMHS__Others[PO No.],AR_725[[#This Row],[tsmc PO '#]],BB___HK___AMHS__Others[Status],"&lt;&gt;Rejected",BB___HK___AMHS__Others[YearMonth],"2024-09")</f>
        <v>0</v>
      </c>
    </row>
    <row r="181" spans="1:98" ht="14.1" hidden="1">
      <c r="A181" s="30" t="s">
        <v>9</v>
      </c>
      <c r="B181" s="30" t="s">
        <v>2051</v>
      </c>
      <c r="C181" s="30" t="s">
        <v>2184</v>
      </c>
      <c r="D181" s="50"/>
      <c r="E181" s="57" t="s">
        <v>2070</v>
      </c>
      <c r="F181" s="57" t="s">
        <v>2115</v>
      </c>
      <c r="G181" s="63" t="s">
        <v>54</v>
      </c>
      <c r="H181" s="50">
        <v>4590013806</v>
      </c>
      <c r="I181" s="30" t="s">
        <v>613</v>
      </c>
      <c r="J181" s="30" t="s">
        <v>614</v>
      </c>
      <c r="K181" s="46">
        <v>661674</v>
      </c>
      <c r="L181" s="30"/>
      <c r="M181" s="86">
        <v>45233</v>
      </c>
      <c r="N181" s="87"/>
      <c r="O181" s="88" t="s">
        <v>2156</v>
      </c>
      <c r="P18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661674</v>
      </c>
      <c r="Q18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661674</v>
      </c>
      <c r="R18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661674</v>
      </c>
      <c r="S181" s="72">
        <f>IF(AR_725[[#This Row],[PO Amount]]=0,1,AR_725[[#This Row],[Total AR (Sent)]]/AR_725[[#This Row],[PO Amount]])</f>
        <v>1</v>
      </c>
      <c r="T181" s="75">
        <f>AR_725[[#This Row],[PO Amount]]-AR_725[[#This Row],[Total AR (Sent)]]</f>
        <v>0</v>
      </c>
      <c r="U181" s="40"/>
      <c r="V181" s="40"/>
      <c r="W181" s="46"/>
      <c r="X181" s="46"/>
      <c r="Y181" s="46"/>
      <c r="Z181" s="46"/>
      <c r="AA181" s="46"/>
      <c r="AB181" s="40"/>
      <c r="AC181" s="40"/>
      <c r="AD181" s="40"/>
      <c r="AE181" s="46"/>
      <c r="AF181" s="46"/>
      <c r="AG181" s="40"/>
      <c r="AH181" s="46"/>
      <c r="AI181" s="40"/>
      <c r="AJ181" s="46"/>
      <c r="AK181" s="40"/>
      <c r="AL181" s="46"/>
      <c r="AM181" s="40"/>
      <c r="AN181" s="46"/>
      <c r="AO181" s="40"/>
      <c r="AP181" s="46"/>
      <c r="AQ181" s="40"/>
      <c r="AR181" s="41"/>
      <c r="AS181" s="40"/>
      <c r="AT181" s="41"/>
      <c r="AU181" s="40"/>
      <c r="AV181" s="41"/>
      <c r="AW181" s="40"/>
      <c r="AX181" s="41"/>
      <c r="AY181" s="40"/>
      <c r="AZ181" s="41"/>
      <c r="BA181" s="41"/>
      <c r="BB181" s="41"/>
      <c r="BC181" s="40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6"/>
      <c r="BP181" s="41"/>
      <c r="BQ181" s="46"/>
      <c r="BR181" s="40"/>
      <c r="BS181" s="40"/>
      <c r="BT181" s="40"/>
      <c r="BU181" s="40"/>
      <c r="BV181" s="40"/>
      <c r="BW181" s="47">
        <v>661674</v>
      </c>
      <c r="BX181" s="34"/>
      <c r="BZ181" s="40"/>
      <c r="CA181" s="40"/>
      <c r="CB181" s="34"/>
      <c r="CC181" s="34"/>
      <c r="CD181" s="34"/>
      <c r="CE181" s="34"/>
      <c r="CF181" s="34"/>
      <c r="CG181" s="122"/>
      <c r="CI181" s="122"/>
      <c r="CJ181" s="30"/>
      <c r="CK181" s="122">
        <v>0</v>
      </c>
      <c r="CL181" s="122">
        <v>0</v>
      </c>
      <c r="CM181" s="122">
        <v>0</v>
      </c>
      <c r="CN181" s="122">
        <v>0</v>
      </c>
      <c r="CO181" s="122">
        <f>SUMIFS(BB___HK___AMHS__Others[AR Amount],BB___HK___AMHS__Others[PO No.],AR_725[[#This Row],[tsmc PO '#]],BB___HK___AMHS__Others[Status],"&lt;&gt;Rejected",BB___HK___AMHS__Others[YearMonth],"2024-07")</f>
        <v>0</v>
      </c>
      <c r="CP181" s="122">
        <f>SUMIFS(BB___HK___AMHS__Others[Tax],BB___HK___AMHS__Others[PO No.],AR_725[[#This Row],[tsmc PO '#]],BB___HK___AMHS__Others[Status],"&lt;&gt;Rejected",BB___HK___AMHS__Others[YearMonth],"2024-07")</f>
        <v>0</v>
      </c>
      <c r="CQ181" s="34">
        <f>SUMIFS(BB___HK___AMHS__Others[AR Amount],BB___HK___AMHS__Others[PO No.],AR_725[[#This Row],[tsmc PO '#]],BB___HK___AMHS__Others[Status],"&lt;&gt;Rejected",BB___HK___AMHS__Others[YearMonth],"2024-08")</f>
        <v>0</v>
      </c>
      <c r="CR181" s="44">
        <f>SUMIFS(BB___HK___AMHS__Others[Tax],BB___HK___AMHS__Others[PO No.],AR_725[[#This Row],[tsmc PO '#]],BB___HK___AMHS__Others[Status],"&lt;&gt;Rejected",BB___HK___AMHS__Others[YearMonth],"2024-08")</f>
        <v>0</v>
      </c>
      <c r="CS181" s="62">
        <f>SUMIFS(BB___HK___AMHS__Others[AR Amount],BB___HK___AMHS__Others[PO No.],AR_725[[#This Row],[tsmc PO '#]],BB___HK___AMHS__Others[Status],"&lt;&gt;Rejected",BB___HK___AMHS__Others[YearMonth],"2024-09")</f>
        <v>0</v>
      </c>
      <c r="CT181" s="601">
        <f>SUMIFS(BB___HK___AMHS__Others[Tax],BB___HK___AMHS__Others[PO No.],AR_725[[#This Row],[tsmc PO '#]],BB___HK___AMHS__Others[Status],"&lt;&gt;Rejected",BB___HK___AMHS__Others[YearMonth],"2024-09")</f>
        <v>0</v>
      </c>
    </row>
    <row r="182" spans="1:98" ht="14.1" hidden="1">
      <c r="A182" s="30" t="s">
        <v>9</v>
      </c>
      <c r="B182" s="30" t="s">
        <v>2051</v>
      </c>
      <c r="C182" s="30" t="s">
        <v>2184</v>
      </c>
      <c r="D182" s="50" t="s">
        <v>1706</v>
      </c>
      <c r="E182" s="57" t="s">
        <v>2070</v>
      </c>
      <c r="F182" s="57" t="s">
        <v>2202</v>
      </c>
      <c r="G182" s="63" t="s">
        <v>54</v>
      </c>
      <c r="H182" s="50">
        <v>4590013807</v>
      </c>
      <c r="I182" s="30" t="s">
        <v>613</v>
      </c>
      <c r="J182" s="30" t="s">
        <v>615</v>
      </c>
      <c r="K182" s="46">
        <v>1313687.25</v>
      </c>
      <c r="L182" s="30"/>
      <c r="M182" s="86">
        <v>45233</v>
      </c>
      <c r="N182" s="87"/>
      <c r="O182" s="88" t="s">
        <v>2156</v>
      </c>
      <c r="P18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1313687.25</v>
      </c>
      <c r="Q18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1313687.25</v>
      </c>
      <c r="R18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1313687.25</v>
      </c>
      <c r="S182" s="72">
        <f>IF(AR_725[[#This Row],[PO Amount]]=0,1,AR_725[[#This Row],[Total AR (Sent)]]/AR_725[[#This Row],[PO Amount]])</f>
        <v>1</v>
      </c>
      <c r="T182" s="75">
        <f>AR_725[[#This Row],[PO Amount]]-AR_725[[#This Row],[Total AR (Sent)]]</f>
        <v>0</v>
      </c>
      <c r="U182" s="40"/>
      <c r="V182" s="40"/>
      <c r="W182" s="46"/>
      <c r="X182" s="46"/>
      <c r="Y182" s="46"/>
      <c r="Z182" s="46"/>
      <c r="AA182" s="46"/>
      <c r="AB182" s="40"/>
      <c r="AC182" s="40"/>
      <c r="AD182" s="40"/>
      <c r="AE182" s="46"/>
      <c r="AF182" s="46"/>
      <c r="AG182" s="40"/>
      <c r="AH182" s="46"/>
      <c r="AI182" s="40"/>
      <c r="AJ182" s="46"/>
      <c r="AK182" s="40"/>
      <c r="AL182" s="46"/>
      <c r="AM182" s="40"/>
      <c r="AN182" s="46"/>
      <c r="AO182" s="40"/>
      <c r="AP182" s="46"/>
      <c r="AQ182" s="40"/>
      <c r="AR182" s="41"/>
      <c r="AS182" s="40"/>
      <c r="AT182" s="41"/>
      <c r="AU182" s="40"/>
      <c r="AV182" s="41"/>
      <c r="AW182" s="40"/>
      <c r="AX182" s="41"/>
      <c r="AY182" s="40"/>
      <c r="AZ182" s="41"/>
      <c r="BA182" s="41"/>
      <c r="BB182" s="41"/>
      <c r="BC182" s="40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6"/>
      <c r="BP182" s="41"/>
      <c r="BQ182" s="46"/>
      <c r="BR182" s="40"/>
      <c r="BS182" s="40"/>
      <c r="BT182" s="40"/>
      <c r="BU182" s="40"/>
      <c r="BV182" s="40"/>
      <c r="BW182" s="47">
        <v>1313687.25</v>
      </c>
      <c r="BX182" s="34"/>
      <c r="BZ182" s="40"/>
      <c r="CA182" s="40"/>
      <c r="CB182" s="34"/>
      <c r="CC182" s="34"/>
      <c r="CD182" s="34"/>
      <c r="CE182" s="34"/>
      <c r="CF182" s="34"/>
      <c r="CG182" s="122"/>
      <c r="CI182" s="122"/>
      <c r="CJ182" s="30"/>
      <c r="CK182" s="122">
        <v>0</v>
      </c>
      <c r="CL182" s="122">
        <v>0</v>
      </c>
      <c r="CM182" s="122">
        <v>0</v>
      </c>
      <c r="CN182" s="122">
        <v>0</v>
      </c>
      <c r="CO182" s="122">
        <f>SUMIFS(BB___HK___AMHS__Others[AR Amount],BB___HK___AMHS__Others[PO No.],AR_725[[#This Row],[tsmc PO '#]],BB___HK___AMHS__Others[Status],"&lt;&gt;Rejected",BB___HK___AMHS__Others[YearMonth],"2024-07")</f>
        <v>0</v>
      </c>
      <c r="CP182" s="122">
        <f>SUMIFS(BB___HK___AMHS__Others[Tax],BB___HK___AMHS__Others[PO No.],AR_725[[#This Row],[tsmc PO '#]],BB___HK___AMHS__Others[Status],"&lt;&gt;Rejected",BB___HK___AMHS__Others[YearMonth],"2024-07")</f>
        <v>0</v>
      </c>
      <c r="CQ182" s="34">
        <f>SUMIFS(BB___HK___AMHS__Others[AR Amount],BB___HK___AMHS__Others[PO No.],AR_725[[#This Row],[tsmc PO '#]],BB___HK___AMHS__Others[Status],"&lt;&gt;Rejected",BB___HK___AMHS__Others[YearMonth],"2024-08")</f>
        <v>0</v>
      </c>
      <c r="CR182" s="44">
        <f>SUMIFS(BB___HK___AMHS__Others[Tax],BB___HK___AMHS__Others[PO No.],AR_725[[#This Row],[tsmc PO '#]],BB___HK___AMHS__Others[Status],"&lt;&gt;Rejected",BB___HK___AMHS__Others[YearMonth],"2024-08")</f>
        <v>0</v>
      </c>
      <c r="CS182" s="62">
        <f>SUMIFS(BB___HK___AMHS__Others[AR Amount],BB___HK___AMHS__Others[PO No.],AR_725[[#This Row],[tsmc PO '#]],BB___HK___AMHS__Others[Status],"&lt;&gt;Rejected",BB___HK___AMHS__Others[YearMonth],"2024-09")</f>
        <v>0</v>
      </c>
      <c r="CT182" s="601">
        <f>SUMIFS(BB___HK___AMHS__Others[Tax],BB___HK___AMHS__Others[PO No.],AR_725[[#This Row],[tsmc PO '#]],BB___HK___AMHS__Others[Status],"&lt;&gt;Rejected",BB___HK___AMHS__Others[YearMonth],"2024-09")</f>
        <v>0</v>
      </c>
    </row>
    <row r="183" spans="1:98" ht="14.1" hidden="1">
      <c r="A183" s="30" t="s">
        <v>9</v>
      </c>
      <c r="B183" s="30" t="s">
        <v>2051</v>
      </c>
      <c r="C183" s="30" t="s">
        <v>2184</v>
      </c>
      <c r="D183" s="50" t="s">
        <v>1546</v>
      </c>
      <c r="E183" s="57" t="s">
        <v>2052</v>
      </c>
      <c r="F183" s="57" t="s">
        <v>2052</v>
      </c>
      <c r="G183" s="63" t="s">
        <v>54</v>
      </c>
      <c r="H183" s="50">
        <v>4590013808</v>
      </c>
      <c r="I183" s="30" t="s">
        <v>613</v>
      </c>
      <c r="J183" s="30" t="s">
        <v>616</v>
      </c>
      <c r="K183" s="46">
        <v>104910</v>
      </c>
      <c r="L183" s="30"/>
      <c r="M183" s="86">
        <v>45233</v>
      </c>
      <c r="N183" s="87"/>
      <c r="O183" s="88" t="s">
        <v>2156</v>
      </c>
      <c r="P18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104910</v>
      </c>
      <c r="Q18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104910</v>
      </c>
      <c r="R18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104910</v>
      </c>
      <c r="S183" s="72">
        <f>IF(AR_725[[#This Row],[PO Amount]]=0,1,AR_725[[#This Row],[Total AR (Sent)]]/AR_725[[#This Row],[PO Amount]])</f>
        <v>1</v>
      </c>
      <c r="T183" s="75">
        <f>AR_725[[#This Row],[PO Amount]]-AR_725[[#This Row],[Total AR (Sent)]]</f>
        <v>0</v>
      </c>
      <c r="U183" s="40"/>
      <c r="V183" s="40"/>
      <c r="W183" s="46"/>
      <c r="X183" s="46"/>
      <c r="Y183" s="46"/>
      <c r="Z183" s="46"/>
      <c r="AA183" s="46"/>
      <c r="AB183" s="40"/>
      <c r="AC183" s="40"/>
      <c r="AD183" s="40"/>
      <c r="AE183" s="46"/>
      <c r="AF183" s="46"/>
      <c r="AG183" s="40"/>
      <c r="AH183" s="46"/>
      <c r="AI183" s="40"/>
      <c r="AJ183" s="46"/>
      <c r="AK183" s="40"/>
      <c r="AL183" s="46"/>
      <c r="AM183" s="40"/>
      <c r="AN183" s="46"/>
      <c r="AO183" s="40"/>
      <c r="AP183" s="46"/>
      <c r="AQ183" s="40"/>
      <c r="AR183" s="41"/>
      <c r="AS183" s="40"/>
      <c r="AT183" s="41"/>
      <c r="AU183" s="40"/>
      <c r="AV183" s="41"/>
      <c r="AW183" s="40"/>
      <c r="AX183" s="41"/>
      <c r="AY183" s="40"/>
      <c r="AZ183" s="41"/>
      <c r="BA183" s="41"/>
      <c r="BB183" s="41"/>
      <c r="BC183" s="40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6"/>
      <c r="BP183" s="41"/>
      <c r="BQ183" s="46"/>
      <c r="BR183" s="40"/>
      <c r="BS183" s="40"/>
      <c r="BT183" s="40"/>
      <c r="BU183" s="40"/>
      <c r="BV183" s="40"/>
      <c r="BW183" s="47">
        <v>104910</v>
      </c>
      <c r="BX183" s="34"/>
      <c r="BZ183" s="40"/>
      <c r="CA183" s="40"/>
      <c r="CB183" s="34"/>
      <c r="CC183" s="34"/>
      <c r="CD183" s="34"/>
      <c r="CE183" s="34"/>
      <c r="CF183" s="34"/>
      <c r="CG183" s="122"/>
      <c r="CI183" s="122"/>
      <c r="CJ183" s="30"/>
      <c r="CK183" s="122">
        <v>0</v>
      </c>
      <c r="CL183" s="122">
        <v>0</v>
      </c>
      <c r="CM183" s="122">
        <v>0</v>
      </c>
      <c r="CN183" s="122">
        <v>0</v>
      </c>
      <c r="CO183" s="122">
        <f>SUMIFS(BB___HK___AMHS__Others[AR Amount],BB___HK___AMHS__Others[PO No.],AR_725[[#This Row],[tsmc PO '#]],BB___HK___AMHS__Others[Status],"&lt;&gt;Rejected",BB___HK___AMHS__Others[YearMonth],"2024-07")</f>
        <v>0</v>
      </c>
      <c r="CP183" s="122">
        <f>SUMIFS(BB___HK___AMHS__Others[Tax],BB___HK___AMHS__Others[PO No.],AR_725[[#This Row],[tsmc PO '#]],BB___HK___AMHS__Others[Status],"&lt;&gt;Rejected",BB___HK___AMHS__Others[YearMonth],"2024-07")</f>
        <v>0</v>
      </c>
      <c r="CQ183" s="34">
        <f>SUMIFS(BB___HK___AMHS__Others[AR Amount],BB___HK___AMHS__Others[PO No.],AR_725[[#This Row],[tsmc PO '#]],BB___HK___AMHS__Others[Status],"&lt;&gt;Rejected",BB___HK___AMHS__Others[YearMonth],"2024-08")</f>
        <v>0</v>
      </c>
      <c r="CR183" s="44">
        <f>SUMIFS(BB___HK___AMHS__Others[Tax],BB___HK___AMHS__Others[PO No.],AR_725[[#This Row],[tsmc PO '#]],BB___HK___AMHS__Others[Status],"&lt;&gt;Rejected",BB___HK___AMHS__Others[YearMonth],"2024-08")</f>
        <v>0</v>
      </c>
      <c r="CS183" s="62">
        <f>SUMIFS(BB___HK___AMHS__Others[AR Amount],BB___HK___AMHS__Others[PO No.],AR_725[[#This Row],[tsmc PO '#]],BB___HK___AMHS__Others[Status],"&lt;&gt;Rejected",BB___HK___AMHS__Others[YearMonth],"2024-09")</f>
        <v>0</v>
      </c>
      <c r="CT183" s="601">
        <f>SUMIFS(BB___HK___AMHS__Others[Tax],BB___HK___AMHS__Others[PO No.],AR_725[[#This Row],[tsmc PO '#]],BB___HK___AMHS__Others[Status],"&lt;&gt;Rejected",BB___HK___AMHS__Others[YearMonth],"2024-09")</f>
        <v>0</v>
      </c>
    </row>
    <row r="184" spans="1:98" ht="14.1" hidden="1">
      <c r="A184" s="30" t="s">
        <v>9</v>
      </c>
      <c r="B184" s="30" t="s">
        <v>2051</v>
      </c>
      <c r="C184" s="30" t="s">
        <v>2184</v>
      </c>
      <c r="D184" s="50"/>
      <c r="E184" s="57" t="s">
        <v>2070</v>
      </c>
      <c r="F184" s="57" t="s">
        <v>2115</v>
      </c>
      <c r="G184" s="63" t="s">
        <v>54</v>
      </c>
      <c r="H184" s="50">
        <v>4590013809</v>
      </c>
      <c r="I184" s="30" t="s">
        <v>613</v>
      </c>
      <c r="J184" s="30" t="s">
        <v>617</v>
      </c>
      <c r="K184" s="46">
        <v>7083604.0199999996</v>
      </c>
      <c r="L184" s="30"/>
      <c r="M184" s="86">
        <v>45233</v>
      </c>
      <c r="N184" s="87"/>
      <c r="O184" s="88" t="s">
        <v>2156</v>
      </c>
      <c r="P18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7083604.0199999996</v>
      </c>
      <c r="Q18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7083604.0199999996</v>
      </c>
      <c r="R18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7083604.0199999996</v>
      </c>
      <c r="S184" s="72">
        <f>IF(AR_725[[#This Row],[PO Amount]]=0,1,AR_725[[#This Row],[Total AR (Sent)]]/AR_725[[#This Row],[PO Amount]])</f>
        <v>1</v>
      </c>
      <c r="T184" s="75">
        <f>AR_725[[#This Row],[PO Amount]]-AR_725[[#This Row],[Total AR (Sent)]]</f>
        <v>0</v>
      </c>
      <c r="U184" s="40"/>
      <c r="V184" s="40"/>
      <c r="W184" s="46"/>
      <c r="X184" s="46"/>
      <c r="Y184" s="46"/>
      <c r="Z184" s="46"/>
      <c r="AA184" s="46"/>
      <c r="AB184" s="40"/>
      <c r="AC184" s="40"/>
      <c r="AD184" s="40"/>
      <c r="AE184" s="46"/>
      <c r="AF184" s="46"/>
      <c r="AG184" s="40"/>
      <c r="AH184" s="46"/>
      <c r="AI184" s="40"/>
      <c r="AJ184" s="46"/>
      <c r="AK184" s="40"/>
      <c r="AL184" s="46"/>
      <c r="AM184" s="40"/>
      <c r="AN184" s="46"/>
      <c r="AO184" s="40"/>
      <c r="AP184" s="46"/>
      <c r="AQ184" s="40"/>
      <c r="AR184" s="41"/>
      <c r="AS184" s="40"/>
      <c r="AT184" s="41"/>
      <c r="AU184" s="40"/>
      <c r="AV184" s="41"/>
      <c r="AW184" s="40"/>
      <c r="AX184" s="41"/>
      <c r="AY184" s="40"/>
      <c r="AZ184" s="41"/>
      <c r="BA184" s="41"/>
      <c r="BB184" s="41"/>
      <c r="BC184" s="40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6"/>
      <c r="BP184" s="41"/>
      <c r="BQ184" s="46"/>
      <c r="BR184" s="40"/>
      <c r="BS184" s="40"/>
      <c r="BT184" s="40"/>
      <c r="BU184" s="40"/>
      <c r="BV184" s="40"/>
      <c r="BW184" s="47">
        <v>7083604.0199999996</v>
      </c>
      <c r="BX184" s="34"/>
      <c r="BZ184" s="40"/>
      <c r="CA184" s="40"/>
      <c r="CB184" s="34"/>
      <c r="CC184" s="34"/>
      <c r="CD184" s="34"/>
      <c r="CE184" s="34"/>
      <c r="CF184" s="34"/>
      <c r="CG184" s="122"/>
      <c r="CI184" s="122"/>
      <c r="CJ184" s="30"/>
      <c r="CK184" s="122">
        <v>0</v>
      </c>
      <c r="CL184" s="122">
        <v>0</v>
      </c>
      <c r="CM184" s="122">
        <v>0</v>
      </c>
      <c r="CN184" s="122">
        <v>0</v>
      </c>
      <c r="CO184" s="122">
        <f>SUMIFS(BB___HK___AMHS__Others[AR Amount],BB___HK___AMHS__Others[PO No.],AR_725[[#This Row],[tsmc PO '#]],BB___HK___AMHS__Others[Status],"&lt;&gt;Rejected",BB___HK___AMHS__Others[YearMonth],"2024-07")</f>
        <v>0</v>
      </c>
      <c r="CP184" s="122">
        <f>SUMIFS(BB___HK___AMHS__Others[Tax],BB___HK___AMHS__Others[PO No.],AR_725[[#This Row],[tsmc PO '#]],BB___HK___AMHS__Others[Status],"&lt;&gt;Rejected",BB___HK___AMHS__Others[YearMonth],"2024-07")</f>
        <v>0</v>
      </c>
      <c r="CQ184" s="34">
        <f>SUMIFS(BB___HK___AMHS__Others[AR Amount],BB___HK___AMHS__Others[PO No.],AR_725[[#This Row],[tsmc PO '#]],BB___HK___AMHS__Others[Status],"&lt;&gt;Rejected",BB___HK___AMHS__Others[YearMonth],"2024-08")</f>
        <v>0</v>
      </c>
      <c r="CR184" s="44">
        <f>SUMIFS(BB___HK___AMHS__Others[Tax],BB___HK___AMHS__Others[PO No.],AR_725[[#This Row],[tsmc PO '#]],BB___HK___AMHS__Others[Status],"&lt;&gt;Rejected",BB___HK___AMHS__Others[YearMonth],"2024-08")</f>
        <v>0</v>
      </c>
      <c r="CS184" s="62">
        <f>SUMIFS(BB___HK___AMHS__Others[AR Amount],BB___HK___AMHS__Others[PO No.],AR_725[[#This Row],[tsmc PO '#]],BB___HK___AMHS__Others[Status],"&lt;&gt;Rejected",BB___HK___AMHS__Others[YearMonth],"2024-09")</f>
        <v>0</v>
      </c>
      <c r="CT184" s="601">
        <f>SUMIFS(BB___HK___AMHS__Others[Tax],BB___HK___AMHS__Others[PO No.],AR_725[[#This Row],[tsmc PO '#]],BB___HK___AMHS__Others[Status],"&lt;&gt;Rejected",BB___HK___AMHS__Others[YearMonth],"2024-09")</f>
        <v>0</v>
      </c>
    </row>
    <row r="185" spans="1:98" ht="14.1" hidden="1">
      <c r="A185" s="30" t="s">
        <v>9</v>
      </c>
      <c r="B185" s="30" t="s">
        <v>2051</v>
      </c>
      <c r="C185" s="30" t="s">
        <v>2184</v>
      </c>
      <c r="D185" s="50"/>
      <c r="E185" s="57" t="s">
        <v>2185</v>
      </c>
      <c r="F185" s="48" t="s">
        <v>2074</v>
      </c>
      <c r="G185" s="63" t="s">
        <v>54</v>
      </c>
      <c r="H185" s="50">
        <v>4590013810</v>
      </c>
      <c r="I185" s="30" t="s">
        <v>613</v>
      </c>
      <c r="J185" s="30" t="s">
        <v>618</v>
      </c>
      <c r="K185" s="46">
        <v>5008794.91</v>
      </c>
      <c r="L185" s="30"/>
      <c r="M185" s="86">
        <v>45233</v>
      </c>
      <c r="N185" s="87"/>
      <c r="O185" s="88" t="s">
        <v>2156</v>
      </c>
      <c r="P18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5008794.91</v>
      </c>
      <c r="Q18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5008794.91</v>
      </c>
      <c r="R18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5008794.91</v>
      </c>
      <c r="S185" s="72">
        <f>IF(AR_725[[#This Row],[PO Amount]]=0,1,AR_725[[#This Row],[Total AR (Sent)]]/AR_725[[#This Row],[PO Amount]])</f>
        <v>1</v>
      </c>
      <c r="T185" s="75">
        <f>AR_725[[#This Row],[PO Amount]]-AR_725[[#This Row],[Total AR (Sent)]]</f>
        <v>0</v>
      </c>
      <c r="U185" s="40"/>
      <c r="V185" s="40"/>
      <c r="W185" s="46"/>
      <c r="X185" s="46"/>
      <c r="Y185" s="46"/>
      <c r="Z185" s="46"/>
      <c r="AA185" s="46"/>
      <c r="AB185" s="40"/>
      <c r="AC185" s="40"/>
      <c r="AD185" s="40"/>
      <c r="AE185" s="46"/>
      <c r="AF185" s="46"/>
      <c r="AG185" s="40"/>
      <c r="AH185" s="46"/>
      <c r="AI185" s="40"/>
      <c r="AJ185" s="46"/>
      <c r="AK185" s="40"/>
      <c r="AL185" s="46"/>
      <c r="AM185" s="40"/>
      <c r="AN185" s="46"/>
      <c r="AO185" s="40"/>
      <c r="AP185" s="46"/>
      <c r="AQ185" s="40"/>
      <c r="AR185" s="41"/>
      <c r="AS185" s="40"/>
      <c r="AT185" s="41"/>
      <c r="AU185" s="40"/>
      <c r="AV185" s="41"/>
      <c r="AW185" s="40"/>
      <c r="AX185" s="41"/>
      <c r="AY185" s="40"/>
      <c r="AZ185" s="41"/>
      <c r="BA185" s="41"/>
      <c r="BB185" s="41"/>
      <c r="BC185" s="40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6"/>
      <c r="BP185" s="41"/>
      <c r="BQ185" s="46"/>
      <c r="BR185" s="40"/>
      <c r="BS185" s="40"/>
      <c r="BT185" s="40"/>
      <c r="BU185" s="40"/>
      <c r="BV185" s="40"/>
      <c r="BW185" s="47">
        <v>5008794.91</v>
      </c>
      <c r="BX185" s="34"/>
      <c r="BZ185" s="40"/>
      <c r="CA185" s="40"/>
      <c r="CB185" s="34"/>
      <c r="CC185" s="34"/>
      <c r="CD185" s="34"/>
      <c r="CE185" s="34"/>
      <c r="CF185" s="34"/>
      <c r="CG185" s="122"/>
      <c r="CI185" s="122"/>
      <c r="CJ185" s="30"/>
      <c r="CK185" s="122">
        <v>0</v>
      </c>
      <c r="CL185" s="122">
        <v>0</v>
      </c>
      <c r="CM185" s="122">
        <v>0</v>
      </c>
      <c r="CN185" s="122">
        <v>0</v>
      </c>
      <c r="CO185" s="122">
        <f>SUMIFS(BB___HK___AMHS__Others[AR Amount],BB___HK___AMHS__Others[PO No.],AR_725[[#This Row],[tsmc PO '#]],BB___HK___AMHS__Others[Status],"&lt;&gt;Rejected",BB___HK___AMHS__Others[YearMonth],"2024-07")</f>
        <v>0</v>
      </c>
      <c r="CP185" s="122">
        <f>SUMIFS(BB___HK___AMHS__Others[Tax],BB___HK___AMHS__Others[PO No.],AR_725[[#This Row],[tsmc PO '#]],BB___HK___AMHS__Others[Status],"&lt;&gt;Rejected",BB___HK___AMHS__Others[YearMonth],"2024-07")</f>
        <v>0</v>
      </c>
      <c r="CQ185" s="34">
        <f>SUMIFS(BB___HK___AMHS__Others[AR Amount],BB___HK___AMHS__Others[PO No.],AR_725[[#This Row],[tsmc PO '#]],BB___HK___AMHS__Others[Status],"&lt;&gt;Rejected",BB___HK___AMHS__Others[YearMonth],"2024-08")</f>
        <v>0</v>
      </c>
      <c r="CR185" s="44">
        <f>SUMIFS(BB___HK___AMHS__Others[Tax],BB___HK___AMHS__Others[PO No.],AR_725[[#This Row],[tsmc PO '#]],BB___HK___AMHS__Others[Status],"&lt;&gt;Rejected",BB___HK___AMHS__Others[YearMonth],"2024-08")</f>
        <v>0</v>
      </c>
      <c r="CS185" s="62">
        <f>SUMIFS(BB___HK___AMHS__Others[AR Amount],BB___HK___AMHS__Others[PO No.],AR_725[[#This Row],[tsmc PO '#]],BB___HK___AMHS__Others[Status],"&lt;&gt;Rejected",BB___HK___AMHS__Others[YearMonth],"2024-09")</f>
        <v>0</v>
      </c>
      <c r="CT185" s="601">
        <f>SUMIFS(BB___HK___AMHS__Others[Tax],BB___HK___AMHS__Others[PO No.],AR_725[[#This Row],[tsmc PO '#]],BB___HK___AMHS__Others[Status],"&lt;&gt;Rejected",BB___HK___AMHS__Others[YearMonth],"2024-09")</f>
        <v>0</v>
      </c>
    </row>
    <row r="186" spans="1:98" ht="14.1" hidden="1">
      <c r="A186" s="30" t="s">
        <v>9</v>
      </c>
      <c r="B186" s="30" t="s">
        <v>2051</v>
      </c>
      <c r="C186" s="30" t="s">
        <v>2184</v>
      </c>
      <c r="D186" s="50" t="s">
        <v>1759</v>
      </c>
      <c r="E186" s="57" t="s">
        <v>2185</v>
      </c>
      <c r="F186" s="48" t="s">
        <v>2074</v>
      </c>
      <c r="G186" s="63" t="s">
        <v>54</v>
      </c>
      <c r="H186" s="50">
        <v>4590013811</v>
      </c>
      <c r="I186" s="30" t="s">
        <v>613</v>
      </c>
      <c r="J186" s="30" t="s">
        <v>619</v>
      </c>
      <c r="K186" s="46">
        <v>577980.02</v>
      </c>
      <c r="L186" s="30"/>
      <c r="M186" s="86">
        <v>45233</v>
      </c>
      <c r="N186" s="87"/>
      <c r="O186" s="88" t="s">
        <v>2156</v>
      </c>
      <c r="P18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577980.02</v>
      </c>
      <c r="Q18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577980.02</v>
      </c>
      <c r="R18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577980.02</v>
      </c>
      <c r="S186" s="72">
        <f>IF(AR_725[[#This Row],[PO Amount]]=0,1,AR_725[[#This Row],[Total AR (Sent)]]/AR_725[[#This Row],[PO Amount]])</f>
        <v>1</v>
      </c>
      <c r="T186" s="75">
        <f>AR_725[[#This Row],[PO Amount]]-AR_725[[#This Row],[Total AR (Sent)]]</f>
        <v>0</v>
      </c>
      <c r="U186" s="40"/>
      <c r="V186" s="40"/>
      <c r="W186" s="46"/>
      <c r="X186" s="46"/>
      <c r="Y186" s="46"/>
      <c r="Z186" s="46"/>
      <c r="AA186" s="46"/>
      <c r="AB186" s="40"/>
      <c r="AC186" s="40"/>
      <c r="AD186" s="40"/>
      <c r="AE186" s="46"/>
      <c r="AF186" s="46"/>
      <c r="AG186" s="40"/>
      <c r="AH186" s="46"/>
      <c r="AI186" s="40"/>
      <c r="AJ186" s="46"/>
      <c r="AK186" s="40"/>
      <c r="AL186" s="46"/>
      <c r="AM186" s="40"/>
      <c r="AN186" s="46"/>
      <c r="AO186" s="40"/>
      <c r="AP186" s="46"/>
      <c r="AQ186" s="40"/>
      <c r="AR186" s="41"/>
      <c r="AS186" s="40"/>
      <c r="AT186" s="41"/>
      <c r="AU186" s="40"/>
      <c r="AV186" s="41"/>
      <c r="AW186" s="40"/>
      <c r="AX186" s="41"/>
      <c r="AY186" s="40"/>
      <c r="AZ186" s="41"/>
      <c r="BA186" s="41"/>
      <c r="BB186" s="41"/>
      <c r="BC186" s="40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6"/>
      <c r="BP186" s="41"/>
      <c r="BQ186" s="46"/>
      <c r="BR186" s="40"/>
      <c r="BS186" s="40"/>
      <c r="BT186" s="40"/>
      <c r="BU186" s="40"/>
      <c r="BV186" s="40"/>
      <c r="BW186" s="47">
        <v>577980.02</v>
      </c>
      <c r="BX186" s="34"/>
      <c r="BZ186" s="40"/>
      <c r="CA186" s="40"/>
      <c r="CB186" s="34"/>
      <c r="CC186" s="34"/>
      <c r="CD186" s="34"/>
      <c r="CE186" s="34"/>
      <c r="CF186" s="34"/>
      <c r="CG186" s="122"/>
      <c r="CI186" s="122"/>
      <c r="CJ186" s="30"/>
      <c r="CK186" s="122">
        <v>0</v>
      </c>
      <c r="CL186" s="122">
        <v>0</v>
      </c>
      <c r="CM186" s="122">
        <v>0</v>
      </c>
      <c r="CN186" s="122">
        <v>0</v>
      </c>
      <c r="CO186" s="122">
        <f>SUMIFS(BB___HK___AMHS__Others[AR Amount],BB___HK___AMHS__Others[PO No.],AR_725[[#This Row],[tsmc PO '#]],BB___HK___AMHS__Others[Status],"&lt;&gt;Rejected",BB___HK___AMHS__Others[YearMonth],"2024-07")</f>
        <v>0</v>
      </c>
      <c r="CP186" s="122">
        <f>SUMIFS(BB___HK___AMHS__Others[Tax],BB___HK___AMHS__Others[PO No.],AR_725[[#This Row],[tsmc PO '#]],BB___HK___AMHS__Others[Status],"&lt;&gt;Rejected",BB___HK___AMHS__Others[YearMonth],"2024-07")</f>
        <v>0</v>
      </c>
      <c r="CQ186" s="34">
        <f>SUMIFS(BB___HK___AMHS__Others[AR Amount],BB___HK___AMHS__Others[PO No.],AR_725[[#This Row],[tsmc PO '#]],BB___HK___AMHS__Others[Status],"&lt;&gt;Rejected",BB___HK___AMHS__Others[YearMonth],"2024-08")</f>
        <v>0</v>
      </c>
      <c r="CR186" s="44">
        <f>SUMIFS(BB___HK___AMHS__Others[Tax],BB___HK___AMHS__Others[PO No.],AR_725[[#This Row],[tsmc PO '#]],BB___HK___AMHS__Others[Status],"&lt;&gt;Rejected",BB___HK___AMHS__Others[YearMonth],"2024-08")</f>
        <v>0</v>
      </c>
      <c r="CS186" s="62">
        <f>SUMIFS(BB___HK___AMHS__Others[AR Amount],BB___HK___AMHS__Others[PO No.],AR_725[[#This Row],[tsmc PO '#]],BB___HK___AMHS__Others[Status],"&lt;&gt;Rejected",BB___HK___AMHS__Others[YearMonth],"2024-09")</f>
        <v>0</v>
      </c>
      <c r="CT186" s="601">
        <f>SUMIFS(BB___HK___AMHS__Others[Tax],BB___HK___AMHS__Others[PO No.],AR_725[[#This Row],[tsmc PO '#]],BB___HK___AMHS__Others[Status],"&lt;&gt;Rejected",BB___HK___AMHS__Others[YearMonth],"2024-09")</f>
        <v>0</v>
      </c>
    </row>
    <row r="187" spans="1:98" ht="14.1" hidden="1">
      <c r="A187" s="30" t="s">
        <v>11</v>
      </c>
      <c r="B187" s="30" t="s">
        <v>19</v>
      </c>
      <c r="D187" s="50"/>
      <c r="E187" s="603" t="s">
        <v>2126</v>
      </c>
      <c r="F187" s="57" t="s">
        <v>2126</v>
      </c>
      <c r="G187" s="63" t="s">
        <v>2203</v>
      </c>
      <c r="H187" s="50">
        <v>4590013886</v>
      </c>
      <c r="J187" s="30" t="s">
        <v>2204</v>
      </c>
      <c r="K187" s="46">
        <v>1428</v>
      </c>
      <c r="L187" s="30"/>
      <c r="M187" s="86"/>
      <c r="N187" s="87"/>
      <c r="O187" s="88" t="s">
        <v>2156</v>
      </c>
      <c r="P18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18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18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187" s="72">
        <f>IF(AR_725[[#This Row],[PO Amount]]=0,1,AR_725[[#This Row],[Total AR (Sent)]]/AR_725[[#This Row],[PO Amount]])</f>
        <v>0</v>
      </c>
      <c r="T187" s="75">
        <f>AR_725[[#This Row],[PO Amount]]-AR_725[[#This Row],[Total AR (Sent)]]</f>
        <v>1428</v>
      </c>
      <c r="U187" s="40"/>
      <c r="V187" s="40"/>
      <c r="W187" s="46"/>
      <c r="X187" s="46"/>
      <c r="Y187" s="46"/>
      <c r="Z187" s="46"/>
      <c r="AA187" s="46"/>
      <c r="AB187" s="40"/>
      <c r="AC187" s="40"/>
      <c r="AD187" s="40"/>
      <c r="AE187" s="46"/>
      <c r="AF187" s="46"/>
      <c r="AG187" s="40"/>
      <c r="AH187" s="46"/>
      <c r="AI187" s="40"/>
      <c r="AJ187" s="46"/>
      <c r="AK187" s="40"/>
      <c r="AL187" s="46"/>
      <c r="AM187" s="40"/>
      <c r="AN187" s="46"/>
      <c r="AO187" s="40"/>
      <c r="AP187" s="46"/>
      <c r="AQ187" s="40"/>
      <c r="AR187" s="41"/>
      <c r="AS187" s="40"/>
      <c r="AT187" s="41"/>
      <c r="AU187" s="40"/>
      <c r="AV187" s="41"/>
      <c r="AW187" s="40"/>
      <c r="AX187" s="41"/>
      <c r="AY187" s="40"/>
      <c r="AZ187" s="41"/>
      <c r="BA187" s="41"/>
      <c r="BB187" s="41"/>
      <c r="BC187" s="34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6"/>
      <c r="BP187" s="41"/>
      <c r="BQ187" s="46"/>
      <c r="BR187" s="40"/>
      <c r="BS187" s="40"/>
      <c r="BT187" s="40"/>
      <c r="BU187" s="40"/>
      <c r="BV187" s="40"/>
      <c r="BW187" s="40"/>
      <c r="BX187" s="34"/>
      <c r="BZ187" s="40"/>
      <c r="CA187" s="40"/>
      <c r="CB187" s="34"/>
      <c r="CC187" s="34"/>
      <c r="CD187" s="34"/>
      <c r="CE187" s="34"/>
      <c r="CF187" s="34"/>
      <c r="CG187" s="122"/>
      <c r="CI187" s="122"/>
      <c r="CJ187" s="30"/>
      <c r="CK187" s="122">
        <v>0</v>
      </c>
      <c r="CL187" s="122">
        <v>0</v>
      </c>
      <c r="CM187" s="122">
        <v>0</v>
      </c>
      <c r="CN187" s="122">
        <v>0</v>
      </c>
      <c r="CO187" s="122">
        <f>SUMIFS(BB___HK___AMHS__Others[AR Amount],BB___HK___AMHS__Others[PO No.],AR_725[[#This Row],[tsmc PO '#]],BB___HK___AMHS__Others[Status],"&lt;&gt;Rejected",BB___HK___AMHS__Others[YearMonth],"2024-07")</f>
        <v>0</v>
      </c>
      <c r="CP187" s="122">
        <f>SUMIFS(BB___HK___AMHS__Others[Tax],BB___HK___AMHS__Others[PO No.],AR_725[[#This Row],[tsmc PO '#]],BB___HK___AMHS__Others[Status],"&lt;&gt;Rejected",BB___HK___AMHS__Others[YearMonth],"2024-07")</f>
        <v>0</v>
      </c>
      <c r="CQ187" s="34">
        <f>SUMIFS(BB___HK___AMHS__Others[AR Amount],BB___HK___AMHS__Others[PO No.],AR_725[[#This Row],[tsmc PO '#]],BB___HK___AMHS__Others[Status],"&lt;&gt;Rejected",BB___HK___AMHS__Others[YearMonth],"2024-08")</f>
        <v>0</v>
      </c>
      <c r="CR187" s="44">
        <f>SUMIFS(BB___HK___AMHS__Others[Tax],BB___HK___AMHS__Others[PO No.],AR_725[[#This Row],[tsmc PO '#]],BB___HK___AMHS__Others[Status],"&lt;&gt;Rejected",BB___HK___AMHS__Others[YearMonth],"2024-08")</f>
        <v>0</v>
      </c>
      <c r="CS187" s="62">
        <f>SUMIFS(BB___HK___AMHS__Others[AR Amount],BB___HK___AMHS__Others[PO No.],AR_725[[#This Row],[tsmc PO '#]],BB___HK___AMHS__Others[Status],"&lt;&gt;Rejected",BB___HK___AMHS__Others[YearMonth],"2024-09")</f>
        <v>0</v>
      </c>
      <c r="CT187" s="601">
        <f>SUMIFS(BB___HK___AMHS__Others[Tax],BB___HK___AMHS__Others[PO No.],AR_725[[#This Row],[tsmc PO '#]],BB___HK___AMHS__Others[Status],"&lt;&gt;Rejected",BB___HK___AMHS__Others[YearMonth],"2024-09")</f>
        <v>0</v>
      </c>
    </row>
    <row r="188" spans="1:98" ht="14.1">
      <c r="A188" s="30" t="s">
        <v>9</v>
      </c>
      <c r="B188" s="30" t="s">
        <v>2051</v>
      </c>
      <c r="C188" s="30" t="s">
        <v>2184</v>
      </c>
      <c r="D188" s="50" t="s">
        <v>1759</v>
      </c>
      <c r="E188" s="48" t="s">
        <v>2060</v>
      </c>
      <c r="F188" s="48" t="s">
        <v>2060</v>
      </c>
      <c r="G188" s="64" t="s">
        <v>312</v>
      </c>
      <c r="H188" s="50">
        <v>4590013928</v>
      </c>
      <c r="I188" s="30" t="s">
        <v>104</v>
      </c>
      <c r="J188" s="113" t="s">
        <v>671</v>
      </c>
      <c r="K188" s="41">
        <v>19484</v>
      </c>
      <c r="L188" s="30"/>
      <c r="M188" s="86"/>
      <c r="N188" s="87"/>
      <c r="O188" s="88" t="s">
        <v>2156</v>
      </c>
      <c r="P18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18509.8</v>
      </c>
      <c r="Q18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16198</v>
      </c>
      <c r="R18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16198</v>
      </c>
      <c r="S188" s="72">
        <f>IF(AR_725[[#This Row],[PO Amount]]=0,1,AR_725[[#This Row],[Total AR (Sent)]]/AR_725[[#This Row],[PO Amount]])</f>
        <v>0.95</v>
      </c>
      <c r="T188" s="68">
        <f>AR_725[[#This Row],[PO Amount]]-AR_725[[#This Row],[Total AR (Sent)]]</f>
        <v>974.20000000000073</v>
      </c>
      <c r="U188" s="40"/>
      <c r="V188" s="40"/>
      <c r="W188" s="41"/>
      <c r="X188" s="41"/>
      <c r="Y188" s="41"/>
      <c r="Z188" s="41"/>
      <c r="AA188" s="41"/>
      <c r="AB188" s="40"/>
      <c r="AC188" s="40"/>
      <c r="AD188" s="40"/>
      <c r="AE188" s="41"/>
      <c r="AF188" s="41"/>
      <c r="AG188" s="40"/>
      <c r="AH188" s="41"/>
      <c r="AI188" s="40"/>
      <c r="AJ188" s="41"/>
      <c r="AK188" s="40"/>
      <c r="AL188" s="41"/>
      <c r="AM188" s="40"/>
      <c r="AN188" s="41"/>
      <c r="AO188" s="40"/>
      <c r="AP188" s="41"/>
      <c r="AQ188" s="40"/>
      <c r="AR188" s="41"/>
      <c r="AS188" s="40"/>
      <c r="AT188" s="41"/>
      <c r="AU188" s="40"/>
      <c r="AV188" s="41"/>
      <c r="AW188" s="40"/>
      <c r="AX188" s="41"/>
      <c r="AY188" s="40"/>
      <c r="AZ188" s="41"/>
      <c r="BA188" s="41"/>
      <c r="BB188" s="41"/>
      <c r="BC188" s="34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0"/>
      <c r="BS188" s="34"/>
      <c r="BT188" s="40"/>
      <c r="BU188" s="34"/>
      <c r="BV188" s="40"/>
      <c r="BW188" s="34"/>
      <c r="BX188" s="34"/>
      <c r="BY188" s="65">
        <v>1726</v>
      </c>
      <c r="BZ188" s="40"/>
      <c r="CA188" s="40"/>
      <c r="CB188" s="34"/>
      <c r="CC188" s="52">
        <v>14472</v>
      </c>
      <c r="CD188" s="34"/>
      <c r="CE188" s="34"/>
      <c r="CF188" s="34"/>
      <c r="CG188" s="122"/>
      <c r="CI188" s="122"/>
      <c r="CJ188" s="30"/>
      <c r="CK188" s="122">
        <v>0</v>
      </c>
      <c r="CL188" s="122">
        <v>0</v>
      </c>
      <c r="CM188" s="122">
        <v>0</v>
      </c>
      <c r="CN188" s="122">
        <v>0</v>
      </c>
      <c r="CO188" s="122">
        <f>SUMIFS(BB___HK___AMHS__Others[AR Amount],BB___HK___AMHS__Others[PO No.],AR_725[[#This Row],[tsmc PO '#]],BB___HK___AMHS__Others[Status],"&lt;&gt;Rejected",BB___HK___AMHS__Others[YearMonth],"2024-07")</f>
        <v>0</v>
      </c>
      <c r="CP188" s="122">
        <f>SUMIFS(BB___HK___AMHS__Others[Tax],BB___HK___AMHS__Others[PO No.],AR_725[[#This Row],[tsmc PO '#]],BB___HK___AMHS__Others[Status],"&lt;&gt;Rejected",BB___HK___AMHS__Others[YearMonth],"2024-07")</f>
        <v>0</v>
      </c>
      <c r="CQ188" s="34">
        <f>SUMIFS(BB___HK___AMHS__Others[AR Amount],BB___HK___AMHS__Others[PO No.],AR_725[[#This Row],[tsmc PO '#]],BB___HK___AMHS__Others[Status],"&lt;&gt;Rejected",BB___HK___AMHS__Others[YearMonth],"2024-08")</f>
        <v>0</v>
      </c>
      <c r="CR188" s="44">
        <f>SUMIFS(BB___HK___AMHS__Others[Tax],BB___HK___AMHS__Others[PO No.],AR_725[[#This Row],[tsmc PO '#]],BB___HK___AMHS__Others[Status],"&lt;&gt;Rejected",BB___HK___AMHS__Others[YearMonth],"2024-08")</f>
        <v>0</v>
      </c>
      <c r="CS188" s="62">
        <f>SUMIFS(BB___HK___AMHS__Others[AR Amount],BB___HK___AMHS__Others[PO No.],AR_725[[#This Row],[tsmc PO '#]],BB___HK___AMHS__Others[Status],"&lt;&gt;Rejected",BB___HK___AMHS__Others[YearMonth],"2024-09")</f>
        <v>2311.8000000000002</v>
      </c>
      <c r="CT188" s="601">
        <f>SUMIFS(BB___HK___AMHS__Others[Tax],BB___HK___AMHS__Others[PO No.],AR_725[[#This Row],[tsmc PO '#]],BB___HK___AMHS__Others[Status],"&lt;&gt;Rejected",BB___HK___AMHS__Others[YearMonth],"2024-09")</f>
        <v>0</v>
      </c>
    </row>
    <row r="189" spans="1:98" ht="14.1" hidden="1">
      <c r="A189" s="30" t="s">
        <v>18</v>
      </c>
      <c r="B189" s="30" t="s">
        <v>2113</v>
      </c>
      <c r="D189" s="50"/>
      <c r="E189" s="30" t="s">
        <v>2126</v>
      </c>
      <c r="F189" s="57" t="s">
        <v>2126</v>
      </c>
      <c r="G189" s="50" t="s">
        <v>881</v>
      </c>
      <c r="H189" s="50">
        <v>4590013942</v>
      </c>
      <c r="I189" s="30" t="s">
        <v>361</v>
      </c>
      <c r="J189" s="30" t="s">
        <v>2205</v>
      </c>
      <c r="K189" s="46">
        <v>21440.6</v>
      </c>
      <c r="L189" s="30"/>
      <c r="N189" s="87"/>
      <c r="O189" s="30" t="s">
        <v>2156</v>
      </c>
      <c r="P18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18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18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189" s="72">
        <f>IF(AR_725[[#This Row],[PO Amount]]=0,1,AR_725[[#This Row],[Total AR (Sent)]]/AR_725[[#This Row],[PO Amount]])</f>
        <v>0</v>
      </c>
      <c r="T189" s="73">
        <f>AR_725[[#This Row],[PO Amount]]-AR_725[[#This Row],[Total AR (Sent)]]</f>
        <v>21440.6</v>
      </c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34"/>
      <c r="AS189" s="40"/>
      <c r="AU189" s="40"/>
      <c r="AV189" s="34"/>
      <c r="AW189" s="40"/>
      <c r="AX189" s="34"/>
      <c r="AY189" s="40"/>
      <c r="AZ189" s="34"/>
      <c r="BA189" s="40"/>
      <c r="BB189" s="34"/>
      <c r="BC189" s="40"/>
      <c r="BD189" s="40"/>
      <c r="BE189" s="40"/>
      <c r="BF189" s="40"/>
      <c r="BG189" s="40"/>
      <c r="BH189" s="40"/>
      <c r="BI189" s="40"/>
      <c r="BJ189" s="40"/>
      <c r="BK189" s="40"/>
      <c r="BL189" s="34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96"/>
      <c r="BZ189" s="96"/>
      <c r="CA189" s="40"/>
      <c r="CB189" s="34"/>
      <c r="CC189" s="34"/>
      <c r="CD189" s="34"/>
      <c r="CE189" s="34"/>
      <c r="CF189" s="34"/>
      <c r="CG189" s="122"/>
      <c r="CI189" s="122"/>
      <c r="CJ189" s="30"/>
      <c r="CK189" s="122">
        <v>0</v>
      </c>
      <c r="CL189" s="122">
        <v>0</v>
      </c>
      <c r="CM189" s="122">
        <v>0</v>
      </c>
      <c r="CN189" s="122">
        <v>0</v>
      </c>
      <c r="CO189" s="122">
        <f>SUMIFS(BB___HK___AMHS__Others[AR Amount],BB___HK___AMHS__Others[PO No.],AR_725[[#This Row],[tsmc PO '#]],BB___HK___AMHS__Others[Status],"&lt;&gt;Rejected",BB___HK___AMHS__Others[YearMonth],"2024-07")</f>
        <v>0</v>
      </c>
      <c r="CP189" s="122">
        <f>SUMIFS(BB___HK___AMHS__Others[Tax],BB___HK___AMHS__Others[PO No.],AR_725[[#This Row],[tsmc PO '#]],BB___HK___AMHS__Others[Status],"&lt;&gt;Rejected",BB___HK___AMHS__Others[YearMonth],"2024-07")</f>
        <v>0</v>
      </c>
      <c r="CQ189" s="34">
        <f>SUMIFS(BB___HK___AMHS__Others[AR Amount],BB___HK___AMHS__Others[PO No.],AR_725[[#This Row],[tsmc PO '#]],BB___HK___AMHS__Others[Status],"&lt;&gt;Rejected",BB___HK___AMHS__Others[YearMonth],"2024-08")</f>
        <v>0</v>
      </c>
      <c r="CR189" s="44">
        <f>SUMIFS(BB___HK___AMHS__Others[Tax],BB___HK___AMHS__Others[PO No.],AR_725[[#This Row],[tsmc PO '#]],BB___HK___AMHS__Others[Status],"&lt;&gt;Rejected",BB___HK___AMHS__Others[YearMonth],"2024-08")</f>
        <v>0</v>
      </c>
      <c r="CS189" s="62">
        <f>SUMIFS(BB___HK___AMHS__Others[AR Amount],BB___HK___AMHS__Others[PO No.],AR_725[[#This Row],[tsmc PO '#]],BB___HK___AMHS__Others[Status],"&lt;&gt;Rejected",BB___HK___AMHS__Others[YearMonth],"2024-09")</f>
        <v>0</v>
      </c>
      <c r="CT189" s="601">
        <f>SUMIFS(BB___HK___AMHS__Others[Tax],BB___HK___AMHS__Others[PO No.],AR_725[[#This Row],[tsmc PO '#]],BB___HK___AMHS__Others[Status],"&lt;&gt;Rejected",BB___HK___AMHS__Others[YearMonth],"2024-09")</f>
        <v>0</v>
      </c>
    </row>
    <row r="190" spans="1:98" ht="14.1">
      <c r="A190" s="30" t="s">
        <v>11</v>
      </c>
      <c r="B190" s="30" t="s">
        <v>2051</v>
      </c>
      <c r="C190" s="30" t="s">
        <v>2159</v>
      </c>
      <c r="D190" s="50"/>
      <c r="E190" s="50" t="s">
        <v>2067</v>
      </c>
      <c r="F190" s="50"/>
      <c r="G190" s="63" t="s">
        <v>1777</v>
      </c>
      <c r="H190" s="50">
        <v>4590013944</v>
      </c>
      <c r="I190" s="30" t="s">
        <v>1416</v>
      </c>
      <c r="J190" s="30" t="s">
        <v>1778</v>
      </c>
      <c r="K190" s="46">
        <v>69600</v>
      </c>
      <c r="L190" s="30"/>
      <c r="N190" s="87"/>
      <c r="O190" s="30" t="s">
        <v>2148</v>
      </c>
      <c r="P19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64992.479999999996</v>
      </c>
      <c r="Q19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19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55680</v>
      </c>
      <c r="S190" s="72">
        <f>IF(AR_725[[#This Row],[PO Amount]]=0,1,AR_725[[#This Row],[Total AR (Sent)]]/AR_725[[#This Row],[PO Amount]])</f>
        <v>0.93379999999999996</v>
      </c>
      <c r="T190" s="73">
        <f>AR_725[[#This Row],[PO Amount]]-AR_725[[#This Row],[Total AR (Sent)]]</f>
        <v>4607.5200000000041</v>
      </c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Z190" s="40"/>
      <c r="CA190" s="40"/>
      <c r="CB190" s="34"/>
      <c r="CC190" s="34"/>
      <c r="CD190" s="34"/>
      <c r="CE190" s="34"/>
      <c r="CF190" s="34"/>
      <c r="CG190" s="122"/>
      <c r="CI190" s="122"/>
      <c r="CJ190" s="30"/>
      <c r="CK190" s="122">
        <v>0</v>
      </c>
      <c r="CL190" s="122">
        <v>0</v>
      </c>
      <c r="CM190" s="122">
        <v>0</v>
      </c>
      <c r="CN190" s="122">
        <v>0</v>
      </c>
      <c r="CO190" s="122">
        <f>SUMIFS(BB___HK___AMHS__Others[AR Amount],BB___HK___AMHS__Others[PO No.],AR_725[[#This Row],[tsmc PO '#]],BB___HK___AMHS__Others[Status],"&lt;&gt;Rejected",BB___HK___AMHS__Others[YearMonth],"2024-07")</f>
        <v>0</v>
      </c>
      <c r="CP190" s="122">
        <f>SUMIFS(BB___HK___AMHS__Others[Tax],BB___HK___AMHS__Others[PO No.],AR_725[[#This Row],[tsmc PO '#]],BB___HK___AMHS__Others[Status],"&lt;&gt;Rejected",BB___HK___AMHS__Others[YearMonth],"2024-07")</f>
        <v>0</v>
      </c>
      <c r="CQ190" s="34">
        <f>SUMIFS(BB___HK___AMHS__Others[AR Amount],BB___HK___AMHS__Others[PO No.],AR_725[[#This Row],[tsmc PO '#]],BB___HK___AMHS__Others[Status],"&lt;&gt;Rejected",BB___HK___AMHS__Others[YearMonth],"2024-08")</f>
        <v>55680</v>
      </c>
      <c r="CR190" s="44">
        <f>SUMIFS(BB___HK___AMHS__Others[Tax],BB___HK___AMHS__Others[PO No.],AR_725[[#This Row],[tsmc PO '#]],BB___HK___AMHS__Others[Status],"&lt;&gt;Rejected",BB___HK___AMHS__Others[YearMonth],"2024-08")</f>
        <v>0</v>
      </c>
      <c r="CS190" s="62">
        <f>SUMIFS(BB___HK___AMHS__Others[AR Amount],BB___HK___AMHS__Others[PO No.],AR_725[[#This Row],[tsmc PO '#]],BB___HK___AMHS__Others[Status],"&lt;&gt;Rejected",BB___HK___AMHS__Others[YearMonth],"2024-09")</f>
        <v>9312.48</v>
      </c>
      <c r="CT190" s="601">
        <f>SUMIFS(BB___HK___AMHS__Others[Tax],BB___HK___AMHS__Others[PO No.],AR_725[[#This Row],[tsmc PO '#]],BB___HK___AMHS__Others[Status],"&lt;&gt;Rejected",BB___HK___AMHS__Others[YearMonth],"2024-09")</f>
        <v>0</v>
      </c>
    </row>
    <row r="191" spans="1:98" ht="14.1" hidden="1">
      <c r="A191" s="30" t="s">
        <v>13</v>
      </c>
      <c r="B191" s="30" t="s">
        <v>13</v>
      </c>
      <c r="D191" s="50"/>
      <c r="E191" s="50" t="s">
        <v>2206</v>
      </c>
      <c r="F191" s="50"/>
      <c r="G191" s="50" t="s">
        <v>672</v>
      </c>
      <c r="H191" s="50">
        <v>4590014008</v>
      </c>
      <c r="I191" s="30" t="s">
        <v>537</v>
      </c>
      <c r="J191" s="97" t="s">
        <v>673</v>
      </c>
      <c r="K191" s="46">
        <v>33576323</v>
      </c>
      <c r="L191" s="30"/>
      <c r="M191" s="86">
        <v>45247</v>
      </c>
      <c r="N191" s="87"/>
      <c r="P19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33576323</v>
      </c>
      <c r="Q19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33576323</v>
      </c>
      <c r="R19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33576323</v>
      </c>
      <c r="S191" s="72">
        <f>IF(AR_725[[#This Row],[PO Amount]]=0,1,AR_725[[#This Row],[Total AR (Sent)]]/AR_725[[#This Row],[PO Amount]])</f>
        <v>1</v>
      </c>
      <c r="T191" s="73">
        <f>AR_725[[#This Row],[PO Amount]]-AR_725[[#This Row],[Total AR (Sent)]]</f>
        <v>0</v>
      </c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34"/>
      <c r="AV191" s="40"/>
      <c r="AW191" s="40"/>
      <c r="AX191" s="34"/>
      <c r="AY191" s="34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7">
        <v>23431574.059999999</v>
      </c>
      <c r="BZ191" s="40"/>
      <c r="CA191" s="40">
        <v>10144748.939999999</v>
      </c>
      <c r="CB191" s="34"/>
      <c r="CC191" s="34"/>
      <c r="CD191" s="34"/>
      <c r="CE191" s="34"/>
      <c r="CF191" s="34"/>
      <c r="CG191" s="122"/>
      <c r="CI191" s="122"/>
      <c r="CJ191" s="30"/>
      <c r="CK191" s="122">
        <v>0</v>
      </c>
      <c r="CL191" s="122">
        <v>0</v>
      </c>
      <c r="CM191" s="122">
        <v>0</v>
      </c>
      <c r="CN191" s="122">
        <v>0</v>
      </c>
      <c r="CO191" s="122">
        <f>SUMIFS(BB___HK___AMHS__Others[AR Amount],BB___HK___AMHS__Others[PO No.],AR_725[[#This Row],[tsmc PO '#]],BB___HK___AMHS__Others[Status],"&lt;&gt;Rejected",BB___HK___AMHS__Others[YearMonth],"2024-07")</f>
        <v>0</v>
      </c>
      <c r="CP191" s="122">
        <f>SUMIFS(BB___HK___AMHS__Others[Tax],BB___HK___AMHS__Others[PO No.],AR_725[[#This Row],[tsmc PO '#]],BB___HK___AMHS__Others[Status],"&lt;&gt;Rejected",BB___HK___AMHS__Others[YearMonth],"2024-07")</f>
        <v>0</v>
      </c>
      <c r="CQ191" s="34">
        <f>SUMIFS(BB___HK___AMHS__Others[AR Amount],BB___HK___AMHS__Others[PO No.],AR_725[[#This Row],[tsmc PO '#]],BB___HK___AMHS__Others[Status],"&lt;&gt;Rejected",BB___HK___AMHS__Others[YearMonth],"2024-08")</f>
        <v>0</v>
      </c>
      <c r="CR191" s="44">
        <f>SUMIFS(BB___HK___AMHS__Others[Tax],BB___HK___AMHS__Others[PO No.],AR_725[[#This Row],[tsmc PO '#]],BB___HK___AMHS__Others[Status],"&lt;&gt;Rejected",BB___HK___AMHS__Others[YearMonth],"2024-08")</f>
        <v>0</v>
      </c>
      <c r="CS191" s="62">
        <f>SUMIFS(BB___HK___AMHS__Others[AR Amount],BB___HK___AMHS__Others[PO No.],AR_725[[#This Row],[tsmc PO '#]],BB___HK___AMHS__Others[Status],"&lt;&gt;Rejected",BB___HK___AMHS__Others[YearMonth],"2024-09")</f>
        <v>0</v>
      </c>
      <c r="CT191" s="601">
        <f>SUMIFS(BB___HK___AMHS__Others[Tax],BB___HK___AMHS__Others[PO No.],AR_725[[#This Row],[tsmc PO '#]],BB___HK___AMHS__Others[Status],"&lt;&gt;Rejected",BB___HK___AMHS__Others[YearMonth],"2024-09")</f>
        <v>0</v>
      </c>
    </row>
    <row r="192" spans="1:98" ht="14.1" hidden="1">
      <c r="A192" s="30" t="s">
        <v>18</v>
      </c>
      <c r="B192" s="30" t="s">
        <v>13</v>
      </c>
      <c r="D192" s="50"/>
      <c r="F192" s="50"/>
      <c r="G192" s="50" t="s">
        <v>54</v>
      </c>
      <c r="H192" s="50">
        <v>4590014062</v>
      </c>
      <c r="I192" s="30" t="s">
        <v>278</v>
      </c>
      <c r="J192" s="30" t="s">
        <v>2207</v>
      </c>
      <c r="K192" s="62">
        <v>44712</v>
      </c>
      <c r="L192" s="30"/>
      <c r="M192" s="98">
        <v>45248</v>
      </c>
      <c r="N192" s="87"/>
      <c r="P19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19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19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192" s="72">
        <f>IF(AR_725[[#This Row],[PO Amount]]=0,1,AR_725[[#This Row],[Total AR (Sent)]]/AR_725[[#This Row],[PO Amount]])</f>
        <v>0</v>
      </c>
      <c r="T192" s="73">
        <f>AR_725[[#This Row],[PO Amount]]-AR_725[[#This Row],[Total AR (Sent)]]</f>
        <v>44712</v>
      </c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34"/>
      <c r="AS192" s="40"/>
      <c r="AU192" s="34"/>
      <c r="AV192" s="34"/>
      <c r="AW192" s="40"/>
      <c r="AX192" s="34"/>
      <c r="AY192" s="34"/>
      <c r="AZ192" s="34"/>
      <c r="BA192" s="40"/>
      <c r="BB192" s="34"/>
      <c r="BC192" s="40"/>
      <c r="BD192" s="40"/>
      <c r="BE192" s="40"/>
      <c r="BF192" s="40"/>
      <c r="BG192" s="40"/>
      <c r="BH192" s="40"/>
      <c r="BI192" s="40"/>
      <c r="BJ192" s="40"/>
      <c r="BK192" s="40"/>
      <c r="BL192" s="34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  <c r="BZ192" s="34"/>
      <c r="CA192" s="40"/>
      <c r="CB192" s="34"/>
      <c r="CC192" s="34"/>
      <c r="CD192" s="34"/>
      <c r="CE192" s="34"/>
      <c r="CF192" s="34"/>
      <c r="CG192" s="122"/>
      <c r="CI192" s="122"/>
      <c r="CJ192" s="30"/>
      <c r="CK192" s="122">
        <v>0</v>
      </c>
      <c r="CL192" s="122">
        <v>0</v>
      </c>
      <c r="CM192" s="122">
        <v>0</v>
      </c>
      <c r="CN192" s="122">
        <v>0</v>
      </c>
      <c r="CO192" s="122">
        <f>SUMIFS(BB___HK___AMHS__Others[AR Amount],BB___HK___AMHS__Others[PO No.],AR_725[[#This Row],[tsmc PO '#]],BB___HK___AMHS__Others[Status],"&lt;&gt;Rejected",BB___HK___AMHS__Others[YearMonth],"2024-07")</f>
        <v>0</v>
      </c>
      <c r="CP192" s="122">
        <f>SUMIFS(BB___HK___AMHS__Others[Tax],BB___HK___AMHS__Others[PO No.],AR_725[[#This Row],[tsmc PO '#]],BB___HK___AMHS__Others[Status],"&lt;&gt;Rejected",BB___HK___AMHS__Others[YearMonth],"2024-07")</f>
        <v>0</v>
      </c>
      <c r="CQ192" s="34">
        <f>SUMIFS(BB___HK___AMHS__Others[AR Amount],BB___HK___AMHS__Others[PO No.],AR_725[[#This Row],[tsmc PO '#]],BB___HK___AMHS__Others[Status],"&lt;&gt;Rejected",BB___HK___AMHS__Others[YearMonth],"2024-08")</f>
        <v>0</v>
      </c>
      <c r="CR192" s="44">
        <f>SUMIFS(BB___HK___AMHS__Others[Tax],BB___HK___AMHS__Others[PO No.],AR_725[[#This Row],[tsmc PO '#]],BB___HK___AMHS__Others[Status],"&lt;&gt;Rejected",BB___HK___AMHS__Others[YearMonth],"2024-08")</f>
        <v>0</v>
      </c>
      <c r="CS192" s="62">
        <f>SUMIFS(BB___HK___AMHS__Others[AR Amount],BB___HK___AMHS__Others[PO No.],AR_725[[#This Row],[tsmc PO '#]],BB___HK___AMHS__Others[Status],"&lt;&gt;Rejected",BB___HK___AMHS__Others[YearMonth],"2024-09")</f>
        <v>0</v>
      </c>
      <c r="CT192" s="601">
        <f>SUMIFS(BB___HK___AMHS__Others[Tax],BB___HK___AMHS__Others[PO No.],AR_725[[#This Row],[tsmc PO '#]],BB___HK___AMHS__Others[Status],"&lt;&gt;Rejected",BB___HK___AMHS__Others[YearMonth],"2024-09")</f>
        <v>0</v>
      </c>
    </row>
    <row r="193" spans="1:98" ht="14.1" hidden="1">
      <c r="A193" s="30" t="s">
        <v>13</v>
      </c>
      <c r="B193" s="30" t="s">
        <v>13</v>
      </c>
      <c r="D193" s="50"/>
      <c r="E193" s="50" t="s">
        <v>2090</v>
      </c>
      <c r="F193" s="50" t="s">
        <v>2090</v>
      </c>
      <c r="G193" s="50" t="s">
        <v>54</v>
      </c>
      <c r="H193" s="50">
        <v>4590014102</v>
      </c>
      <c r="I193" s="30" t="s">
        <v>222</v>
      </c>
      <c r="J193" s="106" t="s">
        <v>701</v>
      </c>
      <c r="K193" s="62">
        <v>1181815.55</v>
      </c>
      <c r="L193" s="30"/>
      <c r="M193" s="98" t="s">
        <v>2208</v>
      </c>
      <c r="N193" s="87"/>
      <c r="P19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1017726.7</v>
      </c>
      <c r="Q19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633296.65999999992</v>
      </c>
      <c r="R19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1017726.7</v>
      </c>
      <c r="S193" s="72">
        <f>IF(AR_725[[#This Row],[PO Amount]]=0,1,AR_725[[#This Row],[Total AR (Sent)]]/AR_725[[#This Row],[PO Amount]])</f>
        <v>0.86115527926502566</v>
      </c>
      <c r="T193" s="73">
        <f>AR_725[[#This Row],[PO Amount]]-AR_725[[#This Row],[Total AR (Sent)]]</f>
        <v>164088.85000000009</v>
      </c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34"/>
      <c r="AJ193" s="34"/>
      <c r="AK193" s="34"/>
      <c r="AL193" s="40"/>
      <c r="AM193" s="40"/>
      <c r="AN193" s="40"/>
      <c r="AO193" s="40"/>
      <c r="AP193" s="40"/>
      <c r="AQ193" s="40"/>
      <c r="AR193" s="40"/>
      <c r="AS193" s="40"/>
      <c r="AT193" s="40"/>
      <c r="AU193" s="34"/>
      <c r="AV193" s="40"/>
      <c r="AW193" s="40"/>
      <c r="AX193" s="34"/>
      <c r="AY193" s="34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  <c r="BW193" s="40"/>
      <c r="BX193" s="40"/>
      <c r="BZ193" s="34"/>
      <c r="CA193" s="47">
        <v>236363.11</v>
      </c>
      <c r="CB193" s="34"/>
      <c r="CC193" s="34"/>
      <c r="CD193" s="34"/>
      <c r="CE193" s="34"/>
      <c r="CF193" s="34"/>
      <c r="CG193" s="284">
        <v>396933.55</v>
      </c>
      <c r="CI193" s="122"/>
      <c r="CJ193" s="30"/>
      <c r="CK193" s="122">
        <v>96506.47</v>
      </c>
      <c r="CL193" s="122">
        <v>0</v>
      </c>
      <c r="CM193" s="122">
        <v>256257.06</v>
      </c>
      <c r="CN193" s="122">
        <v>0</v>
      </c>
      <c r="CO193" s="122">
        <f>SUMIFS(BB___HK___AMHS__Others[AR Amount],BB___HK___AMHS__Others[PO No.],AR_725[[#This Row],[tsmc PO '#]],BB___HK___AMHS__Others[Status],"&lt;&gt;Rejected",BB___HK___AMHS__Others[YearMonth],"2024-07")</f>
        <v>31666.51</v>
      </c>
      <c r="CP193" s="122">
        <f>SUMIFS(BB___HK___AMHS__Others[Tax],BB___HK___AMHS__Others[PO No.],AR_725[[#This Row],[tsmc PO '#]],BB___HK___AMHS__Others[Status],"&lt;&gt;Rejected",BB___HK___AMHS__Others[YearMonth],"2024-07")</f>
        <v>0</v>
      </c>
      <c r="CQ193" s="34">
        <f>SUMIFS(BB___HK___AMHS__Others[AR Amount],BB___HK___AMHS__Others[PO No.],AR_725[[#This Row],[tsmc PO '#]],BB___HK___AMHS__Others[Status],"&lt;&gt;Rejected",BB___HK___AMHS__Others[YearMonth],"2024-08")</f>
        <v>0</v>
      </c>
      <c r="CR193" s="44">
        <f>SUMIFS(BB___HK___AMHS__Others[Tax],BB___HK___AMHS__Others[PO No.],AR_725[[#This Row],[tsmc PO '#]],BB___HK___AMHS__Others[Status],"&lt;&gt;Rejected",BB___HK___AMHS__Others[YearMonth],"2024-08")</f>
        <v>0</v>
      </c>
      <c r="CS193" s="62">
        <f>SUMIFS(BB___HK___AMHS__Others[AR Amount],BB___HK___AMHS__Others[PO No.],AR_725[[#This Row],[tsmc PO '#]],BB___HK___AMHS__Others[Status],"&lt;&gt;Rejected",BB___HK___AMHS__Others[YearMonth],"2024-09")</f>
        <v>0</v>
      </c>
      <c r="CT193" s="601">
        <f>SUMIFS(BB___HK___AMHS__Others[Tax],BB___HK___AMHS__Others[PO No.],AR_725[[#This Row],[tsmc PO '#]],BB___HK___AMHS__Others[Status],"&lt;&gt;Rejected",BB___HK___AMHS__Others[YearMonth],"2024-09")</f>
        <v>0</v>
      </c>
    </row>
    <row r="194" spans="1:98" ht="14.1" hidden="1">
      <c r="A194" s="30" t="s">
        <v>18</v>
      </c>
      <c r="B194" s="30" t="s">
        <v>2113</v>
      </c>
      <c r="D194" s="50"/>
      <c r="E194" s="50" t="s">
        <v>2209</v>
      </c>
      <c r="F194" s="50"/>
      <c r="G194" s="50" t="s">
        <v>881</v>
      </c>
      <c r="H194" s="50">
        <v>4590014161</v>
      </c>
      <c r="I194" s="30" t="s">
        <v>880</v>
      </c>
      <c r="J194" s="30" t="s">
        <v>878</v>
      </c>
      <c r="K194" s="62">
        <v>20000</v>
      </c>
      <c r="L194" s="30"/>
      <c r="M194" s="50" t="s">
        <v>2210</v>
      </c>
      <c r="N194" s="87"/>
      <c r="O194" s="30" t="s">
        <v>2156</v>
      </c>
      <c r="P19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20000</v>
      </c>
      <c r="Q19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20000</v>
      </c>
      <c r="R19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20000</v>
      </c>
      <c r="S194" s="72">
        <f>IF(AR_725[[#This Row],[PO Amount]]=0,1,AR_725[[#This Row],[Total AR (Sent)]]/AR_725[[#This Row],[PO Amount]])</f>
        <v>1</v>
      </c>
      <c r="T194" s="73">
        <f>AR_725[[#This Row],[PO Amount]]-AR_725[[#This Row],[Total AR (Sent)]]</f>
        <v>0</v>
      </c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34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6"/>
      <c r="AW194" s="40"/>
      <c r="AX194" s="34"/>
      <c r="AY194" s="34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  <c r="BW194" s="40"/>
      <c r="BX194" s="40"/>
      <c r="BZ194" s="34"/>
      <c r="CA194" s="40"/>
      <c r="CB194" s="34"/>
      <c r="CC194" s="34"/>
      <c r="CD194" s="34"/>
      <c r="CE194" s="61">
        <v>20000</v>
      </c>
      <c r="CF194" s="34"/>
      <c r="CG194" s="122"/>
      <c r="CI194" s="122"/>
      <c r="CJ194" s="30"/>
      <c r="CK194" s="122">
        <v>0</v>
      </c>
      <c r="CL194" s="122">
        <v>0</v>
      </c>
      <c r="CM194" s="122">
        <v>0</v>
      </c>
      <c r="CN194" s="122">
        <v>0</v>
      </c>
      <c r="CO194" s="122">
        <f>SUMIFS(BB___HK___AMHS__Others[AR Amount],BB___HK___AMHS__Others[PO No.],AR_725[[#This Row],[tsmc PO '#]],BB___HK___AMHS__Others[Status],"&lt;&gt;Rejected",BB___HK___AMHS__Others[YearMonth],"2024-07")</f>
        <v>0</v>
      </c>
      <c r="CP194" s="122">
        <f>SUMIFS(BB___HK___AMHS__Others[Tax],BB___HK___AMHS__Others[PO No.],AR_725[[#This Row],[tsmc PO '#]],BB___HK___AMHS__Others[Status],"&lt;&gt;Rejected",BB___HK___AMHS__Others[YearMonth],"2024-07")</f>
        <v>0</v>
      </c>
      <c r="CQ194" s="34">
        <f>SUMIFS(BB___HK___AMHS__Others[AR Amount],BB___HK___AMHS__Others[PO No.],AR_725[[#This Row],[tsmc PO '#]],BB___HK___AMHS__Others[Status],"&lt;&gt;Rejected",BB___HK___AMHS__Others[YearMonth],"2024-08")</f>
        <v>0</v>
      </c>
      <c r="CR194" s="44">
        <f>SUMIFS(BB___HK___AMHS__Others[Tax],BB___HK___AMHS__Others[PO No.],AR_725[[#This Row],[tsmc PO '#]],BB___HK___AMHS__Others[Status],"&lt;&gt;Rejected",BB___HK___AMHS__Others[YearMonth],"2024-08")</f>
        <v>0</v>
      </c>
      <c r="CS194" s="62">
        <f>SUMIFS(BB___HK___AMHS__Others[AR Amount],BB___HK___AMHS__Others[PO No.],AR_725[[#This Row],[tsmc PO '#]],BB___HK___AMHS__Others[Status],"&lt;&gt;Rejected",BB___HK___AMHS__Others[YearMonth],"2024-09")</f>
        <v>0</v>
      </c>
      <c r="CT194" s="601">
        <f>SUMIFS(BB___HK___AMHS__Others[Tax],BB___HK___AMHS__Others[PO No.],AR_725[[#This Row],[tsmc PO '#]],BB___HK___AMHS__Others[Status],"&lt;&gt;Rejected",BB___HK___AMHS__Others[YearMonth],"2024-09")</f>
        <v>0</v>
      </c>
    </row>
    <row r="195" spans="1:98" ht="14.1" hidden="1">
      <c r="A195" s="30" t="s">
        <v>9</v>
      </c>
      <c r="B195" s="30" t="s">
        <v>2051</v>
      </c>
      <c r="C195" s="30" t="s">
        <v>2184</v>
      </c>
      <c r="D195" s="50" t="s">
        <v>1759</v>
      </c>
      <c r="E195" s="50" t="s">
        <v>2065</v>
      </c>
      <c r="F195" s="50" t="s">
        <v>2066</v>
      </c>
      <c r="G195" s="64" t="s">
        <v>312</v>
      </c>
      <c r="H195" s="50">
        <v>4590014187</v>
      </c>
      <c r="I195" s="30" t="s">
        <v>120</v>
      </c>
      <c r="J195" s="30" t="s">
        <v>1175</v>
      </c>
      <c r="K195" s="62">
        <v>19774.5</v>
      </c>
      <c r="L195" s="30"/>
      <c r="M195" s="98">
        <v>45291</v>
      </c>
      <c r="N195" s="87"/>
      <c r="P19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19774.5</v>
      </c>
      <c r="Q19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19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19774.5</v>
      </c>
      <c r="S195" s="72">
        <f>IF(AR_725[[#This Row],[PO Amount]]=0,1,AR_725[[#This Row],[Total AR (Sent)]]/AR_725[[#This Row],[PO Amount]])</f>
        <v>1</v>
      </c>
      <c r="T195" s="73">
        <f>AR_725[[#This Row],[PO Amount]]-AR_725[[#This Row],[Total AR (Sent)]]</f>
        <v>0</v>
      </c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34"/>
      <c r="AK195" s="40"/>
      <c r="AL195" s="40"/>
      <c r="AM195" s="40"/>
      <c r="AN195" s="40"/>
      <c r="AO195" s="40"/>
      <c r="AP195" s="40"/>
      <c r="AQ195" s="40"/>
      <c r="AR195" s="34"/>
      <c r="AS195" s="40"/>
      <c r="AU195" s="34"/>
      <c r="AV195" s="41"/>
      <c r="AW195" s="40"/>
      <c r="AX195" s="34"/>
      <c r="AY195" s="34"/>
      <c r="AZ195" s="34"/>
      <c r="BA195" s="40"/>
      <c r="BB195" s="34"/>
      <c r="BC195" s="40"/>
      <c r="BD195" s="40"/>
      <c r="BE195" s="40"/>
      <c r="BF195" s="40"/>
      <c r="BG195" s="40"/>
      <c r="BH195" s="40"/>
      <c r="BI195" s="40"/>
      <c r="BJ195" s="40"/>
      <c r="BK195" s="40"/>
      <c r="BL195" s="34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Z195" s="34"/>
      <c r="CA195" s="40"/>
      <c r="CB195" s="34"/>
      <c r="CC195" s="34"/>
      <c r="CD195" s="34"/>
      <c r="CE195" s="34"/>
      <c r="CF195" s="34"/>
      <c r="CG195" s="122"/>
      <c r="CI195" s="116">
        <v>15970.88</v>
      </c>
      <c r="CJ195" s="30"/>
      <c r="CK195" s="122">
        <v>0</v>
      </c>
      <c r="CL195" s="122">
        <v>0</v>
      </c>
      <c r="CM195" s="122">
        <v>3803.62</v>
      </c>
      <c r="CN195" s="122">
        <v>0</v>
      </c>
      <c r="CO195" s="122">
        <f>SUMIFS(BB___HK___AMHS__Others[AR Amount],BB___HK___AMHS__Others[PO No.],AR_725[[#This Row],[tsmc PO '#]],BB___HK___AMHS__Others[Status],"&lt;&gt;Rejected",BB___HK___AMHS__Others[YearMonth],"2024-07")</f>
        <v>0</v>
      </c>
      <c r="CP195" s="122">
        <f>SUMIFS(BB___HK___AMHS__Others[Tax],BB___HK___AMHS__Others[PO No.],AR_725[[#This Row],[tsmc PO '#]],BB___HK___AMHS__Others[Status],"&lt;&gt;Rejected",BB___HK___AMHS__Others[YearMonth],"2024-07")</f>
        <v>0</v>
      </c>
      <c r="CQ195" s="34">
        <f>SUMIFS(BB___HK___AMHS__Others[AR Amount],BB___HK___AMHS__Others[PO No.],AR_725[[#This Row],[tsmc PO '#]],BB___HK___AMHS__Others[Status],"&lt;&gt;Rejected",BB___HK___AMHS__Others[YearMonth],"2024-08")</f>
        <v>0</v>
      </c>
      <c r="CR195" s="44">
        <f>SUMIFS(BB___HK___AMHS__Others[Tax],BB___HK___AMHS__Others[PO No.],AR_725[[#This Row],[tsmc PO '#]],BB___HK___AMHS__Others[Status],"&lt;&gt;Rejected",BB___HK___AMHS__Others[YearMonth],"2024-08")</f>
        <v>0</v>
      </c>
      <c r="CS195" s="62">
        <f>SUMIFS(BB___HK___AMHS__Others[AR Amount],BB___HK___AMHS__Others[PO No.],AR_725[[#This Row],[tsmc PO '#]],BB___HK___AMHS__Others[Status],"&lt;&gt;Rejected",BB___HK___AMHS__Others[YearMonth],"2024-09")</f>
        <v>0</v>
      </c>
      <c r="CT195" s="601">
        <f>SUMIFS(BB___HK___AMHS__Others[Tax],BB___HK___AMHS__Others[PO No.],AR_725[[#This Row],[tsmc PO '#]],BB___HK___AMHS__Others[Status],"&lt;&gt;Rejected",BB___HK___AMHS__Others[YearMonth],"2024-09")</f>
        <v>0</v>
      </c>
    </row>
    <row r="196" spans="1:98" ht="14.1" hidden="1">
      <c r="A196" s="30" t="s">
        <v>13</v>
      </c>
      <c r="B196" s="30" t="s">
        <v>13</v>
      </c>
      <c r="D196" s="50"/>
      <c r="E196" s="50"/>
      <c r="F196" s="50"/>
      <c r="G196" s="50" t="s">
        <v>54</v>
      </c>
      <c r="H196" s="50">
        <v>4590014284</v>
      </c>
      <c r="I196" s="30" t="s">
        <v>222</v>
      </c>
      <c r="J196" s="106" t="s">
        <v>715</v>
      </c>
      <c r="K196" s="62">
        <v>16252.5</v>
      </c>
      <c r="L196" s="30"/>
      <c r="M196" s="98" t="s">
        <v>2211</v>
      </c>
      <c r="N196" s="87"/>
      <c r="P19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16252.5</v>
      </c>
      <c r="Q19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15767.05</v>
      </c>
      <c r="R19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16252.5</v>
      </c>
      <c r="S196" s="72">
        <f>IF(AR_725[[#This Row],[PO Amount]]=0,1,AR_725[[#This Row],[Total AR (Sent)]]/AR_725[[#This Row],[PO Amount]])</f>
        <v>1</v>
      </c>
      <c r="T196" s="73">
        <f>AR_725[[#This Row],[PO Amount]]-AR_725[[#This Row],[Total AR (Sent)]]</f>
        <v>0</v>
      </c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6"/>
      <c r="AP196" s="40"/>
      <c r="AQ196" s="40"/>
      <c r="AR196" s="40"/>
      <c r="AS196" s="40"/>
      <c r="AT196" s="40"/>
      <c r="AU196" s="34"/>
      <c r="AV196" s="46"/>
      <c r="AW196" s="40"/>
      <c r="AX196" s="34"/>
      <c r="AY196" s="34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  <c r="BW196" s="40"/>
      <c r="BX196" s="40"/>
      <c r="BZ196" s="34"/>
      <c r="CA196" s="76">
        <v>3250.5</v>
      </c>
      <c r="CB196" s="34"/>
      <c r="CC196" s="34"/>
      <c r="CD196" s="34"/>
      <c r="CE196" s="42">
        <v>12516.55</v>
      </c>
      <c r="CF196" s="34"/>
      <c r="CG196" s="122"/>
      <c r="CI196" s="122"/>
      <c r="CJ196" s="30"/>
      <c r="CK196" s="117">
        <v>485.45</v>
      </c>
      <c r="CL196" s="122">
        <v>0</v>
      </c>
      <c r="CM196" s="122">
        <v>0</v>
      </c>
      <c r="CN196" s="122">
        <v>0</v>
      </c>
      <c r="CO196" s="122">
        <f>SUMIFS(BB___HK___AMHS__Others[AR Amount],BB___HK___AMHS__Others[PO No.],AR_725[[#This Row],[tsmc PO '#]],BB___HK___AMHS__Others[Status],"&lt;&gt;Rejected",BB___HK___AMHS__Others[YearMonth],"2024-07")</f>
        <v>0</v>
      </c>
      <c r="CP196" s="122">
        <f>SUMIFS(BB___HK___AMHS__Others[Tax],BB___HK___AMHS__Others[PO No.],AR_725[[#This Row],[tsmc PO '#]],BB___HK___AMHS__Others[Status],"&lt;&gt;Rejected",BB___HK___AMHS__Others[YearMonth],"2024-07")</f>
        <v>0</v>
      </c>
      <c r="CQ196" s="34">
        <f>SUMIFS(BB___HK___AMHS__Others[AR Amount],BB___HK___AMHS__Others[PO No.],AR_725[[#This Row],[tsmc PO '#]],BB___HK___AMHS__Others[Status],"&lt;&gt;Rejected",BB___HK___AMHS__Others[YearMonth],"2024-08")</f>
        <v>0</v>
      </c>
      <c r="CR196" s="44">
        <f>SUMIFS(BB___HK___AMHS__Others[Tax],BB___HK___AMHS__Others[PO No.],AR_725[[#This Row],[tsmc PO '#]],BB___HK___AMHS__Others[Status],"&lt;&gt;Rejected",BB___HK___AMHS__Others[YearMonth],"2024-08")</f>
        <v>0</v>
      </c>
      <c r="CS196" s="62">
        <f>SUMIFS(BB___HK___AMHS__Others[AR Amount],BB___HK___AMHS__Others[PO No.],AR_725[[#This Row],[tsmc PO '#]],BB___HK___AMHS__Others[Status],"&lt;&gt;Rejected",BB___HK___AMHS__Others[YearMonth],"2024-09")</f>
        <v>0</v>
      </c>
      <c r="CT196" s="601">
        <f>SUMIFS(BB___HK___AMHS__Others[Tax],BB___HK___AMHS__Others[PO No.],AR_725[[#This Row],[tsmc PO '#]],BB___HK___AMHS__Others[Status],"&lt;&gt;Rejected",BB___HK___AMHS__Others[YearMonth],"2024-09")</f>
        <v>0</v>
      </c>
    </row>
    <row r="197" spans="1:98" ht="14.1">
      <c r="A197" s="30" t="s">
        <v>13</v>
      </c>
      <c r="B197" s="30" t="s">
        <v>13</v>
      </c>
      <c r="D197" s="50"/>
      <c r="E197" s="50"/>
      <c r="F197" s="50"/>
      <c r="G197" s="50" t="s">
        <v>54</v>
      </c>
      <c r="H197" s="50">
        <v>4590014289</v>
      </c>
      <c r="I197" s="30" t="s">
        <v>537</v>
      </c>
      <c r="J197" s="112" t="s">
        <v>675</v>
      </c>
      <c r="K197" s="62">
        <v>26892986.890000001</v>
      </c>
      <c r="L197" s="30"/>
      <c r="M197" s="98">
        <v>45291</v>
      </c>
      <c r="N197" s="87"/>
      <c r="P19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23209333.159999996</v>
      </c>
      <c r="Q19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13146417.060000001</v>
      </c>
      <c r="R19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23009012.419999998</v>
      </c>
      <c r="S197" s="72">
        <f>IF(AR_725[[#This Row],[PO Amount]]=0,1,AR_725[[#This Row],[Total AR (Sent)]]/AR_725[[#This Row],[PO Amount]])</f>
        <v>0.86302548894746423</v>
      </c>
      <c r="T197" s="73">
        <f>AR_725[[#This Row],[PO Amount]]-AR_725[[#This Row],[Total AR (Sent)]]</f>
        <v>3683653.7300000042</v>
      </c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34"/>
      <c r="AK197" s="40"/>
      <c r="AL197" s="40"/>
      <c r="AM197" s="46"/>
      <c r="AN197" s="40"/>
      <c r="AO197" s="40"/>
      <c r="AP197" s="40"/>
      <c r="AQ197" s="40"/>
      <c r="AR197" s="40"/>
      <c r="AS197" s="40"/>
      <c r="AT197" s="40"/>
      <c r="AU197" s="34"/>
      <c r="AV197" s="46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7">
        <v>5637347.3300000001</v>
      </c>
      <c r="BZ197" s="34"/>
      <c r="CA197" s="40">
        <v>2577968.13</v>
      </c>
      <c r="CB197" s="34"/>
      <c r="CC197" s="42">
        <v>2054460.19</v>
      </c>
      <c r="CD197" s="34"/>
      <c r="CE197" s="42">
        <v>1520116.89</v>
      </c>
      <c r="CF197" s="34"/>
      <c r="CG197" s="122">
        <v>1356524.52</v>
      </c>
      <c r="CI197" s="122">
        <v>5440319.6900000004</v>
      </c>
      <c r="CJ197" s="30"/>
      <c r="CK197" s="122">
        <v>2524721.4</v>
      </c>
      <c r="CL197" s="122">
        <v>0</v>
      </c>
      <c r="CM197" s="122">
        <v>0</v>
      </c>
      <c r="CN197" s="122">
        <v>0</v>
      </c>
      <c r="CO197" s="34">
        <f>SUMIFS(BB___HK___AMHS__Others[AR Amount],BB___HK___AMHS__Others[PO No.],AR_725[[#This Row],[tsmc PO '#]],BB___HK___AMHS__Others[Status],"&lt;&gt;Rejected",BB___HK___AMHS__Others[YearMonth],"2024-07")</f>
        <v>1710084.83</v>
      </c>
      <c r="CP197" s="122">
        <f>SUMIFS(BB___HK___AMHS__Others[Tax],BB___HK___AMHS__Others[PO No.],AR_725[[#This Row],[tsmc PO '#]],BB___HK___AMHS__Others[Status],"&lt;&gt;Rejected",BB___HK___AMHS__Others[YearMonth],"2024-07")</f>
        <v>0</v>
      </c>
      <c r="CQ197" s="34">
        <f>SUMIFS(BB___HK___AMHS__Others[AR Amount],BB___HK___AMHS__Others[PO No.],AR_725[[#This Row],[tsmc PO '#]],BB___HK___AMHS__Others[Status],"&lt;&gt;Rejected",BB___HK___AMHS__Others[YearMonth],"2024-08")</f>
        <v>187469.44</v>
      </c>
      <c r="CR197" s="44">
        <f>SUMIFS(BB___HK___AMHS__Others[Tax],BB___HK___AMHS__Others[PO No.],AR_725[[#This Row],[tsmc PO '#]],BB___HK___AMHS__Others[Status],"&lt;&gt;Rejected",BB___HK___AMHS__Others[YearMonth],"2024-08")</f>
        <v>0</v>
      </c>
      <c r="CS197" s="62">
        <f>SUMIFS(BB___HK___AMHS__Others[AR Amount],BB___HK___AMHS__Others[PO No.],AR_725[[#This Row],[tsmc PO '#]],BB___HK___AMHS__Others[Status],"&lt;&gt;Rejected",BB___HK___AMHS__Others[YearMonth],"2024-09")</f>
        <v>200320.74</v>
      </c>
      <c r="CT197" s="601">
        <f>SUMIFS(BB___HK___AMHS__Others[Tax],BB___HK___AMHS__Others[PO No.],AR_725[[#This Row],[tsmc PO '#]],BB___HK___AMHS__Others[Status],"&lt;&gt;Rejected",BB___HK___AMHS__Others[YearMonth],"2024-09")</f>
        <v>0</v>
      </c>
    </row>
    <row r="198" spans="1:98" ht="14.1" hidden="1">
      <c r="A198" s="30" t="s">
        <v>9</v>
      </c>
      <c r="B198" s="30" t="s">
        <v>2051</v>
      </c>
      <c r="C198" s="30" t="s">
        <v>2184</v>
      </c>
      <c r="D198" s="50" t="s">
        <v>1759</v>
      </c>
      <c r="E198" s="57" t="s">
        <v>2185</v>
      </c>
      <c r="F198" s="48" t="s">
        <v>2074</v>
      </c>
      <c r="G198" s="64" t="s">
        <v>312</v>
      </c>
      <c r="H198" s="50">
        <v>4590014401</v>
      </c>
      <c r="I198" s="30" t="s">
        <v>120</v>
      </c>
      <c r="J198" s="30" t="s">
        <v>702</v>
      </c>
      <c r="K198" s="62">
        <v>6264381</v>
      </c>
      <c r="L198" s="30"/>
      <c r="M198" s="50" t="s">
        <v>2212</v>
      </c>
      <c r="N198" s="87"/>
      <c r="O198" s="30" t="s">
        <v>2156</v>
      </c>
      <c r="P19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6264381</v>
      </c>
      <c r="Q19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6264381</v>
      </c>
      <c r="R19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6264381</v>
      </c>
      <c r="S198" s="72">
        <f>IF(AR_725[[#This Row],[PO Amount]]=0,1,AR_725[[#This Row],[Total AR (Sent)]]/AR_725[[#This Row],[PO Amount]])</f>
        <v>1</v>
      </c>
      <c r="T198" s="73">
        <f>AR_725[[#This Row],[PO Amount]]-AR_725[[#This Row],[Total AR (Sent)]]</f>
        <v>0</v>
      </c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34"/>
      <c r="AS198" s="40"/>
      <c r="AU198" s="40"/>
      <c r="AV198" s="41"/>
      <c r="AW198" s="40"/>
      <c r="AX198" s="34"/>
      <c r="AY198" s="34"/>
      <c r="AZ198" s="34"/>
      <c r="BA198" s="40"/>
      <c r="BB198" s="34"/>
      <c r="BC198" s="40"/>
      <c r="BD198" s="40"/>
      <c r="BE198" s="40"/>
      <c r="BF198" s="40"/>
      <c r="BG198" s="40"/>
      <c r="BH198" s="40"/>
      <c r="BI198" s="40"/>
      <c r="BJ198" s="40"/>
      <c r="BK198" s="40"/>
      <c r="BL198" s="34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Z198" s="34"/>
      <c r="CA198" s="47">
        <v>6264381</v>
      </c>
      <c r="CB198" s="34"/>
      <c r="CC198" s="34"/>
      <c r="CD198" s="34"/>
      <c r="CE198" s="34"/>
      <c r="CF198" s="34"/>
      <c r="CG198" s="122"/>
      <c r="CI198" s="122"/>
      <c r="CJ198" s="30"/>
      <c r="CK198" s="122">
        <v>0</v>
      </c>
      <c r="CL198" s="122">
        <v>0</v>
      </c>
      <c r="CM198" s="122">
        <v>0</v>
      </c>
      <c r="CN198" s="122">
        <v>0</v>
      </c>
      <c r="CO198" s="122">
        <f>SUMIFS(BB___HK___AMHS__Others[AR Amount],BB___HK___AMHS__Others[PO No.],AR_725[[#This Row],[tsmc PO '#]],BB___HK___AMHS__Others[Status],"&lt;&gt;Rejected",BB___HK___AMHS__Others[YearMonth],"2024-07")</f>
        <v>0</v>
      </c>
      <c r="CP198" s="122">
        <f>SUMIFS(BB___HK___AMHS__Others[Tax],BB___HK___AMHS__Others[PO No.],AR_725[[#This Row],[tsmc PO '#]],BB___HK___AMHS__Others[Status],"&lt;&gt;Rejected",BB___HK___AMHS__Others[YearMonth],"2024-07")</f>
        <v>0</v>
      </c>
      <c r="CQ198" s="34">
        <f>SUMIFS(BB___HK___AMHS__Others[AR Amount],BB___HK___AMHS__Others[PO No.],AR_725[[#This Row],[tsmc PO '#]],BB___HK___AMHS__Others[Status],"&lt;&gt;Rejected",BB___HK___AMHS__Others[YearMonth],"2024-08")</f>
        <v>0</v>
      </c>
      <c r="CR198" s="44">
        <f>SUMIFS(BB___HK___AMHS__Others[Tax],BB___HK___AMHS__Others[PO No.],AR_725[[#This Row],[tsmc PO '#]],BB___HK___AMHS__Others[Status],"&lt;&gt;Rejected",BB___HK___AMHS__Others[YearMonth],"2024-08")</f>
        <v>0</v>
      </c>
      <c r="CS198" s="62">
        <f>SUMIFS(BB___HK___AMHS__Others[AR Amount],BB___HK___AMHS__Others[PO No.],AR_725[[#This Row],[tsmc PO '#]],BB___HK___AMHS__Others[Status],"&lt;&gt;Rejected",BB___HK___AMHS__Others[YearMonth],"2024-09")</f>
        <v>0</v>
      </c>
      <c r="CT198" s="601">
        <f>SUMIFS(BB___HK___AMHS__Others[Tax],BB___HK___AMHS__Others[PO No.],AR_725[[#This Row],[tsmc PO '#]],BB___HK___AMHS__Others[Status],"&lt;&gt;Rejected",BB___HK___AMHS__Others[YearMonth],"2024-09")</f>
        <v>0</v>
      </c>
    </row>
    <row r="199" spans="1:98" ht="14.1" hidden="1">
      <c r="A199" s="30" t="s">
        <v>13</v>
      </c>
      <c r="B199" s="30" t="s">
        <v>10</v>
      </c>
      <c r="D199" s="50"/>
      <c r="E199" s="30" t="s">
        <v>2206</v>
      </c>
      <c r="F199" s="50"/>
      <c r="G199" s="50" t="s">
        <v>54</v>
      </c>
      <c r="H199" s="50">
        <v>4590014625</v>
      </c>
      <c r="I199" s="30" t="s">
        <v>537</v>
      </c>
      <c r="J199" s="30" t="s">
        <v>2213</v>
      </c>
      <c r="K199" s="62">
        <v>17130.05</v>
      </c>
      <c r="L199" s="30"/>
      <c r="M199" s="50" t="s">
        <v>2214</v>
      </c>
      <c r="N199" s="87"/>
      <c r="O199" s="30" t="s">
        <v>2156</v>
      </c>
      <c r="P19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19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19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199" s="72">
        <f>IF(AR_725[[#This Row],[PO Amount]]=0,1,AR_725[[#This Row],[Total AR (Sent)]]/AR_725[[#This Row],[PO Amount]])</f>
        <v>0</v>
      </c>
      <c r="T199" s="73">
        <f>AR_725[[#This Row],[PO Amount]]-AR_725[[#This Row],[Total AR (Sent)]]</f>
        <v>17130.05</v>
      </c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6"/>
      <c r="AW199" s="40"/>
      <c r="AX199" s="34"/>
      <c r="AY199" s="34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Z199" s="34"/>
      <c r="CA199" s="40"/>
      <c r="CB199" s="34"/>
      <c r="CC199" s="34"/>
      <c r="CD199" s="34"/>
      <c r="CE199" s="34"/>
      <c r="CF199" s="34"/>
      <c r="CG199" s="122"/>
      <c r="CI199" s="122"/>
      <c r="CJ199" s="30"/>
      <c r="CK199" s="122">
        <v>0</v>
      </c>
      <c r="CL199" s="122">
        <v>0</v>
      </c>
      <c r="CM199" s="122">
        <v>0</v>
      </c>
      <c r="CN199" s="122">
        <v>0</v>
      </c>
      <c r="CO199" s="122">
        <f>SUMIFS(BB___HK___AMHS__Others[AR Amount],BB___HK___AMHS__Others[PO No.],AR_725[[#This Row],[tsmc PO '#]],BB___HK___AMHS__Others[Status],"&lt;&gt;Rejected",BB___HK___AMHS__Others[YearMonth],"2024-07")</f>
        <v>0</v>
      </c>
      <c r="CP199" s="122">
        <f>SUMIFS(BB___HK___AMHS__Others[Tax],BB___HK___AMHS__Others[PO No.],AR_725[[#This Row],[tsmc PO '#]],BB___HK___AMHS__Others[Status],"&lt;&gt;Rejected",BB___HK___AMHS__Others[YearMonth],"2024-07")</f>
        <v>0</v>
      </c>
      <c r="CQ199" s="34">
        <f>SUMIFS(BB___HK___AMHS__Others[AR Amount],BB___HK___AMHS__Others[PO No.],AR_725[[#This Row],[tsmc PO '#]],BB___HK___AMHS__Others[Status],"&lt;&gt;Rejected",BB___HK___AMHS__Others[YearMonth],"2024-08")</f>
        <v>0</v>
      </c>
      <c r="CR199" s="44">
        <f>SUMIFS(BB___HK___AMHS__Others[Tax],BB___HK___AMHS__Others[PO No.],AR_725[[#This Row],[tsmc PO '#]],BB___HK___AMHS__Others[Status],"&lt;&gt;Rejected",BB___HK___AMHS__Others[YearMonth],"2024-08")</f>
        <v>0</v>
      </c>
      <c r="CS199" s="62">
        <f>SUMIFS(BB___HK___AMHS__Others[AR Amount],BB___HK___AMHS__Others[PO No.],AR_725[[#This Row],[tsmc PO '#]],BB___HK___AMHS__Others[Status],"&lt;&gt;Rejected",BB___HK___AMHS__Others[YearMonth],"2024-09")</f>
        <v>0</v>
      </c>
      <c r="CT199" s="601">
        <f>SUMIFS(BB___HK___AMHS__Others[Tax],BB___HK___AMHS__Others[PO No.],AR_725[[#This Row],[tsmc PO '#]],BB___HK___AMHS__Others[Status],"&lt;&gt;Rejected",BB___HK___AMHS__Others[YearMonth],"2024-09")</f>
        <v>0</v>
      </c>
    </row>
    <row r="200" spans="1:98" ht="14.1" hidden="1">
      <c r="A200" s="30" t="s">
        <v>9</v>
      </c>
      <c r="B200" s="30" t="s">
        <v>2051</v>
      </c>
      <c r="C200" s="30" t="s">
        <v>2184</v>
      </c>
      <c r="D200" s="50" t="s">
        <v>1759</v>
      </c>
      <c r="E200" s="50" t="s">
        <v>2065</v>
      </c>
      <c r="F200" s="50" t="s">
        <v>2066</v>
      </c>
      <c r="G200" s="63" t="s">
        <v>312</v>
      </c>
      <c r="H200" s="50">
        <v>4590014629</v>
      </c>
      <c r="I200" s="30" t="s">
        <v>120</v>
      </c>
      <c r="J200" s="30" t="s">
        <v>703</v>
      </c>
      <c r="K200" s="62">
        <v>63140.59</v>
      </c>
      <c r="L200" s="30"/>
      <c r="M200" s="50" t="s">
        <v>2214</v>
      </c>
      <c r="N200" s="87"/>
      <c r="O200" s="30" t="s">
        <v>2160</v>
      </c>
      <c r="P20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63140.59</v>
      </c>
      <c r="Q20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12628</v>
      </c>
      <c r="R20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63140.59</v>
      </c>
      <c r="S200" s="72">
        <f>IF(AR_725[[#This Row],[PO Amount]]=0,1,AR_725[[#This Row],[Total AR (Sent)]]/AR_725[[#This Row],[PO Amount]])</f>
        <v>1</v>
      </c>
      <c r="T200" s="73">
        <f>AR_725[[#This Row],[PO Amount]]-AR_725[[#This Row],[Total AR (Sent)]]</f>
        <v>0</v>
      </c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34"/>
      <c r="AK200" s="40"/>
      <c r="AL200" s="40"/>
      <c r="AM200" s="40"/>
      <c r="AN200" s="40"/>
      <c r="AO200" s="40"/>
      <c r="AP200" s="40"/>
      <c r="AQ200" s="40"/>
      <c r="AR200" s="34"/>
      <c r="AS200" s="40"/>
      <c r="AU200" s="40"/>
      <c r="AV200" s="41"/>
      <c r="AW200" s="40"/>
      <c r="AX200" s="34"/>
      <c r="AY200" s="34"/>
      <c r="AZ200" s="34"/>
      <c r="BA200" s="40"/>
      <c r="BB200" s="34"/>
      <c r="BC200" s="40"/>
      <c r="BD200" s="40"/>
      <c r="BE200" s="40"/>
      <c r="BF200" s="40"/>
      <c r="BG200" s="40"/>
      <c r="BH200" s="40"/>
      <c r="BI200" s="40"/>
      <c r="BJ200" s="40"/>
      <c r="BK200" s="40"/>
      <c r="BL200" s="34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  <c r="BW200" s="40"/>
      <c r="BX200" s="40"/>
      <c r="BZ200" s="34"/>
      <c r="CA200" s="47">
        <v>12628</v>
      </c>
      <c r="CB200" s="34"/>
      <c r="CC200" s="34"/>
      <c r="CD200" s="34"/>
      <c r="CE200" s="34"/>
      <c r="CF200" s="34"/>
      <c r="CG200" s="122"/>
      <c r="CI200" s="122"/>
      <c r="CJ200" s="30"/>
      <c r="CK200" s="122">
        <v>50512.59</v>
      </c>
      <c r="CL200" s="122">
        <v>0</v>
      </c>
      <c r="CM200" s="122">
        <v>0</v>
      </c>
      <c r="CN200" s="122">
        <v>0</v>
      </c>
      <c r="CO200" s="122">
        <f>SUMIFS(BB___HK___AMHS__Others[AR Amount],BB___HK___AMHS__Others[PO No.],AR_725[[#This Row],[tsmc PO '#]],BB___HK___AMHS__Others[Status],"&lt;&gt;Rejected",BB___HK___AMHS__Others[YearMonth],"2024-07")</f>
        <v>0</v>
      </c>
      <c r="CP200" s="122">
        <f>SUMIFS(BB___HK___AMHS__Others[Tax],BB___HK___AMHS__Others[PO No.],AR_725[[#This Row],[tsmc PO '#]],BB___HK___AMHS__Others[Status],"&lt;&gt;Rejected",BB___HK___AMHS__Others[YearMonth],"2024-07")</f>
        <v>0</v>
      </c>
      <c r="CQ200" s="34">
        <f>SUMIFS(BB___HK___AMHS__Others[AR Amount],BB___HK___AMHS__Others[PO No.],AR_725[[#This Row],[tsmc PO '#]],BB___HK___AMHS__Others[Status],"&lt;&gt;Rejected",BB___HK___AMHS__Others[YearMonth],"2024-08")</f>
        <v>0</v>
      </c>
      <c r="CR200" s="44">
        <f>SUMIFS(BB___HK___AMHS__Others[Tax],BB___HK___AMHS__Others[PO No.],AR_725[[#This Row],[tsmc PO '#]],BB___HK___AMHS__Others[Status],"&lt;&gt;Rejected",BB___HK___AMHS__Others[YearMonth],"2024-08")</f>
        <v>0</v>
      </c>
      <c r="CS200" s="62">
        <f>SUMIFS(BB___HK___AMHS__Others[AR Amount],BB___HK___AMHS__Others[PO No.],AR_725[[#This Row],[tsmc PO '#]],BB___HK___AMHS__Others[Status],"&lt;&gt;Rejected",BB___HK___AMHS__Others[YearMonth],"2024-09")</f>
        <v>0</v>
      </c>
      <c r="CT200" s="601">
        <f>SUMIFS(BB___HK___AMHS__Others[Tax],BB___HK___AMHS__Others[PO No.],AR_725[[#This Row],[tsmc PO '#]],BB___HK___AMHS__Others[Status],"&lt;&gt;Rejected",BB___HK___AMHS__Others[YearMonth],"2024-09")</f>
        <v>0</v>
      </c>
    </row>
    <row r="201" spans="1:98" ht="14.1" hidden="1">
      <c r="A201" s="30" t="s">
        <v>9</v>
      </c>
      <c r="B201" s="30" t="s">
        <v>2051</v>
      </c>
      <c r="C201" s="30" t="s">
        <v>2184</v>
      </c>
      <c r="D201" s="50" t="s">
        <v>1759</v>
      </c>
      <c r="E201" s="50" t="s">
        <v>2065</v>
      </c>
      <c r="F201" s="50" t="s">
        <v>2215</v>
      </c>
      <c r="G201" s="64" t="s">
        <v>312</v>
      </c>
      <c r="H201" s="50">
        <v>4590014630</v>
      </c>
      <c r="I201" s="30" t="s">
        <v>120</v>
      </c>
      <c r="J201" s="30" t="s">
        <v>730</v>
      </c>
      <c r="K201" s="62">
        <v>100502.27</v>
      </c>
      <c r="L201" s="30"/>
      <c r="M201" s="50" t="s">
        <v>2214</v>
      </c>
      <c r="N201" s="87"/>
      <c r="O201" s="30" t="s">
        <v>2160</v>
      </c>
      <c r="P20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100502.27</v>
      </c>
      <c r="Q20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89649.42</v>
      </c>
      <c r="R20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100502.27</v>
      </c>
      <c r="S201" s="72">
        <f>IF(AR_725[[#This Row],[PO Amount]]=0,1,AR_725[[#This Row],[Total AR (Sent)]]/AR_725[[#This Row],[PO Amount]])</f>
        <v>1</v>
      </c>
      <c r="T201" s="73">
        <f>AR_725[[#This Row],[PO Amount]]-AR_725[[#This Row],[Total AR (Sent)]]</f>
        <v>0</v>
      </c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34"/>
      <c r="AK201" s="40"/>
      <c r="AL201" s="40"/>
      <c r="AM201" s="40"/>
      <c r="AN201" s="40"/>
      <c r="AO201" s="40"/>
      <c r="AP201" s="40"/>
      <c r="AQ201" s="40"/>
      <c r="AR201" s="34"/>
      <c r="AS201" s="40"/>
      <c r="AU201" s="34"/>
      <c r="AV201" s="94"/>
      <c r="AW201" s="40"/>
      <c r="AX201" s="34"/>
      <c r="AY201" s="40"/>
      <c r="AZ201" s="34"/>
      <c r="BA201" s="40"/>
      <c r="BB201" s="34"/>
      <c r="BC201" s="40"/>
      <c r="BD201" s="40"/>
      <c r="BE201" s="40"/>
      <c r="BF201" s="40"/>
      <c r="BG201" s="40"/>
      <c r="BH201" s="40"/>
      <c r="BI201" s="40"/>
      <c r="BJ201" s="40"/>
      <c r="BK201" s="40"/>
      <c r="BL201" s="34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Z201" s="34"/>
      <c r="CA201" s="40"/>
      <c r="CB201" s="34"/>
      <c r="CC201" s="42">
        <v>58279.42</v>
      </c>
      <c r="CD201" s="34"/>
      <c r="CE201" s="42">
        <v>31370</v>
      </c>
      <c r="CF201" s="34"/>
      <c r="CG201" s="122"/>
      <c r="CI201" s="122"/>
      <c r="CJ201" s="30"/>
      <c r="CK201" s="122">
        <v>0</v>
      </c>
      <c r="CL201" s="122">
        <v>0</v>
      </c>
      <c r="CM201" s="122">
        <v>0</v>
      </c>
      <c r="CN201" s="122">
        <v>0</v>
      </c>
      <c r="CO201" s="122">
        <f>SUMIFS(BB___HK___AMHS__Others[AR Amount],BB___HK___AMHS__Others[PO No.],AR_725[[#This Row],[tsmc PO '#]],BB___HK___AMHS__Others[Status],"&lt;&gt;Rejected",BB___HK___AMHS__Others[YearMonth],"2024-07")</f>
        <v>10852.85</v>
      </c>
      <c r="CP201" s="122">
        <f>SUMIFS(BB___HK___AMHS__Others[Tax],BB___HK___AMHS__Others[PO No.],AR_725[[#This Row],[tsmc PO '#]],BB___HK___AMHS__Others[Status],"&lt;&gt;Rejected",BB___HK___AMHS__Others[YearMonth],"2024-07")</f>
        <v>0</v>
      </c>
      <c r="CQ201" s="34">
        <f>SUMIFS(BB___HK___AMHS__Others[AR Amount],BB___HK___AMHS__Others[PO No.],AR_725[[#This Row],[tsmc PO '#]],BB___HK___AMHS__Others[Status],"&lt;&gt;Rejected",BB___HK___AMHS__Others[YearMonth],"2024-08")</f>
        <v>0</v>
      </c>
      <c r="CR201" s="44">
        <f>SUMIFS(BB___HK___AMHS__Others[Tax],BB___HK___AMHS__Others[PO No.],AR_725[[#This Row],[tsmc PO '#]],BB___HK___AMHS__Others[Status],"&lt;&gt;Rejected",BB___HK___AMHS__Others[YearMonth],"2024-08")</f>
        <v>0</v>
      </c>
      <c r="CS201" s="62">
        <f>SUMIFS(BB___HK___AMHS__Others[AR Amount],BB___HK___AMHS__Others[PO No.],AR_725[[#This Row],[tsmc PO '#]],BB___HK___AMHS__Others[Status],"&lt;&gt;Rejected",BB___HK___AMHS__Others[YearMonth],"2024-09")</f>
        <v>0</v>
      </c>
      <c r="CT201" s="601">
        <f>SUMIFS(BB___HK___AMHS__Others[Tax],BB___HK___AMHS__Others[PO No.],AR_725[[#This Row],[tsmc PO '#]],BB___HK___AMHS__Others[Status],"&lt;&gt;Rejected",BB___HK___AMHS__Others[YearMonth],"2024-09")</f>
        <v>0</v>
      </c>
    </row>
    <row r="202" spans="1:98" ht="14.1" hidden="1">
      <c r="A202" s="30" t="s">
        <v>8</v>
      </c>
      <c r="B202" s="30" t="s">
        <v>8</v>
      </c>
      <c r="D202" s="50" t="s">
        <v>8</v>
      </c>
      <c r="E202" s="48" t="s">
        <v>2109</v>
      </c>
      <c r="F202" s="50" t="s">
        <v>2110</v>
      </c>
      <c r="G202" s="50" t="s">
        <v>1316</v>
      </c>
      <c r="H202" s="50">
        <v>4590014651</v>
      </c>
      <c r="I202" s="30" t="s">
        <v>300</v>
      </c>
      <c r="J202" s="30" t="s">
        <v>605</v>
      </c>
      <c r="K202" s="62">
        <v>433365</v>
      </c>
      <c r="L202" s="30"/>
      <c r="M202" s="50" t="s">
        <v>2216</v>
      </c>
      <c r="N202" s="87"/>
      <c r="O202" s="30" t="s">
        <v>2156</v>
      </c>
      <c r="P20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433365</v>
      </c>
      <c r="Q20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433365</v>
      </c>
      <c r="R20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433365</v>
      </c>
      <c r="S202" s="72">
        <f>IF(AR_725[[#This Row],[PO Amount]]=0,1,AR_725[[#This Row],[Total AR (Sent)]]/AR_725[[#This Row],[PO Amount]])</f>
        <v>1</v>
      </c>
      <c r="T202" s="73">
        <f>AR_725[[#This Row],[PO Amount]]-AR_725[[#This Row],[Total AR (Sent)]]</f>
        <v>0</v>
      </c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34"/>
      <c r="AJ202" s="34"/>
      <c r="AK202" s="34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6"/>
      <c r="AW202" s="40"/>
      <c r="AX202" s="34"/>
      <c r="AY202" s="34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  <c r="BW202" s="40"/>
      <c r="BX202" s="40"/>
      <c r="BZ202" s="34"/>
      <c r="CA202" s="77">
        <f>260019-260019</f>
        <v>0</v>
      </c>
      <c r="CB202" s="34"/>
      <c r="CC202" s="34"/>
      <c r="CD202" s="34"/>
      <c r="CE202" s="42">
        <v>433365</v>
      </c>
      <c r="CF202" s="34"/>
      <c r="CG202" s="122">
        <f>SUMIFS(BB___HK___AMHS__Others[AR Amount],BB___HK___AMHS__Others[PO No.],AR_725[[#This Row],[tsmc PO '#]],BB___HK___AMHS__Others[Status],"&lt;&gt;Rejected",BB___HK___AMHS__Others[YearMonth],"2024-03")</f>
        <v>0</v>
      </c>
      <c r="CI202" s="122">
        <f>SUMIFS(BB___HK___AMHS__Others[AR Amount],BB___HK___AMHS__Others[PO No.],AR_725[[#This Row],[tsmc PO '#]],BB___HK___AMHS__Others[Status],"&lt;&gt;Rejected",BB___HK___AMHS__Others[YearMonth],"2024-04")</f>
        <v>0</v>
      </c>
      <c r="CJ202" s="30"/>
      <c r="CK202" s="122">
        <v>0</v>
      </c>
      <c r="CL202" s="122">
        <v>0</v>
      </c>
      <c r="CM202" s="122">
        <v>0</v>
      </c>
      <c r="CN202" s="122">
        <v>0</v>
      </c>
      <c r="CO202" s="122">
        <f>SUMIFS(BB___HK___AMHS__Others[AR Amount],BB___HK___AMHS__Others[PO No.],AR_725[[#This Row],[tsmc PO '#]],BB___HK___AMHS__Others[Status],"&lt;&gt;Rejected",BB___HK___AMHS__Others[YearMonth],"2024-07")</f>
        <v>0</v>
      </c>
      <c r="CP202" s="122">
        <f>SUMIFS(BB___HK___AMHS__Others[Tax],BB___HK___AMHS__Others[PO No.],AR_725[[#This Row],[tsmc PO '#]],BB___HK___AMHS__Others[Status],"&lt;&gt;Rejected",BB___HK___AMHS__Others[YearMonth],"2024-07")</f>
        <v>0</v>
      </c>
      <c r="CQ202" s="34">
        <f>SUMIFS(BB___HK___AMHS__Others[AR Amount],BB___HK___AMHS__Others[PO No.],AR_725[[#This Row],[tsmc PO '#]],BB___HK___AMHS__Others[Status],"&lt;&gt;Rejected",BB___HK___AMHS__Others[YearMonth],"2024-08")</f>
        <v>0</v>
      </c>
      <c r="CR202" s="44">
        <f>SUMIFS(BB___HK___AMHS__Others[Tax],BB___HK___AMHS__Others[PO No.],AR_725[[#This Row],[tsmc PO '#]],BB___HK___AMHS__Others[Status],"&lt;&gt;Rejected",BB___HK___AMHS__Others[YearMonth],"2024-08")</f>
        <v>0</v>
      </c>
      <c r="CS202" s="62">
        <f>SUMIFS(BB___HK___AMHS__Others[AR Amount],BB___HK___AMHS__Others[PO No.],AR_725[[#This Row],[tsmc PO '#]],BB___HK___AMHS__Others[Status],"&lt;&gt;Rejected",BB___HK___AMHS__Others[YearMonth],"2024-09")</f>
        <v>0</v>
      </c>
      <c r="CT202" s="601">
        <f>SUMIFS(BB___HK___AMHS__Others[Tax],BB___HK___AMHS__Others[PO No.],AR_725[[#This Row],[tsmc PO '#]],BB___HK___AMHS__Others[Status],"&lt;&gt;Rejected",BB___HK___AMHS__Others[YearMonth],"2024-09")</f>
        <v>0</v>
      </c>
    </row>
    <row r="203" spans="1:98" ht="14.1" hidden="1">
      <c r="A203" s="30" t="s">
        <v>9</v>
      </c>
      <c r="B203" s="30" t="s">
        <v>2051</v>
      </c>
      <c r="C203" s="30" t="s">
        <v>2184</v>
      </c>
      <c r="D203" s="50" t="s">
        <v>1720</v>
      </c>
      <c r="E203" s="48" t="s">
        <v>2060</v>
      </c>
      <c r="F203" s="50" t="s">
        <v>2060</v>
      </c>
      <c r="G203" s="63" t="s">
        <v>312</v>
      </c>
      <c r="H203" s="50">
        <v>4590014674</v>
      </c>
      <c r="I203" s="30" t="s">
        <v>120</v>
      </c>
      <c r="J203" s="30" t="s">
        <v>707</v>
      </c>
      <c r="K203" s="62">
        <v>830528.51</v>
      </c>
      <c r="L203" s="30"/>
      <c r="M203" s="50" t="s">
        <v>2217</v>
      </c>
      <c r="N203" s="87"/>
      <c r="O203" s="30" t="s">
        <v>2156</v>
      </c>
      <c r="P20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830528.51</v>
      </c>
      <c r="Q20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830528.51</v>
      </c>
      <c r="R20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830528.51</v>
      </c>
      <c r="S203" s="72">
        <f>IF(AR_725[[#This Row],[PO Amount]]=0,1,AR_725[[#This Row],[Total AR (Sent)]]/AR_725[[#This Row],[PO Amount]])</f>
        <v>1</v>
      </c>
      <c r="T203" s="73">
        <f>AR_725[[#This Row],[PO Amount]]-AR_725[[#This Row],[Total AR (Sent)]]</f>
        <v>0</v>
      </c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34"/>
      <c r="AS203" s="40"/>
      <c r="AU203" s="40"/>
      <c r="AV203" s="41"/>
      <c r="AW203" s="40"/>
      <c r="AX203" s="34"/>
      <c r="AY203" s="34"/>
      <c r="AZ203" s="34"/>
      <c r="BA203" s="40"/>
      <c r="BB203" s="34"/>
      <c r="BC203" s="40"/>
      <c r="BD203" s="40"/>
      <c r="BE203" s="40"/>
      <c r="BF203" s="40"/>
      <c r="BG203" s="40"/>
      <c r="BH203" s="40"/>
      <c r="BI203" s="40"/>
      <c r="BJ203" s="40"/>
      <c r="BK203" s="40"/>
      <c r="BL203" s="34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Z203" s="34"/>
      <c r="CA203" s="47">
        <v>830528.51</v>
      </c>
      <c r="CB203" s="34"/>
      <c r="CC203" s="34"/>
      <c r="CD203" s="34"/>
      <c r="CE203" s="34"/>
      <c r="CF203" s="34"/>
      <c r="CG203" s="122"/>
      <c r="CI203" s="122"/>
      <c r="CJ203" s="30"/>
      <c r="CK203" s="122">
        <v>0</v>
      </c>
      <c r="CL203" s="122">
        <v>0</v>
      </c>
      <c r="CM203" s="122">
        <v>0</v>
      </c>
      <c r="CN203" s="122">
        <v>0</v>
      </c>
      <c r="CO203" s="122">
        <f>SUMIFS(BB___HK___AMHS__Others[AR Amount],BB___HK___AMHS__Others[PO No.],AR_725[[#This Row],[tsmc PO '#]],BB___HK___AMHS__Others[Status],"&lt;&gt;Rejected",BB___HK___AMHS__Others[YearMonth],"2024-07")</f>
        <v>0</v>
      </c>
      <c r="CP203" s="122">
        <f>SUMIFS(BB___HK___AMHS__Others[Tax],BB___HK___AMHS__Others[PO No.],AR_725[[#This Row],[tsmc PO '#]],BB___HK___AMHS__Others[Status],"&lt;&gt;Rejected",BB___HK___AMHS__Others[YearMonth],"2024-07")</f>
        <v>0</v>
      </c>
      <c r="CQ203" s="34">
        <f>SUMIFS(BB___HK___AMHS__Others[AR Amount],BB___HK___AMHS__Others[PO No.],AR_725[[#This Row],[tsmc PO '#]],BB___HK___AMHS__Others[Status],"&lt;&gt;Rejected",BB___HK___AMHS__Others[YearMonth],"2024-08")</f>
        <v>0</v>
      </c>
      <c r="CR203" s="44">
        <f>SUMIFS(BB___HK___AMHS__Others[Tax],BB___HK___AMHS__Others[PO No.],AR_725[[#This Row],[tsmc PO '#]],BB___HK___AMHS__Others[Status],"&lt;&gt;Rejected",BB___HK___AMHS__Others[YearMonth],"2024-08")</f>
        <v>0</v>
      </c>
      <c r="CS203" s="62">
        <f>SUMIFS(BB___HK___AMHS__Others[AR Amount],BB___HK___AMHS__Others[PO No.],AR_725[[#This Row],[tsmc PO '#]],BB___HK___AMHS__Others[Status],"&lt;&gt;Rejected",BB___HK___AMHS__Others[YearMonth],"2024-09")</f>
        <v>0</v>
      </c>
      <c r="CT203" s="601">
        <f>SUMIFS(BB___HK___AMHS__Others[Tax],BB___HK___AMHS__Others[PO No.],AR_725[[#This Row],[tsmc PO '#]],BB___HK___AMHS__Others[Status],"&lt;&gt;Rejected",BB___HK___AMHS__Others[YearMonth],"2024-09")</f>
        <v>0</v>
      </c>
    </row>
    <row r="204" spans="1:98" ht="14.1" hidden="1">
      <c r="A204" s="30" t="s">
        <v>9</v>
      </c>
      <c r="B204" s="30" t="s">
        <v>2051</v>
      </c>
      <c r="C204" s="30" t="s">
        <v>2184</v>
      </c>
      <c r="D204" s="50" t="s">
        <v>1720</v>
      </c>
      <c r="E204" s="48" t="s">
        <v>2060</v>
      </c>
      <c r="F204" s="50" t="s">
        <v>2060</v>
      </c>
      <c r="G204" s="63" t="s">
        <v>312</v>
      </c>
      <c r="H204" s="50">
        <v>4590014675</v>
      </c>
      <c r="I204" s="30" t="s">
        <v>104</v>
      </c>
      <c r="J204" s="30" t="s">
        <v>708</v>
      </c>
      <c r="K204" s="62">
        <v>215909.35</v>
      </c>
      <c r="L204" s="30"/>
      <c r="M204" s="50" t="s">
        <v>2217</v>
      </c>
      <c r="N204" s="87"/>
      <c r="O204" s="30" t="s">
        <v>2156</v>
      </c>
      <c r="P20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215909.35</v>
      </c>
      <c r="Q20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215909.35</v>
      </c>
      <c r="R20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215909.35</v>
      </c>
      <c r="S204" s="72">
        <f>IF(AR_725[[#This Row],[PO Amount]]=0,1,AR_725[[#This Row],[Total AR (Sent)]]/AR_725[[#This Row],[PO Amount]])</f>
        <v>1</v>
      </c>
      <c r="T204" s="73">
        <f>AR_725[[#This Row],[PO Amount]]-AR_725[[#This Row],[Total AR (Sent)]]</f>
        <v>0</v>
      </c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34"/>
      <c r="AK204" s="40"/>
      <c r="AL204" s="40"/>
      <c r="AM204" s="40"/>
      <c r="AN204" s="40"/>
      <c r="AO204" s="40"/>
      <c r="AP204" s="40"/>
      <c r="AQ204" s="40"/>
      <c r="AR204" s="34"/>
      <c r="AS204" s="40"/>
      <c r="AU204" s="40"/>
      <c r="AV204" s="41"/>
      <c r="AW204" s="40"/>
      <c r="AX204" s="34"/>
      <c r="AY204" s="34"/>
      <c r="AZ204" s="34"/>
      <c r="BA204" s="40"/>
      <c r="BB204" s="34"/>
      <c r="BC204" s="40"/>
      <c r="BD204" s="40"/>
      <c r="BE204" s="40"/>
      <c r="BF204" s="40"/>
      <c r="BG204" s="40"/>
      <c r="BH204" s="40"/>
      <c r="BI204" s="40"/>
      <c r="BJ204" s="40"/>
      <c r="BK204" s="40"/>
      <c r="BL204" s="34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Z204" s="34"/>
      <c r="CA204" s="47">
        <v>215909.35</v>
      </c>
      <c r="CB204" s="34"/>
      <c r="CC204" s="34"/>
      <c r="CD204" s="34"/>
      <c r="CE204" s="34"/>
      <c r="CF204" s="34"/>
      <c r="CG204" s="122"/>
      <c r="CI204" s="122"/>
      <c r="CJ204" s="30"/>
      <c r="CK204" s="122">
        <v>0</v>
      </c>
      <c r="CL204" s="122">
        <v>0</v>
      </c>
      <c r="CM204" s="122">
        <v>0</v>
      </c>
      <c r="CN204" s="122">
        <v>0</v>
      </c>
      <c r="CO204" s="122">
        <f>SUMIFS(BB___HK___AMHS__Others[AR Amount],BB___HK___AMHS__Others[PO No.],AR_725[[#This Row],[tsmc PO '#]],BB___HK___AMHS__Others[Status],"&lt;&gt;Rejected",BB___HK___AMHS__Others[YearMonth],"2024-07")</f>
        <v>0</v>
      </c>
      <c r="CP204" s="122">
        <f>SUMIFS(BB___HK___AMHS__Others[Tax],BB___HK___AMHS__Others[PO No.],AR_725[[#This Row],[tsmc PO '#]],BB___HK___AMHS__Others[Status],"&lt;&gt;Rejected",BB___HK___AMHS__Others[YearMonth],"2024-07")</f>
        <v>0</v>
      </c>
      <c r="CQ204" s="34">
        <f>SUMIFS(BB___HK___AMHS__Others[AR Amount],BB___HK___AMHS__Others[PO No.],AR_725[[#This Row],[tsmc PO '#]],BB___HK___AMHS__Others[Status],"&lt;&gt;Rejected",BB___HK___AMHS__Others[YearMonth],"2024-08")</f>
        <v>0</v>
      </c>
      <c r="CR204" s="44">
        <f>SUMIFS(BB___HK___AMHS__Others[Tax],BB___HK___AMHS__Others[PO No.],AR_725[[#This Row],[tsmc PO '#]],BB___HK___AMHS__Others[Status],"&lt;&gt;Rejected",BB___HK___AMHS__Others[YearMonth],"2024-08")</f>
        <v>0</v>
      </c>
      <c r="CS204" s="62">
        <f>SUMIFS(BB___HK___AMHS__Others[AR Amount],BB___HK___AMHS__Others[PO No.],AR_725[[#This Row],[tsmc PO '#]],BB___HK___AMHS__Others[Status],"&lt;&gt;Rejected",BB___HK___AMHS__Others[YearMonth],"2024-09")</f>
        <v>0</v>
      </c>
      <c r="CT204" s="601">
        <f>SUMIFS(BB___HK___AMHS__Others[Tax],BB___HK___AMHS__Others[PO No.],AR_725[[#This Row],[tsmc PO '#]],BB___HK___AMHS__Others[Status],"&lt;&gt;Rejected",BB___HK___AMHS__Others[YearMonth],"2024-09")</f>
        <v>0</v>
      </c>
    </row>
    <row r="205" spans="1:98" ht="14.1" hidden="1">
      <c r="A205" s="30" t="s">
        <v>9</v>
      </c>
      <c r="B205" s="30" t="s">
        <v>2051</v>
      </c>
      <c r="C205" s="30" t="s">
        <v>2159</v>
      </c>
      <c r="D205" s="50" t="s">
        <v>1759</v>
      </c>
      <c r="E205" s="50" t="s">
        <v>2067</v>
      </c>
      <c r="F205" s="50"/>
      <c r="G205" s="48" t="s">
        <v>312</v>
      </c>
      <c r="H205" s="50">
        <v>4590014676</v>
      </c>
      <c r="I205" s="30" t="s">
        <v>732</v>
      </c>
      <c r="J205" s="30" t="s">
        <v>731</v>
      </c>
      <c r="K205" s="62">
        <v>141128</v>
      </c>
      <c r="L205" s="30"/>
      <c r="M205" s="50" t="s">
        <v>2217</v>
      </c>
      <c r="N205" s="87"/>
      <c r="O205" s="30" t="s">
        <v>2156</v>
      </c>
      <c r="P20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141128</v>
      </c>
      <c r="Q20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141128</v>
      </c>
      <c r="R20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141128</v>
      </c>
      <c r="S205" s="72">
        <f>IF(AR_725[[#This Row],[PO Amount]]=0,1,AR_725[[#This Row],[Total AR (Sent)]]/AR_725[[#This Row],[PO Amount]])</f>
        <v>1</v>
      </c>
      <c r="T205" s="73">
        <f>AR_725[[#This Row],[PO Amount]]-AR_725[[#This Row],[Total AR (Sent)]]</f>
        <v>0</v>
      </c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34"/>
      <c r="AS205" s="40"/>
      <c r="AU205" s="34"/>
      <c r="AV205" s="94"/>
      <c r="AW205" s="40"/>
      <c r="AX205" s="34"/>
      <c r="AY205" s="40"/>
      <c r="AZ205" s="34"/>
      <c r="BA205" s="40"/>
      <c r="BB205" s="34"/>
      <c r="BC205" s="40"/>
      <c r="BD205" s="40"/>
      <c r="BE205" s="40"/>
      <c r="BF205" s="40"/>
      <c r="BG205" s="40"/>
      <c r="BH205" s="40"/>
      <c r="BI205" s="40"/>
      <c r="BJ205" s="40"/>
      <c r="BK205" s="40"/>
      <c r="BL205" s="34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Z205" s="34"/>
      <c r="CA205" s="40"/>
      <c r="CB205" s="34"/>
      <c r="CC205" s="43">
        <v>141128</v>
      </c>
      <c r="CD205" s="43">
        <v>7889.06</v>
      </c>
      <c r="CE205" s="34"/>
      <c r="CF205" s="34"/>
      <c r="CG205" s="122"/>
      <c r="CI205" s="122"/>
      <c r="CJ205" s="30"/>
      <c r="CK205" s="122">
        <v>0</v>
      </c>
      <c r="CL205" s="122">
        <v>0</v>
      </c>
      <c r="CM205" s="122">
        <v>0</v>
      </c>
      <c r="CN205" s="122">
        <v>0</v>
      </c>
      <c r="CO205" s="122">
        <f>SUMIFS(BB___HK___AMHS__Others[AR Amount],BB___HK___AMHS__Others[PO No.],AR_725[[#This Row],[tsmc PO '#]],BB___HK___AMHS__Others[Status],"&lt;&gt;Rejected",BB___HK___AMHS__Others[YearMonth],"2024-07")</f>
        <v>0</v>
      </c>
      <c r="CP205" s="122">
        <f>SUMIFS(BB___HK___AMHS__Others[Tax],BB___HK___AMHS__Others[PO No.],AR_725[[#This Row],[tsmc PO '#]],BB___HK___AMHS__Others[Status],"&lt;&gt;Rejected",BB___HK___AMHS__Others[YearMonth],"2024-07")</f>
        <v>0</v>
      </c>
      <c r="CQ205" s="34">
        <f>SUMIFS(BB___HK___AMHS__Others[AR Amount],BB___HK___AMHS__Others[PO No.],AR_725[[#This Row],[tsmc PO '#]],BB___HK___AMHS__Others[Status],"&lt;&gt;Rejected",BB___HK___AMHS__Others[YearMonth],"2024-08")</f>
        <v>0</v>
      </c>
      <c r="CR205" s="44">
        <f>SUMIFS(BB___HK___AMHS__Others[Tax],BB___HK___AMHS__Others[PO No.],AR_725[[#This Row],[tsmc PO '#]],BB___HK___AMHS__Others[Status],"&lt;&gt;Rejected",BB___HK___AMHS__Others[YearMonth],"2024-08")</f>
        <v>0</v>
      </c>
      <c r="CS205" s="62">
        <f>SUMIFS(BB___HK___AMHS__Others[AR Amount],BB___HK___AMHS__Others[PO No.],AR_725[[#This Row],[tsmc PO '#]],BB___HK___AMHS__Others[Status],"&lt;&gt;Rejected",BB___HK___AMHS__Others[YearMonth],"2024-09")</f>
        <v>0</v>
      </c>
      <c r="CT205" s="601">
        <f>SUMIFS(BB___HK___AMHS__Others[Tax],BB___HK___AMHS__Others[PO No.],AR_725[[#This Row],[tsmc PO '#]],BB___HK___AMHS__Others[Status],"&lt;&gt;Rejected",BB___HK___AMHS__Others[YearMonth],"2024-09")</f>
        <v>0</v>
      </c>
    </row>
    <row r="206" spans="1:98" ht="14.1" hidden="1">
      <c r="A206" s="30" t="s">
        <v>11</v>
      </c>
      <c r="B206" s="30" t="s">
        <v>2051</v>
      </c>
      <c r="C206" s="30" t="s">
        <v>2173</v>
      </c>
      <c r="D206" s="50" t="s">
        <v>1706</v>
      </c>
      <c r="E206" s="603" t="s">
        <v>2070</v>
      </c>
      <c r="F206" s="50" t="s">
        <v>2202</v>
      </c>
      <c r="G206" s="50" t="s">
        <v>2218</v>
      </c>
      <c r="H206" s="50">
        <v>4590014805</v>
      </c>
      <c r="I206" s="30" t="s">
        <v>118</v>
      </c>
      <c r="J206" s="30" t="s">
        <v>1275</v>
      </c>
      <c r="K206" s="62">
        <v>1590000</v>
      </c>
      <c r="L206" s="30"/>
      <c r="M206" s="50" t="s">
        <v>2219</v>
      </c>
      <c r="N206" s="87"/>
      <c r="O206" s="30" t="s">
        <v>2220</v>
      </c>
      <c r="P20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318918</v>
      </c>
      <c r="Q20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0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318918</v>
      </c>
      <c r="S206" s="72">
        <f>IF(AR_725[[#This Row],[PO Amount]]=0,1,AR_725[[#This Row],[Total AR (Sent)]]/AR_725[[#This Row],[PO Amount]])</f>
        <v>0.20057735849056604</v>
      </c>
      <c r="T206" s="73">
        <f>AR_725[[#This Row],[PO Amount]]-AR_725[[#This Row],[Total AR (Sent)]]</f>
        <v>1271082</v>
      </c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6"/>
      <c r="AW206" s="40"/>
      <c r="AX206" s="34"/>
      <c r="AY206" s="34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  <c r="BZ206" s="40"/>
      <c r="CA206" s="40"/>
      <c r="CB206" s="34"/>
      <c r="CC206" s="34"/>
      <c r="CD206" s="34"/>
      <c r="CE206" s="34"/>
      <c r="CF206" s="34"/>
      <c r="CG206" s="122"/>
      <c r="CI206" s="122"/>
      <c r="CJ206" s="30"/>
      <c r="CK206" s="122">
        <v>318918</v>
      </c>
      <c r="CL206" s="122">
        <v>0</v>
      </c>
      <c r="CM206" s="122">
        <v>0</v>
      </c>
      <c r="CN206" s="122">
        <v>0</v>
      </c>
      <c r="CO206" s="122">
        <f>SUMIFS(BB___HK___AMHS__Others[AR Amount],BB___HK___AMHS__Others[PO No.],AR_725[[#This Row],[tsmc PO '#]],BB___HK___AMHS__Others[Status],"&lt;&gt;Rejected",BB___HK___AMHS__Others[YearMonth],"2024-07")</f>
        <v>0</v>
      </c>
      <c r="CP206" s="122">
        <f>SUMIFS(BB___HK___AMHS__Others[Tax],BB___HK___AMHS__Others[PO No.],AR_725[[#This Row],[tsmc PO '#]],BB___HK___AMHS__Others[Status],"&lt;&gt;Rejected",BB___HK___AMHS__Others[YearMonth],"2024-07")</f>
        <v>0</v>
      </c>
      <c r="CQ206" s="34">
        <f>SUMIFS(BB___HK___AMHS__Others[AR Amount],BB___HK___AMHS__Others[PO No.],AR_725[[#This Row],[tsmc PO '#]],BB___HK___AMHS__Others[Status],"&lt;&gt;Rejected",BB___HK___AMHS__Others[YearMonth],"2024-08")</f>
        <v>0</v>
      </c>
      <c r="CR206" s="44">
        <f>SUMIFS(BB___HK___AMHS__Others[Tax],BB___HK___AMHS__Others[PO No.],AR_725[[#This Row],[tsmc PO '#]],BB___HK___AMHS__Others[Status],"&lt;&gt;Rejected",BB___HK___AMHS__Others[YearMonth],"2024-08")</f>
        <v>0</v>
      </c>
      <c r="CS206" s="62">
        <f>SUMIFS(BB___HK___AMHS__Others[AR Amount],BB___HK___AMHS__Others[PO No.],AR_725[[#This Row],[tsmc PO '#]],BB___HK___AMHS__Others[Status],"&lt;&gt;Rejected",BB___HK___AMHS__Others[YearMonth],"2024-09")</f>
        <v>0</v>
      </c>
      <c r="CT206" s="601">
        <f>SUMIFS(BB___HK___AMHS__Others[Tax],BB___HK___AMHS__Others[PO No.],AR_725[[#This Row],[tsmc PO '#]],BB___HK___AMHS__Others[Status],"&lt;&gt;Rejected",BB___HK___AMHS__Others[YearMonth],"2024-09")</f>
        <v>0</v>
      </c>
    </row>
    <row r="207" spans="1:98" ht="14.1">
      <c r="A207" s="30" t="s">
        <v>13</v>
      </c>
      <c r="B207" s="30" t="s">
        <v>2113</v>
      </c>
      <c r="D207" s="50"/>
      <c r="E207" s="30" t="s">
        <v>2206</v>
      </c>
      <c r="F207" s="50"/>
      <c r="G207" s="50" t="s">
        <v>54</v>
      </c>
      <c r="H207" s="50">
        <v>4590014878</v>
      </c>
      <c r="I207" s="30" t="s">
        <v>537</v>
      </c>
      <c r="J207" s="30" t="s">
        <v>2221</v>
      </c>
      <c r="K207" s="62">
        <v>4600</v>
      </c>
      <c r="L207" s="30"/>
      <c r="M207" s="50" t="s">
        <v>2222</v>
      </c>
      <c r="N207" s="87"/>
      <c r="O207" s="30" t="s">
        <v>2156</v>
      </c>
      <c r="P20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4600</v>
      </c>
      <c r="Q20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0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207" s="72">
        <f>IF(AR_725[[#This Row],[PO Amount]]=0,1,AR_725[[#This Row],[Total AR (Sent)]]/AR_725[[#This Row],[PO Amount]])</f>
        <v>1</v>
      </c>
      <c r="T207" s="73">
        <f>AR_725[[#This Row],[PO Amount]]-AR_725[[#This Row],[Total AR (Sent)]]</f>
        <v>0</v>
      </c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6"/>
      <c r="AW207" s="40"/>
      <c r="AX207" s="34"/>
      <c r="AY207" s="34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Z207" s="40"/>
      <c r="CA207" s="40"/>
      <c r="CB207" s="34"/>
      <c r="CC207" s="34"/>
      <c r="CD207" s="34"/>
      <c r="CE207" s="34"/>
      <c r="CF207" s="34"/>
      <c r="CG207" s="122"/>
      <c r="CI207" s="122"/>
      <c r="CJ207" s="30"/>
      <c r="CK207" s="122">
        <v>0</v>
      </c>
      <c r="CL207" s="122">
        <v>0</v>
      </c>
      <c r="CM207" s="122">
        <v>0</v>
      </c>
      <c r="CN207" s="122">
        <v>0</v>
      </c>
      <c r="CO207" s="122">
        <f>SUMIFS(BB___HK___AMHS__Others[AR Amount],BB___HK___AMHS__Others[PO No.],AR_725[[#This Row],[tsmc PO '#]],BB___HK___AMHS__Others[Status],"&lt;&gt;Rejected",BB___HK___AMHS__Others[YearMonth],"2024-07")</f>
        <v>0</v>
      </c>
      <c r="CP207" s="122">
        <f>SUMIFS(BB___HK___AMHS__Others[Tax],BB___HK___AMHS__Others[PO No.],AR_725[[#This Row],[tsmc PO '#]],BB___HK___AMHS__Others[Status],"&lt;&gt;Rejected",BB___HK___AMHS__Others[YearMonth],"2024-07")</f>
        <v>0</v>
      </c>
      <c r="CQ207" s="34">
        <f>SUMIFS(BB___HK___AMHS__Others[AR Amount],BB___HK___AMHS__Others[PO No.],AR_725[[#This Row],[tsmc PO '#]],BB___HK___AMHS__Others[Status],"&lt;&gt;Rejected",BB___HK___AMHS__Others[YearMonth],"2024-08")</f>
        <v>0</v>
      </c>
      <c r="CR207" s="44">
        <f>SUMIFS(BB___HK___AMHS__Others[Tax],BB___HK___AMHS__Others[PO No.],AR_725[[#This Row],[tsmc PO '#]],BB___HK___AMHS__Others[Status],"&lt;&gt;Rejected",BB___HK___AMHS__Others[YearMonth],"2024-08")</f>
        <v>0</v>
      </c>
      <c r="CS207" s="62">
        <f>SUMIFS(BB___HK___AMHS__Others[AR Amount],BB___HK___AMHS__Others[PO No.],AR_725[[#This Row],[tsmc PO '#]],BB___HK___AMHS__Others[Status],"&lt;&gt;Rejected",BB___HK___AMHS__Others[YearMonth],"2024-09")</f>
        <v>4600</v>
      </c>
      <c r="CT207" s="601">
        <f>SUMIFS(BB___HK___AMHS__Others[Tax],BB___HK___AMHS__Others[PO No.],AR_725[[#This Row],[tsmc PO '#]],BB___HK___AMHS__Others[Status],"&lt;&gt;Rejected",BB___HK___AMHS__Others[YearMonth],"2024-09")</f>
        <v>0</v>
      </c>
    </row>
    <row r="208" spans="1:98" ht="14.1" hidden="1">
      <c r="A208" s="30" t="s">
        <v>8</v>
      </c>
      <c r="B208" s="30" t="s">
        <v>8</v>
      </c>
      <c r="D208" s="50"/>
      <c r="E208" s="48" t="s">
        <v>2109</v>
      </c>
      <c r="F208" s="50" t="s">
        <v>2110</v>
      </c>
      <c r="G208" s="50" t="s">
        <v>1768</v>
      </c>
      <c r="H208" s="50">
        <v>4590014879</v>
      </c>
      <c r="I208" s="30" t="s">
        <v>268</v>
      </c>
      <c r="J208" s="30" t="s">
        <v>1373</v>
      </c>
      <c r="K208" s="62">
        <v>23345</v>
      </c>
      <c r="L208" s="30"/>
      <c r="M208" s="50" t="s">
        <v>2222</v>
      </c>
      <c r="N208" s="87"/>
      <c r="O208" s="30" t="s">
        <v>2156</v>
      </c>
      <c r="P20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23345</v>
      </c>
      <c r="Q20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23345</v>
      </c>
      <c r="R20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23345</v>
      </c>
      <c r="S208" s="72">
        <f>IF(AR_725[[#This Row],[PO Amount]]=0,1,AR_725[[#This Row],[Total AR (Sent)]]/AR_725[[#This Row],[PO Amount]])</f>
        <v>1</v>
      </c>
      <c r="T208" s="73">
        <f>AR_725[[#This Row],[PO Amount]]-AR_725[[#This Row],[Total AR (Sent)]]</f>
        <v>0</v>
      </c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34"/>
      <c r="AK208" s="40"/>
      <c r="AL208" s="40"/>
      <c r="AM208" s="40"/>
      <c r="AN208" s="40"/>
      <c r="AO208" s="40"/>
      <c r="AP208" s="40"/>
      <c r="AQ208" s="40"/>
      <c r="AR208" s="34"/>
      <c r="AS208" s="40"/>
      <c r="AU208" s="40"/>
      <c r="AV208" s="41"/>
      <c r="AW208" s="40"/>
      <c r="AX208" s="34"/>
      <c r="AY208" s="34"/>
      <c r="AZ208" s="34"/>
      <c r="BA208" s="40"/>
      <c r="BB208" s="34"/>
      <c r="BC208" s="40"/>
      <c r="BD208" s="40"/>
      <c r="BE208" s="40"/>
      <c r="BF208" s="40"/>
      <c r="BG208" s="40"/>
      <c r="BH208" s="40"/>
      <c r="BI208" s="40"/>
      <c r="BJ208" s="40"/>
      <c r="BK208" s="40"/>
      <c r="BL208" s="34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Z208" s="40"/>
      <c r="CA208" s="40"/>
      <c r="CB208" s="34"/>
      <c r="CC208" s="34"/>
      <c r="CD208" s="34"/>
      <c r="CE208" s="59">
        <v>23345</v>
      </c>
      <c r="CF208" s="34"/>
      <c r="CG208" s="122">
        <f>SUMIFS(BB___HK___AMHS__Others[AR Amount],BB___HK___AMHS__Others[PO No.],AR_725[[#This Row],[tsmc PO '#]],BB___HK___AMHS__Others[Status],"&lt;&gt;Rejected",BB___HK___AMHS__Others[YearMonth],"2024-03")</f>
        <v>0</v>
      </c>
      <c r="CI208" s="122">
        <f>SUMIFS(BB___HK___AMHS__Others[AR Amount],BB___HK___AMHS__Others[PO No.],AR_725[[#This Row],[tsmc PO '#]],BB___HK___AMHS__Others[Status],"&lt;&gt;Rejected",BB___HK___AMHS__Others[YearMonth],"2024-04")</f>
        <v>0</v>
      </c>
      <c r="CJ208" s="30"/>
      <c r="CK208" s="122">
        <v>0</v>
      </c>
      <c r="CL208" s="122">
        <v>0</v>
      </c>
      <c r="CM208" s="122">
        <v>0</v>
      </c>
      <c r="CN208" s="122">
        <v>0</v>
      </c>
      <c r="CO208" s="122">
        <f>SUMIFS(BB___HK___AMHS__Others[AR Amount],BB___HK___AMHS__Others[PO No.],AR_725[[#This Row],[tsmc PO '#]],BB___HK___AMHS__Others[Status],"&lt;&gt;Rejected",BB___HK___AMHS__Others[YearMonth],"2024-07")</f>
        <v>0</v>
      </c>
      <c r="CP208" s="122">
        <f>SUMIFS(BB___HK___AMHS__Others[Tax],BB___HK___AMHS__Others[PO No.],AR_725[[#This Row],[tsmc PO '#]],BB___HK___AMHS__Others[Status],"&lt;&gt;Rejected",BB___HK___AMHS__Others[YearMonth],"2024-07")</f>
        <v>0</v>
      </c>
      <c r="CQ208" s="34">
        <f>SUMIFS(BB___HK___AMHS__Others[AR Amount],BB___HK___AMHS__Others[PO No.],AR_725[[#This Row],[tsmc PO '#]],BB___HK___AMHS__Others[Status],"&lt;&gt;Rejected",BB___HK___AMHS__Others[YearMonth],"2024-08")</f>
        <v>0</v>
      </c>
      <c r="CR208" s="44">
        <f>SUMIFS(BB___HK___AMHS__Others[Tax],BB___HK___AMHS__Others[PO No.],AR_725[[#This Row],[tsmc PO '#]],BB___HK___AMHS__Others[Status],"&lt;&gt;Rejected",BB___HK___AMHS__Others[YearMonth],"2024-08")</f>
        <v>0</v>
      </c>
      <c r="CS208" s="62">
        <f>SUMIFS(BB___HK___AMHS__Others[AR Amount],BB___HK___AMHS__Others[PO No.],AR_725[[#This Row],[tsmc PO '#]],BB___HK___AMHS__Others[Status],"&lt;&gt;Rejected",BB___HK___AMHS__Others[YearMonth],"2024-09")</f>
        <v>0</v>
      </c>
      <c r="CT208" s="601">
        <f>SUMIFS(BB___HK___AMHS__Others[Tax],BB___HK___AMHS__Others[PO No.],AR_725[[#This Row],[tsmc PO '#]],BB___HK___AMHS__Others[Status],"&lt;&gt;Rejected",BB___HK___AMHS__Others[YearMonth],"2024-09")</f>
        <v>0</v>
      </c>
    </row>
    <row r="209" spans="1:98" ht="14.1" hidden="1">
      <c r="A209" s="30" t="s">
        <v>13</v>
      </c>
      <c r="B209" s="30" t="s">
        <v>13</v>
      </c>
      <c r="D209" s="50"/>
      <c r="E209" s="30" t="s">
        <v>2126</v>
      </c>
      <c r="F209" s="50" t="s">
        <v>2126</v>
      </c>
      <c r="G209" s="50" t="s">
        <v>54</v>
      </c>
      <c r="H209" s="50">
        <v>4590014914</v>
      </c>
      <c r="I209" s="30" t="s">
        <v>361</v>
      </c>
      <c r="J209" s="30" t="s">
        <v>2223</v>
      </c>
      <c r="K209" s="62">
        <v>1792.46</v>
      </c>
      <c r="L209" s="30"/>
      <c r="M209" s="50" t="s">
        <v>2224</v>
      </c>
      <c r="N209" s="87"/>
      <c r="O209" s="30" t="s">
        <v>2156</v>
      </c>
      <c r="P20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20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0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209" s="72">
        <f>IF(AR_725[[#This Row],[PO Amount]]=0,1,AR_725[[#This Row],[Total AR (Sent)]]/AR_725[[#This Row],[PO Amount]])</f>
        <v>0</v>
      </c>
      <c r="T209" s="73">
        <f>AR_725[[#This Row],[PO Amount]]-AR_725[[#This Row],[Total AR (Sent)]]</f>
        <v>1792.46</v>
      </c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34"/>
      <c r="AS209" s="34"/>
      <c r="AU209" s="34"/>
      <c r="AV209" s="46"/>
      <c r="AW209" s="40"/>
      <c r="AX209" s="34"/>
      <c r="AY209" s="34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Z209" s="40"/>
      <c r="CA209" s="40"/>
      <c r="CB209" s="34"/>
      <c r="CC209" s="34"/>
      <c r="CD209" s="34"/>
      <c r="CE209" s="34"/>
      <c r="CF209" s="34"/>
      <c r="CG209" s="122"/>
      <c r="CI209" s="122"/>
      <c r="CJ209" s="30"/>
      <c r="CK209" s="122">
        <v>0</v>
      </c>
      <c r="CL209" s="122">
        <v>0</v>
      </c>
      <c r="CM209" s="122">
        <v>0</v>
      </c>
      <c r="CN209" s="122">
        <v>0</v>
      </c>
      <c r="CO209" s="122">
        <f>SUMIFS(BB___HK___AMHS__Others[AR Amount],BB___HK___AMHS__Others[PO No.],AR_725[[#This Row],[tsmc PO '#]],BB___HK___AMHS__Others[Status],"&lt;&gt;Rejected",BB___HK___AMHS__Others[YearMonth],"2024-07")</f>
        <v>0</v>
      </c>
      <c r="CP209" s="122">
        <f>SUMIFS(BB___HK___AMHS__Others[Tax],BB___HK___AMHS__Others[PO No.],AR_725[[#This Row],[tsmc PO '#]],BB___HK___AMHS__Others[Status],"&lt;&gt;Rejected",BB___HK___AMHS__Others[YearMonth],"2024-07")</f>
        <v>0</v>
      </c>
      <c r="CQ209" s="34">
        <f>SUMIFS(BB___HK___AMHS__Others[AR Amount],BB___HK___AMHS__Others[PO No.],AR_725[[#This Row],[tsmc PO '#]],BB___HK___AMHS__Others[Status],"&lt;&gt;Rejected",BB___HK___AMHS__Others[YearMonth],"2024-08")</f>
        <v>0</v>
      </c>
      <c r="CR209" s="44">
        <f>SUMIFS(BB___HK___AMHS__Others[Tax],BB___HK___AMHS__Others[PO No.],AR_725[[#This Row],[tsmc PO '#]],BB___HK___AMHS__Others[Status],"&lt;&gt;Rejected",BB___HK___AMHS__Others[YearMonth],"2024-08")</f>
        <v>0</v>
      </c>
      <c r="CS209" s="62">
        <f>SUMIFS(BB___HK___AMHS__Others[AR Amount],BB___HK___AMHS__Others[PO No.],AR_725[[#This Row],[tsmc PO '#]],BB___HK___AMHS__Others[Status],"&lt;&gt;Rejected",BB___HK___AMHS__Others[YearMonth],"2024-09")</f>
        <v>0</v>
      </c>
      <c r="CT209" s="601">
        <f>SUMIFS(BB___HK___AMHS__Others[Tax],BB___HK___AMHS__Others[PO No.],AR_725[[#This Row],[tsmc PO '#]],BB___HK___AMHS__Others[Status],"&lt;&gt;Rejected",BB___HK___AMHS__Others[YearMonth],"2024-09")</f>
        <v>0</v>
      </c>
    </row>
    <row r="210" spans="1:98" ht="14.1" hidden="1">
      <c r="A210" s="30" t="s">
        <v>10</v>
      </c>
      <c r="B210" s="30" t="s">
        <v>2113</v>
      </c>
      <c r="C210" s="30" t="s">
        <v>20</v>
      </c>
      <c r="D210" s="50"/>
      <c r="E210" s="30" t="s">
        <v>2126</v>
      </c>
      <c r="F210" s="50"/>
      <c r="G210" s="50" t="s">
        <v>54</v>
      </c>
      <c r="H210" s="50">
        <v>4590014960</v>
      </c>
      <c r="I210" s="30" t="s">
        <v>361</v>
      </c>
      <c r="J210" s="30" t="s">
        <v>2225</v>
      </c>
      <c r="K210" s="62">
        <v>26318.31</v>
      </c>
      <c r="L210" s="30"/>
      <c r="M210" s="50" t="s">
        <v>2226</v>
      </c>
      <c r="N210" s="87"/>
      <c r="O210" s="30" t="s">
        <v>2160</v>
      </c>
      <c r="P21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21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1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210" s="72">
        <f>IF(AR_725[[#This Row],[PO Amount]]=0,1,AR_725[[#This Row],[Total AR (Sent)]]/AR_725[[#This Row],[PO Amount]])</f>
        <v>0</v>
      </c>
      <c r="T210" s="73">
        <f>AR_725[[#This Row],[PO Amount]]-AR_725[[#This Row],[Total AR (Sent)]]</f>
        <v>26318.31</v>
      </c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34"/>
      <c r="AS210" s="40"/>
      <c r="AU210" s="40"/>
      <c r="AV210" s="41"/>
      <c r="AW210" s="40"/>
      <c r="AX210" s="34"/>
      <c r="AY210" s="40"/>
      <c r="AZ210" s="34"/>
      <c r="BA210" s="40"/>
      <c r="BB210" s="34"/>
      <c r="BC210" s="40"/>
      <c r="BD210" s="40"/>
      <c r="BE210" s="40"/>
      <c r="BF210" s="40"/>
      <c r="BG210" s="40"/>
      <c r="BH210" s="40"/>
      <c r="BI210" s="40"/>
      <c r="BJ210" s="40"/>
      <c r="BK210" s="40"/>
      <c r="BL210" s="34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Z210" s="40"/>
      <c r="CA210" s="40"/>
      <c r="CB210" s="34"/>
      <c r="CC210" s="34"/>
      <c r="CD210" s="34"/>
      <c r="CE210" s="34"/>
      <c r="CF210" s="34"/>
      <c r="CG210" s="122"/>
      <c r="CI210" s="122"/>
      <c r="CJ210" s="30"/>
      <c r="CK210" s="122">
        <v>0</v>
      </c>
      <c r="CL210" s="122">
        <v>0</v>
      </c>
      <c r="CM210" s="122">
        <v>0</v>
      </c>
      <c r="CN210" s="122">
        <v>0</v>
      </c>
      <c r="CO210" s="122">
        <f>SUMIFS(BB___HK___AMHS__Others[AR Amount],BB___HK___AMHS__Others[PO No.],AR_725[[#This Row],[tsmc PO '#]],BB___HK___AMHS__Others[Status],"&lt;&gt;Rejected",BB___HK___AMHS__Others[YearMonth],"2024-07")</f>
        <v>0</v>
      </c>
      <c r="CP210" s="122">
        <f>SUMIFS(BB___HK___AMHS__Others[Tax],BB___HK___AMHS__Others[PO No.],AR_725[[#This Row],[tsmc PO '#]],BB___HK___AMHS__Others[Status],"&lt;&gt;Rejected",BB___HK___AMHS__Others[YearMonth],"2024-07")</f>
        <v>0</v>
      </c>
      <c r="CQ210" s="34">
        <f>SUMIFS(BB___HK___AMHS__Others[AR Amount],BB___HK___AMHS__Others[PO No.],AR_725[[#This Row],[tsmc PO '#]],BB___HK___AMHS__Others[Status],"&lt;&gt;Rejected",BB___HK___AMHS__Others[YearMonth],"2024-08")</f>
        <v>0</v>
      </c>
      <c r="CR210" s="44">
        <f>SUMIFS(BB___HK___AMHS__Others[Tax],BB___HK___AMHS__Others[PO No.],AR_725[[#This Row],[tsmc PO '#]],BB___HK___AMHS__Others[Status],"&lt;&gt;Rejected",BB___HK___AMHS__Others[YearMonth],"2024-08")</f>
        <v>0</v>
      </c>
      <c r="CS210" s="62">
        <f>SUMIFS(BB___HK___AMHS__Others[AR Amount],BB___HK___AMHS__Others[PO No.],AR_725[[#This Row],[tsmc PO '#]],BB___HK___AMHS__Others[Status],"&lt;&gt;Rejected",BB___HK___AMHS__Others[YearMonth],"2024-09")</f>
        <v>0</v>
      </c>
      <c r="CT210" s="601">
        <f>SUMIFS(BB___HK___AMHS__Others[Tax],BB___HK___AMHS__Others[PO No.],AR_725[[#This Row],[tsmc PO '#]],BB___HK___AMHS__Others[Status],"&lt;&gt;Rejected",BB___HK___AMHS__Others[YearMonth],"2024-09")</f>
        <v>0</v>
      </c>
    </row>
    <row r="211" spans="1:98" ht="14.1" hidden="1">
      <c r="A211" s="30" t="s">
        <v>12</v>
      </c>
      <c r="B211" s="30" t="s">
        <v>13</v>
      </c>
      <c r="D211" s="50"/>
      <c r="E211" s="30" t="s">
        <v>2126</v>
      </c>
      <c r="F211" s="50"/>
      <c r="G211" s="50" t="s">
        <v>54</v>
      </c>
      <c r="H211" s="50">
        <v>4590014961</v>
      </c>
      <c r="I211" s="30" t="s">
        <v>361</v>
      </c>
      <c r="J211" s="30" t="s">
        <v>2225</v>
      </c>
      <c r="K211" s="62">
        <v>26318.31</v>
      </c>
      <c r="M211" s="50" t="s">
        <v>2226</v>
      </c>
      <c r="N211" s="87"/>
      <c r="O211" s="30" t="s">
        <v>2227</v>
      </c>
      <c r="P21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21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1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211" s="72">
        <f>IF(AR_725[[#This Row],[PO Amount]]=0,1,AR_725[[#This Row],[Total AR (Sent)]]/AR_725[[#This Row],[PO Amount]])</f>
        <v>0</v>
      </c>
      <c r="T211" s="73">
        <f>AR_725[[#This Row],[PO Amount]]-AR_725[[#This Row],[Total AR (Sent)]]</f>
        <v>26318.31</v>
      </c>
      <c r="AV211" s="78"/>
      <c r="CG211" s="122"/>
      <c r="CI211" s="122"/>
      <c r="CK211" s="122"/>
      <c r="CL211" s="122">
        <v>0</v>
      </c>
      <c r="CM211" s="122">
        <v>0</v>
      </c>
      <c r="CN211" s="122">
        <v>0</v>
      </c>
      <c r="CO211" s="122">
        <f>SUMIFS(BB___HK___AMHS__Others[AR Amount],BB___HK___AMHS__Others[PO No.],AR_725[[#This Row],[tsmc PO '#]],BB___HK___AMHS__Others[Status],"&lt;&gt;Rejected",BB___HK___AMHS__Others[YearMonth],"2024-07")</f>
        <v>0</v>
      </c>
      <c r="CP211" s="122">
        <f>SUMIFS(BB___HK___AMHS__Others[Tax],BB___HK___AMHS__Others[PO No.],AR_725[[#This Row],[tsmc PO '#]],BB___HK___AMHS__Others[Status],"&lt;&gt;Rejected",BB___HK___AMHS__Others[YearMonth],"2024-07")</f>
        <v>0</v>
      </c>
      <c r="CQ211" s="34">
        <f>SUMIFS(BB___HK___AMHS__Others[AR Amount],BB___HK___AMHS__Others[PO No.],AR_725[[#This Row],[tsmc PO '#]],BB___HK___AMHS__Others[Status],"&lt;&gt;Rejected",BB___HK___AMHS__Others[YearMonth],"2024-08")</f>
        <v>0</v>
      </c>
      <c r="CR211" s="44">
        <f>SUMIFS(BB___HK___AMHS__Others[Tax],BB___HK___AMHS__Others[PO No.],AR_725[[#This Row],[tsmc PO '#]],BB___HK___AMHS__Others[Status],"&lt;&gt;Rejected",BB___HK___AMHS__Others[YearMonth],"2024-08")</f>
        <v>0</v>
      </c>
      <c r="CS211" s="62">
        <f>SUMIFS(BB___HK___AMHS__Others[AR Amount],BB___HK___AMHS__Others[PO No.],AR_725[[#This Row],[tsmc PO '#]],BB___HK___AMHS__Others[Status],"&lt;&gt;Rejected",BB___HK___AMHS__Others[YearMonth],"2024-09")</f>
        <v>0</v>
      </c>
      <c r="CT211" s="601">
        <f>SUMIFS(BB___HK___AMHS__Others[Tax],BB___HK___AMHS__Others[PO No.],AR_725[[#This Row],[tsmc PO '#]],BB___HK___AMHS__Others[Status],"&lt;&gt;Rejected",BB___HK___AMHS__Others[YearMonth],"2024-09")</f>
        <v>0</v>
      </c>
    </row>
    <row r="212" spans="1:98" ht="14.1" hidden="1">
      <c r="A212" s="30" t="s">
        <v>8</v>
      </c>
      <c r="B212" s="30" t="s">
        <v>8</v>
      </c>
      <c r="D212" s="50" t="s">
        <v>8</v>
      </c>
      <c r="E212" s="604" t="s">
        <v>2109</v>
      </c>
      <c r="F212" s="365" t="s">
        <v>2110</v>
      </c>
      <c r="G212" s="50" t="s">
        <v>679</v>
      </c>
      <c r="H212" s="50">
        <v>4590015038</v>
      </c>
      <c r="I212" s="30" t="s">
        <v>98</v>
      </c>
      <c r="J212" s="30" t="s">
        <v>680</v>
      </c>
      <c r="K212" s="62">
        <v>48962.400000000001</v>
      </c>
      <c r="L212" s="30"/>
      <c r="M212" s="50" t="s">
        <v>2228</v>
      </c>
      <c r="N212" s="87"/>
      <c r="O212" s="30" t="s">
        <v>2156</v>
      </c>
      <c r="P21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21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1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48962.400000000001</v>
      </c>
      <c r="S212" s="72">
        <f>IF(AR_725[[#This Row],[PO Amount]]=0,1,AR_725[[#This Row],[Total AR (Sent)]]/AR_725[[#This Row],[PO Amount]])</f>
        <v>0</v>
      </c>
      <c r="T212" s="73">
        <f>AR_725[[#This Row],[PO Amount]]-AR_725[[#This Row],[Total AR (Sent)]]</f>
        <v>48962.400000000001</v>
      </c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34"/>
      <c r="AK212" s="40"/>
      <c r="AL212" s="40"/>
      <c r="AM212" s="40"/>
      <c r="AN212" s="40"/>
      <c r="AO212" s="40"/>
      <c r="AP212" s="40"/>
      <c r="AQ212" s="40"/>
      <c r="AR212" s="34"/>
      <c r="AS212" s="34"/>
      <c r="AU212" s="34"/>
      <c r="AV212" s="41"/>
      <c r="AW212" s="34"/>
      <c r="AX212" s="34"/>
      <c r="AY212" s="34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  <c r="BZ212" s="40"/>
      <c r="CA212" s="40"/>
      <c r="CB212" s="34"/>
      <c r="CC212" s="34"/>
      <c r="CD212" s="34"/>
      <c r="CE212" s="65">
        <f>48962.4-48962.4</f>
        <v>0</v>
      </c>
      <c r="CF212" s="34"/>
      <c r="CG212" s="122">
        <f>SUMIFS(BB___HK___AMHS__Others[AR Amount],BB___HK___AMHS__Others[PO No.],AR_725[[#This Row],[tsmc PO '#]],BB___HK___AMHS__Others[Status],"&lt;&gt;Rejected",BB___HK___AMHS__Others[YearMonth],"2024-03")</f>
        <v>0</v>
      </c>
      <c r="CI212" s="122">
        <f>SUMIFS(BB___HK___AMHS__Others[AR Amount],BB___HK___AMHS__Others[PO No.],AR_725[[#This Row],[tsmc PO '#]],BB___HK___AMHS__Others[Status],"&lt;&gt;Rejected",BB___HK___AMHS__Others[YearMonth],"2024-04")</f>
        <v>0</v>
      </c>
      <c r="CJ212" s="30"/>
      <c r="CK212" s="122">
        <v>0</v>
      </c>
      <c r="CL212" s="122">
        <v>0</v>
      </c>
      <c r="CM212" s="122">
        <v>0</v>
      </c>
      <c r="CN212" s="122">
        <v>0</v>
      </c>
      <c r="CO212" s="122">
        <f>SUMIFS(BB___HK___AMHS__Others[AR Amount],BB___HK___AMHS__Others[PO No.],AR_725[[#This Row],[tsmc PO '#]],BB___HK___AMHS__Others[Status],"&lt;&gt;Rejected",BB___HK___AMHS__Others[YearMonth],"2024-07")</f>
        <v>0</v>
      </c>
      <c r="CP212" s="122">
        <f>SUMIFS(BB___HK___AMHS__Others[Tax],BB___HK___AMHS__Others[PO No.],AR_725[[#This Row],[tsmc PO '#]],BB___HK___AMHS__Others[Status],"&lt;&gt;Rejected",BB___HK___AMHS__Others[YearMonth],"2024-07")</f>
        <v>0</v>
      </c>
      <c r="CQ212" s="34">
        <f>SUMIFS(BB___HK___AMHS__Others[AR Amount],BB___HK___AMHS__Others[PO No.],AR_725[[#This Row],[tsmc PO '#]],BB___HK___AMHS__Others[Status],"&lt;&gt;Rejected",BB___HK___AMHS__Others[YearMonth],"2024-08")</f>
        <v>0</v>
      </c>
      <c r="CR212" s="44">
        <f>SUMIFS(BB___HK___AMHS__Others[Tax],BB___HK___AMHS__Others[PO No.],AR_725[[#This Row],[tsmc PO '#]],BB___HK___AMHS__Others[Status],"&lt;&gt;Rejected",BB___HK___AMHS__Others[YearMonth],"2024-08")</f>
        <v>0</v>
      </c>
      <c r="CS212" s="62">
        <f>SUMIFS(BB___HK___AMHS__Others[AR Amount],BB___HK___AMHS__Others[PO No.],AR_725[[#This Row],[tsmc PO '#]],BB___HK___AMHS__Others[Status],"&lt;&gt;Rejected",BB___HK___AMHS__Others[YearMonth],"2024-09")</f>
        <v>0</v>
      </c>
      <c r="CT212" s="601">
        <f>SUMIFS(BB___HK___AMHS__Others[Tax],BB___HK___AMHS__Others[PO No.],AR_725[[#This Row],[tsmc PO '#]],BB___HK___AMHS__Others[Status],"&lt;&gt;Rejected",BB___HK___AMHS__Others[YearMonth],"2024-09")</f>
        <v>0</v>
      </c>
    </row>
    <row r="213" spans="1:98" ht="14.1" hidden="1">
      <c r="A213" s="30" t="s">
        <v>8</v>
      </c>
      <c r="B213" s="30" t="s">
        <v>8</v>
      </c>
      <c r="D213" s="50" t="s">
        <v>8</v>
      </c>
      <c r="E213" s="48" t="s">
        <v>2109</v>
      </c>
      <c r="F213" s="50" t="s">
        <v>2110</v>
      </c>
      <c r="G213" s="50" t="s">
        <v>1768</v>
      </c>
      <c r="H213" s="50">
        <v>4590015039</v>
      </c>
      <c r="I213" s="30" t="s">
        <v>98</v>
      </c>
      <c r="J213" s="30" t="s">
        <v>844</v>
      </c>
      <c r="K213" s="62">
        <v>30042.6</v>
      </c>
      <c r="L213" s="30"/>
      <c r="M213" s="50" t="s">
        <v>2228</v>
      </c>
      <c r="N213" s="87"/>
      <c r="O213" s="30" t="s">
        <v>2156</v>
      </c>
      <c r="P21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30042.6</v>
      </c>
      <c r="Q21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30042.6</v>
      </c>
      <c r="R21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30042.6</v>
      </c>
      <c r="S213" s="72">
        <f>IF(AR_725[[#This Row],[PO Amount]]=0,1,AR_725[[#This Row],[Total AR (Sent)]]/AR_725[[#This Row],[PO Amount]])</f>
        <v>1</v>
      </c>
      <c r="T213" s="73">
        <f>AR_725[[#This Row],[PO Amount]]-AR_725[[#This Row],[Total AR (Sent)]]</f>
        <v>0</v>
      </c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34"/>
      <c r="AK213" s="40"/>
      <c r="AL213" s="40"/>
      <c r="AM213" s="40"/>
      <c r="AN213" s="40"/>
      <c r="AO213" s="40"/>
      <c r="AP213" s="40"/>
      <c r="AQ213" s="40"/>
      <c r="AR213" s="34"/>
      <c r="AS213" s="34"/>
      <c r="AU213" s="34"/>
      <c r="AV213" s="41"/>
      <c r="AW213" s="34"/>
      <c r="AX213" s="34"/>
      <c r="AY213" s="34"/>
      <c r="AZ213" s="34"/>
      <c r="BA213" s="40"/>
      <c r="BB213" s="34"/>
      <c r="BC213" s="40"/>
      <c r="BD213" s="40"/>
      <c r="BE213" s="40"/>
      <c r="BF213" s="40"/>
      <c r="BG213" s="40"/>
      <c r="BH213" s="40"/>
      <c r="BI213" s="40"/>
      <c r="BJ213" s="40"/>
      <c r="BK213" s="40"/>
      <c r="BL213" s="34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Z213" s="40"/>
      <c r="CA213" s="40"/>
      <c r="CB213" s="34"/>
      <c r="CC213" s="34"/>
      <c r="CD213" s="34"/>
      <c r="CE213" s="59">
        <v>30042.6</v>
      </c>
      <c r="CF213" s="34"/>
      <c r="CG213" s="122">
        <f>SUMIFS(BB___HK___AMHS__Others[AR Amount],BB___HK___AMHS__Others[PO No.],AR_725[[#This Row],[tsmc PO '#]],BB___HK___AMHS__Others[Status],"&lt;&gt;Rejected",BB___HK___AMHS__Others[YearMonth],"2024-03")</f>
        <v>0</v>
      </c>
      <c r="CI213" s="122">
        <f>SUMIFS(BB___HK___AMHS__Others[AR Amount],BB___HK___AMHS__Others[PO No.],AR_725[[#This Row],[tsmc PO '#]],BB___HK___AMHS__Others[Status],"&lt;&gt;Rejected",BB___HK___AMHS__Others[YearMonth],"2024-04")</f>
        <v>0</v>
      </c>
      <c r="CJ213" s="30"/>
      <c r="CK213" s="122">
        <v>0</v>
      </c>
      <c r="CL213" s="122">
        <v>0</v>
      </c>
      <c r="CM213" s="122">
        <v>0</v>
      </c>
      <c r="CN213" s="122">
        <v>0</v>
      </c>
      <c r="CO213" s="122">
        <f>SUMIFS(BB___HK___AMHS__Others[AR Amount],BB___HK___AMHS__Others[PO No.],AR_725[[#This Row],[tsmc PO '#]],BB___HK___AMHS__Others[Status],"&lt;&gt;Rejected",BB___HK___AMHS__Others[YearMonth],"2024-07")</f>
        <v>0</v>
      </c>
      <c r="CP213" s="122">
        <f>SUMIFS(BB___HK___AMHS__Others[Tax],BB___HK___AMHS__Others[PO No.],AR_725[[#This Row],[tsmc PO '#]],BB___HK___AMHS__Others[Status],"&lt;&gt;Rejected",BB___HK___AMHS__Others[YearMonth],"2024-07")</f>
        <v>0</v>
      </c>
      <c r="CQ213" s="34">
        <f>SUMIFS(BB___HK___AMHS__Others[AR Amount],BB___HK___AMHS__Others[PO No.],AR_725[[#This Row],[tsmc PO '#]],BB___HK___AMHS__Others[Status],"&lt;&gt;Rejected",BB___HK___AMHS__Others[YearMonth],"2024-08")</f>
        <v>0</v>
      </c>
      <c r="CR213" s="44">
        <f>SUMIFS(BB___HK___AMHS__Others[Tax],BB___HK___AMHS__Others[PO No.],AR_725[[#This Row],[tsmc PO '#]],BB___HK___AMHS__Others[Status],"&lt;&gt;Rejected",BB___HK___AMHS__Others[YearMonth],"2024-08")</f>
        <v>0</v>
      </c>
      <c r="CS213" s="62">
        <f>SUMIFS(BB___HK___AMHS__Others[AR Amount],BB___HK___AMHS__Others[PO No.],AR_725[[#This Row],[tsmc PO '#]],BB___HK___AMHS__Others[Status],"&lt;&gt;Rejected",BB___HK___AMHS__Others[YearMonth],"2024-09")</f>
        <v>0</v>
      </c>
      <c r="CT213" s="601">
        <f>SUMIFS(BB___HK___AMHS__Others[Tax],BB___HK___AMHS__Others[PO No.],AR_725[[#This Row],[tsmc PO '#]],BB___HK___AMHS__Others[Status],"&lt;&gt;Rejected",BB___HK___AMHS__Others[YearMonth],"2024-09")</f>
        <v>0</v>
      </c>
    </row>
    <row r="214" spans="1:98" ht="15" hidden="1" customHeight="1">
      <c r="A214" s="30" t="s">
        <v>9</v>
      </c>
      <c r="B214" s="30" t="s">
        <v>2051</v>
      </c>
      <c r="C214" s="30" t="s">
        <v>2184</v>
      </c>
      <c r="D214" s="50" t="s">
        <v>1759</v>
      </c>
      <c r="E214" s="57" t="s">
        <v>2185</v>
      </c>
      <c r="F214" s="48" t="s">
        <v>2074</v>
      </c>
      <c r="G214" s="64" t="s">
        <v>312</v>
      </c>
      <c r="H214" s="50">
        <v>4590015058</v>
      </c>
      <c r="I214" s="30" t="s">
        <v>120</v>
      </c>
      <c r="J214" s="30" t="s">
        <v>733</v>
      </c>
      <c r="K214" s="62">
        <v>4142540.4</v>
      </c>
      <c r="L214" s="30"/>
      <c r="M214" s="50" t="s">
        <v>2229</v>
      </c>
      <c r="N214" s="87"/>
      <c r="O214" s="30" t="s">
        <v>2156</v>
      </c>
      <c r="P21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4142540.4</v>
      </c>
      <c r="Q21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4142540.4</v>
      </c>
      <c r="R21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4142540.4</v>
      </c>
      <c r="S214" s="72">
        <f>IF(AR_725[[#This Row],[PO Amount]]=0,1,AR_725[[#This Row],[Total AR (Sent)]]/AR_725[[#This Row],[PO Amount]])</f>
        <v>1</v>
      </c>
      <c r="T214" s="73">
        <f>AR_725[[#This Row],[PO Amount]]-AR_725[[#This Row],[Total AR (Sent)]]</f>
        <v>0</v>
      </c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34"/>
      <c r="AK214" s="40"/>
      <c r="AL214" s="40"/>
      <c r="AM214" s="40"/>
      <c r="AN214" s="40"/>
      <c r="AO214" s="40"/>
      <c r="AP214" s="40"/>
      <c r="AQ214" s="40"/>
      <c r="AR214" s="34"/>
      <c r="AS214" s="34"/>
      <c r="AU214" s="34"/>
      <c r="AV214" s="41"/>
      <c r="AW214" s="34"/>
      <c r="AX214" s="34"/>
      <c r="AY214" s="40"/>
      <c r="AZ214" s="34"/>
      <c r="BA214" s="40"/>
      <c r="BB214" s="34"/>
      <c r="BC214" s="40"/>
      <c r="BD214" s="40"/>
      <c r="BE214" s="40"/>
      <c r="BF214" s="40"/>
      <c r="BG214" s="40"/>
      <c r="BH214" s="40"/>
      <c r="BI214" s="40"/>
      <c r="BJ214" s="40"/>
      <c r="BK214" s="40"/>
      <c r="BL214" s="34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Z214" s="34"/>
      <c r="CA214" s="40"/>
      <c r="CB214" s="34"/>
      <c r="CC214" s="42">
        <v>4142540.4</v>
      </c>
      <c r="CD214" s="34"/>
      <c r="CE214" s="34"/>
      <c r="CF214" s="34"/>
      <c r="CG214" s="122"/>
      <c r="CI214" s="122"/>
      <c r="CJ214" s="30"/>
      <c r="CK214" s="122">
        <v>0</v>
      </c>
      <c r="CL214" s="122">
        <v>0</v>
      </c>
      <c r="CM214" s="122">
        <v>0</v>
      </c>
      <c r="CN214" s="122">
        <v>0</v>
      </c>
      <c r="CO214" s="122">
        <f>SUMIFS(BB___HK___AMHS__Others[AR Amount],BB___HK___AMHS__Others[PO No.],AR_725[[#This Row],[tsmc PO '#]],BB___HK___AMHS__Others[Status],"&lt;&gt;Rejected",BB___HK___AMHS__Others[YearMonth],"2024-07")</f>
        <v>0</v>
      </c>
      <c r="CP214" s="122">
        <f>SUMIFS(BB___HK___AMHS__Others[Tax],BB___HK___AMHS__Others[PO No.],AR_725[[#This Row],[tsmc PO '#]],BB___HK___AMHS__Others[Status],"&lt;&gt;Rejected",BB___HK___AMHS__Others[YearMonth],"2024-07")</f>
        <v>0</v>
      </c>
      <c r="CQ214" s="34">
        <f>SUMIFS(BB___HK___AMHS__Others[AR Amount],BB___HK___AMHS__Others[PO No.],AR_725[[#This Row],[tsmc PO '#]],BB___HK___AMHS__Others[Status],"&lt;&gt;Rejected",BB___HK___AMHS__Others[YearMonth],"2024-08")</f>
        <v>0</v>
      </c>
      <c r="CR214" s="44">
        <f>SUMIFS(BB___HK___AMHS__Others[Tax],BB___HK___AMHS__Others[PO No.],AR_725[[#This Row],[tsmc PO '#]],BB___HK___AMHS__Others[Status],"&lt;&gt;Rejected",BB___HK___AMHS__Others[YearMonth],"2024-08")</f>
        <v>0</v>
      </c>
      <c r="CS214" s="62">
        <f>SUMIFS(BB___HK___AMHS__Others[AR Amount],BB___HK___AMHS__Others[PO No.],AR_725[[#This Row],[tsmc PO '#]],BB___HK___AMHS__Others[Status],"&lt;&gt;Rejected",BB___HK___AMHS__Others[YearMonth],"2024-09")</f>
        <v>0</v>
      </c>
      <c r="CT214" s="601">
        <f>SUMIFS(BB___HK___AMHS__Others[Tax],BB___HK___AMHS__Others[PO No.],AR_725[[#This Row],[tsmc PO '#]],BB___HK___AMHS__Others[Status],"&lt;&gt;Rejected",BB___HK___AMHS__Others[YearMonth],"2024-09")</f>
        <v>0</v>
      </c>
    </row>
    <row r="215" spans="1:98" ht="14.1" hidden="1">
      <c r="A215" s="30" t="s">
        <v>9</v>
      </c>
      <c r="B215" s="30" t="s">
        <v>2051</v>
      </c>
      <c r="C215" s="30" t="s">
        <v>2184</v>
      </c>
      <c r="D215" s="50" t="s">
        <v>1759</v>
      </c>
      <c r="E215" s="50" t="s">
        <v>2065</v>
      </c>
      <c r="F215" s="50" t="s">
        <v>2230</v>
      </c>
      <c r="G215" s="50" t="s">
        <v>312</v>
      </c>
      <c r="H215" s="50">
        <v>4590015143</v>
      </c>
      <c r="I215" s="30" t="s">
        <v>120</v>
      </c>
      <c r="J215" s="30" t="s">
        <v>734</v>
      </c>
      <c r="K215" s="62">
        <v>601790</v>
      </c>
      <c r="L215" s="30"/>
      <c r="M215" s="50" t="s">
        <v>2231</v>
      </c>
      <c r="N215" s="87"/>
      <c r="O215" s="30" t="s">
        <v>2156</v>
      </c>
      <c r="P21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601790</v>
      </c>
      <c r="Q21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577718</v>
      </c>
      <c r="R21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601790</v>
      </c>
      <c r="S215" s="72">
        <f>IF(AR_725[[#This Row],[PO Amount]]=0,1,AR_725[[#This Row],[Total AR (Sent)]]/AR_725[[#This Row],[PO Amount]])</f>
        <v>1</v>
      </c>
      <c r="T215" s="73">
        <f>AR_725[[#This Row],[PO Amount]]-AR_725[[#This Row],[Total AR (Sent)]]</f>
        <v>0</v>
      </c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34"/>
      <c r="AS215" s="40"/>
      <c r="AU215" s="34"/>
      <c r="AV215" s="41"/>
      <c r="AW215" s="40"/>
      <c r="AX215" s="34"/>
      <c r="AY215" s="40"/>
      <c r="AZ215" s="34"/>
      <c r="BA215" s="40"/>
      <c r="BB215" s="34"/>
      <c r="BC215" s="40"/>
      <c r="BD215" s="40"/>
      <c r="BE215" s="40"/>
      <c r="BF215" s="40"/>
      <c r="BG215" s="40"/>
      <c r="BH215" s="40"/>
      <c r="BI215" s="40"/>
      <c r="BJ215" s="40"/>
      <c r="BK215" s="40"/>
      <c r="BL215" s="34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  <c r="BZ215" s="34"/>
      <c r="CA215" s="40"/>
      <c r="CB215" s="34"/>
      <c r="CC215" s="42">
        <v>571700</v>
      </c>
      <c r="CD215" s="34"/>
      <c r="CE215" s="42">
        <v>6018</v>
      </c>
      <c r="CF215" s="34"/>
      <c r="CG215" s="122"/>
      <c r="CI215" s="122"/>
      <c r="CJ215" s="30"/>
      <c r="CK215" s="122">
        <v>24072</v>
      </c>
      <c r="CL215" s="122">
        <v>0</v>
      </c>
      <c r="CM215" s="122">
        <v>0</v>
      </c>
      <c r="CN215" s="122">
        <v>0</v>
      </c>
      <c r="CO215" s="122">
        <f>SUMIFS(BB___HK___AMHS__Others[AR Amount],BB___HK___AMHS__Others[PO No.],AR_725[[#This Row],[tsmc PO '#]],BB___HK___AMHS__Others[Status],"&lt;&gt;Rejected",BB___HK___AMHS__Others[YearMonth],"2024-07")</f>
        <v>0</v>
      </c>
      <c r="CP215" s="122">
        <f>SUMIFS(BB___HK___AMHS__Others[Tax],BB___HK___AMHS__Others[PO No.],AR_725[[#This Row],[tsmc PO '#]],BB___HK___AMHS__Others[Status],"&lt;&gt;Rejected",BB___HK___AMHS__Others[YearMonth],"2024-07")</f>
        <v>0</v>
      </c>
      <c r="CQ215" s="34">
        <f>SUMIFS(BB___HK___AMHS__Others[AR Amount],BB___HK___AMHS__Others[PO No.],AR_725[[#This Row],[tsmc PO '#]],BB___HK___AMHS__Others[Status],"&lt;&gt;Rejected",BB___HK___AMHS__Others[YearMonth],"2024-08")</f>
        <v>0</v>
      </c>
      <c r="CR215" s="44">
        <f>SUMIFS(BB___HK___AMHS__Others[Tax],BB___HK___AMHS__Others[PO No.],AR_725[[#This Row],[tsmc PO '#]],BB___HK___AMHS__Others[Status],"&lt;&gt;Rejected",BB___HK___AMHS__Others[YearMonth],"2024-08")</f>
        <v>0</v>
      </c>
      <c r="CS215" s="62">
        <f>SUMIFS(BB___HK___AMHS__Others[AR Amount],BB___HK___AMHS__Others[PO No.],AR_725[[#This Row],[tsmc PO '#]],BB___HK___AMHS__Others[Status],"&lt;&gt;Rejected",BB___HK___AMHS__Others[YearMonth],"2024-09")</f>
        <v>0</v>
      </c>
      <c r="CT215" s="601">
        <f>SUMIFS(BB___HK___AMHS__Others[Tax],BB___HK___AMHS__Others[PO No.],AR_725[[#This Row],[tsmc PO '#]],BB___HK___AMHS__Others[Status],"&lt;&gt;Rejected",BB___HK___AMHS__Others[YearMonth],"2024-09")</f>
        <v>0</v>
      </c>
    </row>
    <row r="216" spans="1:98" ht="14.1" hidden="1">
      <c r="A216" s="30" t="s">
        <v>9</v>
      </c>
      <c r="B216" s="30" t="s">
        <v>2051</v>
      </c>
      <c r="C216" s="30" t="s">
        <v>2173</v>
      </c>
      <c r="D216" s="50" t="s">
        <v>1546</v>
      </c>
      <c r="E216" s="105" t="s">
        <v>2052</v>
      </c>
      <c r="F216" s="64" t="s">
        <v>2053</v>
      </c>
      <c r="G216" s="50" t="s">
        <v>978</v>
      </c>
      <c r="H216" s="50">
        <v>4590015164</v>
      </c>
      <c r="I216" s="30" t="s">
        <v>584</v>
      </c>
      <c r="J216" s="30" t="s">
        <v>979</v>
      </c>
      <c r="K216" s="62">
        <v>47320</v>
      </c>
      <c r="L216" s="30"/>
      <c r="M216" s="86" t="s">
        <v>2232</v>
      </c>
      <c r="N216" s="87"/>
      <c r="O216" s="30" t="s">
        <v>2160</v>
      </c>
      <c r="P21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47320</v>
      </c>
      <c r="Q21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42854.63</v>
      </c>
      <c r="R21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47320</v>
      </c>
      <c r="S216" s="72">
        <f>IF(AR_725[[#This Row],[PO Amount]]=0,1,AR_725[[#This Row],[Total AR (Sent)]]/AR_725[[#This Row],[PO Amount]])</f>
        <v>1</v>
      </c>
      <c r="T216" s="73">
        <f>AR_725[[#This Row],[PO Amount]]-AR_725[[#This Row],[Total AR (Sent)]]</f>
        <v>0</v>
      </c>
      <c r="AT216" s="30"/>
      <c r="AU216" s="34"/>
      <c r="AV216" s="78"/>
      <c r="BY216" s="30"/>
      <c r="BZ216" s="40"/>
      <c r="CG216" s="123">
        <v>42854.63</v>
      </c>
      <c r="CI216" s="116">
        <v>4465.37</v>
      </c>
      <c r="CJ216" s="30"/>
      <c r="CK216" s="122">
        <v>0</v>
      </c>
      <c r="CL216" s="122">
        <v>0</v>
      </c>
      <c r="CM216" s="122">
        <v>0</v>
      </c>
      <c r="CN216" s="122">
        <v>0</v>
      </c>
      <c r="CO216" s="122">
        <f>SUMIFS(BB___HK___AMHS__Others[AR Amount],BB___HK___AMHS__Others[PO No.],AR_725[[#This Row],[tsmc PO '#]],BB___HK___AMHS__Others[Status],"&lt;&gt;Rejected",BB___HK___AMHS__Others[YearMonth],"2024-07")</f>
        <v>0</v>
      </c>
      <c r="CP216" s="122">
        <f>SUMIFS(BB___HK___AMHS__Others[Tax],BB___HK___AMHS__Others[PO No.],AR_725[[#This Row],[tsmc PO '#]],BB___HK___AMHS__Others[Status],"&lt;&gt;Rejected",BB___HK___AMHS__Others[YearMonth],"2024-07")</f>
        <v>0</v>
      </c>
      <c r="CQ216" s="34">
        <f>SUMIFS(BB___HK___AMHS__Others[AR Amount],BB___HK___AMHS__Others[PO No.],AR_725[[#This Row],[tsmc PO '#]],BB___HK___AMHS__Others[Status],"&lt;&gt;Rejected",BB___HK___AMHS__Others[YearMonth],"2024-08")</f>
        <v>0</v>
      </c>
      <c r="CR216" s="44">
        <f>SUMIFS(BB___HK___AMHS__Others[Tax],BB___HK___AMHS__Others[PO No.],AR_725[[#This Row],[tsmc PO '#]],BB___HK___AMHS__Others[Status],"&lt;&gt;Rejected",BB___HK___AMHS__Others[YearMonth],"2024-08")</f>
        <v>0</v>
      </c>
      <c r="CS216" s="62">
        <f>SUMIFS(BB___HK___AMHS__Others[AR Amount],BB___HK___AMHS__Others[PO No.],AR_725[[#This Row],[tsmc PO '#]],BB___HK___AMHS__Others[Status],"&lt;&gt;Rejected",BB___HK___AMHS__Others[YearMonth],"2024-09")</f>
        <v>0</v>
      </c>
      <c r="CT216" s="601">
        <f>SUMIFS(BB___HK___AMHS__Others[Tax],BB___HK___AMHS__Others[PO No.],AR_725[[#This Row],[tsmc PO '#]],BB___HK___AMHS__Others[Status],"&lt;&gt;Rejected",BB___HK___AMHS__Others[YearMonth],"2024-09")</f>
        <v>0</v>
      </c>
    </row>
    <row r="217" spans="1:98" ht="14.1" hidden="1">
      <c r="A217" s="30" t="s">
        <v>13</v>
      </c>
      <c r="B217" s="30" t="s">
        <v>13</v>
      </c>
      <c r="D217" s="50"/>
      <c r="E217" s="50"/>
      <c r="F217" s="50"/>
      <c r="G217" s="50" t="s">
        <v>569</v>
      </c>
      <c r="H217" s="50">
        <v>4590015297</v>
      </c>
      <c r="I217" s="30" t="s">
        <v>774</v>
      </c>
      <c r="J217" s="112" t="s">
        <v>772</v>
      </c>
      <c r="K217" s="62">
        <v>500000</v>
      </c>
      <c r="L217" s="30"/>
      <c r="M217" s="98" t="s">
        <v>2233</v>
      </c>
      <c r="N217" s="87"/>
      <c r="P21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475646.11999999994</v>
      </c>
      <c r="Q21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175847.09999999998</v>
      </c>
      <c r="R21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475646.11999999994</v>
      </c>
      <c r="S217" s="72">
        <f>IF(AR_725[[#This Row],[PO Amount]]=0,1,AR_725[[#This Row],[Total AR (Sent)]]/AR_725[[#This Row],[PO Amount]])</f>
        <v>0.9512922399999999</v>
      </c>
      <c r="T217" s="73">
        <f>AR_725[[#This Row],[PO Amount]]-AR_725[[#This Row],[Total AR (Sent)]]</f>
        <v>24353.880000000063</v>
      </c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34"/>
      <c r="AJ217" s="34"/>
      <c r="AK217" s="34"/>
      <c r="AL217" s="40"/>
      <c r="AM217" s="46"/>
      <c r="AN217" s="40"/>
      <c r="AO217" s="40"/>
      <c r="AP217" s="40"/>
      <c r="AQ217" s="40"/>
      <c r="AR217" s="40"/>
      <c r="AS217" s="40"/>
      <c r="AT217" s="40"/>
      <c r="AU217" s="34"/>
      <c r="AV217" s="40"/>
      <c r="AW217" s="40"/>
      <c r="AX217" s="34"/>
      <c r="AY217" s="34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  <c r="BZ217" s="34"/>
      <c r="CA217" s="40"/>
      <c r="CB217" s="34"/>
      <c r="CC217" s="34"/>
      <c r="CD217" s="34"/>
      <c r="CE217" s="42">
        <v>79589.67</v>
      </c>
      <c r="CF217" s="34"/>
      <c r="CG217" s="124">
        <v>96257.43</v>
      </c>
      <c r="CI217" s="122">
        <v>289096.98</v>
      </c>
      <c r="CJ217" s="30"/>
      <c r="CK217" s="122">
        <v>0</v>
      </c>
      <c r="CL217" s="122">
        <v>0</v>
      </c>
      <c r="CM217" s="122">
        <v>10702.04</v>
      </c>
      <c r="CN217" s="122">
        <v>0</v>
      </c>
      <c r="CO217" s="122">
        <f>SUMIFS(BB___HK___AMHS__Others[AR Amount],BB___HK___AMHS__Others[PO No.],AR_725[[#This Row],[tsmc PO '#]],BB___HK___AMHS__Others[Status],"&lt;&gt;Rejected",BB___HK___AMHS__Others[YearMonth],"2024-07")</f>
        <v>0</v>
      </c>
      <c r="CP217" s="122">
        <f>SUMIFS(BB___HK___AMHS__Others[Tax],BB___HK___AMHS__Others[PO No.],AR_725[[#This Row],[tsmc PO '#]],BB___HK___AMHS__Others[Status],"&lt;&gt;Rejected",BB___HK___AMHS__Others[YearMonth],"2024-07")</f>
        <v>0</v>
      </c>
      <c r="CQ217" s="34">
        <f>SUMIFS(BB___HK___AMHS__Others[AR Amount],BB___HK___AMHS__Others[PO No.],AR_725[[#This Row],[tsmc PO '#]],BB___HK___AMHS__Others[Status],"&lt;&gt;Rejected",BB___HK___AMHS__Others[YearMonth],"2024-08")</f>
        <v>0</v>
      </c>
      <c r="CR217" s="44">
        <f>SUMIFS(BB___HK___AMHS__Others[Tax],BB___HK___AMHS__Others[PO No.],AR_725[[#This Row],[tsmc PO '#]],BB___HK___AMHS__Others[Status],"&lt;&gt;Rejected",BB___HK___AMHS__Others[YearMonth],"2024-08")</f>
        <v>0</v>
      </c>
      <c r="CS217" s="62">
        <f>SUMIFS(BB___HK___AMHS__Others[AR Amount],BB___HK___AMHS__Others[PO No.],AR_725[[#This Row],[tsmc PO '#]],BB___HK___AMHS__Others[Status],"&lt;&gt;Rejected",BB___HK___AMHS__Others[YearMonth],"2024-09")</f>
        <v>0</v>
      </c>
      <c r="CT217" s="601">
        <f>SUMIFS(BB___HK___AMHS__Others[Tax],BB___HK___AMHS__Others[PO No.],AR_725[[#This Row],[tsmc PO '#]],BB___HK___AMHS__Others[Status],"&lt;&gt;Rejected",BB___HK___AMHS__Others[YearMonth],"2024-09")</f>
        <v>0</v>
      </c>
    </row>
    <row r="218" spans="1:98" ht="14.1" hidden="1">
      <c r="A218" s="30" t="s">
        <v>13</v>
      </c>
      <c r="B218" s="30" t="s">
        <v>13</v>
      </c>
      <c r="D218" s="50"/>
      <c r="E218" s="30" t="s">
        <v>2044</v>
      </c>
      <c r="F218" s="50" t="s">
        <v>2193</v>
      </c>
      <c r="G218" s="50" t="s">
        <v>2234</v>
      </c>
      <c r="H218" s="50">
        <v>4590015309</v>
      </c>
      <c r="I218" s="30" t="s">
        <v>227</v>
      </c>
      <c r="J218" s="106" t="s">
        <v>226</v>
      </c>
      <c r="K218" s="62">
        <v>150354.41</v>
      </c>
      <c r="L218" s="30"/>
      <c r="M218" s="86" t="s">
        <v>2235</v>
      </c>
      <c r="N218" s="87"/>
      <c r="O218" s="30" t="s">
        <v>2156</v>
      </c>
      <c r="P21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21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1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218" s="72">
        <f>IF(AR_725[[#This Row],[PO Amount]]=0,1,AR_725[[#This Row],[Total AR (Sent)]]/AR_725[[#This Row],[PO Amount]])</f>
        <v>0</v>
      </c>
      <c r="T218" s="73">
        <f>AR_725[[#This Row],[PO Amount]]-AR_725[[#This Row],[Total AR (Sent)]]</f>
        <v>150354.41</v>
      </c>
      <c r="AT218" s="30"/>
      <c r="AU218" s="34"/>
      <c r="AV218" s="78"/>
      <c r="BY218" s="30"/>
      <c r="BZ218" s="40"/>
      <c r="CG218" s="122"/>
      <c r="CI218" s="122"/>
      <c r="CJ218" s="30"/>
      <c r="CK218" s="122">
        <v>0</v>
      </c>
      <c r="CL218" s="122">
        <v>0</v>
      </c>
      <c r="CM218" s="122">
        <v>0</v>
      </c>
      <c r="CN218" s="122">
        <v>0</v>
      </c>
      <c r="CO218" s="122">
        <f>SUMIFS(BB___HK___AMHS__Others[AR Amount],BB___HK___AMHS__Others[PO No.],AR_725[[#This Row],[tsmc PO '#]],BB___HK___AMHS__Others[Status],"&lt;&gt;Rejected",BB___HK___AMHS__Others[YearMonth],"2024-07")</f>
        <v>0</v>
      </c>
      <c r="CP218" s="122">
        <f>SUMIFS(BB___HK___AMHS__Others[Tax],BB___HK___AMHS__Others[PO No.],AR_725[[#This Row],[tsmc PO '#]],BB___HK___AMHS__Others[Status],"&lt;&gt;Rejected",BB___HK___AMHS__Others[YearMonth],"2024-07")</f>
        <v>0</v>
      </c>
      <c r="CQ218" s="34">
        <f>SUMIFS(BB___HK___AMHS__Others[AR Amount],BB___HK___AMHS__Others[PO No.],AR_725[[#This Row],[tsmc PO '#]],BB___HK___AMHS__Others[Status],"&lt;&gt;Rejected",BB___HK___AMHS__Others[YearMonth],"2024-08")</f>
        <v>0</v>
      </c>
      <c r="CR218" s="44">
        <f>SUMIFS(BB___HK___AMHS__Others[Tax],BB___HK___AMHS__Others[PO No.],AR_725[[#This Row],[tsmc PO '#]],BB___HK___AMHS__Others[Status],"&lt;&gt;Rejected",BB___HK___AMHS__Others[YearMonth],"2024-08")</f>
        <v>0</v>
      </c>
      <c r="CS218" s="62">
        <f>SUMIFS(BB___HK___AMHS__Others[AR Amount],BB___HK___AMHS__Others[PO No.],AR_725[[#This Row],[tsmc PO '#]],BB___HK___AMHS__Others[Status],"&lt;&gt;Rejected",BB___HK___AMHS__Others[YearMonth],"2024-09")</f>
        <v>0</v>
      </c>
      <c r="CT218" s="601">
        <f>SUMIFS(BB___HK___AMHS__Others[Tax],BB___HK___AMHS__Others[PO No.],AR_725[[#This Row],[tsmc PO '#]],BB___HK___AMHS__Others[Status],"&lt;&gt;Rejected",BB___HK___AMHS__Others[YearMonth],"2024-09")</f>
        <v>0</v>
      </c>
    </row>
    <row r="219" spans="1:98" ht="14.1" hidden="1">
      <c r="A219" s="30" t="s">
        <v>19</v>
      </c>
      <c r="B219" s="30" t="s">
        <v>19</v>
      </c>
      <c r="D219" s="50"/>
      <c r="E219" s="50"/>
      <c r="F219" s="50" t="s">
        <v>2090</v>
      </c>
      <c r="G219" s="50" t="s">
        <v>957</v>
      </c>
      <c r="H219" s="50">
        <v>4590015367</v>
      </c>
      <c r="I219" s="30" t="s">
        <v>222</v>
      </c>
      <c r="J219" s="30" t="s">
        <v>958</v>
      </c>
      <c r="K219" s="62">
        <v>577.20000000000005</v>
      </c>
      <c r="L219" s="30"/>
      <c r="M219" s="86" t="s">
        <v>2236</v>
      </c>
      <c r="N219" s="87"/>
      <c r="O219" s="30" t="s">
        <v>2156</v>
      </c>
      <c r="P21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577.22</v>
      </c>
      <c r="Q21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577.22</v>
      </c>
      <c r="R21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577.20000000000005</v>
      </c>
      <c r="S219" s="72">
        <f>IF(AR_725[[#This Row],[PO Amount]]=0,1,AR_725[[#This Row],[Total AR (Sent)]]/AR_725[[#This Row],[PO Amount]])</f>
        <v>1.00003465003465</v>
      </c>
      <c r="T219" s="73">
        <f>AR_725[[#This Row],[PO Amount]]-AR_725[[#This Row],[Total AR (Sent)]]</f>
        <v>-1.999999999998181E-2</v>
      </c>
      <c r="AT219" s="30"/>
      <c r="AU219" s="34"/>
      <c r="AV219" s="78"/>
      <c r="BY219" s="30"/>
      <c r="BZ219" s="40"/>
      <c r="CG219" s="122">
        <v>577.22</v>
      </c>
      <c r="CI219" s="122"/>
      <c r="CJ219" s="30"/>
      <c r="CK219" s="122">
        <v>0</v>
      </c>
      <c r="CL219" s="122">
        <v>0</v>
      </c>
      <c r="CM219" s="122">
        <v>0</v>
      </c>
      <c r="CN219" s="122">
        <v>0</v>
      </c>
      <c r="CO219" s="122">
        <f>SUMIFS(BB___HK___AMHS__Others[AR Amount],BB___HK___AMHS__Others[PO No.],AR_725[[#This Row],[tsmc PO '#]],BB___HK___AMHS__Others[Status],"&lt;&gt;Rejected",BB___HK___AMHS__Others[YearMonth],"2024-07")</f>
        <v>0</v>
      </c>
      <c r="CP219" s="122">
        <f>SUMIFS(BB___HK___AMHS__Others[Tax],BB___HK___AMHS__Others[PO No.],AR_725[[#This Row],[tsmc PO '#]],BB___HK___AMHS__Others[Status],"&lt;&gt;Rejected",BB___HK___AMHS__Others[YearMonth],"2024-07")</f>
        <v>0</v>
      </c>
      <c r="CQ219" s="34">
        <f>SUMIFS(BB___HK___AMHS__Others[AR Amount],BB___HK___AMHS__Others[PO No.],AR_725[[#This Row],[tsmc PO '#]],BB___HK___AMHS__Others[Status],"&lt;&gt;Rejected",BB___HK___AMHS__Others[YearMonth],"2024-08")</f>
        <v>0</v>
      </c>
      <c r="CR219" s="44">
        <f>SUMIFS(BB___HK___AMHS__Others[Tax],BB___HK___AMHS__Others[PO No.],AR_725[[#This Row],[tsmc PO '#]],BB___HK___AMHS__Others[Status],"&lt;&gt;Rejected",BB___HK___AMHS__Others[YearMonth],"2024-08")</f>
        <v>0</v>
      </c>
      <c r="CS219" s="62">
        <f>SUMIFS(BB___HK___AMHS__Others[AR Amount],BB___HK___AMHS__Others[PO No.],AR_725[[#This Row],[tsmc PO '#]],BB___HK___AMHS__Others[Status],"&lt;&gt;Rejected",BB___HK___AMHS__Others[YearMonth],"2024-09")</f>
        <v>0</v>
      </c>
      <c r="CT219" s="601">
        <f>SUMIFS(BB___HK___AMHS__Others[Tax],BB___HK___AMHS__Others[PO No.],AR_725[[#This Row],[tsmc PO '#]],BB___HK___AMHS__Others[Status],"&lt;&gt;Rejected",BB___HK___AMHS__Others[YearMonth],"2024-09")</f>
        <v>0</v>
      </c>
    </row>
    <row r="220" spans="1:98" ht="14.1" hidden="1">
      <c r="A220" s="30" t="s">
        <v>13</v>
      </c>
      <c r="B220" s="30" t="s">
        <v>13</v>
      </c>
      <c r="D220" s="50"/>
      <c r="E220" s="57" t="s">
        <v>2095</v>
      </c>
      <c r="F220" s="50"/>
      <c r="G220" s="111" t="s">
        <v>799</v>
      </c>
      <c r="H220" s="50">
        <v>4590015373</v>
      </c>
      <c r="I220" s="30" t="s">
        <v>291</v>
      </c>
      <c r="J220" s="110" t="s">
        <v>800</v>
      </c>
      <c r="K220" s="62">
        <v>3312795.31</v>
      </c>
      <c r="L220" s="30"/>
      <c r="M220" s="86" t="s">
        <v>2236</v>
      </c>
      <c r="N220" s="87"/>
      <c r="O220" s="30" t="s">
        <v>2156</v>
      </c>
      <c r="P22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2831964</v>
      </c>
      <c r="Q22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2356722</v>
      </c>
      <c r="R22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2831964</v>
      </c>
      <c r="S220" s="72">
        <f>IF(AR_725[[#This Row],[PO Amount]]=0,1,AR_725[[#This Row],[Total AR (Sent)]]/AR_725[[#This Row],[PO Amount]])</f>
        <v>0.85485631769987014</v>
      </c>
      <c r="T220" s="73">
        <f>AR_725[[#This Row],[PO Amount]]-AR_725[[#This Row],[Total AR (Sent)]]</f>
        <v>480831.31000000006</v>
      </c>
      <c r="AT220" s="30"/>
      <c r="AU220" s="34"/>
      <c r="AV220" s="78"/>
      <c r="BY220" s="30"/>
      <c r="BZ220" s="40"/>
      <c r="CE220" s="116">
        <v>2356722</v>
      </c>
      <c r="CF220" s="38"/>
      <c r="CG220" s="116">
        <f>151825-151825</f>
        <v>0</v>
      </c>
      <c r="CI220" s="122"/>
      <c r="CJ220" s="30"/>
      <c r="CK220" s="122">
        <v>475242</v>
      </c>
      <c r="CL220" s="122">
        <v>0</v>
      </c>
      <c r="CM220" s="122">
        <v>0</v>
      </c>
      <c r="CN220" s="122">
        <v>0</v>
      </c>
      <c r="CO220" s="122">
        <f>SUMIFS(BB___HK___AMHS__Others[AR Amount],BB___HK___AMHS__Others[PO No.],AR_725[[#This Row],[tsmc PO '#]],BB___HK___AMHS__Others[Status],"&lt;&gt;Rejected",BB___HK___AMHS__Others[YearMonth],"2024-07")</f>
        <v>0</v>
      </c>
      <c r="CP220" s="122">
        <f>SUMIFS(BB___HK___AMHS__Others[Tax],BB___HK___AMHS__Others[PO No.],AR_725[[#This Row],[tsmc PO '#]],BB___HK___AMHS__Others[Status],"&lt;&gt;Rejected",BB___HK___AMHS__Others[YearMonth],"2024-07")</f>
        <v>0</v>
      </c>
      <c r="CQ220" s="34">
        <f>SUMIFS(BB___HK___AMHS__Others[AR Amount],BB___HK___AMHS__Others[PO No.],AR_725[[#This Row],[tsmc PO '#]],BB___HK___AMHS__Others[Status],"&lt;&gt;Rejected",BB___HK___AMHS__Others[YearMonth],"2024-08")</f>
        <v>0</v>
      </c>
      <c r="CR220" s="44">
        <f>SUMIFS(BB___HK___AMHS__Others[Tax],BB___HK___AMHS__Others[PO No.],AR_725[[#This Row],[tsmc PO '#]],BB___HK___AMHS__Others[Status],"&lt;&gt;Rejected",BB___HK___AMHS__Others[YearMonth],"2024-08")</f>
        <v>0</v>
      </c>
      <c r="CS220" s="62">
        <f>SUMIFS(BB___HK___AMHS__Others[AR Amount],BB___HK___AMHS__Others[PO No.],AR_725[[#This Row],[tsmc PO '#]],BB___HK___AMHS__Others[Status],"&lt;&gt;Rejected",BB___HK___AMHS__Others[YearMonth],"2024-09")</f>
        <v>0</v>
      </c>
      <c r="CT220" s="601">
        <f>SUMIFS(BB___HK___AMHS__Others[Tax],BB___HK___AMHS__Others[PO No.],AR_725[[#This Row],[tsmc PO '#]],BB___HK___AMHS__Others[Status],"&lt;&gt;Rejected",BB___HK___AMHS__Others[YearMonth],"2024-09")</f>
        <v>0</v>
      </c>
    </row>
    <row r="221" spans="1:98" ht="14.1" hidden="1">
      <c r="A221" s="30" t="s">
        <v>8</v>
      </c>
      <c r="B221" s="30" t="s">
        <v>8</v>
      </c>
      <c r="D221" s="50" t="s">
        <v>8</v>
      </c>
      <c r="E221" s="48" t="s">
        <v>2109</v>
      </c>
      <c r="F221" s="50" t="s">
        <v>2110</v>
      </c>
      <c r="G221" s="50" t="s">
        <v>1316</v>
      </c>
      <c r="H221" s="50">
        <v>4590015432</v>
      </c>
      <c r="I221" s="30" t="s">
        <v>300</v>
      </c>
      <c r="J221" s="30" t="s">
        <v>2237</v>
      </c>
      <c r="K221" s="62">
        <v>9259</v>
      </c>
      <c r="L221" s="30"/>
      <c r="M221" s="86" t="s">
        <v>2238</v>
      </c>
      <c r="N221" s="87"/>
      <c r="O221" s="30" t="s">
        <v>2156</v>
      </c>
      <c r="P22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9259</v>
      </c>
      <c r="Q22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9259</v>
      </c>
      <c r="R22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9259</v>
      </c>
      <c r="S221" s="72">
        <f>IF(AR_725[[#This Row],[PO Amount]]=0,1,AR_725[[#This Row],[Total AR (Sent)]]/AR_725[[#This Row],[PO Amount]])</f>
        <v>1</v>
      </c>
      <c r="T221" s="73">
        <f>AR_725[[#This Row],[PO Amount]]-AR_725[[#This Row],[Total AR (Sent)]]</f>
        <v>0</v>
      </c>
      <c r="AT221" s="30"/>
      <c r="AU221" s="34"/>
      <c r="AV221" s="78"/>
      <c r="BY221" s="30"/>
      <c r="BZ221" s="40"/>
      <c r="CG221" s="122">
        <f>SUMIFS(BB___HK___AMHS__Others[AR Amount],BB___HK___AMHS__Others[PO No.],AR_725[[#This Row],[tsmc PO '#]],BB___HK___AMHS__Others[Status],"&lt;&gt;Rejected",BB___HK___AMHS__Others[YearMonth],"2024-03")</f>
        <v>9259</v>
      </c>
      <c r="CI221" s="122">
        <f>SUMIFS(BB___HK___AMHS__Others[AR Amount],BB___HK___AMHS__Others[PO No.],AR_725[[#This Row],[tsmc PO '#]],BB___HK___AMHS__Others[Status],"&lt;&gt;Rejected",BB___HK___AMHS__Others[YearMonth],"2024-04")</f>
        <v>0</v>
      </c>
      <c r="CJ221" s="30"/>
      <c r="CK221" s="122">
        <v>0</v>
      </c>
      <c r="CL221" s="122">
        <v>0</v>
      </c>
      <c r="CM221" s="122">
        <v>0</v>
      </c>
      <c r="CN221" s="122">
        <v>0</v>
      </c>
      <c r="CO221" s="122">
        <f>SUMIFS(BB___HK___AMHS__Others[AR Amount],BB___HK___AMHS__Others[PO No.],AR_725[[#This Row],[tsmc PO '#]],BB___HK___AMHS__Others[Status],"&lt;&gt;Rejected",BB___HK___AMHS__Others[YearMonth],"2024-07")</f>
        <v>0</v>
      </c>
      <c r="CP221" s="122">
        <f>SUMIFS(BB___HK___AMHS__Others[Tax],BB___HK___AMHS__Others[PO No.],AR_725[[#This Row],[tsmc PO '#]],BB___HK___AMHS__Others[Status],"&lt;&gt;Rejected",BB___HK___AMHS__Others[YearMonth],"2024-07")</f>
        <v>0</v>
      </c>
      <c r="CQ221" s="34">
        <f>SUMIFS(BB___HK___AMHS__Others[AR Amount],BB___HK___AMHS__Others[PO No.],AR_725[[#This Row],[tsmc PO '#]],BB___HK___AMHS__Others[Status],"&lt;&gt;Rejected",BB___HK___AMHS__Others[YearMonth],"2024-08")</f>
        <v>0</v>
      </c>
      <c r="CR221" s="44">
        <f>SUMIFS(BB___HK___AMHS__Others[Tax],BB___HK___AMHS__Others[PO No.],AR_725[[#This Row],[tsmc PO '#]],BB___HK___AMHS__Others[Status],"&lt;&gt;Rejected",BB___HK___AMHS__Others[YearMonth],"2024-08")</f>
        <v>0</v>
      </c>
      <c r="CS221" s="62">
        <f>SUMIFS(BB___HK___AMHS__Others[AR Amount],BB___HK___AMHS__Others[PO No.],AR_725[[#This Row],[tsmc PO '#]],BB___HK___AMHS__Others[Status],"&lt;&gt;Rejected",BB___HK___AMHS__Others[YearMonth],"2024-09")</f>
        <v>0</v>
      </c>
      <c r="CT221" s="601">
        <f>SUMIFS(BB___HK___AMHS__Others[Tax],BB___HK___AMHS__Others[PO No.],AR_725[[#This Row],[tsmc PO '#]],BB___HK___AMHS__Others[Status],"&lt;&gt;Rejected",BB___HK___AMHS__Others[YearMonth],"2024-09")</f>
        <v>0</v>
      </c>
    </row>
    <row r="222" spans="1:98" ht="14.1">
      <c r="A222" s="30" t="s">
        <v>20</v>
      </c>
      <c r="B222" s="30" t="s">
        <v>2113</v>
      </c>
      <c r="D222" s="50"/>
      <c r="E222" s="30" t="s">
        <v>2126</v>
      </c>
      <c r="F222" s="50" t="s">
        <v>2126</v>
      </c>
      <c r="G222" s="50" t="s">
        <v>881</v>
      </c>
      <c r="H222" s="50">
        <v>4590015533</v>
      </c>
      <c r="I222" s="30" t="s">
        <v>361</v>
      </c>
      <c r="J222" s="30" t="s">
        <v>2239</v>
      </c>
      <c r="K222" s="62">
        <v>21440.6</v>
      </c>
      <c r="L222" s="30"/>
      <c r="M222" s="86" t="s">
        <v>2240</v>
      </c>
      <c r="N222" s="87"/>
      <c r="O222" s="30" t="s">
        <v>2156</v>
      </c>
      <c r="P22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21440.6</v>
      </c>
      <c r="Q22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2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222" s="72">
        <f>IF(AR_725[[#This Row],[PO Amount]]=0,1,AR_725[[#This Row],[Total AR (Sent)]]/AR_725[[#This Row],[PO Amount]])</f>
        <v>1</v>
      </c>
      <c r="T222" s="73">
        <f>AR_725[[#This Row],[PO Amount]]-AR_725[[#This Row],[Total AR (Sent)]]</f>
        <v>0</v>
      </c>
      <c r="AT222" s="30"/>
      <c r="AU222" s="34"/>
      <c r="AV222" s="78"/>
      <c r="BY222" s="30"/>
      <c r="BZ222" s="40"/>
      <c r="CG222" s="122"/>
      <c r="CI222" s="122"/>
      <c r="CJ222" s="30"/>
      <c r="CK222" s="122">
        <v>0</v>
      </c>
      <c r="CL222" s="122">
        <v>0</v>
      </c>
      <c r="CM222" s="122">
        <v>0</v>
      </c>
      <c r="CN222" s="122">
        <v>0</v>
      </c>
      <c r="CO222" s="122">
        <f>SUMIFS(BB___HK___AMHS__Others[AR Amount],BB___HK___AMHS__Others[PO No.],AR_725[[#This Row],[tsmc PO '#]],BB___HK___AMHS__Others[Status],"&lt;&gt;Rejected",BB___HK___AMHS__Others[YearMonth],"2024-07")</f>
        <v>0</v>
      </c>
      <c r="CP222" s="122">
        <f>SUMIFS(BB___HK___AMHS__Others[Tax],BB___HK___AMHS__Others[PO No.],AR_725[[#This Row],[tsmc PO '#]],BB___HK___AMHS__Others[Status],"&lt;&gt;Rejected",BB___HK___AMHS__Others[YearMonth],"2024-07")</f>
        <v>0</v>
      </c>
      <c r="CQ222" s="34">
        <f>SUMIFS(BB___HK___AMHS__Others[AR Amount],BB___HK___AMHS__Others[PO No.],AR_725[[#This Row],[tsmc PO '#]],BB___HK___AMHS__Others[Status],"&lt;&gt;Rejected",BB___HK___AMHS__Others[YearMonth],"2024-08")</f>
        <v>0</v>
      </c>
      <c r="CR222" s="44">
        <f>SUMIFS(BB___HK___AMHS__Others[Tax],BB___HK___AMHS__Others[PO No.],AR_725[[#This Row],[tsmc PO '#]],BB___HK___AMHS__Others[Status],"&lt;&gt;Rejected",BB___HK___AMHS__Others[YearMonth],"2024-08")</f>
        <v>0</v>
      </c>
      <c r="CS222" s="62">
        <f>SUMIFS(BB___HK___AMHS__Others[AR Amount],BB___HK___AMHS__Others[PO No.],AR_725[[#This Row],[tsmc PO '#]],BB___HK___AMHS__Others[Status],"&lt;&gt;Rejected",BB___HK___AMHS__Others[YearMonth],"2024-09")</f>
        <v>21440.6</v>
      </c>
      <c r="CT222" s="601">
        <f>SUMIFS(BB___HK___AMHS__Others[Tax],BB___HK___AMHS__Others[PO No.],AR_725[[#This Row],[tsmc PO '#]],BB___HK___AMHS__Others[Status],"&lt;&gt;Rejected",BB___HK___AMHS__Others[YearMonth],"2024-09")</f>
        <v>0</v>
      </c>
    </row>
    <row r="223" spans="1:98" ht="14.1" hidden="1">
      <c r="A223" s="30" t="s">
        <v>11</v>
      </c>
      <c r="B223" s="30" t="s">
        <v>2113</v>
      </c>
      <c r="D223" s="50"/>
      <c r="E223" s="50" t="s">
        <v>326</v>
      </c>
      <c r="F223" s="50"/>
      <c r="G223" s="50" t="s">
        <v>881</v>
      </c>
      <c r="H223" s="50">
        <v>4590015793</v>
      </c>
      <c r="I223" s="30" t="s">
        <v>880</v>
      </c>
      <c r="J223" s="30" t="s">
        <v>882</v>
      </c>
      <c r="K223" s="62">
        <v>60000</v>
      </c>
      <c r="L223" s="30"/>
      <c r="M223" s="50" t="s">
        <v>2241</v>
      </c>
      <c r="N223" s="87"/>
      <c r="O223" s="30" t="s">
        <v>2156</v>
      </c>
      <c r="P22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60000</v>
      </c>
      <c r="Q22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30000</v>
      </c>
      <c r="R22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60000</v>
      </c>
      <c r="S223" s="72">
        <f>IF(AR_725[[#This Row],[PO Amount]]=0,1,AR_725[[#This Row],[Total AR (Sent)]]/AR_725[[#This Row],[PO Amount]])</f>
        <v>1</v>
      </c>
      <c r="T223" s="73">
        <f>AR_725[[#This Row],[PO Amount]]-AR_725[[#This Row],[Total AR (Sent)]]</f>
        <v>0</v>
      </c>
      <c r="AT223" s="30"/>
      <c r="AU223" s="34"/>
      <c r="AV223" s="78"/>
      <c r="BY223" s="30"/>
      <c r="BZ223" s="40"/>
      <c r="CE223" s="117">
        <v>30000</v>
      </c>
      <c r="CG223" s="122"/>
      <c r="CI223" s="122"/>
      <c r="CJ223" s="30"/>
      <c r="CK223" s="122">
        <v>30000</v>
      </c>
      <c r="CL223" s="122">
        <v>0</v>
      </c>
      <c r="CM223" s="122">
        <v>0</v>
      </c>
      <c r="CN223" s="122">
        <v>0</v>
      </c>
      <c r="CO223" s="122">
        <f>SUMIFS(BB___HK___AMHS__Others[AR Amount],BB___HK___AMHS__Others[PO No.],AR_725[[#This Row],[tsmc PO '#]],BB___HK___AMHS__Others[Status],"&lt;&gt;Rejected",BB___HK___AMHS__Others[YearMonth],"2024-07")</f>
        <v>0</v>
      </c>
      <c r="CP223" s="122">
        <f>SUMIFS(BB___HK___AMHS__Others[Tax],BB___HK___AMHS__Others[PO No.],AR_725[[#This Row],[tsmc PO '#]],BB___HK___AMHS__Others[Status],"&lt;&gt;Rejected",BB___HK___AMHS__Others[YearMonth],"2024-07")</f>
        <v>0</v>
      </c>
      <c r="CQ223" s="34">
        <f>SUMIFS(BB___HK___AMHS__Others[AR Amount],BB___HK___AMHS__Others[PO No.],AR_725[[#This Row],[tsmc PO '#]],BB___HK___AMHS__Others[Status],"&lt;&gt;Rejected",BB___HK___AMHS__Others[YearMonth],"2024-08")</f>
        <v>0</v>
      </c>
      <c r="CR223" s="44">
        <f>SUMIFS(BB___HK___AMHS__Others[Tax],BB___HK___AMHS__Others[PO No.],AR_725[[#This Row],[tsmc PO '#]],BB___HK___AMHS__Others[Status],"&lt;&gt;Rejected",BB___HK___AMHS__Others[YearMonth],"2024-08")</f>
        <v>0</v>
      </c>
      <c r="CS223" s="62">
        <f>SUMIFS(BB___HK___AMHS__Others[AR Amount],BB___HK___AMHS__Others[PO No.],AR_725[[#This Row],[tsmc PO '#]],BB___HK___AMHS__Others[Status],"&lt;&gt;Rejected",BB___HK___AMHS__Others[YearMonth],"2024-09")</f>
        <v>0</v>
      </c>
      <c r="CT223" s="601">
        <f>SUMIFS(BB___HK___AMHS__Others[Tax],BB___HK___AMHS__Others[PO No.],AR_725[[#This Row],[tsmc PO '#]],BB___HK___AMHS__Others[Status],"&lt;&gt;Rejected",BB___HK___AMHS__Others[YearMonth],"2024-09")</f>
        <v>0</v>
      </c>
    </row>
    <row r="224" spans="1:98" ht="14.1" hidden="1">
      <c r="A224" s="30" t="s">
        <v>9</v>
      </c>
      <c r="B224" s="30" t="s">
        <v>2051</v>
      </c>
      <c r="C224" s="30" t="s">
        <v>2184</v>
      </c>
      <c r="D224" s="50" t="s">
        <v>1720</v>
      </c>
      <c r="E224" s="48" t="s">
        <v>2060</v>
      </c>
      <c r="F224" s="50" t="s">
        <v>2100</v>
      </c>
      <c r="G224" s="57" t="s">
        <v>937</v>
      </c>
      <c r="H224" s="50">
        <v>4590015828</v>
      </c>
      <c r="I224" s="30" t="s">
        <v>104</v>
      </c>
      <c r="J224" s="30" t="s">
        <v>938</v>
      </c>
      <c r="K224" s="62">
        <v>146982.97</v>
      </c>
      <c r="L224" s="30"/>
      <c r="M224" s="50" t="s">
        <v>2242</v>
      </c>
      <c r="N224" s="87"/>
      <c r="O224" s="30" t="s">
        <v>2156</v>
      </c>
      <c r="P22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146982.97</v>
      </c>
      <c r="Q22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139633.82</v>
      </c>
      <c r="R22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146982.97</v>
      </c>
      <c r="S224" s="72">
        <f>IF(AR_725[[#This Row],[PO Amount]]=0,1,AR_725[[#This Row],[Total AR (Sent)]]/AR_725[[#This Row],[PO Amount]])</f>
        <v>1</v>
      </c>
      <c r="T224" s="73">
        <f>AR_725[[#This Row],[PO Amount]]-AR_725[[#This Row],[Total AR (Sent)]]</f>
        <v>0</v>
      </c>
      <c r="AT224" s="30"/>
      <c r="AU224" s="40"/>
      <c r="AV224" s="78"/>
      <c r="BY224" s="30"/>
      <c r="BZ224" s="40"/>
      <c r="CG224" s="116">
        <f>139633.82</f>
        <v>139633.82</v>
      </c>
      <c r="CH224" s="330">
        <f>7805.53</f>
        <v>7805.53</v>
      </c>
      <c r="CI224" s="122"/>
      <c r="CJ224" s="30"/>
      <c r="CK224" s="122">
        <v>7349.15</v>
      </c>
      <c r="CL224" s="122">
        <v>410.82</v>
      </c>
      <c r="CM224" s="122">
        <v>0</v>
      </c>
      <c r="CN224" s="122">
        <v>0</v>
      </c>
      <c r="CO224" s="122">
        <f>SUMIFS(BB___HK___AMHS__Others[AR Amount],BB___HK___AMHS__Others[PO No.],AR_725[[#This Row],[tsmc PO '#]],BB___HK___AMHS__Others[Status],"&lt;&gt;Rejected",BB___HK___AMHS__Others[YearMonth],"2024-07")</f>
        <v>0</v>
      </c>
      <c r="CP224" s="122">
        <f>SUMIFS(BB___HK___AMHS__Others[Tax],BB___HK___AMHS__Others[PO No.],AR_725[[#This Row],[tsmc PO '#]],BB___HK___AMHS__Others[Status],"&lt;&gt;Rejected",BB___HK___AMHS__Others[YearMonth],"2024-07")</f>
        <v>0</v>
      </c>
      <c r="CQ224" s="34">
        <f>SUMIFS(BB___HK___AMHS__Others[AR Amount],BB___HK___AMHS__Others[PO No.],AR_725[[#This Row],[tsmc PO '#]],BB___HK___AMHS__Others[Status],"&lt;&gt;Rejected",BB___HK___AMHS__Others[YearMonth],"2024-08")</f>
        <v>0</v>
      </c>
      <c r="CR224" s="44">
        <f>SUMIFS(BB___HK___AMHS__Others[Tax],BB___HK___AMHS__Others[PO No.],AR_725[[#This Row],[tsmc PO '#]],BB___HK___AMHS__Others[Status],"&lt;&gt;Rejected",BB___HK___AMHS__Others[YearMonth],"2024-08")</f>
        <v>0</v>
      </c>
      <c r="CS224" s="62">
        <f>SUMIFS(BB___HK___AMHS__Others[AR Amount],BB___HK___AMHS__Others[PO No.],AR_725[[#This Row],[tsmc PO '#]],BB___HK___AMHS__Others[Status],"&lt;&gt;Rejected",BB___HK___AMHS__Others[YearMonth],"2024-09")</f>
        <v>0</v>
      </c>
      <c r="CT224" s="601">
        <f>SUMIFS(BB___HK___AMHS__Others[Tax],BB___HK___AMHS__Others[PO No.],AR_725[[#This Row],[tsmc PO '#]],BB___HK___AMHS__Others[Status],"&lt;&gt;Rejected",BB___HK___AMHS__Others[YearMonth],"2024-09")</f>
        <v>0</v>
      </c>
    </row>
    <row r="225" spans="1:98" ht="14.1" hidden="1">
      <c r="A225" s="30" t="s">
        <v>13</v>
      </c>
      <c r="B225" s="30" t="s">
        <v>13</v>
      </c>
      <c r="D225" s="50"/>
      <c r="E225" s="57" t="s">
        <v>2243</v>
      </c>
      <c r="F225" s="57"/>
      <c r="G225" s="57" t="s">
        <v>54</v>
      </c>
      <c r="H225" s="50">
        <v>4590015933</v>
      </c>
      <c r="I225" s="30" t="s">
        <v>222</v>
      </c>
      <c r="J225" s="30" t="s">
        <v>2244</v>
      </c>
      <c r="K225" s="46">
        <v>204832.03</v>
      </c>
      <c r="L225" s="30"/>
      <c r="M225" s="86" t="s">
        <v>2245</v>
      </c>
      <c r="N225" s="87"/>
      <c r="O225" s="88" t="s">
        <v>2156</v>
      </c>
      <c r="P22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204832.03</v>
      </c>
      <c r="Q22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2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204832.03</v>
      </c>
      <c r="S225" s="72">
        <f>IF(AR_725[[#This Row],[PO Amount]]=0,1,AR_725[[#This Row],[Total AR (Sent)]]/AR_725[[#This Row],[PO Amount]])</f>
        <v>1</v>
      </c>
      <c r="T225" s="45">
        <f>AR_725[[#This Row],[PO Amount]]-AR_725[[#This Row],[Total AR (Sent)]]</f>
        <v>0</v>
      </c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34"/>
      <c r="AS225" s="40"/>
      <c r="AU225" s="40"/>
      <c r="AV225" s="34"/>
      <c r="AW225" s="40"/>
      <c r="AX225" s="34"/>
      <c r="AY225" s="40"/>
      <c r="AZ225" s="34"/>
      <c r="BA225" s="40"/>
      <c r="BB225" s="34"/>
      <c r="BC225" s="40"/>
      <c r="BD225" s="40"/>
      <c r="BE225" s="40"/>
      <c r="BF225" s="40"/>
      <c r="BG225" s="40"/>
      <c r="BH225" s="40"/>
      <c r="BI225" s="40"/>
      <c r="BJ225" s="40"/>
      <c r="BK225" s="40"/>
      <c r="BL225" s="34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Z225" s="40"/>
      <c r="CA225" s="40"/>
      <c r="CB225" s="40"/>
      <c r="CC225" s="40"/>
      <c r="CD225" s="34"/>
      <c r="CE225" s="34"/>
      <c r="CF225" s="34"/>
      <c r="CG225" s="122"/>
      <c r="CI225" s="122"/>
      <c r="CJ225" s="30"/>
      <c r="CK225" s="122">
        <v>204832.03</v>
      </c>
      <c r="CL225" s="122">
        <v>0</v>
      </c>
      <c r="CM225" s="122">
        <v>0</v>
      </c>
      <c r="CN225" s="122">
        <v>0</v>
      </c>
      <c r="CO225" s="122">
        <f>SUMIFS(BB___HK___AMHS__Others[AR Amount],BB___HK___AMHS__Others[PO No.],AR_725[[#This Row],[tsmc PO '#]],BB___HK___AMHS__Others[Status],"&lt;&gt;Rejected",BB___HK___AMHS__Others[YearMonth],"2024-07")</f>
        <v>0</v>
      </c>
      <c r="CP225" s="122">
        <f>SUMIFS(BB___HK___AMHS__Others[Tax],BB___HK___AMHS__Others[PO No.],AR_725[[#This Row],[tsmc PO '#]],BB___HK___AMHS__Others[Status],"&lt;&gt;Rejected",BB___HK___AMHS__Others[YearMonth],"2024-07")</f>
        <v>0</v>
      </c>
      <c r="CQ225" s="34">
        <f>SUMIFS(BB___HK___AMHS__Others[AR Amount],BB___HK___AMHS__Others[PO No.],AR_725[[#This Row],[tsmc PO '#]],BB___HK___AMHS__Others[Status],"&lt;&gt;Rejected",BB___HK___AMHS__Others[YearMonth],"2024-08")</f>
        <v>0</v>
      </c>
      <c r="CR225" s="44">
        <f>SUMIFS(BB___HK___AMHS__Others[Tax],BB___HK___AMHS__Others[PO No.],AR_725[[#This Row],[tsmc PO '#]],BB___HK___AMHS__Others[Status],"&lt;&gt;Rejected",BB___HK___AMHS__Others[YearMonth],"2024-08")</f>
        <v>0</v>
      </c>
      <c r="CS225" s="62">
        <f>SUMIFS(BB___HK___AMHS__Others[AR Amount],BB___HK___AMHS__Others[PO No.],AR_725[[#This Row],[tsmc PO '#]],BB___HK___AMHS__Others[Status],"&lt;&gt;Rejected",BB___HK___AMHS__Others[YearMonth],"2024-09")</f>
        <v>0</v>
      </c>
      <c r="CT225" s="601">
        <f>SUMIFS(BB___HK___AMHS__Others[Tax],BB___HK___AMHS__Others[PO No.],AR_725[[#This Row],[tsmc PO '#]],BB___HK___AMHS__Others[Status],"&lt;&gt;Rejected",BB___HK___AMHS__Others[YearMonth],"2024-09")</f>
        <v>0</v>
      </c>
    </row>
    <row r="226" spans="1:98" ht="14.1">
      <c r="A226" s="30" t="s">
        <v>13</v>
      </c>
      <c r="B226" s="30" t="s">
        <v>13</v>
      </c>
      <c r="D226" s="50"/>
      <c r="E226" s="603" t="s">
        <v>2243</v>
      </c>
      <c r="F226" s="57"/>
      <c r="G226" s="57" t="s">
        <v>54</v>
      </c>
      <c r="H226" s="50">
        <v>4590015934</v>
      </c>
      <c r="I226" s="30" t="s">
        <v>222</v>
      </c>
      <c r="J226" s="30" t="s">
        <v>1364</v>
      </c>
      <c r="K226" s="46">
        <v>379624.13</v>
      </c>
      <c r="L226" s="30"/>
      <c r="M226" s="86">
        <v>45351</v>
      </c>
      <c r="N226" s="87"/>
      <c r="O226" s="88" t="s">
        <v>2156</v>
      </c>
      <c r="P22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107954.2</v>
      </c>
      <c r="Q22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2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90776.65</v>
      </c>
      <c r="S226" s="72">
        <f>IF(AR_725[[#This Row],[PO Amount]]=0,1,AR_725[[#This Row],[Total AR (Sent)]]/AR_725[[#This Row],[PO Amount]])</f>
        <v>0.28437128061380079</v>
      </c>
      <c r="T226" s="45">
        <f>AR_725[[#This Row],[PO Amount]]-AR_725[[#This Row],[Total AR (Sent)]]</f>
        <v>271669.93</v>
      </c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34"/>
      <c r="AS226" s="40"/>
      <c r="AU226" s="40"/>
      <c r="AV226" s="34"/>
      <c r="AW226" s="40"/>
      <c r="AX226" s="34"/>
      <c r="AY226" s="40"/>
      <c r="AZ226" s="34"/>
      <c r="BA226" s="40"/>
      <c r="BB226" s="34"/>
      <c r="BC226" s="40"/>
      <c r="BD226" s="40"/>
      <c r="BE226" s="40"/>
      <c r="BF226" s="40"/>
      <c r="BG226" s="40"/>
      <c r="BH226" s="40"/>
      <c r="BI226" s="40"/>
      <c r="BJ226" s="40"/>
      <c r="BK226" s="40"/>
      <c r="BL226" s="34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Z226" s="40"/>
      <c r="CA226" s="40"/>
      <c r="CB226" s="40"/>
      <c r="CC226" s="40"/>
      <c r="CD226" s="34"/>
      <c r="CE226" s="34"/>
      <c r="CF226" s="34"/>
      <c r="CG226" s="122"/>
      <c r="CI226" s="122"/>
      <c r="CJ226" s="30"/>
      <c r="CK226" s="122">
        <v>0</v>
      </c>
      <c r="CL226" s="122">
        <v>0</v>
      </c>
      <c r="CM226" s="122">
        <v>75924.83</v>
      </c>
      <c r="CN226" s="122">
        <v>0</v>
      </c>
      <c r="CO226" s="34">
        <f>SUMIFS(BB___HK___AMHS__Others[AR Amount],BB___HK___AMHS__Others[PO No.],AR_725[[#This Row],[tsmc PO '#]],BB___HK___AMHS__Others[Status],"&lt;&gt;Rejected",BB___HK___AMHS__Others[YearMonth],"2024-07")</f>
        <v>0</v>
      </c>
      <c r="CP226" s="122">
        <f>SUMIFS(BB___HK___AMHS__Others[Tax],BB___HK___AMHS__Others[PO No.],AR_725[[#This Row],[tsmc PO '#]],BB___HK___AMHS__Others[Status],"&lt;&gt;Rejected",BB___HK___AMHS__Others[YearMonth],"2024-07")</f>
        <v>0</v>
      </c>
      <c r="CQ226" s="34">
        <f>SUMIFS(BB___HK___AMHS__Others[AR Amount],BB___HK___AMHS__Others[PO No.],AR_725[[#This Row],[tsmc PO '#]],BB___HK___AMHS__Others[Status],"&lt;&gt;Rejected",BB___HK___AMHS__Others[YearMonth],"2024-08")</f>
        <v>14851.82</v>
      </c>
      <c r="CR226" s="44">
        <f>SUMIFS(BB___HK___AMHS__Others[Tax],BB___HK___AMHS__Others[PO No.],AR_725[[#This Row],[tsmc PO '#]],BB___HK___AMHS__Others[Status],"&lt;&gt;Rejected",BB___HK___AMHS__Others[YearMonth],"2024-08")</f>
        <v>0</v>
      </c>
      <c r="CS226" s="62">
        <f>SUMIFS(BB___HK___AMHS__Others[AR Amount],BB___HK___AMHS__Others[PO No.],AR_725[[#This Row],[tsmc PO '#]],BB___HK___AMHS__Others[Status],"&lt;&gt;Rejected",BB___HK___AMHS__Others[YearMonth],"2024-09")</f>
        <v>17177.55</v>
      </c>
      <c r="CT226" s="601">
        <f>SUMIFS(BB___HK___AMHS__Others[Tax],BB___HK___AMHS__Others[PO No.],AR_725[[#This Row],[tsmc PO '#]],BB___HK___AMHS__Others[Status],"&lt;&gt;Rejected",BB___HK___AMHS__Others[YearMonth],"2024-09")</f>
        <v>0</v>
      </c>
    </row>
    <row r="227" spans="1:98" ht="14.1" hidden="1">
      <c r="A227" s="30" t="s">
        <v>13</v>
      </c>
      <c r="B227" s="30" t="s">
        <v>13</v>
      </c>
      <c r="D227" s="50"/>
      <c r="E227" s="57" t="s">
        <v>2206</v>
      </c>
      <c r="F227" s="48"/>
      <c r="G227" s="48" t="s">
        <v>54</v>
      </c>
      <c r="H227" s="50">
        <v>4590015978</v>
      </c>
      <c r="I227" s="30" t="s">
        <v>537</v>
      </c>
      <c r="J227" s="30" t="s">
        <v>970</v>
      </c>
      <c r="K227" s="46">
        <v>400707</v>
      </c>
      <c r="L227" s="30"/>
      <c r="M227" s="86">
        <v>45352</v>
      </c>
      <c r="N227" s="87"/>
      <c r="O227" s="88" t="s">
        <v>2156</v>
      </c>
      <c r="P22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400707</v>
      </c>
      <c r="Q22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400707</v>
      </c>
      <c r="R22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400707</v>
      </c>
      <c r="S227" s="72">
        <f>IF(AR_725[[#This Row],[PO Amount]]=0,1,AR_725[[#This Row],[Total AR (Sent)]]/AR_725[[#This Row],[PO Amount]])</f>
        <v>1</v>
      </c>
      <c r="T227" s="45">
        <f>AR_725[[#This Row],[PO Amount]]-AR_725[[#This Row],[Total AR (Sent)]]</f>
        <v>0</v>
      </c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34"/>
      <c r="AJ227" s="34"/>
      <c r="AK227" s="34"/>
      <c r="AL227" s="40"/>
      <c r="AM227" s="40"/>
      <c r="AN227" s="40"/>
      <c r="AO227" s="40"/>
      <c r="AP227" s="40"/>
      <c r="AQ227" s="40"/>
      <c r="AR227" s="34"/>
      <c r="AS227" s="40"/>
      <c r="AU227" s="40"/>
      <c r="AV227" s="34"/>
      <c r="AW227" s="40"/>
      <c r="AX227" s="34"/>
      <c r="AY227" s="40"/>
      <c r="AZ227" s="34"/>
      <c r="BA227" s="40"/>
      <c r="BB227" s="34"/>
      <c r="BC227" s="40"/>
      <c r="BD227" s="40"/>
      <c r="BE227" s="40"/>
      <c r="BF227" s="40"/>
      <c r="BG227" s="40"/>
      <c r="BH227" s="40"/>
      <c r="BI227" s="40"/>
      <c r="BJ227" s="40"/>
      <c r="BK227" s="40"/>
      <c r="BL227" s="34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Z227" s="40"/>
      <c r="CA227" s="40"/>
      <c r="CB227" s="40"/>
      <c r="CC227" s="40"/>
      <c r="CD227" s="34"/>
      <c r="CE227" s="34"/>
      <c r="CF227" s="34"/>
      <c r="CG227" s="122">
        <v>400707</v>
      </c>
      <c r="CI227" s="122"/>
      <c r="CJ227" s="30"/>
      <c r="CK227" s="122">
        <v>0</v>
      </c>
      <c r="CL227" s="122">
        <v>0</v>
      </c>
      <c r="CM227" s="122">
        <v>0</v>
      </c>
      <c r="CN227" s="122">
        <v>0</v>
      </c>
      <c r="CO227" s="122">
        <f>SUMIFS(BB___HK___AMHS__Others[AR Amount],BB___HK___AMHS__Others[PO No.],AR_725[[#This Row],[tsmc PO '#]],BB___HK___AMHS__Others[Status],"&lt;&gt;Rejected",BB___HK___AMHS__Others[YearMonth],"2024-07")</f>
        <v>0</v>
      </c>
      <c r="CP227" s="122">
        <f>SUMIFS(BB___HK___AMHS__Others[Tax],BB___HK___AMHS__Others[PO No.],AR_725[[#This Row],[tsmc PO '#]],BB___HK___AMHS__Others[Status],"&lt;&gt;Rejected",BB___HK___AMHS__Others[YearMonth],"2024-07")</f>
        <v>0</v>
      </c>
      <c r="CQ227" s="34">
        <f>SUMIFS(BB___HK___AMHS__Others[AR Amount],BB___HK___AMHS__Others[PO No.],AR_725[[#This Row],[tsmc PO '#]],BB___HK___AMHS__Others[Status],"&lt;&gt;Rejected",BB___HK___AMHS__Others[YearMonth],"2024-08")</f>
        <v>0</v>
      </c>
      <c r="CR227" s="44">
        <f>SUMIFS(BB___HK___AMHS__Others[Tax],BB___HK___AMHS__Others[PO No.],AR_725[[#This Row],[tsmc PO '#]],BB___HK___AMHS__Others[Status],"&lt;&gt;Rejected",BB___HK___AMHS__Others[YearMonth],"2024-08")</f>
        <v>0</v>
      </c>
      <c r="CS227" s="62">
        <f>SUMIFS(BB___HK___AMHS__Others[AR Amount],BB___HK___AMHS__Others[PO No.],AR_725[[#This Row],[tsmc PO '#]],BB___HK___AMHS__Others[Status],"&lt;&gt;Rejected",BB___HK___AMHS__Others[YearMonth],"2024-09")</f>
        <v>0</v>
      </c>
      <c r="CT227" s="601">
        <f>SUMIFS(BB___HK___AMHS__Others[Tax],BB___HK___AMHS__Others[PO No.],AR_725[[#This Row],[tsmc PO '#]],BB___HK___AMHS__Others[Status],"&lt;&gt;Rejected",BB___HK___AMHS__Others[YearMonth],"2024-09")</f>
        <v>0</v>
      </c>
    </row>
    <row r="228" spans="1:98" ht="14.1" hidden="1">
      <c r="A228" s="30" t="s">
        <v>11</v>
      </c>
      <c r="B228" s="30" t="s">
        <v>2246</v>
      </c>
      <c r="D228" s="50" t="s">
        <v>1546</v>
      </c>
      <c r="E228" s="105" t="s">
        <v>2052</v>
      </c>
      <c r="F228" s="48"/>
      <c r="G228" s="57" t="s">
        <v>1002</v>
      </c>
      <c r="H228" s="50">
        <v>4590016125</v>
      </c>
      <c r="I228" s="30" t="s">
        <v>584</v>
      </c>
      <c r="J228" s="30" t="s">
        <v>1003</v>
      </c>
      <c r="K228" s="46">
        <v>104491.39</v>
      </c>
      <c r="L228" s="30"/>
      <c r="M228" s="86">
        <v>45359</v>
      </c>
      <c r="N228" s="87"/>
      <c r="O228" s="88" t="s">
        <v>2160</v>
      </c>
      <c r="P22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104491.39</v>
      </c>
      <c r="Q22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104491.39</v>
      </c>
      <c r="R22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104491.39</v>
      </c>
      <c r="S228" s="72">
        <f>IF(AR_725[[#This Row],[PO Amount]]=0,1,AR_725[[#This Row],[Total AR (Sent)]]/AR_725[[#This Row],[PO Amount]])</f>
        <v>1</v>
      </c>
      <c r="T228" s="45">
        <f>AR_725[[#This Row],[PO Amount]]-AR_725[[#This Row],[Total AR (Sent)]]</f>
        <v>0</v>
      </c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34"/>
      <c r="AK228" s="40"/>
      <c r="AL228" s="40"/>
      <c r="AM228" s="40"/>
      <c r="AN228" s="40"/>
      <c r="AO228" s="40"/>
      <c r="AP228" s="40"/>
      <c r="AQ228" s="40"/>
      <c r="AR228" s="34"/>
      <c r="AS228" s="40"/>
      <c r="AU228" s="40"/>
      <c r="AV228" s="34"/>
      <c r="AW228" s="40"/>
      <c r="AX228" s="34"/>
      <c r="AY228" s="40"/>
      <c r="AZ228" s="34"/>
      <c r="BA228" s="40"/>
      <c r="BB228" s="34"/>
      <c r="BC228" s="40"/>
      <c r="BD228" s="40"/>
      <c r="BE228" s="40"/>
      <c r="BF228" s="40"/>
      <c r="BG228" s="40"/>
      <c r="BH228" s="40"/>
      <c r="BI228" s="40"/>
      <c r="BJ228" s="40"/>
      <c r="BK228" s="40"/>
      <c r="BL228" s="34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Z228" s="40"/>
      <c r="CA228" s="40"/>
      <c r="CB228" s="40"/>
      <c r="CC228" s="40"/>
      <c r="CD228" s="34"/>
      <c r="CE228" s="34"/>
      <c r="CF228" s="34"/>
      <c r="CG228" s="125">
        <v>104491.39</v>
      </c>
      <c r="CI228" s="122"/>
      <c r="CJ228" s="30"/>
      <c r="CK228" s="122">
        <v>0</v>
      </c>
      <c r="CL228" s="122">
        <v>0</v>
      </c>
      <c r="CM228" s="122">
        <v>0</v>
      </c>
      <c r="CN228" s="122">
        <v>0</v>
      </c>
      <c r="CO228" s="122">
        <f>SUMIFS(BB___HK___AMHS__Others[AR Amount],BB___HK___AMHS__Others[PO No.],AR_725[[#This Row],[tsmc PO '#]],BB___HK___AMHS__Others[Status],"&lt;&gt;Rejected",BB___HK___AMHS__Others[YearMonth],"2024-07")</f>
        <v>0</v>
      </c>
      <c r="CP228" s="122">
        <f>SUMIFS(BB___HK___AMHS__Others[Tax],BB___HK___AMHS__Others[PO No.],AR_725[[#This Row],[tsmc PO '#]],BB___HK___AMHS__Others[Status],"&lt;&gt;Rejected",BB___HK___AMHS__Others[YearMonth],"2024-07")</f>
        <v>0</v>
      </c>
      <c r="CQ228" s="34">
        <f>SUMIFS(BB___HK___AMHS__Others[AR Amount],BB___HK___AMHS__Others[PO No.],AR_725[[#This Row],[tsmc PO '#]],BB___HK___AMHS__Others[Status],"&lt;&gt;Rejected",BB___HK___AMHS__Others[YearMonth],"2024-08")</f>
        <v>0</v>
      </c>
      <c r="CR228" s="44">
        <f>SUMIFS(BB___HK___AMHS__Others[Tax],BB___HK___AMHS__Others[PO No.],AR_725[[#This Row],[tsmc PO '#]],BB___HK___AMHS__Others[Status],"&lt;&gt;Rejected",BB___HK___AMHS__Others[YearMonth],"2024-08")</f>
        <v>0</v>
      </c>
      <c r="CS228" s="62">
        <f>SUMIFS(BB___HK___AMHS__Others[AR Amount],BB___HK___AMHS__Others[PO No.],AR_725[[#This Row],[tsmc PO '#]],BB___HK___AMHS__Others[Status],"&lt;&gt;Rejected",BB___HK___AMHS__Others[YearMonth],"2024-09")</f>
        <v>0</v>
      </c>
      <c r="CT228" s="601">
        <f>SUMIFS(BB___HK___AMHS__Others[Tax],BB___HK___AMHS__Others[PO No.],AR_725[[#This Row],[tsmc PO '#]],BB___HK___AMHS__Others[Status],"&lt;&gt;Rejected",BB___HK___AMHS__Others[YearMonth],"2024-09")</f>
        <v>0</v>
      </c>
    </row>
    <row r="229" spans="1:98" ht="14.1" hidden="1">
      <c r="A229" s="30" t="s">
        <v>13</v>
      </c>
      <c r="B229" s="30" t="s">
        <v>13</v>
      </c>
      <c r="D229" s="50"/>
      <c r="E229" s="603" t="s">
        <v>2126</v>
      </c>
      <c r="F229" s="57"/>
      <c r="G229" s="57" t="s">
        <v>54</v>
      </c>
      <c r="H229" s="50">
        <v>4590016141</v>
      </c>
      <c r="I229" s="30" t="s">
        <v>946</v>
      </c>
      <c r="J229" s="30" t="s">
        <v>2247</v>
      </c>
      <c r="K229" s="46">
        <v>799388</v>
      </c>
      <c r="L229" s="30"/>
      <c r="M229" s="86">
        <v>45359</v>
      </c>
      <c r="N229" s="87"/>
      <c r="O229" s="88" t="s">
        <v>2156</v>
      </c>
      <c r="P22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152507</v>
      </c>
      <c r="Q22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2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152507</v>
      </c>
      <c r="S229" s="72">
        <f>IF(AR_725[[#This Row],[PO Amount]]=0,1,AR_725[[#This Row],[Total AR (Sent)]]/AR_725[[#This Row],[PO Amount]])</f>
        <v>0.19077969646779785</v>
      </c>
      <c r="T229" s="45">
        <f>AR_725[[#This Row],[PO Amount]]-AR_725[[#This Row],[Total AR (Sent)]]</f>
        <v>646881</v>
      </c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34"/>
      <c r="AS229" s="40"/>
      <c r="AU229" s="40"/>
      <c r="AV229" s="34"/>
      <c r="AW229" s="40"/>
      <c r="AX229" s="34"/>
      <c r="AY229" s="40"/>
      <c r="AZ229" s="34"/>
      <c r="BA229" s="40"/>
      <c r="BB229" s="34"/>
      <c r="BC229" s="40"/>
      <c r="BD229" s="40"/>
      <c r="BE229" s="40"/>
      <c r="BF229" s="40"/>
      <c r="BG229" s="40"/>
      <c r="BH229" s="40"/>
      <c r="BI229" s="40"/>
      <c r="BJ229" s="40"/>
      <c r="BK229" s="40"/>
      <c r="BL229" s="34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  <c r="BZ229" s="40"/>
      <c r="CA229" s="40"/>
      <c r="CB229" s="40"/>
      <c r="CC229" s="40"/>
      <c r="CD229" s="34"/>
      <c r="CE229" s="34"/>
      <c r="CF229" s="34"/>
      <c r="CG229" s="122"/>
      <c r="CI229" s="122"/>
      <c r="CJ229" s="30"/>
      <c r="CK229" s="122">
        <v>0</v>
      </c>
      <c r="CL229" s="122">
        <v>0</v>
      </c>
      <c r="CM229" s="122">
        <v>152507</v>
      </c>
      <c r="CN229" s="122">
        <v>0</v>
      </c>
      <c r="CO229" s="122">
        <f>SUMIFS(BB___HK___AMHS__Others[AR Amount],BB___HK___AMHS__Others[PO No.],AR_725[[#This Row],[tsmc PO '#]],BB___HK___AMHS__Others[Status],"&lt;&gt;Rejected",BB___HK___AMHS__Others[YearMonth],"2024-07")</f>
        <v>0</v>
      </c>
      <c r="CP229" s="122">
        <f>SUMIFS(BB___HK___AMHS__Others[Tax],BB___HK___AMHS__Others[PO No.],AR_725[[#This Row],[tsmc PO '#]],BB___HK___AMHS__Others[Status],"&lt;&gt;Rejected",BB___HK___AMHS__Others[YearMonth],"2024-07")</f>
        <v>0</v>
      </c>
      <c r="CQ229" s="34">
        <f>SUMIFS(BB___HK___AMHS__Others[AR Amount],BB___HK___AMHS__Others[PO No.],AR_725[[#This Row],[tsmc PO '#]],BB___HK___AMHS__Others[Status],"&lt;&gt;Rejected",BB___HK___AMHS__Others[YearMonth],"2024-08")</f>
        <v>0</v>
      </c>
      <c r="CR229" s="44">
        <f>SUMIFS(BB___HK___AMHS__Others[Tax],BB___HK___AMHS__Others[PO No.],AR_725[[#This Row],[tsmc PO '#]],BB___HK___AMHS__Others[Status],"&lt;&gt;Rejected",BB___HK___AMHS__Others[YearMonth],"2024-08")</f>
        <v>0</v>
      </c>
      <c r="CS229" s="62">
        <f>SUMIFS(BB___HK___AMHS__Others[AR Amount],BB___HK___AMHS__Others[PO No.],AR_725[[#This Row],[tsmc PO '#]],BB___HK___AMHS__Others[Status],"&lt;&gt;Rejected",BB___HK___AMHS__Others[YearMonth],"2024-09")</f>
        <v>0</v>
      </c>
      <c r="CT229" s="601">
        <f>SUMIFS(BB___HK___AMHS__Others[Tax],BB___HK___AMHS__Others[PO No.],AR_725[[#This Row],[tsmc PO '#]],BB___HK___AMHS__Others[Status],"&lt;&gt;Rejected",BB___HK___AMHS__Others[YearMonth],"2024-09")</f>
        <v>0</v>
      </c>
    </row>
    <row r="230" spans="1:98" ht="14.1" hidden="1">
      <c r="A230" s="30" t="s">
        <v>13</v>
      </c>
      <c r="B230" s="30" t="s">
        <v>13</v>
      </c>
      <c r="D230" s="50"/>
      <c r="E230" s="603" t="s">
        <v>2126</v>
      </c>
      <c r="F230" s="57"/>
      <c r="G230" s="57" t="s">
        <v>54</v>
      </c>
      <c r="H230" s="50">
        <v>4590016142</v>
      </c>
      <c r="I230" s="30" t="s">
        <v>361</v>
      </c>
      <c r="J230" s="30" t="s">
        <v>2248</v>
      </c>
      <c r="K230" s="46">
        <v>225800.25</v>
      </c>
      <c r="L230" s="30"/>
      <c r="M230" s="86">
        <v>45359</v>
      </c>
      <c r="N230" s="87"/>
      <c r="O230" s="88" t="s">
        <v>2156</v>
      </c>
      <c r="P23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23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3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230" s="72">
        <f>IF(AR_725[[#This Row],[PO Amount]]=0,1,AR_725[[#This Row],[Total AR (Sent)]]/AR_725[[#This Row],[PO Amount]])</f>
        <v>0</v>
      </c>
      <c r="T230" s="45">
        <f>AR_725[[#This Row],[PO Amount]]-AR_725[[#This Row],[Total AR (Sent)]]</f>
        <v>225800.25</v>
      </c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34"/>
      <c r="AS230" s="40"/>
      <c r="AU230" s="40"/>
      <c r="AV230" s="34"/>
      <c r="AW230" s="40"/>
      <c r="AX230" s="34"/>
      <c r="AY230" s="40"/>
      <c r="AZ230" s="34"/>
      <c r="BA230" s="40"/>
      <c r="BB230" s="34"/>
      <c r="BC230" s="40"/>
      <c r="BD230" s="40"/>
      <c r="BE230" s="40"/>
      <c r="BF230" s="40"/>
      <c r="BG230" s="40"/>
      <c r="BH230" s="40"/>
      <c r="BI230" s="40"/>
      <c r="BJ230" s="40"/>
      <c r="BK230" s="40"/>
      <c r="BL230" s="34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  <c r="BW230" s="40"/>
      <c r="BX230" s="40"/>
      <c r="BZ230" s="40"/>
      <c r="CA230" s="40"/>
      <c r="CB230" s="40"/>
      <c r="CC230" s="40"/>
      <c r="CD230" s="34"/>
      <c r="CE230" s="34"/>
      <c r="CF230" s="34"/>
      <c r="CG230" s="122"/>
      <c r="CI230" s="122"/>
      <c r="CJ230" s="30"/>
      <c r="CK230" s="122">
        <v>0</v>
      </c>
      <c r="CL230" s="122">
        <v>0</v>
      </c>
      <c r="CM230" s="122">
        <v>0</v>
      </c>
      <c r="CN230" s="122">
        <v>0</v>
      </c>
      <c r="CO230" s="122">
        <f>SUMIFS(BB___HK___AMHS__Others[AR Amount],BB___HK___AMHS__Others[PO No.],AR_725[[#This Row],[tsmc PO '#]],BB___HK___AMHS__Others[Status],"&lt;&gt;Rejected",BB___HK___AMHS__Others[YearMonth],"2024-07")</f>
        <v>0</v>
      </c>
      <c r="CP230" s="122">
        <f>SUMIFS(BB___HK___AMHS__Others[Tax],BB___HK___AMHS__Others[PO No.],AR_725[[#This Row],[tsmc PO '#]],BB___HK___AMHS__Others[Status],"&lt;&gt;Rejected",BB___HK___AMHS__Others[YearMonth],"2024-07")</f>
        <v>0</v>
      </c>
      <c r="CQ230" s="34">
        <f>SUMIFS(BB___HK___AMHS__Others[AR Amount],BB___HK___AMHS__Others[PO No.],AR_725[[#This Row],[tsmc PO '#]],BB___HK___AMHS__Others[Status],"&lt;&gt;Rejected",BB___HK___AMHS__Others[YearMonth],"2024-08")</f>
        <v>0</v>
      </c>
      <c r="CR230" s="44">
        <f>SUMIFS(BB___HK___AMHS__Others[Tax],BB___HK___AMHS__Others[PO No.],AR_725[[#This Row],[tsmc PO '#]],BB___HK___AMHS__Others[Status],"&lt;&gt;Rejected",BB___HK___AMHS__Others[YearMonth],"2024-08")</f>
        <v>0</v>
      </c>
      <c r="CS230" s="62">
        <f>SUMIFS(BB___HK___AMHS__Others[AR Amount],BB___HK___AMHS__Others[PO No.],AR_725[[#This Row],[tsmc PO '#]],BB___HK___AMHS__Others[Status],"&lt;&gt;Rejected",BB___HK___AMHS__Others[YearMonth],"2024-09")</f>
        <v>0</v>
      </c>
      <c r="CT230" s="601">
        <f>SUMIFS(BB___HK___AMHS__Others[Tax],BB___HK___AMHS__Others[PO No.],AR_725[[#This Row],[tsmc PO '#]],BB___HK___AMHS__Others[Status],"&lt;&gt;Rejected",BB___HK___AMHS__Others[YearMonth],"2024-09")</f>
        <v>0</v>
      </c>
    </row>
    <row r="231" spans="1:98" ht="14.1" hidden="1">
      <c r="A231" s="30" t="s">
        <v>9</v>
      </c>
      <c r="B231" s="30" t="s">
        <v>2051</v>
      </c>
      <c r="C231" s="30" t="s">
        <v>2184</v>
      </c>
      <c r="D231" s="50" t="s">
        <v>1720</v>
      </c>
      <c r="E231" s="48" t="s">
        <v>2060</v>
      </c>
      <c r="F231" s="48" t="s">
        <v>2060</v>
      </c>
      <c r="G231" s="63" t="s">
        <v>312</v>
      </c>
      <c r="H231" s="50">
        <v>4590016147</v>
      </c>
      <c r="I231" s="30" t="s">
        <v>104</v>
      </c>
      <c r="J231" s="30" t="s">
        <v>1718</v>
      </c>
      <c r="K231" s="46">
        <v>12016.58</v>
      </c>
      <c r="L231" s="30"/>
      <c r="M231" s="86">
        <v>45359</v>
      </c>
      <c r="N231" s="87"/>
      <c r="O231" s="88" t="s">
        <v>2160</v>
      </c>
      <c r="P23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11415.75</v>
      </c>
      <c r="Q23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3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11415.75</v>
      </c>
      <c r="S231" s="72">
        <f>IF(AR_725[[#This Row],[PO Amount]]=0,1,AR_725[[#This Row],[Total AR (Sent)]]/AR_725[[#This Row],[PO Amount]])</f>
        <v>0.94999991678164675</v>
      </c>
      <c r="T231" s="45">
        <f>AR_725[[#This Row],[PO Amount]]-AR_725[[#This Row],[Total AR (Sent)]]</f>
        <v>600.82999999999993</v>
      </c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34"/>
      <c r="AS231" s="40"/>
      <c r="AU231" s="40"/>
      <c r="AV231" s="34"/>
      <c r="AW231" s="40"/>
      <c r="AX231" s="34"/>
      <c r="AY231" s="40"/>
      <c r="AZ231" s="34"/>
      <c r="BA231" s="40"/>
      <c r="BB231" s="34"/>
      <c r="BC231" s="40"/>
      <c r="BD231" s="40"/>
      <c r="BE231" s="40"/>
      <c r="BF231" s="40"/>
      <c r="BG231" s="40"/>
      <c r="BH231" s="40"/>
      <c r="BI231" s="40"/>
      <c r="BJ231" s="40"/>
      <c r="BK231" s="40"/>
      <c r="BL231" s="34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Z231" s="40"/>
      <c r="CA231" s="40"/>
      <c r="CB231" s="40"/>
      <c r="CC231" s="40"/>
      <c r="CD231" s="34"/>
      <c r="CE231" s="34"/>
      <c r="CF231" s="34"/>
      <c r="CG231" s="122"/>
      <c r="CI231" s="122"/>
      <c r="CJ231" s="30"/>
      <c r="CK231" s="122">
        <v>0</v>
      </c>
      <c r="CL231" s="122">
        <v>0</v>
      </c>
      <c r="CM231" s="122">
        <v>0</v>
      </c>
      <c r="CN231" s="122">
        <v>0</v>
      </c>
      <c r="CO231" s="34">
        <f>SUMIFS(BB___HK___AMHS__Others[AR Amount],BB___HK___AMHS__Others[PO No.],AR_725[[#This Row],[tsmc PO '#]],BB___HK___AMHS__Others[Status],"&lt;&gt;Rejected",BB___HK___AMHS__Others[YearMonth],"2024-07")</f>
        <v>0</v>
      </c>
      <c r="CP231" s="122">
        <f>SUMIFS(BB___HK___AMHS__Others[Tax],BB___HK___AMHS__Others[PO No.],AR_725[[#This Row],[tsmc PO '#]],BB___HK___AMHS__Others[Status],"&lt;&gt;Rejected",BB___HK___AMHS__Others[YearMonth],"2024-07")</f>
        <v>0</v>
      </c>
      <c r="CQ231" s="34">
        <f>SUMIFS(BB___HK___AMHS__Others[AR Amount],BB___HK___AMHS__Others[PO No.],AR_725[[#This Row],[tsmc PO '#]],BB___HK___AMHS__Others[Status],"&lt;&gt;Rejected",BB___HK___AMHS__Others[YearMonth],"2024-08")</f>
        <v>11415.75</v>
      </c>
      <c r="CR231" s="44">
        <f>SUMIFS(BB___HK___AMHS__Others[Tax],BB___HK___AMHS__Others[PO No.],AR_725[[#This Row],[tsmc PO '#]],BB___HK___AMHS__Others[Status],"&lt;&gt;Rejected",BB___HK___AMHS__Others[YearMonth],"2024-08")</f>
        <v>0</v>
      </c>
      <c r="CS231" s="62">
        <f>SUMIFS(BB___HK___AMHS__Others[AR Amount],BB___HK___AMHS__Others[PO No.],AR_725[[#This Row],[tsmc PO '#]],BB___HK___AMHS__Others[Status],"&lt;&gt;Rejected",BB___HK___AMHS__Others[YearMonth],"2024-09")</f>
        <v>0</v>
      </c>
      <c r="CT231" s="601">
        <f>SUMIFS(BB___HK___AMHS__Others[Tax],BB___HK___AMHS__Others[PO No.],AR_725[[#This Row],[tsmc PO '#]],BB___HK___AMHS__Others[Status],"&lt;&gt;Rejected",BB___HK___AMHS__Others[YearMonth],"2024-09")</f>
        <v>0</v>
      </c>
    </row>
    <row r="232" spans="1:98" ht="14.1" hidden="1">
      <c r="A232" s="30" t="s">
        <v>9</v>
      </c>
      <c r="B232" s="30" t="s">
        <v>2051</v>
      </c>
      <c r="C232" s="30" t="s">
        <v>2184</v>
      </c>
      <c r="D232" s="50" t="s">
        <v>1720</v>
      </c>
      <c r="E232" s="48" t="s">
        <v>2060</v>
      </c>
      <c r="F232" s="60" t="s">
        <v>2060</v>
      </c>
      <c r="G232" s="63" t="s">
        <v>312</v>
      </c>
      <c r="H232" s="50">
        <v>4590016257</v>
      </c>
      <c r="I232" s="30" t="s">
        <v>104</v>
      </c>
      <c r="J232" s="30" t="s">
        <v>1005</v>
      </c>
      <c r="K232" s="46">
        <v>76606.17</v>
      </c>
      <c r="L232" s="30"/>
      <c r="M232" s="86">
        <v>45363</v>
      </c>
      <c r="N232" s="87"/>
      <c r="O232" s="88" t="s">
        <v>2160</v>
      </c>
      <c r="P23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71274.570000000007</v>
      </c>
      <c r="Q23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68026.33</v>
      </c>
      <c r="R23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71274.570000000007</v>
      </c>
      <c r="S232" s="72">
        <f>IF(AR_725[[#This Row],[PO Amount]]=0,1,AR_725[[#This Row],[Total AR (Sent)]]/AR_725[[#This Row],[PO Amount]])</f>
        <v>0.93040247280343091</v>
      </c>
      <c r="T232" s="45">
        <f>AR_725[[#This Row],[PO Amount]]-AR_725[[#This Row],[Total AR (Sent)]]</f>
        <v>5331.5999999999913</v>
      </c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34"/>
      <c r="AK232" s="40"/>
      <c r="AL232" s="40"/>
      <c r="AM232" s="40"/>
      <c r="AN232" s="40"/>
      <c r="AO232" s="40"/>
      <c r="AP232" s="40"/>
      <c r="AQ232" s="40"/>
      <c r="AR232" s="34"/>
      <c r="AS232" s="40"/>
      <c r="AU232" s="40"/>
      <c r="AV232" s="34"/>
      <c r="AW232" s="40"/>
      <c r="AX232" s="34"/>
      <c r="AY232" s="40"/>
      <c r="AZ232" s="34"/>
      <c r="BA232" s="40"/>
      <c r="BB232" s="34"/>
      <c r="BC232" s="40"/>
      <c r="BD232" s="40"/>
      <c r="BE232" s="40"/>
      <c r="BF232" s="40"/>
      <c r="BG232" s="40"/>
      <c r="BH232" s="40"/>
      <c r="BI232" s="40"/>
      <c r="BJ232" s="40"/>
      <c r="BK232" s="40"/>
      <c r="BL232" s="34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  <c r="BZ232" s="40"/>
      <c r="CA232" s="40"/>
      <c r="CB232" s="40"/>
      <c r="CC232" s="40"/>
      <c r="CD232" s="34"/>
      <c r="CE232" s="34"/>
      <c r="CF232" s="34"/>
      <c r="CG232" s="123">
        <v>68026.33</v>
      </c>
      <c r="CI232" s="116">
        <v>3248.24</v>
      </c>
      <c r="CJ232" s="30"/>
      <c r="CK232" s="122">
        <v>0</v>
      </c>
      <c r="CL232" s="122">
        <v>0</v>
      </c>
      <c r="CM232" s="122">
        <v>0</v>
      </c>
      <c r="CN232" s="122">
        <v>0</v>
      </c>
      <c r="CO232" s="122">
        <f>SUMIFS(BB___HK___AMHS__Others[AR Amount],BB___HK___AMHS__Others[PO No.],AR_725[[#This Row],[tsmc PO '#]],BB___HK___AMHS__Others[Status],"&lt;&gt;Rejected",BB___HK___AMHS__Others[YearMonth],"2024-07")</f>
        <v>0</v>
      </c>
      <c r="CP232" s="122">
        <f>SUMIFS(BB___HK___AMHS__Others[Tax],BB___HK___AMHS__Others[PO No.],AR_725[[#This Row],[tsmc PO '#]],BB___HK___AMHS__Others[Status],"&lt;&gt;Rejected",BB___HK___AMHS__Others[YearMonth],"2024-07")</f>
        <v>0</v>
      </c>
      <c r="CQ232" s="34">
        <f>SUMIFS(BB___HK___AMHS__Others[AR Amount],BB___HK___AMHS__Others[PO No.],AR_725[[#This Row],[tsmc PO '#]],BB___HK___AMHS__Others[Status],"&lt;&gt;Rejected",BB___HK___AMHS__Others[YearMonth],"2024-08")</f>
        <v>0</v>
      </c>
      <c r="CR232" s="44">
        <f>SUMIFS(BB___HK___AMHS__Others[Tax],BB___HK___AMHS__Others[PO No.],AR_725[[#This Row],[tsmc PO '#]],BB___HK___AMHS__Others[Status],"&lt;&gt;Rejected",BB___HK___AMHS__Others[YearMonth],"2024-08")</f>
        <v>0</v>
      </c>
      <c r="CS232" s="62">
        <f>SUMIFS(BB___HK___AMHS__Others[AR Amount],BB___HK___AMHS__Others[PO No.],AR_725[[#This Row],[tsmc PO '#]],BB___HK___AMHS__Others[Status],"&lt;&gt;Rejected",BB___HK___AMHS__Others[YearMonth],"2024-09")</f>
        <v>0</v>
      </c>
      <c r="CT232" s="601">
        <f>SUMIFS(BB___HK___AMHS__Others[Tax],BB___HK___AMHS__Others[PO No.],AR_725[[#This Row],[tsmc PO '#]],BB___HK___AMHS__Others[Status],"&lt;&gt;Rejected",BB___HK___AMHS__Others[YearMonth],"2024-09")</f>
        <v>0</v>
      </c>
    </row>
    <row r="233" spans="1:98" ht="14.1" hidden="1">
      <c r="A233" s="30" t="s">
        <v>13</v>
      </c>
      <c r="B233" s="30" t="s">
        <v>13</v>
      </c>
      <c r="D233" s="50"/>
      <c r="E233" s="57" t="s">
        <v>2126</v>
      </c>
      <c r="F233" s="50"/>
      <c r="G233" s="50" t="s">
        <v>54</v>
      </c>
      <c r="H233" s="50">
        <v>4590016630</v>
      </c>
      <c r="I233" s="30" t="s">
        <v>563</v>
      </c>
      <c r="J233" s="30" t="s">
        <v>1027</v>
      </c>
      <c r="K233" s="62">
        <v>1629593.3</v>
      </c>
      <c r="L233" s="30"/>
      <c r="M233" s="50" t="s">
        <v>2249</v>
      </c>
      <c r="N233" s="87"/>
      <c r="O233" s="30" t="s">
        <v>2156</v>
      </c>
      <c r="P23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1629593.3</v>
      </c>
      <c r="Q23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1124519</v>
      </c>
      <c r="R23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1629593.3</v>
      </c>
      <c r="S233" s="72">
        <f>IF(AR_725[[#This Row],[PO Amount]]=0,1,AR_725[[#This Row],[Total AR (Sent)]]/AR_725[[#This Row],[PO Amount]])</f>
        <v>1</v>
      </c>
      <c r="T233" s="73">
        <f>AR_725[[#This Row],[PO Amount]]-AR_725[[#This Row],[Total AR (Sent)]]</f>
        <v>0</v>
      </c>
      <c r="AT233" s="30"/>
      <c r="AU233" s="34"/>
      <c r="AV233" s="78"/>
      <c r="BY233" s="30"/>
      <c r="BZ233" s="40"/>
      <c r="CG233" s="122">
        <v>1124519</v>
      </c>
      <c r="CI233" s="122">
        <v>245510</v>
      </c>
      <c r="CJ233" s="30"/>
      <c r="CK233" s="122">
        <v>203907</v>
      </c>
      <c r="CL233" s="122">
        <v>0</v>
      </c>
      <c r="CM233" s="122">
        <v>0</v>
      </c>
      <c r="CN233" s="122">
        <v>0</v>
      </c>
      <c r="CO233" s="34">
        <f>SUMIFS(BB___HK___AMHS__Others[AR Amount],BB___HK___AMHS__Others[PO No.],AR_725[[#This Row],[tsmc PO '#]],BB___HK___AMHS__Others[Status],"&lt;&gt;Rejected",BB___HK___AMHS__Others[YearMonth],"2024-07")</f>
        <v>0</v>
      </c>
      <c r="CP233" s="122">
        <f>SUMIFS(BB___HK___AMHS__Others[Tax],BB___HK___AMHS__Others[PO No.],AR_725[[#This Row],[tsmc PO '#]],BB___HK___AMHS__Others[Status],"&lt;&gt;Rejected",BB___HK___AMHS__Others[YearMonth],"2024-07")</f>
        <v>0</v>
      </c>
      <c r="CQ233" s="34">
        <f>SUMIFS(BB___HK___AMHS__Others[AR Amount],BB___HK___AMHS__Others[PO No.],AR_725[[#This Row],[tsmc PO '#]],BB___HK___AMHS__Others[Status],"&lt;&gt;Rejected",BB___HK___AMHS__Others[YearMonth],"2024-08")</f>
        <v>55657.3</v>
      </c>
      <c r="CR233" s="44">
        <f>SUMIFS(BB___HK___AMHS__Others[Tax],BB___HK___AMHS__Others[PO No.],AR_725[[#This Row],[tsmc PO '#]],BB___HK___AMHS__Others[Status],"&lt;&gt;Rejected",BB___HK___AMHS__Others[YearMonth],"2024-08")</f>
        <v>0</v>
      </c>
      <c r="CS233" s="62">
        <f>SUMIFS(BB___HK___AMHS__Others[AR Amount],BB___HK___AMHS__Others[PO No.],AR_725[[#This Row],[tsmc PO '#]],BB___HK___AMHS__Others[Status],"&lt;&gt;Rejected",BB___HK___AMHS__Others[YearMonth],"2024-09")</f>
        <v>0</v>
      </c>
      <c r="CT233" s="601">
        <f>SUMIFS(BB___HK___AMHS__Others[Tax],BB___HK___AMHS__Others[PO No.],AR_725[[#This Row],[tsmc PO '#]],BB___HK___AMHS__Others[Status],"&lt;&gt;Rejected",BB___HK___AMHS__Others[YearMonth],"2024-09")</f>
        <v>0</v>
      </c>
    </row>
    <row r="234" spans="1:98" ht="14.1" hidden="1">
      <c r="A234" s="30" t="s">
        <v>20</v>
      </c>
      <c r="B234" s="30" t="s">
        <v>2250</v>
      </c>
      <c r="D234" s="50"/>
      <c r="F234" s="50"/>
      <c r="G234" s="50" t="s">
        <v>54</v>
      </c>
      <c r="H234" s="50">
        <v>4590016715</v>
      </c>
      <c r="I234" s="30" t="s">
        <v>434</v>
      </c>
      <c r="J234" s="30" t="s">
        <v>2251</v>
      </c>
      <c r="K234" s="62">
        <v>115150.08</v>
      </c>
      <c r="M234" s="50" t="s">
        <v>2252</v>
      </c>
      <c r="N234" s="87"/>
      <c r="O234" s="30" t="s">
        <v>2253</v>
      </c>
      <c r="P23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23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3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234" s="72">
        <f>IF(AR_725[[#This Row],[PO Amount]]=0,1,AR_725[[#This Row],[Total AR (Sent)]]/AR_725[[#This Row],[PO Amount]])</f>
        <v>0</v>
      </c>
      <c r="T234" s="73">
        <f>AR_725[[#This Row],[PO Amount]]-AR_725[[#This Row],[Total AR (Sent)]]</f>
        <v>115150.08</v>
      </c>
      <c r="AV234" s="78"/>
      <c r="CG234" s="122"/>
      <c r="CI234" s="122"/>
      <c r="CK234" s="122"/>
      <c r="CL234" s="122">
        <v>0</v>
      </c>
      <c r="CM234" s="122">
        <v>0</v>
      </c>
      <c r="CN234" s="122">
        <v>0</v>
      </c>
      <c r="CO234" s="122">
        <f>SUMIFS(BB___HK___AMHS__Others[AR Amount],BB___HK___AMHS__Others[PO No.],AR_725[[#This Row],[tsmc PO '#]],BB___HK___AMHS__Others[Status],"&lt;&gt;Rejected",BB___HK___AMHS__Others[YearMonth],"2024-07")</f>
        <v>0</v>
      </c>
      <c r="CP234" s="122">
        <f>SUMIFS(BB___HK___AMHS__Others[Tax],BB___HK___AMHS__Others[PO No.],AR_725[[#This Row],[tsmc PO '#]],BB___HK___AMHS__Others[Status],"&lt;&gt;Rejected",BB___HK___AMHS__Others[YearMonth],"2024-07")</f>
        <v>0</v>
      </c>
      <c r="CQ234" s="34">
        <f>SUMIFS(BB___HK___AMHS__Others[AR Amount],BB___HK___AMHS__Others[PO No.],AR_725[[#This Row],[tsmc PO '#]],BB___HK___AMHS__Others[Status],"&lt;&gt;Rejected",BB___HK___AMHS__Others[YearMonth],"2024-08")</f>
        <v>0</v>
      </c>
      <c r="CR234" s="44">
        <f>SUMIFS(BB___HK___AMHS__Others[Tax],BB___HK___AMHS__Others[PO No.],AR_725[[#This Row],[tsmc PO '#]],BB___HK___AMHS__Others[Status],"&lt;&gt;Rejected",BB___HK___AMHS__Others[YearMonth],"2024-08")</f>
        <v>0</v>
      </c>
      <c r="CS234" s="62">
        <f>SUMIFS(BB___HK___AMHS__Others[AR Amount],BB___HK___AMHS__Others[PO No.],AR_725[[#This Row],[tsmc PO '#]],BB___HK___AMHS__Others[Status],"&lt;&gt;Rejected",BB___HK___AMHS__Others[YearMonth],"2024-09")</f>
        <v>0</v>
      </c>
      <c r="CT234" s="601">
        <f>SUMIFS(BB___HK___AMHS__Others[Tax],BB___HK___AMHS__Others[PO No.],AR_725[[#This Row],[tsmc PO '#]],BB___HK___AMHS__Others[Status],"&lt;&gt;Rejected",BB___HK___AMHS__Others[YearMonth],"2024-09")</f>
        <v>0</v>
      </c>
    </row>
    <row r="235" spans="1:98" ht="14.1" hidden="1">
      <c r="A235" s="30" t="s">
        <v>11</v>
      </c>
      <c r="B235" s="30" t="s">
        <v>2246</v>
      </c>
      <c r="D235" s="50" t="s">
        <v>1546</v>
      </c>
      <c r="E235" s="50" t="s">
        <v>2052</v>
      </c>
      <c r="F235" s="50" t="s">
        <v>2053</v>
      </c>
      <c r="G235" s="57" t="s">
        <v>1002</v>
      </c>
      <c r="H235" s="50">
        <v>4590016975</v>
      </c>
      <c r="I235" s="30" t="s">
        <v>584</v>
      </c>
      <c r="J235" s="30" t="s">
        <v>1488</v>
      </c>
      <c r="K235" s="62">
        <v>14660.72</v>
      </c>
      <c r="L235" s="30"/>
      <c r="M235" s="50" t="s">
        <v>2254</v>
      </c>
      <c r="N235" s="87"/>
      <c r="O235" s="30" t="s">
        <v>2255</v>
      </c>
      <c r="P23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14660.72</v>
      </c>
      <c r="Q23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3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14660.72</v>
      </c>
      <c r="S235" s="72">
        <f>IF(AR_725[[#This Row],[PO Amount]]=0,1,AR_725[[#This Row],[Total AR (Sent)]]/AR_725[[#This Row],[PO Amount]])</f>
        <v>1</v>
      </c>
      <c r="T235" s="73">
        <f>AR_725[[#This Row],[PO Amount]]-AR_725[[#This Row],[Total AR (Sent)]]</f>
        <v>0</v>
      </c>
      <c r="AT235" s="30"/>
      <c r="AU235" s="34"/>
      <c r="AV235" s="78"/>
      <c r="BY235" s="30"/>
      <c r="BZ235" s="40"/>
      <c r="CG235" s="122"/>
      <c r="CI235" s="122"/>
      <c r="CJ235" s="30"/>
      <c r="CK235" s="122">
        <v>0</v>
      </c>
      <c r="CL235" s="122">
        <v>0</v>
      </c>
      <c r="CM235" s="122">
        <v>0</v>
      </c>
      <c r="CN235" s="122">
        <v>0</v>
      </c>
      <c r="CO235" s="122">
        <f>SUMIFS(BB___HK___AMHS__Others[AR Amount],BB___HK___AMHS__Others[PO No.],AR_725[[#This Row],[tsmc PO '#]],BB___HK___AMHS__Others[Status],"&lt;&gt;Rejected",BB___HK___AMHS__Others[YearMonth],"2024-07")</f>
        <v>14660.72</v>
      </c>
      <c r="CP235" s="122">
        <f>SUMIFS(BB___HK___AMHS__Others[Tax],BB___HK___AMHS__Others[PO No.],AR_725[[#This Row],[tsmc PO '#]],BB___HK___AMHS__Others[Status],"&lt;&gt;Rejected",BB___HK___AMHS__Others[YearMonth],"2024-07")</f>
        <v>819.53</v>
      </c>
      <c r="CQ235" s="34">
        <f>SUMIFS(BB___HK___AMHS__Others[AR Amount],BB___HK___AMHS__Others[PO No.],AR_725[[#This Row],[tsmc PO '#]],BB___HK___AMHS__Others[Status],"&lt;&gt;Rejected",BB___HK___AMHS__Others[YearMonth],"2024-08")</f>
        <v>0</v>
      </c>
      <c r="CR235" s="44">
        <f>SUMIFS(BB___HK___AMHS__Others[Tax],BB___HK___AMHS__Others[PO No.],AR_725[[#This Row],[tsmc PO '#]],BB___HK___AMHS__Others[Status],"&lt;&gt;Rejected",BB___HK___AMHS__Others[YearMonth],"2024-08")</f>
        <v>0</v>
      </c>
      <c r="CS235" s="62">
        <f>SUMIFS(BB___HK___AMHS__Others[AR Amount],BB___HK___AMHS__Others[PO No.],AR_725[[#This Row],[tsmc PO '#]],BB___HK___AMHS__Others[Status],"&lt;&gt;Rejected",BB___HK___AMHS__Others[YearMonth],"2024-09")</f>
        <v>0</v>
      </c>
      <c r="CT235" s="601">
        <f>SUMIFS(BB___HK___AMHS__Others[Tax],BB___HK___AMHS__Others[PO No.],AR_725[[#This Row],[tsmc PO '#]],BB___HK___AMHS__Others[Status],"&lt;&gt;Rejected",BB___HK___AMHS__Others[YearMonth],"2024-09")</f>
        <v>0</v>
      </c>
    </row>
    <row r="236" spans="1:98" ht="14.1" hidden="1">
      <c r="A236" s="30" t="s">
        <v>11</v>
      </c>
      <c r="B236" s="30" t="s">
        <v>2246</v>
      </c>
      <c r="D236" s="50" t="s">
        <v>1546</v>
      </c>
      <c r="E236" s="50" t="s">
        <v>2052</v>
      </c>
      <c r="F236" s="50" t="s">
        <v>2053</v>
      </c>
      <c r="G236" s="57" t="s">
        <v>1002</v>
      </c>
      <c r="H236" s="50">
        <v>4590016977</v>
      </c>
      <c r="I236" s="30" t="s">
        <v>584</v>
      </c>
      <c r="J236" s="30" t="s">
        <v>1711</v>
      </c>
      <c r="K236" s="62">
        <v>84682.25</v>
      </c>
      <c r="L236" s="30"/>
      <c r="M236" s="50" t="s">
        <v>2254</v>
      </c>
      <c r="N236" s="87"/>
      <c r="O236" s="30" t="s">
        <v>2253</v>
      </c>
      <c r="P23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84682.25</v>
      </c>
      <c r="Q23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3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84682.25</v>
      </c>
      <c r="S236" s="72">
        <f>IF(AR_725[[#This Row],[PO Amount]]=0,1,AR_725[[#This Row],[Total AR (Sent)]]/AR_725[[#This Row],[PO Amount]])</f>
        <v>1</v>
      </c>
      <c r="T236" s="73">
        <f>AR_725[[#This Row],[PO Amount]]-AR_725[[#This Row],[Total AR (Sent)]]</f>
        <v>0</v>
      </c>
      <c r="AT236" s="30"/>
      <c r="AU236" s="34"/>
      <c r="AV236" s="78"/>
      <c r="BY236" s="30"/>
      <c r="BZ236" s="40"/>
      <c r="CG236" s="122"/>
      <c r="CI236" s="122"/>
      <c r="CJ236" s="30"/>
      <c r="CK236" s="122">
        <v>0</v>
      </c>
      <c r="CL236" s="122">
        <v>0</v>
      </c>
      <c r="CM236" s="122">
        <v>0</v>
      </c>
      <c r="CN236" s="122">
        <v>0</v>
      </c>
      <c r="CO236" s="34">
        <f>SUMIFS(BB___HK___AMHS__Others[AR Amount],BB___HK___AMHS__Others[PO No.],AR_725[[#This Row],[tsmc PO '#]],BB___HK___AMHS__Others[Status],"&lt;&gt;Rejected",BB___HK___AMHS__Others[YearMonth],"2024-07")</f>
        <v>0</v>
      </c>
      <c r="CP236" s="122">
        <f>SUMIFS(BB___HK___AMHS__Others[Tax],BB___HK___AMHS__Others[PO No.],AR_725[[#This Row],[tsmc PO '#]],BB___HK___AMHS__Others[Status],"&lt;&gt;Rejected",BB___HK___AMHS__Others[YearMonth],"2024-07")</f>
        <v>0</v>
      </c>
      <c r="CQ236" s="34">
        <f>SUMIFS(BB___HK___AMHS__Others[AR Amount],BB___HK___AMHS__Others[PO No.],AR_725[[#This Row],[tsmc PO '#]],BB___HK___AMHS__Others[Status],"&lt;&gt;Rejected",BB___HK___AMHS__Others[YearMonth],"2024-08")</f>
        <v>84682.25</v>
      </c>
      <c r="CR236" s="44">
        <f>SUMIFS(BB___HK___AMHS__Others[Tax],BB___HK___AMHS__Others[PO No.],AR_725[[#This Row],[tsmc PO '#]],BB___HK___AMHS__Others[Status],"&lt;&gt;Rejected",BB___HK___AMHS__Others[YearMonth],"2024-08")</f>
        <v>4733.74</v>
      </c>
      <c r="CS236" s="62">
        <f>SUMIFS(BB___HK___AMHS__Others[AR Amount],BB___HK___AMHS__Others[PO No.],AR_725[[#This Row],[tsmc PO '#]],BB___HK___AMHS__Others[Status],"&lt;&gt;Rejected",BB___HK___AMHS__Others[YearMonth],"2024-09")</f>
        <v>0</v>
      </c>
      <c r="CT236" s="601">
        <f>SUMIFS(BB___HK___AMHS__Others[Tax],BB___HK___AMHS__Others[PO No.],AR_725[[#This Row],[tsmc PO '#]],BB___HK___AMHS__Others[Status],"&lt;&gt;Rejected",BB___HK___AMHS__Others[YearMonth],"2024-09")</f>
        <v>0</v>
      </c>
    </row>
    <row r="237" spans="1:98" ht="14.1" hidden="1">
      <c r="A237" s="30" t="s">
        <v>11</v>
      </c>
      <c r="B237" s="30" t="s">
        <v>2246</v>
      </c>
      <c r="D237" s="50" t="s">
        <v>1546</v>
      </c>
      <c r="E237" s="105" t="s">
        <v>2052</v>
      </c>
      <c r="F237" s="64" t="s">
        <v>2053</v>
      </c>
      <c r="G237" s="57" t="s">
        <v>1002</v>
      </c>
      <c r="H237" s="50">
        <v>4590017093</v>
      </c>
      <c r="I237" s="30" t="s">
        <v>584</v>
      </c>
      <c r="J237" s="30" t="s">
        <v>1180</v>
      </c>
      <c r="K237" s="62">
        <v>36374.57</v>
      </c>
      <c r="L237" s="30"/>
      <c r="M237" s="50" t="s">
        <v>2256</v>
      </c>
      <c r="N237" s="87"/>
      <c r="O237" s="30" t="s">
        <v>2253</v>
      </c>
      <c r="P23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36374.57</v>
      </c>
      <c r="Q23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3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36374.57</v>
      </c>
      <c r="S237" s="72">
        <f>IF(AR_725[[#This Row],[PO Amount]]=0,1,AR_725[[#This Row],[Total AR (Sent)]]/AR_725[[#This Row],[PO Amount]])</f>
        <v>1</v>
      </c>
      <c r="T237" s="73">
        <f>AR_725[[#This Row],[PO Amount]]-AR_725[[#This Row],[Total AR (Sent)]]</f>
        <v>0</v>
      </c>
      <c r="AT237" s="30"/>
      <c r="AU237" s="34"/>
      <c r="AV237" s="78"/>
      <c r="BY237" s="30"/>
      <c r="BZ237" s="40"/>
      <c r="CG237" s="122"/>
      <c r="CI237" s="130">
        <v>36374.57</v>
      </c>
      <c r="CJ237" s="330">
        <v>2033.34</v>
      </c>
      <c r="CK237" s="122">
        <v>0</v>
      </c>
      <c r="CL237" s="122">
        <v>0</v>
      </c>
      <c r="CM237" s="122">
        <v>0</v>
      </c>
      <c r="CN237" s="122">
        <v>0</v>
      </c>
      <c r="CO237" s="122">
        <f>SUMIFS(BB___HK___AMHS__Others[AR Amount],BB___HK___AMHS__Others[PO No.],AR_725[[#This Row],[tsmc PO '#]],BB___HK___AMHS__Others[Status],"&lt;&gt;Rejected",BB___HK___AMHS__Others[YearMonth],"2024-07")</f>
        <v>0</v>
      </c>
      <c r="CP237" s="122">
        <f>SUMIFS(BB___HK___AMHS__Others[Tax],BB___HK___AMHS__Others[PO No.],AR_725[[#This Row],[tsmc PO '#]],BB___HK___AMHS__Others[Status],"&lt;&gt;Rejected",BB___HK___AMHS__Others[YearMonth],"2024-07")</f>
        <v>0</v>
      </c>
      <c r="CQ237" s="34">
        <f>SUMIFS(BB___HK___AMHS__Others[AR Amount],BB___HK___AMHS__Others[PO No.],AR_725[[#This Row],[tsmc PO '#]],BB___HK___AMHS__Others[Status],"&lt;&gt;Rejected",BB___HK___AMHS__Others[YearMonth],"2024-08")</f>
        <v>0</v>
      </c>
      <c r="CR237" s="44">
        <f>SUMIFS(BB___HK___AMHS__Others[Tax],BB___HK___AMHS__Others[PO No.],AR_725[[#This Row],[tsmc PO '#]],BB___HK___AMHS__Others[Status],"&lt;&gt;Rejected",BB___HK___AMHS__Others[YearMonth],"2024-08")</f>
        <v>0</v>
      </c>
      <c r="CS237" s="62">
        <f>SUMIFS(BB___HK___AMHS__Others[AR Amount],BB___HK___AMHS__Others[PO No.],AR_725[[#This Row],[tsmc PO '#]],BB___HK___AMHS__Others[Status],"&lt;&gt;Rejected",BB___HK___AMHS__Others[YearMonth],"2024-09")</f>
        <v>0</v>
      </c>
      <c r="CT237" s="601">
        <f>SUMIFS(BB___HK___AMHS__Others[Tax],BB___HK___AMHS__Others[PO No.],AR_725[[#This Row],[tsmc PO '#]],BB___HK___AMHS__Others[Status],"&lt;&gt;Rejected",BB___HK___AMHS__Others[YearMonth],"2024-09")</f>
        <v>0</v>
      </c>
    </row>
    <row r="238" spans="1:98" ht="14.1" hidden="1">
      <c r="A238" s="30" t="s">
        <v>8</v>
      </c>
      <c r="B238" s="30" t="s">
        <v>8</v>
      </c>
      <c r="D238" s="50" t="s">
        <v>8</v>
      </c>
      <c r="E238" s="48" t="s">
        <v>2109</v>
      </c>
      <c r="F238" s="50" t="s">
        <v>2110</v>
      </c>
      <c r="G238" s="50" t="s">
        <v>1316</v>
      </c>
      <c r="H238" s="50">
        <v>4590017205</v>
      </c>
      <c r="I238" s="30" t="s">
        <v>300</v>
      </c>
      <c r="J238" s="30" t="s">
        <v>961</v>
      </c>
      <c r="K238" s="62">
        <v>9259</v>
      </c>
      <c r="L238" s="30"/>
      <c r="M238" s="50" t="s">
        <v>2257</v>
      </c>
      <c r="N238" s="87"/>
      <c r="O238" s="30" t="s">
        <v>2156</v>
      </c>
      <c r="P23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9259</v>
      </c>
      <c r="Q23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3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9259</v>
      </c>
      <c r="S238" s="72">
        <f>IF(AR_725[[#This Row],[PO Amount]]=0,1,AR_725[[#This Row],[Total AR (Sent)]]/AR_725[[#This Row],[PO Amount]])</f>
        <v>1</v>
      </c>
      <c r="T238" s="73">
        <f>AR_725[[#This Row],[PO Amount]]-AR_725[[#This Row],[Total AR (Sent)]]</f>
        <v>0</v>
      </c>
      <c r="AT238" s="30"/>
      <c r="AU238" s="34"/>
      <c r="AV238" s="78"/>
      <c r="BY238" s="30"/>
      <c r="BZ238" s="40"/>
      <c r="CG238" s="122">
        <f>SUMIFS(BB___HK___AMHS__Others[AR Amount],BB___HK___AMHS__Others[PO No.],AR_725[[#This Row],[tsmc PO '#]],BB___HK___AMHS__Others[Status],"&lt;&gt;Rejected",BB___HK___AMHS__Others[YearMonth],"2024-03")</f>
        <v>0</v>
      </c>
      <c r="CI238" s="122">
        <f>SUMIFS(BB___HK___AMHS__Others[AR Amount],BB___HK___AMHS__Others[PO No.],AR_725[[#This Row],[tsmc PO '#]],BB___HK___AMHS__Others[Status],"&lt;&gt;Rejected",BB___HK___AMHS__Others[YearMonth],"2024-04")</f>
        <v>9259</v>
      </c>
      <c r="CJ238" s="30"/>
      <c r="CK238" s="122">
        <v>0</v>
      </c>
      <c r="CL238" s="122">
        <v>0</v>
      </c>
      <c r="CM238" s="122">
        <v>0</v>
      </c>
      <c r="CN238" s="122">
        <v>0</v>
      </c>
      <c r="CO238" s="122">
        <f>SUMIFS(BB___HK___AMHS__Others[AR Amount],BB___HK___AMHS__Others[PO No.],AR_725[[#This Row],[tsmc PO '#]],BB___HK___AMHS__Others[Status],"&lt;&gt;Rejected",BB___HK___AMHS__Others[YearMonth],"2024-07")</f>
        <v>0</v>
      </c>
      <c r="CP238" s="122">
        <f>SUMIFS(BB___HK___AMHS__Others[Tax],BB___HK___AMHS__Others[PO No.],AR_725[[#This Row],[tsmc PO '#]],BB___HK___AMHS__Others[Status],"&lt;&gt;Rejected",BB___HK___AMHS__Others[YearMonth],"2024-07")</f>
        <v>0</v>
      </c>
      <c r="CQ238" s="34">
        <f>SUMIFS(BB___HK___AMHS__Others[AR Amount],BB___HK___AMHS__Others[PO No.],AR_725[[#This Row],[tsmc PO '#]],BB___HK___AMHS__Others[Status],"&lt;&gt;Rejected",BB___HK___AMHS__Others[YearMonth],"2024-08")</f>
        <v>0</v>
      </c>
      <c r="CR238" s="44">
        <f>SUMIFS(BB___HK___AMHS__Others[Tax],BB___HK___AMHS__Others[PO No.],AR_725[[#This Row],[tsmc PO '#]],BB___HK___AMHS__Others[Status],"&lt;&gt;Rejected",BB___HK___AMHS__Others[YearMonth],"2024-08")</f>
        <v>0</v>
      </c>
      <c r="CS238" s="62">
        <f>SUMIFS(BB___HK___AMHS__Others[AR Amount],BB___HK___AMHS__Others[PO No.],AR_725[[#This Row],[tsmc PO '#]],BB___HK___AMHS__Others[Status],"&lt;&gt;Rejected",BB___HK___AMHS__Others[YearMonth],"2024-09")</f>
        <v>0</v>
      </c>
      <c r="CT238" s="601">
        <f>SUMIFS(BB___HK___AMHS__Others[Tax],BB___HK___AMHS__Others[PO No.],AR_725[[#This Row],[tsmc PO '#]],BB___HK___AMHS__Others[Status],"&lt;&gt;Rejected",BB___HK___AMHS__Others[YearMonth],"2024-09")</f>
        <v>0</v>
      </c>
    </row>
    <row r="239" spans="1:98" ht="14.1">
      <c r="A239" s="30" t="s">
        <v>11</v>
      </c>
      <c r="B239" s="30" t="s">
        <v>2250</v>
      </c>
      <c r="D239" s="50"/>
      <c r="E239" s="50" t="s">
        <v>2209</v>
      </c>
      <c r="F239" s="50"/>
      <c r="G239" s="50" t="s">
        <v>881</v>
      </c>
      <c r="H239" s="50">
        <v>4590017212</v>
      </c>
      <c r="I239" s="30" t="s">
        <v>1245</v>
      </c>
      <c r="J239" s="30" t="s">
        <v>2258</v>
      </c>
      <c r="K239" s="62">
        <v>60000</v>
      </c>
      <c r="L239" s="30"/>
      <c r="M239" s="50" t="s">
        <v>2257</v>
      </c>
      <c r="N239" s="87"/>
      <c r="O239" s="30" t="s">
        <v>2259</v>
      </c>
      <c r="P23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60000</v>
      </c>
      <c r="Q23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3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239" s="72">
        <f>IF(AR_725[[#This Row],[PO Amount]]=0,1,AR_725[[#This Row],[Total AR (Sent)]]/AR_725[[#This Row],[PO Amount]])</f>
        <v>1</v>
      </c>
      <c r="T239" s="73">
        <f>AR_725[[#This Row],[PO Amount]]-AR_725[[#This Row],[Total AR (Sent)]]</f>
        <v>0</v>
      </c>
      <c r="AT239" s="30"/>
      <c r="AU239" s="34"/>
      <c r="AV239" s="78"/>
      <c r="BY239" s="30"/>
      <c r="BZ239" s="40"/>
      <c r="CG239" s="122"/>
      <c r="CI239" s="122"/>
      <c r="CJ239" s="30"/>
      <c r="CK239" s="122"/>
      <c r="CL239" s="122">
        <v>0</v>
      </c>
      <c r="CM239" s="122"/>
      <c r="CN239" s="122">
        <v>0</v>
      </c>
      <c r="CO239" s="122">
        <f>SUMIFS(BB___HK___AMHS__Others[AR Amount],BB___HK___AMHS__Others[PO No.],AR_725[[#This Row],[tsmc PO '#]],BB___HK___AMHS__Others[Status],"&lt;&gt;Rejected",BB___HK___AMHS__Others[YearMonth],"2024-07")</f>
        <v>50000</v>
      </c>
      <c r="CP239" s="122">
        <f>SUMIFS(BB___HK___AMHS__Others[Tax],BB___HK___AMHS__Others[PO No.],AR_725[[#This Row],[tsmc PO '#]],BB___HK___AMHS__Others[Status],"&lt;&gt;Rejected",BB___HK___AMHS__Others[YearMonth],"2024-07")</f>
        <v>0</v>
      </c>
      <c r="CQ239" s="34">
        <f>SUMIFS(BB___HK___AMHS__Others[AR Amount],BB___HK___AMHS__Others[PO No.],AR_725[[#This Row],[tsmc PO '#]],BB___HK___AMHS__Others[Status],"&lt;&gt;Rejected",BB___HK___AMHS__Others[YearMonth],"2024-08")</f>
        <v>0</v>
      </c>
      <c r="CR239" s="44">
        <f>SUMIFS(BB___HK___AMHS__Others[Tax],BB___HK___AMHS__Others[PO No.],AR_725[[#This Row],[tsmc PO '#]],BB___HK___AMHS__Others[Status],"&lt;&gt;Rejected",BB___HK___AMHS__Others[YearMonth],"2024-08")</f>
        <v>0</v>
      </c>
      <c r="CS239" s="62">
        <f>SUMIFS(BB___HK___AMHS__Others[AR Amount],BB___HK___AMHS__Others[PO No.],AR_725[[#This Row],[tsmc PO '#]],BB___HK___AMHS__Others[Status],"&lt;&gt;Rejected",BB___HK___AMHS__Others[YearMonth],"2024-09")</f>
        <v>10000</v>
      </c>
      <c r="CT239" s="601">
        <f>SUMIFS(BB___HK___AMHS__Others[Tax],BB___HK___AMHS__Others[PO No.],AR_725[[#This Row],[tsmc PO '#]],BB___HK___AMHS__Others[Status],"&lt;&gt;Rejected",BB___HK___AMHS__Others[YearMonth],"2024-09")</f>
        <v>0</v>
      </c>
    </row>
    <row r="240" spans="1:98" s="71" customFormat="1" ht="14.1" hidden="1">
      <c r="A240" s="30" t="s">
        <v>11</v>
      </c>
      <c r="B240" s="30" t="s">
        <v>2246</v>
      </c>
      <c r="C240" s="30"/>
      <c r="D240" s="50" t="s">
        <v>1546</v>
      </c>
      <c r="E240" s="30" t="s">
        <v>2052</v>
      </c>
      <c r="F240" s="50" t="s">
        <v>2260</v>
      </c>
      <c r="G240" s="50" t="s">
        <v>2261</v>
      </c>
      <c r="H240" s="50">
        <v>4590017354</v>
      </c>
      <c r="I240" s="30" t="s">
        <v>584</v>
      </c>
      <c r="J240" s="30" t="s">
        <v>2262</v>
      </c>
      <c r="K240" s="62">
        <v>28520</v>
      </c>
      <c r="L240" s="30"/>
      <c r="M240" s="50" t="s">
        <v>2263</v>
      </c>
      <c r="N240" s="87"/>
      <c r="O240" s="30" t="s">
        <v>2156</v>
      </c>
      <c r="P24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24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4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240" s="72">
        <f>IF(AR_725[[#This Row],[PO Amount]]=0,1,AR_725[[#This Row],[Total AR (Sent)]]/AR_725[[#This Row],[PO Amount]])</f>
        <v>0</v>
      </c>
      <c r="T240" s="73">
        <f>AR_725[[#This Row],[PO Amount]]-AR_725[[#This Row],[Total AR (Sent)]]</f>
        <v>28520</v>
      </c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4"/>
      <c r="AV240" s="78"/>
      <c r="AW240" s="30"/>
      <c r="AX240" s="30"/>
      <c r="AY240" s="30"/>
      <c r="AZ240" s="30"/>
      <c r="BA240" s="30"/>
      <c r="BB240" s="30"/>
      <c r="BC240" s="30"/>
      <c r="BD240" s="30"/>
      <c r="BE240" s="30"/>
      <c r="BF240" s="30"/>
      <c r="BG240" s="30"/>
      <c r="BH240" s="30"/>
      <c r="BI240" s="30"/>
      <c r="BJ240" s="30"/>
      <c r="BK240" s="30"/>
      <c r="BL240" s="30"/>
      <c r="BM240" s="30"/>
      <c r="BN240" s="30"/>
      <c r="BO240" s="30"/>
      <c r="BP240" s="30"/>
      <c r="BQ240" s="30"/>
      <c r="BR240" s="30"/>
      <c r="BS240" s="30"/>
      <c r="BT240" s="30"/>
      <c r="BU240" s="30"/>
      <c r="BV240" s="30"/>
      <c r="BW240" s="30"/>
      <c r="BX240" s="30"/>
      <c r="BY240" s="30"/>
      <c r="BZ240" s="40"/>
      <c r="CA240" s="30"/>
      <c r="CB240" s="30"/>
      <c r="CC240" s="30"/>
      <c r="CD240" s="30"/>
      <c r="CE240" s="30"/>
      <c r="CF240" s="30"/>
      <c r="CG240" s="122"/>
      <c r="CH240" s="30"/>
      <c r="CI240" s="122"/>
      <c r="CJ240" s="30"/>
      <c r="CK240" s="122">
        <v>0</v>
      </c>
      <c r="CL240" s="122">
        <v>0</v>
      </c>
      <c r="CM240" s="122">
        <v>0</v>
      </c>
      <c r="CN240" s="127">
        <v>0</v>
      </c>
      <c r="CO240" s="122">
        <f>SUMIFS(BB___HK___AMHS__Others[AR Amount],BB___HK___AMHS__Others[PO No.],AR_725[[#This Row],[tsmc PO '#]],BB___HK___AMHS__Others[Status],"&lt;&gt;Rejected",BB___HK___AMHS__Others[YearMonth],"2024-07")</f>
        <v>0</v>
      </c>
      <c r="CP240" s="127">
        <f>SUMIFS(BB___HK___AMHS__Others[Tax],BB___HK___AMHS__Others[PO No.],AR_725[[#This Row],[tsmc PO '#]],BB___HK___AMHS__Others[Status],"&lt;&gt;Rejected",BB___HK___AMHS__Others[YearMonth],"2024-07")</f>
        <v>0</v>
      </c>
      <c r="CQ240" s="34">
        <f>SUMIFS(BB___HK___AMHS__Others[AR Amount],BB___HK___AMHS__Others[PO No.],AR_725[[#This Row],[tsmc PO '#]],BB___HK___AMHS__Others[Status],"&lt;&gt;Rejected",BB___HK___AMHS__Others[YearMonth],"2024-08")</f>
        <v>0</v>
      </c>
      <c r="CR240" s="44">
        <f>SUMIFS(BB___HK___AMHS__Others[Tax],BB___HK___AMHS__Others[PO No.],AR_725[[#This Row],[tsmc PO '#]],BB___HK___AMHS__Others[Status],"&lt;&gt;Rejected",BB___HK___AMHS__Others[YearMonth],"2024-08")</f>
        <v>0</v>
      </c>
      <c r="CS240" s="598">
        <f>SUMIFS(BB___HK___AMHS__Others[AR Amount],BB___HK___AMHS__Others[PO No.],AR_725[[#This Row],[tsmc PO '#]],BB___HK___AMHS__Others[Status],"&lt;&gt;Rejected",BB___HK___AMHS__Others[YearMonth],"2024-09")</f>
        <v>0</v>
      </c>
      <c r="CT240" s="602">
        <f>SUMIFS(BB___HK___AMHS__Others[Tax],BB___HK___AMHS__Others[PO No.],AR_725[[#This Row],[tsmc PO '#]],BB___HK___AMHS__Others[Status],"&lt;&gt;Rejected",BB___HK___AMHS__Others[YearMonth],"2024-09")</f>
        <v>0</v>
      </c>
    </row>
    <row r="241" spans="1:98" ht="14.1" hidden="1">
      <c r="A241" s="30" t="s">
        <v>8</v>
      </c>
      <c r="B241" s="30" t="s">
        <v>8</v>
      </c>
      <c r="D241" s="50" t="s">
        <v>8</v>
      </c>
      <c r="E241" s="48" t="s">
        <v>2109</v>
      </c>
      <c r="F241" s="50" t="s">
        <v>2110</v>
      </c>
      <c r="G241" s="50" t="s">
        <v>1316</v>
      </c>
      <c r="H241" s="50">
        <v>4590017604</v>
      </c>
      <c r="I241" s="30" t="s">
        <v>300</v>
      </c>
      <c r="J241" s="30" t="s">
        <v>1317</v>
      </c>
      <c r="K241" s="62">
        <v>324069</v>
      </c>
      <c r="L241" s="30"/>
      <c r="M241" s="50" t="s">
        <v>2264</v>
      </c>
      <c r="N241" s="87"/>
      <c r="O241" s="30" t="s">
        <v>2156</v>
      </c>
      <c r="P24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324069</v>
      </c>
      <c r="Q24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4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324069</v>
      </c>
      <c r="S241" s="72">
        <f>IF(AR_725[[#This Row],[PO Amount]]=0,1,AR_725[[#This Row],[Total AR (Sent)]]/AR_725[[#This Row],[PO Amount]])</f>
        <v>1</v>
      </c>
      <c r="T241" s="73">
        <f>AR_725[[#This Row],[PO Amount]]-AR_725[[#This Row],[Total AR (Sent)]]</f>
        <v>0</v>
      </c>
      <c r="AT241" s="30"/>
      <c r="AU241" s="34"/>
      <c r="AV241" s="78"/>
      <c r="BY241" s="30"/>
      <c r="BZ241" s="40"/>
      <c r="CG241" s="122">
        <f>SUMIFS(BB___HK___AMHS__Others[AR Amount],BB___HK___AMHS__Others[PO No.],AR_725[[#This Row],[tsmc PO '#]],BB___HK___AMHS__Others[Status],"&lt;&gt;Rejected",BB___HK___AMHS__Others[YearMonth],"2024-03")</f>
        <v>0</v>
      </c>
      <c r="CI241" s="122">
        <f>SUMIFS(BB___HK___AMHS__Others[AR Amount],BB___HK___AMHS__Others[PO No.],AR_725[[#This Row],[tsmc PO '#]],BB___HK___AMHS__Others[Status],"&lt;&gt;Rejected",BB___HK___AMHS__Others[YearMonth],"2024-04")</f>
        <v>0</v>
      </c>
      <c r="CJ241" s="30"/>
      <c r="CK241" s="122">
        <v>0</v>
      </c>
      <c r="CL241" s="122">
        <v>0</v>
      </c>
      <c r="CM241" s="122">
        <v>324069</v>
      </c>
      <c r="CN241" s="122">
        <v>0</v>
      </c>
      <c r="CO241" s="122">
        <f>SUMIFS(BB___HK___AMHS__Others[AR Amount],BB___HK___AMHS__Others[PO No.],AR_725[[#This Row],[tsmc PO '#]],BB___HK___AMHS__Others[Status],"&lt;&gt;Rejected",BB___HK___AMHS__Others[YearMonth],"2024-07")</f>
        <v>0</v>
      </c>
      <c r="CP241" s="122">
        <f>SUMIFS(BB___HK___AMHS__Others[Tax],BB___HK___AMHS__Others[PO No.],AR_725[[#This Row],[tsmc PO '#]],BB___HK___AMHS__Others[Status],"&lt;&gt;Rejected",BB___HK___AMHS__Others[YearMonth],"2024-07")</f>
        <v>0</v>
      </c>
      <c r="CQ241" s="34">
        <f>SUMIFS(BB___HK___AMHS__Others[AR Amount],BB___HK___AMHS__Others[PO No.],AR_725[[#This Row],[tsmc PO '#]],BB___HK___AMHS__Others[Status],"&lt;&gt;Rejected",BB___HK___AMHS__Others[YearMonth],"2024-08")</f>
        <v>0</v>
      </c>
      <c r="CR241" s="44">
        <f>SUMIFS(BB___HK___AMHS__Others[Tax],BB___HK___AMHS__Others[PO No.],AR_725[[#This Row],[tsmc PO '#]],BB___HK___AMHS__Others[Status],"&lt;&gt;Rejected",BB___HK___AMHS__Others[YearMonth],"2024-08")</f>
        <v>0</v>
      </c>
      <c r="CS241" s="62">
        <f>SUMIFS(BB___HK___AMHS__Others[AR Amount],BB___HK___AMHS__Others[PO No.],AR_725[[#This Row],[tsmc PO '#]],BB___HK___AMHS__Others[Status],"&lt;&gt;Rejected",BB___HK___AMHS__Others[YearMonth],"2024-09")</f>
        <v>0</v>
      </c>
      <c r="CT241" s="601">
        <f>SUMIFS(BB___HK___AMHS__Others[Tax],BB___HK___AMHS__Others[PO No.],AR_725[[#This Row],[tsmc PO '#]],BB___HK___AMHS__Others[Status],"&lt;&gt;Rejected",BB___HK___AMHS__Others[YearMonth],"2024-09")</f>
        <v>0</v>
      </c>
    </row>
    <row r="242" spans="1:98" ht="14.1">
      <c r="A242" s="30" t="s">
        <v>13</v>
      </c>
      <c r="B242" s="30" t="s">
        <v>13</v>
      </c>
      <c r="D242" s="50"/>
      <c r="E242" s="30" t="s">
        <v>2044</v>
      </c>
      <c r="F242" s="50"/>
      <c r="G242" s="50" t="s">
        <v>2265</v>
      </c>
      <c r="H242" s="50">
        <v>4590017765</v>
      </c>
      <c r="I242" s="30" t="s">
        <v>537</v>
      </c>
      <c r="J242" s="30" t="s">
        <v>1892</v>
      </c>
      <c r="K242" s="40">
        <v>18400</v>
      </c>
      <c r="L242" s="30"/>
      <c r="M242" s="86">
        <v>45420</v>
      </c>
      <c r="N242" s="87"/>
      <c r="O242" s="30" t="s">
        <v>2156</v>
      </c>
      <c r="P24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18400</v>
      </c>
      <c r="Q24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4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242" s="72">
        <f>IF(AR_725[[#This Row],[PO Amount]]=0,1,AR_725[[#This Row],[Total AR (Sent)]]/AR_725[[#This Row],[PO Amount]])</f>
        <v>1</v>
      </c>
      <c r="T242" s="73">
        <f>AR_725[[#This Row],[PO Amount]]-AR_725[[#This Row],[Total AR (Sent)]]</f>
        <v>0</v>
      </c>
      <c r="AT242" s="30"/>
      <c r="AU242" s="34"/>
      <c r="AV242" s="78"/>
      <c r="BY242" s="30"/>
      <c r="BZ242" s="40"/>
      <c r="CG242" s="122"/>
      <c r="CI242" s="122"/>
      <c r="CJ242" s="30"/>
      <c r="CK242" s="122">
        <v>0</v>
      </c>
      <c r="CL242" s="122">
        <v>0</v>
      </c>
      <c r="CM242" s="122">
        <v>0</v>
      </c>
      <c r="CN242" s="122">
        <v>0</v>
      </c>
      <c r="CO242" s="122">
        <f>SUMIFS(BB___HK___AMHS__Others[AR Amount],BB___HK___AMHS__Others[PO No.],AR_725[[#This Row],[tsmc PO '#]],BB___HK___AMHS__Others[Status],"&lt;&gt;Rejected",BB___HK___AMHS__Others[YearMonth],"2024-07")</f>
        <v>0</v>
      </c>
      <c r="CP242" s="122">
        <f>SUMIFS(BB___HK___AMHS__Others[Tax],BB___HK___AMHS__Others[PO No.],AR_725[[#This Row],[tsmc PO '#]],BB___HK___AMHS__Others[Status],"&lt;&gt;Rejected",BB___HK___AMHS__Others[YearMonth],"2024-07")</f>
        <v>0</v>
      </c>
      <c r="CQ242" s="34">
        <f>SUMIFS(BB___HK___AMHS__Others[AR Amount],BB___HK___AMHS__Others[PO No.],AR_725[[#This Row],[tsmc PO '#]],BB___HK___AMHS__Others[Status],"&lt;&gt;Rejected",BB___HK___AMHS__Others[YearMonth],"2024-08")</f>
        <v>0</v>
      </c>
      <c r="CR242" s="44">
        <f>SUMIFS(BB___HK___AMHS__Others[Tax],BB___HK___AMHS__Others[PO No.],AR_725[[#This Row],[tsmc PO '#]],BB___HK___AMHS__Others[Status],"&lt;&gt;Rejected",BB___HK___AMHS__Others[YearMonth],"2024-08")</f>
        <v>0</v>
      </c>
      <c r="CS242" s="62">
        <f>SUMIFS(BB___HK___AMHS__Others[AR Amount],BB___HK___AMHS__Others[PO No.],AR_725[[#This Row],[tsmc PO '#]],BB___HK___AMHS__Others[Status],"&lt;&gt;Rejected",BB___HK___AMHS__Others[YearMonth],"2024-09")</f>
        <v>18400</v>
      </c>
      <c r="CT242" s="601">
        <f>SUMIFS(BB___HK___AMHS__Others[Tax],BB___HK___AMHS__Others[PO No.],AR_725[[#This Row],[tsmc PO '#]],BB___HK___AMHS__Others[Status],"&lt;&gt;Rejected",BB___HK___AMHS__Others[YearMonth],"2024-09")</f>
        <v>0</v>
      </c>
    </row>
    <row r="243" spans="1:98" ht="14.1">
      <c r="A243" s="30" t="s">
        <v>13</v>
      </c>
      <c r="B243" s="30" t="s">
        <v>13</v>
      </c>
      <c r="D243" s="50"/>
      <c r="F243" s="50"/>
      <c r="G243" s="50" t="s">
        <v>2266</v>
      </c>
      <c r="H243" s="50">
        <v>4590017784</v>
      </c>
      <c r="I243" s="30" t="s">
        <v>563</v>
      </c>
      <c r="J243" s="30" t="s">
        <v>1763</v>
      </c>
      <c r="K243" s="40">
        <v>481285</v>
      </c>
      <c r="L243" s="30"/>
      <c r="M243" s="86">
        <v>45420</v>
      </c>
      <c r="N243" s="87"/>
      <c r="O243" s="30" t="s">
        <v>2156</v>
      </c>
      <c r="P24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365636.75</v>
      </c>
      <c r="Q24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4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162146.57</v>
      </c>
      <c r="S243" s="72">
        <f>IF(AR_725[[#This Row],[PO Amount]]=0,1,AR_725[[#This Row],[Total AR (Sent)]]/AR_725[[#This Row],[PO Amount]])</f>
        <v>0.75970942373022221</v>
      </c>
      <c r="T243" s="73">
        <f>AR_725[[#This Row],[PO Amount]]-AR_725[[#This Row],[Total AR (Sent)]]</f>
        <v>115648.25</v>
      </c>
      <c r="AT243" s="30"/>
      <c r="AU243" s="34"/>
      <c r="AV243" s="78"/>
      <c r="BY243" s="30"/>
      <c r="BZ243" s="40"/>
      <c r="CG243" s="122"/>
      <c r="CI243" s="122"/>
      <c r="CJ243" s="30"/>
      <c r="CK243" s="122">
        <v>19470.88</v>
      </c>
      <c r="CL243" s="122">
        <v>0</v>
      </c>
      <c r="CM243" s="122">
        <v>0</v>
      </c>
      <c r="CN243" s="122">
        <v>0</v>
      </c>
      <c r="CO243" s="34">
        <f>SUMIFS(BB___HK___AMHS__Others[AR Amount],BB___HK___AMHS__Others[PO No.],AR_725[[#This Row],[tsmc PO '#]],BB___HK___AMHS__Others[Status],"&lt;&gt;Rejected",BB___HK___AMHS__Others[YearMonth],"2024-07")</f>
        <v>0</v>
      </c>
      <c r="CP243" s="122">
        <f>SUMIFS(BB___HK___AMHS__Others[Tax],BB___HK___AMHS__Others[PO No.],AR_725[[#This Row],[tsmc PO '#]],BB___HK___AMHS__Others[Status],"&lt;&gt;Rejected",BB___HK___AMHS__Others[YearMonth],"2024-07")</f>
        <v>0</v>
      </c>
      <c r="CQ243" s="34">
        <f>SUMIFS(BB___HK___AMHS__Others[AR Amount],BB___HK___AMHS__Others[PO No.],AR_725[[#This Row],[tsmc PO '#]],BB___HK___AMHS__Others[Status],"&lt;&gt;Rejected",BB___HK___AMHS__Others[YearMonth],"2024-08")</f>
        <v>142675.69</v>
      </c>
      <c r="CR243" s="44">
        <f>SUMIFS(BB___HK___AMHS__Others[Tax],BB___HK___AMHS__Others[PO No.],AR_725[[#This Row],[tsmc PO '#]],BB___HK___AMHS__Others[Status],"&lt;&gt;Rejected",BB___HK___AMHS__Others[YearMonth],"2024-08")</f>
        <v>0</v>
      </c>
      <c r="CS243" s="62">
        <f>SUMIFS(BB___HK___AMHS__Others[AR Amount],BB___HK___AMHS__Others[PO No.],AR_725[[#This Row],[tsmc PO '#]],BB___HK___AMHS__Others[Status],"&lt;&gt;Rejected",BB___HK___AMHS__Others[YearMonth],"2024-09")</f>
        <v>203490.18</v>
      </c>
      <c r="CT243" s="601">
        <f>SUMIFS(BB___HK___AMHS__Others[Tax],BB___HK___AMHS__Others[PO No.],AR_725[[#This Row],[tsmc PO '#]],BB___HK___AMHS__Others[Status],"&lt;&gt;Rejected",BB___HK___AMHS__Others[YearMonth],"2024-09")</f>
        <v>0</v>
      </c>
    </row>
    <row r="244" spans="1:98" ht="14.1">
      <c r="A244" s="30" t="s">
        <v>13</v>
      </c>
      <c r="B244" s="30" t="s">
        <v>13</v>
      </c>
      <c r="D244" s="50"/>
      <c r="F244" s="50"/>
      <c r="G244" s="50" t="s">
        <v>1360</v>
      </c>
      <c r="H244" s="50">
        <v>4590018032</v>
      </c>
      <c r="I244" s="30" t="s">
        <v>222</v>
      </c>
      <c r="J244" s="30" t="s">
        <v>390</v>
      </c>
      <c r="K244" s="40">
        <v>1668571.43</v>
      </c>
      <c r="L244" s="30"/>
      <c r="M244" s="86">
        <v>45428</v>
      </c>
      <c r="N244" s="87"/>
      <c r="O244" s="30" t="s">
        <v>2267</v>
      </c>
      <c r="P24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852994.63</v>
      </c>
      <c r="Q24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4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670621.29</v>
      </c>
      <c r="S244" s="72">
        <f>IF(AR_725[[#This Row],[PO Amount]]=0,1,AR_725[[#This Row],[Total AR (Sent)]]/AR_725[[#This Row],[PO Amount]])</f>
        <v>0.51121253466505778</v>
      </c>
      <c r="T244" s="73">
        <f>AR_725[[#This Row],[PO Amount]]-AR_725[[#This Row],[Total AR (Sent)]]</f>
        <v>815576.79999999993</v>
      </c>
      <c r="AT244" s="30"/>
      <c r="AU244" s="34"/>
      <c r="AV244" s="78"/>
      <c r="BY244" s="30"/>
      <c r="BZ244" s="40"/>
      <c r="CG244" s="122"/>
      <c r="CI244" s="122"/>
      <c r="CJ244" s="30"/>
      <c r="CK244" s="122">
        <v>0</v>
      </c>
      <c r="CL244" s="122">
        <v>0</v>
      </c>
      <c r="CM244" s="122">
        <v>333714.28999999998</v>
      </c>
      <c r="CN244" s="122">
        <v>0</v>
      </c>
      <c r="CO244" s="34">
        <f>SUMIFS(BB___HK___AMHS__Others[AR Amount],BB___HK___AMHS__Others[PO No.],AR_725[[#This Row],[tsmc PO '#]],BB___HK___AMHS__Others[Status],"&lt;&gt;Rejected",BB___HK___AMHS__Others[YearMonth],"2024-07")</f>
        <v>225851.57</v>
      </c>
      <c r="CP244" s="122">
        <f>SUMIFS(BB___HK___AMHS__Others[Tax],BB___HK___AMHS__Others[PO No.],AR_725[[#This Row],[tsmc PO '#]],BB___HK___AMHS__Others[Status],"&lt;&gt;Rejected",BB___HK___AMHS__Others[YearMonth],"2024-07")</f>
        <v>0</v>
      </c>
      <c r="CQ244" s="34">
        <f>SUMIFS(BB___HK___AMHS__Others[AR Amount],BB___HK___AMHS__Others[PO No.],AR_725[[#This Row],[tsmc PO '#]],BB___HK___AMHS__Others[Status],"&lt;&gt;Rejected",BB___HK___AMHS__Others[YearMonth],"2024-08")</f>
        <v>111055.43</v>
      </c>
      <c r="CR244" s="44">
        <f>SUMIFS(BB___HK___AMHS__Others[Tax],BB___HK___AMHS__Others[PO No.],AR_725[[#This Row],[tsmc PO '#]],BB___HK___AMHS__Others[Status],"&lt;&gt;Rejected",BB___HK___AMHS__Others[YearMonth],"2024-08")</f>
        <v>0</v>
      </c>
      <c r="CS244" s="62">
        <f>SUMIFS(BB___HK___AMHS__Others[AR Amount],BB___HK___AMHS__Others[PO No.],AR_725[[#This Row],[tsmc PO '#]],BB___HK___AMHS__Others[Status],"&lt;&gt;Rejected",BB___HK___AMHS__Others[YearMonth],"2024-09")</f>
        <v>182373.34</v>
      </c>
      <c r="CT244" s="601">
        <f>SUMIFS(BB___HK___AMHS__Others[Tax],BB___HK___AMHS__Others[PO No.],AR_725[[#This Row],[tsmc PO '#]],BB___HK___AMHS__Others[Status],"&lt;&gt;Rejected",BB___HK___AMHS__Others[YearMonth],"2024-09")</f>
        <v>0</v>
      </c>
    </row>
    <row r="245" spans="1:98" ht="14.1" hidden="1">
      <c r="A245" s="30" t="s">
        <v>9</v>
      </c>
      <c r="B245" s="30" t="s">
        <v>2051</v>
      </c>
      <c r="D245" s="50" t="s">
        <v>1546</v>
      </c>
      <c r="E245" s="30" t="s">
        <v>2052</v>
      </c>
      <c r="F245" s="50" t="s">
        <v>2053</v>
      </c>
      <c r="G245" s="50" t="s">
        <v>2268</v>
      </c>
      <c r="H245" s="50">
        <v>4590018358</v>
      </c>
      <c r="I245" s="30" t="s">
        <v>584</v>
      </c>
      <c r="J245" s="30" t="s">
        <v>2269</v>
      </c>
      <c r="K245" s="46">
        <v>30019</v>
      </c>
      <c r="L245" s="30"/>
      <c r="M245" s="86">
        <v>45442</v>
      </c>
      <c r="N245" s="87"/>
      <c r="O245" s="30" t="s">
        <v>2160</v>
      </c>
      <c r="P24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24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4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245" s="72">
        <f>IF(AR_725[[#This Row],[PO Amount]]=0,1,AR_725[[#This Row],[Total AR (Sent)]]/AR_725[[#This Row],[PO Amount]])</f>
        <v>0</v>
      </c>
      <c r="T245" s="73">
        <f>AR_725[[#This Row],[PO Amount]]-AR_725[[#This Row],[Total AR (Sent)]]</f>
        <v>30019</v>
      </c>
      <c r="AT245" s="30"/>
      <c r="AU245" s="34"/>
      <c r="AV245" s="78"/>
      <c r="BY245" s="30"/>
      <c r="BZ245" s="40"/>
      <c r="CG245" s="122"/>
      <c r="CI245" s="122"/>
      <c r="CJ245" s="30"/>
      <c r="CK245" s="370">
        <v>0</v>
      </c>
      <c r="CL245" s="122">
        <v>0</v>
      </c>
      <c r="CM245" s="122">
        <v>0</v>
      </c>
      <c r="CN245" s="122">
        <v>0</v>
      </c>
      <c r="CO245" s="122">
        <f>SUMIFS(BB___HK___AMHS__Others[AR Amount],BB___HK___AMHS__Others[PO No.],AR_725[[#This Row],[tsmc PO '#]],BB___HK___AMHS__Others[Status],"&lt;&gt;Rejected",BB___HK___AMHS__Others[YearMonth],"2024-07")</f>
        <v>0</v>
      </c>
      <c r="CP245" s="122">
        <f>SUMIFS(BB___HK___AMHS__Others[Tax],BB___HK___AMHS__Others[PO No.],AR_725[[#This Row],[tsmc PO '#]],BB___HK___AMHS__Others[Status],"&lt;&gt;Rejected",BB___HK___AMHS__Others[YearMonth],"2024-07")</f>
        <v>0</v>
      </c>
      <c r="CQ245" s="34">
        <f>SUMIFS(BB___HK___AMHS__Others[AR Amount],BB___HK___AMHS__Others[PO No.],AR_725[[#This Row],[tsmc PO '#]],BB___HK___AMHS__Others[Status],"&lt;&gt;Rejected",BB___HK___AMHS__Others[YearMonth],"2024-08")</f>
        <v>0</v>
      </c>
      <c r="CR245" s="44">
        <f>SUMIFS(BB___HK___AMHS__Others[Tax],BB___HK___AMHS__Others[PO No.],AR_725[[#This Row],[tsmc PO '#]],BB___HK___AMHS__Others[Status],"&lt;&gt;Rejected",BB___HK___AMHS__Others[YearMonth],"2024-08")</f>
        <v>0</v>
      </c>
      <c r="CS245" s="62">
        <f>SUMIFS(BB___HK___AMHS__Others[AR Amount],BB___HK___AMHS__Others[PO No.],AR_725[[#This Row],[tsmc PO '#]],BB___HK___AMHS__Others[Status],"&lt;&gt;Rejected",BB___HK___AMHS__Others[YearMonth],"2024-09")</f>
        <v>0</v>
      </c>
      <c r="CT245" s="601">
        <f>SUMIFS(BB___HK___AMHS__Others[Tax],BB___HK___AMHS__Others[PO No.],AR_725[[#This Row],[tsmc PO '#]],BB___HK___AMHS__Others[Status],"&lt;&gt;Rejected",BB___HK___AMHS__Others[YearMonth],"2024-09")</f>
        <v>0</v>
      </c>
    </row>
    <row r="246" spans="1:98" ht="14.1" hidden="1">
      <c r="A246" s="30" t="s">
        <v>8</v>
      </c>
      <c r="B246" s="30" t="s">
        <v>13</v>
      </c>
      <c r="D246" s="50" t="s">
        <v>8</v>
      </c>
      <c r="E246" s="604" t="s">
        <v>2109</v>
      </c>
      <c r="F246" s="50" t="s">
        <v>2110</v>
      </c>
      <c r="G246" s="50" t="s">
        <v>2270</v>
      </c>
      <c r="H246" s="50">
        <v>4590018645</v>
      </c>
      <c r="I246" s="30" t="s">
        <v>300</v>
      </c>
      <c r="J246" s="30" t="s">
        <v>1864</v>
      </c>
      <c r="K246" s="62">
        <v>243952.02</v>
      </c>
      <c r="L246" s="30"/>
      <c r="M246" s="50" t="s">
        <v>2271</v>
      </c>
      <c r="N246" s="87"/>
      <c r="O246" s="30" t="s">
        <v>2156</v>
      </c>
      <c r="P24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24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4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246" s="72">
        <f>IF(AR_725[[#This Row],[PO Amount]]=0,1,AR_725[[#This Row],[Total AR (Sent)]]/AR_725[[#This Row],[PO Amount]])</f>
        <v>0</v>
      </c>
      <c r="T246" s="73">
        <f>AR_725[[#This Row],[PO Amount]]-AR_725[[#This Row],[Total AR (Sent)]]</f>
        <v>243952.02</v>
      </c>
      <c r="AT246" s="30"/>
      <c r="AU246" s="34"/>
      <c r="AV246" s="78"/>
      <c r="AZ246" s="79"/>
      <c r="BB246" s="79"/>
      <c r="BL246" s="79"/>
      <c r="BY246" s="30"/>
      <c r="BZ246" s="40"/>
      <c r="CG246" s="122"/>
      <c r="CI246" s="122"/>
      <c r="CJ246" s="30"/>
      <c r="CK246" s="122"/>
      <c r="CL246" s="122">
        <v>0</v>
      </c>
      <c r="CM246" s="122">
        <v>0</v>
      </c>
      <c r="CN246" s="122">
        <v>0</v>
      </c>
      <c r="CO246" s="122">
        <f>SUMIFS(BB___HK___AMHS__Others[AR Amount],BB___HK___AMHS__Others[PO No.],AR_725[[#This Row],[tsmc PO '#]],BB___HK___AMHS__Others[Status],"&lt;&gt;Rejected",BB___HK___AMHS__Others[YearMonth],"2024-07")</f>
        <v>0</v>
      </c>
      <c r="CP246" s="122">
        <f>SUMIFS(BB___HK___AMHS__Others[Tax],BB___HK___AMHS__Others[PO No.],AR_725[[#This Row],[tsmc PO '#]],BB___HK___AMHS__Others[Status],"&lt;&gt;Rejected",BB___HK___AMHS__Others[YearMonth],"2024-07")</f>
        <v>0</v>
      </c>
      <c r="CQ246" s="34">
        <f>SUMIFS(BB___HK___AMHS__Others[AR Amount],BB___HK___AMHS__Others[PO No.],AR_725[[#This Row],[tsmc PO '#]],BB___HK___AMHS__Others[Status],"&lt;&gt;Rejected",BB___HK___AMHS__Others[YearMonth],"2024-08")</f>
        <v>0</v>
      </c>
      <c r="CR246" s="44">
        <f>SUMIFS(BB___HK___AMHS__Others[Tax],BB___HK___AMHS__Others[PO No.],AR_725[[#This Row],[tsmc PO '#]],BB___HK___AMHS__Others[Status],"&lt;&gt;Rejected",BB___HK___AMHS__Others[YearMonth],"2024-08")</f>
        <v>0</v>
      </c>
      <c r="CS246" s="62">
        <f>SUMIFS(BB___HK___AMHS__Others[AR Amount],BB___HK___AMHS__Others[PO No.],AR_725[[#This Row],[tsmc PO '#]],BB___HK___AMHS__Others[Status],"&lt;&gt;Rejected",BB___HK___AMHS__Others[YearMonth],"2024-09")</f>
        <v>0</v>
      </c>
      <c r="CT246" s="601">
        <f>SUMIFS(BB___HK___AMHS__Others[Tax],BB___HK___AMHS__Others[PO No.],AR_725[[#This Row],[tsmc PO '#]],BB___HK___AMHS__Others[Status],"&lt;&gt;Rejected",BB___HK___AMHS__Others[YearMonth],"2024-09")</f>
        <v>0</v>
      </c>
    </row>
    <row r="247" spans="1:98" ht="14.1" hidden="1">
      <c r="A247" s="30" t="s">
        <v>11</v>
      </c>
      <c r="B247" s="30" t="s">
        <v>10</v>
      </c>
      <c r="D247" s="50" t="s">
        <v>1546</v>
      </c>
      <c r="E247" s="30" t="s">
        <v>2052</v>
      </c>
      <c r="F247" s="50" t="s">
        <v>2053</v>
      </c>
      <c r="G247" s="64" t="s">
        <v>2142</v>
      </c>
      <c r="H247" s="50">
        <v>4590018652</v>
      </c>
      <c r="I247" s="30" t="s">
        <v>584</v>
      </c>
      <c r="J247" s="30" t="s">
        <v>2272</v>
      </c>
      <c r="K247" s="62">
        <v>39627.9</v>
      </c>
      <c r="L247" s="30"/>
      <c r="M247" s="50" t="s">
        <v>2271</v>
      </c>
      <c r="N247" s="87"/>
      <c r="O247" s="30" t="s">
        <v>2160</v>
      </c>
      <c r="P24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24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4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247" s="72">
        <f>IF(AR_725[[#This Row],[PO Amount]]=0,1,AR_725[[#This Row],[Total AR (Sent)]]/AR_725[[#This Row],[PO Amount]])</f>
        <v>0</v>
      </c>
      <c r="T247" s="73">
        <f>AR_725[[#This Row],[PO Amount]]-AR_725[[#This Row],[Total AR (Sent)]]</f>
        <v>39627.9</v>
      </c>
      <c r="AT247" s="30"/>
      <c r="AU247" s="34"/>
      <c r="AV247" s="78"/>
      <c r="BY247" s="30"/>
      <c r="BZ247" s="40"/>
      <c r="CG247" s="122"/>
      <c r="CI247" s="122"/>
      <c r="CJ247" s="30"/>
      <c r="CK247" s="122"/>
      <c r="CL247" s="122">
        <v>0</v>
      </c>
      <c r="CM247" s="122">
        <v>0</v>
      </c>
      <c r="CN247" s="122">
        <v>0</v>
      </c>
      <c r="CO247" s="122">
        <f>SUMIFS(BB___HK___AMHS__Others[AR Amount],BB___HK___AMHS__Others[PO No.],AR_725[[#This Row],[tsmc PO '#]],BB___HK___AMHS__Others[Status],"&lt;&gt;Rejected",BB___HK___AMHS__Others[YearMonth],"2024-07")</f>
        <v>0</v>
      </c>
      <c r="CP247" s="122">
        <f>SUMIFS(BB___HK___AMHS__Others[Tax],BB___HK___AMHS__Others[PO No.],AR_725[[#This Row],[tsmc PO '#]],BB___HK___AMHS__Others[Status],"&lt;&gt;Rejected",BB___HK___AMHS__Others[YearMonth],"2024-07")</f>
        <v>0</v>
      </c>
      <c r="CQ247" s="34">
        <f>SUMIFS(BB___HK___AMHS__Others[AR Amount],BB___HK___AMHS__Others[PO No.],AR_725[[#This Row],[tsmc PO '#]],BB___HK___AMHS__Others[Status],"&lt;&gt;Rejected",BB___HK___AMHS__Others[YearMonth],"2024-08")</f>
        <v>0</v>
      </c>
      <c r="CR247" s="44">
        <f>SUMIFS(BB___HK___AMHS__Others[Tax],BB___HK___AMHS__Others[PO No.],AR_725[[#This Row],[tsmc PO '#]],BB___HK___AMHS__Others[Status],"&lt;&gt;Rejected",BB___HK___AMHS__Others[YearMonth],"2024-08")</f>
        <v>0</v>
      </c>
      <c r="CS247" s="62">
        <f>SUMIFS(BB___HK___AMHS__Others[AR Amount],BB___HK___AMHS__Others[PO No.],AR_725[[#This Row],[tsmc PO '#]],BB___HK___AMHS__Others[Status],"&lt;&gt;Rejected",BB___HK___AMHS__Others[YearMonth],"2024-09")</f>
        <v>0</v>
      </c>
      <c r="CT247" s="601">
        <f>SUMIFS(BB___HK___AMHS__Others[Tax],BB___HK___AMHS__Others[PO No.],AR_725[[#This Row],[tsmc PO '#]],BB___HK___AMHS__Others[Status],"&lt;&gt;Rejected",BB___HK___AMHS__Others[YearMonth],"2024-09")</f>
        <v>0</v>
      </c>
    </row>
    <row r="248" spans="1:98" ht="14.45" hidden="1" customHeight="1">
      <c r="A248" s="30" t="s">
        <v>8</v>
      </c>
      <c r="B248" s="30" t="s">
        <v>8</v>
      </c>
      <c r="D248" s="50" t="s">
        <v>8</v>
      </c>
      <c r="E248" s="48" t="s">
        <v>2109</v>
      </c>
      <c r="F248" s="50" t="s">
        <v>2110</v>
      </c>
      <c r="G248" s="50" t="s">
        <v>54</v>
      </c>
      <c r="H248" s="50">
        <v>4590018678</v>
      </c>
      <c r="I248" s="30" t="s">
        <v>252</v>
      </c>
      <c r="J248" s="30" t="s">
        <v>2273</v>
      </c>
      <c r="K248" s="62">
        <v>2418381.8199999998</v>
      </c>
      <c r="M248" s="50" t="s">
        <v>2274</v>
      </c>
      <c r="N248" s="87"/>
      <c r="O248" s="30" t="s">
        <v>2156</v>
      </c>
      <c r="P24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2418381.8199999998</v>
      </c>
      <c r="Q24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4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2418381.8199999998</v>
      </c>
      <c r="S248" s="72">
        <f>IF(AR_725[[#This Row],[PO Amount]]=0,1,AR_725[[#This Row],[Total AR (Sent)]]/AR_725[[#This Row],[PO Amount]])</f>
        <v>1</v>
      </c>
      <c r="T248" s="73">
        <f>AR_725[[#This Row],[PO Amount]]-AR_725[[#This Row],[Total AR (Sent)]]</f>
        <v>0</v>
      </c>
      <c r="AV248" s="78"/>
      <c r="CG248" s="122">
        <f>SUMIFS(BB___HK___AMHS__Others[AR Amount],BB___HK___AMHS__Others[PO No.],AR_725[[#This Row],[tsmc PO '#]],BB___HK___AMHS__Others[Status],"&lt;&gt;Rejected",BB___HK___AMHS__Others[YearMonth],"2024-03")</f>
        <v>0</v>
      </c>
      <c r="CI248" s="122">
        <f>SUMIFS(BB___HK___AMHS__Others[AR Amount],BB___HK___AMHS__Others[PO No.],AR_725[[#This Row],[tsmc PO '#]],BB___HK___AMHS__Others[Status],"&lt;&gt;Rejected",BB___HK___AMHS__Others[YearMonth],"2024-04")</f>
        <v>0</v>
      </c>
      <c r="CK248" s="122"/>
      <c r="CL248" s="122">
        <v>0</v>
      </c>
      <c r="CM248" s="122">
        <v>2418381.8199999998</v>
      </c>
      <c r="CN248" s="122">
        <v>0</v>
      </c>
      <c r="CO248" s="122">
        <f>SUMIFS(BB___HK___AMHS__Others[AR Amount],BB___HK___AMHS__Others[PO No.],AR_725[[#This Row],[tsmc PO '#]],BB___HK___AMHS__Others[Status],"&lt;&gt;Rejected",BB___HK___AMHS__Others[YearMonth],"2024-07")</f>
        <v>0</v>
      </c>
      <c r="CP248" s="122">
        <f>SUMIFS(BB___HK___AMHS__Others[Tax],BB___HK___AMHS__Others[PO No.],AR_725[[#This Row],[tsmc PO '#]],BB___HK___AMHS__Others[Status],"&lt;&gt;Rejected",BB___HK___AMHS__Others[YearMonth],"2024-07")</f>
        <v>0</v>
      </c>
      <c r="CQ248" s="34">
        <f>SUMIFS(BB___HK___AMHS__Others[AR Amount],BB___HK___AMHS__Others[PO No.],AR_725[[#This Row],[tsmc PO '#]],BB___HK___AMHS__Others[Status],"&lt;&gt;Rejected",BB___HK___AMHS__Others[YearMonth],"2024-08")</f>
        <v>0</v>
      </c>
      <c r="CR248" s="44">
        <f>SUMIFS(BB___HK___AMHS__Others[Tax],BB___HK___AMHS__Others[PO No.],AR_725[[#This Row],[tsmc PO '#]],BB___HK___AMHS__Others[Status],"&lt;&gt;Rejected",BB___HK___AMHS__Others[YearMonth],"2024-08")</f>
        <v>0</v>
      </c>
      <c r="CS248" s="62">
        <f>SUMIFS(BB___HK___AMHS__Others[AR Amount],BB___HK___AMHS__Others[PO No.],AR_725[[#This Row],[tsmc PO '#]],BB___HK___AMHS__Others[Status],"&lt;&gt;Rejected",BB___HK___AMHS__Others[YearMonth],"2024-09")</f>
        <v>0</v>
      </c>
      <c r="CT248" s="601">
        <f>SUMIFS(BB___HK___AMHS__Others[Tax],BB___HK___AMHS__Others[PO No.],AR_725[[#This Row],[tsmc PO '#]],BB___HK___AMHS__Others[Status],"&lt;&gt;Rejected",BB___HK___AMHS__Others[YearMonth],"2024-09")</f>
        <v>0</v>
      </c>
    </row>
    <row r="249" spans="1:98" ht="14.1" hidden="1">
      <c r="A249" s="30" t="s">
        <v>11</v>
      </c>
      <c r="B249" s="30" t="s">
        <v>10</v>
      </c>
      <c r="D249" s="50" t="s">
        <v>1546</v>
      </c>
      <c r="E249" s="30" t="s">
        <v>2052</v>
      </c>
      <c r="F249" s="50" t="s">
        <v>2053</v>
      </c>
      <c r="G249" s="64" t="s">
        <v>2142</v>
      </c>
      <c r="H249" s="50">
        <v>4590018680</v>
      </c>
      <c r="I249" s="30" t="s">
        <v>584</v>
      </c>
      <c r="J249" s="30" t="s">
        <v>2275</v>
      </c>
      <c r="K249" s="62">
        <v>27306.55</v>
      </c>
      <c r="L249" s="30"/>
      <c r="M249" s="50" t="s">
        <v>2274</v>
      </c>
      <c r="N249" s="87"/>
      <c r="O249" s="30" t="s">
        <v>2160</v>
      </c>
      <c r="P24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24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4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249" s="72">
        <f>IF(AR_725[[#This Row],[PO Amount]]=0,1,AR_725[[#This Row],[Total AR (Sent)]]/AR_725[[#This Row],[PO Amount]])</f>
        <v>0</v>
      </c>
      <c r="T249" s="73">
        <f>AR_725[[#This Row],[PO Amount]]-AR_725[[#This Row],[Total AR (Sent)]]</f>
        <v>27306.55</v>
      </c>
      <c r="AT249" s="30"/>
      <c r="AU249" s="34"/>
      <c r="AV249" s="78"/>
      <c r="BY249" s="30"/>
      <c r="BZ249" s="40"/>
      <c r="CG249" s="122"/>
      <c r="CI249" s="122"/>
      <c r="CJ249" s="30"/>
      <c r="CK249" s="122"/>
      <c r="CL249" s="122">
        <v>0</v>
      </c>
      <c r="CM249" s="122">
        <v>0</v>
      </c>
      <c r="CN249" s="122">
        <v>0</v>
      </c>
      <c r="CO249" s="122">
        <f>SUMIFS(BB___HK___AMHS__Others[AR Amount],BB___HK___AMHS__Others[PO No.],AR_725[[#This Row],[tsmc PO '#]],BB___HK___AMHS__Others[Status],"&lt;&gt;Rejected",BB___HK___AMHS__Others[YearMonth],"2024-07")</f>
        <v>0</v>
      </c>
      <c r="CP249" s="122">
        <f>SUMIFS(BB___HK___AMHS__Others[Tax],BB___HK___AMHS__Others[PO No.],AR_725[[#This Row],[tsmc PO '#]],BB___HK___AMHS__Others[Status],"&lt;&gt;Rejected",BB___HK___AMHS__Others[YearMonth],"2024-07")</f>
        <v>0</v>
      </c>
      <c r="CQ249" s="34">
        <f>SUMIFS(BB___HK___AMHS__Others[AR Amount],BB___HK___AMHS__Others[PO No.],AR_725[[#This Row],[tsmc PO '#]],BB___HK___AMHS__Others[Status],"&lt;&gt;Rejected",BB___HK___AMHS__Others[YearMonth],"2024-08")</f>
        <v>0</v>
      </c>
      <c r="CR249" s="44">
        <f>SUMIFS(BB___HK___AMHS__Others[Tax],BB___HK___AMHS__Others[PO No.],AR_725[[#This Row],[tsmc PO '#]],BB___HK___AMHS__Others[Status],"&lt;&gt;Rejected",BB___HK___AMHS__Others[YearMonth],"2024-08")</f>
        <v>0</v>
      </c>
      <c r="CS249" s="62">
        <f>SUMIFS(BB___HK___AMHS__Others[AR Amount],BB___HK___AMHS__Others[PO No.],AR_725[[#This Row],[tsmc PO '#]],BB___HK___AMHS__Others[Status],"&lt;&gt;Rejected",BB___HK___AMHS__Others[YearMonth],"2024-09")</f>
        <v>0</v>
      </c>
      <c r="CT249" s="601">
        <f>SUMIFS(BB___HK___AMHS__Others[Tax],BB___HK___AMHS__Others[PO No.],AR_725[[#This Row],[tsmc PO '#]],BB___HK___AMHS__Others[Status],"&lt;&gt;Rejected",BB___HK___AMHS__Others[YearMonth],"2024-09")</f>
        <v>0</v>
      </c>
    </row>
    <row r="250" spans="1:98" ht="14.1" hidden="1">
      <c r="A250" s="30" t="s">
        <v>13</v>
      </c>
      <c r="B250" s="30" t="s">
        <v>2113</v>
      </c>
      <c r="D250" s="50"/>
      <c r="E250" s="30" t="s">
        <v>2126</v>
      </c>
      <c r="F250" s="50"/>
      <c r="G250" s="50" t="s">
        <v>54</v>
      </c>
      <c r="H250" s="50">
        <v>4590018877</v>
      </c>
      <c r="I250" s="30" t="s">
        <v>361</v>
      </c>
      <c r="J250" s="30" t="s">
        <v>2276</v>
      </c>
      <c r="K250" s="62">
        <v>6544.8</v>
      </c>
      <c r="M250" s="50" t="s">
        <v>2277</v>
      </c>
      <c r="N250" s="87"/>
      <c r="O250" s="30" t="s">
        <v>2156</v>
      </c>
      <c r="P25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25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5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250" s="72">
        <f>IF(AR_725[[#This Row],[PO Amount]]=0,1,AR_725[[#This Row],[Total AR (Sent)]]/AR_725[[#This Row],[PO Amount]])</f>
        <v>0</v>
      </c>
      <c r="T250" s="73">
        <f>AR_725[[#This Row],[PO Amount]]-AR_725[[#This Row],[Total AR (Sent)]]</f>
        <v>6544.8</v>
      </c>
      <c r="AV250" s="78"/>
      <c r="CG250" s="122"/>
      <c r="CI250" s="122"/>
      <c r="CK250" s="122"/>
      <c r="CL250" s="122">
        <v>0</v>
      </c>
      <c r="CM250" s="122">
        <v>0</v>
      </c>
      <c r="CN250" s="122">
        <v>0</v>
      </c>
      <c r="CO250" s="122">
        <f>SUMIFS(BB___HK___AMHS__Others[AR Amount],BB___HK___AMHS__Others[PO No.],AR_725[[#This Row],[tsmc PO '#]],BB___HK___AMHS__Others[Status],"&lt;&gt;Rejected",BB___HK___AMHS__Others[YearMonth],"2024-07")</f>
        <v>0</v>
      </c>
      <c r="CP250" s="122">
        <f>SUMIFS(BB___HK___AMHS__Others[Tax],BB___HK___AMHS__Others[PO No.],AR_725[[#This Row],[tsmc PO '#]],BB___HK___AMHS__Others[Status],"&lt;&gt;Rejected",BB___HK___AMHS__Others[YearMonth],"2024-07")</f>
        <v>0</v>
      </c>
      <c r="CQ250" s="34">
        <f>SUMIFS(BB___HK___AMHS__Others[AR Amount],BB___HK___AMHS__Others[PO No.],AR_725[[#This Row],[tsmc PO '#]],BB___HK___AMHS__Others[Status],"&lt;&gt;Rejected",BB___HK___AMHS__Others[YearMonth],"2024-08")</f>
        <v>0</v>
      </c>
      <c r="CR250" s="44">
        <f>SUMIFS(BB___HK___AMHS__Others[Tax],BB___HK___AMHS__Others[PO No.],AR_725[[#This Row],[tsmc PO '#]],BB___HK___AMHS__Others[Status],"&lt;&gt;Rejected",BB___HK___AMHS__Others[YearMonth],"2024-08")</f>
        <v>0</v>
      </c>
      <c r="CS250" s="62">
        <f>SUMIFS(BB___HK___AMHS__Others[AR Amount],BB___HK___AMHS__Others[PO No.],AR_725[[#This Row],[tsmc PO '#]],BB___HK___AMHS__Others[Status],"&lt;&gt;Rejected",BB___HK___AMHS__Others[YearMonth],"2024-09")</f>
        <v>0</v>
      </c>
      <c r="CT250" s="601">
        <f>SUMIFS(BB___HK___AMHS__Others[Tax],BB___HK___AMHS__Others[PO No.],AR_725[[#This Row],[tsmc PO '#]],BB___HK___AMHS__Others[Status],"&lt;&gt;Rejected",BB___HK___AMHS__Others[YearMonth],"2024-09")</f>
        <v>0</v>
      </c>
    </row>
    <row r="251" spans="1:98" ht="14.45" hidden="1" customHeight="1">
      <c r="A251" s="30" t="s">
        <v>9</v>
      </c>
      <c r="B251" s="30" t="s">
        <v>2051</v>
      </c>
      <c r="C251" s="30" t="s">
        <v>42</v>
      </c>
      <c r="D251" s="50" t="s">
        <v>1706</v>
      </c>
      <c r="E251" s="50" t="s">
        <v>2278</v>
      </c>
      <c r="F251" s="50" t="s">
        <v>2279</v>
      </c>
      <c r="G251" s="50" t="s">
        <v>1432</v>
      </c>
      <c r="H251" s="50">
        <v>4590019011</v>
      </c>
      <c r="I251" s="30" t="s">
        <v>1515</v>
      </c>
      <c r="J251" s="30" t="s">
        <v>1513</v>
      </c>
      <c r="K251" s="62">
        <v>34500</v>
      </c>
      <c r="M251" s="50" t="s">
        <v>2280</v>
      </c>
      <c r="N251" s="87"/>
      <c r="O251" s="30" t="s">
        <v>2281</v>
      </c>
      <c r="P25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34500</v>
      </c>
      <c r="Q25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5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34500</v>
      </c>
      <c r="S251" s="72">
        <f>IF(AR_725[[#This Row],[PO Amount]]=0,1,AR_725[[#This Row],[Total AR (Sent)]]/AR_725[[#This Row],[PO Amount]])</f>
        <v>1</v>
      </c>
      <c r="T251" s="73">
        <f>AR_725[[#This Row],[PO Amount]]-AR_725[[#This Row],[Total AR (Sent)]]</f>
        <v>0</v>
      </c>
      <c r="AV251" s="78"/>
      <c r="CG251" s="122"/>
      <c r="CI251" s="122"/>
      <c r="CK251" s="122"/>
      <c r="CL251" s="122">
        <v>0</v>
      </c>
      <c r="CM251" s="122">
        <v>0</v>
      </c>
      <c r="CN251" s="122">
        <v>0</v>
      </c>
      <c r="CO251" s="122">
        <f>SUMIFS(BB___HK___AMHS__Others[AR Amount],BB___HK___AMHS__Others[PO No.],AR_725[[#This Row],[tsmc PO '#]],BB___HK___AMHS__Others[Status],"&lt;&gt;Rejected",BB___HK___AMHS__Others[YearMonth],"2024-07")</f>
        <v>34500</v>
      </c>
      <c r="CP251" s="122">
        <f>SUMIFS(BB___HK___AMHS__Others[Tax],BB___HK___AMHS__Others[PO No.],AR_725[[#This Row],[tsmc PO '#]],BB___HK___AMHS__Others[Status],"&lt;&gt;Rejected",BB___HK___AMHS__Others[YearMonth],"2024-07")</f>
        <v>0</v>
      </c>
      <c r="CQ251" s="34">
        <f>SUMIFS(BB___HK___AMHS__Others[AR Amount],BB___HK___AMHS__Others[PO No.],AR_725[[#This Row],[tsmc PO '#]],BB___HK___AMHS__Others[Status],"&lt;&gt;Rejected",BB___HK___AMHS__Others[YearMonth],"2024-08")</f>
        <v>0</v>
      </c>
      <c r="CR251" s="44">
        <f>SUMIFS(BB___HK___AMHS__Others[Tax],BB___HK___AMHS__Others[PO No.],AR_725[[#This Row],[tsmc PO '#]],BB___HK___AMHS__Others[Status],"&lt;&gt;Rejected",BB___HK___AMHS__Others[YearMonth],"2024-08")</f>
        <v>0</v>
      </c>
      <c r="CS251" s="62">
        <f>SUMIFS(BB___HK___AMHS__Others[AR Amount],BB___HK___AMHS__Others[PO No.],AR_725[[#This Row],[tsmc PO '#]],BB___HK___AMHS__Others[Status],"&lt;&gt;Rejected",BB___HK___AMHS__Others[YearMonth],"2024-09")</f>
        <v>0</v>
      </c>
      <c r="CT251" s="601">
        <f>SUMIFS(BB___HK___AMHS__Others[Tax],BB___HK___AMHS__Others[PO No.],AR_725[[#This Row],[tsmc PO '#]],BB___HK___AMHS__Others[Status],"&lt;&gt;Rejected",BB___HK___AMHS__Others[YearMonth],"2024-09")</f>
        <v>0</v>
      </c>
    </row>
    <row r="252" spans="1:98" ht="14.1">
      <c r="A252" s="30" t="s">
        <v>13</v>
      </c>
      <c r="B252" s="30" t="s">
        <v>13</v>
      </c>
      <c r="D252" s="50" t="s">
        <v>1720</v>
      </c>
      <c r="E252" s="30" t="s">
        <v>2044</v>
      </c>
      <c r="F252" s="50" t="s">
        <v>2282</v>
      </c>
      <c r="G252" s="50" t="s">
        <v>1363</v>
      </c>
      <c r="H252" s="50">
        <v>4590019069</v>
      </c>
      <c r="I252" s="30" t="s">
        <v>222</v>
      </c>
      <c r="J252" s="30" t="s">
        <v>1478</v>
      </c>
      <c r="K252" s="62">
        <v>2668813.4700000002</v>
      </c>
      <c r="M252" s="50" t="s">
        <v>2283</v>
      </c>
      <c r="N252" s="87"/>
      <c r="O252" s="30" t="s">
        <v>2156</v>
      </c>
      <c r="P25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569669.07999999996</v>
      </c>
      <c r="Q25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5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533762.68999999994</v>
      </c>
      <c r="S252" s="72">
        <f>IF(AR_725[[#This Row],[PO Amount]]=0,1,AR_725[[#This Row],[Total AR (Sent)]]/AR_725[[#This Row],[PO Amount]])</f>
        <v>0.21345406353933005</v>
      </c>
      <c r="T252" s="73">
        <f>AR_725[[#This Row],[PO Amount]]-AR_725[[#This Row],[Total AR (Sent)]]</f>
        <v>2099144.39</v>
      </c>
      <c r="AV252" s="78"/>
      <c r="CG252" s="122"/>
      <c r="CI252" s="122"/>
      <c r="CK252" s="122"/>
      <c r="CL252" s="122">
        <v>0</v>
      </c>
      <c r="CM252" s="122">
        <v>0</v>
      </c>
      <c r="CN252" s="122">
        <v>0</v>
      </c>
      <c r="CO252" s="122">
        <f>SUMIFS(BB___HK___AMHS__Others[AR Amount],BB___HK___AMHS__Others[PO No.],AR_725[[#This Row],[tsmc PO '#]],BB___HK___AMHS__Others[Status],"&lt;&gt;Rejected",BB___HK___AMHS__Others[YearMonth],"2024-07")</f>
        <v>533762.68999999994</v>
      </c>
      <c r="CP252" s="122">
        <f>SUMIFS(BB___HK___AMHS__Others[Tax],BB___HK___AMHS__Others[PO No.],AR_725[[#This Row],[tsmc PO '#]],BB___HK___AMHS__Others[Status],"&lt;&gt;Rejected",BB___HK___AMHS__Others[YearMonth],"2024-07")</f>
        <v>0</v>
      </c>
      <c r="CQ252" s="34">
        <f>SUMIFS(BB___HK___AMHS__Others[AR Amount],BB___HK___AMHS__Others[PO No.],AR_725[[#This Row],[tsmc PO '#]],BB___HK___AMHS__Others[Status],"&lt;&gt;Rejected",BB___HK___AMHS__Others[YearMonth],"2024-08")</f>
        <v>0</v>
      </c>
      <c r="CR252" s="44">
        <f>SUMIFS(BB___HK___AMHS__Others[Tax],BB___HK___AMHS__Others[PO No.],AR_725[[#This Row],[tsmc PO '#]],BB___HK___AMHS__Others[Status],"&lt;&gt;Rejected",BB___HK___AMHS__Others[YearMonth],"2024-08")</f>
        <v>0</v>
      </c>
      <c r="CS252" s="62">
        <f>SUMIFS(BB___HK___AMHS__Others[AR Amount],BB___HK___AMHS__Others[PO No.],AR_725[[#This Row],[tsmc PO '#]],BB___HK___AMHS__Others[Status],"&lt;&gt;Rejected",BB___HK___AMHS__Others[YearMonth],"2024-09")</f>
        <v>35906.39</v>
      </c>
      <c r="CT252" s="601">
        <f>SUMIFS(BB___HK___AMHS__Others[Tax],BB___HK___AMHS__Others[PO No.],AR_725[[#This Row],[tsmc PO '#]],BB___HK___AMHS__Others[Status],"&lt;&gt;Rejected",BB___HK___AMHS__Others[YearMonth],"2024-09")</f>
        <v>0</v>
      </c>
    </row>
    <row r="253" spans="1:98" ht="14.1">
      <c r="A253" s="30" t="s">
        <v>9</v>
      </c>
      <c r="B253" s="30" t="s">
        <v>2051</v>
      </c>
      <c r="C253" s="30" t="s">
        <v>42</v>
      </c>
      <c r="D253" s="50" t="s">
        <v>1706</v>
      </c>
      <c r="E253" s="30" t="s">
        <v>2070</v>
      </c>
      <c r="F253" s="50" t="s">
        <v>2115</v>
      </c>
      <c r="G253" s="50" t="s">
        <v>1432</v>
      </c>
      <c r="H253" s="50">
        <v>4590019083</v>
      </c>
      <c r="I253" s="30" t="s">
        <v>1416</v>
      </c>
      <c r="J253" s="30" t="s">
        <v>1886</v>
      </c>
      <c r="K253" s="62">
        <v>842291</v>
      </c>
      <c r="M253" s="50" t="s">
        <v>2283</v>
      </c>
      <c r="N253" s="87"/>
      <c r="O253" s="30" t="s">
        <v>2156</v>
      </c>
      <c r="P25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683668</v>
      </c>
      <c r="Q25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5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424296</v>
      </c>
      <c r="S253" s="72">
        <f>IF(AR_725[[#This Row],[PO Amount]]=0,1,AR_725[[#This Row],[Total AR (Sent)]]/AR_725[[#This Row],[PO Amount]])</f>
        <v>0.81167672455244089</v>
      </c>
      <c r="T253" s="73">
        <f>AR_725[[#This Row],[PO Amount]]-AR_725[[#This Row],[Total AR (Sent)]]</f>
        <v>158623</v>
      </c>
      <c r="AV253" s="78"/>
      <c r="CG253" s="122"/>
      <c r="CI253" s="122"/>
      <c r="CK253" s="122"/>
      <c r="CL253" s="122">
        <v>0</v>
      </c>
      <c r="CM253" s="122">
        <v>424296</v>
      </c>
      <c r="CN253" s="122">
        <v>0</v>
      </c>
      <c r="CO253" s="122">
        <f>SUMIFS(BB___HK___AMHS__Others[AR Amount],BB___HK___AMHS__Others[PO No.],AR_725[[#This Row],[tsmc PO '#]],BB___HK___AMHS__Others[Status],"&lt;&gt;Rejected",BB___HK___AMHS__Others[YearMonth],"2024-07")</f>
        <v>0</v>
      </c>
      <c r="CP253" s="122">
        <f>SUMIFS(BB___HK___AMHS__Others[Tax],BB___HK___AMHS__Others[PO No.],AR_725[[#This Row],[tsmc PO '#]],BB___HK___AMHS__Others[Status],"&lt;&gt;Rejected",BB___HK___AMHS__Others[YearMonth],"2024-07")</f>
        <v>0</v>
      </c>
      <c r="CQ253" s="34">
        <f>SUMIFS(BB___HK___AMHS__Others[AR Amount],BB___HK___AMHS__Others[PO No.],AR_725[[#This Row],[tsmc PO '#]],BB___HK___AMHS__Others[Status],"&lt;&gt;Rejected",BB___HK___AMHS__Others[YearMonth],"2024-08")</f>
        <v>0</v>
      </c>
      <c r="CR253" s="44">
        <f>SUMIFS(BB___HK___AMHS__Others[Tax],BB___HK___AMHS__Others[PO No.],AR_725[[#This Row],[tsmc PO '#]],BB___HK___AMHS__Others[Status],"&lt;&gt;Rejected",BB___HK___AMHS__Others[YearMonth],"2024-08")</f>
        <v>0</v>
      </c>
      <c r="CS253" s="62">
        <f>SUMIFS(BB___HK___AMHS__Others[AR Amount],BB___HK___AMHS__Others[PO No.],AR_725[[#This Row],[tsmc PO '#]],BB___HK___AMHS__Others[Status],"&lt;&gt;Rejected",BB___HK___AMHS__Others[YearMonth],"2024-09")</f>
        <v>259372</v>
      </c>
      <c r="CT253" s="601">
        <f>SUMIFS(BB___HK___AMHS__Others[Tax],BB___HK___AMHS__Others[PO No.],AR_725[[#This Row],[tsmc PO '#]],BB___HK___AMHS__Others[Status],"&lt;&gt;Rejected",BB___HK___AMHS__Others[YearMonth],"2024-09")</f>
        <v>0</v>
      </c>
    </row>
    <row r="254" spans="1:98" ht="14.1" hidden="1">
      <c r="A254" s="30" t="s">
        <v>9</v>
      </c>
      <c r="B254" s="30" t="s">
        <v>2051</v>
      </c>
      <c r="C254" s="30" t="s">
        <v>42</v>
      </c>
      <c r="D254" s="50" t="s">
        <v>1706</v>
      </c>
      <c r="E254" s="50" t="s">
        <v>2070</v>
      </c>
      <c r="F254" s="50" t="s">
        <v>2115</v>
      </c>
      <c r="G254" s="50" t="s">
        <v>1432</v>
      </c>
      <c r="H254" s="50">
        <v>4590019372</v>
      </c>
      <c r="J254" s="30" t="s">
        <v>2284</v>
      </c>
      <c r="K254" s="46">
        <v>36000</v>
      </c>
      <c r="M254" s="86">
        <v>45471</v>
      </c>
      <c r="N254" s="87"/>
      <c r="O254" s="30" t="s">
        <v>2156</v>
      </c>
      <c r="P25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36000</v>
      </c>
      <c r="Q25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5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36000</v>
      </c>
      <c r="S254" s="72">
        <f>IF(AR_725[[#This Row],[PO Amount]]=0,1,AR_725[[#This Row],[Total AR (Sent)]]/AR_725[[#This Row],[PO Amount]])</f>
        <v>1</v>
      </c>
      <c r="T254" s="73">
        <f>AR_725[[#This Row],[PO Amount]]-AR_725[[#This Row],[Total AR (Sent)]]</f>
        <v>0</v>
      </c>
      <c r="AV254" s="78"/>
      <c r="CG254" s="122"/>
      <c r="CI254" s="122"/>
      <c r="CK254" s="122"/>
      <c r="CL254" s="122">
        <v>0</v>
      </c>
      <c r="CM254" s="122">
        <v>0</v>
      </c>
      <c r="CN254" s="122">
        <v>0</v>
      </c>
      <c r="CO254" s="122">
        <f>SUMIFS(BB___HK___AMHS__Others[AR Amount],BB___HK___AMHS__Others[PO No.],AR_725[[#This Row],[tsmc PO '#]],BB___HK___AMHS__Others[Status],"&lt;&gt;Rejected",BB___HK___AMHS__Others[YearMonth],"2024-07")</f>
        <v>36000</v>
      </c>
      <c r="CP254" s="122">
        <f>SUMIFS(BB___HK___AMHS__Others[Tax],BB___HK___AMHS__Others[PO No.],AR_725[[#This Row],[tsmc PO '#]],BB___HK___AMHS__Others[Status],"&lt;&gt;Rejected",BB___HK___AMHS__Others[YearMonth],"2024-07")</f>
        <v>0</v>
      </c>
      <c r="CQ254" s="34">
        <f>SUMIFS(BB___HK___AMHS__Others[AR Amount],BB___HK___AMHS__Others[PO No.],AR_725[[#This Row],[tsmc PO '#]],BB___HK___AMHS__Others[Status],"&lt;&gt;Rejected",BB___HK___AMHS__Others[YearMonth],"2024-08")</f>
        <v>0</v>
      </c>
      <c r="CR254" s="44">
        <f>SUMIFS(BB___HK___AMHS__Others[Tax],BB___HK___AMHS__Others[PO No.],AR_725[[#This Row],[tsmc PO '#]],BB___HK___AMHS__Others[Status],"&lt;&gt;Rejected",BB___HK___AMHS__Others[YearMonth],"2024-08")</f>
        <v>0</v>
      </c>
      <c r="CS254" s="62">
        <f>SUMIFS(BB___HK___AMHS__Others[AR Amount],BB___HK___AMHS__Others[PO No.],AR_725[[#This Row],[tsmc PO '#]],BB___HK___AMHS__Others[Status],"&lt;&gt;Rejected",BB___HK___AMHS__Others[YearMonth],"2024-09")</f>
        <v>0</v>
      </c>
      <c r="CT254" s="601">
        <f>SUMIFS(BB___HK___AMHS__Others[Tax],BB___HK___AMHS__Others[PO No.],AR_725[[#This Row],[tsmc PO '#]],BB___HK___AMHS__Others[Status],"&lt;&gt;Rejected",BB___HK___AMHS__Others[YearMonth],"2024-09")</f>
        <v>0</v>
      </c>
    </row>
    <row r="255" spans="1:98" ht="14.1" hidden="1">
      <c r="A255" s="30" t="s">
        <v>9</v>
      </c>
      <c r="B255" s="30" t="s">
        <v>2051</v>
      </c>
      <c r="C255" s="30" t="s">
        <v>42</v>
      </c>
      <c r="D255" s="50" t="s">
        <v>1759</v>
      </c>
      <c r="E255" s="354" t="s">
        <v>2185</v>
      </c>
      <c r="F255" s="50"/>
      <c r="G255" s="50" t="s">
        <v>312</v>
      </c>
      <c r="H255" s="50">
        <v>4590019487</v>
      </c>
      <c r="I255" s="30" t="s">
        <v>1416</v>
      </c>
      <c r="J255" s="30" t="s">
        <v>1466</v>
      </c>
      <c r="K255" s="46">
        <v>60000</v>
      </c>
      <c r="M255" s="86">
        <v>45474</v>
      </c>
      <c r="N255" s="87"/>
      <c r="O255" s="30" t="s">
        <v>2160</v>
      </c>
      <c r="P25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60000</v>
      </c>
      <c r="Q25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5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60000</v>
      </c>
      <c r="S255" s="72">
        <f>IF(AR_725[[#This Row],[PO Amount]]=0,1,AR_725[[#This Row],[Total AR (Sent)]]/AR_725[[#This Row],[PO Amount]])</f>
        <v>1</v>
      </c>
      <c r="T255" s="73">
        <f>AR_725[[#This Row],[PO Amount]]-AR_725[[#This Row],[Total AR (Sent)]]</f>
        <v>0</v>
      </c>
      <c r="AV255" s="78"/>
      <c r="CG255" s="122"/>
      <c r="CI255" s="122"/>
      <c r="CK255" s="122"/>
      <c r="CL255" s="122">
        <v>0</v>
      </c>
      <c r="CM255" s="122">
        <v>0</v>
      </c>
      <c r="CN255" s="122">
        <v>0</v>
      </c>
      <c r="CO255" s="122">
        <f>SUMIFS(BB___HK___AMHS__Others[AR Amount],BB___HK___AMHS__Others[PO No.],AR_725[[#This Row],[tsmc PO '#]],BB___HK___AMHS__Others[Status],"&lt;&gt;Rejected",BB___HK___AMHS__Others[YearMonth],"2024-07")</f>
        <v>60000</v>
      </c>
      <c r="CP255" s="122">
        <f>SUMIFS(BB___HK___AMHS__Others[Tax],BB___HK___AMHS__Others[PO No.],AR_725[[#This Row],[tsmc PO '#]],BB___HK___AMHS__Others[Status],"&lt;&gt;Rejected",BB___HK___AMHS__Others[YearMonth],"2024-07")</f>
        <v>0</v>
      </c>
      <c r="CQ255" s="34">
        <f>SUMIFS(BB___HK___AMHS__Others[AR Amount],BB___HK___AMHS__Others[PO No.],AR_725[[#This Row],[tsmc PO '#]],BB___HK___AMHS__Others[Status],"&lt;&gt;Rejected",BB___HK___AMHS__Others[YearMonth],"2024-08")</f>
        <v>0</v>
      </c>
      <c r="CR255" s="44">
        <f>SUMIFS(BB___HK___AMHS__Others[Tax],BB___HK___AMHS__Others[PO No.],AR_725[[#This Row],[tsmc PO '#]],BB___HK___AMHS__Others[Status],"&lt;&gt;Rejected",BB___HK___AMHS__Others[YearMonth],"2024-08")</f>
        <v>0</v>
      </c>
      <c r="CS255" s="62">
        <f>SUMIFS(BB___HK___AMHS__Others[AR Amount],BB___HK___AMHS__Others[PO No.],AR_725[[#This Row],[tsmc PO '#]],BB___HK___AMHS__Others[Status],"&lt;&gt;Rejected",BB___HK___AMHS__Others[YearMonth],"2024-09")</f>
        <v>0</v>
      </c>
      <c r="CT255" s="601">
        <f>SUMIFS(BB___HK___AMHS__Others[Tax],BB___HK___AMHS__Others[PO No.],AR_725[[#This Row],[tsmc PO '#]],BB___HK___AMHS__Others[Status],"&lt;&gt;Rejected",BB___HK___AMHS__Others[YearMonth],"2024-09")</f>
        <v>0</v>
      </c>
    </row>
    <row r="256" spans="1:98" ht="14.1" hidden="1">
      <c r="A256" s="30" t="s">
        <v>9</v>
      </c>
      <c r="B256" s="30" t="s">
        <v>2051</v>
      </c>
      <c r="C256" s="30" t="s">
        <v>42</v>
      </c>
      <c r="D256" s="50" t="s">
        <v>1720</v>
      </c>
      <c r="E256" s="354" t="s">
        <v>2185</v>
      </c>
      <c r="F256" s="367"/>
      <c r="G256" s="50" t="s">
        <v>312</v>
      </c>
      <c r="H256" s="50">
        <v>4590019488</v>
      </c>
      <c r="I256" s="30" t="s">
        <v>1465</v>
      </c>
      <c r="J256" s="30" t="s">
        <v>1463</v>
      </c>
      <c r="K256" s="46">
        <v>15000</v>
      </c>
      <c r="M256" s="86">
        <v>45474</v>
      </c>
      <c r="N256" s="87"/>
      <c r="O256" s="30" t="s">
        <v>2160</v>
      </c>
      <c r="P25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15000</v>
      </c>
      <c r="Q25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5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15000</v>
      </c>
      <c r="S256" s="72">
        <f>IF(AR_725[[#This Row],[PO Amount]]=0,1,AR_725[[#This Row],[Total AR (Sent)]]/AR_725[[#This Row],[PO Amount]])</f>
        <v>1</v>
      </c>
      <c r="T256" s="73">
        <f>AR_725[[#This Row],[PO Amount]]-AR_725[[#This Row],[Total AR (Sent)]]</f>
        <v>0</v>
      </c>
      <c r="AV256" s="78"/>
      <c r="CG256" s="122"/>
      <c r="CI256" s="122"/>
      <c r="CK256" s="122"/>
      <c r="CL256" s="122">
        <v>0</v>
      </c>
      <c r="CM256" s="122">
        <v>0</v>
      </c>
      <c r="CN256" s="122">
        <v>0</v>
      </c>
      <c r="CO256" s="122">
        <f>SUMIFS(BB___HK___AMHS__Others[AR Amount],BB___HK___AMHS__Others[PO No.],AR_725[[#This Row],[tsmc PO '#]],BB___HK___AMHS__Others[Status],"&lt;&gt;Rejected",BB___HK___AMHS__Others[YearMonth],"2024-07")</f>
        <v>15000</v>
      </c>
      <c r="CP256" s="122">
        <f>SUMIFS(BB___HK___AMHS__Others[Tax],BB___HK___AMHS__Others[PO No.],AR_725[[#This Row],[tsmc PO '#]],BB___HK___AMHS__Others[Status],"&lt;&gt;Rejected",BB___HK___AMHS__Others[YearMonth],"2024-07")</f>
        <v>0</v>
      </c>
      <c r="CQ256" s="34">
        <f>SUMIFS(BB___HK___AMHS__Others[AR Amount],BB___HK___AMHS__Others[PO No.],AR_725[[#This Row],[tsmc PO '#]],BB___HK___AMHS__Others[Status],"&lt;&gt;Rejected",BB___HK___AMHS__Others[YearMonth],"2024-08")</f>
        <v>0</v>
      </c>
      <c r="CR256" s="44">
        <f>SUMIFS(BB___HK___AMHS__Others[Tax],BB___HK___AMHS__Others[PO No.],AR_725[[#This Row],[tsmc PO '#]],BB___HK___AMHS__Others[Status],"&lt;&gt;Rejected",BB___HK___AMHS__Others[YearMonth],"2024-08")</f>
        <v>0</v>
      </c>
      <c r="CS256" s="62">
        <f>SUMIFS(BB___HK___AMHS__Others[AR Amount],BB___HK___AMHS__Others[PO No.],AR_725[[#This Row],[tsmc PO '#]],BB___HK___AMHS__Others[Status],"&lt;&gt;Rejected",BB___HK___AMHS__Others[YearMonth],"2024-09")</f>
        <v>0</v>
      </c>
      <c r="CT256" s="601">
        <f>SUMIFS(BB___HK___AMHS__Others[Tax],BB___HK___AMHS__Others[PO No.],AR_725[[#This Row],[tsmc PO '#]],BB___HK___AMHS__Others[Status],"&lt;&gt;Rejected",BB___HK___AMHS__Others[YearMonth],"2024-09")</f>
        <v>0</v>
      </c>
    </row>
    <row r="257" spans="1:98" ht="14.1" hidden="1">
      <c r="A257" s="30" t="s">
        <v>9</v>
      </c>
      <c r="B257" s="30" t="s">
        <v>2051</v>
      </c>
      <c r="C257" s="30" t="s">
        <v>42</v>
      </c>
      <c r="D257" s="50" t="s">
        <v>1720</v>
      </c>
      <c r="E257" s="354" t="s">
        <v>2185</v>
      </c>
      <c r="F257" s="50"/>
      <c r="G257" s="50" t="s">
        <v>312</v>
      </c>
      <c r="H257" s="50">
        <v>4590019489</v>
      </c>
      <c r="I257" s="30" t="s">
        <v>1416</v>
      </c>
      <c r="J257" s="30" t="s">
        <v>1455</v>
      </c>
      <c r="K257" s="46">
        <v>157102.31</v>
      </c>
      <c r="M257" s="86">
        <v>45474</v>
      </c>
      <c r="N257" s="87"/>
      <c r="O257" s="30" t="s">
        <v>2160</v>
      </c>
      <c r="P25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157102.31</v>
      </c>
      <c r="Q25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5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157102.31</v>
      </c>
      <c r="S257" s="72">
        <f>IF(AR_725[[#This Row],[PO Amount]]=0,1,AR_725[[#This Row],[Total AR (Sent)]]/AR_725[[#This Row],[PO Amount]])</f>
        <v>1</v>
      </c>
      <c r="T257" s="73">
        <f>AR_725[[#This Row],[PO Amount]]-AR_725[[#This Row],[Total AR (Sent)]]</f>
        <v>0</v>
      </c>
      <c r="AV257" s="78"/>
      <c r="CG257" s="122"/>
      <c r="CI257" s="122"/>
      <c r="CK257" s="122"/>
      <c r="CL257" s="122">
        <v>0</v>
      </c>
      <c r="CM257" s="122">
        <v>0</v>
      </c>
      <c r="CN257" s="122">
        <v>0</v>
      </c>
      <c r="CO257" s="122">
        <f>SUMIFS(BB___HK___AMHS__Others[AR Amount],BB___HK___AMHS__Others[PO No.],AR_725[[#This Row],[tsmc PO '#]],BB___HK___AMHS__Others[Status],"&lt;&gt;Rejected",BB___HK___AMHS__Others[YearMonth],"2024-07")</f>
        <v>157102.31</v>
      </c>
      <c r="CP257" s="122">
        <f>SUMIFS(BB___HK___AMHS__Others[Tax],BB___HK___AMHS__Others[PO No.],AR_725[[#This Row],[tsmc PO '#]],BB___HK___AMHS__Others[Status],"&lt;&gt;Rejected",BB___HK___AMHS__Others[YearMonth],"2024-07")</f>
        <v>0</v>
      </c>
      <c r="CQ257" s="34">
        <f>SUMIFS(BB___HK___AMHS__Others[AR Amount],BB___HK___AMHS__Others[PO No.],AR_725[[#This Row],[tsmc PO '#]],BB___HK___AMHS__Others[Status],"&lt;&gt;Rejected",BB___HK___AMHS__Others[YearMonth],"2024-08")</f>
        <v>0</v>
      </c>
      <c r="CR257" s="44">
        <f>SUMIFS(BB___HK___AMHS__Others[Tax],BB___HK___AMHS__Others[PO No.],AR_725[[#This Row],[tsmc PO '#]],BB___HK___AMHS__Others[Status],"&lt;&gt;Rejected",BB___HK___AMHS__Others[YearMonth],"2024-08")</f>
        <v>0</v>
      </c>
      <c r="CS257" s="62">
        <f>SUMIFS(BB___HK___AMHS__Others[AR Amount],BB___HK___AMHS__Others[PO No.],AR_725[[#This Row],[tsmc PO '#]],BB___HK___AMHS__Others[Status],"&lt;&gt;Rejected",BB___HK___AMHS__Others[YearMonth],"2024-09")</f>
        <v>0</v>
      </c>
      <c r="CT257" s="601">
        <f>SUMIFS(BB___HK___AMHS__Others[Tax],BB___HK___AMHS__Others[PO No.],AR_725[[#This Row],[tsmc PO '#]],BB___HK___AMHS__Others[Status],"&lt;&gt;Rejected",BB___HK___AMHS__Others[YearMonth],"2024-09")</f>
        <v>0</v>
      </c>
    </row>
    <row r="258" spans="1:98" ht="14.1" hidden="1">
      <c r="A258" s="30" t="s">
        <v>9</v>
      </c>
      <c r="B258" s="30" t="s">
        <v>2051</v>
      </c>
      <c r="C258" s="30" t="s">
        <v>42</v>
      </c>
      <c r="D258" s="50" t="s">
        <v>1546</v>
      </c>
      <c r="E258" s="354" t="s">
        <v>2052</v>
      </c>
      <c r="F258" s="50" t="s">
        <v>2053</v>
      </c>
      <c r="G258" s="50" t="s">
        <v>314</v>
      </c>
      <c r="H258" s="50">
        <v>4590019490</v>
      </c>
      <c r="I258" s="30" t="s">
        <v>1416</v>
      </c>
      <c r="J258" s="30" t="s">
        <v>1490</v>
      </c>
      <c r="K258" s="46">
        <v>20288</v>
      </c>
      <c r="M258" s="86">
        <v>45474</v>
      </c>
      <c r="N258" s="87"/>
      <c r="O258" s="30" t="s">
        <v>2160</v>
      </c>
      <c r="P25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18259.2</v>
      </c>
      <c r="Q25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5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18259.2</v>
      </c>
      <c r="S258" s="72">
        <f>IF(AR_725[[#This Row],[PO Amount]]=0,1,AR_725[[#This Row],[Total AR (Sent)]]/AR_725[[#This Row],[PO Amount]])</f>
        <v>0.9</v>
      </c>
      <c r="T258" s="73">
        <f>AR_725[[#This Row],[PO Amount]]-AR_725[[#This Row],[Total AR (Sent)]]</f>
        <v>2028.7999999999993</v>
      </c>
      <c r="AV258" s="78"/>
      <c r="CG258" s="122"/>
      <c r="CI258" s="122"/>
      <c r="CK258" s="122"/>
      <c r="CL258" s="122">
        <v>0</v>
      </c>
      <c r="CM258" s="122">
        <v>0</v>
      </c>
      <c r="CN258" s="122">
        <v>0</v>
      </c>
      <c r="CO258" s="122">
        <f>SUMIFS(BB___HK___AMHS__Others[AR Amount],BB___HK___AMHS__Others[PO No.],AR_725[[#This Row],[tsmc PO '#]],BB___HK___AMHS__Others[Status],"&lt;&gt;Rejected",BB___HK___AMHS__Others[YearMonth],"2024-07")</f>
        <v>18259.2</v>
      </c>
      <c r="CP258" s="122">
        <f>SUMIFS(BB___HK___AMHS__Others[Tax],BB___HK___AMHS__Others[PO No.],AR_725[[#This Row],[tsmc PO '#]],BB___HK___AMHS__Others[Status],"&lt;&gt;Rejected",BB___HK___AMHS__Others[YearMonth],"2024-07")</f>
        <v>1020.69</v>
      </c>
      <c r="CQ258" s="34">
        <f>SUMIFS(BB___HK___AMHS__Others[AR Amount],BB___HK___AMHS__Others[PO No.],AR_725[[#This Row],[tsmc PO '#]],BB___HK___AMHS__Others[Status],"&lt;&gt;Rejected",BB___HK___AMHS__Others[YearMonth],"2024-08")</f>
        <v>0</v>
      </c>
      <c r="CR258" s="44">
        <f>SUMIFS(BB___HK___AMHS__Others[Tax],BB___HK___AMHS__Others[PO No.],AR_725[[#This Row],[tsmc PO '#]],BB___HK___AMHS__Others[Status],"&lt;&gt;Rejected",BB___HK___AMHS__Others[YearMonth],"2024-08")</f>
        <v>0</v>
      </c>
      <c r="CS258" s="62">
        <f>SUMIFS(BB___HK___AMHS__Others[AR Amount],BB___HK___AMHS__Others[PO No.],AR_725[[#This Row],[tsmc PO '#]],BB___HK___AMHS__Others[Status],"&lt;&gt;Rejected",BB___HK___AMHS__Others[YearMonth],"2024-09")</f>
        <v>0</v>
      </c>
      <c r="CT258" s="601">
        <f>SUMIFS(BB___HK___AMHS__Others[Tax],BB___HK___AMHS__Others[PO No.],AR_725[[#This Row],[tsmc PO '#]],BB___HK___AMHS__Others[Status],"&lt;&gt;Rejected",BB___HK___AMHS__Others[YearMonth],"2024-09")</f>
        <v>0</v>
      </c>
    </row>
    <row r="259" spans="1:98" ht="14.1" hidden="1">
      <c r="A259" s="30" t="s">
        <v>9</v>
      </c>
      <c r="B259" s="30" t="s">
        <v>2051</v>
      </c>
      <c r="C259" s="30" t="s">
        <v>42</v>
      </c>
      <c r="D259" s="50" t="s">
        <v>1759</v>
      </c>
      <c r="E259" s="354" t="s">
        <v>2052</v>
      </c>
      <c r="F259" s="50" t="s">
        <v>2053</v>
      </c>
      <c r="G259" s="50" t="s">
        <v>312</v>
      </c>
      <c r="H259" s="50">
        <v>4590019491</v>
      </c>
      <c r="I259" s="30" t="s">
        <v>1416</v>
      </c>
      <c r="J259" s="113" t="s">
        <v>1519</v>
      </c>
      <c r="K259" s="46">
        <v>13908</v>
      </c>
      <c r="M259" s="86">
        <v>45474</v>
      </c>
      <c r="N259" s="87"/>
      <c r="O259" s="30" t="s">
        <v>2160</v>
      </c>
      <c r="P25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12920.4</v>
      </c>
      <c r="Q25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5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12920.4</v>
      </c>
      <c r="S259" s="72">
        <f>IF(AR_725[[#This Row],[PO Amount]]=0,1,AR_725[[#This Row],[Total AR (Sent)]]/AR_725[[#This Row],[PO Amount]])</f>
        <v>0.92899050905953406</v>
      </c>
      <c r="T259" s="73">
        <f>AR_725[[#This Row],[PO Amount]]-AR_725[[#This Row],[Total AR (Sent)]]</f>
        <v>987.60000000000036</v>
      </c>
      <c r="AV259" s="78"/>
      <c r="CG259" s="122"/>
      <c r="CI259" s="122"/>
      <c r="CK259" s="122"/>
      <c r="CL259" s="122">
        <v>0</v>
      </c>
      <c r="CM259" s="122">
        <v>0</v>
      </c>
      <c r="CN259" s="122">
        <v>0</v>
      </c>
      <c r="CO259" s="122">
        <f>SUMIFS(BB___HK___AMHS__Others[AR Amount],BB___HK___AMHS__Others[PO No.],AR_725[[#This Row],[tsmc PO '#]],BB___HK___AMHS__Others[Status],"&lt;&gt;Rejected",BB___HK___AMHS__Others[YearMonth],"2024-07")</f>
        <v>12920.4</v>
      </c>
      <c r="CP259" s="122">
        <f>SUMIFS(BB___HK___AMHS__Others[Tax],BB___HK___AMHS__Others[PO No.],AR_725[[#This Row],[tsmc PO '#]],BB___HK___AMHS__Others[Status],"&lt;&gt;Rejected",BB___HK___AMHS__Others[YearMonth],"2024-07")</f>
        <v>0</v>
      </c>
      <c r="CQ259" s="34">
        <f>SUMIFS(BB___HK___AMHS__Others[AR Amount],BB___HK___AMHS__Others[PO No.],AR_725[[#This Row],[tsmc PO '#]],BB___HK___AMHS__Others[Status],"&lt;&gt;Rejected",BB___HK___AMHS__Others[YearMonth],"2024-08")</f>
        <v>0</v>
      </c>
      <c r="CR259" s="44">
        <f>SUMIFS(BB___HK___AMHS__Others[Tax],BB___HK___AMHS__Others[PO No.],AR_725[[#This Row],[tsmc PO '#]],BB___HK___AMHS__Others[Status],"&lt;&gt;Rejected",BB___HK___AMHS__Others[YearMonth],"2024-08")</f>
        <v>0</v>
      </c>
      <c r="CS259" s="62">
        <f>SUMIFS(BB___HK___AMHS__Others[AR Amount],BB___HK___AMHS__Others[PO No.],AR_725[[#This Row],[tsmc PO '#]],BB___HK___AMHS__Others[Status],"&lt;&gt;Rejected",BB___HK___AMHS__Others[YearMonth],"2024-09")</f>
        <v>0</v>
      </c>
      <c r="CT259" s="601">
        <f>SUMIFS(BB___HK___AMHS__Others[Tax],BB___HK___AMHS__Others[PO No.],AR_725[[#This Row],[tsmc PO '#]],BB___HK___AMHS__Others[Status],"&lt;&gt;Rejected",BB___HK___AMHS__Others[YearMonth],"2024-09")</f>
        <v>0</v>
      </c>
    </row>
    <row r="260" spans="1:98" ht="14.1" hidden="1">
      <c r="A260" s="30" t="s">
        <v>9</v>
      </c>
      <c r="B260" s="30" t="s">
        <v>2051</v>
      </c>
      <c r="D260" s="50" t="s">
        <v>1759</v>
      </c>
      <c r="E260" s="50" t="s">
        <v>2065</v>
      </c>
      <c r="F260" s="50" t="s">
        <v>2065</v>
      </c>
      <c r="G260" s="50" t="s">
        <v>312</v>
      </c>
      <c r="H260" s="50">
        <v>4590019492</v>
      </c>
      <c r="I260" s="30" t="s">
        <v>1416</v>
      </c>
      <c r="J260" s="30" t="s">
        <v>1775</v>
      </c>
      <c r="K260" s="46">
        <v>76797</v>
      </c>
      <c r="M260" s="86">
        <v>45474</v>
      </c>
      <c r="N260" s="87"/>
      <c r="O260" s="30" t="s">
        <v>2160</v>
      </c>
      <c r="P26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15359.4</v>
      </c>
      <c r="Q26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6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15359.4</v>
      </c>
      <c r="S260" s="72">
        <f>IF(AR_725[[#This Row],[PO Amount]]=0,1,AR_725[[#This Row],[Total AR (Sent)]]/AR_725[[#This Row],[PO Amount]])</f>
        <v>0.19999999999999998</v>
      </c>
      <c r="T260" s="73">
        <f>AR_725[[#This Row],[PO Amount]]-AR_725[[#This Row],[Total AR (Sent)]]</f>
        <v>61437.599999999999</v>
      </c>
      <c r="AV260" s="78"/>
      <c r="CG260" s="122"/>
      <c r="CI260" s="122"/>
      <c r="CK260" s="122"/>
      <c r="CL260" s="122">
        <v>0</v>
      </c>
      <c r="CM260" s="122">
        <v>0</v>
      </c>
      <c r="CN260" s="122">
        <v>0</v>
      </c>
      <c r="CO260" s="122">
        <f>SUMIFS(BB___HK___AMHS__Others[AR Amount],BB___HK___AMHS__Others[PO No.],AR_725[[#This Row],[tsmc PO '#]],BB___HK___AMHS__Others[Status],"&lt;&gt;Rejected",BB___HK___AMHS__Others[YearMonth],"2024-07")</f>
        <v>0</v>
      </c>
      <c r="CP260" s="122">
        <f>SUMIFS(BB___HK___AMHS__Others[Tax],BB___HK___AMHS__Others[PO No.],AR_725[[#This Row],[tsmc PO '#]],BB___HK___AMHS__Others[Status],"&lt;&gt;Rejected",BB___HK___AMHS__Others[YearMonth],"2024-07")</f>
        <v>0</v>
      </c>
      <c r="CQ260" s="34">
        <f>SUMIFS(BB___HK___AMHS__Others[AR Amount],BB___HK___AMHS__Others[PO No.],AR_725[[#This Row],[tsmc PO '#]],BB___HK___AMHS__Others[Status],"&lt;&gt;Rejected",BB___HK___AMHS__Others[YearMonth],"2024-08")</f>
        <v>15359.4</v>
      </c>
      <c r="CR260" s="44">
        <f>SUMIFS(BB___HK___AMHS__Others[Tax],BB___HK___AMHS__Others[PO No.],AR_725[[#This Row],[tsmc PO '#]],BB___HK___AMHS__Others[Status],"&lt;&gt;Rejected",BB___HK___AMHS__Others[YearMonth],"2024-08")</f>
        <v>0</v>
      </c>
      <c r="CS260" s="62">
        <f>SUMIFS(BB___HK___AMHS__Others[AR Amount],BB___HK___AMHS__Others[PO No.],AR_725[[#This Row],[tsmc PO '#]],BB___HK___AMHS__Others[Status],"&lt;&gt;Rejected",BB___HK___AMHS__Others[YearMonth],"2024-09")</f>
        <v>0</v>
      </c>
      <c r="CT260" s="601">
        <f>SUMIFS(BB___HK___AMHS__Others[Tax],BB___HK___AMHS__Others[PO No.],AR_725[[#This Row],[tsmc PO '#]],BB___HK___AMHS__Others[Status],"&lt;&gt;Rejected",BB___HK___AMHS__Others[YearMonth],"2024-09")</f>
        <v>0</v>
      </c>
    </row>
    <row r="261" spans="1:98" ht="14.1" hidden="1">
      <c r="A261" s="30" t="s">
        <v>9</v>
      </c>
      <c r="B261" s="30" t="s">
        <v>2051</v>
      </c>
      <c r="C261" s="30" t="s">
        <v>42</v>
      </c>
      <c r="D261" s="50" t="s">
        <v>1546</v>
      </c>
      <c r="E261" s="354" t="s">
        <v>2052</v>
      </c>
      <c r="F261" s="50" t="s">
        <v>2053</v>
      </c>
      <c r="G261" s="50" t="s">
        <v>314</v>
      </c>
      <c r="H261" s="50">
        <v>4590019493</v>
      </c>
      <c r="I261" s="30" t="s">
        <v>1416</v>
      </c>
      <c r="J261" s="30" t="s">
        <v>1492</v>
      </c>
      <c r="K261" s="46">
        <v>684987.44</v>
      </c>
      <c r="M261" s="86">
        <v>45474</v>
      </c>
      <c r="N261" s="87"/>
      <c r="O261" s="30" t="s">
        <v>2160</v>
      </c>
      <c r="P26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650738.06999999995</v>
      </c>
      <c r="Q26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6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650738.06999999995</v>
      </c>
      <c r="S261" s="72">
        <f>IF(AR_725[[#This Row],[PO Amount]]=0,1,AR_725[[#This Row],[Total AR (Sent)]]/AR_725[[#This Row],[PO Amount]])</f>
        <v>0.95000000291976161</v>
      </c>
      <c r="T261" s="73">
        <f>AR_725[[#This Row],[PO Amount]]-AR_725[[#This Row],[Total AR (Sent)]]</f>
        <v>34249.369999999995</v>
      </c>
      <c r="AV261" s="78"/>
      <c r="CG261" s="122"/>
      <c r="CI261" s="122"/>
      <c r="CK261" s="122"/>
      <c r="CL261" s="122">
        <v>0</v>
      </c>
      <c r="CM261" s="122">
        <v>0</v>
      </c>
      <c r="CN261" s="122">
        <v>0</v>
      </c>
      <c r="CO261" s="122">
        <f>SUMIFS(BB___HK___AMHS__Others[AR Amount],BB___HK___AMHS__Others[PO No.],AR_725[[#This Row],[tsmc PO '#]],BB___HK___AMHS__Others[Status],"&lt;&gt;Rejected",BB___HK___AMHS__Others[YearMonth],"2024-07")</f>
        <v>650738.06999999995</v>
      </c>
      <c r="CP261" s="122">
        <f>SUMIFS(BB___HK___AMHS__Others[Tax],BB___HK___AMHS__Others[PO No.],AR_725[[#This Row],[tsmc PO '#]],BB___HK___AMHS__Others[Status],"&lt;&gt;Rejected",BB___HK___AMHS__Others[YearMonth],"2024-07")</f>
        <v>36376.26</v>
      </c>
      <c r="CQ261" s="34">
        <f>SUMIFS(BB___HK___AMHS__Others[AR Amount],BB___HK___AMHS__Others[PO No.],AR_725[[#This Row],[tsmc PO '#]],BB___HK___AMHS__Others[Status],"&lt;&gt;Rejected",BB___HK___AMHS__Others[YearMonth],"2024-08")</f>
        <v>0</v>
      </c>
      <c r="CR261" s="44">
        <f>SUMIFS(BB___HK___AMHS__Others[Tax],BB___HK___AMHS__Others[PO No.],AR_725[[#This Row],[tsmc PO '#]],BB___HK___AMHS__Others[Status],"&lt;&gt;Rejected",BB___HK___AMHS__Others[YearMonth],"2024-08")</f>
        <v>0</v>
      </c>
      <c r="CS261" s="62">
        <f>SUMIFS(BB___HK___AMHS__Others[AR Amount],BB___HK___AMHS__Others[PO No.],AR_725[[#This Row],[tsmc PO '#]],BB___HK___AMHS__Others[Status],"&lt;&gt;Rejected",BB___HK___AMHS__Others[YearMonth],"2024-09")</f>
        <v>0</v>
      </c>
      <c r="CT261" s="601">
        <f>SUMIFS(BB___HK___AMHS__Others[Tax],BB___HK___AMHS__Others[PO No.],AR_725[[#This Row],[tsmc PO '#]],BB___HK___AMHS__Others[Status],"&lt;&gt;Rejected",BB___HK___AMHS__Others[YearMonth],"2024-09")</f>
        <v>0</v>
      </c>
    </row>
    <row r="262" spans="1:98" ht="14.1" hidden="1">
      <c r="A262" s="30" t="s">
        <v>9</v>
      </c>
      <c r="B262" s="30" t="s">
        <v>2285</v>
      </c>
      <c r="C262" s="30" t="s">
        <v>42</v>
      </c>
      <c r="D262" s="50"/>
      <c r="E262" s="354" t="s">
        <v>2286</v>
      </c>
      <c r="F262" s="50" t="s">
        <v>2287</v>
      </c>
      <c r="G262" s="50" t="s">
        <v>54</v>
      </c>
      <c r="H262" s="50">
        <v>4590019495</v>
      </c>
      <c r="I262" s="30" t="s">
        <v>1416</v>
      </c>
      <c r="J262" s="30" t="s">
        <v>2288</v>
      </c>
      <c r="K262" s="46">
        <v>253575</v>
      </c>
      <c r="M262" s="86">
        <v>45475</v>
      </c>
      <c r="N262" s="87"/>
      <c r="O262" s="30" t="s">
        <v>2160</v>
      </c>
      <c r="P26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203705.25</v>
      </c>
      <c r="Q26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6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203705.25</v>
      </c>
      <c r="S262" s="72">
        <f>IF(AR_725[[#This Row],[PO Amount]]=0,1,AR_725[[#This Row],[Total AR (Sent)]]/AR_725[[#This Row],[PO Amount]])</f>
        <v>0.80333333333333334</v>
      </c>
      <c r="T262" s="73">
        <f>AR_725[[#This Row],[PO Amount]]-AR_725[[#This Row],[Total AR (Sent)]]</f>
        <v>49869.75</v>
      </c>
      <c r="AV262" s="78"/>
      <c r="CG262" s="122"/>
      <c r="CI262" s="122"/>
      <c r="CK262" s="122"/>
      <c r="CL262" s="122">
        <v>0</v>
      </c>
      <c r="CM262" s="122">
        <v>0</v>
      </c>
      <c r="CN262" s="122">
        <v>0</v>
      </c>
      <c r="CO262" s="122">
        <f>SUMIFS(BB___HK___AMHS__Others[AR Amount],BB___HK___AMHS__Others[PO No.],AR_725[[#This Row],[tsmc PO '#]],BB___HK___AMHS__Others[Status],"&lt;&gt;Rejected",BB___HK___AMHS__Others[YearMonth],"2024-07")</f>
        <v>0</v>
      </c>
      <c r="CP262" s="122">
        <f>SUMIFS(BB___HK___AMHS__Others[Tax],BB___HK___AMHS__Others[PO No.],AR_725[[#This Row],[tsmc PO '#]],BB___HK___AMHS__Others[Status],"&lt;&gt;Rejected",BB___HK___AMHS__Others[YearMonth],"2024-07")</f>
        <v>0</v>
      </c>
      <c r="CQ262" s="34">
        <f>SUMIFS(BB___HK___AMHS__Others[AR Amount],BB___HK___AMHS__Others[PO No.],AR_725[[#This Row],[tsmc PO '#]],BB___HK___AMHS__Others[Status],"&lt;&gt;Rejected",BB___HK___AMHS__Others[YearMonth],"2024-08")</f>
        <v>203705.25</v>
      </c>
      <c r="CR262" s="44">
        <f>SUMIFS(BB___HK___AMHS__Others[Tax],BB___HK___AMHS__Others[PO No.],AR_725[[#This Row],[tsmc PO '#]],BB___HK___AMHS__Others[Status],"&lt;&gt;Rejected",BB___HK___AMHS__Others[YearMonth],"2024-08")</f>
        <v>0</v>
      </c>
      <c r="CS262" s="62">
        <f>SUMIFS(BB___HK___AMHS__Others[AR Amount],BB___HK___AMHS__Others[PO No.],AR_725[[#This Row],[tsmc PO '#]],BB___HK___AMHS__Others[Status],"&lt;&gt;Rejected",BB___HK___AMHS__Others[YearMonth],"2024-09")</f>
        <v>0</v>
      </c>
      <c r="CT262" s="601">
        <f>SUMIFS(BB___HK___AMHS__Others[Tax],BB___HK___AMHS__Others[PO No.],AR_725[[#This Row],[tsmc PO '#]],BB___HK___AMHS__Others[Status],"&lt;&gt;Rejected",BB___HK___AMHS__Others[YearMonth],"2024-09")</f>
        <v>0</v>
      </c>
    </row>
    <row r="263" spans="1:98" ht="14.1">
      <c r="A263" s="30" t="s">
        <v>13</v>
      </c>
      <c r="B263" s="30" t="s">
        <v>13</v>
      </c>
      <c r="D263" s="50"/>
      <c r="E263" s="292" t="s">
        <v>2206</v>
      </c>
      <c r="F263" s="50"/>
      <c r="G263" s="50" t="s">
        <v>54</v>
      </c>
      <c r="H263" s="50">
        <v>4590019499</v>
      </c>
      <c r="I263" s="30" t="s">
        <v>1424</v>
      </c>
      <c r="J263" s="30" t="s">
        <v>1480</v>
      </c>
      <c r="K263" s="46">
        <v>3288054</v>
      </c>
      <c r="M263" s="86">
        <v>45475</v>
      </c>
      <c r="N263" s="87"/>
      <c r="O263" s="30" t="s">
        <v>2156</v>
      </c>
      <c r="P26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2189432.9699999997</v>
      </c>
      <c r="Q26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6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1395384.38</v>
      </c>
      <c r="S263" s="72">
        <f>IF(AR_725[[#This Row],[PO Amount]]=0,1,AR_725[[#This Row],[Total AR (Sent)]]/AR_725[[#This Row],[PO Amount]])</f>
        <v>0.66587500387767351</v>
      </c>
      <c r="T263" s="73">
        <f>AR_725[[#This Row],[PO Amount]]-AR_725[[#This Row],[Total AR (Sent)]]</f>
        <v>1098621.0300000003</v>
      </c>
      <c r="AV263" s="78"/>
      <c r="CG263" s="122"/>
      <c r="CI263" s="122"/>
      <c r="CK263" s="122"/>
      <c r="CL263" s="122">
        <v>0</v>
      </c>
      <c r="CM263" s="122">
        <v>0</v>
      </c>
      <c r="CN263" s="122">
        <v>0</v>
      </c>
      <c r="CO263" s="34">
        <f>SUMIFS(BB___HK___AMHS__Others[AR Amount],BB___HK___AMHS__Others[PO No.],AR_725[[#This Row],[tsmc PO '#]],BB___HK___AMHS__Others[Status],"&lt;&gt;Rejected",BB___HK___AMHS__Others[YearMonth],"2024-07")</f>
        <v>690848.55</v>
      </c>
      <c r="CP263" s="122">
        <f>SUMIFS(BB___HK___AMHS__Others[Tax],BB___HK___AMHS__Others[PO No.],AR_725[[#This Row],[tsmc PO '#]],BB___HK___AMHS__Others[Status],"&lt;&gt;Rejected",BB___HK___AMHS__Others[YearMonth],"2024-07")</f>
        <v>0</v>
      </c>
      <c r="CQ263" s="34">
        <f>SUMIFS(BB___HK___AMHS__Others[AR Amount],BB___HK___AMHS__Others[PO No.],AR_725[[#This Row],[tsmc PO '#]],BB___HK___AMHS__Others[Status],"&lt;&gt;Rejected",BB___HK___AMHS__Others[YearMonth],"2024-08")</f>
        <v>704535.83</v>
      </c>
      <c r="CR263" s="44">
        <f>SUMIFS(BB___HK___AMHS__Others[Tax],BB___HK___AMHS__Others[PO No.],AR_725[[#This Row],[tsmc PO '#]],BB___HK___AMHS__Others[Status],"&lt;&gt;Rejected",BB___HK___AMHS__Others[YearMonth],"2024-08")</f>
        <v>0</v>
      </c>
      <c r="CS263" s="62">
        <f>SUMIFS(BB___HK___AMHS__Others[AR Amount],BB___HK___AMHS__Others[PO No.],AR_725[[#This Row],[tsmc PO '#]],BB___HK___AMHS__Others[Status],"&lt;&gt;Rejected",BB___HK___AMHS__Others[YearMonth],"2024-09")</f>
        <v>794048.59</v>
      </c>
      <c r="CT263" s="601">
        <f>SUMIFS(BB___HK___AMHS__Others[Tax],BB___HK___AMHS__Others[PO No.],AR_725[[#This Row],[tsmc PO '#]],BB___HK___AMHS__Others[Status],"&lt;&gt;Rejected",BB___HK___AMHS__Others[YearMonth],"2024-09")</f>
        <v>0</v>
      </c>
    </row>
    <row r="264" spans="1:98" ht="14.1" hidden="1">
      <c r="A264" s="30" t="s">
        <v>13</v>
      </c>
      <c r="B264" s="30" t="s">
        <v>13</v>
      </c>
      <c r="D264" s="50"/>
      <c r="E264" s="292" t="s">
        <v>2206</v>
      </c>
      <c r="F264" s="50"/>
      <c r="G264" s="50" t="s">
        <v>54</v>
      </c>
      <c r="H264" s="50">
        <v>4590019500</v>
      </c>
      <c r="I264" s="30" t="s">
        <v>1424</v>
      </c>
      <c r="J264" s="30" t="s">
        <v>1482</v>
      </c>
      <c r="K264" s="46">
        <v>49274190</v>
      </c>
      <c r="M264" s="86">
        <v>45475</v>
      </c>
      <c r="N264" s="87"/>
      <c r="O264" s="30" t="s">
        <v>2156</v>
      </c>
      <c r="P26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39204474.800000004</v>
      </c>
      <c r="Q26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6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39204474.800000004</v>
      </c>
      <c r="S264" s="72">
        <f>IF(AR_725[[#This Row],[PO Amount]]=0,1,AR_725[[#This Row],[Total AR (Sent)]]/AR_725[[#This Row],[PO Amount]])</f>
        <v>0.79563915307385069</v>
      </c>
      <c r="T264" s="73">
        <f>AR_725[[#This Row],[PO Amount]]-AR_725[[#This Row],[Total AR (Sent)]]</f>
        <v>10069715.199999996</v>
      </c>
      <c r="AV264" s="78"/>
      <c r="CG264" s="122"/>
      <c r="CI264" s="122"/>
      <c r="CK264" s="122"/>
      <c r="CL264" s="122">
        <v>0</v>
      </c>
      <c r="CM264" s="122">
        <v>24390056.25</v>
      </c>
      <c r="CN264" s="122">
        <v>0</v>
      </c>
      <c r="CO264" s="34">
        <f>SUMIFS(BB___HK___AMHS__Others[AR Amount],BB___HK___AMHS__Others[PO No.],AR_725[[#This Row],[tsmc PO '#]],BB___HK___AMHS__Others[Status],"&lt;&gt;Rejected",BB___HK___AMHS__Others[YearMonth],"2024-07")</f>
        <v>8218447.5999999996</v>
      </c>
      <c r="CP264" s="122">
        <f>SUMIFS(BB___HK___AMHS__Others[Tax],BB___HK___AMHS__Others[PO No.],AR_725[[#This Row],[tsmc PO '#]],BB___HK___AMHS__Others[Status],"&lt;&gt;Rejected",BB___HK___AMHS__Others[YearMonth],"2024-07")</f>
        <v>0</v>
      </c>
      <c r="CQ264" s="34">
        <f>SUMIFS(BB___HK___AMHS__Others[AR Amount],BB___HK___AMHS__Others[PO No.],AR_725[[#This Row],[tsmc PO '#]],BB___HK___AMHS__Others[Status],"&lt;&gt;Rejected",BB___HK___AMHS__Others[YearMonth],"2024-08")</f>
        <v>6595970.9500000002</v>
      </c>
      <c r="CR264" s="44">
        <f>SUMIFS(BB___HK___AMHS__Others[Tax],BB___HK___AMHS__Others[PO No.],AR_725[[#This Row],[tsmc PO '#]],BB___HK___AMHS__Others[Status],"&lt;&gt;Rejected",BB___HK___AMHS__Others[YearMonth],"2024-08")</f>
        <v>0</v>
      </c>
      <c r="CS264" s="62">
        <f>SUMIFS(BB___HK___AMHS__Others[AR Amount],BB___HK___AMHS__Others[PO No.],AR_725[[#This Row],[tsmc PO '#]],BB___HK___AMHS__Others[Status],"&lt;&gt;Rejected",BB___HK___AMHS__Others[YearMonth],"2024-09")</f>
        <v>0</v>
      </c>
      <c r="CT264" s="601">
        <f>SUMIFS(BB___HK___AMHS__Others[Tax],BB___HK___AMHS__Others[PO No.],AR_725[[#This Row],[tsmc PO '#]],BB___HK___AMHS__Others[Status],"&lt;&gt;Rejected",BB___HK___AMHS__Others[YearMonth],"2024-09")</f>
        <v>0</v>
      </c>
    </row>
    <row r="265" spans="1:98" ht="14.1" hidden="1">
      <c r="A265" s="30" t="s">
        <v>21</v>
      </c>
      <c r="B265" s="30" t="s">
        <v>2250</v>
      </c>
      <c r="D265" s="50"/>
      <c r="E265" s="30" t="s">
        <v>2209</v>
      </c>
      <c r="F265" s="50"/>
      <c r="G265" s="50" t="s">
        <v>2289</v>
      </c>
      <c r="H265" s="50">
        <v>4590019601</v>
      </c>
      <c r="J265" s="30" t="s">
        <v>2290</v>
      </c>
      <c r="K265" s="46">
        <v>4048.28</v>
      </c>
      <c r="M265" s="86">
        <v>45477</v>
      </c>
      <c r="N265" s="87"/>
      <c r="O265" s="30" t="s">
        <v>2291</v>
      </c>
      <c r="P26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26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6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265" s="72">
        <f>IF(AR_725[[#This Row],[PO Amount]]=0,1,AR_725[[#This Row],[Total AR (Sent)]]/AR_725[[#This Row],[PO Amount]])</f>
        <v>0</v>
      </c>
      <c r="T265" s="73">
        <f>AR_725[[#This Row],[PO Amount]]-AR_725[[#This Row],[Total AR (Sent)]]</f>
        <v>4048.28</v>
      </c>
      <c r="AV265" s="78"/>
      <c r="CG265" s="122"/>
      <c r="CI265" s="122"/>
      <c r="CK265" s="122"/>
      <c r="CL265" s="122">
        <v>0</v>
      </c>
      <c r="CM265" s="122">
        <v>0</v>
      </c>
      <c r="CN265" s="122">
        <v>0</v>
      </c>
      <c r="CO265" s="122">
        <f>SUMIFS(BB___HK___AMHS__Others[AR Amount],BB___HK___AMHS__Others[PO No.],AR_725[[#This Row],[tsmc PO '#]],BB___HK___AMHS__Others[Status],"&lt;&gt;Rejected",BB___HK___AMHS__Others[YearMonth],"2024-07")</f>
        <v>0</v>
      </c>
      <c r="CP265" s="122">
        <f>SUMIFS(BB___HK___AMHS__Others[Tax],BB___HK___AMHS__Others[PO No.],AR_725[[#This Row],[tsmc PO '#]],BB___HK___AMHS__Others[Status],"&lt;&gt;Rejected",BB___HK___AMHS__Others[YearMonth],"2024-07")</f>
        <v>0</v>
      </c>
      <c r="CQ265" s="34">
        <f>SUMIFS(BB___HK___AMHS__Others[AR Amount],BB___HK___AMHS__Others[PO No.],AR_725[[#This Row],[tsmc PO '#]],BB___HK___AMHS__Others[Status],"&lt;&gt;Rejected",BB___HK___AMHS__Others[YearMonth],"2024-08")</f>
        <v>0</v>
      </c>
      <c r="CR265" s="44">
        <f>SUMIFS(BB___HK___AMHS__Others[Tax],BB___HK___AMHS__Others[PO No.],AR_725[[#This Row],[tsmc PO '#]],BB___HK___AMHS__Others[Status],"&lt;&gt;Rejected",BB___HK___AMHS__Others[YearMonth],"2024-08")</f>
        <v>0</v>
      </c>
      <c r="CS265" s="62">
        <f>SUMIFS(BB___HK___AMHS__Others[AR Amount],BB___HK___AMHS__Others[PO No.],AR_725[[#This Row],[tsmc PO '#]],BB___HK___AMHS__Others[Status],"&lt;&gt;Rejected",BB___HK___AMHS__Others[YearMonth],"2024-09")</f>
        <v>0</v>
      </c>
      <c r="CT265" s="601">
        <f>SUMIFS(BB___HK___AMHS__Others[Tax],BB___HK___AMHS__Others[PO No.],AR_725[[#This Row],[tsmc PO '#]],BB___HK___AMHS__Others[Status],"&lt;&gt;Rejected",BB___HK___AMHS__Others[YearMonth],"2024-09")</f>
        <v>0</v>
      </c>
    </row>
    <row r="266" spans="1:98" ht="14.1" hidden="1">
      <c r="A266" s="30" t="s">
        <v>8</v>
      </c>
      <c r="B266" s="30" t="s">
        <v>8</v>
      </c>
      <c r="D266" s="50" t="s">
        <v>8</v>
      </c>
      <c r="E266" s="604" t="s">
        <v>2109</v>
      </c>
      <c r="F266" s="50" t="s">
        <v>2110</v>
      </c>
      <c r="G266" s="50" t="s">
        <v>54</v>
      </c>
      <c r="H266" s="50">
        <v>4590019688</v>
      </c>
      <c r="I266" s="30" t="s">
        <v>300</v>
      </c>
      <c r="J266" s="30" t="s">
        <v>1713</v>
      </c>
      <c r="K266" s="46">
        <v>3425396.82</v>
      </c>
      <c r="M266" s="86">
        <v>45482</v>
      </c>
      <c r="N266" s="87"/>
      <c r="O266" s="30" t="s">
        <v>2156</v>
      </c>
      <c r="P26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1027802.71</v>
      </c>
      <c r="Q26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6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1027802.71</v>
      </c>
      <c r="S266" s="72">
        <f>IF(AR_725[[#This Row],[PO Amount]]=0,1,AR_725[[#This Row],[Total AR (Sent)]]/AR_725[[#This Row],[PO Amount]])</f>
        <v>0.30005361831333749</v>
      </c>
      <c r="T266" s="73">
        <f>AR_725[[#This Row],[PO Amount]]-AR_725[[#This Row],[Total AR (Sent)]]</f>
        <v>2397594.11</v>
      </c>
      <c r="AV266" s="78"/>
      <c r="CG266" s="122"/>
      <c r="CI266" s="122"/>
      <c r="CK266" s="122"/>
      <c r="CL266" s="122">
        <v>0</v>
      </c>
      <c r="CM266" s="122">
        <v>0</v>
      </c>
      <c r="CN266" s="122">
        <v>0</v>
      </c>
      <c r="CO266" s="34">
        <f>SUMIFS(BB___HK___AMHS__Others[AR Amount],BB___HK___AMHS__Others[PO No.],AR_725[[#This Row],[tsmc PO '#]],BB___HK___AMHS__Others[Status],"&lt;&gt;Rejected",BB___HK___AMHS__Others[YearMonth],"2024-07")</f>
        <v>0</v>
      </c>
      <c r="CP266" s="122">
        <f>SUMIFS(BB___HK___AMHS__Others[Tax],BB___HK___AMHS__Others[PO No.],AR_725[[#This Row],[tsmc PO '#]],BB___HK___AMHS__Others[Status],"&lt;&gt;Rejected",BB___HK___AMHS__Others[YearMonth],"2024-07")</f>
        <v>0</v>
      </c>
      <c r="CQ266" s="34">
        <f>SUMIFS(BB___HK___AMHS__Others[AR Amount],BB___HK___AMHS__Others[PO No.],AR_725[[#This Row],[tsmc PO '#]],BB___HK___AMHS__Others[Status],"&lt;&gt;Rejected",BB___HK___AMHS__Others[YearMonth],"2024-08")</f>
        <v>1027802.71</v>
      </c>
      <c r="CR266" s="44">
        <f>SUMIFS(BB___HK___AMHS__Others[Tax],BB___HK___AMHS__Others[PO No.],AR_725[[#This Row],[tsmc PO '#]],BB___HK___AMHS__Others[Status],"&lt;&gt;Rejected",BB___HK___AMHS__Others[YearMonth],"2024-08")</f>
        <v>0</v>
      </c>
      <c r="CS266" s="62">
        <f>SUMIFS(BB___HK___AMHS__Others[AR Amount],BB___HK___AMHS__Others[PO No.],AR_725[[#This Row],[tsmc PO '#]],BB___HK___AMHS__Others[Status],"&lt;&gt;Rejected",BB___HK___AMHS__Others[YearMonth],"2024-09")</f>
        <v>0</v>
      </c>
      <c r="CT266" s="601">
        <f>SUMIFS(BB___HK___AMHS__Others[Tax],BB___HK___AMHS__Others[PO No.],AR_725[[#This Row],[tsmc PO '#]],BB___HK___AMHS__Others[Status],"&lt;&gt;Rejected",BB___HK___AMHS__Others[YearMonth],"2024-09")</f>
        <v>0</v>
      </c>
    </row>
    <row r="267" spans="1:98" ht="14.1" hidden="1">
      <c r="A267" s="30" t="s">
        <v>8</v>
      </c>
      <c r="B267" s="30" t="s">
        <v>8</v>
      </c>
      <c r="D267" s="50" t="s">
        <v>8</v>
      </c>
      <c r="E267" s="604" t="s">
        <v>2109</v>
      </c>
      <c r="F267" s="50" t="s">
        <v>2110</v>
      </c>
      <c r="G267" s="50" t="s">
        <v>2183</v>
      </c>
      <c r="H267" s="50">
        <v>4590019702</v>
      </c>
      <c r="I267" s="30" t="s">
        <v>300</v>
      </c>
      <c r="J267" s="30" t="s">
        <v>1716</v>
      </c>
      <c r="K267" s="46">
        <v>64464.4</v>
      </c>
      <c r="M267" s="86">
        <v>45482</v>
      </c>
      <c r="N267" s="87"/>
      <c r="O267" s="30" t="s">
        <v>2160</v>
      </c>
      <c r="P26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25785.759999999998</v>
      </c>
      <c r="Q26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6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25785.759999999998</v>
      </c>
      <c r="S267" s="72">
        <f>IF(AR_725[[#This Row],[PO Amount]]=0,1,AR_725[[#This Row],[Total AR (Sent)]]/AR_725[[#This Row],[PO Amount]])</f>
        <v>0.39999999999999997</v>
      </c>
      <c r="T267" s="73">
        <f>AR_725[[#This Row],[PO Amount]]-AR_725[[#This Row],[Total AR (Sent)]]</f>
        <v>38678.639999999999</v>
      </c>
      <c r="AV267" s="78"/>
      <c r="CG267" s="122"/>
      <c r="CI267" s="122"/>
      <c r="CK267" s="122"/>
      <c r="CL267" s="122">
        <v>0</v>
      </c>
      <c r="CM267" s="122">
        <v>0</v>
      </c>
      <c r="CN267" s="122">
        <v>0</v>
      </c>
      <c r="CO267" s="34">
        <f>SUMIFS(BB___HK___AMHS__Others[AR Amount],BB___HK___AMHS__Others[PO No.],AR_725[[#This Row],[tsmc PO '#]],BB___HK___AMHS__Others[Status],"&lt;&gt;Rejected",BB___HK___AMHS__Others[YearMonth],"2024-07")</f>
        <v>0</v>
      </c>
      <c r="CP267" s="122">
        <f>SUMIFS(BB___HK___AMHS__Others[Tax],BB___HK___AMHS__Others[PO No.],AR_725[[#This Row],[tsmc PO '#]],BB___HK___AMHS__Others[Status],"&lt;&gt;Rejected",BB___HK___AMHS__Others[YearMonth],"2024-07")</f>
        <v>0</v>
      </c>
      <c r="CQ267" s="34">
        <f>SUMIFS(BB___HK___AMHS__Others[AR Amount],BB___HK___AMHS__Others[PO No.],AR_725[[#This Row],[tsmc PO '#]],BB___HK___AMHS__Others[Status],"&lt;&gt;Rejected",BB___HK___AMHS__Others[YearMonth],"2024-08")</f>
        <v>25785.759999999998</v>
      </c>
      <c r="CR267" s="44">
        <f>SUMIFS(BB___HK___AMHS__Others[Tax],BB___HK___AMHS__Others[PO No.],AR_725[[#This Row],[tsmc PO '#]],BB___HK___AMHS__Others[Status],"&lt;&gt;Rejected",BB___HK___AMHS__Others[YearMonth],"2024-08")</f>
        <v>0</v>
      </c>
      <c r="CS267" s="62">
        <f>SUMIFS(BB___HK___AMHS__Others[AR Amount],BB___HK___AMHS__Others[PO No.],AR_725[[#This Row],[tsmc PO '#]],BB___HK___AMHS__Others[Status],"&lt;&gt;Rejected",BB___HK___AMHS__Others[YearMonth],"2024-09")</f>
        <v>0</v>
      </c>
      <c r="CT267" s="601">
        <f>SUMIFS(BB___HK___AMHS__Others[Tax],BB___HK___AMHS__Others[PO No.],AR_725[[#This Row],[tsmc PO '#]],BB___HK___AMHS__Others[Status],"&lt;&gt;Rejected",BB___HK___AMHS__Others[YearMonth],"2024-09")</f>
        <v>0</v>
      </c>
    </row>
    <row r="268" spans="1:98" ht="14.1" hidden="1">
      <c r="A268" s="30" t="s">
        <v>8</v>
      </c>
      <c r="B268" s="30" t="s">
        <v>8</v>
      </c>
      <c r="D268" s="50" t="s">
        <v>8</v>
      </c>
      <c r="E268" s="604" t="s">
        <v>2109</v>
      </c>
      <c r="F268" s="50" t="s">
        <v>2110</v>
      </c>
      <c r="G268" s="50" t="s">
        <v>54</v>
      </c>
      <c r="H268" s="50">
        <v>4590019730</v>
      </c>
      <c r="I268" s="30" t="s">
        <v>252</v>
      </c>
      <c r="J268" s="30" t="s">
        <v>1728</v>
      </c>
      <c r="K268" s="46">
        <v>705343</v>
      </c>
      <c r="M268" s="86">
        <v>45483</v>
      </c>
      <c r="N268" s="87"/>
      <c r="O268" s="30" t="s">
        <v>2156</v>
      </c>
      <c r="P26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343391</v>
      </c>
      <c r="Q26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6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343391</v>
      </c>
      <c r="S268" s="72">
        <f>IF(AR_725[[#This Row],[PO Amount]]=0,1,AR_725[[#This Row],[Total AR (Sent)]]/AR_725[[#This Row],[PO Amount]])</f>
        <v>0.48684257162827166</v>
      </c>
      <c r="T268" s="73">
        <f>AR_725[[#This Row],[PO Amount]]-AR_725[[#This Row],[Total AR (Sent)]]</f>
        <v>361952</v>
      </c>
      <c r="AV268" s="78"/>
      <c r="CG268" s="122"/>
      <c r="CI268" s="122"/>
      <c r="CK268" s="122"/>
      <c r="CL268" s="122">
        <v>0</v>
      </c>
      <c r="CM268" s="122">
        <v>0</v>
      </c>
      <c r="CN268" s="122">
        <v>0</v>
      </c>
      <c r="CO268" s="34">
        <f>SUMIFS(BB___HK___AMHS__Others[AR Amount],BB___HK___AMHS__Others[PO No.],AR_725[[#This Row],[tsmc PO '#]],BB___HK___AMHS__Others[Status],"&lt;&gt;Rejected",BB___HK___AMHS__Others[YearMonth],"2024-07")</f>
        <v>0</v>
      </c>
      <c r="CP268" s="122">
        <f>SUMIFS(BB___HK___AMHS__Others[Tax],BB___HK___AMHS__Others[PO No.],AR_725[[#This Row],[tsmc PO '#]],BB___HK___AMHS__Others[Status],"&lt;&gt;Rejected",BB___HK___AMHS__Others[YearMonth],"2024-07")</f>
        <v>0</v>
      </c>
      <c r="CQ268" s="34">
        <f>SUMIFS(BB___HK___AMHS__Others[AR Amount],BB___HK___AMHS__Others[PO No.],AR_725[[#This Row],[tsmc PO '#]],BB___HK___AMHS__Others[Status],"&lt;&gt;Rejected",BB___HK___AMHS__Others[YearMonth],"2024-08")</f>
        <v>343391</v>
      </c>
      <c r="CR268" s="44">
        <f>SUMIFS(BB___HK___AMHS__Others[Tax],BB___HK___AMHS__Others[PO No.],AR_725[[#This Row],[tsmc PO '#]],BB___HK___AMHS__Others[Status],"&lt;&gt;Rejected",BB___HK___AMHS__Others[YearMonth],"2024-08")</f>
        <v>0</v>
      </c>
      <c r="CS268" s="62">
        <f>SUMIFS(BB___HK___AMHS__Others[AR Amount],BB___HK___AMHS__Others[PO No.],AR_725[[#This Row],[tsmc PO '#]],BB___HK___AMHS__Others[Status],"&lt;&gt;Rejected",BB___HK___AMHS__Others[YearMonth],"2024-09")</f>
        <v>0</v>
      </c>
      <c r="CT268" s="601">
        <f>SUMIFS(BB___HK___AMHS__Others[Tax],BB___HK___AMHS__Others[PO No.],AR_725[[#This Row],[tsmc PO '#]],BB___HK___AMHS__Others[Status],"&lt;&gt;Rejected",BB___HK___AMHS__Others[YearMonth],"2024-09")</f>
        <v>0</v>
      </c>
    </row>
    <row r="269" spans="1:98" ht="14.1" hidden="1">
      <c r="A269" s="30" t="s">
        <v>13</v>
      </c>
      <c r="B269" s="30" t="s">
        <v>13</v>
      </c>
      <c r="D269" s="50"/>
      <c r="E269" s="30" t="s">
        <v>2044</v>
      </c>
      <c r="F269" s="50"/>
      <c r="G269" s="50" t="s">
        <v>1363</v>
      </c>
      <c r="H269" s="50">
        <v>4590019895</v>
      </c>
      <c r="I269" s="30" t="s">
        <v>222</v>
      </c>
      <c r="J269" s="30" t="s">
        <v>1747</v>
      </c>
      <c r="K269" s="46">
        <v>4981041.4800000004</v>
      </c>
      <c r="M269" s="86">
        <v>45489</v>
      </c>
      <c r="N269" s="87"/>
      <c r="O269" s="30" t="s">
        <v>2156</v>
      </c>
      <c r="P26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26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6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269" s="72">
        <f>IF(AR_725[[#This Row],[PO Amount]]=0,1,AR_725[[#This Row],[Total AR (Sent)]]/AR_725[[#This Row],[PO Amount]])</f>
        <v>0</v>
      </c>
      <c r="T269" s="73">
        <f>AR_725[[#This Row],[PO Amount]]-AR_725[[#This Row],[Total AR (Sent)]]</f>
        <v>4981041.4800000004</v>
      </c>
      <c r="AV269" s="78"/>
      <c r="CG269" s="122"/>
      <c r="CI269" s="122"/>
      <c r="CK269" s="122"/>
      <c r="CL269" s="122">
        <v>0</v>
      </c>
      <c r="CM269" s="122">
        <v>0</v>
      </c>
      <c r="CN269" s="122">
        <v>0</v>
      </c>
      <c r="CO269" s="122">
        <f>SUMIFS(BB___HK___AMHS__Others[AR Amount],BB___HK___AMHS__Others[PO No.],AR_725[[#This Row],[tsmc PO '#]],BB___HK___AMHS__Others[Status],"&lt;&gt;Rejected",BB___HK___AMHS__Others[YearMonth],"2024-07")</f>
        <v>0</v>
      </c>
      <c r="CP269" s="122">
        <f>SUMIFS(BB___HK___AMHS__Others[Tax],BB___HK___AMHS__Others[PO No.],AR_725[[#This Row],[tsmc PO '#]],BB___HK___AMHS__Others[Status],"&lt;&gt;Rejected",BB___HK___AMHS__Others[YearMonth],"2024-07")</f>
        <v>0</v>
      </c>
      <c r="CQ269" s="34">
        <f>SUMIFS(BB___HK___AMHS__Others[AR Amount],BB___HK___AMHS__Others[PO No.],AR_725[[#This Row],[tsmc PO '#]],BB___HK___AMHS__Others[Status],"&lt;&gt;Rejected",BB___HK___AMHS__Others[YearMonth],"2024-08")</f>
        <v>0</v>
      </c>
      <c r="CR269" s="44">
        <f>SUMIFS(BB___HK___AMHS__Others[Tax],BB___HK___AMHS__Others[PO No.],AR_725[[#This Row],[tsmc PO '#]],BB___HK___AMHS__Others[Status],"&lt;&gt;Rejected",BB___HK___AMHS__Others[YearMonth],"2024-08")</f>
        <v>0</v>
      </c>
      <c r="CS269" s="62">
        <f>SUMIFS(BB___HK___AMHS__Others[AR Amount],BB___HK___AMHS__Others[PO No.],AR_725[[#This Row],[tsmc PO '#]],BB___HK___AMHS__Others[Status],"&lt;&gt;Rejected",BB___HK___AMHS__Others[YearMonth],"2024-09")</f>
        <v>0</v>
      </c>
      <c r="CT269" s="601">
        <f>SUMIFS(BB___HK___AMHS__Others[Tax],BB___HK___AMHS__Others[PO No.],AR_725[[#This Row],[tsmc PO '#]],BB___HK___AMHS__Others[Status],"&lt;&gt;Rejected",BB___HK___AMHS__Others[YearMonth],"2024-09")</f>
        <v>0</v>
      </c>
    </row>
    <row r="270" spans="1:98" ht="14.1" hidden="1">
      <c r="A270" s="30" t="s">
        <v>9</v>
      </c>
      <c r="B270" s="30" t="s">
        <v>2051</v>
      </c>
      <c r="C270" s="30" t="s">
        <v>42</v>
      </c>
      <c r="D270" s="50" t="s">
        <v>1720</v>
      </c>
      <c r="E270" s="50" t="s">
        <v>2292</v>
      </c>
      <c r="F270" s="50" t="s">
        <v>2292</v>
      </c>
      <c r="G270" s="50" t="s">
        <v>312</v>
      </c>
      <c r="H270" s="50">
        <v>4590019922</v>
      </c>
      <c r="I270" s="30" t="s">
        <v>1416</v>
      </c>
      <c r="J270" s="30" t="s">
        <v>1503</v>
      </c>
      <c r="K270" s="46">
        <v>77505.16</v>
      </c>
      <c r="M270" s="86">
        <v>45489</v>
      </c>
      <c r="N270" s="87"/>
      <c r="O270" s="30" t="s">
        <v>2160</v>
      </c>
      <c r="P27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77505.159999999989</v>
      </c>
      <c r="Q27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7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77505.159999999989</v>
      </c>
      <c r="S270" s="72">
        <f>IF(AR_725[[#This Row],[PO Amount]]=0,1,AR_725[[#This Row],[Total AR (Sent)]]/AR_725[[#This Row],[PO Amount]])</f>
        <v>0.99999999999999978</v>
      </c>
      <c r="T270" s="73">
        <f>AR_725[[#This Row],[PO Amount]]-AR_725[[#This Row],[Total AR (Sent)]]</f>
        <v>0</v>
      </c>
      <c r="AV270" s="78"/>
      <c r="CG270" s="122"/>
      <c r="CI270" s="122"/>
      <c r="CK270" s="122"/>
      <c r="CL270" s="122">
        <v>0</v>
      </c>
      <c r="CM270" s="122">
        <v>0</v>
      </c>
      <c r="CN270" s="122">
        <v>0</v>
      </c>
      <c r="CO270" s="34">
        <f>SUMIFS(BB___HK___AMHS__Others[AR Amount],BB___HK___AMHS__Others[PO No.],AR_725[[#This Row],[tsmc PO '#]],BB___HK___AMHS__Others[Status],"&lt;&gt;Rejected",BB___HK___AMHS__Others[YearMonth],"2024-07")</f>
        <v>69754.649999999994</v>
      </c>
      <c r="CP270" s="122">
        <f>SUMIFS(BB___HK___AMHS__Others[Tax],BB___HK___AMHS__Others[PO No.],AR_725[[#This Row],[tsmc PO '#]],BB___HK___AMHS__Others[Status],"&lt;&gt;Rejected",BB___HK___AMHS__Others[YearMonth],"2024-07")</f>
        <v>0</v>
      </c>
      <c r="CQ270" s="34">
        <f>SUMIFS(BB___HK___AMHS__Others[AR Amount],BB___HK___AMHS__Others[PO No.],AR_725[[#This Row],[tsmc PO '#]],BB___HK___AMHS__Others[Status],"&lt;&gt;Rejected",BB___HK___AMHS__Others[YearMonth],"2024-08")</f>
        <v>7750.51</v>
      </c>
      <c r="CR270" s="44">
        <f>SUMIFS(BB___HK___AMHS__Others[Tax],BB___HK___AMHS__Others[PO No.],AR_725[[#This Row],[tsmc PO '#]],BB___HK___AMHS__Others[Status],"&lt;&gt;Rejected",BB___HK___AMHS__Others[YearMonth],"2024-08")</f>
        <v>0</v>
      </c>
      <c r="CS270" s="62">
        <f>SUMIFS(BB___HK___AMHS__Others[AR Amount],BB___HK___AMHS__Others[PO No.],AR_725[[#This Row],[tsmc PO '#]],BB___HK___AMHS__Others[Status],"&lt;&gt;Rejected",BB___HK___AMHS__Others[YearMonth],"2024-09")</f>
        <v>0</v>
      </c>
      <c r="CT270" s="601">
        <f>SUMIFS(BB___HK___AMHS__Others[Tax],BB___HK___AMHS__Others[PO No.],AR_725[[#This Row],[tsmc PO '#]],BB___HK___AMHS__Others[Status],"&lt;&gt;Rejected",BB___HK___AMHS__Others[YearMonth],"2024-09")</f>
        <v>0</v>
      </c>
    </row>
    <row r="271" spans="1:98" ht="14.1" hidden="1">
      <c r="A271" s="30" t="s">
        <v>9</v>
      </c>
      <c r="B271" s="30" t="s">
        <v>2051</v>
      </c>
      <c r="C271" s="30" t="s">
        <v>42</v>
      </c>
      <c r="D271" s="50" t="s">
        <v>1720</v>
      </c>
      <c r="E271" s="50" t="s">
        <v>2292</v>
      </c>
      <c r="F271" s="50"/>
      <c r="G271" s="50" t="s">
        <v>312</v>
      </c>
      <c r="H271" s="50">
        <v>4590019923</v>
      </c>
      <c r="I271" s="30" t="s">
        <v>1416</v>
      </c>
      <c r="J271" s="30" t="s">
        <v>1495</v>
      </c>
      <c r="K271" s="46">
        <v>9264.39</v>
      </c>
      <c r="M271" s="86">
        <v>45489</v>
      </c>
      <c r="N271" s="87"/>
      <c r="O271" s="30" t="s">
        <v>2160</v>
      </c>
      <c r="P27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9264.39</v>
      </c>
      <c r="Q27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7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9264.39</v>
      </c>
      <c r="S271" s="72">
        <f>IF(AR_725[[#This Row],[PO Amount]]=0,1,AR_725[[#This Row],[Total AR (Sent)]]/AR_725[[#This Row],[PO Amount]])</f>
        <v>1</v>
      </c>
      <c r="T271" s="73">
        <f>AR_725[[#This Row],[PO Amount]]-AR_725[[#This Row],[Total AR (Sent)]]</f>
        <v>0</v>
      </c>
      <c r="AV271" s="78"/>
      <c r="CG271" s="122"/>
      <c r="CI271" s="122"/>
      <c r="CK271" s="122"/>
      <c r="CL271" s="122">
        <v>0</v>
      </c>
      <c r="CM271" s="122">
        <v>0</v>
      </c>
      <c r="CN271" s="122">
        <v>0</v>
      </c>
      <c r="CO271" s="122">
        <f>SUMIFS(BB___HK___AMHS__Others[AR Amount],BB___HK___AMHS__Others[PO No.],AR_725[[#This Row],[tsmc PO '#]],BB___HK___AMHS__Others[Status],"&lt;&gt;Rejected",BB___HK___AMHS__Others[YearMonth],"2024-07")</f>
        <v>9264.39</v>
      </c>
      <c r="CP271" s="122">
        <f>SUMIFS(BB___HK___AMHS__Others[Tax],BB___HK___AMHS__Others[PO No.],AR_725[[#This Row],[tsmc PO '#]],BB___HK___AMHS__Others[Status],"&lt;&gt;Rejected",BB___HK___AMHS__Others[YearMonth],"2024-07")</f>
        <v>0</v>
      </c>
      <c r="CQ271" s="34">
        <f>SUMIFS(BB___HK___AMHS__Others[AR Amount],BB___HK___AMHS__Others[PO No.],AR_725[[#This Row],[tsmc PO '#]],BB___HK___AMHS__Others[Status],"&lt;&gt;Rejected",BB___HK___AMHS__Others[YearMonth],"2024-08")</f>
        <v>0</v>
      </c>
      <c r="CR271" s="44">
        <f>SUMIFS(BB___HK___AMHS__Others[Tax],BB___HK___AMHS__Others[PO No.],AR_725[[#This Row],[tsmc PO '#]],BB___HK___AMHS__Others[Status],"&lt;&gt;Rejected",BB___HK___AMHS__Others[YearMonth],"2024-08")</f>
        <v>0</v>
      </c>
      <c r="CS271" s="62">
        <f>SUMIFS(BB___HK___AMHS__Others[AR Amount],BB___HK___AMHS__Others[PO No.],AR_725[[#This Row],[tsmc PO '#]],BB___HK___AMHS__Others[Status],"&lt;&gt;Rejected",BB___HK___AMHS__Others[YearMonth],"2024-09")</f>
        <v>0</v>
      </c>
      <c r="CT271" s="601">
        <f>SUMIFS(BB___HK___AMHS__Others[Tax],BB___HK___AMHS__Others[PO No.],AR_725[[#This Row],[tsmc PO '#]],BB___HK___AMHS__Others[Status],"&lt;&gt;Rejected",BB___HK___AMHS__Others[YearMonth],"2024-09")</f>
        <v>0</v>
      </c>
    </row>
    <row r="272" spans="1:98" ht="14.1" hidden="1">
      <c r="A272" s="30" t="s">
        <v>9</v>
      </c>
      <c r="B272" s="30" t="s">
        <v>2051</v>
      </c>
      <c r="C272" s="30" t="s">
        <v>42</v>
      </c>
      <c r="D272" s="50" t="s">
        <v>1546</v>
      </c>
      <c r="E272" s="30" t="s">
        <v>2052</v>
      </c>
      <c r="F272" s="50" t="s">
        <v>2100</v>
      </c>
      <c r="G272" s="50" t="s">
        <v>1448</v>
      </c>
      <c r="H272" s="50">
        <v>4590019924</v>
      </c>
      <c r="I272" s="30" t="s">
        <v>1416</v>
      </c>
      <c r="J272" s="30" t="s">
        <v>1449</v>
      </c>
      <c r="K272" s="46">
        <v>249740.01</v>
      </c>
      <c r="M272" s="86">
        <v>45489</v>
      </c>
      <c r="N272" s="87"/>
      <c r="O272" s="30" t="s">
        <v>2160</v>
      </c>
      <c r="P27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116624.66</v>
      </c>
      <c r="Q27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7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116624.66</v>
      </c>
      <c r="S272" s="72">
        <f>IF(AR_725[[#This Row],[PO Amount]]=0,1,AR_725[[#This Row],[Total AR (Sent)]]/AR_725[[#This Row],[PO Amount]])</f>
        <v>0.46698428497700467</v>
      </c>
      <c r="T272" s="73">
        <f>AR_725[[#This Row],[PO Amount]]-AR_725[[#This Row],[Total AR (Sent)]]</f>
        <v>133115.35</v>
      </c>
      <c r="AV272" s="78"/>
      <c r="CG272" s="122"/>
      <c r="CI272" s="122"/>
      <c r="CK272" s="122"/>
      <c r="CL272" s="122">
        <v>0</v>
      </c>
      <c r="CM272" s="122">
        <v>0</v>
      </c>
      <c r="CN272" s="122">
        <v>0</v>
      </c>
      <c r="CO272" s="122">
        <f>SUMIFS(BB___HK___AMHS__Others[AR Amount],BB___HK___AMHS__Others[PO No.],AR_725[[#This Row],[tsmc PO '#]],BB___HK___AMHS__Others[Status],"&lt;&gt;Rejected",BB___HK___AMHS__Others[YearMonth],"2024-07")</f>
        <v>116624.66</v>
      </c>
      <c r="CP272" s="122">
        <f>SUMIFS(BB___HK___AMHS__Others[Tax],BB___HK___AMHS__Others[PO No.],AR_725[[#This Row],[tsmc PO '#]],BB___HK___AMHS__Others[Status],"&lt;&gt;Rejected",BB___HK___AMHS__Others[YearMonth],"2024-07")</f>
        <v>0</v>
      </c>
      <c r="CQ272" s="34">
        <f>SUMIFS(BB___HK___AMHS__Others[AR Amount],BB___HK___AMHS__Others[PO No.],AR_725[[#This Row],[tsmc PO '#]],BB___HK___AMHS__Others[Status],"&lt;&gt;Rejected",BB___HK___AMHS__Others[YearMonth],"2024-08")</f>
        <v>0</v>
      </c>
      <c r="CR272" s="44">
        <f>SUMIFS(BB___HK___AMHS__Others[Tax],BB___HK___AMHS__Others[PO No.],AR_725[[#This Row],[tsmc PO '#]],BB___HK___AMHS__Others[Status],"&lt;&gt;Rejected",BB___HK___AMHS__Others[YearMonth],"2024-08")</f>
        <v>0</v>
      </c>
      <c r="CS272" s="62">
        <f>SUMIFS(BB___HK___AMHS__Others[AR Amount],BB___HK___AMHS__Others[PO No.],AR_725[[#This Row],[tsmc PO '#]],BB___HK___AMHS__Others[Status],"&lt;&gt;Rejected",BB___HK___AMHS__Others[YearMonth],"2024-09")</f>
        <v>0</v>
      </c>
      <c r="CT272" s="601">
        <f>SUMIFS(BB___HK___AMHS__Others[Tax],BB___HK___AMHS__Others[PO No.],AR_725[[#This Row],[tsmc PO '#]],BB___HK___AMHS__Others[Status],"&lt;&gt;Rejected",BB___HK___AMHS__Others[YearMonth],"2024-09")</f>
        <v>0</v>
      </c>
    </row>
    <row r="273" spans="1:98" ht="14.1" hidden="1">
      <c r="A273" s="30" t="s">
        <v>9</v>
      </c>
      <c r="B273" s="30" t="s">
        <v>2051</v>
      </c>
      <c r="C273" s="30" t="s">
        <v>42</v>
      </c>
      <c r="D273" s="50" t="s">
        <v>1720</v>
      </c>
      <c r="E273" s="50" t="s">
        <v>2100</v>
      </c>
      <c r="F273" s="50"/>
      <c r="G273" s="50" t="s">
        <v>312</v>
      </c>
      <c r="H273" s="50">
        <v>4590019925</v>
      </c>
      <c r="I273" s="30" t="s">
        <v>1416</v>
      </c>
      <c r="J273" s="30" t="s">
        <v>1451</v>
      </c>
      <c r="K273" s="46">
        <v>439475.39</v>
      </c>
      <c r="M273" s="86">
        <v>45489</v>
      </c>
      <c r="N273" s="87"/>
      <c r="O273" s="30" t="s">
        <v>2160</v>
      </c>
      <c r="P27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439475.39</v>
      </c>
      <c r="Q27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7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439475.39</v>
      </c>
      <c r="S273" s="72">
        <f>IF(AR_725[[#This Row],[PO Amount]]=0,1,AR_725[[#This Row],[Total AR (Sent)]]/AR_725[[#This Row],[PO Amount]])</f>
        <v>1</v>
      </c>
      <c r="T273" s="73">
        <f>AR_725[[#This Row],[PO Amount]]-AR_725[[#This Row],[Total AR (Sent)]]</f>
        <v>0</v>
      </c>
      <c r="AV273" s="78"/>
      <c r="CG273" s="122"/>
      <c r="CI273" s="122"/>
      <c r="CK273" s="122"/>
      <c r="CL273" s="122">
        <v>0</v>
      </c>
      <c r="CM273" s="122">
        <v>0</v>
      </c>
      <c r="CN273" s="122">
        <v>0</v>
      </c>
      <c r="CO273" s="122">
        <f>SUMIFS(BB___HK___AMHS__Others[AR Amount],BB___HK___AMHS__Others[PO No.],AR_725[[#This Row],[tsmc PO '#]],BB___HK___AMHS__Others[Status],"&lt;&gt;Rejected",BB___HK___AMHS__Others[YearMonth],"2024-07")</f>
        <v>439475.39</v>
      </c>
      <c r="CP273" s="122">
        <f>SUMIFS(BB___HK___AMHS__Others[Tax],BB___HK___AMHS__Others[PO No.],AR_725[[#This Row],[tsmc PO '#]],BB___HK___AMHS__Others[Status],"&lt;&gt;Rejected",BB___HK___AMHS__Others[YearMonth],"2024-07")</f>
        <v>0</v>
      </c>
      <c r="CQ273" s="34">
        <f>SUMIFS(BB___HK___AMHS__Others[AR Amount],BB___HK___AMHS__Others[PO No.],AR_725[[#This Row],[tsmc PO '#]],BB___HK___AMHS__Others[Status],"&lt;&gt;Rejected",BB___HK___AMHS__Others[YearMonth],"2024-08")</f>
        <v>0</v>
      </c>
      <c r="CR273" s="44">
        <f>SUMIFS(BB___HK___AMHS__Others[Tax],BB___HK___AMHS__Others[PO No.],AR_725[[#This Row],[tsmc PO '#]],BB___HK___AMHS__Others[Status],"&lt;&gt;Rejected",BB___HK___AMHS__Others[YearMonth],"2024-08")</f>
        <v>0</v>
      </c>
      <c r="CS273" s="62">
        <f>SUMIFS(BB___HK___AMHS__Others[AR Amount],BB___HK___AMHS__Others[PO No.],AR_725[[#This Row],[tsmc PO '#]],BB___HK___AMHS__Others[Status],"&lt;&gt;Rejected",BB___HK___AMHS__Others[YearMonth],"2024-09")</f>
        <v>0</v>
      </c>
      <c r="CT273" s="601">
        <f>SUMIFS(BB___HK___AMHS__Others[Tax],BB___HK___AMHS__Others[PO No.],AR_725[[#This Row],[tsmc PO '#]],BB___HK___AMHS__Others[Status],"&lt;&gt;Rejected",BB___HK___AMHS__Others[YearMonth],"2024-09")</f>
        <v>0</v>
      </c>
    </row>
    <row r="274" spans="1:98" ht="14.1" hidden="1">
      <c r="A274" s="30" t="s">
        <v>9</v>
      </c>
      <c r="B274" s="30" t="s">
        <v>2051</v>
      </c>
      <c r="C274" s="30" t="s">
        <v>42</v>
      </c>
      <c r="D274" s="50" t="s">
        <v>1720</v>
      </c>
      <c r="E274" s="50" t="s">
        <v>2292</v>
      </c>
      <c r="F274" s="50"/>
      <c r="G274" s="50" t="s">
        <v>312</v>
      </c>
      <c r="H274" s="50">
        <v>4590019926</v>
      </c>
      <c r="I274" s="30" t="s">
        <v>1416</v>
      </c>
      <c r="J274" s="30" t="s">
        <v>1501</v>
      </c>
      <c r="K274" s="46">
        <v>16680.43</v>
      </c>
      <c r="M274" s="86">
        <v>45489</v>
      </c>
      <c r="N274" s="87"/>
      <c r="O274" s="30" t="s">
        <v>2160</v>
      </c>
      <c r="P27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16680.43</v>
      </c>
      <c r="Q27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7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16680.43</v>
      </c>
      <c r="S274" s="72">
        <f>IF(AR_725[[#This Row],[PO Amount]]=0,1,AR_725[[#This Row],[Total AR (Sent)]]/AR_725[[#This Row],[PO Amount]])</f>
        <v>1</v>
      </c>
      <c r="T274" s="73">
        <f>AR_725[[#This Row],[PO Amount]]-AR_725[[#This Row],[Total AR (Sent)]]</f>
        <v>0</v>
      </c>
      <c r="AV274" s="78"/>
      <c r="CG274" s="122"/>
      <c r="CI274" s="122"/>
      <c r="CK274" s="122"/>
      <c r="CL274" s="122">
        <v>0</v>
      </c>
      <c r="CM274" s="122">
        <v>0</v>
      </c>
      <c r="CN274" s="122">
        <v>0</v>
      </c>
      <c r="CO274" s="122">
        <f>SUMIFS(BB___HK___AMHS__Others[AR Amount],BB___HK___AMHS__Others[PO No.],AR_725[[#This Row],[tsmc PO '#]],BB___HK___AMHS__Others[Status],"&lt;&gt;Rejected",BB___HK___AMHS__Others[YearMonth],"2024-07")</f>
        <v>16680.43</v>
      </c>
      <c r="CP274" s="122">
        <f>SUMIFS(BB___HK___AMHS__Others[Tax],BB___HK___AMHS__Others[PO No.],AR_725[[#This Row],[tsmc PO '#]],BB___HK___AMHS__Others[Status],"&lt;&gt;Rejected",BB___HK___AMHS__Others[YearMonth],"2024-07")</f>
        <v>0</v>
      </c>
      <c r="CQ274" s="34">
        <f>SUMIFS(BB___HK___AMHS__Others[AR Amount],BB___HK___AMHS__Others[PO No.],AR_725[[#This Row],[tsmc PO '#]],BB___HK___AMHS__Others[Status],"&lt;&gt;Rejected",BB___HK___AMHS__Others[YearMonth],"2024-08")</f>
        <v>0</v>
      </c>
      <c r="CR274" s="44">
        <f>SUMIFS(BB___HK___AMHS__Others[Tax],BB___HK___AMHS__Others[PO No.],AR_725[[#This Row],[tsmc PO '#]],BB___HK___AMHS__Others[Status],"&lt;&gt;Rejected",BB___HK___AMHS__Others[YearMonth],"2024-08")</f>
        <v>0</v>
      </c>
      <c r="CS274" s="62">
        <f>SUMIFS(BB___HK___AMHS__Others[AR Amount],BB___HK___AMHS__Others[PO No.],AR_725[[#This Row],[tsmc PO '#]],BB___HK___AMHS__Others[Status],"&lt;&gt;Rejected",BB___HK___AMHS__Others[YearMonth],"2024-09")</f>
        <v>0</v>
      </c>
      <c r="CT274" s="601">
        <f>SUMIFS(BB___HK___AMHS__Others[Tax],BB___HK___AMHS__Others[PO No.],AR_725[[#This Row],[tsmc PO '#]],BB___HK___AMHS__Others[Status],"&lt;&gt;Rejected",BB___HK___AMHS__Others[YearMonth],"2024-09")</f>
        <v>0</v>
      </c>
    </row>
    <row r="275" spans="1:98" ht="14.1" hidden="1">
      <c r="A275" s="30" t="s">
        <v>9</v>
      </c>
      <c r="B275" s="30" t="s">
        <v>2051</v>
      </c>
      <c r="C275" s="30" t="s">
        <v>42</v>
      </c>
      <c r="D275" s="50" t="s">
        <v>1720</v>
      </c>
      <c r="E275" s="48" t="s">
        <v>2060</v>
      </c>
      <c r="F275" s="50" t="s">
        <v>2060</v>
      </c>
      <c r="G275" s="50" t="s">
        <v>312</v>
      </c>
      <c r="H275" s="50">
        <v>4590019927</v>
      </c>
      <c r="I275" s="30" t="s">
        <v>1416</v>
      </c>
      <c r="J275" s="30" t="s">
        <v>1461</v>
      </c>
      <c r="K275" s="62">
        <v>120273.57</v>
      </c>
      <c r="N275" s="87"/>
      <c r="P27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114257</v>
      </c>
      <c r="Q27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7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114257</v>
      </c>
      <c r="S275" s="72">
        <f>IF(AR_725[[#This Row],[PO Amount]]=0,1,AR_725[[#This Row],[Total AR (Sent)]]/AR_725[[#This Row],[PO Amount]])</f>
        <v>0.94997595897419518</v>
      </c>
      <c r="T275" s="73">
        <f>AR_725[[#This Row],[PO Amount]]-AR_725[[#This Row],[Total AR (Sent)]]</f>
        <v>6016.570000000007</v>
      </c>
      <c r="AR275" s="84"/>
      <c r="AT275" s="44"/>
      <c r="AV275" s="85"/>
      <c r="AX275" s="79"/>
      <c r="AZ275" s="79"/>
      <c r="BB275" s="79"/>
      <c r="BL275" s="79"/>
      <c r="CG275" s="122"/>
      <c r="CI275" s="122"/>
      <c r="CK275" s="122"/>
      <c r="CL275" s="122">
        <v>0</v>
      </c>
      <c r="CM275" s="122">
        <v>0</v>
      </c>
      <c r="CN275" s="122">
        <v>0</v>
      </c>
      <c r="CO275" s="122">
        <f>SUMIFS(BB___HK___AMHS__Others[AR Amount],BB___HK___AMHS__Others[PO No.],AR_725[[#This Row],[tsmc PO '#]],BB___HK___AMHS__Others[Status],"&lt;&gt;Rejected",BB___HK___AMHS__Others[YearMonth],"2024-07")</f>
        <v>114257</v>
      </c>
      <c r="CP275" s="122">
        <f>SUMIFS(BB___HK___AMHS__Others[Tax],BB___HK___AMHS__Others[PO No.],AR_725[[#This Row],[tsmc PO '#]],BB___HK___AMHS__Others[Status],"&lt;&gt;Rejected",BB___HK___AMHS__Others[YearMonth],"2024-07")</f>
        <v>0</v>
      </c>
      <c r="CQ275" s="34">
        <f>SUMIFS(BB___HK___AMHS__Others[AR Amount],BB___HK___AMHS__Others[PO No.],AR_725[[#This Row],[tsmc PO '#]],BB___HK___AMHS__Others[Status],"&lt;&gt;Rejected",BB___HK___AMHS__Others[YearMonth],"2024-08")</f>
        <v>0</v>
      </c>
      <c r="CR275" s="44">
        <f>SUMIFS(BB___HK___AMHS__Others[Tax],BB___HK___AMHS__Others[PO No.],AR_725[[#This Row],[tsmc PO '#]],BB___HK___AMHS__Others[Status],"&lt;&gt;Rejected",BB___HK___AMHS__Others[YearMonth],"2024-08")</f>
        <v>0</v>
      </c>
      <c r="CS275" s="62">
        <f>SUMIFS(BB___HK___AMHS__Others[AR Amount],BB___HK___AMHS__Others[PO No.],AR_725[[#This Row],[tsmc PO '#]],BB___HK___AMHS__Others[Status],"&lt;&gt;Rejected",BB___HK___AMHS__Others[YearMonth],"2024-09")</f>
        <v>0</v>
      </c>
      <c r="CT275" s="601">
        <f>SUMIFS(BB___HK___AMHS__Others[Tax],BB___HK___AMHS__Others[PO No.],AR_725[[#This Row],[tsmc PO '#]],BB___HK___AMHS__Others[Status],"&lt;&gt;Rejected",BB___HK___AMHS__Others[YearMonth],"2024-09")</f>
        <v>0</v>
      </c>
    </row>
    <row r="276" spans="1:98" ht="14.1" hidden="1">
      <c r="A276" s="30" t="s">
        <v>9</v>
      </c>
      <c r="B276" s="30" t="s">
        <v>2051</v>
      </c>
      <c r="C276" s="30" t="s">
        <v>42</v>
      </c>
      <c r="D276" s="50" t="s">
        <v>1720</v>
      </c>
      <c r="E276" s="30" t="s">
        <v>2292</v>
      </c>
      <c r="F276" s="50" t="s">
        <v>2292</v>
      </c>
      <c r="G276" s="50" t="s">
        <v>312</v>
      </c>
      <c r="H276" s="50">
        <v>4590019928</v>
      </c>
      <c r="I276" s="30" t="s">
        <v>1416</v>
      </c>
      <c r="J276" s="30" t="s">
        <v>1457</v>
      </c>
      <c r="K276" s="46">
        <v>3352</v>
      </c>
      <c r="M276" s="86">
        <v>45489</v>
      </c>
      <c r="N276" s="87"/>
      <c r="O276" s="30" t="s">
        <v>2160</v>
      </c>
      <c r="P27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1676.13</v>
      </c>
      <c r="Q27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7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1676.13</v>
      </c>
      <c r="S276" s="72">
        <f>IF(AR_725[[#This Row],[PO Amount]]=0,1,AR_725[[#This Row],[Total AR (Sent)]]/AR_725[[#This Row],[PO Amount]])</f>
        <v>0.50003878281622915</v>
      </c>
      <c r="T276" s="73">
        <f>AR_725[[#This Row],[PO Amount]]-AR_725[[#This Row],[Total AR (Sent)]]</f>
        <v>1675.87</v>
      </c>
      <c r="AR276" s="84"/>
      <c r="AT276" s="44"/>
      <c r="AV276" s="85"/>
      <c r="AX276" s="79"/>
      <c r="AZ276" s="79"/>
      <c r="BB276" s="79"/>
      <c r="BL276" s="79"/>
      <c r="CG276" s="122"/>
      <c r="CI276" s="122"/>
      <c r="CK276" s="122"/>
      <c r="CL276" s="122">
        <v>0</v>
      </c>
      <c r="CM276" s="122">
        <v>0</v>
      </c>
      <c r="CN276" s="122">
        <v>0</v>
      </c>
      <c r="CO276" s="122">
        <f>SUMIFS(BB___HK___AMHS__Others[AR Amount],BB___HK___AMHS__Others[PO No.],AR_725[[#This Row],[tsmc PO '#]],BB___HK___AMHS__Others[Status],"&lt;&gt;Rejected",BB___HK___AMHS__Others[YearMonth],"2024-07")</f>
        <v>1676.13</v>
      </c>
      <c r="CP276" s="122">
        <f>SUMIFS(BB___HK___AMHS__Others[Tax],BB___HK___AMHS__Others[PO No.],AR_725[[#This Row],[tsmc PO '#]],BB___HK___AMHS__Others[Status],"&lt;&gt;Rejected",BB___HK___AMHS__Others[YearMonth],"2024-07")</f>
        <v>0</v>
      </c>
      <c r="CQ276" s="34">
        <f>SUMIFS(BB___HK___AMHS__Others[AR Amount],BB___HK___AMHS__Others[PO No.],AR_725[[#This Row],[tsmc PO '#]],BB___HK___AMHS__Others[Status],"&lt;&gt;Rejected",BB___HK___AMHS__Others[YearMonth],"2024-08")</f>
        <v>0</v>
      </c>
      <c r="CR276" s="44">
        <f>SUMIFS(BB___HK___AMHS__Others[Tax],BB___HK___AMHS__Others[PO No.],AR_725[[#This Row],[tsmc PO '#]],BB___HK___AMHS__Others[Status],"&lt;&gt;Rejected",BB___HK___AMHS__Others[YearMonth],"2024-08")</f>
        <v>0</v>
      </c>
      <c r="CS276" s="62">
        <f>SUMIFS(BB___HK___AMHS__Others[AR Amount],BB___HK___AMHS__Others[PO No.],AR_725[[#This Row],[tsmc PO '#]],BB___HK___AMHS__Others[Status],"&lt;&gt;Rejected",BB___HK___AMHS__Others[YearMonth],"2024-09")</f>
        <v>0</v>
      </c>
      <c r="CT276" s="601">
        <f>SUMIFS(BB___HK___AMHS__Others[Tax],BB___HK___AMHS__Others[PO No.],AR_725[[#This Row],[tsmc PO '#]],BB___HK___AMHS__Others[Status],"&lt;&gt;Rejected",BB___HK___AMHS__Others[YearMonth],"2024-09")</f>
        <v>0</v>
      </c>
    </row>
    <row r="277" spans="1:98" ht="14.1" hidden="1">
      <c r="A277" s="30" t="s">
        <v>9</v>
      </c>
      <c r="B277" s="30" t="s">
        <v>2051</v>
      </c>
      <c r="C277" s="30" t="s">
        <v>42</v>
      </c>
      <c r="D277" s="50" t="s">
        <v>1720</v>
      </c>
      <c r="E277" s="30" t="s">
        <v>2292</v>
      </c>
      <c r="F277" s="50" t="s">
        <v>2292</v>
      </c>
      <c r="G277" s="50" t="s">
        <v>312</v>
      </c>
      <c r="H277" s="50">
        <v>4590019929</v>
      </c>
      <c r="I277" s="30" t="s">
        <v>1416</v>
      </c>
      <c r="J277" s="30" t="s">
        <v>1459</v>
      </c>
      <c r="K277" s="46">
        <v>164974.95000000001</v>
      </c>
      <c r="M277" s="86">
        <v>45489</v>
      </c>
      <c r="N277" s="87"/>
      <c r="O277" s="30" t="s">
        <v>2160</v>
      </c>
      <c r="P27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82487.47</v>
      </c>
      <c r="Q27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7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82487.47</v>
      </c>
      <c r="S277" s="72">
        <f>IF(AR_725[[#This Row],[PO Amount]]=0,1,AR_725[[#This Row],[Total AR (Sent)]]/AR_725[[#This Row],[PO Amount]])</f>
        <v>0.49999996969236843</v>
      </c>
      <c r="T277" s="73">
        <f>AR_725[[#This Row],[PO Amount]]-AR_725[[#This Row],[Total AR (Sent)]]</f>
        <v>82487.48000000001</v>
      </c>
      <c r="AR277" s="84"/>
      <c r="AT277" s="44"/>
      <c r="AV277" s="85"/>
      <c r="AX277" s="79"/>
      <c r="AZ277" s="79"/>
      <c r="BB277" s="79"/>
      <c r="BL277" s="79"/>
      <c r="CG277" s="122"/>
      <c r="CI277" s="122"/>
      <c r="CK277" s="122"/>
      <c r="CL277" s="122">
        <v>0</v>
      </c>
      <c r="CM277" s="122">
        <v>0</v>
      </c>
      <c r="CN277" s="122">
        <v>0</v>
      </c>
      <c r="CO277" s="122">
        <f>SUMIFS(BB___HK___AMHS__Others[AR Amount],BB___HK___AMHS__Others[PO No.],AR_725[[#This Row],[tsmc PO '#]],BB___HK___AMHS__Others[Status],"&lt;&gt;Rejected",BB___HK___AMHS__Others[YearMonth],"2024-07")</f>
        <v>82487.47</v>
      </c>
      <c r="CP277" s="122">
        <f>SUMIFS(BB___HK___AMHS__Others[Tax],BB___HK___AMHS__Others[PO No.],AR_725[[#This Row],[tsmc PO '#]],BB___HK___AMHS__Others[Status],"&lt;&gt;Rejected",BB___HK___AMHS__Others[YearMonth],"2024-07")</f>
        <v>0</v>
      </c>
      <c r="CQ277" s="34">
        <f>SUMIFS(BB___HK___AMHS__Others[AR Amount],BB___HK___AMHS__Others[PO No.],AR_725[[#This Row],[tsmc PO '#]],BB___HK___AMHS__Others[Status],"&lt;&gt;Rejected",BB___HK___AMHS__Others[YearMonth],"2024-08")</f>
        <v>0</v>
      </c>
      <c r="CR277" s="44">
        <f>SUMIFS(BB___HK___AMHS__Others[Tax],BB___HK___AMHS__Others[PO No.],AR_725[[#This Row],[tsmc PO '#]],BB___HK___AMHS__Others[Status],"&lt;&gt;Rejected",BB___HK___AMHS__Others[YearMonth],"2024-08")</f>
        <v>0</v>
      </c>
      <c r="CS277" s="62">
        <f>SUMIFS(BB___HK___AMHS__Others[AR Amount],BB___HK___AMHS__Others[PO No.],AR_725[[#This Row],[tsmc PO '#]],BB___HK___AMHS__Others[Status],"&lt;&gt;Rejected",BB___HK___AMHS__Others[YearMonth],"2024-09")</f>
        <v>0</v>
      </c>
      <c r="CT277" s="601">
        <f>SUMIFS(BB___HK___AMHS__Others[Tax],BB___HK___AMHS__Others[PO No.],AR_725[[#This Row],[tsmc PO '#]],BB___HK___AMHS__Others[Status],"&lt;&gt;Rejected",BB___HK___AMHS__Others[YearMonth],"2024-09")</f>
        <v>0</v>
      </c>
    </row>
    <row r="278" spans="1:98" ht="14.1">
      <c r="A278" s="30" t="s">
        <v>9</v>
      </c>
      <c r="B278" s="30" t="s">
        <v>2051</v>
      </c>
      <c r="C278" s="30" t="s">
        <v>42</v>
      </c>
      <c r="D278" s="50" t="s">
        <v>1546</v>
      </c>
      <c r="E278" s="50" t="s">
        <v>2052</v>
      </c>
      <c r="F278" s="50" t="s">
        <v>2076</v>
      </c>
      <c r="G278" s="50" t="s">
        <v>1497</v>
      </c>
      <c r="H278" s="50">
        <v>4590019947</v>
      </c>
      <c r="I278" s="30" t="s">
        <v>1465</v>
      </c>
      <c r="J278" s="30" t="s">
        <v>1498</v>
      </c>
      <c r="K278" s="46">
        <v>521898.39</v>
      </c>
      <c r="M278" s="86">
        <v>45490</v>
      </c>
      <c r="N278" s="87"/>
      <c r="O278" s="30" t="s">
        <v>2160</v>
      </c>
      <c r="P27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521898.38999999996</v>
      </c>
      <c r="Q27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7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495803.47</v>
      </c>
      <c r="S278" s="72">
        <f>IF(AR_725[[#This Row],[PO Amount]]=0,1,AR_725[[#This Row],[Total AR (Sent)]]/AR_725[[#This Row],[PO Amount]])</f>
        <v>0.99999999999999989</v>
      </c>
      <c r="T278" s="73">
        <f>AR_725[[#This Row],[PO Amount]]-AR_725[[#This Row],[Total AR (Sent)]]</f>
        <v>0</v>
      </c>
      <c r="AR278" s="84"/>
      <c r="AT278" s="44"/>
      <c r="AV278" s="85"/>
      <c r="AX278" s="79"/>
      <c r="AZ278" s="79"/>
      <c r="BB278" s="79"/>
      <c r="BL278" s="79"/>
      <c r="CG278" s="122"/>
      <c r="CI278" s="122"/>
      <c r="CK278" s="122"/>
      <c r="CL278" s="122">
        <v>0</v>
      </c>
      <c r="CM278" s="122">
        <v>0</v>
      </c>
      <c r="CN278" s="122">
        <v>0</v>
      </c>
      <c r="CO278" s="122">
        <f>SUMIFS(BB___HK___AMHS__Others[AR Amount],BB___HK___AMHS__Others[PO No.],AR_725[[#This Row],[tsmc PO '#]],BB___HK___AMHS__Others[Status],"&lt;&gt;Rejected",BB___HK___AMHS__Others[YearMonth],"2024-07")</f>
        <v>495803.47</v>
      </c>
      <c r="CP278" s="122">
        <f>SUMIFS(BB___HK___AMHS__Others[Tax],BB___HK___AMHS__Others[PO No.],AR_725[[#This Row],[tsmc PO '#]],BB___HK___AMHS__Others[Status],"&lt;&gt;Rejected",BB___HK___AMHS__Others[YearMonth],"2024-07")</f>
        <v>27715.41</v>
      </c>
      <c r="CQ278" s="34">
        <f>SUMIFS(BB___HK___AMHS__Others[AR Amount],BB___HK___AMHS__Others[PO No.],AR_725[[#This Row],[tsmc PO '#]],BB___HK___AMHS__Others[Status],"&lt;&gt;Rejected",BB___HK___AMHS__Others[YearMonth],"2024-08")</f>
        <v>0</v>
      </c>
      <c r="CR278" s="44">
        <f>SUMIFS(BB___HK___AMHS__Others[Tax],BB___HK___AMHS__Others[PO No.],AR_725[[#This Row],[tsmc PO '#]],BB___HK___AMHS__Others[Status],"&lt;&gt;Rejected",BB___HK___AMHS__Others[YearMonth],"2024-08")</f>
        <v>0</v>
      </c>
      <c r="CS278" s="62">
        <f>SUMIFS(BB___HK___AMHS__Others[AR Amount],BB___HK___AMHS__Others[PO No.],AR_725[[#This Row],[tsmc PO '#]],BB___HK___AMHS__Others[Status],"&lt;&gt;Rejected",BB___HK___AMHS__Others[YearMonth],"2024-09")</f>
        <v>26094.92</v>
      </c>
      <c r="CT278" s="601">
        <f>SUMIFS(BB___HK___AMHS__Others[Tax],BB___HK___AMHS__Others[PO No.],AR_725[[#This Row],[tsmc PO '#]],BB___HK___AMHS__Others[Status],"&lt;&gt;Rejected",BB___HK___AMHS__Others[YearMonth],"2024-09")</f>
        <v>1458.71</v>
      </c>
    </row>
    <row r="279" spans="1:98" ht="14.1" hidden="1">
      <c r="A279" s="30" t="s">
        <v>21</v>
      </c>
      <c r="B279" s="30" t="s">
        <v>2051</v>
      </c>
      <c r="D279" s="50" t="s">
        <v>1706</v>
      </c>
      <c r="E279" s="30" t="s">
        <v>2070</v>
      </c>
      <c r="F279" s="50" t="s">
        <v>2115</v>
      </c>
      <c r="G279" s="50" t="s">
        <v>54</v>
      </c>
      <c r="H279" s="50">
        <v>4590020023</v>
      </c>
      <c r="J279" s="30" t="s">
        <v>2293</v>
      </c>
      <c r="K279" s="62">
        <v>93854.080000000002</v>
      </c>
      <c r="M279" s="50" t="s">
        <v>2294</v>
      </c>
      <c r="N279" s="87"/>
      <c r="O279" s="30" t="s">
        <v>2156</v>
      </c>
      <c r="P27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27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7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279" s="72">
        <f>IF(AR_725[[#This Row],[PO Amount]]=0,1,AR_725[[#This Row],[Total AR (Sent)]]/AR_725[[#This Row],[PO Amount]])</f>
        <v>0</v>
      </c>
      <c r="T279" s="73">
        <f>AR_725[[#This Row],[PO Amount]]-AR_725[[#This Row],[Total AR (Sent)]]</f>
        <v>93854.080000000002</v>
      </c>
      <c r="AR279" s="84"/>
      <c r="AT279" s="44"/>
      <c r="AV279" s="85"/>
      <c r="AX279" s="79"/>
      <c r="AZ279" s="79"/>
      <c r="BB279" s="79"/>
      <c r="BL279" s="79"/>
      <c r="CG279" s="122"/>
      <c r="CI279" s="122"/>
      <c r="CK279" s="122"/>
      <c r="CL279" s="122">
        <v>0</v>
      </c>
      <c r="CM279" s="122">
        <v>0</v>
      </c>
      <c r="CN279" s="122">
        <v>0</v>
      </c>
      <c r="CO279" s="122">
        <f>SUMIFS(BB___HK___AMHS__Others[AR Amount],BB___HK___AMHS__Others[PO No.],AR_725[[#This Row],[tsmc PO '#]],BB___HK___AMHS__Others[Status],"&lt;&gt;Rejected",BB___HK___AMHS__Others[YearMonth],"2024-07")</f>
        <v>0</v>
      </c>
      <c r="CP279" s="122">
        <f>SUMIFS(BB___HK___AMHS__Others[Tax],BB___HK___AMHS__Others[PO No.],AR_725[[#This Row],[tsmc PO '#]],BB___HK___AMHS__Others[Status],"&lt;&gt;Rejected",BB___HK___AMHS__Others[YearMonth],"2024-07")</f>
        <v>0</v>
      </c>
      <c r="CQ279" s="34">
        <f>SUMIFS(BB___HK___AMHS__Others[AR Amount],BB___HK___AMHS__Others[PO No.],AR_725[[#This Row],[tsmc PO '#]],BB___HK___AMHS__Others[Status],"&lt;&gt;Rejected",BB___HK___AMHS__Others[YearMonth],"2024-08")</f>
        <v>0</v>
      </c>
      <c r="CR279" s="44">
        <f>SUMIFS(BB___HK___AMHS__Others[Tax],BB___HK___AMHS__Others[PO No.],AR_725[[#This Row],[tsmc PO '#]],BB___HK___AMHS__Others[Status],"&lt;&gt;Rejected",BB___HK___AMHS__Others[YearMonth],"2024-08")</f>
        <v>0</v>
      </c>
      <c r="CS279" s="62">
        <f>SUMIFS(BB___HK___AMHS__Others[AR Amount],BB___HK___AMHS__Others[PO No.],AR_725[[#This Row],[tsmc PO '#]],BB___HK___AMHS__Others[Status],"&lt;&gt;Rejected",BB___HK___AMHS__Others[YearMonth],"2024-09")</f>
        <v>0</v>
      </c>
      <c r="CT279" s="601">
        <f>SUMIFS(BB___HK___AMHS__Others[Tax],BB___HK___AMHS__Others[PO No.],AR_725[[#This Row],[tsmc PO '#]],BB___HK___AMHS__Others[Status],"&lt;&gt;Rejected",BB___HK___AMHS__Others[YearMonth],"2024-09")</f>
        <v>0</v>
      </c>
    </row>
    <row r="280" spans="1:98" ht="14.1">
      <c r="A280" s="30" t="s">
        <v>9</v>
      </c>
      <c r="B280" s="30" t="s">
        <v>2051</v>
      </c>
      <c r="C280" s="30" t="s">
        <v>42</v>
      </c>
      <c r="D280" s="50" t="s">
        <v>1720</v>
      </c>
      <c r="E280" s="48" t="s">
        <v>2060</v>
      </c>
      <c r="F280" s="50" t="s">
        <v>2295</v>
      </c>
      <c r="G280" s="50" t="s">
        <v>312</v>
      </c>
      <c r="H280" s="50">
        <v>4590020154</v>
      </c>
      <c r="I280" s="30" t="s">
        <v>1465</v>
      </c>
      <c r="J280" s="30" t="s">
        <v>1537</v>
      </c>
      <c r="K280" s="46">
        <v>17306650.550000001</v>
      </c>
      <c r="M280" s="86">
        <v>45496</v>
      </c>
      <c r="N280" s="87"/>
      <c r="O280" s="30" t="s">
        <v>2160</v>
      </c>
      <c r="P28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17306650.550000001</v>
      </c>
      <c r="Q28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8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15918173.529999999</v>
      </c>
      <c r="S280" s="72">
        <f>IF(AR_725[[#This Row],[PO Amount]]=0,1,AR_725[[#This Row],[Total AR (Sent)]]/AR_725[[#This Row],[PO Amount]])</f>
        <v>1</v>
      </c>
      <c r="T280" s="73">
        <f>AR_725[[#This Row],[PO Amount]]-AR_725[[#This Row],[Total AR (Sent)]]</f>
        <v>0</v>
      </c>
      <c r="AR280" s="84"/>
      <c r="AT280" s="44"/>
      <c r="AV280" s="85"/>
      <c r="AX280" s="79"/>
      <c r="AZ280" s="79"/>
      <c r="BB280" s="79"/>
      <c r="BL280" s="79"/>
      <c r="CG280" s="122"/>
      <c r="CI280" s="122"/>
      <c r="CK280" s="122"/>
      <c r="CL280" s="122">
        <v>0</v>
      </c>
      <c r="CM280" s="122">
        <v>0</v>
      </c>
      <c r="CN280" s="122">
        <v>0</v>
      </c>
      <c r="CO280" s="122">
        <f>SUMIFS(BB___HK___AMHS__Others[AR Amount],BB___HK___AMHS__Others[PO No.],AR_725[[#This Row],[tsmc PO '#]],BB___HK___AMHS__Others[Status],"&lt;&gt;Rejected",BB___HK___AMHS__Others[YearMonth],"2024-07")</f>
        <v>15918173.529999999</v>
      </c>
      <c r="CP280" s="122">
        <f>SUMIFS(BB___HK___AMHS__Others[Tax],BB___HK___AMHS__Others[PO No.],AR_725[[#This Row],[tsmc PO '#]],BB___HK___AMHS__Others[Status],"&lt;&gt;Rejected",BB___HK___AMHS__Others[YearMonth],"2024-07")</f>
        <v>0</v>
      </c>
      <c r="CQ280" s="34">
        <f>SUMIFS(BB___HK___AMHS__Others[AR Amount],BB___HK___AMHS__Others[PO No.],AR_725[[#This Row],[tsmc PO '#]],BB___HK___AMHS__Others[Status],"&lt;&gt;Rejected",BB___HK___AMHS__Others[YearMonth],"2024-08")</f>
        <v>0</v>
      </c>
      <c r="CR280" s="44">
        <f>SUMIFS(BB___HK___AMHS__Others[Tax],BB___HK___AMHS__Others[PO No.],AR_725[[#This Row],[tsmc PO '#]],BB___HK___AMHS__Others[Status],"&lt;&gt;Rejected",BB___HK___AMHS__Others[YearMonth],"2024-08")</f>
        <v>0</v>
      </c>
      <c r="CS280" s="62">
        <f>SUMIFS(BB___HK___AMHS__Others[AR Amount],BB___HK___AMHS__Others[PO No.],AR_725[[#This Row],[tsmc PO '#]],BB___HK___AMHS__Others[Status],"&lt;&gt;Rejected",BB___HK___AMHS__Others[YearMonth],"2024-09")</f>
        <v>1388477.02</v>
      </c>
      <c r="CT280" s="601">
        <f>SUMIFS(BB___HK___AMHS__Others[Tax],BB___HK___AMHS__Others[PO No.],AR_725[[#This Row],[tsmc PO '#]],BB___HK___AMHS__Others[Status],"&lt;&gt;Rejected",BB___HK___AMHS__Others[YearMonth],"2024-09")</f>
        <v>0</v>
      </c>
    </row>
    <row r="281" spans="1:98" ht="15" hidden="1" customHeight="1">
      <c r="A281" s="30" t="s">
        <v>9</v>
      </c>
      <c r="B281" s="30" t="s">
        <v>2051</v>
      </c>
      <c r="C281" s="30" t="s">
        <v>42</v>
      </c>
      <c r="D281" s="50" t="s">
        <v>1720</v>
      </c>
      <c r="E281" s="48" t="s">
        <v>2060</v>
      </c>
      <c r="F281" s="50" t="s">
        <v>2060</v>
      </c>
      <c r="G281" s="50" t="s">
        <v>312</v>
      </c>
      <c r="H281" s="50">
        <v>4590020155</v>
      </c>
      <c r="I281" s="30" t="s">
        <v>1416</v>
      </c>
      <c r="J281" s="30" t="s">
        <v>2296</v>
      </c>
      <c r="K281" s="62">
        <v>94391.49</v>
      </c>
      <c r="M281" s="50" t="s">
        <v>2297</v>
      </c>
      <c r="N281" s="87"/>
      <c r="O281" s="30" t="s">
        <v>2160</v>
      </c>
      <c r="P28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28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8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281" s="72">
        <f>IF(AR_725[[#This Row],[PO Amount]]=0,1,AR_725[[#This Row],[Total AR (Sent)]]/AR_725[[#This Row],[PO Amount]])</f>
        <v>0</v>
      </c>
      <c r="T281" s="73">
        <f>AR_725[[#This Row],[PO Amount]]-AR_725[[#This Row],[Total AR (Sent)]]</f>
        <v>94391.49</v>
      </c>
      <c r="AR281" s="84"/>
      <c r="AT281" s="44"/>
      <c r="AV281" s="85"/>
      <c r="AX281" s="79"/>
      <c r="AZ281" s="79"/>
      <c r="BB281" s="79"/>
      <c r="BL281" s="79"/>
      <c r="CG281" s="122"/>
      <c r="CI281" s="122"/>
      <c r="CK281" s="122"/>
      <c r="CL281" s="122">
        <v>0</v>
      </c>
      <c r="CM281" s="122">
        <v>0</v>
      </c>
      <c r="CN281" s="122">
        <v>0</v>
      </c>
      <c r="CO281" s="122">
        <f>SUMIFS(BB___HK___AMHS__Others[AR Amount],BB___HK___AMHS__Others[PO No.],AR_725[[#This Row],[tsmc PO '#]],BB___HK___AMHS__Others[Status],"&lt;&gt;Rejected",BB___HK___AMHS__Others[YearMonth],"2024-07")</f>
        <v>0</v>
      </c>
      <c r="CP281" s="122">
        <f>SUMIFS(BB___HK___AMHS__Others[Tax],BB___HK___AMHS__Others[PO No.],AR_725[[#This Row],[tsmc PO '#]],BB___HK___AMHS__Others[Status],"&lt;&gt;Rejected",BB___HK___AMHS__Others[YearMonth],"2024-07")</f>
        <v>0</v>
      </c>
      <c r="CQ281" s="34">
        <f>SUMIFS(BB___HK___AMHS__Others[AR Amount],BB___HK___AMHS__Others[PO No.],AR_725[[#This Row],[tsmc PO '#]],BB___HK___AMHS__Others[Status],"&lt;&gt;Rejected",BB___HK___AMHS__Others[YearMonth],"2024-08")</f>
        <v>0</v>
      </c>
      <c r="CR281" s="44">
        <f>SUMIFS(BB___HK___AMHS__Others[Tax],BB___HK___AMHS__Others[PO No.],AR_725[[#This Row],[tsmc PO '#]],BB___HK___AMHS__Others[Status],"&lt;&gt;Rejected",BB___HK___AMHS__Others[YearMonth],"2024-08")</f>
        <v>0</v>
      </c>
      <c r="CS281" s="62">
        <f>SUMIFS(BB___HK___AMHS__Others[AR Amount],BB___HK___AMHS__Others[PO No.],AR_725[[#This Row],[tsmc PO '#]],BB___HK___AMHS__Others[Status],"&lt;&gt;Rejected",BB___HK___AMHS__Others[YearMonth],"2024-09")</f>
        <v>0</v>
      </c>
      <c r="CT281" s="601">
        <f>SUMIFS(BB___HK___AMHS__Others[Tax],BB___HK___AMHS__Others[PO No.],AR_725[[#This Row],[tsmc PO '#]],BB___HK___AMHS__Others[Status],"&lt;&gt;Rejected",BB___HK___AMHS__Others[YearMonth],"2024-09")</f>
        <v>0</v>
      </c>
    </row>
    <row r="282" spans="1:98" ht="15" customHeight="1">
      <c r="A282" s="30" t="s">
        <v>9</v>
      </c>
      <c r="B282" s="30" t="s">
        <v>2051</v>
      </c>
      <c r="C282" s="30" t="s">
        <v>42</v>
      </c>
      <c r="D282" s="50" t="s">
        <v>1759</v>
      </c>
      <c r="E282" s="50" t="s">
        <v>2065</v>
      </c>
      <c r="F282" s="50" t="s">
        <v>2298</v>
      </c>
      <c r="G282" s="50" t="s">
        <v>312</v>
      </c>
      <c r="H282" s="50">
        <v>4590020156</v>
      </c>
      <c r="I282" s="30" t="s">
        <v>1465</v>
      </c>
      <c r="J282" s="30" t="s">
        <v>1535</v>
      </c>
      <c r="K282" s="62">
        <v>32331780.16</v>
      </c>
      <c r="M282" s="50" t="s">
        <v>2297</v>
      </c>
      <c r="N282" s="87"/>
      <c r="O282" s="30" t="s">
        <v>2160</v>
      </c>
      <c r="P28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32331780.16</v>
      </c>
      <c r="Q28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8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28232740.550000001</v>
      </c>
      <c r="S282" s="72">
        <f>IF(AR_725[[#This Row],[PO Amount]]=0,1,AR_725[[#This Row],[Total AR (Sent)]]/AR_725[[#This Row],[PO Amount]])</f>
        <v>1</v>
      </c>
      <c r="T282" s="73">
        <f>AR_725[[#This Row],[PO Amount]]-AR_725[[#This Row],[Total AR (Sent)]]</f>
        <v>0</v>
      </c>
      <c r="AR282" s="84"/>
      <c r="AT282" s="44"/>
      <c r="AV282" s="85"/>
      <c r="AX282" s="79"/>
      <c r="AZ282" s="79"/>
      <c r="BB282" s="79"/>
      <c r="BL282" s="79"/>
      <c r="CG282" s="122"/>
      <c r="CI282" s="122"/>
      <c r="CK282" s="122"/>
      <c r="CL282" s="122">
        <v>0</v>
      </c>
      <c r="CM282" s="122">
        <v>0</v>
      </c>
      <c r="CN282" s="122">
        <v>0</v>
      </c>
      <c r="CO282" s="34">
        <f>SUMIFS(BB___HK___AMHS__Others[AR Amount],BB___HK___AMHS__Others[PO No.],AR_725[[#This Row],[tsmc PO '#]],BB___HK___AMHS__Others[Status],"&lt;&gt;Rejected",BB___HK___AMHS__Others[YearMonth],"2024-07")</f>
        <v>26821220.800000001</v>
      </c>
      <c r="CP282" s="122">
        <f>SUMIFS(BB___HK___AMHS__Others[Tax],BB___HK___AMHS__Others[PO No.],AR_725[[#This Row],[tsmc PO '#]],BB___HK___AMHS__Others[Status],"&lt;&gt;Rejected",BB___HK___AMHS__Others[YearMonth],"2024-07")</f>
        <v>0</v>
      </c>
      <c r="CQ282" s="34">
        <f>SUMIFS(BB___HK___AMHS__Others[AR Amount],BB___HK___AMHS__Others[PO No.],AR_725[[#This Row],[tsmc PO '#]],BB___HK___AMHS__Others[Status],"&lt;&gt;Rejected",BB___HK___AMHS__Others[YearMonth],"2024-08")</f>
        <v>1411519.75</v>
      </c>
      <c r="CR282" s="44">
        <f>SUMIFS(BB___HK___AMHS__Others[Tax],BB___HK___AMHS__Others[PO No.],AR_725[[#This Row],[tsmc PO '#]],BB___HK___AMHS__Others[Status],"&lt;&gt;Rejected",BB___HK___AMHS__Others[YearMonth],"2024-08")</f>
        <v>0</v>
      </c>
      <c r="CS282" s="62">
        <f>SUMIFS(BB___HK___AMHS__Others[AR Amount],BB___HK___AMHS__Others[PO No.],AR_725[[#This Row],[tsmc PO '#]],BB___HK___AMHS__Others[Status],"&lt;&gt;Rejected",BB___HK___AMHS__Others[YearMonth],"2024-09")</f>
        <v>4099039.61</v>
      </c>
      <c r="CT282" s="601">
        <f>SUMIFS(BB___HK___AMHS__Others[Tax],BB___HK___AMHS__Others[PO No.],AR_725[[#This Row],[tsmc PO '#]],BB___HK___AMHS__Others[Status],"&lt;&gt;Rejected",BB___HK___AMHS__Others[YearMonth],"2024-09")</f>
        <v>0</v>
      </c>
    </row>
    <row r="283" spans="1:98" ht="15" customHeight="1">
      <c r="A283" s="30" t="s">
        <v>9</v>
      </c>
      <c r="B283" s="30" t="s">
        <v>2051</v>
      </c>
      <c r="C283" s="30" t="s">
        <v>42</v>
      </c>
      <c r="D283" s="50" t="s">
        <v>1706</v>
      </c>
      <c r="E283" s="50" t="s">
        <v>2070</v>
      </c>
      <c r="F283" s="50" t="s">
        <v>2299</v>
      </c>
      <c r="G283" s="50" t="s">
        <v>1432</v>
      </c>
      <c r="H283" s="50">
        <v>4590020157</v>
      </c>
      <c r="I283" s="30" t="s">
        <v>1465</v>
      </c>
      <c r="J283" s="30" t="s">
        <v>1529</v>
      </c>
      <c r="K283" s="46">
        <v>14689285.949999999</v>
      </c>
      <c r="M283" s="86">
        <v>45496</v>
      </c>
      <c r="N283" s="87"/>
      <c r="O283" s="30" t="s">
        <v>2160</v>
      </c>
      <c r="P28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14689285.949999999</v>
      </c>
      <c r="Q28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8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14043630.02</v>
      </c>
      <c r="S283" s="72">
        <f>IF(AR_725[[#This Row],[PO Amount]]=0,1,AR_725[[#This Row],[Total AR (Sent)]]/AR_725[[#This Row],[PO Amount]])</f>
        <v>1</v>
      </c>
      <c r="T283" s="73">
        <f>AR_725[[#This Row],[PO Amount]]-AR_725[[#This Row],[Total AR (Sent)]]</f>
        <v>0</v>
      </c>
      <c r="AR283" s="84"/>
      <c r="AT283" s="44"/>
      <c r="AV283" s="85"/>
      <c r="AX283" s="79"/>
      <c r="AZ283" s="79"/>
      <c r="BB283" s="79"/>
      <c r="BL283" s="79"/>
      <c r="CG283" s="122"/>
      <c r="CI283" s="122"/>
      <c r="CK283" s="122"/>
      <c r="CL283" s="122">
        <v>0</v>
      </c>
      <c r="CM283" s="122">
        <v>0</v>
      </c>
      <c r="CN283" s="122">
        <v>0</v>
      </c>
      <c r="CO283" s="122">
        <f>SUMIFS(BB___HK___AMHS__Others[AR Amount],BB___HK___AMHS__Others[PO No.],AR_725[[#This Row],[tsmc PO '#]],BB___HK___AMHS__Others[Status],"&lt;&gt;Rejected",BB___HK___AMHS__Others[YearMonth],"2024-07")</f>
        <v>14043630.02</v>
      </c>
      <c r="CP283" s="122">
        <f>SUMIFS(BB___HK___AMHS__Others[Tax],BB___HK___AMHS__Others[PO No.],AR_725[[#This Row],[tsmc PO '#]],BB___HK___AMHS__Others[Status],"&lt;&gt;Rejected",BB___HK___AMHS__Others[YearMonth],"2024-07")</f>
        <v>0</v>
      </c>
      <c r="CQ283" s="34">
        <f>SUMIFS(BB___HK___AMHS__Others[AR Amount],BB___HK___AMHS__Others[PO No.],AR_725[[#This Row],[tsmc PO '#]],BB___HK___AMHS__Others[Status],"&lt;&gt;Rejected",BB___HK___AMHS__Others[YearMonth],"2024-08")</f>
        <v>0</v>
      </c>
      <c r="CR283" s="44">
        <f>SUMIFS(BB___HK___AMHS__Others[Tax],BB___HK___AMHS__Others[PO No.],AR_725[[#This Row],[tsmc PO '#]],BB___HK___AMHS__Others[Status],"&lt;&gt;Rejected",BB___HK___AMHS__Others[YearMonth],"2024-08")</f>
        <v>0</v>
      </c>
      <c r="CS283" s="62">
        <f>SUMIFS(BB___HK___AMHS__Others[AR Amount],BB___HK___AMHS__Others[PO No.],AR_725[[#This Row],[tsmc PO '#]],BB___HK___AMHS__Others[Status],"&lt;&gt;Rejected",BB___HK___AMHS__Others[YearMonth],"2024-09")</f>
        <v>645655.93000000005</v>
      </c>
      <c r="CT283" s="601">
        <f>SUMIFS(BB___HK___AMHS__Others[Tax],BB___HK___AMHS__Others[PO No.],AR_725[[#This Row],[tsmc PO '#]],BB___HK___AMHS__Others[Status],"&lt;&gt;Rejected",BB___HK___AMHS__Others[YearMonth],"2024-09")</f>
        <v>0</v>
      </c>
    </row>
    <row r="284" spans="1:98" ht="15" customHeight="1">
      <c r="A284" s="30" t="s">
        <v>9</v>
      </c>
      <c r="B284" s="30" t="s">
        <v>2051</v>
      </c>
      <c r="C284" s="30" t="s">
        <v>42</v>
      </c>
      <c r="D284" s="50" t="s">
        <v>1706</v>
      </c>
      <c r="E284" s="50" t="s">
        <v>2070</v>
      </c>
      <c r="F284" s="50" t="s">
        <v>2299</v>
      </c>
      <c r="G284" s="50" t="s">
        <v>1432</v>
      </c>
      <c r="H284" s="50">
        <v>4590020158</v>
      </c>
      <c r="I284" s="30" t="s">
        <v>1465</v>
      </c>
      <c r="J284" s="30" t="s">
        <v>1531</v>
      </c>
      <c r="K284" s="62">
        <v>3295175</v>
      </c>
      <c r="M284" s="50" t="s">
        <v>2297</v>
      </c>
      <c r="N284" s="87"/>
      <c r="O284" s="30" t="s">
        <v>2160</v>
      </c>
      <c r="P28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3295175</v>
      </c>
      <c r="Q28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8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3151456.57</v>
      </c>
      <c r="S284" s="72">
        <f>IF(AR_725[[#This Row],[PO Amount]]=0,1,AR_725[[#This Row],[Total AR (Sent)]]/AR_725[[#This Row],[PO Amount]])</f>
        <v>1</v>
      </c>
      <c r="T284" s="73">
        <f>AR_725[[#This Row],[PO Amount]]-AR_725[[#This Row],[Total AR (Sent)]]</f>
        <v>0</v>
      </c>
      <c r="AR284" s="84"/>
      <c r="AT284" s="44"/>
      <c r="AV284" s="85"/>
      <c r="AX284" s="79"/>
      <c r="AZ284" s="79"/>
      <c r="BB284" s="79"/>
      <c r="BL284" s="79"/>
      <c r="CG284" s="122"/>
      <c r="CI284" s="122"/>
      <c r="CK284" s="122"/>
      <c r="CL284" s="122">
        <v>0</v>
      </c>
      <c r="CM284" s="122">
        <v>0</v>
      </c>
      <c r="CN284" s="122">
        <v>0</v>
      </c>
      <c r="CO284" s="122">
        <f>SUMIFS(BB___HK___AMHS__Others[AR Amount],BB___HK___AMHS__Others[PO No.],AR_725[[#This Row],[tsmc PO '#]],BB___HK___AMHS__Others[Status],"&lt;&gt;Rejected",BB___HK___AMHS__Others[YearMonth],"2024-07")</f>
        <v>3151456.57</v>
      </c>
      <c r="CP284" s="122">
        <f>SUMIFS(BB___HK___AMHS__Others[Tax],BB___HK___AMHS__Others[PO No.],AR_725[[#This Row],[tsmc PO '#]],BB___HK___AMHS__Others[Status],"&lt;&gt;Rejected",BB___HK___AMHS__Others[YearMonth],"2024-07")</f>
        <v>0</v>
      </c>
      <c r="CQ284" s="34">
        <f>SUMIFS(BB___HK___AMHS__Others[AR Amount],BB___HK___AMHS__Others[PO No.],AR_725[[#This Row],[tsmc PO '#]],BB___HK___AMHS__Others[Status],"&lt;&gt;Rejected",BB___HK___AMHS__Others[YearMonth],"2024-08")</f>
        <v>0</v>
      </c>
      <c r="CR284" s="44">
        <f>SUMIFS(BB___HK___AMHS__Others[Tax],BB___HK___AMHS__Others[PO No.],AR_725[[#This Row],[tsmc PO '#]],BB___HK___AMHS__Others[Status],"&lt;&gt;Rejected",BB___HK___AMHS__Others[YearMonth],"2024-08")</f>
        <v>0</v>
      </c>
      <c r="CS284" s="62">
        <f>SUMIFS(BB___HK___AMHS__Others[AR Amount],BB___HK___AMHS__Others[PO No.],AR_725[[#This Row],[tsmc PO '#]],BB___HK___AMHS__Others[Status],"&lt;&gt;Rejected",BB___HK___AMHS__Others[YearMonth],"2024-09")</f>
        <v>143718.43</v>
      </c>
      <c r="CT284" s="601">
        <f>SUMIFS(BB___HK___AMHS__Others[Tax],BB___HK___AMHS__Others[PO No.],AR_725[[#This Row],[tsmc PO '#]],BB___HK___AMHS__Others[Status],"&lt;&gt;Rejected",BB___HK___AMHS__Others[YearMonth],"2024-09")</f>
        <v>0</v>
      </c>
    </row>
    <row r="285" spans="1:98" ht="15" customHeight="1">
      <c r="A285" s="30" t="s">
        <v>9</v>
      </c>
      <c r="B285" s="30" t="s">
        <v>2051</v>
      </c>
      <c r="C285" s="30" t="s">
        <v>42</v>
      </c>
      <c r="D285" s="50" t="s">
        <v>1546</v>
      </c>
      <c r="E285" s="50" t="s">
        <v>2052</v>
      </c>
      <c r="F285" s="50" t="s">
        <v>2300</v>
      </c>
      <c r="G285" s="50" t="s">
        <v>1745</v>
      </c>
      <c r="H285" s="50">
        <v>4590020159</v>
      </c>
      <c r="I285" s="30" t="s">
        <v>1465</v>
      </c>
      <c r="J285" s="30" t="s">
        <v>1526</v>
      </c>
      <c r="K285" s="62">
        <v>2097132.8</v>
      </c>
      <c r="M285" s="50" t="s">
        <v>2297</v>
      </c>
      <c r="N285" s="87"/>
      <c r="O285" s="30" t="s">
        <v>2160</v>
      </c>
      <c r="P28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2097132.8</v>
      </c>
      <c r="Q28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8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1951714.25</v>
      </c>
      <c r="S285" s="72">
        <f>IF(AR_725[[#This Row],[PO Amount]]=0,1,AR_725[[#This Row],[Total AR (Sent)]]/AR_725[[#This Row],[PO Amount]])</f>
        <v>1</v>
      </c>
      <c r="T285" s="73">
        <f>AR_725[[#This Row],[PO Amount]]-AR_725[[#This Row],[Total AR (Sent)]]</f>
        <v>0</v>
      </c>
      <c r="AR285" s="84"/>
      <c r="AT285" s="44"/>
      <c r="AV285" s="85"/>
      <c r="AX285" s="79"/>
      <c r="AZ285" s="79"/>
      <c r="BB285" s="79"/>
      <c r="BL285" s="79"/>
      <c r="CG285" s="122"/>
      <c r="CI285" s="122"/>
      <c r="CK285" s="122"/>
      <c r="CL285" s="122">
        <v>0</v>
      </c>
      <c r="CM285" s="122">
        <v>0</v>
      </c>
      <c r="CN285" s="122">
        <v>0</v>
      </c>
      <c r="CO285" s="34">
        <f>SUMIFS(BB___HK___AMHS__Others[AR Amount],BB___HK___AMHS__Others[PO No.],AR_725[[#This Row],[tsmc PO '#]],BB___HK___AMHS__Others[Status],"&lt;&gt;Rejected",BB___HK___AMHS__Others[YearMonth],"2024-07")</f>
        <v>1944124.1</v>
      </c>
      <c r="CP285" s="122">
        <f>SUMIFS(BB___HK___AMHS__Others[Tax],BB___HK___AMHS__Others[PO No.],AR_725[[#This Row],[tsmc PO '#]],BB___HK___AMHS__Others[Status],"&lt;&gt;Rejected",BB___HK___AMHS__Others[YearMonth],"2024-07")</f>
        <v>0</v>
      </c>
      <c r="CQ285" s="34">
        <f>SUMIFS(BB___HK___AMHS__Others[AR Amount],BB___HK___AMHS__Others[PO No.],AR_725[[#This Row],[tsmc PO '#]],BB___HK___AMHS__Others[Status],"&lt;&gt;Rejected",BB___HK___AMHS__Others[YearMonth],"2024-08")</f>
        <v>7590.15</v>
      </c>
      <c r="CR285" s="44">
        <f>SUMIFS(BB___HK___AMHS__Others[Tax],BB___HK___AMHS__Others[PO No.],AR_725[[#This Row],[tsmc PO '#]],BB___HK___AMHS__Others[Status],"&lt;&gt;Rejected",BB___HK___AMHS__Others[YearMonth],"2024-08")</f>
        <v>0</v>
      </c>
      <c r="CS285" s="62">
        <f>SUMIFS(BB___HK___AMHS__Others[AR Amount],BB___HK___AMHS__Others[PO No.],AR_725[[#This Row],[tsmc PO '#]],BB___HK___AMHS__Others[Status],"&lt;&gt;Rejected",BB___HK___AMHS__Others[YearMonth],"2024-09")</f>
        <v>145418.54999999999</v>
      </c>
      <c r="CT285" s="601">
        <f>SUMIFS(BB___HK___AMHS__Others[Tax],BB___HK___AMHS__Others[PO No.],AR_725[[#This Row],[tsmc PO '#]],BB___HK___AMHS__Others[Status],"&lt;&gt;Rejected",BB___HK___AMHS__Others[YearMonth],"2024-09")</f>
        <v>0</v>
      </c>
    </row>
    <row r="286" spans="1:98" ht="15" customHeight="1">
      <c r="A286" s="30" t="s">
        <v>9</v>
      </c>
      <c r="B286" s="30" t="s">
        <v>2051</v>
      </c>
      <c r="C286" s="30" t="s">
        <v>42</v>
      </c>
      <c r="D286" s="50" t="s">
        <v>1720</v>
      </c>
      <c r="E286" s="48" t="s">
        <v>2060</v>
      </c>
      <c r="F286" s="50" t="s">
        <v>2060</v>
      </c>
      <c r="G286" s="50" t="s">
        <v>312</v>
      </c>
      <c r="H286" s="50">
        <v>4590020160</v>
      </c>
      <c r="I286" s="30" t="s">
        <v>1416</v>
      </c>
      <c r="J286" s="30" t="s">
        <v>1869</v>
      </c>
      <c r="K286" s="62">
        <v>154305.65</v>
      </c>
      <c r="M286" s="50" t="s">
        <v>2297</v>
      </c>
      <c r="N286" s="87"/>
      <c r="O286" s="30" t="s">
        <v>2160</v>
      </c>
      <c r="P28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154305.65</v>
      </c>
      <c r="Q28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8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286" s="72">
        <f>IF(AR_725[[#This Row],[PO Amount]]=0,1,AR_725[[#This Row],[Total AR (Sent)]]/AR_725[[#This Row],[PO Amount]])</f>
        <v>1</v>
      </c>
      <c r="T286" s="73">
        <f>AR_725[[#This Row],[PO Amount]]-AR_725[[#This Row],[Total AR (Sent)]]</f>
        <v>0</v>
      </c>
      <c r="AR286" s="84"/>
      <c r="AT286" s="44"/>
      <c r="AV286" s="85"/>
      <c r="AX286" s="79"/>
      <c r="AZ286" s="79"/>
      <c r="BB286" s="79"/>
      <c r="BL286" s="79"/>
      <c r="CG286" s="122"/>
      <c r="CI286" s="122"/>
      <c r="CK286" s="122"/>
      <c r="CL286" s="122">
        <v>0</v>
      </c>
      <c r="CM286" s="122">
        <v>0</v>
      </c>
      <c r="CN286" s="122">
        <v>0</v>
      </c>
      <c r="CO286" s="122">
        <f>SUMIFS(BB___HK___AMHS__Others[AR Amount],BB___HK___AMHS__Others[PO No.],AR_725[[#This Row],[tsmc PO '#]],BB___HK___AMHS__Others[Status],"&lt;&gt;Rejected",BB___HK___AMHS__Others[YearMonth],"2024-07")</f>
        <v>0</v>
      </c>
      <c r="CP286" s="122">
        <f>SUMIFS(BB___HK___AMHS__Others[Tax],BB___HK___AMHS__Others[PO No.],AR_725[[#This Row],[tsmc PO '#]],BB___HK___AMHS__Others[Status],"&lt;&gt;Rejected",BB___HK___AMHS__Others[YearMonth],"2024-07")</f>
        <v>0</v>
      </c>
      <c r="CQ286" s="34">
        <f>SUMIFS(BB___HK___AMHS__Others[AR Amount],BB___HK___AMHS__Others[PO No.],AR_725[[#This Row],[tsmc PO '#]],BB___HK___AMHS__Others[Status],"&lt;&gt;Rejected",BB___HK___AMHS__Others[YearMonth],"2024-08")</f>
        <v>0</v>
      </c>
      <c r="CR286" s="44">
        <f>SUMIFS(BB___HK___AMHS__Others[Tax],BB___HK___AMHS__Others[PO No.],AR_725[[#This Row],[tsmc PO '#]],BB___HK___AMHS__Others[Status],"&lt;&gt;Rejected",BB___HK___AMHS__Others[YearMonth],"2024-08")</f>
        <v>0</v>
      </c>
      <c r="CS286" s="62">
        <f>SUMIFS(BB___HK___AMHS__Others[AR Amount],BB___HK___AMHS__Others[PO No.],AR_725[[#This Row],[tsmc PO '#]],BB___HK___AMHS__Others[Status],"&lt;&gt;Rejected",BB___HK___AMHS__Others[YearMonth],"2024-09")</f>
        <v>154305.65</v>
      </c>
      <c r="CT286" s="601">
        <f>SUMIFS(BB___HK___AMHS__Others[Tax],BB___HK___AMHS__Others[PO No.],AR_725[[#This Row],[tsmc PO '#]],BB___HK___AMHS__Others[Status],"&lt;&gt;Rejected",BB___HK___AMHS__Others[YearMonth],"2024-09")</f>
        <v>0</v>
      </c>
    </row>
    <row r="287" spans="1:98" ht="15" customHeight="1">
      <c r="A287" s="30" t="s">
        <v>9</v>
      </c>
      <c r="B287" s="30" t="s">
        <v>2051</v>
      </c>
      <c r="C287" s="30" t="s">
        <v>42</v>
      </c>
      <c r="D287" s="50" t="s">
        <v>1759</v>
      </c>
      <c r="E287" s="50" t="s">
        <v>2065</v>
      </c>
      <c r="F287" s="50" t="s">
        <v>2065</v>
      </c>
      <c r="G287" s="50" t="s">
        <v>312</v>
      </c>
      <c r="H287" s="50">
        <v>4590020228</v>
      </c>
      <c r="I287" s="30" t="s">
        <v>1465</v>
      </c>
      <c r="J287" s="30" t="s">
        <v>1533</v>
      </c>
      <c r="K287" s="62">
        <v>328712</v>
      </c>
      <c r="M287" s="50" t="s">
        <v>2294</v>
      </c>
      <c r="N287" s="87"/>
      <c r="O287" s="30" t="s">
        <v>2160</v>
      </c>
      <c r="P28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222848.78999999998</v>
      </c>
      <c r="Q28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8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109986.26</v>
      </c>
      <c r="S287" s="72">
        <f>IF(AR_725[[#This Row],[PO Amount]]=0,1,AR_725[[#This Row],[Total AR (Sent)]]/AR_725[[#This Row],[PO Amount]])</f>
        <v>0.67794540509625445</v>
      </c>
      <c r="T287" s="73">
        <f>AR_725[[#This Row],[PO Amount]]-AR_725[[#This Row],[Total AR (Sent)]]</f>
        <v>105863.21000000002</v>
      </c>
      <c r="AR287" s="84"/>
      <c r="AT287" s="44"/>
      <c r="AV287" s="85"/>
      <c r="AX287" s="79"/>
      <c r="AZ287" s="79"/>
      <c r="BB287" s="79"/>
      <c r="BL287" s="79"/>
      <c r="CG287" s="122"/>
      <c r="CI287" s="122"/>
      <c r="CK287" s="122"/>
      <c r="CL287" s="122">
        <v>0</v>
      </c>
      <c r="CM287" s="122">
        <v>0</v>
      </c>
      <c r="CN287" s="122">
        <v>0</v>
      </c>
      <c r="CO287" s="122">
        <f>SUMIFS(BB___HK___AMHS__Others[AR Amount],BB___HK___AMHS__Others[PO No.],AR_725[[#This Row],[tsmc PO '#]],BB___HK___AMHS__Others[Status],"&lt;&gt;Rejected",BB___HK___AMHS__Others[YearMonth],"2024-07")</f>
        <v>109986.26</v>
      </c>
      <c r="CP287" s="122">
        <f>SUMIFS(BB___HK___AMHS__Others[Tax],BB___HK___AMHS__Others[PO No.],AR_725[[#This Row],[tsmc PO '#]],BB___HK___AMHS__Others[Status],"&lt;&gt;Rejected",BB___HK___AMHS__Others[YearMonth],"2024-07")</f>
        <v>0</v>
      </c>
      <c r="CQ287" s="34">
        <f>SUMIFS(BB___HK___AMHS__Others[AR Amount],BB___HK___AMHS__Others[PO No.],AR_725[[#This Row],[tsmc PO '#]],BB___HK___AMHS__Others[Status],"&lt;&gt;Rejected",BB___HK___AMHS__Others[YearMonth],"2024-08")</f>
        <v>0</v>
      </c>
      <c r="CR287" s="44">
        <f>SUMIFS(BB___HK___AMHS__Others[Tax],BB___HK___AMHS__Others[PO No.],AR_725[[#This Row],[tsmc PO '#]],BB___HK___AMHS__Others[Status],"&lt;&gt;Rejected",BB___HK___AMHS__Others[YearMonth],"2024-08")</f>
        <v>0</v>
      </c>
      <c r="CS287" s="62">
        <f>SUMIFS(BB___HK___AMHS__Others[AR Amount],BB___HK___AMHS__Others[PO No.],AR_725[[#This Row],[tsmc PO '#]],BB___HK___AMHS__Others[Status],"&lt;&gt;Rejected",BB___HK___AMHS__Others[YearMonth],"2024-09")</f>
        <v>112862.53</v>
      </c>
      <c r="CT287" s="601">
        <f>SUMIFS(BB___HK___AMHS__Others[Tax],BB___HK___AMHS__Others[PO No.],AR_725[[#This Row],[tsmc PO '#]],BB___HK___AMHS__Others[Status],"&lt;&gt;Rejected",BB___HK___AMHS__Others[YearMonth],"2024-09")</f>
        <v>0</v>
      </c>
    </row>
    <row r="288" spans="1:98" ht="15" hidden="1" customHeight="1">
      <c r="A288" s="30" t="s">
        <v>9</v>
      </c>
      <c r="B288" s="30" t="s">
        <v>2051</v>
      </c>
      <c r="C288" s="30" t="s">
        <v>42</v>
      </c>
      <c r="D288" s="50" t="s">
        <v>1546</v>
      </c>
      <c r="E288" s="50" t="s">
        <v>2052</v>
      </c>
      <c r="F288" s="50" t="s">
        <v>2053</v>
      </c>
      <c r="G288" s="50" t="s">
        <v>314</v>
      </c>
      <c r="H288" s="50">
        <v>4590020230</v>
      </c>
      <c r="I288" s="30" t="s">
        <v>1465</v>
      </c>
      <c r="J288" s="30" t="s">
        <v>1539</v>
      </c>
      <c r="K288" s="62">
        <v>273068</v>
      </c>
      <c r="M288" s="50" t="s">
        <v>2294</v>
      </c>
      <c r="N288" s="87"/>
      <c r="O288" s="30" t="s">
        <v>2160</v>
      </c>
      <c r="P28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232107.8</v>
      </c>
      <c r="Q28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8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232107.8</v>
      </c>
      <c r="S288" s="72">
        <f>IF(AR_725[[#This Row],[PO Amount]]=0,1,AR_725[[#This Row],[Total AR (Sent)]]/AR_725[[#This Row],[PO Amount]])</f>
        <v>0.85</v>
      </c>
      <c r="T288" s="73">
        <f>AR_725[[#This Row],[PO Amount]]-AR_725[[#This Row],[Total AR (Sent)]]</f>
        <v>40960.200000000012</v>
      </c>
      <c r="AR288" s="84"/>
      <c r="AT288" s="44"/>
      <c r="AV288" s="85"/>
      <c r="AX288" s="79"/>
      <c r="AZ288" s="79"/>
      <c r="BB288" s="79"/>
      <c r="BL288" s="79"/>
      <c r="CG288" s="122"/>
      <c r="CI288" s="122"/>
      <c r="CK288" s="122"/>
      <c r="CL288" s="122">
        <v>0</v>
      </c>
      <c r="CM288" s="122">
        <v>0</v>
      </c>
      <c r="CN288" s="122">
        <v>0</v>
      </c>
      <c r="CO288" s="122">
        <f>SUMIFS(BB___HK___AMHS__Others[AR Amount],BB___HK___AMHS__Others[PO No.],AR_725[[#This Row],[tsmc PO '#]],BB___HK___AMHS__Others[Status],"&lt;&gt;Rejected",BB___HK___AMHS__Others[YearMonth],"2024-07")</f>
        <v>232107.8</v>
      </c>
      <c r="CP288" s="122">
        <f>SUMIFS(BB___HK___AMHS__Others[Tax],BB___HK___AMHS__Others[PO No.],AR_725[[#This Row],[tsmc PO '#]],BB___HK___AMHS__Others[Status],"&lt;&gt;Rejected",BB___HK___AMHS__Others[YearMonth],"2024-07")</f>
        <v>12974.83</v>
      </c>
      <c r="CQ288" s="34">
        <f>SUMIFS(BB___HK___AMHS__Others[AR Amount],BB___HK___AMHS__Others[PO No.],AR_725[[#This Row],[tsmc PO '#]],BB___HK___AMHS__Others[Status],"&lt;&gt;Rejected",BB___HK___AMHS__Others[YearMonth],"2024-08")</f>
        <v>0</v>
      </c>
      <c r="CR288" s="44">
        <f>SUMIFS(BB___HK___AMHS__Others[Tax],BB___HK___AMHS__Others[PO No.],AR_725[[#This Row],[tsmc PO '#]],BB___HK___AMHS__Others[Status],"&lt;&gt;Rejected",BB___HK___AMHS__Others[YearMonth],"2024-08")</f>
        <v>0</v>
      </c>
      <c r="CS288" s="62">
        <f>SUMIFS(BB___HK___AMHS__Others[AR Amount],BB___HK___AMHS__Others[PO No.],AR_725[[#This Row],[tsmc PO '#]],BB___HK___AMHS__Others[Status],"&lt;&gt;Rejected",BB___HK___AMHS__Others[YearMonth],"2024-09")</f>
        <v>0</v>
      </c>
      <c r="CT288" s="601">
        <f>SUMIFS(BB___HK___AMHS__Others[Tax],BB___HK___AMHS__Others[PO No.],AR_725[[#This Row],[tsmc PO '#]],BB___HK___AMHS__Others[Status],"&lt;&gt;Rejected",BB___HK___AMHS__Others[YearMonth],"2024-09")</f>
        <v>0</v>
      </c>
    </row>
    <row r="289" spans="1:98" ht="15" customHeight="1">
      <c r="A289" s="30" t="s">
        <v>9</v>
      </c>
      <c r="B289" s="30" t="s">
        <v>2051</v>
      </c>
      <c r="D289" s="50" t="s">
        <v>1720</v>
      </c>
      <c r="E289" s="30" t="s">
        <v>2292</v>
      </c>
      <c r="F289" s="50" t="s">
        <v>2292</v>
      </c>
      <c r="G289" s="50" t="s">
        <v>312</v>
      </c>
      <c r="H289" s="50">
        <v>4590020235</v>
      </c>
      <c r="I289" s="30" t="s">
        <v>1416</v>
      </c>
      <c r="J289" s="30" t="s">
        <v>1750</v>
      </c>
      <c r="K289" s="62">
        <v>1507740</v>
      </c>
      <c r="M289" s="50" t="s">
        <v>2301</v>
      </c>
      <c r="N289" s="87"/>
      <c r="O289" s="30" t="s">
        <v>2160</v>
      </c>
      <c r="P28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1017145.01</v>
      </c>
      <c r="Q28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8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541191.82999999996</v>
      </c>
      <c r="S289" s="72">
        <f>IF(AR_725[[#This Row],[PO Amount]]=0,1,AR_725[[#This Row],[Total AR (Sent)]]/AR_725[[#This Row],[PO Amount]])</f>
        <v>0.67461565654555822</v>
      </c>
      <c r="T289" s="73">
        <f>AR_725[[#This Row],[PO Amount]]-AR_725[[#This Row],[Total AR (Sent)]]</f>
        <v>490594.99</v>
      </c>
      <c r="AR289" s="84"/>
      <c r="AT289" s="44"/>
      <c r="AV289" s="85"/>
      <c r="AX289" s="79"/>
      <c r="AZ289" s="79"/>
      <c r="BB289" s="79"/>
      <c r="BL289" s="79"/>
      <c r="CG289" s="122"/>
      <c r="CI289" s="122"/>
      <c r="CK289" s="122"/>
      <c r="CL289" s="122">
        <v>0</v>
      </c>
      <c r="CM289" s="122">
        <v>0</v>
      </c>
      <c r="CN289" s="122">
        <v>0</v>
      </c>
      <c r="CO289" s="34">
        <f>SUMIFS(BB___HK___AMHS__Others[AR Amount],BB___HK___AMHS__Others[PO No.],AR_725[[#This Row],[tsmc PO '#]],BB___HK___AMHS__Others[Status],"&lt;&gt;Rejected",BB___HK___AMHS__Others[YearMonth],"2024-07")</f>
        <v>0</v>
      </c>
      <c r="CP289" s="122">
        <f>SUMIFS(BB___HK___AMHS__Others[Tax],BB___HK___AMHS__Others[PO No.],AR_725[[#This Row],[tsmc PO '#]],BB___HK___AMHS__Others[Status],"&lt;&gt;Rejected",BB___HK___AMHS__Others[YearMonth],"2024-07")</f>
        <v>0</v>
      </c>
      <c r="CQ289" s="34">
        <f>SUMIFS(BB___HK___AMHS__Others[AR Amount],BB___HK___AMHS__Others[PO No.],AR_725[[#This Row],[tsmc PO '#]],BB___HK___AMHS__Others[Status],"&lt;&gt;Rejected",BB___HK___AMHS__Others[YearMonth],"2024-08")</f>
        <v>541191.82999999996</v>
      </c>
      <c r="CR289" s="44">
        <f>SUMIFS(BB___HK___AMHS__Others[Tax],BB___HK___AMHS__Others[PO No.],AR_725[[#This Row],[tsmc PO '#]],BB___HK___AMHS__Others[Status],"&lt;&gt;Rejected",BB___HK___AMHS__Others[YearMonth],"2024-08")</f>
        <v>0</v>
      </c>
      <c r="CS289" s="62">
        <f>SUMIFS(BB___HK___AMHS__Others[AR Amount],BB___HK___AMHS__Others[PO No.],AR_725[[#This Row],[tsmc PO '#]],BB___HK___AMHS__Others[Status],"&lt;&gt;Rejected",BB___HK___AMHS__Others[YearMonth],"2024-09")</f>
        <v>475953.18</v>
      </c>
      <c r="CT289" s="601">
        <f>SUMIFS(BB___HK___AMHS__Others[Tax],BB___HK___AMHS__Others[PO No.],AR_725[[#This Row],[tsmc PO '#]],BB___HK___AMHS__Others[Status],"&lt;&gt;Rejected",BB___HK___AMHS__Others[YearMonth],"2024-09")</f>
        <v>0</v>
      </c>
    </row>
    <row r="290" spans="1:98" ht="15" hidden="1" customHeight="1">
      <c r="A290" s="30" t="s">
        <v>9</v>
      </c>
      <c r="B290" s="30" t="s">
        <v>2051</v>
      </c>
      <c r="D290" s="50" t="s">
        <v>1759</v>
      </c>
      <c r="E290" s="50" t="s">
        <v>2065</v>
      </c>
      <c r="F290" s="50" t="s">
        <v>2065</v>
      </c>
      <c r="G290" s="50" t="s">
        <v>312</v>
      </c>
      <c r="H290" s="50">
        <v>4590020236</v>
      </c>
      <c r="I290" s="30" t="s">
        <v>1416</v>
      </c>
      <c r="J290" s="30" t="s">
        <v>1766</v>
      </c>
      <c r="K290" s="62">
        <v>665875.85</v>
      </c>
      <c r="M290" s="50" t="s">
        <v>2301</v>
      </c>
      <c r="N290" s="87"/>
      <c r="O290" s="30" t="s">
        <v>2160</v>
      </c>
      <c r="P29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105571.52</v>
      </c>
      <c r="Q29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9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105571.52</v>
      </c>
      <c r="S290" s="72">
        <f>IF(AR_725[[#This Row],[PO Amount]]=0,1,AR_725[[#This Row],[Total AR (Sent)]]/AR_725[[#This Row],[PO Amount]])</f>
        <v>0.15854535045834747</v>
      </c>
      <c r="T290" s="73">
        <f>AR_725[[#This Row],[PO Amount]]-AR_725[[#This Row],[Total AR (Sent)]]</f>
        <v>560304.32999999996</v>
      </c>
      <c r="AR290" s="84"/>
      <c r="AT290" s="44"/>
      <c r="AV290" s="85"/>
      <c r="AX290" s="79"/>
      <c r="AZ290" s="79"/>
      <c r="BB290" s="79"/>
      <c r="BL290" s="79"/>
      <c r="CG290" s="122"/>
      <c r="CI290" s="122"/>
      <c r="CK290" s="122"/>
      <c r="CL290" s="122">
        <v>0</v>
      </c>
      <c r="CM290" s="122">
        <v>0</v>
      </c>
      <c r="CN290" s="122">
        <v>0</v>
      </c>
      <c r="CO290" s="34">
        <f>SUMIFS(BB___HK___AMHS__Others[AR Amount],BB___HK___AMHS__Others[PO No.],AR_725[[#This Row],[tsmc PO '#]],BB___HK___AMHS__Others[Status],"&lt;&gt;Rejected",BB___HK___AMHS__Others[YearMonth],"2024-07")</f>
        <v>0</v>
      </c>
      <c r="CP290" s="122">
        <f>SUMIFS(BB___HK___AMHS__Others[Tax],BB___HK___AMHS__Others[PO No.],AR_725[[#This Row],[tsmc PO '#]],BB___HK___AMHS__Others[Status],"&lt;&gt;Rejected",BB___HK___AMHS__Others[YearMonth],"2024-07")</f>
        <v>0</v>
      </c>
      <c r="CQ290" s="34">
        <f>SUMIFS(BB___HK___AMHS__Others[AR Amount],BB___HK___AMHS__Others[PO No.],AR_725[[#This Row],[tsmc PO '#]],BB___HK___AMHS__Others[Status],"&lt;&gt;Rejected",BB___HK___AMHS__Others[YearMonth],"2024-08")</f>
        <v>105571.52</v>
      </c>
      <c r="CR290" s="44">
        <f>SUMIFS(BB___HK___AMHS__Others[Tax],BB___HK___AMHS__Others[PO No.],AR_725[[#This Row],[tsmc PO '#]],BB___HK___AMHS__Others[Status],"&lt;&gt;Rejected",BB___HK___AMHS__Others[YearMonth],"2024-08")</f>
        <v>0</v>
      </c>
      <c r="CS290" s="62">
        <f>SUMIFS(BB___HK___AMHS__Others[AR Amount],BB___HK___AMHS__Others[PO No.],AR_725[[#This Row],[tsmc PO '#]],BB___HK___AMHS__Others[Status],"&lt;&gt;Rejected",BB___HK___AMHS__Others[YearMonth],"2024-09")</f>
        <v>0</v>
      </c>
      <c r="CT290" s="601">
        <f>SUMIFS(BB___HK___AMHS__Others[Tax],BB___HK___AMHS__Others[PO No.],AR_725[[#This Row],[tsmc PO '#]],BB___HK___AMHS__Others[Status],"&lt;&gt;Rejected",BB___HK___AMHS__Others[YearMonth],"2024-09")</f>
        <v>0</v>
      </c>
    </row>
    <row r="291" spans="1:98" ht="15" customHeight="1">
      <c r="A291" s="30" t="s">
        <v>9</v>
      </c>
      <c r="B291" s="30" t="s">
        <v>2051</v>
      </c>
      <c r="C291" s="30" t="s">
        <v>42</v>
      </c>
      <c r="D291" s="50" t="s">
        <v>1720</v>
      </c>
      <c r="E291" s="30" t="s">
        <v>2292</v>
      </c>
      <c r="F291" s="50" t="s">
        <v>2292</v>
      </c>
      <c r="G291" s="50" t="s">
        <v>312</v>
      </c>
      <c r="H291" s="50">
        <v>4590020302</v>
      </c>
      <c r="I291" s="30" t="s">
        <v>1416</v>
      </c>
      <c r="J291" s="30" t="s">
        <v>1752</v>
      </c>
      <c r="K291" s="62">
        <v>7249177.2999999998</v>
      </c>
      <c r="M291" s="50" t="s">
        <v>2302</v>
      </c>
      <c r="N291" s="87"/>
      <c r="O291" s="30" t="s">
        <v>2160</v>
      </c>
      <c r="P29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6600000</v>
      </c>
      <c r="Q29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9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3135000</v>
      </c>
      <c r="S291" s="72">
        <f>IF(AR_725[[#This Row],[PO Amount]]=0,1,AR_725[[#This Row],[Total AR (Sent)]]/AR_725[[#This Row],[PO Amount]])</f>
        <v>0.91044814147392972</v>
      </c>
      <c r="T291" s="73">
        <f>AR_725[[#This Row],[PO Amount]]-AR_725[[#This Row],[Total AR (Sent)]]</f>
        <v>649177.29999999981</v>
      </c>
      <c r="AR291" s="84"/>
      <c r="AT291" s="44"/>
      <c r="AV291" s="85"/>
      <c r="AX291" s="79"/>
      <c r="AZ291" s="79"/>
      <c r="BB291" s="79"/>
      <c r="BL291" s="79"/>
      <c r="CG291" s="122"/>
      <c r="CI291" s="122"/>
      <c r="CK291" s="122"/>
      <c r="CL291" s="122">
        <v>0</v>
      </c>
      <c r="CM291" s="122">
        <v>0</v>
      </c>
      <c r="CN291" s="122">
        <v>0</v>
      </c>
      <c r="CO291" s="34">
        <f>SUMIFS(BB___HK___AMHS__Others[AR Amount],BB___HK___AMHS__Others[PO No.],AR_725[[#This Row],[tsmc PO '#]],BB___HK___AMHS__Others[Status],"&lt;&gt;Rejected",BB___HK___AMHS__Others[YearMonth],"2024-07")</f>
        <v>0</v>
      </c>
      <c r="CP291" s="122">
        <f>SUMIFS(BB___HK___AMHS__Others[Tax],BB___HK___AMHS__Others[PO No.],AR_725[[#This Row],[tsmc PO '#]],BB___HK___AMHS__Others[Status],"&lt;&gt;Rejected",BB___HK___AMHS__Others[YearMonth],"2024-07")</f>
        <v>0</v>
      </c>
      <c r="CQ291" s="34">
        <f>SUMIFS(BB___HK___AMHS__Others[AR Amount],BB___HK___AMHS__Others[PO No.],AR_725[[#This Row],[tsmc PO '#]],BB___HK___AMHS__Others[Status],"&lt;&gt;Rejected",BB___HK___AMHS__Others[YearMonth],"2024-08")</f>
        <v>3135000</v>
      </c>
      <c r="CR291" s="44">
        <f>SUMIFS(BB___HK___AMHS__Others[Tax],BB___HK___AMHS__Others[PO No.],AR_725[[#This Row],[tsmc PO '#]],BB___HK___AMHS__Others[Status],"&lt;&gt;Rejected",BB___HK___AMHS__Others[YearMonth],"2024-08")</f>
        <v>0</v>
      </c>
      <c r="CS291" s="62">
        <f>SUMIFS(BB___HK___AMHS__Others[AR Amount],BB___HK___AMHS__Others[PO No.],AR_725[[#This Row],[tsmc PO '#]],BB___HK___AMHS__Others[Status],"&lt;&gt;Rejected",BB___HK___AMHS__Others[YearMonth],"2024-09")</f>
        <v>3465000</v>
      </c>
      <c r="CT291" s="601">
        <f>SUMIFS(BB___HK___AMHS__Others[Tax],BB___HK___AMHS__Others[PO No.],AR_725[[#This Row],[tsmc PO '#]],BB___HK___AMHS__Others[Status],"&lt;&gt;Rejected",BB___HK___AMHS__Others[YearMonth],"2024-09")</f>
        <v>0</v>
      </c>
    </row>
    <row r="292" spans="1:98" ht="15" customHeight="1">
      <c r="A292" s="30" t="s">
        <v>9</v>
      </c>
      <c r="B292" s="30" t="s">
        <v>2051</v>
      </c>
      <c r="C292" s="30" t="s">
        <v>42</v>
      </c>
      <c r="D292" s="50" t="s">
        <v>1759</v>
      </c>
      <c r="E292" s="50" t="s">
        <v>2065</v>
      </c>
      <c r="F292" s="50" t="s">
        <v>2303</v>
      </c>
      <c r="G292" s="50" t="s">
        <v>312</v>
      </c>
      <c r="H292" s="50">
        <v>4590020303</v>
      </c>
      <c r="I292" s="30" t="s">
        <v>1416</v>
      </c>
      <c r="J292" s="30" t="s">
        <v>1757</v>
      </c>
      <c r="K292" s="62">
        <v>7007538.0599999996</v>
      </c>
      <c r="M292" s="50" t="s">
        <v>2302</v>
      </c>
      <c r="N292" s="87"/>
      <c r="O292" s="30" t="s">
        <v>2160</v>
      </c>
      <c r="P29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3300000</v>
      </c>
      <c r="Q29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9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990000</v>
      </c>
      <c r="S292" s="72">
        <f>IF(AR_725[[#This Row],[PO Amount]]=0,1,AR_725[[#This Row],[Total AR (Sent)]]/AR_725[[#This Row],[PO Amount]])</f>
        <v>0.47092145226250831</v>
      </c>
      <c r="T292" s="73">
        <f>AR_725[[#This Row],[PO Amount]]-AR_725[[#This Row],[Total AR (Sent)]]</f>
        <v>3707538.0599999996</v>
      </c>
      <c r="AR292" s="84"/>
      <c r="AT292" s="44"/>
      <c r="AV292" s="85"/>
      <c r="AX292" s="79"/>
      <c r="AZ292" s="79"/>
      <c r="BB292" s="79"/>
      <c r="BL292" s="79"/>
      <c r="CG292" s="122"/>
      <c r="CI292" s="122"/>
      <c r="CK292" s="122"/>
      <c r="CL292" s="122">
        <v>0</v>
      </c>
      <c r="CM292" s="122">
        <v>0</v>
      </c>
      <c r="CN292" s="122">
        <v>0</v>
      </c>
      <c r="CO292" s="34">
        <f>SUMIFS(BB___HK___AMHS__Others[AR Amount],BB___HK___AMHS__Others[PO No.],AR_725[[#This Row],[tsmc PO '#]],BB___HK___AMHS__Others[Status],"&lt;&gt;Rejected",BB___HK___AMHS__Others[YearMonth],"2024-07")</f>
        <v>0</v>
      </c>
      <c r="CP292" s="122">
        <f>SUMIFS(BB___HK___AMHS__Others[Tax],BB___HK___AMHS__Others[PO No.],AR_725[[#This Row],[tsmc PO '#]],BB___HK___AMHS__Others[Status],"&lt;&gt;Rejected",BB___HK___AMHS__Others[YearMonth],"2024-07")</f>
        <v>0</v>
      </c>
      <c r="CQ292" s="34">
        <f>SUMIFS(BB___HK___AMHS__Others[AR Amount],BB___HK___AMHS__Others[PO No.],AR_725[[#This Row],[tsmc PO '#]],BB___HK___AMHS__Others[Status],"&lt;&gt;Rejected",BB___HK___AMHS__Others[YearMonth],"2024-08")</f>
        <v>990000</v>
      </c>
      <c r="CR292" s="44">
        <f>SUMIFS(BB___HK___AMHS__Others[Tax],BB___HK___AMHS__Others[PO No.],AR_725[[#This Row],[tsmc PO '#]],BB___HK___AMHS__Others[Status],"&lt;&gt;Rejected",BB___HK___AMHS__Others[YearMonth],"2024-08")</f>
        <v>0</v>
      </c>
      <c r="CS292" s="62">
        <f>SUMIFS(BB___HK___AMHS__Others[AR Amount],BB___HK___AMHS__Others[PO No.],AR_725[[#This Row],[tsmc PO '#]],BB___HK___AMHS__Others[Status],"&lt;&gt;Rejected",BB___HK___AMHS__Others[YearMonth],"2024-09")</f>
        <v>2310000</v>
      </c>
      <c r="CT292" s="601">
        <f>SUMIFS(BB___HK___AMHS__Others[Tax],BB___HK___AMHS__Others[PO No.],AR_725[[#This Row],[tsmc PO '#]],BB___HK___AMHS__Others[Status],"&lt;&gt;Rejected",BB___HK___AMHS__Others[YearMonth],"2024-09")</f>
        <v>0</v>
      </c>
    </row>
    <row r="293" spans="1:98" ht="15" customHeight="1">
      <c r="A293" s="30" t="s">
        <v>9</v>
      </c>
      <c r="B293" s="30" t="s">
        <v>2051</v>
      </c>
      <c r="C293" s="30" t="s">
        <v>42</v>
      </c>
      <c r="D293" s="50" t="s">
        <v>1706</v>
      </c>
      <c r="E293" s="603" t="s">
        <v>2070</v>
      </c>
      <c r="F293" s="50" t="s">
        <v>2115</v>
      </c>
      <c r="G293" s="50" t="s">
        <v>1432</v>
      </c>
      <c r="H293" s="50">
        <v>4590020304</v>
      </c>
      <c r="I293" s="30" t="s">
        <v>1416</v>
      </c>
      <c r="J293" s="30" t="s">
        <v>1755</v>
      </c>
      <c r="K293" s="62">
        <v>7490816.54</v>
      </c>
      <c r="M293" s="50" t="s">
        <v>2302</v>
      </c>
      <c r="N293" s="87"/>
      <c r="O293" s="30" t="s">
        <v>2160</v>
      </c>
      <c r="P29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6600000</v>
      </c>
      <c r="Q29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9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3300000</v>
      </c>
      <c r="S293" s="72">
        <f>IF(AR_725[[#This Row],[PO Amount]]=0,1,AR_725[[#This Row],[Total AR (Sent)]]/AR_725[[#This Row],[PO Amount]])</f>
        <v>0.88107884697974459</v>
      </c>
      <c r="T293" s="73">
        <f>AR_725[[#This Row],[PO Amount]]-AR_725[[#This Row],[Total AR (Sent)]]</f>
        <v>890816.54</v>
      </c>
      <c r="AR293" s="84"/>
      <c r="AT293" s="44"/>
      <c r="AV293" s="85"/>
      <c r="AX293" s="79"/>
      <c r="AZ293" s="79"/>
      <c r="BB293" s="79"/>
      <c r="BL293" s="79"/>
      <c r="CG293" s="122"/>
      <c r="CI293" s="122"/>
      <c r="CK293" s="122"/>
      <c r="CL293" s="122">
        <v>0</v>
      </c>
      <c r="CM293" s="122">
        <v>0</v>
      </c>
      <c r="CN293" s="122">
        <v>0</v>
      </c>
      <c r="CO293" s="34">
        <f>SUMIFS(BB___HK___AMHS__Others[AR Amount],BB___HK___AMHS__Others[PO No.],AR_725[[#This Row],[tsmc PO '#]],BB___HK___AMHS__Others[Status],"&lt;&gt;Rejected",BB___HK___AMHS__Others[YearMonth],"2024-07")</f>
        <v>0</v>
      </c>
      <c r="CP293" s="122">
        <f>SUMIFS(BB___HK___AMHS__Others[Tax],BB___HK___AMHS__Others[PO No.],AR_725[[#This Row],[tsmc PO '#]],BB___HK___AMHS__Others[Status],"&lt;&gt;Rejected",BB___HK___AMHS__Others[YearMonth],"2024-07")</f>
        <v>0</v>
      </c>
      <c r="CQ293" s="34">
        <f>SUMIFS(BB___HK___AMHS__Others[AR Amount],BB___HK___AMHS__Others[PO No.],AR_725[[#This Row],[tsmc PO '#]],BB___HK___AMHS__Others[Status],"&lt;&gt;Rejected",BB___HK___AMHS__Others[YearMonth],"2024-08")</f>
        <v>3300000</v>
      </c>
      <c r="CR293" s="44">
        <f>SUMIFS(BB___HK___AMHS__Others[Tax],BB___HK___AMHS__Others[PO No.],AR_725[[#This Row],[tsmc PO '#]],BB___HK___AMHS__Others[Status],"&lt;&gt;Rejected",BB___HK___AMHS__Others[YearMonth],"2024-08")</f>
        <v>0</v>
      </c>
      <c r="CS293" s="62">
        <f>SUMIFS(BB___HK___AMHS__Others[AR Amount],BB___HK___AMHS__Others[PO No.],AR_725[[#This Row],[tsmc PO '#]],BB___HK___AMHS__Others[Status],"&lt;&gt;Rejected",BB___HK___AMHS__Others[YearMonth],"2024-09")</f>
        <v>3300000</v>
      </c>
      <c r="CT293" s="601">
        <f>SUMIFS(BB___HK___AMHS__Others[Tax],BB___HK___AMHS__Others[PO No.],AR_725[[#This Row],[tsmc PO '#]],BB___HK___AMHS__Others[Status],"&lt;&gt;Rejected",BB___HK___AMHS__Others[YearMonth],"2024-09")</f>
        <v>0</v>
      </c>
    </row>
    <row r="294" spans="1:98" ht="15" hidden="1" customHeight="1">
      <c r="A294" s="30" t="s">
        <v>9</v>
      </c>
      <c r="B294" s="30" t="s">
        <v>2051</v>
      </c>
      <c r="C294" s="30" t="s">
        <v>42</v>
      </c>
      <c r="D294" s="50" t="s">
        <v>1706</v>
      </c>
      <c r="E294" s="30" t="s">
        <v>2070</v>
      </c>
      <c r="F294" s="50" t="s">
        <v>2147</v>
      </c>
      <c r="G294" s="50" t="s">
        <v>1432</v>
      </c>
      <c r="H294" s="50">
        <v>4590020305</v>
      </c>
      <c r="I294" s="30" t="s">
        <v>1416</v>
      </c>
      <c r="J294" s="30" t="s">
        <v>2304</v>
      </c>
      <c r="K294" s="62">
        <v>1449835.46</v>
      </c>
      <c r="M294" s="50" t="s">
        <v>2302</v>
      </c>
      <c r="N294" s="87"/>
      <c r="O294" s="30" t="s">
        <v>2160</v>
      </c>
      <c r="P29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29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9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294" s="72">
        <f>IF(AR_725[[#This Row],[PO Amount]]=0,1,AR_725[[#This Row],[Total AR (Sent)]]/AR_725[[#This Row],[PO Amount]])</f>
        <v>0</v>
      </c>
      <c r="T294" s="73">
        <f>AR_725[[#This Row],[PO Amount]]-AR_725[[#This Row],[Total AR (Sent)]]</f>
        <v>1449835.46</v>
      </c>
      <c r="AR294" s="84"/>
      <c r="AT294" s="44"/>
      <c r="AV294" s="85"/>
      <c r="AX294" s="79"/>
      <c r="AZ294" s="79"/>
      <c r="BB294" s="79"/>
      <c r="BL294" s="79"/>
      <c r="CG294" s="122"/>
      <c r="CI294" s="122"/>
      <c r="CK294" s="122"/>
      <c r="CL294" s="122">
        <v>0</v>
      </c>
      <c r="CM294" s="122">
        <v>0</v>
      </c>
      <c r="CN294" s="122">
        <v>0</v>
      </c>
      <c r="CO294" s="122">
        <f>SUMIFS(BB___HK___AMHS__Others[AR Amount],BB___HK___AMHS__Others[PO No.],AR_725[[#This Row],[tsmc PO '#]],BB___HK___AMHS__Others[Status],"&lt;&gt;Rejected",BB___HK___AMHS__Others[YearMonth],"2024-07")</f>
        <v>0</v>
      </c>
      <c r="CP294" s="122">
        <f>SUMIFS(BB___HK___AMHS__Others[Tax],BB___HK___AMHS__Others[PO No.],AR_725[[#This Row],[tsmc PO '#]],BB___HK___AMHS__Others[Status],"&lt;&gt;Rejected",BB___HK___AMHS__Others[YearMonth],"2024-07")</f>
        <v>0</v>
      </c>
      <c r="CQ294" s="34">
        <f>SUMIFS(BB___HK___AMHS__Others[AR Amount],BB___HK___AMHS__Others[PO No.],AR_725[[#This Row],[tsmc PO '#]],BB___HK___AMHS__Others[Status],"&lt;&gt;Rejected",BB___HK___AMHS__Others[YearMonth],"2024-08")</f>
        <v>0</v>
      </c>
      <c r="CR294" s="44">
        <f>SUMIFS(BB___HK___AMHS__Others[Tax],BB___HK___AMHS__Others[PO No.],AR_725[[#This Row],[tsmc PO '#]],BB___HK___AMHS__Others[Status],"&lt;&gt;Rejected",BB___HK___AMHS__Others[YearMonth],"2024-08")</f>
        <v>0</v>
      </c>
      <c r="CS294" s="62">
        <f>SUMIFS(BB___HK___AMHS__Others[AR Amount],BB___HK___AMHS__Others[PO No.],AR_725[[#This Row],[tsmc PO '#]],BB___HK___AMHS__Others[Status],"&lt;&gt;Rejected",BB___HK___AMHS__Others[YearMonth],"2024-09")</f>
        <v>0</v>
      </c>
      <c r="CT294" s="601">
        <f>SUMIFS(BB___HK___AMHS__Others[Tax],BB___HK___AMHS__Others[PO No.],AR_725[[#This Row],[tsmc PO '#]],BB___HK___AMHS__Others[Status],"&lt;&gt;Rejected",BB___HK___AMHS__Others[YearMonth],"2024-09")</f>
        <v>0</v>
      </c>
    </row>
    <row r="295" spans="1:98" ht="15" hidden="1" customHeight="1">
      <c r="A295" s="30" t="s">
        <v>9</v>
      </c>
      <c r="B295" s="30" t="s">
        <v>2051</v>
      </c>
      <c r="C295" s="30" t="s">
        <v>42</v>
      </c>
      <c r="D295" s="50" t="s">
        <v>1546</v>
      </c>
      <c r="E295" s="30" t="s">
        <v>2052</v>
      </c>
      <c r="F295" s="50" t="s">
        <v>2076</v>
      </c>
      <c r="G295" s="50" t="s">
        <v>54</v>
      </c>
      <c r="H295" s="50">
        <v>4590020306</v>
      </c>
      <c r="I295" s="30" t="s">
        <v>1416</v>
      </c>
      <c r="J295" s="30" t="s">
        <v>2305</v>
      </c>
      <c r="K295" s="62">
        <v>966556.97</v>
      </c>
      <c r="M295" s="50" t="s">
        <v>2302</v>
      </c>
      <c r="N295" s="87"/>
      <c r="O295" s="30" t="s">
        <v>2160</v>
      </c>
      <c r="P29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29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9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295" s="72">
        <f>IF(AR_725[[#This Row],[PO Amount]]=0,1,AR_725[[#This Row],[Total AR (Sent)]]/AR_725[[#This Row],[PO Amount]])</f>
        <v>0</v>
      </c>
      <c r="T295" s="73">
        <f>AR_725[[#This Row],[PO Amount]]-AR_725[[#This Row],[Total AR (Sent)]]</f>
        <v>966556.97</v>
      </c>
      <c r="AR295" s="84"/>
      <c r="AT295" s="44"/>
      <c r="AV295" s="85"/>
      <c r="AX295" s="79"/>
      <c r="AZ295" s="79"/>
      <c r="BB295" s="79"/>
      <c r="BL295" s="79"/>
      <c r="CG295" s="122"/>
      <c r="CI295" s="122"/>
      <c r="CK295" s="122"/>
      <c r="CL295" s="122">
        <v>0</v>
      </c>
      <c r="CM295" s="122">
        <v>0</v>
      </c>
      <c r="CN295" s="122">
        <v>0</v>
      </c>
      <c r="CO295" s="122">
        <f>SUMIFS(BB___HK___AMHS__Others[AR Amount],BB___HK___AMHS__Others[PO No.],AR_725[[#This Row],[tsmc PO '#]],BB___HK___AMHS__Others[Status],"&lt;&gt;Rejected",BB___HK___AMHS__Others[YearMonth],"2024-07")</f>
        <v>0</v>
      </c>
      <c r="CP295" s="122">
        <f>SUMIFS(BB___HK___AMHS__Others[Tax],BB___HK___AMHS__Others[PO No.],AR_725[[#This Row],[tsmc PO '#]],BB___HK___AMHS__Others[Status],"&lt;&gt;Rejected",BB___HK___AMHS__Others[YearMonth],"2024-07")</f>
        <v>0</v>
      </c>
      <c r="CQ295" s="34">
        <f>SUMIFS(BB___HK___AMHS__Others[AR Amount],BB___HK___AMHS__Others[PO No.],AR_725[[#This Row],[tsmc PO '#]],BB___HK___AMHS__Others[Status],"&lt;&gt;Rejected",BB___HK___AMHS__Others[YearMonth],"2024-08")</f>
        <v>0</v>
      </c>
      <c r="CR295" s="44">
        <f>SUMIFS(BB___HK___AMHS__Others[Tax],BB___HK___AMHS__Others[PO No.],AR_725[[#This Row],[tsmc PO '#]],BB___HK___AMHS__Others[Status],"&lt;&gt;Rejected",BB___HK___AMHS__Others[YearMonth],"2024-08")</f>
        <v>0</v>
      </c>
      <c r="CS295" s="62">
        <f>SUMIFS(BB___HK___AMHS__Others[AR Amount],BB___HK___AMHS__Others[PO No.],AR_725[[#This Row],[tsmc PO '#]],BB___HK___AMHS__Others[Status],"&lt;&gt;Rejected",BB___HK___AMHS__Others[YearMonth],"2024-09")</f>
        <v>0</v>
      </c>
      <c r="CT295" s="601">
        <f>SUMIFS(BB___HK___AMHS__Others[Tax],BB___HK___AMHS__Others[PO No.],AR_725[[#This Row],[tsmc PO '#]],BB___HK___AMHS__Others[Status],"&lt;&gt;Rejected",BB___HK___AMHS__Others[YearMonth],"2024-09")</f>
        <v>0</v>
      </c>
    </row>
    <row r="296" spans="1:98" ht="15" hidden="1" customHeight="1">
      <c r="A296" s="30" t="s">
        <v>11</v>
      </c>
      <c r="D296" s="50" t="s">
        <v>1546</v>
      </c>
      <c r="E296" s="105" t="s">
        <v>2052</v>
      </c>
      <c r="F296" s="50" t="s">
        <v>2260</v>
      </c>
      <c r="G296" s="50" t="s">
        <v>54</v>
      </c>
      <c r="H296" s="50">
        <v>4590020568</v>
      </c>
      <c r="I296" s="30" t="s">
        <v>2306</v>
      </c>
      <c r="J296" s="30" t="s">
        <v>2307</v>
      </c>
      <c r="K296" s="62">
        <v>8562.32</v>
      </c>
      <c r="M296" s="50" t="s">
        <v>2308</v>
      </c>
      <c r="N296" s="87"/>
      <c r="O296" s="30" t="s">
        <v>2156</v>
      </c>
      <c r="P29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29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9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296" s="72">
        <f>IF(AR_725[[#This Row],[PO Amount]]=0,1,AR_725[[#This Row],[Total AR (Sent)]]/AR_725[[#This Row],[PO Amount]])</f>
        <v>0</v>
      </c>
      <c r="T296" s="73">
        <f>AR_725[[#This Row],[PO Amount]]-AR_725[[#This Row],[Total AR (Sent)]]</f>
        <v>8562.32</v>
      </c>
      <c r="AR296" s="84"/>
      <c r="AT296" s="44"/>
      <c r="AV296" s="85"/>
      <c r="AX296" s="79"/>
      <c r="AZ296" s="79"/>
      <c r="BB296" s="79"/>
      <c r="BL296" s="79"/>
      <c r="CG296" s="122"/>
      <c r="CI296" s="122"/>
      <c r="CK296" s="122"/>
      <c r="CL296" s="122"/>
      <c r="CM296" s="122"/>
      <c r="CN296" s="122"/>
      <c r="CP296" s="122">
        <f>SUMIFS(BB___HK___AMHS__Others[Tax],BB___HK___AMHS__Others[PO No.],AR_725[[#This Row],[tsmc PO '#]],BB___HK___AMHS__Others[Status],"&lt;&gt;Rejected",BB___HK___AMHS__Others[YearMonth],"2024-07")</f>
        <v>0</v>
      </c>
      <c r="CQ296" s="34">
        <f>SUMIFS(BB___HK___AMHS__Others[AR Amount],BB___HK___AMHS__Others[PO No.],AR_725[[#This Row],[tsmc PO '#]],BB___HK___AMHS__Others[Status],"&lt;&gt;Rejected",BB___HK___AMHS__Others[YearMonth],"2024-08")</f>
        <v>0</v>
      </c>
      <c r="CR296" s="44">
        <f>SUMIFS(BB___HK___AMHS__Others[Tax],BB___HK___AMHS__Others[PO No.],AR_725[[#This Row],[tsmc PO '#]],BB___HK___AMHS__Others[Status],"&lt;&gt;Rejected",BB___HK___AMHS__Others[YearMonth],"2024-08")</f>
        <v>0</v>
      </c>
      <c r="CS296" s="62">
        <f>SUMIFS(BB___HK___AMHS__Others[AR Amount],BB___HK___AMHS__Others[PO No.],AR_725[[#This Row],[tsmc PO '#]],BB___HK___AMHS__Others[Status],"&lt;&gt;Rejected",BB___HK___AMHS__Others[YearMonth],"2024-09")</f>
        <v>0</v>
      </c>
      <c r="CT296" s="601">
        <f>SUMIFS(BB___HK___AMHS__Others[Tax],BB___HK___AMHS__Others[PO No.],AR_725[[#This Row],[tsmc PO '#]],BB___HK___AMHS__Others[Status],"&lt;&gt;Rejected",BB___HK___AMHS__Others[YearMonth],"2024-09")</f>
        <v>0</v>
      </c>
    </row>
    <row r="297" spans="1:98" ht="15" customHeight="1">
      <c r="A297" s="30" t="s">
        <v>21</v>
      </c>
      <c r="D297" s="50"/>
      <c r="E297" s="30" t="s">
        <v>2209</v>
      </c>
      <c r="F297" s="50"/>
      <c r="G297" s="50" t="s">
        <v>54</v>
      </c>
      <c r="H297" s="50">
        <v>4590020635</v>
      </c>
      <c r="I297" s="30" t="s">
        <v>1245</v>
      </c>
      <c r="J297" s="30" t="s">
        <v>2258</v>
      </c>
      <c r="K297" s="62">
        <v>60000</v>
      </c>
      <c r="M297" s="50" t="s">
        <v>2309</v>
      </c>
      <c r="N297" s="87"/>
      <c r="O297" s="30" t="s">
        <v>2156</v>
      </c>
      <c r="P29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50000</v>
      </c>
      <c r="Q29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9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297" s="72">
        <f>IF(AR_725[[#This Row],[PO Amount]]=0,1,AR_725[[#This Row],[Total AR (Sent)]]/AR_725[[#This Row],[PO Amount]])</f>
        <v>0.83333333333333337</v>
      </c>
      <c r="T297" s="73">
        <f>AR_725[[#This Row],[PO Amount]]-AR_725[[#This Row],[Total AR (Sent)]]</f>
        <v>10000</v>
      </c>
      <c r="AR297" s="84"/>
      <c r="AT297" s="44"/>
      <c r="AV297" s="85"/>
      <c r="AX297" s="79"/>
      <c r="AZ297" s="79"/>
      <c r="BB297" s="79"/>
      <c r="BL297" s="79"/>
      <c r="CG297" s="122"/>
      <c r="CI297" s="122"/>
      <c r="CK297" s="122"/>
      <c r="CL297" s="122"/>
      <c r="CM297" s="122"/>
      <c r="CN297" s="122"/>
      <c r="CP297" s="122">
        <f>SUMIFS(BB___HK___AMHS__Others[Tax],BB___HK___AMHS__Others[PO No.],AR_725[[#This Row],[tsmc PO '#]],BB___HK___AMHS__Others[Status],"&lt;&gt;Rejected",BB___HK___AMHS__Others[YearMonth],"2024-07")</f>
        <v>0</v>
      </c>
      <c r="CQ297" s="34">
        <f>SUMIFS(BB___HK___AMHS__Others[AR Amount],BB___HK___AMHS__Others[PO No.],AR_725[[#This Row],[tsmc PO '#]],BB___HK___AMHS__Others[Status],"&lt;&gt;Rejected",BB___HK___AMHS__Others[YearMonth],"2024-08")</f>
        <v>0</v>
      </c>
      <c r="CR297" s="44">
        <f>SUMIFS(BB___HK___AMHS__Others[Tax],BB___HK___AMHS__Others[PO No.],AR_725[[#This Row],[tsmc PO '#]],BB___HK___AMHS__Others[Status],"&lt;&gt;Rejected",BB___HK___AMHS__Others[YearMonth],"2024-08")</f>
        <v>0</v>
      </c>
      <c r="CS297" s="62">
        <f>SUMIFS(BB___HK___AMHS__Others[AR Amount],BB___HK___AMHS__Others[PO No.],AR_725[[#This Row],[tsmc PO '#]],BB___HK___AMHS__Others[Status],"&lt;&gt;Rejected",BB___HK___AMHS__Others[YearMonth],"2024-09")</f>
        <v>50000</v>
      </c>
      <c r="CT297" s="601">
        <f>SUMIFS(BB___HK___AMHS__Others[Tax],BB___HK___AMHS__Others[PO No.],AR_725[[#This Row],[tsmc PO '#]],BB___HK___AMHS__Others[Status],"&lt;&gt;Rejected",BB___HK___AMHS__Others[YearMonth],"2024-09")</f>
        <v>0</v>
      </c>
    </row>
    <row r="298" spans="1:98" ht="15" hidden="1" customHeight="1">
      <c r="A298" s="30" t="s">
        <v>8</v>
      </c>
      <c r="B298" s="30" t="s">
        <v>8</v>
      </c>
      <c r="D298" s="50"/>
      <c r="E298" s="604" t="s">
        <v>2109</v>
      </c>
      <c r="F298" s="50" t="s">
        <v>2110</v>
      </c>
      <c r="G298" s="50" t="s">
        <v>54</v>
      </c>
      <c r="H298" s="50">
        <v>4590020779</v>
      </c>
      <c r="J298" s="30" t="s">
        <v>2310</v>
      </c>
      <c r="K298" s="62">
        <v>2529738.9700000002</v>
      </c>
      <c r="M298" s="50" t="s">
        <v>2311</v>
      </c>
      <c r="N298" s="87"/>
      <c r="O298" s="30" t="s">
        <v>2156</v>
      </c>
      <c r="P29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29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9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298" s="72">
        <f>IF(AR_725[[#This Row],[PO Amount]]=0,1,AR_725[[#This Row],[Total AR (Sent)]]/AR_725[[#This Row],[PO Amount]])</f>
        <v>0</v>
      </c>
      <c r="T298" s="73">
        <f>AR_725[[#This Row],[PO Amount]]-AR_725[[#This Row],[Total AR (Sent)]]</f>
        <v>2529738.9700000002</v>
      </c>
      <c r="AR298" s="84"/>
      <c r="AT298" s="44"/>
      <c r="AV298" s="85"/>
      <c r="AX298" s="79"/>
      <c r="AZ298" s="79"/>
      <c r="BB298" s="79"/>
      <c r="BL298" s="79"/>
      <c r="CG298" s="122"/>
      <c r="CI298" s="122"/>
      <c r="CK298" s="122"/>
      <c r="CL298" s="122"/>
      <c r="CM298" s="122"/>
      <c r="CN298" s="122"/>
      <c r="CP298" s="122">
        <f>SUMIFS(BB___HK___AMHS__Others[Tax],BB___HK___AMHS__Others[PO No.],AR_725[[#This Row],[tsmc PO '#]],BB___HK___AMHS__Others[Status],"&lt;&gt;Rejected",BB___HK___AMHS__Others[YearMonth],"2024-07")</f>
        <v>0</v>
      </c>
      <c r="CQ298" s="34">
        <f>SUMIFS(BB___HK___AMHS__Others[AR Amount],BB___HK___AMHS__Others[PO No.],AR_725[[#This Row],[tsmc PO '#]],BB___HK___AMHS__Others[Status],"&lt;&gt;Rejected",BB___HK___AMHS__Others[YearMonth],"2024-08")</f>
        <v>0</v>
      </c>
      <c r="CR298" s="44">
        <f>SUMIFS(BB___HK___AMHS__Others[Tax],BB___HK___AMHS__Others[PO No.],AR_725[[#This Row],[tsmc PO '#]],BB___HK___AMHS__Others[Status],"&lt;&gt;Rejected",BB___HK___AMHS__Others[YearMonth],"2024-08")</f>
        <v>0</v>
      </c>
      <c r="CS298" s="62">
        <f>SUMIFS(BB___HK___AMHS__Others[AR Amount],BB___HK___AMHS__Others[PO No.],AR_725[[#This Row],[tsmc PO '#]],BB___HK___AMHS__Others[Status],"&lt;&gt;Rejected",BB___HK___AMHS__Others[YearMonth],"2024-09")</f>
        <v>0</v>
      </c>
      <c r="CT298" s="601">
        <f>SUMIFS(BB___HK___AMHS__Others[Tax],BB___HK___AMHS__Others[PO No.],AR_725[[#This Row],[tsmc PO '#]],BB___HK___AMHS__Others[Status],"&lt;&gt;Rejected",BB___HK___AMHS__Others[YearMonth],"2024-09")</f>
        <v>0</v>
      </c>
    </row>
    <row r="299" spans="1:98" ht="15" customHeight="1">
      <c r="A299" s="30" t="s">
        <v>13</v>
      </c>
      <c r="B299" s="30" t="s">
        <v>13</v>
      </c>
      <c r="D299" s="50"/>
      <c r="E299" s="30" t="s">
        <v>2312</v>
      </c>
      <c r="F299" s="50"/>
      <c r="G299" s="50" t="s">
        <v>54</v>
      </c>
      <c r="H299" s="50">
        <v>4590020794</v>
      </c>
      <c r="J299" s="30" t="s">
        <v>1773</v>
      </c>
      <c r="K299" s="62">
        <v>27343521</v>
      </c>
      <c r="M299" s="50" t="s">
        <v>2311</v>
      </c>
      <c r="N299" s="87"/>
      <c r="O299" s="30" t="s">
        <v>2156</v>
      </c>
      <c r="P29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19896212.020000003</v>
      </c>
      <c r="Q29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29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18203634.940000001</v>
      </c>
      <c r="S299" s="72">
        <f>IF(AR_725[[#This Row],[PO Amount]]=0,1,AR_725[[#This Row],[Total AR (Sent)]]/AR_725[[#This Row],[PO Amount]])</f>
        <v>0.72763899060402659</v>
      </c>
      <c r="T299" s="73">
        <f>AR_725[[#This Row],[PO Amount]]-AR_725[[#This Row],[Total AR (Sent)]]</f>
        <v>7447308.9799999967</v>
      </c>
      <c r="AR299" s="84"/>
      <c r="AT299" s="44"/>
      <c r="AV299" s="85"/>
      <c r="AX299" s="79"/>
      <c r="AZ299" s="79"/>
      <c r="BB299" s="79"/>
      <c r="BL299" s="79"/>
      <c r="CG299" s="122"/>
      <c r="CI299" s="122"/>
      <c r="CK299" s="122"/>
      <c r="CL299" s="122"/>
      <c r="CM299" s="122"/>
      <c r="CN299" s="122"/>
      <c r="CP299" s="122">
        <f>SUMIFS(BB___HK___AMHS__Others[Tax],BB___HK___AMHS__Others[PO No.],AR_725[[#This Row],[tsmc PO '#]],BB___HK___AMHS__Others[Status],"&lt;&gt;Rejected",BB___HK___AMHS__Others[YearMonth],"2024-07")</f>
        <v>0</v>
      </c>
      <c r="CQ299" s="34">
        <f>SUMIFS(BB___HK___AMHS__Others[AR Amount],BB___HK___AMHS__Others[PO No.],AR_725[[#This Row],[tsmc PO '#]],BB___HK___AMHS__Others[Status],"&lt;&gt;Rejected",BB___HK___AMHS__Others[YearMonth],"2024-08")</f>
        <v>18203634.940000001</v>
      </c>
      <c r="CR299" s="44">
        <f>SUMIFS(BB___HK___AMHS__Others[Tax],BB___HK___AMHS__Others[PO No.],AR_725[[#This Row],[tsmc PO '#]],BB___HK___AMHS__Others[Status],"&lt;&gt;Rejected",BB___HK___AMHS__Others[YearMonth],"2024-08")</f>
        <v>0</v>
      </c>
      <c r="CS299" s="62">
        <f>SUMIFS(BB___HK___AMHS__Others[AR Amount],BB___HK___AMHS__Others[PO No.],AR_725[[#This Row],[tsmc PO '#]],BB___HK___AMHS__Others[Status],"&lt;&gt;Rejected",BB___HK___AMHS__Others[YearMonth],"2024-09")</f>
        <v>1692577.08</v>
      </c>
      <c r="CT299" s="601">
        <f>SUMIFS(BB___HK___AMHS__Others[Tax],BB___HK___AMHS__Others[PO No.],AR_725[[#This Row],[tsmc PO '#]],BB___HK___AMHS__Others[Status],"&lt;&gt;Rejected",BB___HK___AMHS__Others[YearMonth],"2024-09")</f>
        <v>0</v>
      </c>
    </row>
    <row r="300" spans="1:98" ht="15" customHeight="1">
      <c r="A300" s="30" t="s">
        <v>13</v>
      </c>
      <c r="B300" s="30" t="s">
        <v>13</v>
      </c>
      <c r="D300" s="50"/>
      <c r="E300" s="30" t="s">
        <v>2206</v>
      </c>
      <c r="F300" s="50"/>
      <c r="G300" s="50" t="s">
        <v>54</v>
      </c>
      <c r="H300" s="50">
        <v>4590020844</v>
      </c>
      <c r="I300" s="30" t="s">
        <v>1424</v>
      </c>
      <c r="J300" s="30" t="s">
        <v>2313</v>
      </c>
      <c r="K300" s="62">
        <v>12035415.390000001</v>
      </c>
      <c r="M300" s="50" t="s">
        <v>2049</v>
      </c>
      <c r="N300" s="87"/>
      <c r="O300" s="30" t="s">
        <v>2156</v>
      </c>
      <c r="P30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75497.37</v>
      </c>
      <c r="Q30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0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00" s="72">
        <f>IF(AR_725[[#This Row],[PO Amount]]=0,1,AR_725[[#This Row],[Total AR (Sent)]]/AR_725[[#This Row],[PO Amount]])</f>
        <v>6.2729342987803589E-3</v>
      </c>
      <c r="T300" s="73">
        <f>AR_725[[#This Row],[PO Amount]]-AR_725[[#This Row],[Total AR (Sent)]]</f>
        <v>11959918.020000001</v>
      </c>
      <c r="AR300" s="84"/>
      <c r="AT300" s="44"/>
      <c r="AV300" s="85"/>
      <c r="AX300" s="79"/>
      <c r="AZ300" s="79"/>
      <c r="BB300" s="79"/>
      <c r="BL300" s="79"/>
      <c r="CG300" s="122"/>
      <c r="CI300" s="122"/>
      <c r="CK300" s="122"/>
      <c r="CL300" s="122"/>
      <c r="CM300" s="122"/>
      <c r="CN300" s="122"/>
      <c r="CP300" s="122">
        <f>SUMIFS(BB___HK___AMHS__Others[Tax],BB___HK___AMHS__Others[PO No.],AR_725[[#This Row],[tsmc PO '#]],BB___HK___AMHS__Others[Status],"&lt;&gt;Rejected",BB___HK___AMHS__Others[YearMonth],"2024-07")</f>
        <v>0</v>
      </c>
      <c r="CQ300" s="34">
        <f>SUMIFS(BB___HK___AMHS__Others[AR Amount],BB___HK___AMHS__Others[PO No.],AR_725[[#This Row],[tsmc PO '#]],BB___HK___AMHS__Others[Status],"&lt;&gt;Rejected",BB___HK___AMHS__Others[YearMonth],"2024-08")</f>
        <v>0</v>
      </c>
      <c r="CR300" s="44">
        <f>SUMIFS(BB___HK___AMHS__Others[Tax],BB___HK___AMHS__Others[PO No.],AR_725[[#This Row],[tsmc PO '#]],BB___HK___AMHS__Others[Status],"&lt;&gt;Rejected",BB___HK___AMHS__Others[YearMonth],"2024-08")</f>
        <v>0</v>
      </c>
      <c r="CS300" s="62">
        <f>SUMIFS(BB___HK___AMHS__Others[AR Amount],BB___HK___AMHS__Others[PO No.],AR_725[[#This Row],[tsmc PO '#]],BB___HK___AMHS__Others[Status],"&lt;&gt;Rejected",BB___HK___AMHS__Others[YearMonth],"2024-09")</f>
        <v>75497.37</v>
      </c>
      <c r="CT300" s="601">
        <f>SUMIFS(BB___HK___AMHS__Others[Tax],BB___HK___AMHS__Others[PO No.],AR_725[[#This Row],[tsmc PO '#]],BB___HK___AMHS__Others[Status],"&lt;&gt;Rejected",BB___HK___AMHS__Others[YearMonth],"2024-09")</f>
        <v>0</v>
      </c>
    </row>
    <row r="301" spans="1:98" ht="15" customHeight="1">
      <c r="A301" s="30" t="s">
        <v>13</v>
      </c>
      <c r="B301" s="30" t="s">
        <v>13</v>
      </c>
      <c r="D301" s="50"/>
      <c r="E301" s="30" t="s">
        <v>2206</v>
      </c>
      <c r="F301" s="50"/>
      <c r="G301" s="50" t="s">
        <v>54</v>
      </c>
      <c r="H301" s="50">
        <v>4590020940</v>
      </c>
      <c r="I301" s="30" t="s">
        <v>1424</v>
      </c>
      <c r="J301" s="30" t="s">
        <v>2313</v>
      </c>
      <c r="K301" s="62">
        <v>12724409.449999999</v>
      </c>
      <c r="M301" s="50" t="s">
        <v>2049</v>
      </c>
      <c r="N301" s="87"/>
      <c r="O301" s="30" t="s">
        <v>2156</v>
      </c>
      <c r="P30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651978.55000000005</v>
      </c>
      <c r="Q30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0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01" s="72">
        <f>IF(AR_725[[#This Row],[PO Amount]]=0,1,AR_725[[#This Row],[Total AR (Sent)]]/AR_725[[#This Row],[PO Amount]])</f>
        <v>5.1238413268758817E-2</v>
      </c>
      <c r="T301" s="73">
        <f>AR_725[[#This Row],[PO Amount]]-AR_725[[#This Row],[Total AR (Sent)]]</f>
        <v>12072430.899999999</v>
      </c>
      <c r="AR301" s="84"/>
      <c r="AT301" s="44"/>
      <c r="AV301" s="85"/>
      <c r="AX301" s="79"/>
      <c r="AZ301" s="79"/>
      <c r="BB301" s="79"/>
      <c r="BL301" s="79"/>
      <c r="CG301" s="122"/>
      <c r="CI301" s="122"/>
      <c r="CK301" s="122"/>
      <c r="CL301" s="122"/>
      <c r="CM301" s="122"/>
      <c r="CN301" s="122"/>
      <c r="CP301" s="122">
        <f>SUMIFS(BB___HK___AMHS__Others[Tax],BB___HK___AMHS__Others[PO No.],AR_725[[#This Row],[tsmc PO '#]],BB___HK___AMHS__Others[Status],"&lt;&gt;Rejected",BB___HK___AMHS__Others[YearMonth],"2024-07")</f>
        <v>0</v>
      </c>
      <c r="CQ301" s="34">
        <f>SUMIFS(BB___HK___AMHS__Others[AR Amount],BB___HK___AMHS__Others[PO No.],AR_725[[#This Row],[tsmc PO '#]],BB___HK___AMHS__Others[Status],"&lt;&gt;Rejected",BB___HK___AMHS__Others[YearMonth],"2024-08")</f>
        <v>0</v>
      </c>
      <c r="CR301" s="44">
        <f>SUMIFS(BB___HK___AMHS__Others[Tax],BB___HK___AMHS__Others[PO No.],AR_725[[#This Row],[tsmc PO '#]],BB___HK___AMHS__Others[Status],"&lt;&gt;Rejected",BB___HK___AMHS__Others[YearMonth],"2024-08")</f>
        <v>0</v>
      </c>
      <c r="CS301" s="62">
        <f>SUMIFS(BB___HK___AMHS__Others[AR Amount],BB___HK___AMHS__Others[PO No.],AR_725[[#This Row],[tsmc PO '#]],BB___HK___AMHS__Others[Status],"&lt;&gt;Rejected",BB___HK___AMHS__Others[YearMonth],"2024-09")</f>
        <v>651978.55000000005</v>
      </c>
      <c r="CT301" s="601">
        <f>SUMIFS(BB___HK___AMHS__Others[Tax],BB___HK___AMHS__Others[PO No.],AR_725[[#This Row],[tsmc PO '#]],BB___HK___AMHS__Others[Status],"&lt;&gt;Rejected",BB___HK___AMHS__Others[YearMonth],"2024-09")</f>
        <v>0</v>
      </c>
    </row>
    <row r="302" spans="1:98" ht="15" customHeight="1">
      <c r="A302" s="30" t="s">
        <v>18</v>
      </c>
      <c r="B302" s="30" t="s">
        <v>2041</v>
      </c>
      <c r="D302" s="50"/>
      <c r="E302" s="604" t="s">
        <v>2109</v>
      </c>
      <c r="F302" s="50" t="s">
        <v>2314</v>
      </c>
      <c r="G302" s="50" t="s">
        <v>830</v>
      </c>
      <c r="H302" s="50">
        <v>20230315002</v>
      </c>
      <c r="I302" s="30" t="s">
        <v>834</v>
      </c>
      <c r="J302" s="30" t="s">
        <v>831</v>
      </c>
      <c r="K302" s="62">
        <v>3677257.57</v>
      </c>
      <c r="L302" s="30"/>
      <c r="M302" s="50" t="s">
        <v>2315</v>
      </c>
      <c r="N302" s="87"/>
      <c r="O302" s="30" t="s">
        <v>2316</v>
      </c>
      <c r="P30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2137999.73</v>
      </c>
      <c r="Q30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0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1369843.71</v>
      </c>
      <c r="S302" s="72">
        <f>IF(AR_725[[#This Row],[PO Amount]]=0,1,AR_725[[#This Row],[Total AR (Sent)]]/AR_725[[#This Row],[PO Amount]])</f>
        <v>0.58141147017884853</v>
      </c>
      <c r="T302" s="73">
        <f>AR_725[[#This Row],[PO Amount]]-AR_725[[#This Row],[Total AR (Sent)]]</f>
        <v>1539257.8399999999</v>
      </c>
      <c r="AR302" s="84"/>
      <c r="AT302" s="79"/>
      <c r="AU302" s="40"/>
      <c r="AV302" s="85"/>
      <c r="AX302" s="79"/>
      <c r="AZ302" s="79"/>
      <c r="BB302" s="79"/>
      <c r="BL302" s="79"/>
      <c r="BY302" s="30"/>
      <c r="BZ302" s="40"/>
      <c r="CE302" s="117"/>
      <c r="CF302" s="128"/>
      <c r="CG302" s="122"/>
      <c r="CI302" s="125">
        <v>1097529.92</v>
      </c>
      <c r="CJ302" s="30"/>
      <c r="CK302" s="125">
        <v>149580.24</v>
      </c>
      <c r="CL302" s="122">
        <v>0</v>
      </c>
      <c r="CM302" s="122">
        <v>518213.85</v>
      </c>
      <c r="CN302" s="122">
        <v>0</v>
      </c>
      <c r="CO302" s="34">
        <f>SUMIFS(BB___HK___AMHS__Others[AR Amount],BB___HK___AMHS__Others[PO No.],AR_725[[#This Row],[tsmc PO '#]],BB___HK___AMHS__Others[Status],"&lt;&gt;Rejected",BB___HK___AMHS__Others[YearMonth],"2024-07")</f>
        <v>170909.62</v>
      </c>
      <c r="CP302" s="122">
        <f>SUMIFS(BB___HK___AMHS__Others[Tax],BB___HK___AMHS__Others[PO No.],AR_725[[#This Row],[tsmc PO '#]],BB___HK___AMHS__Others[Status],"&lt;&gt;Rejected",BB___HK___AMHS__Others[YearMonth],"2024-07")</f>
        <v>0</v>
      </c>
      <c r="CQ302" s="42">
        <f>SUMIFS(BB___HK___AMHS__Others[AR Amount],BB___HK___AMHS__Others[PO No.],AR_725[[#This Row],[tsmc PO '#]],BB___HK___AMHS__Others[Status],"&lt;&gt;Rejected",BB___HK___AMHS__Others[YearMonth],"2024-08")</f>
        <v>122733.55</v>
      </c>
      <c r="CR302" s="44">
        <f>SUMIFS(BB___HK___AMHS__Others[Tax],BB___HK___AMHS__Others[PO No.],AR_725[[#This Row],[tsmc PO '#]],BB___HK___AMHS__Others[Status],"&lt;&gt;Rejected",BB___HK___AMHS__Others[YearMonth],"2024-08")</f>
        <v>0</v>
      </c>
      <c r="CS302" s="62">
        <v>79032.55</v>
      </c>
      <c r="CT302" s="601">
        <f>SUMIFS(BB___HK___AMHS__Others[Tax],BB___HK___AMHS__Others[PO No.],AR_725[[#This Row],[tsmc PO '#]],BB___HK___AMHS__Others[Status],"&lt;&gt;Rejected",BB___HK___AMHS__Others[YearMonth],"2024-09")</f>
        <v>0</v>
      </c>
    </row>
    <row r="303" spans="1:98" ht="15" hidden="1" customHeight="1">
      <c r="A303" s="30" t="s">
        <v>9</v>
      </c>
      <c r="B303" s="30" t="s">
        <v>2041</v>
      </c>
      <c r="D303" s="50" t="s">
        <v>1720</v>
      </c>
      <c r="E303" s="48" t="s">
        <v>2060</v>
      </c>
      <c r="F303" s="50"/>
      <c r="G303" s="50" t="s">
        <v>2317</v>
      </c>
      <c r="H303" s="50" t="s">
        <v>2318</v>
      </c>
      <c r="I303" s="30" t="s">
        <v>1405</v>
      </c>
      <c r="J303" s="30" t="s">
        <v>2319</v>
      </c>
      <c r="K303" s="62">
        <v>38207.339999999997</v>
      </c>
      <c r="L303" s="30"/>
      <c r="N303" s="87"/>
      <c r="P30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19103.669999999998</v>
      </c>
      <c r="Q30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19103.669999999998</v>
      </c>
      <c r="R30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03" s="72">
        <f>IF(AR_725[[#This Row],[PO Amount]]=0,1,AR_725[[#This Row],[Total AR (Sent)]]/AR_725[[#This Row],[PO Amount]])</f>
        <v>0.5</v>
      </c>
      <c r="T303" s="73">
        <f>AR_725[[#This Row],[PO Amount]]-AR_725[[#This Row],[Total AR (Sent)]]</f>
        <v>19103.669999999998</v>
      </c>
      <c r="AR303" s="84"/>
      <c r="AT303" s="79"/>
      <c r="AU303" s="34"/>
      <c r="AV303" s="85"/>
      <c r="AX303" s="79"/>
      <c r="AZ303" s="79"/>
      <c r="BB303" s="79"/>
      <c r="BL303" s="79"/>
      <c r="BY303" s="30">
        <v>19103.669999999998</v>
      </c>
      <c r="BZ303" s="40"/>
      <c r="CG303" s="122"/>
      <c r="CI303" s="122"/>
      <c r="CJ303" s="30"/>
      <c r="CK303" s="122">
        <v>0</v>
      </c>
      <c r="CL303" s="122">
        <v>0</v>
      </c>
      <c r="CM303" s="122">
        <v>0</v>
      </c>
      <c r="CN303" s="122">
        <v>0</v>
      </c>
      <c r="CO303" s="122">
        <f>SUMIFS(BB___HK___AMHS__Others[AR Amount],BB___HK___AMHS__Others[PO No.],AR_725[[#This Row],[tsmc PO '#]],BB___HK___AMHS__Others[Status],"&lt;&gt;Rejected",BB___HK___AMHS__Others[YearMonth],"2024-07")</f>
        <v>0</v>
      </c>
      <c r="CP303" s="122">
        <f>SUMIFS(BB___HK___AMHS__Others[Tax],BB___HK___AMHS__Others[PO No.],AR_725[[#This Row],[tsmc PO '#]],BB___HK___AMHS__Others[Status],"&lt;&gt;Rejected",BB___HK___AMHS__Others[YearMonth],"2024-07")</f>
        <v>0</v>
      </c>
      <c r="CQ303" s="34">
        <f>SUMIFS(BB___HK___AMHS__Others[AR Amount],BB___HK___AMHS__Others[PO No.],AR_725[[#This Row],[tsmc PO '#]],BB___HK___AMHS__Others[Status],"&lt;&gt;Rejected",BB___HK___AMHS__Others[YearMonth],"2024-08")</f>
        <v>0</v>
      </c>
      <c r="CR303" s="44">
        <f>SUMIFS(BB___HK___AMHS__Others[Tax],BB___HK___AMHS__Others[PO No.],AR_725[[#This Row],[tsmc PO '#]],BB___HK___AMHS__Others[Status],"&lt;&gt;Rejected",BB___HK___AMHS__Others[YearMonth],"2024-08")</f>
        <v>0</v>
      </c>
      <c r="CS303" s="62">
        <f>SUMIFS(BB___HK___AMHS__Others[AR Amount],BB___HK___AMHS__Others[PO No.],AR_725[[#This Row],[tsmc PO '#]],BB___HK___AMHS__Others[Status],"&lt;&gt;Rejected",BB___HK___AMHS__Others[YearMonth],"2024-09")</f>
        <v>0</v>
      </c>
      <c r="CT303" s="601">
        <f>SUMIFS(BB___HK___AMHS__Others[Tax],BB___HK___AMHS__Others[PO No.],AR_725[[#This Row],[tsmc PO '#]],BB___HK___AMHS__Others[Status],"&lt;&gt;Rejected",BB___HK___AMHS__Others[YearMonth],"2024-09")</f>
        <v>0</v>
      </c>
    </row>
    <row r="304" spans="1:98" ht="15" hidden="1" customHeight="1">
      <c r="A304" s="30" t="s">
        <v>18</v>
      </c>
      <c r="B304" s="30" t="s">
        <v>2041</v>
      </c>
      <c r="D304" s="50"/>
      <c r="E304" s="50" t="s">
        <v>2209</v>
      </c>
      <c r="F304" s="50"/>
      <c r="G304" s="50" t="s">
        <v>237</v>
      </c>
      <c r="H304" s="50" t="s">
        <v>827</v>
      </c>
      <c r="I304" s="30" t="s">
        <v>240</v>
      </c>
      <c r="J304" s="30" t="s">
        <v>828</v>
      </c>
      <c r="K304" s="62">
        <v>20280.25</v>
      </c>
      <c r="L304" s="30"/>
      <c r="N304" s="87"/>
      <c r="P30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20280.25</v>
      </c>
      <c r="Q30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20280.25</v>
      </c>
      <c r="R30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20280.25</v>
      </c>
      <c r="S304" s="72">
        <f>IF(AR_725[[#This Row],[PO Amount]]=0,1,AR_725[[#This Row],[Total AR (Sent)]]/AR_725[[#This Row],[PO Amount]])</f>
        <v>1</v>
      </c>
      <c r="T304" s="73">
        <f>AR_725[[#This Row],[PO Amount]]-AR_725[[#This Row],[Total AR (Sent)]]</f>
        <v>0</v>
      </c>
      <c r="AR304" s="84"/>
      <c r="AT304" s="79"/>
      <c r="AU304" s="34"/>
      <c r="AV304" s="85"/>
      <c r="AX304" s="79"/>
      <c r="AZ304" s="79"/>
      <c r="BB304" s="79"/>
      <c r="BL304" s="79"/>
      <c r="BY304" s="30"/>
      <c r="BZ304" s="40"/>
      <c r="CE304" s="132">
        <v>20280.25</v>
      </c>
      <c r="CG304" s="122"/>
      <c r="CI304" s="122"/>
      <c r="CJ304" s="30"/>
      <c r="CK304" s="122">
        <v>0</v>
      </c>
      <c r="CL304" s="122">
        <v>0</v>
      </c>
      <c r="CM304" s="122">
        <v>0</v>
      </c>
      <c r="CN304" s="122">
        <v>0</v>
      </c>
      <c r="CO304" s="122">
        <f>SUMIFS(BB___HK___AMHS__Others[AR Amount],BB___HK___AMHS__Others[PO No.],AR_725[[#This Row],[tsmc PO '#]],BB___HK___AMHS__Others[Status],"&lt;&gt;Rejected",BB___HK___AMHS__Others[YearMonth],"2024-07")</f>
        <v>0</v>
      </c>
      <c r="CP304" s="122">
        <f>SUMIFS(BB___HK___AMHS__Others[Tax],BB___HK___AMHS__Others[PO No.],AR_725[[#This Row],[tsmc PO '#]],BB___HK___AMHS__Others[Status],"&lt;&gt;Rejected",BB___HK___AMHS__Others[YearMonth],"2024-07")</f>
        <v>0</v>
      </c>
      <c r="CQ304" s="34">
        <f>SUMIFS(BB___HK___AMHS__Others[AR Amount],BB___HK___AMHS__Others[PO No.],AR_725[[#This Row],[tsmc PO '#]],BB___HK___AMHS__Others[Status],"&lt;&gt;Rejected",BB___HK___AMHS__Others[YearMonth],"2024-08")</f>
        <v>0</v>
      </c>
      <c r="CR304" s="44">
        <f>SUMIFS(BB___HK___AMHS__Others[Tax],BB___HK___AMHS__Others[PO No.],AR_725[[#This Row],[tsmc PO '#]],BB___HK___AMHS__Others[Status],"&lt;&gt;Rejected",BB___HK___AMHS__Others[YearMonth],"2024-08")</f>
        <v>0</v>
      </c>
      <c r="CS304" s="62">
        <f>SUMIFS(BB___HK___AMHS__Others[AR Amount],BB___HK___AMHS__Others[PO No.],AR_725[[#This Row],[tsmc PO '#]],BB___HK___AMHS__Others[Status],"&lt;&gt;Rejected",BB___HK___AMHS__Others[YearMonth],"2024-09")</f>
        <v>0</v>
      </c>
      <c r="CT304" s="601">
        <f>SUMIFS(BB___HK___AMHS__Others[Tax],BB___HK___AMHS__Others[PO No.],AR_725[[#This Row],[tsmc PO '#]],BB___HK___AMHS__Others[Status],"&lt;&gt;Rejected",BB___HK___AMHS__Others[YearMonth],"2024-09")</f>
        <v>0</v>
      </c>
    </row>
    <row r="305" spans="1:98" ht="15" hidden="1" customHeight="1">
      <c r="A305" s="30" t="s">
        <v>18</v>
      </c>
      <c r="B305" s="30" t="s">
        <v>2041</v>
      </c>
      <c r="D305" s="50"/>
      <c r="E305" s="57" t="s">
        <v>2095</v>
      </c>
      <c r="F305" s="50"/>
      <c r="G305" s="50" t="s">
        <v>46</v>
      </c>
      <c r="H305" s="50" t="s">
        <v>709</v>
      </c>
      <c r="J305" s="30" t="s">
        <v>710</v>
      </c>
      <c r="K305" s="62">
        <v>1575</v>
      </c>
      <c r="L305" s="30"/>
      <c r="M305" s="50" t="s">
        <v>2224</v>
      </c>
      <c r="N305" s="87"/>
      <c r="O305" s="30" t="s">
        <v>2320</v>
      </c>
      <c r="P30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1575</v>
      </c>
      <c r="Q30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1575</v>
      </c>
      <c r="R30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4662.5</v>
      </c>
      <c r="S305" s="72">
        <f>IF(AR_725[[#This Row],[PO Amount]]=0,1,AR_725[[#This Row],[Total AR (Sent)]]/AR_725[[#This Row],[PO Amount]])</f>
        <v>1</v>
      </c>
      <c r="T305" s="73">
        <f>AR_725[[#This Row],[PO Amount]]-AR_725[[#This Row],[Total AR (Sent)]]</f>
        <v>0</v>
      </c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34"/>
      <c r="AK305" s="40"/>
      <c r="AL305" s="40"/>
      <c r="AM305" s="40"/>
      <c r="AN305" s="40"/>
      <c r="AO305" s="40"/>
      <c r="AP305" s="40"/>
      <c r="AQ305" s="40"/>
      <c r="AR305" s="102"/>
      <c r="AS305" s="40"/>
      <c r="AT305" s="44"/>
      <c r="AU305" s="40"/>
      <c r="AV305" s="83"/>
      <c r="AW305" s="40"/>
      <c r="AX305" s="44"/>
      <c r="AY305" s="40"/>
      <c r="AZ305" s="44"/>
      <c r="BA305" s="40"/>
      <c r="BB305" s="44"/>
      <c r="BC305" s="40"/>
      <c r="BD305" s="40"/>
      <c r="BE305" s="40"/>
      <c r="BF305" s="40"/>
      <c r="BG305" s="40"/>
      <c r="BH305" s="40"/>
      <c r="BI305" s="40"/>
      <c r="BJ305" s="40"/>
      <c r="BK305" s="40"/>
      <c r="BL305" s="44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  <c r="BW305" s="40"/>
      <c r="BX305" s="40"/>
      <c r="BZ305" s="40"/>
      <c r="CA305" s="47">
        <v>1575</v>
      </c>
      <c r="CB305" s="34"/>
      <c r="CC305" s="34"/>
      <c r="CD305" s="34"/>
      <c r="CE305" s="34"/>
      <c r="CF305" s="34"/>
      <c r="CG305" s="122"/>
      <c r="CI305" s="122"/>
      <c r="CJ305" s="30"/>
      <c r="CK305" s="122">
        <v>0</v>
      </c>
      <c r="CL305" s="122">
        <v>0</v>
      </c>
      <c r="CM305" s="122">
        <v>0</v>
      </c>
      <c r="CN305" s="122">
        <v>0</v>
      </c>
      <c r="CO305" s="122">
        <f>SUMIFS(BB___HK___AMHS__Others[AR Amount],BB___HK___AMHS__Others[PO No.],AR_725[[#This Row],[tsmc PO '#]],BB___HK___AMHS__Others[Status],"&lt;&gt;Rejected",BB___HK___AMHS__Others[YearMonth],"2024-07")</f>
        <v>0</v>
      </c>
      <c r="CP305" s="122">
        <f>SUMIFS(BB___HK___AMHS__Others[Tax],BB___HK___AMHS__Others[PO No.],AR_725[[#This Row],[tsmc PO '#]],BB___HK___AMHS__Others[Status],"&lt;&gt;Rejected",BB___HK___AMHS__Others[YearMonth],"2024-07")</f>
        <v>0</v>
      </c>
      <c r="CQ305" s="34">
        <f>SUMIFS(BB___HK___AMHS__Others[AR Amount],BB___HK___AMHS__Others[PO No.],AR_725[[#This Row],[tsmc PO '#]],BB___HK___AMHS__Others[Status],"&lt;&gt;Rejected",BB___HK___AMHS__Others[YearMonth],"2024-08")</f>
        <v>0</v>
      </c>
      <c r="CR305" s="44">
        <f>SUMIFS(BB___HK___AMHS__Others[Tax],BB___HK___AMHS__Others[PO No.],AR_725[[#This Row],[tsmc PO '#]],BB___HK___AMHS__Others[Status],"&lt;&gt;Rejected",BB___HK___AMHS__Others[YearMonth],"2024-08")</f>
        <v>0</v>
      </c>
      <c r="CS305" s="62">
        <f>SUMIFS(BB___HK___AMHS__Others[AR Amount],BB___HK___AMHS__Others[PO No.],AR_725[[#This Row],[tsmc PO '#]],BB___HK___AMHS__Others[Status],"&lt;&gt;Rejected",BB___HK___AMHS__Others[YearMonth],"2024-09")</f>
        <v>0</v>
      </c>
      <c r="CT305" s="601">
        <f>SUMIFS(BB___HK___AMHS__Others[Tax],BB___HK___AMHS__Others[PO No.],AR_725[[#This Row],[tsmc PO '#]],BB___HK___AMHS__Others[Status],"&lt;&gt;Rejected",BB___HK___AMHS__Others[YearMonth],"2024-09")</f>
        <v>0</v>
      </c>
    </row>
    <row r="306" spans="1:98" ht="15" hidden="1" customHeight="1">
      <c r="A306" s="30" t="s">
        <v>9</v>
      </c>
      <c r="B306" s="30" t="s">
        <v>2041</v>
      </c>
      <c r="D306" s="50"/>
      <c r="E306" s="50"/>
      <c r="F306" s="50"/>
      <c r="G306" s="50" t="s">
        <v>237</v>
      </c>
      <c r="H306" s="50" t="s">
        <v>1637</v>
      </c>
      <c r="I306" s="30" t="s">
        <v>240</v>
      </c>
      <c r="J306" s="30" t="s">
        <v>1638</v>
      </c>
      <c r="K306" s="62">
        <v>65616.7</v>
      </c>
      <c r="N306" s="87"/>
      <c r="P30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65616.7</v>
      </c>
      <c r="Q30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0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65616.7</v>
      </c>
      <c r="S306" s="72">
        <f>IF(AR_725[[#This Row],[PO Amount]]=0,1,AR_725[[#This Row],[Total AR (Sent)]]/AR_725[[#This Row],[PO Amount]])</f>
        <v>1</v>
      </c>
      <c r="T306" s="73">
        <f>AR_725[[#This Row],[PO Amount]]-AR_725[[#This Row],[Total AR (Sent)]]</f>
        <v>0</v>
      </c>
      <c r="AR306" s="84"/>
      <c r="AT306" s="44"/>
      <c r="AV306" s="85"/>
      <c r="AX306" s="79"/>
      <c r="AZ306" s="79"/>
      <c r="BB306" s="79"/>
      <c r="BL306" s="79"/>
      <c r="CG306" s="122"/>
      <c r="CI306" s="122"/>
      <c r="CK306" s="122"/>
      <c r="CL306" s="122">
        <v>0</v>
      </c>
      <c r="CM306" s="122">
        <v>0</v>
      </c>
      <c r="CN306" s="122">
        <v>0</v>
      </c>
      <c r="CO306" s="34">
        <f>SUMIFS(BB___HK___AMHS__Others[AR Amount],BB___HK___AMHS__Others[PO No.],AR_725[[#This Row],[tsmc PO '#]],BB___HK___AMHS__Others[Status],"&lt;&gt;Rejected",BB___HK___AMHS__Others[YearMonth],"2024-07")</f>
        <v>0</v>
      </c>
      <c r="CP306" s="122">
        <f>SUMIFS(BB___HK___AMHS__Others[Tax],BB___HK___AMHS__Others[PO No.],AR_725[[#This Row],[tsmc PO '#]],BB___HK___AMHS__Others[Status],"&lt;&gt;Rejected",BB___HK___AMHS__Others[YearMonth],"2024-07")</f>
        <v>0</v>
      </c>
      <c r="CQ306" s="42">
        <f>SUMIFS(BB___HK___AMHS__Others[AR Amount],BB___HK___AMHS__Others[PO No.],AR_725[[#This Row],[tsmc PO '#]],BB___HK___AMHS__Others[Status],"&lt;&gt;Rejected",BB___HK___AMHS__Others[YearMonth],"2024-08")</f>
        <v>65616.7</v>
      </c>
      <c r="CR306" s="44">
        <f>SUMIFS(BB___HK___AMHS__Others[Tax],BB___HK___AMHS__Others[PO No.],AR_725[[#This Row],[tsmc PO '#]],BB___HK___AMHS__Others[Status],"&lt;&gt;Rejected",BB___HK___AMHS__Others[YearMonth],"2024-08")</f>
        <v>0</v>
      </c>
      <c r="CS306" s="62">
        <f>SUMIFS(BB___HK___AMHS__Others[AR Amount],BB___HK___AMHS__Others[PO No.],AR_725[[#This Row],[tsmc PO '#]],BB___HK___AMHS__Others[Status],"&lt;&gt;Rejected",BB___HK___AMHS__Others[YearMonth],"2024-09")</f>
        <v>0</v>
      </c>
      <c r="CT306" s="601">
        <f>SUMIFS(BB___HK___AMHS__Others[Tax],BB___HK___AMHS__Others[PO No.],AR_725[[#This Row],[tsmc PO '#]],BB___HK___AMHS__Others[Status],"&lt;&gt;Rejected",BB___HK___AMHS__Others[YearMonth],"2024-09")</f>
        <v>0</v>
      </c>
    </row>
    <row r="307" spans="1:98" ht="15" hidden="1" customHeight="1">
      <c r="A307" s="30" t="s">
        <v>18</v>
      </c>
      <c r="B307" s="30" t="s">
        <v>2041</v>
      </c>
      <c r="D307" s="50"/>
      <c r="E307" s="48"/>
      <c r="F307" s="48"/>
      <c r="G307" s="48" t="s">
        <v>237</v>
      </c>
      <c r="H307" s="50" t="s">
        <v>238</v>
      </c>
      <c r="I307" s="30" t="s">
        <v>240</v>
      </c>
      <c r="J307" s="30" t="s">
        <v>239</v>
      </c>
      <c r="K307" s="41">
        <v>1115500</v>
      </c>
      <c r="L307" s="30"/>
      <c r="M307" s="86"/>
      <c r="N307" s="87"/>
      <c r="P30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1097244.0999999999</v>
      </c>
      <c r="Q30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1035322.85</v>
      </c>
      <c r="R30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1097244.0999999999</v>
      </c>
      <c r="S307" s="72">
        <f>IF(AR_725[[#This Row],[PO Amount]]=0,1,AR_725[[#This Row],[Total AR (Sent)]]/AR_725[[#This Row],[PO Amount]])</f>
        <v>0.983634334379202</v>
      </c>
      <c r="T307" s="39">
        <f>AR_725[[#This Row],[PO Amount]]-AR_725[[#This Row],[Total AR (Sent)]]</f>
        <v>18255.90000000014</v>
      </c>
      <c r="U307" s="40"/>
      <c r="V307" s="40"/>
      <c r="W307" s="41"/>
      <c r="X307" s="41"/>
      <c r="Y307" s="41"/>
      <c r="Z307" s="41"/>
      <c r="AA307" s="41"/>
      <c r="AB307" s="40"/>
      <c r="AC307" s="40"/>
      <c r="AD307" s="40"/>
      <c r="AE307" s="41"/>
      <c r="AF307" s="41"/>
      <c r="AG307" s="41"/>
      <c r="AH307" s="41"/>
      <c r="AI307" s="34"/>
      <c r="AJ307" s="34"/>
      <c r="AK307" s="34"/>
      <c r="AL307" s="34"/>
      <c r="AM307" s="34"/>
      <c r="AN307" s="34"/>
      <c r="AO307" s="34"/>
      <c r="AP307" s="34"/>
      <c r="AQ307" s="34"/>
      <c r="AR307" s="102"/>
      <c r="AS307" s="34"/>
      <c r="AT307" s="44"/>
      <c r="AU307" s="34"/>
      <c r="AV307" s="83"/>
      <c r="AW307" s="34"/>
      <c r="AX307" s="44"/>
      <c r="AY307" s="42">
        <v>157620</v>
      </c>
      <c r="AZ307" s="44"/>
      <c r="BA307" s="42">
        <f>36581+29089</f>
        <v>65670</v>
      </c>
      <c r="BB307" s="44"/>
      <c r="BC307" s="42">
        <v>71446</v>
      </c>
      <c r="BD307" s="41"/>
      <c r="BE307" s="42">
        <v>94071</v>
      </c>
      <c r="BF307" s="34"/>
      <c r="BG307" s="34"/>
      <c r="BH307" s="34"/>
      <c r="BI307" s="34"/>
      <c r="BJ307" s="34"/>
      <c r="BK307" s="42">
        <v>337890</v>
      </c>
      <c r="BL307" s="44"/>
      <c r="BM307" s="42">
        <v>123971.61</v>
      </c>
      <c r="BN307" s="34"/>
      <c r="BO307" s="34"/>
      <c r="BP307" s="34"/>
      <c r="BQ307" s="47">
        <v>102161.4</v>
      </c>
      <c r="BR307" s="40"/>
      <c r="BS307" s="34"/>
      <c r="BT307" s="40"/>
      <c r="BU307" s="42">
        <v>45275.27</v>
      </c>
      <c r="BV307" s="40"/>
      <c r="BW307" s="34"/>
      <c r="BX307" s="34"/>
      <c r="BY307" s="34"/>
      <c r="BZ307" s="40"/>
      <c r="CA307" s="40"/>
      <c r="CB307" s="34"/>
      <c r="CC307" s="42">
        <v>37217.57</v>
      </c>
      <c r="CD307" s="34"/>
      <c r="CE307" s="34"/>
      <c r="CF307" s="34"/>
      <c r="CG307" s="122"/>
      <c r="CI307" s="125">
        <v>32001.85</v>
      </c>
      <c r="CJ307" s="30"/>
      <c r="CK307" s="125">
        <v>29919.4</v>
      </c>
      <c r="CL307" s="122">
        <v>0</v>
      </c>
      <c r="CM307" s="122">
        <v>0</v>
      </c>
      <c r="CN307" s="122">
        <v>0</v>
      </c>
      <c r="CO307" s="122">
        <f>SUMIFS(BB___HK___AMHS__Others[AR Amount],BB___HK___AMHS__Others[PO No.],AR_725[[#This Row],[tsmc PO '#]],BB___HK___AMHS__Others[Status],"&lt;&gt;Rejected",BB___HK___AMHS__Others[YearMonth],"2024-07")</f>
        <v>0</v>
      </c>
      <c r="CP307" s="122">
        <f>SUMIFS(BB___HK___AMHS__Others[Tax],BB___HK___AMHS__Others[PO No.],AR_725[[#This Row],[tsmc PO '#]],BB___HK___AMHS__Others[Status],"&lt;&gt;Rejected",BB___HK___AMHS__Others[YearMonth],"2024-07")</f>
        <v>0</v>
      </c>
      <c r="CQ307" s="34">
        <f>SUMIFS(BB___HK___AMHS__Others[AR Amount],BB___HK___AMHS__Others[PO No.],AR_725[[#This Row],[tsmc PO '#]],BB___HK___AMHS__Others[Status],"&lt;&gt;Rejected",BB___HK___AMHS__Others[YearMonth],"2024-08")</f>
        <v>0</v>
      </c>
      <c r="CR307" s="44">
        <f>SUMIFS(BB___HK___AMHS__Others[Tax],BB___HK___AMHS__Others[PO No.],AR_725[[#This Row],[tsmc PO '#]],BB___HK___AMHS__Others[Status],"&lt;&gt;Rejected",BB___HK___AMHS__Others[YearMonth],"2024-08")</f>
        <v>0</v>
      </c>
      <c r="CS307" s="62">
        <f>SUMIFS(BB___HK___AMHS__Others[AR Amount],BB___HK___AMHS__Others[PO No.],AR_725[[#This Row],[tsmc PO '#]],BB___HK___AMHS__Others[Status],"&lt;&gt;Rejected",BB___HK___AMHS__Others[YearMonth],"2024-09")</f>
        <v>0</v>
      </c>
      <c r="CT307" s="601">
        <f>SUMIFS(BB___HK___AMHS__Others[Tax],BB___HK___AMHS__Others[PO No.],AR_725[[#This Row],[tsmc PO '#]],BB___HK___AMHS__Others[Status],"&lt;&gt;Rejected",BB___HK___AMHS__Others[YearMonth],"2024-09")</f>
        <v>0</v>
      </c>
    </row>
    <row r="308" spans="1:98" ht="15" hidden="1" customHeight="1">
      <c r="A308" s="30" t="s">
        <v>18</v>
      </c>
      <c r="B308" s="30" t="s">
        <v>2041</v>
      </c>
      <c r="D308" s="50"/>
      <c r="E308" s="48"/>
      <c r="F308" s="48"/>
      <c r="G308" s="64" t="s">
        <v>2321</v>
      </c>
      <c r="H308" s="50" t="s">
        <v>364</v>
      </c>
      <c r="I308" s="30" t="s">
        <v>310</v>
      </c>
      <c r="J308" s="30" t="s">
        <v>365</v>
      </c>
      <c r="K308" s="62">
        <v>3446.08</v>
      </c>
      <c r="L308" s="30"/>
      <c r="M308" s="86"/>
      <c r="N308" s="87"/>
      <c r="O308" s="88"/>
      <c r="P30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3446.0803999999998</v>
      </c>
      <c r="Q30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3446.0803999999998</v>
      </c>
      <c r="R30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3446.08</v>
      </c>
      <c r="S308" s="72">
        <f>IF(AR_725[[#This Row],[PO Amount]]=0,1,AR_725[[#This Row],[Total AR (Sent)]]/AR_725[[#This Row],[PO Amount]])</f>
        <v>1.0000001160739158</v>
      </c>
      <c r="T308" s="75">
        <f>AR_725[[#This Row],[PO Amount]]-AR_725[[#This Row],[Total AR (Sent)]]</f>
        <v>-3.9999999989959178E-4</v>
      </c>
      <c r="U308" s="40"/>
      <c r="V308" s="40"/>
      <c r="W308" s="46"/>
      <c r="X308" s="46"/>
      <c r="Y308" s="46"/>
      <c r="Z308" s="46"/>
      <c r="AA308" s="46"/>
      <c r="AB308" s="40"/>
      <c r="AC308" s="40"/>
      <c r="AD308" s="40"/>
      <c r="AE308" s="46"/>
      <c r="AF308" s="46"/>
      <c r="AG308" s="46"/>
      <c r="AH308" s="46"/>
      <c r="AI308" s="46"/>
      <c r="AJ308" s="41"/>
      <c r="AK308" s="46"/>
      <c r="AL308" s="46"/>
      <c r="AM308" s="46"/>
      <c r="AN308" s="46"/>
      <c r="AO308" s="46"/>
      <c r="AP308" s="46"/>
      <c r="AQ308" s="46"/>
      <c r="AR308" s="82"/>
      <c r="AS308" s="46"/>
      <c r="AT308" s="83"/>
      <c r="AU308" s="41"/>
      <c r="AV308" s="83"/>
      <c r="AW308" s="41"/>
      <c r="AX308" s="83"/>
      <c r="AY308" s="41"/>
      <c r="AZ308" s="83"/>
      <c r="BA308" s="46"/>
      <c r="BB308" s="83"/>
      <c r="BC308" s="40"/>
      <c r="BD308" s="41"/>
      <c r="BE308" s="46"/>
      <c r="BF308" s="41"/>
      <c r="BG308" s="42">
        <f>ROUND((1539.99+307.06)*1.216,2)</f>
        <v>2246.0100000000002</v>
      </c>
      <c r="BH308" s="99"/>
      <c r="BI308" s="42">
        <f>986.9*1.216</f>
        <v>1200.0703999999998</v>
      </c>
      <c r="BJ308" s="41"/>
      <c r="BK308" s="41"/>
      <c r="BL308" s="83"/>
      <c r="BM308" s="41"/>
      <c r="BN308" s="41"/>
      <c r="BO308" s="46"/>
      <c r="BP308" s="41"/>
      <c r="BQ308" s="46"/>
      <c r="BR308" s="40"/>
      <c r="BS308" s="40"/>
      <c r="BT308" s="40"/>
      <c r="BU308" s="40"/>
      <c r="BV308" s="40"/>
      <c r="BW308" s="40"/>
      <c r="BX308" s="34"/>
      <c r="BZ308" s="40"/>
      <c r="CA308" s="40"/>
      <c r="CB308" s="34"/>
      <c r="CC308" s="34"/>
      <c r="CD308" s="34"/>
      <c r="CE308" s="34"/>
      <c r="CF308" s="34"/>
      <c r="CG308" s="122"/>
      <c r="CI308" s="122"/>
      <c r="CJ308" s="30"/>
      <c r="CK308" s="122">
        <v>0</v>
      </c>
      <c r="CL308" s="122">
        <v>0</v>
      </c>
      <c r="CM308" s="122">
        <v>0</v>
      </c>
      <c r="CN308" s="122">
        <v>0</v>
      </c>
      <c r="CO308" s="122">
        <f>SUMIFS(BB___HK___AMHS__Others[AR Amount],BB___HK___AMHS__Others[PO No.],AR_725[[#This Row],[tsmc PO '#]],BB___HK___AMHS__Others[Status],"&lt;&gt;Rejected",BB___HK___AMHS__Others[YearMonth],"2024-07")</f>
        <v>0</v>
      </c>
      <c r="CP308" s="122">
        <f>SUMIFS(BB___HK___AMHS__Others[Tax],BB___HK___AMHS__Others[PO No.],AR_725[[#This Row],[tsmc PO '#]],BB___HK___AMHS__Others[Status],"&lt;&gt;Rejected",BB___HK___AMHS__Others[YearMonth],"2024-07")</f>
        <v>0</v>
      </c>
      <c r="CQ308" s="34">
        <f>SUMIFS(BB___HK___AMHS__Others[AR Amount],BB___HK___AMHS__Others[PO No.],AR_725[[#This Row],[tsmc PO '#]],BB___HK___AMHS__Others[Status],"&lt;&gt;Rejected",BB___HK___AMHS__Others[YearMonth],"2024-08")</f>
        <v>0</v>
      </c>
      <c r="CR308" s="44">
        <f>SUMIFS(BB___HK___AMHS__Others[Tax],BB___HK___AMHS__Others[PO No.],AR_725[[#This Row],[tsmc PO '#]],BB___HK___AMHS__Others[Status],"&lt;&gt;Rejected",BB___HK___AMHS__Others[YearMonth],"2024-08")</f>
        <v>0</v>
      </c>
      <c r="CS308" s="62">
        <f>SUMIFS(BB___HK___AMHS__Others[AR Amount],BB___HK___AMHS__Others[PO No.],AR_725[[#This Row],[tsmc PO '#]],BB___HK___AMHS__Others[Status],"&lt;&gt;Rejected",BB___HK___AMHS__Others[YearMonth],"2024-09")</f>
        <v>0</v>
      </c>
      <c r="CT308" s="601">
        <f>SUMIFS(BB___HK___AMHS__Others[Tax],BB___HK___AMHS__Others[PO No.],AR_725[[#This Row],[tsmc PO '#]],BB___HK___AMHS__Others[Status],"&lt;&gt;Rejected",BB___HK___AMHS__Others[YearMonth],"2024-09")</f>
        <v>0</v>
      </c>
    </row>
    <row r="309" spans="1:98" ht="15" hidden="1" customHeight="1">
      <c r="A309" s="30" t="s">
        <v>18</v>
      </c>
      <c r="B309" s="30" t="s">
        <v>2041</v>
      </c>
      <c r="D309" s="50"/>
      <c r="E309" s="57" t="s">
        <v>2171</v>
      </c>
      <c r="F309" s="48"/>
      <c r="G309" s="63" t="s">
        <v>2321</v>
      </c>
      <c r="H309" s="50" t="s">
        <v>366</v>
      </c>
      <c r="I309" s="30" t="s">
        <v>310</v>
      </c>
      <c r="J309" s="30" t="s">
        <v>367</v>
      </c>
      <c r="K309" s="62">
        <v>1929.25</v>
      </c>
      <c r="L309" s="30"/>
      <c r="M309" s="86"/>
      <c r="N309" s="87"/>
      <c r="O309" s="88"/>
      <c r="P30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1929.25</v>
      </c>
      <c r="Q30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1929.25</v>
      </c>
      <c r="R30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1929.25</v>
      </c>
      <c r="S309" s="72">
        <f>IF(AR_725[[#This Row],[PO Amount]]=0,1,AR_725[[#This Row],[Total AR (Sent)]]/AR_725[[#This Row],[PO Amount]])</f>
        <v>1</v>
      </c>
      <c r="T309" s="75">
        <f>AR_725[[#This Row],[PO Amount]]-AR_725[[#This Row],[Total AR (Sent)]]</f>
        <v>0</v>
      </c>
      <c r="U309" s="40"/>
      <c r="V309" s="40"/>
      <c r="W309" s="46"/>
      <c r="X309" s="46"/>
      <c r="Y309" s="46"/>
      <c r="Z309" s="46"/>
      <c r="AA309" s="46"/>
      <c r="AB309" s="40"/>
      <c r="AC309" s="40"/>
      <c r="AD309" s="40"/>
      <c r="AE309" s="46"/>
      <c r="AF309" s="46"/>
      <c r="AG309" s="46"/>
      <c r="AH309" s="46"/>
      <c r="AI309" s="46"/>
      <c r="AJ309" s="41"/>
      <c r="AK309" s="46"/>
      <c r="AL309" s="46"/>
      <c r="AM309" s="46"/>
      <c r="AN309" s="46"/>
      <c r="AO309" s="46"/>
      <c r="AP309" s="46"/>
      <c r="AQ309" s="46"/>
      <c r="AR309" s="82"/>
      <c r="AS309" s="46"/>
      <c r="AT309" s="83"/>
      <c r="AU309" s="41"/>
      <c r="AV309" s="83"/>
      <c r="AW309" s="41"/>
      <c r="AX309" s="83"/>
      <c r="AY309" s="41"/>
      <c r="AZ309" s="83"/>
      <c r="BA309" s="46"/>
      <c r="BB309" s="83"/>
      <c r="BC309" s="40"/>
      <c r="BD309" s="41"/>
      <c r="BE309" s="46"/>
      <c r="BF309" s="41"/>
      <c r="BG309" s="42">
        <v>1929.25</v>
      </c>
      <c r="BH309" s="99"/>
      <c r="BI309" s="99"/>
      <c r="BJ309" s="41"/>
      <c r="BK309" s="41"/>
      <c r="BL309" s="83"/>
      <c r="BM309" s="41"/>
      <c r="BN309" s="41"/>
      <c r="BO309" s="46"/>
      <c r="BP309" s="41"/>
      <c r="BQ309" s="46"/>
      <c r="BR309" s="40"/>
      <c r="BS309" s="40"/>
      <c r="BT309" s="40"/>
      <c r="BU309" s="40"/>
      <c r="BV309" s="40"/>
      <c r="BW309" s="40"/>
      <c r="BX309" s="34"/>
      <c r="BZ309" s="40"/>
      <c r="CA309" s="40"/>
      <c r="CB309" s="34"/>
      <c r="CC309" s="34"/>
      <c r="CD309" s="34"/>
      <c r="CE309" s="34"/>
      <c r="CF309" s="34"/>
      <c r="CG309" s="122"/>
      <c r="CI309" s="127"/>
      <c r="CJ309" s="71"/>
      <c r="CK309" s="122">
        <v>0</v>
      </c>
      <c r="CL309" s="122">
        <v>0</v>
      </c>
      <c r="CM309" s="122">
        <v>0</v>
      </c>
      <c r="CN309" s="122">
        <v>0</v>
      </c>
      <c r="CO309" s="122">
        <f>SUMIFS(BB___HK___AMHS__Others[AR Amount],BB___HK___AMHS__Others[PO No.],AR_725[[#This Row],[tsmc PO '#]],BB___HK___AMHS__Others[Status],"&lt;&gt;Rejected",BB___HK___AMHS__Others[YearMonth],"2024-07")</f>
        <v>0</v>
      </c>
      <c r="CP309" s="122">
        <f>SUMIFS(BB___HK___AMHS__Others[Tax],BB___HK___AMHS__Others[PO No.],AR_725[[#This Row],[tsmc PO '#]],BB___HK___AMHS__Others[Status],"&lt;&gt;Rejected",BB___HK___AMHS__Others[YearMonth],"2024-07")</f>
        <v>0</v>
      </c>
      <c r="CQ309" s="34">
        <f>SUMIFS(BB___HK___AMHS__Others[AR Amount],BB___HK___AMHS__Others[PO No.],AR_725[[#This Row],[tsmc PO '#]],BB___HK___AMHS__Others[Status],"&lt;&gt;Rejected",BB___HK___AMHS__Others[YearMonth],"2024-08")</f>
        <v>0</v>
      </c>
      <c r="CR309" s="44">
        <f>SUMIFS(BB___HK___AMHS__Others[Tax],BB___HK___AMHS__Others[PO No.],AR_725[[#This Row],[tsmc PO '#]],BB___HK___AMHS__Others[Status],"&lt;&gt;Rejected",BB___HK___AMHS__Others[YearMonth],"2024-08")</f>
        <v>0</v>
      </c>
      <c r="CS309" s="62">
        <f>SUMIFS(BB___HK___AMHS__Others[AR Amount],BB___HK___AMHS__Others[PO No.],AR_725[[#This Row],[tsmc PO '#]],BB___HK___AMHS__Others[Status],"&lt;&gt;Rejected",BB___HK___AMHS__Others[YearMonth],"2024-09")</f>
        <v>0</v>
      </c>
      <c r="CT309" s="601">
        <f>SUMIFS(BB___HK___AMHS__Others[Tax],BB___HK___AMHS__Others[PO No.],AR_725[[#This Row],[tsmc PO '#]],BB___HK___AMHS__Others[Status],"&lt;&gt;Rejected",BB___HK___AMHS__Others[YearMonth],"2024-09")</f>
        <v>0</v>
      </c>
    </row>
    <row r="310" spans="1:98" ht="15" hidden="1" customHeight="1">
      <c r="A310" s="30" t="s">
        <v>18</v>
      </c>
      <c r="B310" s="30" t="s">
        <v>2041</v>
      </c>
      <c r="D310" s="50"/>
      <c r="E310" s="57" t="s">
        <v>326</v>
      </c>
      <c r="F310" s="57"/>
      <c r="G310" s="63" t="s">
        <v>2322</v>
      </c>
      <c r="H310" s="50" t="s">
        <v>410</v>
      </c>
      <c r="I310" s="30" t="s">
        <v>412</v>
      </c>
      <c r="J310" s="30" t="s">
        <v>411</v>
      </c>
      <c r="K310" s="46">
        <v>5467.1</v>
      </c>
      <c r="L310" s="30"/>
      <c r="M310" s="86"/>
      <c r="N310" s="87"/>
      <c r="O310" s="88"/>
      <c r="P31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5467.1</v>
      </c>
      <c r="Q31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5467.1</v>
      </c>
      <c r="R31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5467.1</v>
      </c>
      <c r="S310" s="72">
        <f>IF(AR_725[[#This Row],[PO Amount]]=0,1,AR_725[[#This Row],[Total AR (Sent)]]/AR_725[[#This Row],[PO Amount]])</f>
        <v>1</v>
      </c>
      <c r="T310" s="75">
        <f>AR_725[[#This Row],[PO Amount]]-AR_725[[#This Row],[Total AR (Sent)]]</f>
        <v>0</v>
      </c>
      <c r="U310" s="40"/>
      <c r="V310" s="40"/>
      <c r="W310" s="46"/>
      <c r="X310" s="46"/>
      <c r="Y310" s="46"/>
      <c r="Z310" s="46"/>
      <c r="AA310" s="46"/>
      <c r="AB310" s="40"/>
      <c r="AC310" s="40"/>
      <c r="AD310" s="40"/>
      <c r="AE310" s="46"/>
      <c r="AF310" s="46"/>
      <c r="AG310" s="46"/>
      <c r="AH310" s="46"/>
      <c r="AI310" s="40"/>
      <c r="AJ310" s="41"/>
      <c r="AK310" s="40"/>
      <c r="AL310" s="46"/>
      <c r="AM310" s="40"/>
      <c r="AN310" s="46"/>
      <c r="AO310" s="40"/>
      <c r="AP310" s="46"/>
      <c r="AQ310" s="40"/>
      <c r="AR310" s="82"/>
      <c r="AS310" s="34"/>
      <c r="AT310" s="83"/>
      <c r="AU310" s="34"/>
      <c r="AV310" s="83"/>
      <c r="AW310" s="40"/>
      <c r="AX310" s="83"/>
      <c r="AY310" s="40"/>
      <c r="AZ310" s="83"/>
      <c r="BA310" s="41"/>
      <c r="BB310" s="83"/>
      <c r="BC310" s="40"/>
      <c r="BD310" s="41"/>
      <c r="BE310" s="46"/>
      <c r="BF310" s="41"/>
      <c r="BG310" s="41"/>
      <c r="BH310" s="41"/>
      <c r="BI310" s="41">
        <v>5467.1</v>
      </c>
      <c r="BJ310" s="41"/>
      <c r="BK310" s="41"/>
      <c r="BL310" s="83"/>
      <c r="BM310" s="41"/>
      <c r="BN310" s="41"/>
      <c r="BO310" s="46"/>
      <c r="BP310" s="41"/>
      <c r="BQ310" s="46"/>
      <c r="BR310" s="40"/>
      <c r="BS310" s="40"/>
      <c r="BT310" s="40"/>
      <c r="BU310" s="40"/>
      <c r="BV310" s="40"/>
      <c r="BW310" s="40"/>
      <c r="BX310" s="34"/>
      <c r="BZ310" s="40"/>
      <c r="CA310" s="40"/>
      <c r="CB310" s="34"/>
      <c r="CC310" s="34"/>
      <c r="CD310" s="34"/>
      <c r="CE310" s="34"/>
      <c r="CF310" s="34"/>
      <c r="CG310" s="122"/>
      <c r="CI310" s="122"/>
      <c r="CJ310" s="30"/>
      <c r="CK310" s="122">
        <v>0</v>
      </c>
      <c r="CL310" s="122">
        <v>0</v>
      </c>
      <c r="CM310" s="122">
        <v>0</v>
      </c>
      <c r="CN310" s="122">
        <v>0</v>
      </c>
      <c r="CO310" s="122">
        <f>SUMIFS(BB___HK___AMHS__Others[AR Amount],BB___HK___AMHS__Others[PO No.],AR_725[[#This Row],[tsmc PO '#]],BB___HK___AMHS__Others[Status],"&lt;&gt;Rejected",BB___HK___AMHS__Others[YearMonth],"2024-07")</f>
        <v>0</v>
      </c>
      <c r="CP310" s="122">
        <f>SUMIFS(BB___HK___AMHS__Others[Tax],BB___HK___AMHS__Others[PO No.],AR_725[[#This Row],[tsmc PO '#]],BB___HK___AMHS__Others[Status],"&lt;&gt;Rejected",BB___HK___AMHS__Others[YearMonth],"2024-07")</f>
        <v>0</v>
      </c>
      <c r="CQ310" s="34">
        <f>SUMIFS(BB___HK___AMHS__Others[AR Amount],BB___HK___AMHS__Others[PO No.],AR_725[[#This Row],[tsmc PO '#]],BB___HK___AMHS__Others[Status],"&lt;&gt;Rejected",BB___HK___AMHS__Others[YearMonth],"2024-08")</f>
        <v>0</v>
      </c>
      <c r="CR310" s="44">
        <f>SUMIFS(BB___HK___AMHS__Others[Tax],BB___HK___AMHS__Others[PO No.],AR_725[[#This Row],[tsmc PO '#]],BB___HK___AMHS__Others[Status],"&lt;&gt;Rejected",BB___HK___AMHS__Others[YearMonth],"2024-08")</f>
        <v>0</v>
      </c>
      <c r="CS310" s="62">
        <f>SUMIFS(BB___HK___AMHS__Others[AR Amount],BB___HK___AMHS__Others[PO No.],AR_725[[#This Row],[tsmc PO '#]],BB___HK___AMHS__Others[Status],"&lt;&gt;Rejected",BB___HK___AMHS__Others[YearMonth],"2024-09")</f>
        <v>0</v>
      </c>
      <c r="CT310" s="601">
        <f>SUMIFS(BB___HK___AMHS__Others[Tax],BB___HK___AMHS__Others[PO No.],AR_725[[#This Row],[tsmc PO '#]],BB___HK___AMHS__Others[Status],"&lt;&gt;Rejected",BB___HK___AMHS__Others[YearMonth],"2024-09")</f>
        <v>0</v>
      </c>
    </row>
    <row r="311" spans="1:98" ht="15" hidden="1" customHeight="1">
      <c r="A311" s="30" t="s">
        <v>18</v>
      </c>
      <c r="B311" s="30" t="s">
        <v>2041</v>
      </c>
      <c r="D311" s="50"/>
      <c r="E311" s="50"/>
      <c r="F311" s="50"/>
      <c r="G311" s="50" t="s">
        <v>2321</v>
      </c>
      <c r="H311" s="50" t="s">
        <v>2323</v>
      </c>
      <c r="I311" s="30" t="s">
        <v>310</v>
      </c>
      <c r="J311" s="30" t="s">
        <v>2324</v>
      </c>
      <c r="K311" s="62">
        <v>1389.21</v>
      </c>
      <c r="N311" s="87"/>
      <c r="P31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1389.21</v>
      </c>
      <c r="Q31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1389.21</v>
      </c>
      <c r="R31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11" s="72">
        <f>IF(AR_725[[#This Row],[PO Amount]]=0,1,AR_725[[#This Row],[Total AR (Sent)]]/AR_725[[#This Row],[PO Amount]])</f>
        <v>1</v>
      </c>
      <c r="T311" s="73">
        <f>AR_725[[#This Row],[PO Amount]]-AR_725[[#This Row],[Total AR (Sent)]]</f>
        <v>0</v>
      </c>
      <c r="AR311" s="84"/>
      <c r="AT311" s="44"/>
      <c r="AV311" s="85"/>
      <c r="AX311" s="79"/>
      <c r="AZ311" s="79"/>
      <c r="BB311" s="79"/>
      <c r="BL311" s="79"/>
      <c r="BY311" s="40">
        <v>1389.21</v>
      </c>
      <c r="CG311" s="122"/>
      <c r="CI311" s="122"/>
      <c r="CK311" s="122"/>
      <c r="CL311" s="122">
        <v>0</v>
      </c>
      <c r="CM311" s="122">
        <v>0</v>
      </c>
      <c r="CN311" s="122">
        <v>0</v>
      </c>
      <c r="CO311" s="122">
        <f>SUMIFS(BB___HK___AMHS__Others[AR Amount],BB___HK___AMHS__Others[PO No.],AR_725[[#This Row],[tsmc PO '#]],BB___HK___AMHS__Others[Status],"&lt;&gt;Rejected",BB___HK___AMHS__Others[YearMonth],"2024-07")</f>
        <v>0</v>
      </c>
      <c r="CP311" s="122">
        <f>SUMIFS(BB___HK___AMHS__Others[Tax],BB___HK___AMHS__Others[PO No.],AR_725[[#This Row],[tsmc PO '#]],BB___HK___AMHS__Others[Status],"&lt;&gt;Rejected",BB___HK___AMHS__Others[YearMonth],"2024-07")</f>
        <v>0</v>
      </c>
      <c r="CQ311" s="34">
        <f>SUMIFS(BB___HK___AMHS__Others[AR Amount],BB___HK___AMHS__Others[PO No.],AR_725[[#This Row],[tsmc PO '#]],BB___HK___AMHS__Others[Status],"&lt;&gt;Rejected",BB___HK___AMHS__Others[YearMonth],"2024-08")</f>
        <v>0</v>
      </c>
      <c r="CR311" s="44">
        <f>SUMIFS(BB___HK___AMHS__Others[Tax],BB___HK___AMHS__Others[PO No.],AR_725[[#This Row],[tsmc PO '#]],BB___HK___AMHS__Others[Status],"&lt;&gt;Rejected",BB___HK___AMHS__Others[YearMonth],"2024-08")</f>
        <v>0</v>
      </c>
      <c r="CS311" s="62">
        <f>SUMIFS(BB___HK___AMHS__Others[AR Amount],BB___HK___AMHS__Others[PO No.],AR_725[[#This Row],[tsmc PO '#]],BB___HK___AMHS__Others[Status],"&lt;&gt;Rejected",BB___HK___AMHS__Others[YearMonth],"2024-09")</f>
        <v>0</v>
      </c>
      <c r="CT311" s="601">
        <f>SUMIFS(BB___HK___AMHS__Others[Tax],BB___HK___AMHS__Others[PO No.],AR_725[[#This Row],[tsmc PO '#]],BB___HK___AMHS__Others[Status],"&lt;&gt;Rejected",BB___HK___AMHS__Others[YearMonth],"2024-09")</f>
        <v>0</v>
      </c>
    </row>
    <row r="312" spans="1:98" ht="15" hidden="1" customHeight="1">
      <c r="A312" s="30" t="s">
        <v>18</v>
      </c>
      <c r="B312" s="30" t="s">
        <v>2041</v>
      </c>
      <c r="D312" s="50"/>
      <c r="E312" s="50"/>
      <c r="F312" s="50"/>
      <c r="G312" s="50" t="s">
        <v>2321</v>
      </c>
      <c r="H312" s="50" t="s">
        <v>2325</v>
      </c>
      <c r="I312" s="30" t="s">
        <v>310</v>
      </c>
      <c r="J312" s="30" t="s">
        <v>2326</v>
      </c>
      <c r="K312" s="62">
        <v>7394.52</v>
      </c>
      <c r="N312" s="87"/>
      <c r="P31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7394.52</v>
      </c>
      <c r="Q31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7394.52</v>
      </c>
      <c r="R31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12" s="72">
        <f>IF(AR_725[[#This Row],[PO Amount]]=0,1,AR_725[[#This Row],[Total AR (Sent)]]/AR_725[[#This Row],[PO Amount]])</f>
        <v>1</v>
      </c>
      <c r="T312" s="73">
        <f>AR_725[[#This Row],[PO Amount]]-AR_725[[#This Row],[Total AR (Sent)]]</f>
        <v>0</v>
      </c>
      <c r="AR312" s="84"/>
      <c r="AT312" s="44"/>
      <c r="AV312" s="85"/>
      <c r="AX312" s="79"/>
      <c r="AZ312" s="79"/>
      <c r="BB312" s="79"/>
      <c r="BL312" s="79"/>
      <c r="CG312" s="125">
        <v>7394.52</v>
      </c>
      <c r="CI312" s="122"/>
      <c r="CK312" s="122"/>
      <c r="CL312" s="122">
        <v>0</v>
      </c>
      <c r="CM312" s="122">
        <v>0</v>
      </c>
      <c r="CN312" s="122">
        <v>0</v>
      </c>
      <c r="CO312" s="122">
        <f>SUMIFS(BB___HK___AMHS__Others[AR Amount],BB___HK___AMHS__Others[PO No.],AR_725[[#This Row],[tsmc PO '#]],BB___HK___AMHS__Others[Status],"&lt;&gt;Rejected",BB___HK___AMHS__Others[YearMonth],"2024-07")</f>
        <v>0</v>
      </c>
      <c r="CP312" s="122">
        <f>SUMIFS(BB___HK___AMHS__Others[Tax],BB___HK___AMHS__Others[PO No.],AR_725[[#This Row],[tsmc PO '#]],BB___HK___AMHS__Others[Status],"&lt;&gt;Rejected",BB___HK___AMHS__Others[YearMonth],"2024-07")</f>
        <v>0</v>
      </c>
      <c r="CQ312" s="34">
        <f>SUMIFS(BB___HK___AMHS__Others[AR Amount],BB___HK___AMHS__Others[PO No.],AR_725[[#This Row],[tsmc PO '#]],BB___HK___AMHS__Others[Status],"&lt;&gt;Rejected",BB___HK___AMHS__Others[YearMonth],"2024-08")</f>
        <v>0</v>
      </c>
      <c r="CR312" s="44">
        <f>SUMIFS(BB___HK___AMHS__Others[Tax],BB___HK___AMHS__Others[PO No.],AR_725[[#This Row],[tsmc PO '#]],BB___HK___AMHS__Others[Status],"&lt;&gt;Rejected",BB___HK___AMHS__Others[YearMonth],"2024-08")</f>
        <v>0</v>
      </c>
      <c r="CS312" s="62">
        <f>SUMIFS(BB___HK___AMHS__Others[AR Amount],BB___HK___AMHS__Others[PO No.],AR_725[[#This Row],[tsmc PO '#]],BB___HK___AMHS__Others[Status],"&lt;&gt;Rejected",BB___HK___AMHS__Others[YearMonth],"2024-09")</f>
        <v>0</v>
      </c>
      <c r="CT312" s="601">
        <f>SUMIFS(BB___HK___AMHS__Others[Tax],BB___HK___AMHS__Others[PO No.],AR_725[[#This Row],[tsmc PO '#]],BB___HK___AMHS__Others[Status],"&lt;&gt;Rejected",BB___HK___AMHS__Others[YearMonth],"2024-09")</f>
        <v>0</v>
      </c>
    </row>
    <row r="313" spans="1:98" ht="15" hidden="1" customHeight="1">
      <c r="A313" s="30" t="s">
        <v>18</v>
      </c>
      <c r="B313" s="30" t="s">
        <v>2041</v>
      </c>
      <c r="D313" s="50"/>
      <c r="E313" s="30" t="s">
        <v>2100</v>
      </c>
      <c r="F313" s="50" t="s">
        <v>2193</v>
      </c>
      <c r="G313" s="50" t="s">
        <v>237</v>
      </c>
      <c r="H313" s="50" t="s">
        <v>1338</v>
      </c>
      <c r="I313" s="30" t="s">
        <v>240</v>
      </c>
      <c r="J313" s="30" t="s">
        <v>1339</v>
      </c>
      <c r="K313" s="62">
        <v>75356.05</v>
      </c>
      <c r="L313" s="30"/>
      <c r="N313" s="87"/>
      <c r="P31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48816.35</v>
      </c>
      <c r="Q31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1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48816.35</v>
      </c>
      <c r="S313" s="72">
        <f>IF(AR_725[[#This Row],[PO Amount]]=0,1,AR_725[[#This Row],[Total AR (Sent)]]/AR_725[[#This Row],[PO Amount]])</f>
        <v>0.64780929998321302</v>
      </c>
      <c r="T313" s="73">
        <f>AR_725[[#This Row],[PO Amount]]-AR_725[[#This Row],[Total AR (Sent)]]</f>
        <v>26539.700000000004</v>
      </c>
      <c r="AR313" s="84"/>
      <c r="AT313" s="79"/>
      <c r="AU313" s="34"/>
      <c r="AV313" s="85"/>
      <c r="AX313" s="79"/>
      <c r="AZ313" s="79"/>
      <c r="BB313" s="79"/>
      <c r="BL313" s="79"/>
      <c r="BY313" s="30"/>
      <c r="BZ313" s="40"/>
      <c r="CG313" s="122"/>
      <c r="CI313" s="122"/>
      <c r="CJ313" s="30"/>
      <c r="CK313" s="369">
        <v>48816.35</v>
      </c>
      <c r="CL313" s="122">
        <v>0</v>
      </c>
      <c r="CM313" s="122">
        <v>0</v>
      </c>
      <c r="CN313" s="122">
        <v>0</v>
      </c>
      <c r="CO313" s="122">
        <f>SUMIFS(BB___HK___AMHS__Others[AR Amount],BB___HK___AMHS__Others[PO No.],AR_725[[#This Row],[tsmc PO '#]],BB___HK___AMHS__Others[Status],"&lt;&gt;Rejected",BB___HK___AMHS__Others[YearMonth],"2024-07")</f>
        <v>0</v>
      </c>
      <c r="CP313" s="122">
        <f>SUMIFS(BB___HK___AMHS__Others[Tax],BB___HK___AMHS__Others[PO No.],AR_725[[#This Row],[tsmc PO '#]],BB___HK___AMHS__Others[Status],"&lt;&gt;Rejected",BB___HK___AMHS__Others[YearMonth],"2024-07")</f>
        <v>0</v>
      </c>
      <c r="CQ313" s="34">
        <f>SUMIFS(BB___HK___AMHS__Others[AR Amount],BB___HK___AMHS__Others[PO No.],AR_725[[#This Row],[tsmc PO '#]],BB___HK___AMHS__Others[Status],"&lt;&gt;Rejected",BB___HK___AMHS__Others[YearMonth],"2024-08")</f>
        <v>0</v>
      </c>
      <c r="CR313" s="44">
        <f>SUMIFS(BB___HK___AMHS__Others[Tax],BB___HK___AMHS__Others[PO No.],AR_725[[#This Row],[tsmc PO '#]],BB___HK___AMHS__Others[Status],"&lt;&gt;Rejected",BB___HK___AMHS__Others[YearMonth],"2024-08")</f>
        <v>0</v>
      </c>
      <c r="CS313" s="62">
        <f>SUMIFS(BB___HK___AMHS__Others[AR Amount],BB___HK___AMHS__Others[PO No.],AR_725[[#This Row],[tsmc PO '#]],BB___HK___AMHS__Others[Status],"&lt;&gt;Rejected",BB___HK___AMHS__Others[YearMonth],"2024-09")</f>
        <v>0</v>
      </c>
      <c r="CT313" s="601">
        <f>SUMIFS(BB___HK___AMHS__Others[Tax],BB___HK___AMHS__Others[PO No.],AR_725[[#This Row],[tsmc PO '#]],BB___HK___AMHS__Others[Status],"&lt;&gt;Rejected",BB___HK___AMHS__Others[YearMonth],"2024-09")</f>
        <v>0</v>
      </c>
    </row>
    <row r="314" spans="1:98" ht="15" hidden="1" customHeight="1">
      <c r="A314" s="30" t="s">
        <v>9</v>
      </c>
      <c r="B314" s="30" t="s">
        <v>2041</v>
      </c>
      <c r="D314" s="50"/>
      <c r="E314" s="30" t="s">
        <v>2044</v>
      </c>
      <c r="F314" s="50"/>
      <c r="G314" s="50" t="s">
        <v>2327</v>
      </c>
      <c r="H314" s="50" t="s">
        <v>2328</v>
      </c>
      <c r="I314" s="30" t="s">
        <v>240</v>
      </c>
      <c r="J314" s="30" t="s">
        <v>2329</v>
      </c>
      <c r="K314" s="46">
        <v>27608.05</v>
      </c>
      <c r="M314" s="86">
        <v>45483</v>
      </c>
      <c r="N314" s="87"/>
      <c r="O314" s="30" t="s">
        <v>2330</v>
      </c>
      <c r="P31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31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1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14" s="72">
        <f>IF(AR_725[[#This Row],[PO Amount]]=0,1,AR_725[[#This Row],[Total AR (Sent)]]/AR_725[[#This Row],[PO Amount]])</f>
        <v>0</v>
      </c>
      <c r="T314" s="73">
        <f>AR_725[[#This Row],[PO Amount]]-AR_725[[#This Row],[Total AR (Sent)]]</f>
        <v>27608.05</v>
      </c>
      <c r="AR314" s="84"/>
      <c r="AT314" s="44"/>
      <c r="AV314" s="85"/>
      <c r="AX314" s="79"/>
      <c r="AZ314" s="79"/>
      <c r="BB314" s="79"/>
      <c r="BL314" s="79"/>
      <c r="CG314" s="122"/>
      <c r="CI314" s="122"/>
      <c r="CK314" s="122"/>
      <c r="CL314" s="122">
        <v>0</v>
      </c>
      <c r="CM314" s="122">
        <v>0</v>
      </c>
      <c r="CN314" s="122">
        <v>0</v>
      </c>
      <c r="CO314" s="122">
        <f>SUMIFS(BB___HK___AMHS__Others[AR Amount],BB___HK___AMHS__Others[PO No.],AR_725[[#This Row],[tsmc PO '#]],BB___HK___AMHS__Others[Status],"&lt;&gt;Rejected",BB___HK___AMHS__Others[YearMonth],"2024-07")</f>
        <v>0</v>
      </c>
      <c r="CP314" s="122">
        <f>SUMIFS(BB___HK___AMHS__Others[Tax],BB___HK___AMHS__Others[PO No.],AR_725[[#This Row],[tsmc PO '#]],BB___HK___AMHS__Others[Status],"&lt;&gt;Rejected",BB___HK___AMHS__Others[YearMonth],"2024-07")</f>
        <v>0</v>
      </c>
      <c r="CQ314" s="34">
        <f>SUMIFS(BB___HK___AMHS__Others[AR Amount],BB___HK___AMHS__Others[PO No.],AR_725[[#This Row],[tsmc PO '#]],BB___HK___AMHS__Others[Status],"&lt;&gt;Rejected",BB___HK___AMHS__Others[YearMonth],"2024-08")</f>
        <v>0</v>
      </c>
      <c r="CR314" s="44">
        <f>SUMIFS(BB___HK___AMHS__Others[Tax],BB___HK___AMHS__Others[PO No.],AR_725[[#This Row],[tsmc PO '#]],BB___HK___AMHS__Others[Status],"&lt;&gt;Rejected",BB___HK___AMHS__Others[YearMonth],"2024-08")</f>
        <v>0</v>
      </c>
      <c r="CS314" s="62">
        <f>SUMIFS(BB___HK___AMHS__Others[AR Amount],BB___HK___AMHS__Others[PO No.],AR_725[[#This Row],[tsmc PO '#]],BB___HK___AMHS__Others[Status],"&lt;&gt;Rejected",BB___HK___AMHS__Others[YearMonth],"2024-09")</f>
        <v>0</v>
      </c>
      <c r="CT314" s="601">
        <f>SUMIFS(BB___HK___AMHS__Others[Tax],BB___HK___AMHS__Others[PO No.],AR_725[[#This Row],[tsmc PO '#]],BB___HK___AMHS__Others[Status],"&lt;&gt;Rejected",BB___HK___AMHS__Others[YearMonth],"2024-09")</f>
        <v>0</v>
      </c>
    </row>
    <row r="315" spans="1:98" ht="15" hidden="1" customHeight="1">
      <c r="A315" s="30" t="s">
        <v>18</v>
      </c>
      <c r="B315" s="30" t="s">
        <v>2041</v>
      </c>
      <c r="D315" s="50"/>
      <c r="E315" s="50" t="s">
        <v>2044</v>
      </c>
      <c r="F315" s="50"/>
      <c r="G315" s="50" t="s">
        <v>2045</v>
      </c>
      <c r="H315" s="50" t="s">
        <v>2331</v>
      </c>
      <c r="I315" s="30" t="s">
        <v>164</v>
      </c>
      <c r="J315" s="30" t="s">
        <v>1071</v>
      </c>
      <c r="K315" s="62">
        <v>174130</v>
      </c>
      <c r="L315" s="30"/>
      <c r="M315" s="50" t="s">
        <v>2332</v>
      </c>
      <c r="N315" s="87"/>
      <c r="O315" s="30" t="s">
        <v>2047</v>
      </c>
      <c r="P31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174130</v>
      </c>
      <c r="Q31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1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174130</v>
      </c>
      <c r="S315" s="72">
        <f>IF(AR_725[[#This Row],[PO Amount]]=0,1,AR_725[[#This Row],[Total AR (Sent)]]/AR_725[[#This Row],[PO Amount]])</f>
        <v>1</v>
      </c>
      <c r="T315" s="73">
        <f>AR_725[[#This Row],[PO Amount]]-AR_725[[#This Row],[Total AR (Sent)]]</f>
        <v>0</v>
      </c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34"/>
      <c r="AK315" s="40"/>
      <c r="AL315" s="40"/>
      <c r="AM315" s="40"/>
      <c r="AN315" s="40"/>
      <c r="AO315" s="40"/>
      <c r="AP315" s="40"/>
      <c r="AQ315" s="40"/>
      <c r="AR315" s="102"/>
      <c r="AS315" s="40"/>
      <c r="AT315" s="44"/>
      <c r="AU315" s="40"/>
      <c r="AV315" s="83"/>
      <c r="AW315" s="41"/>
      <c r="AX315" s="83"/>
      <c r="AY315" s="41"/>
      <c r="AZ315" s="44"/>
      <c r="BA315" s="40"/>
      <c r="BB315" s="44"/>
      <c r="BC315" s="40"/>
      <c r="BD315" s="40"/>
      <c r="BE315" s="40"/>
      <c r="BF315" s="40"/>
      <c r="BG315" s="40"/>
      <c r="BH315" s="40"/>
      <c r="BI315" s="40"/>
      <c r="BJ315" s="40"/>
      <c r="BK315" s="40"/>
      <c r="BL315" s="44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0"/>
      <c r="BZ315" s="40"/>
      <c r="CA315" s="40"/>
      <c r="CB315" s="34"/>
      <c r="CC315" s="34"/>
      <c r="CD315" s="34"/>
      <c r="CE315" s="34"/>
      <c r="CF315" s="34"/>
      <c r="CG315" s="122"/>
      <c r="CI315" s="125">
        <v>17413</v>
      </c>
      <c r="CJ315" s="30"/>
      <c r="CK315" s="125">
        <v>17413</v>
      </c>
      <c r="CL315" s="122">
        <v>0</v>
      </c>
      <c r="CM315" s="125">
        <v>34826</v>
      </c>
      <c r="CN315" s="122">
        <v>0</v>
      </c>
      <c r="CO315" s="42">
        <v>104478</v>
      </c>
      <c r="CP315" s="122">
        <f>SUMIFS(BB___HK___AMHS__Others[Tax],BB___HK___AMHS__Others[PO No.],AR_725[[#This Row],[tsmc PO '#]],BB___HK___AMHS__Others[Status],"&lt;&gt;Rejected",BB___HK___AMHS__Others[YearMonth],"2024-07")</f>
        <v>0</v>
      </c>
      <c r="CQ315" s="34">
        <f>SUMIFS(BB___HK___AMHS__Others[AR Amount],BB___HK___AMHS__Others[PO No.],AR_725[[#This Row],[tsmc PO '#]],BB___HK___AMHS__Others[Status],"&lt;&gt;Rejected",BB___HK___AMHS__Others[YearMonth],"2024-08")</f>
        <v>0</v>
      </c>
      <c r="CR315" s="44">
        <f>SUMIFS(BB___HK___AMHS__Others[Tax],BB___HK___AMHS__Others[PO No.],AR_725[[#This Row],[tsmc PO '#]],BB___HK___AMHS__Others[Status],"&lt;&gt;Rejected",BB___HK___AMHS__Others[YearMonth],"2024-08")</f>
        <v>0</v>
      </c>
      <c r="CS315" s="62">
        <f>SUMIFS(BB___HK___AMHS__Others[AR Amount],BB___HK___AMHS__Others[PO No.],AR_725[[#This Row],[tsmc PO '#]],BB___HK___AMHS__Others[Status],"&lt;&gt;Rejected",BB___HK___AMHS__Others[YearMonth],"2024-09")</f>
        <v>0</v>
      </c>
      <c r="CT315" s="601">
        <f>SUMIFS(BB___HK___AMHS__Others[Tax],BB___HK___AMHS__Others[PO No.],AR_725[[#This Row],[tsmc PO '#]],BB___HK___AMHS__Others[Status],"&lt;&gt;Rejected",BB___HK___AMHS__Others[YearMonth],"2024-09")</f>
        <v>0</v>
      </c>
    </row>
    <row r="316" spans="1:98" ht="15" hidden="1" customHeight="1">
      <c r="A316" s="30" t="s">
        <v>18</v>
      </c>
      <c r="B316" s="30" t="s">
        <v>2041</v>
      </c>
      <c r="D316" s="50"/>
      <c r="E316" s="48"/>
      <c r="F316" s="48"/>
      <c r="G316" s="48" t="s">
        <v>2333</v>
      </c>
      <c r="H316" s="50" t="s">
        <v>162</v>
      </c>
      <c r="I316" s="30" t="s">
        <v>164</v>
      </c>
      <c r="J316" s="30" t="s">
        <v>163</v>
      </c>
      <c r="K316" s="46">
        <v>16839902.57</v>
      </c>
      <c r="L316" s="30"/>
      <c r="M316" s="86"/>
      <c r="N316" s="87"/>
      <c r="P31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15985353.250000002</v>
      </c>
      <c r="Q31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15973721.65</v>
      </c>
      <c r="R31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15989403.790000001</v>
      </c>
      <c r="S316" s="72">
        <f>IF(AR_725[[#This Row],[PO Amount]]=0,1,AR_725[[#This Row],[Total AR (Sent)]]/AR_725[[#This Row],[PO Amount]])</f>
        <v>0.9492544973791972</v>
      </c>
      <c r="T316" s="45">
        <f>AR_725[[#This Row],[PO Amount]]-AR_725[[#This Row],[Total AR (Sent)]]</f>
        <v>854549.31999999844</v>
      </c>
      <c r="U316" s="40"/>
      <c r="V316" s="40"/>
      <c r="W316" s="46"/>
      <c r="X316" s="46"/>
      <c r="Y316" s="46"/>
      <c r="Z316" s="46"/>
      <c r="AA316" s="46"/>
      <c r="AB316" s="40"/>
      <c r="AC316" s="40"/>
      <c r="AD316" s="40"/>
      <c r="AE316" s="46"/>
      <c r="AF316" s="46"/>
      <c r="AG316" s="46"/>
      <c r="AH316" s="46"/>
      <c r="AI316" s="34"/>
      <c r="AJ316" s="34"/>
      <c r="AK316" s="34"/>
      <c r="AL316" s="40"/>
      <c r="AM316" s="34"/>
      <c r="AN316" s="40"/>
      <c r="AO316" s="34"/>
      <c r="AP316" s="40"/>
      <c r="AQ316" s="42">
        <v>384408.18</v>
      </c>
      <c r="AR316" s="102"/>
      <c r="AS316" s="42">
        <f>9339.84+6799.68</f>
        <v>16139.52</v>
      </c>
      <c r="AT316" s="44"/>
      <c r="AU316" s="42">
        <v>23353.38</v>
      </c>
      <c r="AV316" s="83"/>
      <c r="AW316" s="42">
        <f>378953+23223.64</f>
        <v>402176.64</v>
      </c>
      <c r="AX316" s="44"/>
      <c r="AY316" s="42">
        <f>588335+17146.78</f>
        <v>605481.78</v>
      </c>
      <c r="AZ316" s="44"/>
      <c r="BA316" s="42">
        <f>13846.68+833412+1398946.41</f>
        <v>2246205.09</v>
      </c>
      <c r="BB316" s="44"/>
      <c r="BC316" s="42">
        <f>7258.68+535238+2076264.29</f>
        <v>2618760.9700000002</v>
      </c>
      <c r="BD316" s="41"/>
      <c r="BE316" s="42">
        <f>7258.68+795378</f>
        <v>802636.68</v>
      </c>
      <c r="BF316" s="34"/>
      <c r="BG316" s="42">
        <f>1274063+5956.74+1527519.79</f>
        <v>2807539.5300000003</v>
      </c>
      <c r="BH316" s="34"/>
      <c r="BI316" s="42">
        <f>699931+5956.74</f>
        <v>705887.74</v>
      </c>
      <c r="BJ316" s="34"/>
      <c r="BK316" s="42">
        <f>3078707.74+10217.34+537690</f>
        <v>3626615.08</v>
      </c>
      <c r="BL316" s="44"/>
      <c r="BM316" s="42">
        <f>782101.65+10217.34</f>
        <v>792318.99</v>
      </c>
      <c r="BN316" s="34"/>
      <c r="BO316" s="47">
        <v>4471.74</v>
      </c>
      <c r="BP316" s="34"/>
      <c r="BQ316" s="47">
        <f>15001.74+21124.8+449565</f>
        <v>485691.54</v>
      </c>
      <c r="BR316" s="40"/>
      <c r="BS316" s="47">
        <v>345110.15</v>
      </c>
      <c r="BT316" s="40"/>
      <c r="BU316" s="47">
        <v>98221.46</v>
      </c>
      <c r="BV316" s="40"/>
      <c r="BW316" s="46"/>
      <c r="BX316" s="34"/>
      <c r="BY316" s="47">
        <v>2326.3200000000002</v>
      </c>
      <c r="BZ316" s="40"/>
      <c r="CA316" s="47">
        <v>6376.86</v>
      </c>
      <c r="CB316" s="34"/>
      <c r="CC316" s="34"/>
      <c r="CD316" s="34"/>
      <c r="CE316" s="34"/>
      <c r="CF316" s="34"/>
      <c r="CG316" s="122"/>
      <c r="CI316" s="125">
        <v>2326.3200000000002</v>
      </c>
      <c r="CJ316" s="30"/>
      <c r="CK316" s="125">
        <v>2326.3200000000002</v>
      </c>
      <c r="CL316" s="122">
        <v>0</v>
      </c>
      <c r="CM316" s="122">
        <v>0</v>
      </c>
      <c r="CN316" s="122">
        <v>0</v>
      </c>
      <c r="CO316" s="34">
        <f>SUMIFS(BB___HK___AMHS__Others[AR Amount],BB___HK___AMHS__Others[PO No.],AR_725[[#This Row],[tsmc PO '#]],BB___HK___AMHS__Others[Status],"&lt;&gt;Rejected",BB___HK___AMHS__Others[YearMonth],"2024-07")</f>
        <v>0</v>
      </c>
      <c r="CP316" s="122">
        <f>SUMIFS(BB___HK___AMHS__Others[Tax],BB___HK___AMHS__Others[PO No.],AR_725[[#This Row],[tsmc PO '#]],BB___HK___AMHS__Others[Status],"&lt;&gt;Rejected",BB___HK___AMHS__Others[YearMonth],"2024-07")</f>
        <v>0</v>
      </c>
      <c r="CQ316" s="34">
        <v>6978.96</v>
      </c>
      <c r="CR316" s="44">
        <f>SUMIFS(BB___HK___AMHS__Others[Tax],BB___HK___AMHS__Others[PO No.],AR_725[[#This Row],[tsmc PO '#]],BB___HK___AMHS__Others[Status],"&lt;&gt;Rejected",BB___HK___AMHS__Others[YearMonth],"2024-08")</f>
        <v>0</v>
      </c>
      <c r="CS316" s="62">
        <f>SUMIFS(BB___HK___AMHS__Others[AR Amount],BB___HK___AMHS__Others[PO No.],AR_725[[#This Row],[tsmc PO '#]],BB___HK___AMHS__Others[Status],"&lt;&gt;Rejected",BB___HK___AMHS__Others[YearMonth],"2024-09")</f>
        <v>0</v>
      </c>
      <c r="CT316" s="601">
        <f>SUMIFS(BB___HK___AMHS__Others[Tax],BB___HK___AMHS__Others[PO No.],AR_725[[#This Row],[tsmc PO '#]],BB___HK___AMHS__Others[Status],"&lt;&gt;Rejected",BB___HK___AMHS__Others[YearMonth],"2024-09")</f>
        <v>0</v>
      </c>
    </row>
    <row r="317" spans="1:98" ht="15" hidden="1" customHeight="1">
      <c r="A317" s="30" t="s">
        <v>9</v>
      </c>
      <c r="B317" s="30" t="s">
        <v>2051</v>
      </c>
      <c r="D317" s="50" t="s">
        <v>1706</v>
      </c>
      <c r="E317" s="57" t="s">
        <v>2070</v>
      </c>
      <c r="F317" s="35" t="s">
        <v>2115</v>
      </c>
      <c r="G317" s="50" t="s">
        <v>1432</v>
      </c>
      <c r="H317" s="36" t="s">
        <v>127</v>
      </c>
      <c r="I317" s="30" t="s">
        <v>129</v>
      </c>
      <c r="J317" s="30" t="s">
        <v>128</v>
      </c>
      <c r="K317" s="55">
        <v>161491923</v>
      </c>
      <c r="L317" s="30" t="s">
        <v>2062</v>
      </c>
      <c r="M317" s="86">
        <v>44467</v>
      </c>
      <c r="N317" s="87" t="s">
        <v>2063</v>
      </c>
      <c r="O317" s="30" t="s">
        <v>2064</v>
      </c>
      <c r="P31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140764153</v>
      </c>
      <c r="Q31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120131007</v>
      </c>
      <c r="R31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140764153</v>
      </c>
      <c r="S317" s="72">
        <f>IF(AR_725[[#This Row],[PO Amount]]=0,1,AR_725[[#This Row],[Total AR (Sent)]]/AR_725[[#This Row],[PO Amount]])</f>
        <v>0.87164825574589266</v>
      </c>
      <c r="T317" s="39">
        <f>AR_725[[#This Row],[PO Amount]]-AR_725[[#This Row],[Total AR (Sent)]]</f>
        <v>20727770</v>
      </c>
      <c r="U317" s="40"/>
      <c r="V317" s="40"/>
      <c r="W317" s="41">
        <v>0</v>
      </c>
      <c r="X317" s="41"/>
      <c r="Y317" s="41"/>
      <c r="Z317" s="41"/>
      <c r="AA317" s="41">
        <v>6357154</v>
      </c>
      <c r="AB317" s="41"/>
      <c r="AC317" s="41">
        <v>8267774</v>
      </c>
      <c r="AD317" s="41"/>
      <c r="AE317" s="41">
        <v>37098</v>
      </c>
      <c r="AF317" s="41"/>
      <c r="AG317" s="41"/>
      <c r="AH317" s="41"/>
      <c r="AI317" s="41">
        <v>330830</v>
      </c>
      <c r="AJ317" s="34"/>
      <c r="AK317" s="41">
        <v>6773215</v>
      </c>
      <c r="AL317" s="34"/>
      <c r="AM317" s="41">
        <v>138429</v>
      </c>
      <c r="AN317" s="41"/>
      <c r="AO317" s="41">
        <f>1535513.49572602-1535513.49572602+436333</f>
        <v>436333</v>
      </c>
      <c r="AP317" s="34"/>
      <c r="AQ317" s="41">
        <f>1652020.96480123-1652020.96480123+450000-450000+3645524</f>
        <v>3645524</v>
      </c>
      <c r="AR317" s="82"/>
      <c r="AS317" s="52">
        <f>5157544.63035997-2514351.63035997</f>
        <v>2643193</v>
      </c>
      <c r="AT317" s="44"/>
      <c r="AU317" s="52">
        <f>7277374.42436489-2178270.42436489</f>
        <v>5099104</v>
      </c>
      <c r="AV317" s="44"/>
      <c r="AW317" s="52">
        <f>8970908.69440754-2432717.69440754</f>
        <v>6538191</v>
      </c>
      <c r="AX317" s="44"/>
      <c r="AY317" s="53">
        <f>10244004.1863516+4027653.8136484</f>
        <v>14271658</v>
      </c>
      <c r="AZ317" s="44"/>
      <c r="BA317" s="42">
        <f>12718975.1075983-1800910.1075983</f>
        <v>10918065</v>
      </c>
      <c r="BB317" s="44"/>
      <c r="BC317" s="42">
        <f>12609425.3748791-12609425.3748791+8936549</f>
        <v>8936549</v>
      </c>
      <c r="BD317" s="41"/>
      <c r="BE317" s="42">
        <f>17110792.54556-9362688.54556</f>
        <v>7748103.9999999981</v>
      </c>
      <c r="BF317" s="34"/>
      <c r="BG317" s="42">
        <f>15052690.6569065-12130686.6569065</f>
        <v>2922004</v>
      </c>
      <c r="BH317" s="34"/>
      <c r="BI317" s="42">
        <f>15105486.896877-12025302.896877</f>
        <v>3080184</v>
      </c>
      <c r="BJ317" s="34"/>
      <c r="BK317" s="42">
        <f>14400938.8350361-12398023.8350361</f>
        <v>2002915</v>
      </c>
      <c r="BL317" s="44"/>
      <c r="BM317" s="42">
        <f>9677151.03713182-8174488.03713182</f>
        <v>1502663</v>
      </c>
      <c r="BN317" s="34"/>
      <c r="BO317" s="42">
        <f>8074596.15-6589457.15</f>
        <v>1485139</v>
      </c>
      <c r="BP317" s="34"/>
      <c r="BQ317" s="42">
        <v>2133453</v>
      </c>
      <c r="BR317" s="40"/>
      <c r="BS317" s="42">
        <v>5526885</v>
      </c>
      <c r="BT317" s="40"/>
      <c r="BU317" s="42">
        <v>2927140</v>
      </c>
      <c r="BV317" s="40"/>
      <c r="BW317" s="42">
        <v>1248187</v>
      </c>
      <c r="BX317" s="34"/>
      <c r="BY317" s="42">
        <v>2013345</v>
      </c>
      <c r="BZ317" s="40"/>
      <c r="CA317" s="42">
        <v>2148731</v>
      </c>
      <c r="CB317" s="34"/>
      <c r="CC317" s="42">
        <v>1845069</v>
      </c>
      <c r="CD317" s="34"/>
      <c r="CE317" s="42">
        <v>6441702</v>
      </c>
      <c r="CF317" s="34"/>
      <c r="CG317" s="123">
        <v>2712369</v>
      </c>
      <c r="CI317" s="116">
        <v>2486799</v>
      </c>
      <c r="CJ317" s="30"/>
      <c r="CK317" s="122">
        <v>5058396</v>
      </c>
      <c r="CL317" s="122">
        <v>0</v>
      </c>
      <c r="CM317" s="122">
        <v>8096816</v>
      </c>
      <c r="CN317" s="122">
        <v>0</v>
      </c>
      <c r="CO317" s="34">
        <f>SUMIFS(BB___HK___AMHS__Others[AR Amount],BB___HK___AMHS__Others[PO No.],AR_725[[#This Row],[tsmc PO '#]],BB___HK___AMHS__Others[Status],"&lt;&gt;Rejected",BB___HK___AMHS__Others[YearMonth],"2024-07")</f>
        <v>1765962</v>
      </c>
      <c r="CP317" s="122">
        <f>SUMIFS(BB___HK___AMHS__Others[Tax],BB___HK___AMHS__Others[PO No.],AR_725[[#This Row],[tsmc PO '#]],BB___HK___AMHS__Others[Status],"&lt;&gt;Rejected",BB___HK___AMHS__Others[YearMonth],"2024-07")</f>
        <v>0</v>
      </c>
      <c r="CQ317" s="34">
        <f>SUMIFS(BB___HK___AMHS__Others[AR Amount],BB___HK___AMHS__Others[PO No.],AR_725[[#This Row],[tsmc PO '#]],BB___HK___AMHS__Others[Status],"&lt;&gt;Rejected",BB___HK___AMHS__Others[YearMonth],"2024-08")</f>
        <v>3225173</v>
      </c>
      <c r="CR317" s="44">
        <f>SUMIFS(BB___HK___AMHS__Others[Tax],BB___HK___AMHS__Others[PO No.],AR_725[[#This Row],[tsmc PO '#]],BB___HK___AMHS__Others[Status],"&lt;&gt;Rejected",BB___HK___AMHS__Others[YearMonth],"2024-08")</f>
        <v>0</v>
      </c>
      <c r="CS317" s="62">
        <f>SUMIFS(BB___HK___AMHS__Others[AR Amount],BB___HK___AMHS__Others[PO No.],AR_725[[#This Row],[tsmc PO '#]],BB___HK___AMHS__Others[Status],"&lt;&gt;Rejected",BB___HK___AMHS__Others[YearMonth],"2024-09")</f>
        <v>0</v>
      </c>
      <c r="CT317" s="601">
        <f>SUMIFS(BB___HK___AMHS__Others[Tax],BB___HK___AMHS__Others[PO No.],AR_725[[#This Row],[tsmc PO '#]],BB___HK___AMHS__Others[Status],"&lt;&gt;Rejected",BB___HK___AMHS__Others[YearMonth],"2024-09")</f>
        <v>0</v>
      </c>
    </row>
    <row r="318" spans="1:98" ht="15" hidden="1" customHeight="1">
      <c r="A318" s="30" t="s">
        <v>9</v>
      </c>
      <c r="B318" s="30" t="s">
        <v>2051</v>
      </c>
      <c r="D318" s="50" t="s">
        <v>1706</v>
      </c>
      <c r="E318" s="57" t="s">
        <v>2070</v>
      </c>
      <c r="F318" s="35" t="s">
        <v>2115</v>
      </c>
      <c r="G318" s="50" t="s">
        <v>1432</v>
      </c>
      <c r="H318" s="36" t="s">
        <v>130</v>
      </c>
      <c r="I318" s="30" t="s">
        <v>129</v>
      </c>
      <c r="J318" s="30" t="s">
        <v>131</v>
      </c>
      <c r="K318" s="55">
        <v>33838332</v>
      </c>
      <c r="L318" s="30" t="s">
        <v>2062</v>
      </c>
      <c r="M318" s="86">
        <v>44467</v>
      </c>
      <c r="N318" s="87" t="s">
        <v>2063</v>
      </c>
      <c r="O318" s="30" t="s">
        <v>2064</v>
      </c>
      <c r="P31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29001780</v>
      </c>
      <c r="Q31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22570523</v>
      </c>
      <c r="R31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29001780</v>
      </c>
      <c r="S318" s="72">
        <f>IF(AR_725[[#This Row],[PO Amount]]=0,1,AR_725[[#This Row],[Total AR (Sent)]]/AR_725[[#This Row],[PO Amount]])</f>
        <v>0.85706884133650563</v>
      </c>
      <c r="T318" s="39">
        <f>AR_725[[#This Row],[PO Amount]]-AR_725[[#This Row],[Total AR (Sent)]]</f>
        <v>4836552</v>
      </c>
      <c r="U318" s="40"/>
      <c r="V318" s="40"/>
      <c r="W318" s="41">
        <v>0</v>
      </c>
      <c r="X318" s="41"/>
      <c r="Y318" s="41"/>
      <c r="Z318" s="41"/>
      <c r="AA318" s="41">
        <v>3179807</v>
      </c>
      <c r="AB318" s="41"/>
      <c r="AC318" s="41"/>
      <c r="AD318" s="41"/>
      <c r="AE318" s="41"/>
      <c r="AF318" s="41"/>
      <c r="AG318" s="41"/>
      <c r="AH318" s="41"/>
      <c r="AI318" s="41"/>
      <c r="AJ318" s="34"/>
      <c r="AK318" s="41"/>
      <c r="AL318" s="34"/>
      <c r="AM318" s="41">
        <v>2451350</v>
      </c>
      <c r="AN318" s="41"/>
      <c r="AO318" s="41"/>
      <c r="AP318" s="34"/>
      <c r="AQ318" s="41">
        <f>1336877.00545783-1336877.00545783+250000-250000</f>
        <v>0</v>
      </c>
      <c r="AR318" s="82"/>
      <c r="AS318" s="34">
        <f>1667828.43086508-1667828.43086508</f>
        <v>0</v>
      </c>
      <c r="AT318" s="44"/>
      <c r="AU318" s="52">
        <f>2098779.85627232-1756860.85627232</f>
        <v>341918.99999999977</v>
      </c>
      <c r="AV318" s="44"/>
      <c r="AW318" s="52">
        <f>2198779.85627232-1228509.85627232</f>
        <v>970269.99999999977</v>
      </c>
      <c r="AX318" s="44"/>
      <c r="AY318" s="53">
        <f>2660682.70708681+362260.29291319</f>
        <v>3022943</v>
      </c>
      <c r="AZ318" s="44"/>
      <c r="BA318" s="42">
        <f>2760682.70708681-1110143.70708681</f>
        <v>1650539</v>
      </c>
      <c r="BB318" s="44"/>
      <c r="BC318" s="42">
        <f>3913515.62207772-3913515.62207772+365712</f>
        <v>365712</v>
      </c>
      <c r="BD318" s="41"/>
      <c r="BE318" s="42">
        <f>3322585.55790129-664928.55790129</f>
        <v>2657657</v>
      </c>
      <c r="BF318" s="34"/>
      <c r="BG318" s="42">
        <f>2660682.70708681-2261498.70708681</f>
        <v>399184</v>
      </c>
      <c r="BH318" s="34"/>
      <c r="BI318" s="42">
        <f>1323805.70162897-981989.70162897</f>
        <v>341816</v>
      </c>
      <c r="BJ318" s="34"/>
      <c r="BK318" s="42">
        <f>859271.412480257+58537.587519743</f>
        <v>917809</v>
      </c>
      <c r="BL318" s="44"/>
      <c r="BM318" s="42">
        <f>685500.580050588-315695.580050588</f>
        <v>369805</v>
      </c>
      <c r="BN318" s="34"/>
      <c r="BO318" s="42">
        <f>1691916.6-988792.6</f>
        <v>703124.00000000012</v>
      </c>
      <c r="BP318" s="34"/>
      <c r="BQ318" s="42">
        <v>902167</v>
      </c>
      <c r="BR318" s="40"/>
      <c r="BS318" s="42">
        <v>728284</v>
      </c>
      <c r="BT318" s="40"/>
      <c r="BU318" s="42">
        <v>1089594</v>
      </c>
      <c r="BV318" s="40"/>
      <c r="BW318" s="42">
        <v>945765</v>
      </c>
      <c r="BX318" s="34"/>
      <c r="BY318" s="42">
        <v>866726</v>
      </c>
      <c r="BZ318" s="40"/>
      <c r="CA318" s="42">
        <v>340175</v>
      </c>
      <c r="CB318" s="34"/>
      <c r="CC318" s="43">
        <v>325877</v>
      </c>
      <c r="CD318" s="34"/>
      <c r="CE318" s="34"/>
      <c r="CF318" s="34"/>
      <c r="CG318" s="122"/>
      <c r="CI318" s="116">
        <v>365100</v>
      </c>
      <c r="CJ318" s="30"/>
      <c r="CK318" s="122">
        <v>2651042</v>
      </c>
      <c r="CL318" s="122">
        <v>0</v>
      </c>
      <c r="CM318" s="122">
        <v>0</v>
      </c>
      <c r="CN318" s="122">
        <v>0</v>
      </c>
      <c r="CO318" s="34">
        <f>SUMIFS(BB___HK___AMHS__Others[AR Amount],BB___HK___AMHS__Others[PO No.],AR_725[[#This Row],[tsmc PO '#]],BB___HK___AMHS__Others[Status],"&lt;&gt;Rejected",BB___HK___AMHS__Others[YearMonth],"2024-07")</f>
        <v>1712720</v>
      </c>
      <c r="CP318" s="122">
        <f>SUMIFS(BB___HK___AMHS__Others[Tax],BB___HK___AMHS__Others[PO No.],AR_725[[#This Row],[tsmc PO '#]],BB___HK___AMHS__Others[Status],"&lt;&gt;Rejected",BB___HK___AMHS__Others[YearMonth],"2024-07")</f>
        <v>0</v>
      </c>
      <c r="CQ318" s="34">
        <f>SUMIFS(BB___HK___AMHS__Others[AR Amount],BB___HK___AMHS__Others[PO No.],AR_725[[#This Row],[tsmc PO '#]],BB___HK___AMHS__Others[Status],"&lt;&gt;Rejected",BB___HK___AMHS__Others[YearMonth],"2024-08")</f>
        <v>1702395</v>
      </c>
      <c r="CR318" s="44">
        <f>SUMIFS(BB___HK___AMHS__Others[Tax],BB___HK___AMHS__Others[PO No.],AR_725[[#This Row],[tsmc PO '#]],BB___HK___AMHS__Others[Status],"&lt;&gt;Rejected",BB___HK___AMHS__Others[YearMonth],"2024-08")</f>
        <v>0</v>
      </c>
      <c r="CS318" s="62">
        <f>SUMIFS(BB___HK___AMHS__Others[AR Amount],BB___HK___AMHS__Others[PO No.],AR_725[[#This Row],[tsmc PO '#]],BB___HK___AMHS__Others[Status],"&lt;&gt;Rejected",BB___HK___AMHS__Others[YearMonth],"2024-09")</f>
        <v>0</v>
      </c>
      <c r="CT318" s="601">
        <f>SUMIFS(BB___HK___AMHS__Others[Tax],BB___HK___AMHS__Others[PO No.],AR_725[[#This Row],[tsmc PO '#]],BB___HK___AMHS__Others[Status],"&lt;&gt;Rejected",BB___HK___AMHS__Others[YearMonth],"2024-09")</f>
        <v>0</v>
      </c>
    </row>
    <row r="319" spans="1:98" ht="15" hidden="1" customHeight="1">
      <c r="A319" s="30" t="s">
        <v>9</v>
      </c>
      <c r="B319" s="30" t="s">
        <v>2051</v>
      </c>
      <c r="D319" s="50" t="s">
        <v>1546</v>
      </c>
      <c r="E319" s="57" t="s">
        <v>2052</v>
      </c>
      <c r="F319" s="48" t="s">
        <v>2076</v>
      </c>
      <c r="G319" s="48" t="s">
        <v>337</v>
      </c>
      <c r="H319" s="50" t="s">
        <v>133</v>
      </c>
      <c r="I319" s="30" t="s">
        <v>135</v>
      </c>
      <c r="J319" s="30" t="s">
        <v>134</v>
      </c>
      <c r="K319" s="46">
        <v>5005543</v>
      </c>
      <c r="L319" s="30" t="s">
        <v>2062</v>
      </c>
      <c r="M319" s="86">
        <v>44468</v>
      </c>
      <c r="N319" s="87" t="s">
        <v>2063</v>
      </c>
      <c r="O319" s="30" t="s">
        <v>2064</v>
      </c>
      <c r="P31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4154386.7099999995</v>
      </c>
      <c r="Q31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3714209.4799999995</v>
      </c>
      <c r="R31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4154386.71</v>
      </c>
      <c r="S319" s="72">
        <f>IF(AR_725[[#This Row],[PO Amount]]=0,1,AR_725[[#This Row],[Total AR (Sent)]]/AR_725[[#This Row],[PO Amount]])</f>
        <v>0.82995725139110776</v>
      </c>
      <c r="T319" s="45">
        <f>AR_725[[#This Row],[PO Amount]]-AR_725[[#This Row],[Total AR (Sent)]]</f>
        <v>851156.2900000005</v>
      </c>
      <c r="U319" s="40"/>
      <c r="V319" s="40"/>
      <c r="W319" s="46"/>
      <c r="X319" s="46"/>
      <c r="Y319" s="46"/>
      <c r="Z319" s="46"/>
      <c r="AA319" s="37">
        <v>439256</v>
      </c>
      <c r="AB319" s="80"/>
      <c r="AC319" s="55"/>
      <c r="AD319" s="55"/>
      <c r="AE319" s="46"/>
      <c r="AF319" s="46"/>
      <c r="AG319" s="41"/>
      <c r="AH319" s="46"/>
      <c r="AI319" s="34"/>
      <c r="AJ319" s="34"/>
      <c r="AK319" s="41"/>
      <c r="AL319" s="34"/>
      <c r="AM319" s="34"/>
      <c r="AN319" s="40"/>
      <c r="AO319" s="41">
        <v>652637.48</v>
      </c>
      <c r="AP319" s="46"/>
      <c r="AQ319" s="41">
        <f>566630.137708549-566630.137708549</f>
        <v>0</v>
      </c>
      <c r="AR319" s="82"/>
      <c r="AS319" s="42">
        <v>672636</v>
      </c>
      <c r="AT319" s="44"/>
      <c r="AU319" s="34">
        <f>542202.288825853-542202.288825853</f>
        <v>0</v>
      </c>
      <c r="AV319" s="44"/>
      <c r="AW319" s="34"/>
      <c r="AX319" s="44"/>
      <c r="AY319" s="42">
        <f>84656.1114639746+548668.888536025</f>
        <v>633324.99999999953</v>
      </c>
      <c r="AZ319" s="44"/>
      <c r="BA319" s="70">
        <f>274610.580630954-274610.580630954</f>
        <v>0</v>
      </c>
      <c r="BB319" s="44"/>
      <c r="BC319" s="41">
        <f>633402.042069474-633402.042069474</f>
        <v>0</v>
      </c>
      <c r="BD319" s="41"/>
      <c r="BE319" s="47">
        <v>423674</v>
      </c>
      <c r="BF319" s="34"/>
      <c r="BG319" s="42">
        <f>633402.042069474-386080.042069474</f>
        <v>247322</v>
      </c>
      <c r="BH319" s="34"/>
      <c r="BI319" s="42">
        <f>453224.484474531-323769.484474531</f>
        <v>129455</v>
      </c>
      <c r="BJ319" s="34"/>
      <c r="BK319" s="42">
        <f>382732.535626894-196523.535626894</f>
        <v>186208.99999999997</v>
      </c>
      <c r="BL319" s="44"/>
      <c r="BM319" s="42">
        <v>183957</v>
      </c>
      <c r="BN319" s="34"/>
      <c r="BO319" s="47">
        <v>14718</v>
      </c>
      <c r="BP319" s="34"/>
      <c r="BQ319" s="40"/>
      <c r="BR319" s="40"/>
      <c r="BS319" s="40"/>
      <c r="BT319" s="40"/>
      <c r="BU319" s="40"/>
      <c r="BV319" s="40"/>
      <c r="BW319" s="40"/>
      <c r="BX319" s="34"/>
      <c r="BZ319" s="40"/>
      <c r="CA319" s="40"/>
      <c r="CB319" s="34"/>
      <c r="CC319" s="34"/>
      <c r="CD319" s="34"/>
      <c r="CE319" s="42">
        <v>131020</v>
      </c>
      <c r="CF319" s="34"/>
      <c r="CG319" s="122"/>
      <c r="CI319" s="122"/>
      <c r="CJ319" s="30"/>
      <c r="CK319" s="122">
        <v>226865.7</v>
      </c>
      <c r="CL319" s="122">
        <v>0</v>
      </c>
      <c r="CM319" s="122">
        <v>213311.53</v>
      </c>
      <c r="CN319" s="122">
        <v>0</v>
      </c>
      <c r="CO319" s="122">
        <f>SUMIFS(BB___HK___AMHS__Others[AR Amount],BB___HK___AMHS__Others[PO No.],AR_725[[#This Row],[tsmc PO '#]],BB___HK___AMHS__Others[Status],"&lt;&gt;Rejected",BB___HK___AMHS__Others[YearMonth],"2024-07")</f>
        <v>0</v>
      </c>
      <c r="CP319" s="122">
        <f>SUMIFS(BB___HK___AMHS__Others[Tax],BB___HK___AMHS__Others[PO No.],AR_725[[#This Row],[tsmc PO '#]],BB___HK___AMHS__Others[Status],"&lt;&gt;Rejected",BB___HK___AMHS__Others[YearMonth],"2024-07")</f>
        <v>0</v>
      </c>
      <c r="CQ319" s="34">
        <f>SUMIFS(BB___HK___AMHS__Others[AR Amount],BB___HK___AMHS__Others[PO No.],AR_725[[#This Row],[tsmc PO '#]],BB___HK___AMHS__Others[Status],"&lt;&gt;Rejected",BB___HK___AMHS__Others[YearMonth],"2024-08")</f>
        <v>0</v>
      </c>
      <c r="CR319" s="44">
        <f>SUMIFS(BB___HK___AMHS__Others[Tax],BB___HK___AMHS__Others[PO No.],AR_725[[#This Row],[tsmc PO '#]],BB___HK___AMHS__Others[Status],"&lt;&gt;Rejected",BB___HK___AMHS__Others[YearMonth],"2024-08")</f>
        <v>0</v>
      </c>
      <c r="CS319" s="62">
        <f>SUMIFS(BB___HK___AMHS__Others[AR Amount],BB___HK___AMHS__Others[PO No.],AR_725[[#This Row],[tsmc PO '#]],BB___HK___AMHS__Others[Status],"&lt;&gt;Rejected",BB___HK___AMHS__Others[YearMonth],"2024-09")</f>
        <v>0</v>
      </c>
      <c r="CT319" s="601">
        <f>SUMIFS(BB___HK___AMHS__Others[Tax],BB___HK___AMHS__Others[PO No.],AR_725[[#This Row],[tsmc PO '#]],BB___HK___AMHS__Others[Status],"&lt;&gt;Rejected",BB___HK___AMHS__Others[YearMonth],"2024-09")</f>
        <v>0</v>
      </c>
    </row>
    <row r="320" spans="1:98" ht="15" customHeight="1">
      <c r="A320" s="30" t="s">
        <v>9</v>
      </c>
      <c r="B320" s="30" t="s">
        <v>2051</v>
      </c>
      <c r="D320" s="50" t="s">
        <v>1546</v>
      </c>
      <c r="E320" s="57" t="s">
        <v>2052</v>
      </c>
      <c r="F320" s="48" t="s">
        <v>2135</v>
      </c>
      <c r="G320" s="48" t="s">
        <v>337</v>
      </c>
      <c r="H320" s="50" t="s">
        <v>136</v>
      </c>
      <c r="I320" s="30" t="s">
        <v>135</v>
      </c>
      <c r="J320" s="30" t="s">
        <v>137</v>
      </c>
      <c r="K320" s="46">
        <v>2694457</v>
      </c>
      <c r="L320" s="30" t="s">
        <v>2062</v>
      </c>
      <c r="M320" s="86">
        <v>44468</v>
      </c>
      <c r="N320" s="87" t="s">
        <v>2063</v>
      </c>
      <c r="O320" s="30" t="s">
        <v>2064</v>
      </c>
      <c r="P32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2576070.2599999998</v>
      </c>
      <c r="Q32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1972112.8199999998</v>
      </c>
      <c r="R32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2536275.9000000004</v>
      </c>
      <c r="S320" s="72">
        <f>IF(AR_725[[#This Row],[PO Amount]]=0,1,AR_725[[#This Row],[Total AR (Sent)]]/AR_725[[#This Row],[PO Amount]])</f>
        <v>0.956062857933899</v>
      </c>
      <c r="T320" s="45">
        <f>AR_725[[#This Row],[PO Amount]]-AR_725[[#This Row],[Total AR (Sent)]]</f>
        <v>118386.74000000022</v>
      </c>
      <c r="U320" s="40"/>
      <c r="V320" s="40"/>
      <c r="W320" s="46">
        <v>0</v>
      </c>
      <c r="X320" s="46"/>
      <c r="Y320" s="46"/>
      <c r="Z320" s="46"/>
      <c r="AA320" s="37">
        <v>235239</v>
      </c>
      <c r="AB320" s="46"/>
      <c r="AC320" s="41"/>
      <c r="AD320" s="41"/>
      <c r="AE320" s="46"/>
      <c r="AF320" s="46"/>
      <c r="AG320" s="41"/>
      <c r="AH320" s="46"/>
      <c r="AI320" s="34"/>
      <c r="AJ320" s="34"/>
      <c r="AK320" s="41"/>
      <c r="AL320" s="34"/>
      <c r="AM320" s="34"/>
      <c r="AN320" s="40"/>
      <c r="AO320" s="41">
        <v>351481.57</v>
      </c>
      <c r="AP320" s="46"/>
      <c r="AQ320" s="41">
        <f>306893.916116952-306893.916116952</f>
        <v>0</v>
      </c>
      <c r="AR320" s="82"/>
      <c r="AS320" s="42">
        <f>295469.9-73782.97</f>
        <v>221686.93000000002</v>
      </c>
      <c r="AT320" s="44"/>
      <c r="AU320" s="34">
        <f>289389.06235381-289389.06235381</f>
        <v>0</v>
      </c>
      <c r="AV320" s="44"/>
      <c r="AW320" s="34"/>
      <c r="AX320" s="44"/>
      <c r="AY320" s="42">
        <f>45804.4769175428+409178.843082457</f>
        <v>454983.31999999983</v>
      </c>
      <c r="AZ320" s="44"/>
      <c r="BA320" s="70">
        <f>148704.432366722-148704.432366722</f>
        <v>0</v>
      </c>
      <c r="BB320" s="44"/>
      <c r="BC320" s="41">
        <f>340874.325691754-340874.325691754</f>
        <v>0</v>
      </c>
      <c r="BD320" s="41"/>
      <c r="BE320" s="47">
        <v>235377</v>
      </c>
      <c r="BF320" s="34"/>
      <c r="BG320" s="42">
        <f>340874.325691754-254827.325691754</f>
        <v>86047</v>
      </c>
      <c r="BH320" s="34"/>
      <c r="BI320" s="42">
        <f>245461.106893561-209449.106893561</f>
        <v>36012</v>
      </c>
      <c r="BJ320" s="34"/>
      <c r="BK320" s="34">
        <f>206366.180837484-206366.180837484</f>
        <v>0</v>
      </c>
      <c r="BL320" s="44"/>
      <c r="BM320" s="34"/>
      <c r="BN320" s="34"/>
      <c r="BO320" s="40"/>
      <c r="BP320" s="34"/>
      <c r="BQ320" s="81">
        <v>17516</v>
      </c>
      <c r="BR320" s="40"/>
      <c r="BS320" s="40"/>
      <c r="BT320" s="40"/>
      <c r="BU320" s="40"/>
      <c r="BV320" s="40"/>
      <c r="BW320" s="40"/>
      <c r="BX320" s="34"/>
      <c r="BZ320" s="40"/>
      <c r="CA320" s="47">
        <v>222627</v>
      </c>
      <c r="CB320" s="34"/>
      <c r="CC320" s="34"/>
      <c r="CD320" s="34"/>
      <c r="CE320" s="42">
        <v>111143</v>
      </c>
      <c r="CF320" s="34"/>
      <c r="CG320" s="122"/>
      <c r="CI320" s="116">
        <v>235720.5</v>
      </c>
      <c r="CJ320" s="30"/>
      <c r="CK320" s="122">
        <v>110883.64</v>
      </c>
      <c r="CL320" s="122">
        <v>0</v>
      </c>
      <c r="CM320" s="122">
        <v>217558.94</v>
      </c>
      <c r="CN320" s="122">
        <v>0</v>
      </c>
      <c r="CO320" s="122">
        <f>SUMIFS(BB___HK___AMHS__Others[AR Amount],BB___HK___AMHS__Others[PO No.],AR_725[[#This Row],[tsmc PO '#]],BB___HK___AMHS__Others[Status],"&lt;&gt;Rejected",BB___HK___AMHS__Others[YearMonth],"2024-07")</f>
        <v>0</v>
      </c>
      <c r="CP320" s="122">
        <f>SUMIFS(BB___HK___AMHS__Others[Tax],BB___HK___AMHS__Others[PO No.],AR_725[[#This Row],[tsmc PO '#]],BB___HK___AMHS__Others[Status],"&lt;&gt;Rejected",BB___HK___AMHS__Others[YearMonth],"2024-07")</f>
        <v>0</v>
      </c>
      <c r="CQ320" s="34">
        <f>SUMIFS(BB___HK___AMHS__Others[AR Amount],BB___HK___AMHS__Others[PO No.],AR_725[[#This Row],[tsmc PO '#]],BB___HK___AMHS__Others[Status],"&lt;&gt;Rejected",BB___HK___AMHS__Others[YearMonth],"2024-08")</f>
        <v>0</v>
      </c>
      <c r="CR320" s="44">
        <f>SUMIFS(BB___HK___AMHS__Others[Tax],BB___HK___AMHS__Others[PO No.],AR_725[[#This Row],[tsmc PO '#]],BB___HK___AMHS__Others[Status],"&lt;&gt;Rejected",BB___HK___AMHS__Others[YearMonth],"2024-08")</f>
        <v>0</v>
      </c>
      <c r="CS320" s="62">
        <f>SUMIFS(BB___HK___AMHS__Others[AR Amount],BB___HK___AMHS__Others[PO No.],AR_725[[#This Row],[tsmc PO '#]],BB___HK___AMHS__Others[Status],"&lt;&gt;Rejected",BB___HK___AMHS__Others[YearMonth],"2024-09")</f>
        <v>39794.36</v>
      </c>
      <c r="CT320" s="601">
        <f>SUMIFS(BB___HK___AMHS__Others[Tax],BB___HK___AMHS__Others[PO No.],AR_725[[#This Row],[tsmc PO '#]],BB___HK___AMHS__Others[Status],"&lt;&gt;Rejected",BB___HK___AMHS__Others[YearMonth],"2024-09")</f>
        <v>0</v>
      </c>
    </row>
    <row r="321" spans="1:98" ht="15" customHeight="1">
      <c r="A321" s="30" t="s">
        <v>11</v>
      </c>
      <c r="B321" s="30" t="s">
        <v>2051</v>
      </c>
      <c r="D321" s="50" t="s">
        <v>1546</v>
      </c>
      <c r="E321" s="48" t="s">
        <v>2052</v>
      </c>
      <c r="F321" s="35" t="s">
        <v>2086</v>
      </c>
      <c r="G321" s="50" t="s">
        <v>1497</v>
      </c>
      <c r="H321" s="50" t="s">
        <v>201</v>
      </c>
      <c r="I321" s="30" t="s">
        <v>190</v>
      </c>
      <c r="J321" s="30" t="s">
        <v>202</v>
      </c>
      <c r="K321" s="41">
        <v>5642423.1500000004</v>
      </c>
      <c r="L321" s="30" t="s">
        <v>2054</v>
      </c>
      <c r="M321" s="86">
        <v>44703</v>
      </c>
      <c r="N321" s="87" t="s">
        <v>2063</v>
      </c>
      <c r="O321" s="88" t="s">
        <v>2056</v>
      </c>
      <c r="P32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4895912.959999999</v>
      </c>
      <c r="Q32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4599383.75</v>
      </c>
      <c r="R32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4773421.6099999994</v>
      </c>
      <c r="S321" s="72">
        <f>IF(AR_725[[#This Row],[PO Amount]]=0,1,AR_725[[#This Row],[Total AR (Sent)]]/AR_725[[#This Row],[PO Amount]])</f>
        <v>0.86769687948696272</v>
      </c>
      <c r="T321" s="39">
        <f>AR_725[[#This Row],[PO Amount]]-AR_725[[#This Row],[Total AR (Sent)]]</f>
        <v>746510.19000000134</v>
      </c>
      <c r="U321" s="40"/>
      <c r="V321" s="40"/>
      <c r="W321" s="41"/>
      <c r="X321" s="41"/>
      <c r="Y321" s="41"/>
      <c r="Z321" s="41"/>
      <c r="AA321" s="41"/>
      <c r="AB321" s="40"/>
      <c r="AC321" s="40"/>
      <c r="AD321" s="40"/>
      <c r="AE321" s="41"/>
      <c r="AF321" s="41"/>
      <c r="AG321" s="41"/>
      <c r="AH321" s="41"/>
      <c r="AI321" s="34"/>
      <c r="AJ321" s="34"/>
      <c r="AK321" s="34"/>
      <c r="AL321" s="34"/>
      <c r="AM321" s="34"/>
      <c r="AN321" s="34"/>
      <c r="AO321" s="34"/>
      <c r="AP321" s="34"/>
      <c r="AQ321" s="34"/>
      <c r="AR321" s="102"/>
      <c r="AS321" s="34"/>
      <c r="AT321" s="44"/>
      <c r="AU321" s="34"/>
      <c r="AV321" s="44"/>
      <c r="AW321" s="42">
        <v>688208</v>
      </c>
      <c r="AX321" s="44"/>
      <c r="AY321" s="34"/>
      <c r="AZ321" s="44"/>
      <c r="BA321" s="42">
        <v>148994</v>
      </c>
      <c r="BB321" s="44"/>
      <c r="BC321" s="41"/>
      <c r="BD321" s="41"/>
      <c r="BE321" s="34"/>
      <c r="BF321" s="34"/>
      <c r="BG321" s="34"/>
      <c r="BH321" s="34"/>
      <c r="BI321" s="42">
        <v>2605938</v>
      </c>
      <c r="BJ321" s="34"/>
      <c r="BK321" s="34"/>
      <c r="BL321" s="44"/>
      <c r="BM321" s="34"/>
      <c r="BN321" s="34"/>
      <c r="BO321" s="34"/>
      <c r="BP321" s="34"/>
      <c r="BQ321" s="34"/>
      <c r="BR321" s="40"/>
      <c r="BS321" s="34"/>
      <c r="BT321" s="40"/>
      <c r="BU321" s="34"/>
      <c r="BV321" s="40"/>
      <c r="BW321" s="34"/>
      <c r="BX321" s="34"/>
      <c r="BY321" s="34"/>
      <c r="BZ321" s="40"/>
      <c r="CA321" s="42">
        <v>808949</v>
      </c>
      <c r="CB321" s="34"/>
      <c r="CC321" s="42">
        <v>107025</v>
      </c>
      <c r="CD321" s="34"/>
      <c r="CE321" s="42">
        <v>181915</v>
      </c>
      <c r="CF321" s="34"/>
      <c r="CG321" s="125">
        <v>58354.75</v>
      </c>
      <c r="CI321" s="116">
        <v>60082.96</v>
      </c>
      <c r="CJ321" s="30"/>
      <c r="CK321" s="122">
        <v>28704.26</v>
      </c>
      <c r="CL321" s="122">
        <v>0</v>
      </c>
      <c r="CM321" s="122">
        <v>16420</v>
      </c>
      <c r="CN321" s="122">
        <v>0</v>
      </c>
      <c r="CO321" s="34">
        <f>SUMIFS(BB___HK___AMHS__Others[AR Amount],BB___HK___AMHS__Others[PO No.],AR_725[[#This Row],[tsmc PO '#]],BB___HK___AMHS__Others[Status],"&lt;&gt;Rejected",BB___HK___AMHS__Others[YearMonth],"2024-07")</f>
        <v>8668.75</v>
      </c>
      <c r="CP321" s="122">
        <f>SUMIFS(BB___HK___AMHS__Others[Tax],BB___HK___AMHS__Others[PO No.],AR_725[[#This Row],[tsmc PO '#]],BB___HK___AMHS__Others[Status],"&lt;&gt;Rejected",BB___HK___AMHS__Others[YearMonth],"2024-07")</f>
        <v>0</v>
      </c>
      <c r="CQ321" s="34">
        <f>SUMIFS(BB___HK___AMHS__Others[AR Amount],BB___HK___AMHS__Others[PO No.],AR_725[[#This Row],[tsmc PO '#]],BB___HK___AMHS__Others[Status],"&lt;&gt;Rejected",BB___HK___AMHS__Others[YearMonth],"2024-08")</f>
        <v>60161.89</v>
      </c>
      <c r="CR321" s="44">
        <f>SUMIFS(BB___HK___AMHS__Others[Tax],BB___HK___AMHS__Others[PO No.],AR_725[[#This Row],[tsmc PO '#]],BB___HK___AMHS__Others[Status],"&lt;&gt;Rejected",BB___HK___AMHS__Others[YearMonth],"2024-08")</f>
        <v>0</v>
      </c>
      <c r="CS321" s="62">
        <f>SUMIFS(BB___HK___AMHS__Others[AR Amount],BB___HK___AMHS__Others[PO No.],AR_725[[#This Row],[tsmc PO '#]],BB___HK___AMHS__Others[Status],"&lt;&gt;Rejected",BB___HK___AMHS__Others[YearMonth],"2024-09")</f>
        <v>122491.35</v>
      </c>
      <c r="CT321" s="601">
        <f>SUMIFS(BB___HK___AMHS__Others[Tax],BB___HK___AMHS__Others[PO No.],AR_725[[#This Row],[tsmc PO '#]],BB___HK___AMHS__Others[Status],"&lt;&gt;Rejected",BB___HK___AMHS__Others[YearMonth],"2024-09")</f>
        <v>0</v>
      </c>
    </row>
    <row r="322" spans="1:98" ht="15" customHeight="1">
      <c r="A322" s="30" t="s">
        <v>11</v>
      </c>
      <c r="B322" s="30" t="s">
        <v>2051</v>
      </c>
      <c r="D322" s="50" t="s">
        <v>1546</v>
      </c>
      <c r="E322" s="604" t="s">
        <v>2052</v>
      </c>
      <c r="F322" s="35" t="s">
        <v>2086</v>
      </c>
      <c r="G322" s="50" t="s">
        <v>1497</v>
      </c>
      <c r="H322" s="50" t="s">
        <v>204</v>
      </c>
      <c r="I322" s="30" t="s">
        <v>190</v>
      </c>
      <c r="J322" s="30" t="s">
        <v>205</v>
      </c>
      <c r="K322" s="41">
        <v>5786087.3700000001</v>
      </c>
      <c r="L322" s="30" t="s">
        <v>2054</v>
      </c>
      <c r="M322" s="86">
        <v>44703</v>
      </c>
      <c r="N322" s="87" t="s">
        <v>2063</v>
      </c>
      <c r="O322" s="88" t="s">
        <v>2056</v>
      </c>
      <c r="P32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4700172.709999999</v>
      </c>
      <c r="Q32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4333176.47</v>
      </c>
      <c r="R32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4610793.4299999988</v>
      </c>
      <c r="S322" s="72">
        <f>IF(AR_725[[#This Row],[PO Amount]]=0,1,AR_725[[#This Row],[Total AR (Sent)]]/AR_725[[#This Row],[PO Amount]])</f>
        <v>0.81232314851823595</v>
      </c>
      <c r="T322" s="39">
        <f>AR_725[[#This Row],[PO Amount]]-AR_725[[#This Row],[Total AR (Sent)]]</f>
        <v>1085914.6600000011</v>
      </c>
      <c r="U322" s="40"/>
      <c r="V322" s="40"/>
      <c r="W322" s="41"/>
      <c r="X322" s="41"/>
      <c r="Y322" s="41"/>
      <c r="Z322" s="41"/>
      <c r="AA322" s="41"/>
      <c r="AB322" s="40"/>
      <c r="AC322" s="40"/>
      <c r="AD322" s="40"/>
      <c r="AE322" s="41"/>
      <c r="AF322" s="41"/>
      <c r="AG322" s="41"/>
      <c r="AH322" s="41"/>
      <c r="AI322" s="34"/>
      <c r="AJ322" s="34"/>
      <c r="AK322" s="34"/>
      <c r="AL322" s="34"/>
      <c r="AM322" s="34"/>
      <c r="AN322" s="34"/>
      <c r="AO322" s="34"/>
      <c r="AP322" s="34"/>
      <c r="AQ322" s="34"/>
      <c r="AR322" s="102"/>
      <c r="AS322" s="34"/>
      <c r="AT322" s="44"/>
      <c r="AU322" s="34"/>
      <c r="AV322" s="44"/>
      <c r="AW322" s="42">
        <v>778836</v>
      </c>
      <c r="AX322" s="44"/>
      <c r="AY322" s="34"/>
      <c r="AZ322" s="44"/>
      <c r="BA322" s="42">
        <v>122562</v>
      </c>
      <c r="BB322" s="44"/>
      <c r="BC322" s="41"/>
      <c r="BD322" s="41"/>
      <c r="BE322" s="34"/>
      <c r="BF322" s="34"/>
      <c r="BG322" s="34"/>
      <c r="BH322" s="34"/>
      <c r="BI322" s="42">
        <v>2920636</v>
      </c>
      <c r="BJ322" s="34"/>
      <c r="BK322" s="34"/>
      <c r="BL322" s="44"/>
      <c r="BM322" s="34"/>
      <c r="BN322" s="34"/>
      <c r="BO322" s="34"/>
      <c r="BP322" s="34"/>
      <c r="BQ322" s="34"/>
      <c r="BR322" s="40"/>
      <c r="BS322" s="34"/>
      <c r="BT322" s="40"/>
      <c r="BU322" s="34"/>
      <c r="BV322" s="40"/>
      <c r="BW322" s="34"/>
      <c r="BX322" s="34"/>
      <c r="BY322" s="34"/>
      <c r="BZ322" s="40"/>
      <c r="CA322" s="42">
        <v>310138</v>
      </c>
      <c r="CB322" s="34"/>
      <c r="CC322" s="42">
        <v>40683</v>
      </c>
      <c r="CD322" s="34"/>
      <c r="CE322" s="42">
        <v>121588</v>
      </c>
      <c r="CF322" s="34"/>
      <c r="CG322" s="125">
        <v>38733.47</v>
      </c>
      <c r="CI322" s="116">
        <v>139281.13</v>
      </c>
      <c r="CJ322" s="30"/>
      <c r="CK322" s="122">
        <v>72254.75</v>
      </c>
      <c r="CL322" s="122">
        <v>0</v>
      </c>
      <c r="CM322" s="122">
        <v>50041.52</v>
      </c>
      <c r="CN322" s="122">
        <v>0</v>
      </c>
      <c r="CO322" s="34">
        <f>SUMIFS(BB___HK___AMHS__Others[AR Amount],BB___HK___AMHS__Others[PO No.],AR_725[[#This Row],[tsmc PO '#]],BB___HK___AMHS__Others[Status],"&lt;&gt;Rejected",BB___HK___AMHS__Others[YearMonth],"2024-07")</f>
        <v>3844.93</v>
      </c>
      <c r="CP322" s="122">
        <f>SUMIFS(BB___HK___AMHS__Others[Tax],BB___HK___AMHS__Others[PO No.],AR_725[[#This Row],[tsmc PO '#]],BB___HK___AMHS__Others[Status],"&lt;&gt;Rejected",BB___HK___AMHS__Others[YearMonth],"2024-07")</f>
        <v>0</v>
      </c>
      <c r="CQ322" s="34">
        <f>SUMIFS(BB___HK___AMHS__Others[AR Amount],BB___HK___AMHS__Others[PO No.],AR_725[[#This Row],[tsmc PO '#]],BB___HK___AMHS__Others[Status],"&lt;&gt;Rejected",BB___HK___AMHS__Others[YearMonth],"2024-08")</f>
        <v>12194.63</v>
      </c>
      <c r="CR322" s="44">
        <f>SUMIFS(BB___HK___AMHS__Others[Tax],BB___HK___AMHS__Others[PO No.],AR_725[[#This Row],[tsmc PO '#]],BB___HK___AMHS__Others[Status],"&lt;&gt;Rejected",BB___HK___AMHS__Others[YearMonth],"2024-08")</f>
        <v>0</v>
      </c>
      <c r="CS322" s="62">
        <f>SUMIFS(BB___HK___AMHS__Others[AR Amount],BB___HK___AMHS__Others[PO No.],AR_725[[#This Row],[tsmc PO '#]],BB___HK___AMHS__Others[Status],"&lt;&gt;Rejected",BB___HK___AMHS__Others[YearMonth],"2024-09")</f>
        <v>89379.28</v>
      </c>
      <c r="CT322" s="601">
        <f>SUMIFS(BB___HK___AMHS__Others[Tax],BB___HK___AMHS__Others[PO No.],AR_725[[#This Row],[tsmc PO '#]],BB___HK___AMHS__Others[Status],"&lt;&gt;Rejected",BB___HK___AMHS__Others[YearMonth],"2024-09")</f>
        <v>0</v>
      </c>
    </row>
    <row r="323" spans="1:98" ht="15" hidden="1" customHeight="1">
      <c r="A323" s="30" t="s">
        <v>11</v>
      </c>
      <c r="B323" s="30" t="s">
        <v>2051</v>
      </c>
      <c r="D323" s="50" t="s">
        <v>1720</v>
      </c>
      <c r="E323" s="48" t="s">
        <v>2060</v>
      </c>
      <c r="F323" s="292" t="s">
        <v>2060</v>
      </c>
      <c r="G323" s="48" t="s">
        <v>312</v>
      </c>
      <c r="H323" s="50" t="s">
        <v>231</v>
      </c>
      <c r="I323" s="30" t="s">
        <v>104</v>
      </c>
      <c r="J323" s="30" t="s">
        <v>232</v>
      </c>
      <c r="K323" s="46">
        <v>375151</v>
      </c>
      <c r="L323" s="30" t="s">
        <v>2062</v>
      </c>
      <c r="M323" s="86">
        <v>44784</v>
      </c>
      <c r="N323" s="87" t="s">
        <v>2063</v>
      </c>
      <c r="O323" s="88" t="s">
        <v>2104</v>
      </c>
      <c r="P32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356385</v>
      </c>
      <c r="Q32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300771</v>
      </c>
      <c r="R32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356385</v>
      </c>
      <c r="S323" s="72">
        <f>IF(AR_725[[#This Row],[PO Amount]]=0,1,AR_725[[#This Row],[Total AR (Sent)]]/AR_725[[#This Row],[PO Amount]])</f>
        <v>0.94997747573643676</v>
      </c>
      <c r="T323" s="75">
        <f>AR_725[[#This Row],[PO Amount]]-AR_725[[#This Row],[Total AR (Sent)]]</f>
        <v>18766</v>
      </c>
      <c r="U323" s="40"/>
      <c r="V323" s="40"/>
      <c r="W323" s="46"/>
      <c r="X323" s="46"/>
      <c r="Y323" s="46"/>
      <c r="Z323" s="46"/>
      <c r="AA323" s="46"/>
      <c r="AB323" s="40"/>
      <c r="AC323" s="40"/>
      <c r="AD323" s="40"/>
      <c r="AE323" s="46"/>
      <c r="AF323" s="46"/>
      <c r="AG323" s="46"/>
      <c r="AH323" s="46"/>
      <c r="AI323" s="41"/>
      <c r="AJ323" s="41"/>
      <c r="AK323" s="41"/>
      <c r="AL323" s="46"/>
      <c r="AM323" s="41"/>
      <c r="AN323" s="46"/>
      <c r="AO323" s="41"/>
      <c r="AP323" s="46"/>
      <c r="AQ323" s="41"/>
      <c r="AR323" s="82"/>
      <c r="AS323" s="41"/>
      <c r="AT323" s="83"/>
      <c r="AU323" s="41"/>
      <c r="AV323" s="83"/>
      <c r="AW323" s="41"/>
      <c r="AX323" s="83"/>
      <c r="AY323" s="53">
        <v>74489</v>
      </c>
      <c r="AZ323" s="83"/>
      <c r="BA323" s="46"/>
      <c r="BB323" s="83"/>
      <c r="BC323" s="41"/>
      <c r="BD323" s="41"/>
      <c r="BE323" s="42">
        <v>114541</v>
      </c>
      <c r="BF323" s="41"/>
      <c r="BG323" s="41"/>
      <c r="BH323" s="41"/>
      <c r="BI323" s="42">
        <v>75647</v>
      </c>
      <c r="BJ323" s="41"/>
      <c r="BK323" s="41"/>
      <c r="BL323" s="83"/>
      <c r="BM323" s="41"/>
      <c r="BN323" s="41"/>
      <c r="BO323" s="46"/>
      <c r="BP323" s="41"/>
      <c r="BQ323" s="46"/>
      <c r="BR323" s="40"/>
      <c r="BS323" s="47">
        <v>36094</v>
      </c>
      <c r="BT323" s="40"/>
      <c r="BU323" s="40"/>
      <c r="BV323" s="40"/>
      <c r="BW323" s="40"/>
      <c r="BX323" s="34"/>
      <c r="BZ323" s="40"/>
      <c r="CA323" s="40"/>
      <c r="CB323" s="34"/>
      <c r="CC323" s="34"/>
      <c r="CD323" s="34"/>
      <c r="CE323" s="34"/>
      <c r="CF323" s="34"/>
      <c r="CG323" s="122"/>
      <c r="CI323" s="116">
        <v>34253</v>
      </c>
      <c r="CJ323" s="30"/>
      <c r="CK323" s="122">
        <v>0</v>
      </c>
      <c r="CL323" s="122">
        <v>0</v>
      </c>
      <c r="CM323" s="122">
        <v>0</v>
      </c>
      <c r="CN323" s="122">
        <v>0</v>
      </c>
      <c r="CO323" s="122">
        <f>SUMIFS(BB___HK___AMHS__Others[AR Amount],BB___HK___AMHS__Others[PO No.],AR_725[[#This Row],[tsmc PO '#]],BB___HK___AMHS__Others[Status],"&lt;&gt;Rejected",BB___HK___AMHS__Others[YearMonth],"2024-07")</f>
        <v>21361</v>
      </c>
      <c r="CP323" s="122">
        <f>SUMIFS(BB___HK___AMHS__Others[Tax],BB___HK___AMHS__Others[PO No.],AR_725[[#This Row],[tsmc PO '#]],BB___HK___AMHS__Others[Status],"&lt;&gt;Rejected",BB___HK___AMHS__Others[YearMonth],"2024-07")</f>
        <v>0</v>
      </c>
      <c r="CQ323" s="34">
        <f>SUMIFS(BB___HK___AMHS__Others[AR Amount],BB___HK___AMHS__Others[PO No.],AR_725[[#This Row],[tsmc PO '#]],BB___HK___AMHS__Others[Status],"&lt;&gt;Rejected",BB___HK___AMHS__Others[YearMonth],"2024-08")</f>
        <v>0</v>
      </c>
      <c r="CR323" s="44">
        <f>SUMIFS(BB___HK___AMHS__Others[Tax],BB___HK___AMHS__Others[PO No.],AR_725[[#This Row],[tsmc PO '#]],BB___HK___AMHS__Others[Status],"&lt;&gt;Rejected",BB___HK___AMHS__Others[YearMonth],"2024-08")</f>
        <v>0</v>
      </c>
      <c r="CS323" s="62">
        <f>SUMIFS(BB___HK___AMHS__Others[AR Amount],BB___HK___AMHS__Others[PO No.],AR_725[[#This Row],[tsmc PO '#]],BB___HK___AMHS__Others[Status],"&lt;&gt;Rejected",BB___HK___AMHS__Others[YearMonth],"2024-09")</f>
        <v>0</v>
      </c>
      <c r="CT323" s="601">
        <f>SUMIFS(BB___HK___AMHS__Others[Tax],BB___HK___AMHS__Others[PO No.],AR_725[[#This Row],[tsmc PO '#]],BB___HK___AMHS__Others[Status],"&lt;&gt;Rejected",BB___HK___AMHS__Others[YearMonth],"2024-09")</f>
        <v>0</v>
      </c>
    </row>
    <row r="324" spans="1:98" ht="15" hidden="1" customHeight="1">
      <c r="A324" s="30" t="s">
        <v>11</v>
      </c>
      <c r="B324" s="30" t="s">
        <v>2051</v>
      </c>
      <c r="D324" s="50" t="s">
        <v>1759</v>
      </c>
      <c r="E324" s="50" t="s">
        <v>2065</v>
      </c>
      <c r="F324" s="292" t="s">
        <v>2114</v>
      </c>
      <c r="G324" s="57" t="s">
        <v>312</v>
      </c>
      <c r="H324" s="50" t="s">
        <v>338</v>
      </c>
      <c r="I324" s="30" t="s">
        <v>120</v>
      </c>
      <c r="J324" s="30" t="s">
        <v>339</v>
      </c>
      <c r="K324" s="46">
        <v>1016707</v>
      </c>
      <c r="L324" s="30" t="s">
        <v>2062</v>
      </c>
      <c r="M324" s="86">
        <v>44784</v>
      </c>
      <c r="N324" s="87" t="s">
        <v>2063</v>
      </c>
      <c r="O324" s="88" t="s">
        <v>2104</v>
      </c>
      <c r="P32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855855</v>
      </c>
      <c r="Q32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855855</v>
      </c>
      <c r="R32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855855</v>
      </c>
      <c r="S324" s="72">
        <f>IF(AR_725[[#This Row],[PO Amount]]=0,1,AR_725[[#This Row],[Total AR (Sent)]]/AR_725[[#This Row],[PO Amount]])</f>
        <v>0.84179119451326689</v>
      </c>
      <c r="T324" s="45">
        <f>AR_725[[#This Row],[PO Amount]]-AR_725[[#This Row],[Total AR (Sent)]]</f>
        <v>160852</v>
      </c>
      <c r="U324" s="40"/>
      <c r="V324" s="40"/>
      <c r="W324" s="46"/>
      <c r="X324" s="46"/>
      <c r="Y324" s="46"/>
      <c r="Z324" s="46"/>
      <c r="AA324" s="46"/>
      <c r="AB324" s="40"/>
      <c r="AC324" s="40"/>
      <c r="AD324" s="40"/>
      <c r="AE324" s="46"/>
      <c r="AF324" s="46"/>
      <c r="AG324" s="46"/>
      <c r="AH324" s="46"/>
      <c r="AI324" s="34"/>
      <c r="AJ324" s="34"/>
      <c r="AK324" s="34"/>
      <c r="AL324" s="40"/>
      <c r="AM324" s="34"/>
      <c r="AN324" s="40"/>
      <c r="AO324" s="34"/>
      <c r="AP324" s="40"/>
      <c r="AQ324" s="34"/>
      <c r="AR324" s="102"/>
      <c r="AS324" s="34"/>
      <c r="AT324" s="44"/>
      <c r="AU324" s="34"/>
      <c r="AV324" s="44"/>
      <c r="AW324" s="34"/>
      <c r="AX324" s="44"/>
      <c r="AY324" s="34"/>
      <c r="AZ324" s="44"/>
      <c r="BA324" s="40"/>
      <c r="BB324" s="44"/>
      <c r="BC324" s="41"/>
      <c r="BD324" s="41"/>
      <c r="BE324" s="42">
        <v>81528</v>
      </c>
      <c r="BF324" s="34"/>
      <c r="BG324" s="42">
        <v>428150</v>
      </c>
      <c r="BH324" s="34"/>
      <c r="BI324" s="42">
        <v>2825</v>
      </c>
      <c r="BJ324" s="34"/>
      <c r="BK324" s="34"/>
      <c r="BL324" s="44"/>
      <c r="BM324" s="34"/>
      <c r="BN324" s="34"/>
      <c r="BO324" s="40"/>
      <c r="BP324" s="34"/>
      <c r="BQ324" s="40"/>
      <c r="BR324" s="40"/>
      <c r="BS324" s="47">
        <v>302421</v>
      </c>
      <c r="BT324" s="40"/>
      <c r="BU324" s="40"/>
      <c r="BV324" s="40"/>
      <c r="BW324" s="47">
        <v>40931</v>
      </c>
      <c r="BX324" s="34"/>
      <c r="BZ324" s="40"/>
      <c r="CA324" s="40"/>
      <c r="CB324" s="34"/>
      <c r="CC324" s="34"/>
      <c r="CD324" s="34"/>
      <c r="CE324" s="34"/>
      <c r="CF324" s="34"/>
      <c r="CG324" s="122"/>
      <c r="CI324" s="122"/>
      <c r="CJ324" s="30"/>
      <c r="CK324" s="122">
        <v>0</v>
      </c>
      <c r="CL324" s="122">
        <v>0</v>
      </c>
      <c r="CM324" s="122">
        <v>0</v>
      </c>
      <c r="CN324" s="122">
        <v>0</v>
      </c>
      <c r="CO324" s="122">
        <f>SUMIFS(BB___HK___AMHS__Others[AR Amount],BB___HK___AMHS__Others[PO No.],AR_725[[#This Row],[tsmc PO '#]],BB___HK___AMHS__Others[Status],"&lt;&gt;Rejected",BB___HK___AMHS__Others[YearMonth],"2024-07")</f>
        <v>0</v>
      </c>
      <c r="CP324" s="122">
        <f>SUMIFS(BB___HK___AMHS__Others[Tax],BB___HK___AMHS__Others[PO No.],AR_725[[#This Row],[tsmc PO '#]],BB___HK___AMHS__Others[Status],"&lt;&gt;Rejected",BB___HK___AMHS__Others[YearMonth],"2024-07")</f>
        <v>0</v>
      </c>
      <c r="CQ324" s="34">
        <f>SUMIFS(BB___HK___AMHS__Others[AR Amount],BB___HK___AMHS__Others[PO No.],AR_725[[#This Row],[tsmc PO '#]],BB___HK___AMHS__Others[Status],"&lt;&gt;Rejected",BB___HK___AMHS__Others[YearMonth],"2024-08")</f>
        <v>0</v>
      </c>
      <c r="CR324" s="44">
        <f>SUMIFS(BB___HK___AMHS__Others[Tax],BB___HK___AMHS__Others[PO No.],AR_725[[#This Row],[tsmc PO '#]],BB___HK___AMHS__Others[Status],"&lt;&gt;Rejected",BB___HK___AMHS__Others[YearMonth],"2024-08")</f>
        <v>0</v>
      </c>
      <c r="CS324" s="62">
        <f>SUMIFS(BB___HK___AMHS__Others[AR Amount],BB___HK___AMHS__Others[PO No.],AR_725[[#This Row],[tsmc PO '#]],BB___HK___AMHS__Others[Status],"&lt;&gt;Rejected",BB___HK___AMHS__Others[YearMonth],"2024-09")</f>
        <v>0</v>
      </c>
      <c r="CT324" s="601">
        <f>SUMIFS(BB___HK___AMHS__Others[Tax],BB___HK___AMHS__Others[PO No.],AR_725[[#This Row],[tsmc PO '#]],BB___HK___AMHS__Others[Status],"&lt;&gt;Rejected",BB___HK___AMHS__Others[YearMonth],"2024-09")</f>
        <v>0</v>
      </c>
    </row>
    <row r="325" spans="1:98" ht="15" hidden="1" customHeight="1">
      <c r="A325" s="30" t="s">
        <v>11</v>
      </c>
      <c r="B325" s="30" t="s">
        <v>2051</v>
      </c>
      <c r="D325" s="50" t="s">
        <v>1720</v>
      </c>
      <c r="E325" s="48" t="s">
        <v>2060</v>
      </c>
      <c r="F325" s="104" t="s">
        <v>2060</v>
      </c>
      <c r="G325" s="57" t="s">
        <v>312</v>
      </c>
      <c r="H325" s="50" t="s">
        <v>234</v>
      </c>
      <c r="I325" s="30" t="s">
        <v>104</v>
      </c>
      <c r="J325" s="30" t="s">
        <v>235</v>
      </c>
      <c r="K325" s="46">
        <v>316495</v>
      </c>
      <c r="L325" s="30" t="s">
        <v>2062</v>
      </c>
      <c r="M325" s="86">
        <v>44784</v>
      </c>
      <c r="N325" s="87" t="s">
        <v>2063</v>
      </c>
      <c r="O325" s="88" t="s">
        <v>2104</v>
      </c>
      <c r="P32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300674</v>
      </c>
      <c r="Q32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285222</v>
      </c>
      <c r="R32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300674</v>
      </c>
      <c r="S325" s="72">
        <f>IF(AR_725[[#This Row],[PO Amount]]=0,1,AR_725[[#This Row],[Total AR (Sent)]]/AR_725[[#This Row],[PO Amount]])</f>
        <v>0.95001184852841281</v>
      </c>
      <c r="T325" s="75">
        <f>AR_725[[#This Row],[PO Amount]]-AR_725[[#This Row],[Total AR (Sent)]]</f>
        <v>15821</v>
      </c>
      <c r="U325" s="40"/>
      <c r="V325" s="40"/>
      <c r="W325" s="46"/>
      <c r="X325" s="46"/>
      <c r="Y325" s="46"/>
      <c r="Z325" s="46"/>
      <c r="AA325" s="46"/>
      <c r="AB325" s="40"/>
      <c r="AC325" s="40"/>
      <c r="AD325" s="40"/>
      <c r="AE325" s="46"/>
      <c r="AF325" s="46"/>
      <c r="AG325" s="46"/>
      <c r="AH325" s="46"/>
      <c r="AI325" s="41"/>
      <c r="AJ325" s="41"/>
      <c r="AK325" s="41"/>
      <c r="AL325" s="46"/>
      <c r="AM325" s="41"/>
      <c r="AN325" s="46"/>
      <c r="AO325" s="41"/>
      <c r="AP325" s="46"/>
      <c r="AQ325" s="41"/>
      <c r="AR325" s="82"/>
      <c r="AS325" s="41"/>
      <c r="AT325" s="83"/>
      <c r="AU325" s="41"/>
      <c r="AV325" s="83"/>
      <c r="AW325" s="41"/>
      <c r="AX325" s="83"/>
      <c r="AY325" s="53">
        <v>38397</v>
      </c>
      <c r="AZ325" s="83"/>
      <c r="BA325" s="46"/>
      <c r="BB325" s="83"/>
      <c r="BC325" s="41"/>
      <c r="BD325" s="41"/>
      <c r="BE325" s="46"/>
      <c r="BF325" s="41"/>
      <c r="BG325" s="47">
        <v>202105</v>
      </c>
      <c r="BH325" s="41"/>
      <c r="BI325" s="41"/>
      <c r="BJ325" s="41"/>
      <c r="BK325" s="41"/>
      <c r="BL325" s="83"/>
      <c r="BM325" s="41"/>
      <c r="BN325" s="41"/>
      <c r="BO325" s="46"/>
      <c r="BP325" s="41"/>
      <c r="BQ325" s="46"/>
      <c r="BR325" s="40"/>
      <c r="BS325" s="47">
        <v>44720</v>
      </c>
      <c r="BT325" s="40"/>
      <c r="BU325" s="40"/>
      <c r="BV325" s="40"/>
      <c r="BW325" s="40"/>
      <c r="BX325" s="34"/>
      <c r="BZ325" s="40"/>
      <c r="CA325" s="40"/>
      <c r="CB325" s="34"/>
      <c r="CC325" s="34"/>
      <c r="CD325" s="34"/>
      <c r="CE325" s="34"/>
      <c r="CF325" s="34"/>
      <c r="CG325" s="127"/>
      <c r="CH325" s="71"/>
      <c r="CI325" s="122"/>
      <c r="CJ325" s="30"/>
      <c r="CK325" s="122">
        <v>15452</v>
      </c>
      <c r="CL325" s="127">
        <v>0</v>
      </c>
      <c r="CM325" s="122">
        <v>0</v>
      </c>
      <c r="CN325" s="122">
        <v>0</v>
      </c>
      <c r="CO325" s="122">
        <f>SUMIFS(BB___HK___AMHS__Others[AR Amount],BB___HK___AMHS__Others[PO No.],AR_725[[#This Row],[tsmc PO '#]],BB___HK___AMHS__Others[Status],"&lt;&gt;Rejected",BB___HK___AMHS__Others[YearMonth],"2024-07")</f>
        <v>0</v>
      </c>
      <c r="CP325" s="122">
        <f>SUMIFS(BB___HK___AMHS__Others[Tax],BB___HK___AMHS__Others[PO No.],AR_725[[#This Row],[tsmc PO '#]],BB___HK___AMHS__Others[Status],"&lt;&gt;Rejected",BB___HK___AMHS__Others[YearMonth],"2024-07")</f>
        <v>0</v>
      </c>
      <c r="CQ325" s="34">
        <f>SUMIFS(BB___HK___AMHS__Others[AR Amount],BB___HK___AMHS__Others[PO No.],AR_725[[#This Row],[tsmc PO '#]],BB___HK___AMHS__Others[Status],"&lt;&gt;Rejected",BB___HK___AMHS__Others[YearMonth],"2024-08")</f>
        <v>0</v>
      </c>
      <c r="CR325" s="44">
        <f>SUMIFS(BB___HK___AMHS__Others[Tax],BB___HK___AMHS__Others[PO No.],AR_725[[#This Row],[tsmc PO '#]],BB___HK___AMHS__Others[Status],"&lt;&gt;Rejected",BB___HK___AMHS__Others[YearMonth],"2024-08")</f>
        <v>0</v>
      </c>
      <c r="CS325" s="62">
        <f>SUMIFS(BB___HK___AMHS__Others[AR Amount],BB___HK___AMHS__Others[PO No.],AR_725[[#This Row],[tsmc PO '#]],BB___HK___AMHS__Others[Status],"&lt;&gt;Rejected",BB___HK___AMHS__Others[YearMonth],"2024-09")</f>
        <v>0</v>
      </c>
      <c r="CT325" s="601">
        <f>SUMIFS(BB___HK___AMHS__Others[Tax],BB___HK___AMHS__Others[PO No.],AR_725[[#This Row],[tsmc PO '#]],BB___HK___AMHS__Others[Status],"&lt;&gt;Rejected",BB___HK___AMHS__Others[YearMonth],"2024-09")</f>
        <v>0</v>
      </c>
    </row>
    <row r="326" spans="1:98" ht="15" hidden="1" customHeight="1">
      <c r="A326" s="30" t="s">
        <v>11</v>
      </c>
      <c r="B326" s="30" t="s">
        <v>2051</v>
      </c>
      <c r="D326" s="50" t="s">
        <v>1759</v>
      </c>
      <c r="E326" s="50" t="s">
        <v>2065</v>
      </c>
      <c r="F326" s="48" t="s">
        <v>2114</v>
      </c>
      <c r="G326" s="48" t="s">
        <v>312</v>
      </c>
      <c r="H326" s="50" t="s">
        <v>371</v>
      </c>
      <c r="I326" s="30" t="s">
        <v>120</v>
      </c>
      <c r="J326" s="30" t="s">
        <v>372</v>
      </c>
      <c r="K326" s="41">
        <v>446279</v>
      </c>
      <c r="L326" s="30" t="s">
        <v>2062</v>
      </c>
      <c r="M326" s="86">
        <v>44784</v>
      </c>
      <c r="N326" s="87" t="s">
        <v>2063</v>
      </c>
      <c r="O326" s="88" t="s">
        <v>2104</v>
      </c>
      <c r="P32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414971.87</v>
      </c>
      <c r="Q32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329192</v>
      </c>
      <c r="R32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414971.87</v>
      </c>
      <c r="S326" s="72">
        <f>IF(AR_725[[#This Row],[PO Amount]]=0,1,AR_725[[#This Row],[Total AR (Sent)]]/AR_725[[#This Row],[PO Amount]])</f>
        <v>0.92984852524989969</v>
      </c>
      <c r="T326" s="68">
        <f>AR_725[[#This Row],[PO Amount]]-AR_725[[#This Row],[Total AR (Sent)]]</f>
        <v>31307.130000000005</v>
      </c>
      <c r="U326" s="40"/>
      <c r="V326" s="40"/>
      <c r="W326" s="41"/>
      <c r="X326" s="41"/>
      <c r="Y326" s="41"/>
      <c r="Z326" s="41"/>
      <c r="AA326" s="41"/>
      <c r="AB326" s="40"/>
      <c r="AC326" s="40"/>
      <c r="AD326" s="40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82"/>
      <c r="AS326" s="41"/>
      <c r="AT326" s="83"/>
      <c r="AU326" s="41"/>
      <c r="AV326" s="83"/>
      <c r="AW326" s="41"/>
      <c r="AX326" s="83"/>
      <c r="AY326" s="41"/>
      <c r="AZ326" s="83"/>
      <c r="BA326" s="41"/>
      <c r="BB326" s="83"/>
      <c r="BC326" s="41"/>
      <c r="BD326" s="41"/>
      <c r="BE326" s="41"/>
      <c r="BF326" s="41"/>
      <c r="BG326" s="42">
        <v>38937</v>
      </c>
      <c r="BH326" s="41"/>
      <c r="BI326" s="41"/>
      <c r="BJ326" s="41"/>
      <c r="BK326" s="41"/>
      <c r="BL326" s="83"/>
      <c r="BM326" s="41"/>
      <c r="BN326" s="41"/>
      <c r="BO326" s="41"/>
      <c r="BP326" s="41"/>
      <c r="BQ326" s="41"/>
      <c r="BR326" s="40"/>
      <c r="BS326" s="34"/>
      <c r="BT326" s="40"/>
      <c r="BU326" s="34"/>
      <c r="BV326" s="40"/>
      <c r="BW326" s="34"/>
      <c r="BX326" s="34"/>
      <c r="BY326" s="42">
        <v>32478</v>
      </c>
      <c r="BZ326" s="40"/>
      <c r="CA326" s="40"/>
      <c r="CB326" s="34"/>
      <c r="CC326" s="42">
        <v>170796</v>
      </c>
      <c r="CD326" s="34"/>
      <c r="CE326" s="42">
        <v>86981</v>
      </c>
      <c r="CF326" s="34"/>
      <c r="CG326" s="122"/>
      <c r="CI326" s="116">
        <v>43712.78</v>
      </c>
      <c r="CJ326" s="30"/>
      <c r="CK326" s="122">
        <v>0</v>
      </c>
      <c r="CL326" s="122">
        <v>0</v>
      </c>
      <c r="CM326" s="122">
        <v>42067.09</v>
      </c>
      <c r="CN326" s="122">
        <v>0</v>
      </c>
      <c r="CO326" s="122">
        <f>SUMIFS(BB___HK___AMHS__Others[AR Amount],BB___HK___AMHS__Others[PO No.],AR_725[[#This Row],[tsmc PO '#]],BB___HK___AMHS__Others[Status],"&lt;&gt;Rejected",BB___HK___AMHS__Others[YearMonth],"2024-07")</f>
        <v>0</v>
      </c>
      <c r="CP326" s="122">
        <f>SUMIFS(BB___HK___AMHS__Others[Tax],BB___HK___AMHS__Others[PO No.],AR_725[[#This Row],[tsmc PO '#]],BB___HK___AMHS__Others[Status],"&lt;&gt;Rejected",BB___HK___AMHS__Others[YearMonth],"2024-07")</f>
        <v>0</v>
      </c>
      <c r="CQ326" s="34">
        <f>SUMIFS(BB___HK___AMHS__Others[AR Amount],BB___HK___AMHS__Others[PO No.],AR_725[[#This Row],[tsmc PO '#]],BB___HK___AMHS__Others[Status],"&lt;&gt;Rejected",BB___HK___AMHS__Others[YearMonth],"2024-08")</f>
        <v>0</v>
      </c>
      <c r="CR326" s="44">
        <f>SUMIFS(BB___HK___AMHS__Others[Tax],BB___HK___AMHS__Others[PO No.],AR_725[[#This Row],[tsmc PO '#]],BB___HK___AMHS__Others[Status],"&lt;&gt;Rejected",BB___HK___AMHS__Others[YearMonth],"2024-08")</f>
        <v>0</v>
      </c>
      <c r="CS326" s="62">
        <f>SUMIFS(BB___HK___AMHS__Others[AR Amount],BB___HK___AMHS__Others[PO No.],AR_725[[#This Row],[tsmc PO '#]],BB___HK___AMHS__Others[Status],"&lt;&gt;Rejected",BB___HK___AMHS__Others[YearMonth],"2024-09")</f>
        <v>0</v>
      </c>
      <c r="CT326" s="601">
        <f>SUMIFS(BB___HK___AMHS__Others[Tax],BB___HK___AMHS__Others[PO No.],AR_725[[#This Row],[tsmc PO '#]],BB___HK___AMHS__Others[Status],"&lt;&gt;Rejected",BB___HK___AMHS__Others[YearMonth],"2024-09")</f>
        <v>0</v>
      </c>
    </row>
    <row r="327" spans="1:98" ht="15" hidden="1" customHeight="1">
      <c r="A327" s="30" t="s">
        <v>11</v>
      </c>
      <c r="B327" s="30" t="s">
        <v>2051</v>
      </c>
      <c r="D327" s="50" t="s">
        <v>1720</v>
      </c>
      <c r="E327" s="48" t="s">
        <v>2060</v>
      </c>
      <c r="F327" s="366" t="s">
        <v>2060</v>
      </c>
      <c r="G327" s="64" t="s">
        <v>312</v>
      </c>
      <c r="H327" s="50" t="s">
        <v>436</v>
      </c>
      <c r="I327" s="30" t="s">
        <v>104</v>
      </c>
      <c r="J327" s="30" t="s">
        <v>437</v>
      </c>
      <c r="K327" s="62">
        <v>342973.89</v>
      </c>
      <c r="L327" s="30"/>
      <c r="M327" s="86"/>
      <c r="N327" s="87"/>
      <c r="O327" s="88"/>
      <c r="P32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284673.38</v>
      </c>
      <c r="Q32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43341</v>
      </c>
      <c r="R32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284673.38</v>
      </c>
      <c r="S327" s="72">
        <f>IF(AR_725[[#This Row],[PO Amount]]=0,1,AR_725[[#This Row],[Total AR (Sent)]]/AR_725[[#This Row],[PO Amount]])</f>
        <v>0.83001472794328457</v>
      </c>
      <c r="T327" s="45">
        <f>AR_725[[#This Row],[PO Amount]]-AR_725[[#This Row],[Total AR (Sent)]]</f>
        <v>58300.510000000009</v>
      </c>
      <c r="U327" s="40"/>
      <c r="V327" s="40"/>
      <c r="W327" s="46"/>
      <c r="X327" s="46"/>
      <c r="Y327" s="46"/>
      <c r="Z327" s="46"/>
      <c r="AA327" s="46"/>
      <c r="AB327" s="40"/>
      <c r="AC327" s="40"/>
      <c r="AD327" s="40"/>
      <c r="AE327" s="46"/>
      <c r="AF327" s="46"/>
      <c r="AG327" s="46"/>
      <c r="AH327" s="46"/>
      <c r="AI327" s="46"/>
      <c r="AJ327" s="41"/>
      <c r="AK327" s="46"/>
      <c r="AL327" s="46"/>
      <c r="AM327" s="46"/>
      <c r="AN327" s="46"/>
      <c r="AO327" s="46"/>
      <c r="AP327" s="46"/>
      <c r="AQ327" s="46"/>
      <c r="AR327" s="82"/>
      <c r="AS327" s="46"/>
      <c r="AT327" s="83"/>
      <c r="AU327" s="41"/>
      <c r="AV327" s="83"/>
      <c r="AW327" s="41"/>
      <c r="AX327" s="83"/>
      <c r="AY327" s="41"/>
      <c r="AZ327" s="83"/>
      <c r="BA327" s="46"/>
      <c r="BB327" s="83"/>
      <c r="BC327" s="41"/>
      <c r="BD327" s="41"/>
      <c r="BE327" s="46"/>
      <c r="BF327" s="41"/>
      <c r="BG327" s="46"/>
      <c r="BH327" s="41"/>
      <c r="BI327" s="41"/>
      <c r="BJ327" s="41"/>
      <c r="BK327" s="42">
        <v>43341</v>
      </c>
      <c r="BL327" s="83"/>
      <c r="BM327" s="41"/>
      <c r="BN327" s="41"/>
      <c r="BO327" s="46"/>
      <c r="BP327" s="41"/>
      <c r="BQ327" s="40"/>
      <c r="BR327" s="40"/>
      <c r="BS327" s="40"/>
      <c r="BT327" s="40"/>
      <c r="BU327" s="40"/>
      <c r="BV327" s="40"/>
      <c r="BW327" s="40"/>
      <c r="BX327" s="34"/>
      <c r="BZ327" s="40"/>
      <c r="CA327" s="40"/>
      <c r="CB327" s="34"/>
      <c r="CC327" s="34"/>
      <c r="CD327" s="34"/>
      <c r="CE327" s="34"/>
      <c r="CF327" s="34"/>
      <c r="CG327" s="122"/>
      <c r="CI327" s="122"/>
      <c r="CJ327" s="30"/>
      <c r="CK327" s="122">
        <v>147056</v>
      </c>
      <c r="CL327" s="122">
        <v>0</v>
      </c>
      <c r="CM327" s="122">
        <v>20495.71</v>
      </c>
      <c r="CN327" s="122">
        <v>0</v>
      </c>
      <c r="CO327" s="122">
        <f>SUMIFS(BB___HK___AMHS__Others[AR Amount],BB___HK___AMHS__Others[PO No.],AR_725[[#This Row],[tsmc PO '#]],BB___HK___AMHS__Others[Status],"&lt;&gt;Rejected",BB___HK___AMHS__Others[YearMonth],"2024-07")</f>
        <v>73780.67</v>
      </c>
      <c r="CP327" s="122">
        <f>SUMIFS(BB___HK___AMHS__Others[Tax],BB___HK___AMHS__Others[PO No.],AR_725[[#This Row],[tsmc PO '#]],BB___HK___AMHS__Others[Status],"&lt;&gt;Rejected",BB___HK___AMHS__Others[YearMonth],"2024-07")</f>
        <v>0</v>
      </c>
      <c r="CQ327" s="34">
        <f>SUMIFS(BB___HK___AMHS__Others[AR Amount],BB___HK___AMHS__Others[PO No.],AR_725[[#This Row],[tsmc PO '#]],BB___HK___AMHS__Others[Status],"&lt;&gt;Rejected",BB___HK___AMHS__Others[YearMonth],"2024-08")</f>
        <v>0</v>
      </c>
      <c r="CR327" s="44">
        <f>SUMIFS(BB___HK___AMHS__Others[Tax],BB___HK___AMHS__Others[PO No.],AR_725[[#This Row],[tsmc PO '#]],BB___HK___AMHS__Others[Status],"&lt;&gt;Rejected",BB___HK___AMHS__Others[YearMonth],"2024-08")</f>
        <v>0</v>
      </c>
      <c r="CS327" s="62">
        <f>SUMIFS(BB___HK___AMHS__Others[AR Amount],BB___HK___AMHS__Others[PO No.],AR_725[[#This Row],[tsmc PO '#]],BB___HK___AMHS__Others[Status],"&lt;&gt;Rejected",BB___HK___AMHS__Others[YearMonth],"2024-09")</f>
        <v>0</v>
      </c>
      <c r="CT327" s="601">
        <f>SUMIFS(BB___HK___AMHS__Others[Tax],BB___HK___AMHS__Others[PO No.],AR_725[[#This Row],[tsmc PO '#]],BB___HK___AMHS__Others[Status],"&lt;&gt;Rejected",BB___HK___AMHS__Others[YearMonth],"2024-09")</f>
        <v>0</v>
      </c>
    </row>
    <row r="328" spans="1:98" ht="15" hidden="1" customHeight="1">
      <c r="A328" s="30" t="s">
        <v>11</v>
      </c>
      <c r="B328" s="30" t="s">
        <v>2051</v>
      </c>
      <c r="D328" s="50" t="s">
        <v>1759</v>
      </c>
      <c r="E328" s="50" t="s">
        <v>2065</v>
      </c>
      <c r="F328" s="64" t="s">
        <v>2066</v>
      </c>
      <c r="G328" s="63" t="s">
        <v>312</v>
      </c>
      <c r="H328" s="50" t="s">
        <v>2334</v>
      </c>
      <c r="I328" s="30" t="s">
        <v>120</v>
      </c>
      <c r="J328" s="30" t="s">
        <v>2335</v>
      </c>
      <c r="K328" s="62">
        <v>195433</v>
      </c>
      <c r="L328" s="30"/>
      <c r="M328" s="86"/>
      <c r="N328" s="87"/>
      <c r="O328" s="88"/>
      <c r="P32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32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2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28" s="72">
        <f>IF(AR_725[[#This Row],[PO Amount]]=0,1,AR_725[[#This Row],[Total AR (Sent)]]/AR_725[[#This Row],[PO Amount]])</f>
        <v>0</v>
      </c>
      <c r="T328" s="45">
        <f>AR_725[[#This Row],[PO Amount]]-AR_725[[#This Row],[Total AR (Sent)]]</f>
        <v>195433</v>
      </c>
      <c r="U328" s="40"/>
      <c r="V328" s="40"/>
      <c r="W328" s="46"/>
      <c r="X328" s="46"/>
      <c r="Y328" s="46"/>
      <c r="Z328" s="46"/>
      <c r="AA328" s="46"/>
      <c r="AB328" s="40"/>
      <c r="AC328" s="40"/>
      <c r="AD328" s="40"/>
      <c r="AE328" s="46"/>
      <c r="AF328" s="46"/>
      <c r="AG328" s="46"/>
      <c r="AH328" s="46"/>
      <c r="AI328" s="46"/>
      <c r="AJ328" s="46"/>
      <c r="AK328" s="46"/>
      <c r="AL328" s="46"/>
      <c r="AM328" s="46"/>
      <c r="AN328" s="46"/>
      <c r="AO328" s="46"/>
      <c r="AP328" s="46"/>
      <c r="AQ328" s="46"/>
      <c r="AR328" s="82"/>
      <c r="AS328" s="46"/>
      <c r="AT328" s="83"/>
      <c r="AU328" s="41"/>
      <c r="AV328" s="83"/>
      <c r="AW328" s="41"/>
      <c r="AX328" s="83"/>
      <c r="AY328" s="41"/>
      <c r="AZ328" s="83"/>
      <c r="BA328" s="46"/>
      <c r="BB328" s="83"/>
      <c r="BC328" s="41"/>
      <c r="BD328" s="41"/>
      <c r="BE328" s="46"/>
      <c r="BF328" s="41"/>
      <c r="BG328" s="46"/>
      <c r="BH328" s="41"/>
      <c r="BI328" s="41"/>
      <c r="BJ328" s="41"/>
      <c r="BK328" s="41"/>
      <c r="BL328" s="83"/>
      <c r="BM328" s="41"/>
      <c r="BN328" s="41"/>
      <c r="BO328" s="46"/>
      <c r="BP328" s="41"/>
      <c r="BQ328" s="40"/>
      <c r="BR328" s="40"/>
      <c r="BS328" s="40"/>
      <c r="BT328" s="40"/>
      <c r="BU328" s="40"/>
      <c r="BV328" s="40"/>
      <c r="BW328" s="40"/>
      <c r="BX328" s="34"/>
      <c r="BZ328" s="40"/>
      <c r="CA328" s="40"/>
      <c r="CB328" s="34"/>
      <c r="CC328" s="34"/>
      <c r="CD328" s="34"/>
      <c r="CE328" s="34"/>
      <c r="CF328" s="34"/>
      <c r="CG328" s="122"/>
      <c r="CI328" s="122"/>
      <c r="CJ328" s="30"/>
      <c r="CK328" s="122">
        <v>0</v>
      </c>
      <c r="CL328" s="122">
        <v>0</v>
      </c>
      <c r="CM328" s="122">
        <v>0</v>
      </c>
      <c r="CN328" s="122">
        <v>0</v>
      </c>
      <c r="CO328" s="122">
        <f>SUMIFS(BB___HK___AMHS__Others[AR Amount],BB___HK___AMHS__Others[PO No.],AR_725[[#This Row],[tsmc PO '#]],BB___HK___AMHS__Others[Status],"&lt;&gt;Rejected",BB___HK___AMHS__Others[YearMonth],"2024-07")</f>
        <v>0</v>
      </c>
      <c r="CP328" s="122">
        <f>SUMIFS(BB___HK___AMHS__Others[Tax],BB___HK___AMHS__Others[PO No.],AR_725[[#This Row],[tsmc PO '#]],BB___HK___AMHS__Others[Status],"&lt;&gt;Rejected",BB___HK___AMHS__Others[YearMonth],"2024-07")</f>
        <v>0</v>
      </c>
      <c r="CQ328" s="34">
        <f>SUMIFS(BB___HK___AMHS__Others[AR Amount],BB___HK___AMHS__Others[PO No.],AR_725[[#This Row],[tsmc PO '#]],BB___HK___AMHS__Others[Status],"&lt;&gt;Rejected",BB___HK___AMHS__Others[YearMonth],"2024-08")</f>
        <v>0</v>
      </c>
      <c r="CR328" s="44">
        <f>SUMIFS(BB___HK___AMHS__Others[Tax],BB___HK___AMHS__Others[PO No.],AR_725[[#This Row],[tsmc PO '#]],BB___HK___AMHS__Others[Status],"&lt;&gt;Rejected",BB___HK___AMHS__Others[YearMonth],"2024-08")</f>
        <v>0</v>
      </c>
      <c r="CS328" s="62">
        <f>SUMIFS(BB___HK___AMHS__Others[AR Amount],BB___HK___AMHS__Others[PO No.],AR_725[[#This Row],[tsmc PO '#]],BB___HK___AMHS__Others[Status],"&lt;&gt;Rejected",BB___HK___AMHS__Others[YearMonth],"2024-09")</f>
        <v>0</v>
      </c>
      <c r="CT328" s="601">
        <f>SUMIFS(BB___HK___AMHS__Others[Tax],BB___HK___AMHS__Others[PO No.],AR_725[[#This Row],[tsmc PO '#]],BB___HK___AMHS__Others[Status],"&lt;&gt;Rejected",BB___HK___AMHS__Others[YearMonth],"2024-09")</f>
        <v>0</v>
      </c>
    </row>
    <row r="329" spans="1:98" ht="15" hidden="1" customHeight="1">
      <c r="A329" s="30" t="s">
        <v>19</v>
      </c>
      <c r="B329" s="30" t="s">
        <v>19</v>
      </c>
      <c r="D329" s="50"/>
      <c r="E329" s="491" t="s">
        <v>2126</v>
      </c>
      <c r="F329" s="48" t="s">
        <v>2126</v>
      </c>
      <c r="G329" s="48" t="s">
        <v>54</v>
      </c>
      <c r="H329" s="50" t="s">
        <v>2336</v>
      </c>
      <c r="I329" s="30" t="s">
        <v>2337</v>
      </c>
      <c r="J329" s="30" t="s">
        <v>2338</v>
      </c>
      <c r="K329" s="62">
        <v>2641194</v>
      </c>
      <c r="L329" s="30"/>
      <c r="M329" s="86"/>
      <c r="N329" s="87"/>
      <c r="O329" s="88"/>
      <c r="P32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32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2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29" s="72">
        <f>IF(AR_725[[#This Row],[PO Amount]]=0,1,AR_725[[#This Row],[Total AR (Sent)]]/AR_725[[#This Row],[PO Amount]])</f>
        <v>0</v>
      </c>
      <c r="T329" s="45">
        <f>AR_725[[#This Row],[PO Amount]]-AR_725[[#This Row],[Total AR (Sent)]]</f>
        <v>2641194</v>
      </c>
      <c r="U329" s="40"/>
      <c r="V329" s="40"/>
      <c r="W329" s="46"/>
      <c r="X329" s="46"/>
      <c r="Y329" s="46"/>
      <c r="Z329" s="46"/>
      <c r="AA329" s="46"/>
      <c r="AB329" s="40"/>
      <c r="AC329" s="40"/>
      <c r="AD329" s="40"/>
      <c r="AE329" s="46"/>
      <c r="AF329" s="46"/>
      <c r="AG329" s="46"/>
      <c r="AH329" s="46"/>
      <c r="AI329" s="46"/>
      <c r="AJ329" s="46"/>
      <c r="AK329" s="46"/>
      <c r="AL329" s="46"/>
      <c r="AM329" s="46"/>
      <c r="AN329" s="46"/>
      <c r="AO329" s="46"/>
      <c r="AP329" s="46"/>
      <c r="AQ329" s="46"/>
      <c r="AR329" s="82"/>
      <c r="AS329" s="46"/>
      <c r="AT329" s="83"/>
      <c r="AU329" s="41"/>
      <c r="AV329" s="83"/>
      <c r="AW329" s="41"/>
      <c r="AX329" s="83"/>
      <c r="AY329" s="41"/>
      <c r="AZ329" s="83"/>
      <c r="BA329" s="46"/>
      <c r="BB329" s="83"/>
      <c r="BC329" s="41"/>
      <c r="BD329" s="41"/>
      <c r="BE329" s="46"/>
      <c r="BF329" s="41"/>
      <c r="BG329" s="46"/>
      <c r="BH329" s="41"/>
      <c r="BI329" s="41"/>
      <c r="BJ329" s="41"/>
      <c r="BK329" s="41"/>
      <c r="BL329" s="83"/>
      <c r="BM329" s="41"/>
      <c r="BN329" s="41"/>
      <c r="BO329" s="46"/>
      <c r="BP329" s="41"/>
      <c r="BQ329" s="40"/>
      <c r="BR329" s="40"/>
      <c r="BS329" s="40"/>
      <c r="BT329" s="40"/>
      <c r="BU329" s="40"/>
      <c r="BV329" s="40"/>
      <c r="BW329" s="40"/>
      <c r="BX329" s="34"/>
      <c r="BZ329" s="40"/>
      <c r="CA329" s="40"/>
      <c r="CB329" s="34"/>
      <c r="CC329" s="34"/>
      <c r="CD329" s="34"/>
      <c r="CE329" s="34"/>
      <c r="CF329" s="34"/>
      <c r="CG329" s="122"/>
      <c r="CI329" s="122"/>
      <c r="CJ329" s="30"/>
      <c r="CK329" s="122">
        <v>0</v>
      </c>
      <c r="CL329" s="122">
        <v>0</v>
      </c>
      <c r="CM329" s="122">
        <v>0</v>
      </c>
      <c r="CN329" s="122">
        <v>0</v>
      </c>
      <c r="CO329" s="122">
        <f>SUMIFS(BB___HK___AMHS__Others[AR Amount],BB___HK___AMHS__Others[PO No.],AR_725[[#This Row],[tsmc PO '#]],BB___HK___AMHS__Others[Status],"&lt;&gt;Rejected",BB___HK___AMHS__Others[YearMonth],"2024-07")</f>
        <v>0</v>
      </c>
      <c r="CP329" s="122">
        <f>SUMIFS(BB___HK___AMHS__Others[Tax],BB___HK___AMHS__Others[PO No.],AR_725[[#This Row],[tsmc PO '#]],BB___HK___AMHS__Others[Status],"&lt;&gt;Rejected",BB___HK___AMHS__Others[YearMonth],"2024-07")</f>
        <v>0</v>
      </c>
      <c r="CQ329" s="34">
        <f>SUMIFS(BB___HK___AMHS__Others[AR Amount],BB___HK___AMHS__Others[PO No.],AR_725[[#This Row],[tsmc PO '#]],BB___HK___AMHS__Others[Status],"&lt;&gt;Rejected",BB___HK___AMHS__Others[YearMonth],"2024-08")</f>
        <v>0</v>
      </c>
      <c r="CR329" s="44">
        <f>SUMIFS(BB___HK___AMHS__Others[Tax],BB___HK___AMHS__Others[PO No.],AR_725[[#This Row],[tsmc PO '#]],BB___HK___AMHS__Others[Status],"&lt;&gt;Rejected",BB___HK___AMHS__Others[YearMonth],"2024-08")</f>
        <v>0</v>
      </c>
      <c r="CS329" s="62">
        <f>SUMIFS(BB___HK___AMHS__Others[AR Amount],BB___HK___AMHS__Others[PO No.],AR_725[[#This Row],[tsmc PO '#]],BB___HK___AMHS__Others[Status],"&lt;&gt;Rejected",BB___HK___AMHS__Others[YearMonth],"2024-09")</f>
        <v>0</v>
      </c>
      <c r="CT329" s="601">
        <f>SUMIFS(BB___HK___AMHS__Others[Tax],BB___HK___AMHS__Others[PO No.],AR_725[[#This Row],[tsmc PO '#]],BB___HK___AMHS__Others[Status],"&lt;&gt;Rejected",BB___HK___AMHS__Others[YearMonth],"2024-09")</f>
        <v>0</v>
      </c>
    </row>
    <row r="330" spans="1:98" ht="15" hidden="1" customHeight="1">
      <c r="A330" s="30" t="s">
        <v>10</v>
      </c>
      <c r="B330" s="30" t="s">
        <v>10</v>
      </c>
      <c r="D330" s="50"/>
      <c r="E330" s="105" t="s">
        <v>2126</v>
      </c>
      <c r="F330" s="63" t="s">
        <v>2126</v>
      </c>
      <c r="G330" s="64" t="s">
        <v>2142</v>
      </c>
      <c r="H330" s="50" t="s">
        <v>2339</v>
      </c>
      <c r="I330" s="30" t="s">
        <v>2337</v>
      </c>
      <c r="J330" s="30" t="s">
        <v>2340</v>
      </c>
      <c r="K330" s="62">
        <v>389928</v>
      </c>
      <c r="L330" s="30"/>
      <c r="M330" s="86"/>
      <c r="N330" s="87"/>
      <c r="O330" s="88"/>
      <c r="P33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33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3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30" s="72">
        <f>IF(AR_725[[#This Row],[PO Amount]]=0,1,AR_725[[#This Row],[Total AR (Sent)]]/AR_725[[#This Row],[PO Amount]])</f>
        <v>0</v>
      </c>
      <c r="T330" s="45">
        <f>AR_725[[#This Row],[PO Amount]]-AR_725[[#This Row],[Total AR (Sent)]]</f>
        <v>389928</v>
      </c>
      <c r="U330" s="40"/>
      <c r="V330" s="40"/>
      <c r="W330" s="46"/>
      <c r="X330" s="46"/>
      <c r="Y330" s="46"/>
      <c r="Z330" s="46"/>
      <c r="AA330" s="46"/>
      <c r="AB330" s="40"/>
      <c r="AC330" s="40"/>
      <c r="AD330" s="40"/>
      <c r="AE330" s="46"/>
      <c r="AF330" s="46"/>
      <c r="AG330" s="46"/>
      <c r="AH330" s="46"/>
      <c r="AI330" s="46"/>
      <c r="AJ330" s="46"/>
      <c r="AK330" s="46"/>
      <c r="AL330" s="46"/>
      <c r="AM330" s="46"/>
      <c r="AN330" s="46"/>
      <c r="AO330" s="46"/>
      <c r="AP330" s="46"/>
      <c r="AQ330" s="46"/>
      <c r="AR330" s="82"/>
      <c r="AS330" s="46"/>
      <c r="AT330" s="83"/>
      <c r="AU330" s="41"/>
      <c r="AV330" s="83"/>
      <c r="AW330" s="41"/>
      <c r="AX330" s="83"/>
      <c r="AY330" s="41"/>
      <c r="AZ330" s="83"/>
      <c r="BA330" s="46"/>
      <c r="BB330" s="83"/>
      <c r="BC330" s="41"/>
      <c r="BD330" s="41"/>
      <c r="BE330" s="41"/>
      <c r="BF330" s="41"/>
      <c r="BG330" s="46"/>
      <c r="BH330" s="41"/>
      <c r="BI330" s="41"/>
      <c r="BJ330" s="41"/>
      <c r="BK330" s="41"/>
      <c r="BL330" s="83"/>
      <c r="BM330" s="41"/>
      <c r="BN330" s="41"/>
      <c r="BO330" s="46"/>
      <c r="BP330" s="41"/>
      <c r="BQ330" s="40"/>
      <c r="BR330" s="40"/>
      <c r="BS330" s="40"/>
      <c r="BT330" s="40"/>
      <c r="BU330" s="40"/>
      <c r="BV330" s="40"/>
      <c r="BW330" s="40"/>
      <c r="BX330" s="34"/>
      <c r="BZ330" s="40"/>
      <c r="CA330" s="40"/>
      <c r="CB330" s="34"/>
      <c r="CC330" s="34"/>
      <c r="CD330" s="34"/>
      <c r="CE330" s="34"/>
      <c r="CF330" s="34"/>
      <c r="CG330" s="122"/>
      <c r="CI330" s="122"/>
      <c r="CJ330" s="30"/>
      <c r="CK330" s="122">
        <v>0</v>
      </c>
      <c r="CL330" s="122">
        <v>0</v>
      </c>
      <c r="CM330" s="122">
        <v>0</v>
      </c>
      <c r="CN330" s="122">
        <v>0</v>
      </c>
      <c r="CO330" s="122">
        <f>SUMIFS(BB___HK___AMHS__Others[AR Amount],BB___HK___AMHS__Others[PO No.],AR_725[[#This Row],[tsmc PO '#]],BB___HK___AMHS__Others[Status],"&lt;&gt;Rejected",BB___HK___AMHS__Others[YearMonth],"2024-07")</f>
        <v>0</v>
      </c>
      <c r="CP330" s="122">
        <f>SUMIFS(BB___HK___AMHS__Others[Tax],BB___HK___AMHS__Others[PO No.],AR_725[[#This Row],[tsmc PO '#]],BB___HK___AMHS__Others[Status],"&lt;&gt;Rejected",BB___HK___AMHS__Others[YearMonth],"2024-07")</f>
        <v>0</v>
      </c>
      <c r="CQ330" s="34">
        <f>SUMIFS(BB___HK___AMHS__Others[AR Amount],BB___HK___AMHS__Others[PO No.],AR_725[[#This Row],[tsmc PO '#]],BB___HK___AMHS__Others[Status],"&lt;&gt;Rejected",BB___HK___AMHS__Others[YearMonth],"2024-08")</f>
        <v>0</v>
      </c>
      <c r="CR330" s="44">
        <f>SUMIFS(BB___HK___AMHS__Others[Tax],BB___HK___AMHS__Others[PO No.],AR_725[[#This Row],[tsmc PO '#]],BB___HK___AMHS__Others[Status],"&lt;&gt;Rejected",BB___HK___AMHS__Others[YearMonth],"2024-08")</f>
        <v>0</v>
      </c>
      <c r="CS330" s="62">
        <f>SUMIFS(BB___HK___AMHS__Others[AR Amount],BB___HK___AMHS__Others[PO No.],AR_725[[#This Row],[tsmc PO '#]],BB___HK___AMHS__Others[Status],"&lt;&gt;Rejected",BB___HK___AMHS__Others[YearMonth],"2024-09")</f>
        <v>0</v>
      </c>
      <c r="CT330" s="601">
        <f>SUMIFS(BB___HK___AMHS__Others[Tax],BB___HK___AMHS__Others[PO No.],AR_725[[#This Row],[tsmc PO '#]],BB___HK___AMHS__Others[Status],"&lt;&gt;Rejected",BB___HK___AMHS__Others[YearMonth],"2024-09")</f>
        <v>0</v>
      </c>
    </row>
    <row r="331" spans="1:98" ht="15" hidden="1" customHeight="1">
      <c r="A331" s="30" t="s">
        <v>12</v>
      </c>
      <c r="B331" s="30" t="s">
        <v>2113</v>
      </c>
      <c r="D331" s="50" t="s">
        <v>1546</v>
      </c>
      <c r="E331" s="105" t="s">
        <v>2052</v>
      </c>
      <c r="F331" s="105" t="s">
        <v>2260</v>
      </c>
      <c r="G331" s="64" t="s">
        <v>1168</v>
      </c>
      <c r="H331" s="50" t="s">
        <v>2341</v>
      </c>
      <c r="I331" s="30" t="s">
        <v>190</v>
      </c>
      <c r="J331" s="30" t="s">
        <v>2342</v>
      </c>
      <c r="K331" s="62">
        <f>4200</f>
        <v>4200</v>
      </c>
      <c r="L331" s="30"/>
      <c r="M331" s="86">
        <v>44860</v>
      </c>
      <c r="N331" s="87" t="s">
        <v>2063</v>
      </c>
      <c r="O331" s="88" t="s">
        <v>2089</v>
      </c>
      <c r="P33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33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3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31" s="72">
        <f>IF(AR_725[[#This Row],[PO Amount]]=0,1,AR_725[[#This Row],[Total AR (Sent)]]/AR_725[[#This Row],[PO Amount]])</f>
        <v>0</v>
      </c>
      <c r="T331" s="45">
        <f>AR_725[[#This Row],[PO Amount]]-AR_725[[#This Row],[Total AR (Sent)]]</f>
        <v>4200</v>
      </c>
      <c r="U331" s="40"/>
      <c r="V331" s="40"/>
      <c r="W331" s="46"/>
      <c r="X331" s="46"/>
      <c r="Y331" s="46"/>
      <c r="Z331" s="46"/>
      <c r="AA331" s="46"/>
      <c r="AB331" s="40"/>
      <c r="AC331" s="40"/>
      <c r="AD331" s="40"/>
      <c r="AE331" s="46"/>
      <c r="AF331" s="46"/>
      <c r="AG331" s="46"/>
      <c r="AH331" s="46"/>
      <c r="AI331" s="46"/>
      <c r="AJ331" s="41"/>
      <c r="AK331" s="46"/>
      <c r="AL331" s="46"/>
      <c r="AM331" s="46"/>
      <c r="AN331" s="46"/>
      <c r="AO331" s="46"/>
      <c r="AP331" s="46"/>
      <c r="AQ331" s="46"/>
      <c r="AR331" s="82"/>
      <c r="AS331" s="46"/>
      <c r="AT331" s="83"/>
      <c r="AU331" s="41"/>
      <c r="AV331" s="83"/>
      <c r="AW331" s="41"/>
      <c r="AX331" s="83"/>
      <c r="AY331" s="41"/>
      <c r="AZ331" s="83"/>
      <c r="BA331" s="46"/>
      <c r="BB331" s="83"/>
      <c r="BC331" s="41"/>
      <c r="BD331" s="41"/>
      <c r="BE331" s="46"/>
      <c r="BF331" s="41"/>
      <c r="BG331" s="46"/>
      <c r="BH331" s="41"/>
      <c r="BI331" s="41"/>
      <c r="BJ331" s="41"/>
      <c r="BK331" s="41"/>
      <c r="BL331" s="83"/>
      <c r="BM331" s="41"/>
      <c r="BN331" s="41"/>
      <c r="BO331" s="46"/>
      <c r="BP331" s="41"/>
      <c r="BQ331" s="40"/>
      <c r="BR331" s="40"/>
      <c r="BS331" s="40"/>
      <c r="BT331" s="40"/>
      <c r="BU331" s="40"/>
      <c r="BV331" s="40"/>
      <c r="BW331" s="40"/>
      <c r="BX331" s="34"/>
      <c r="BZ331" s="40"/>
      <c r="CA331" s="40"/>
      <c r="CB331" s="34"/>
      <c r="CC331" s="34"/>
      <c r="CD331" s="34"/>
      <c r="CE331" s="34"/>
      <c r="CF331" s="34"/>
      <c r="CG331" s="122"/>
      <c r="CI331" s="122"/>
      <c r="CJ331" s="30"/>
      <c r="CK331" s="122">
        <v>0</v>
      </c>
      <c r="CL331" s="122">
        <v>0</v>
      </c>
      <c r="CM331" s="122">
        <v>0</v>
      </c>
      <c r="CN331" s="122">
        <v>0</v>
      </c>
      <c r="CO331" s="122">
        <f>SUMIFS(BB___HK___AMHS__Others[AR Amount],BB___HK___AMHS__Others[PO No.],AR_725[[#This Row],[tsmc PO '#]],BB___HK___AMHS__Others[Status],"&lt;&gt;Rejected",BB___HK___AMHS__Others[YearMonth],"2024-07")</f>
        <v>0</v>
      </c>
      <c r="CP331" s="122">
        <f>SUMIFS(BB___HK___AMHS__Others[Tax],BB___HK___AMHS__Others[PO No.],AR_725[[#This Row],[tsmc PO '#]],BB___HK___AMHS__Others[Status],"&lt;&gt;Rejected",BB___HK___AMHS__Others[YearMonth],"2024-07")</f>
        <v>0</v>
      </c>
      <c r="CQ331" s="34">
        <f>SUMIFS(BB___HK___AMHS__Others[AR Amount],BB___HK___AMHS__Others[PO No.],AR_725[[#This Row],[tsmc PO '#]],BB___HK___AMHS__Others[Status],"&lt;&gt;Rejected",BB___HK___AMHS__Others[YearMonth],"2024-08")</f>
        <v>0</v>
      </c>
      <c r="CR331" s="44">
        <f>SUMIFS(BB___HK___AMHS__Others[Tax],BB___HK___AMHS__Others[PO No.],AR_725[[#This Row],[tsmc PO '#]],BB___HK___AMHS__Others[Status],"&lt;&gt;Rejected",BB___HK___AMHS__Others[YearMonth],"2024-08")</f>
        <v>0</v>
      </c>
      <c r="CS331" s="62">
        <f>SUMIFS(BB___HK___AMHS__Others[AR Amount],BB___HK___AMHS__Others[PO No.],AR_725[[#This Row],[tsmc PO '#]],BB___HK___AMHS__Others[Status],"&lt;&gt;Rejected",BB___HK___AMHS__Others[YearMonth],"2024-09")</f>
        <v>0</v>
      </c>
      <c r="CT331" s="601">
        <f>SUMIFS(BB___HK___AMHS__Others[Tax],BB___HK___AMHS__Others[PO No.],AR_725[[#This Row],[tsmc PO '#]],BB___HK___AMHS__Others[Status],"&lt;&gt;Rejected",BB___HK___AMHS__Others[YearMonth],"2024-09")</f>
        <v>0</v>
      </c>
    </row>
    <row r="332" spans="1:98" ht="15" hidden="1" customHeight="1">
      <c r="A332" s="30" t="s">
        <v>12</v>
      </c>
      <c r="B332" s="30" t="s">
        <v>2113</v>
      </c>
      <c r="D332" s="50" t="s">
        <v>1546</v>
      </c>
      <c r="E332" s="105" t="s">
        <v>2052</v>
      </c>
      <c r="F332" s="105" t="s">
        <v>2260</v>
      </c>
      <c r="G332" s="64" t="s">
        <v>1168</v>
      </c>
      <c r="H332" s="50" t="s">
        <v>2343</v>
      </c>
      <c r="I332" s="30" t="s">
        <v>190</v>
      </c>
      <c r="J332" s="30" t="s">
        <v>2344</v>
      </c>
      <c r="K332" s="62">
        <f>4200</f>
        <v>4200</v>
      </c>
      <c r="L332" s="30"/>
      <c r="M332" s="86">
        <v>44860</v>
      </c>
      <c r="N332" s="87" t="s">
        <v>2063</v>
      </c>
      <c r="O332" s="88" t="s">
        <v>2089</v>
      </c>
      <c r="P33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33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3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32" s="72">
        <f>IF(AR_725[[#This Row],[PO Amount]]=0,1,AR_725[[#This Row],[Total AR (Sent)]]/AR_725[[#This Row],[PO Amount]])</f>
        <v>0</v>
      </c>
      <c r="T332" s="45">
        <f>AR_725[[#This Row],[PO Amount]]-AR_725[[#This Row],[Total AR (Sent)]]</f>
        <v>4200</v>
      </c>
      <c r="U332" s="40"/>
      <c r="V332" s="40"/>
      <c r="W332" s="46"/>
      <c r="X332" s="46"/>
      <c r="Y332" s="46"/>
      <c r="Z332" s="46"/>
      <c r="AA332" s="46"/>
      <c r="AB332" s="40"/>
      <c r="AC332" s="40"/>
      <c r="AD332" s="40"/>
      <c r="AE332" s="46"/>
      <c r="AF332" s="46"/>
      <c r="AG332" s="46"/>
      <c r="AH332" s="46"/>
      <c r="AI332" s="46"/>
      <c r="AJ332" s="41"/>
      <c r="AK332" s="46"/>
      <c r="AL332" s="46"/>
      <c r="AM332" s="46"/>
      <c r="AN332" s="46"/>
      <c r="AO332" s="46"/>
      <c r="AP332" s="46"/>
      <c r="AQ332" s="46"/>
      <c r="AR332" s="82"/>
      <c r="AS332" s="46"/>
      <c r="AT332" s="83"/>
      <c r="AU332" s="41"/>
      <c r="AV332" s="83"/>
      <c r="AW332" s="41"/>
      <c r="AX332" s="83"/>
      <c r="AY332" s="41"/>
      <c r="AZ332" s="83"/>
      <c r="BA332" s="41"/>
      <c r="BB332" s="83"/>
      <c r="BC332" s="41"/>
      <c r="BD332" s="41"/>
      <c r="BE332" s="46"/>
      <c r="BF332" s="41"/>
      <c r="BG332" s="46"/>
      <c r="BH332" s="41"/>
      <c r="BI332" s="41"/>
      <c r="BJ332" s="41"/>
      <c r="BK332" s="41"/>
      <c r="BL332" s="83"/>
      <c r="BM332" s="41"/>
      <c r="BN332" s="41"/>
      <c r="BO332" s="46"/>
      <c r="BP332" s="41"/>
      <c r="BQ332" s="40"/>
      <c r="BR332" s="40"/>
      <c r="BS332" s="40"/>
      <c r="BT332" s="40"/>
      <c r="BU332" s="40"/>
      <c r="BV332" s="40"/>
      <c r="BW332" s="40"/>
      <c r="BX332" s="34"/>
      <c r="BZ332" s="40"/>
      <c r="CA332" s="40"/>
      <c r="CB332" s="34"/>
      <c r="CC332" s="34"/>
      <c r="CD332" s="34"/>
      <c r="CE332" s="34"/>
      <c r="CF332" s="34"/>
      <c r="CG332" s="122"/>
      <c r="CI332" s="122"/>
      <c r="CJ332" s="30"/>
      <c r="CK332" s="122">
        <v>0</v>
      </c>
      <c r="CL332" s="122">
        <v>0</v>
      </c>
      <c r="CM332" s="122">
        <v>0</v>
      </c>
      <c r="CN332" s="122">
        <v>0</v>
      </c>
      <c r="CO332" s="122">
        <f>SUMIFS(BB___HK___AMHS__Others[AR Amount],BB___HK___AMHS__Others[PO No.],AR_725[[#This Row],[tsmc PO '#]],BB___HK___AMHS__Others[Status],"&lt;&gt;Rejected",BB___HK___AMHS__Others[YearMonth],"2024-07")</f>
        <v>0</v>
      </c>
      <c r="CP332" s="122">
        <f>SUMIFS(BB___HK___AMHS__Others[Tax],BB___HK___AMHS__Others[PO No.],AR_725[[#This Row],[tsmc PO '#]],BB___HK___AMHS__Others[Status],"&lt;&gt;Rejected",BB___HK___AMHS__Others[YearMonth],"2024-07")</f>
        <v>0</v>
      </c>
      <c r="CQ332" s="34">
        <f>SUMIFS(BB___HK___AMHS__Others[AR Amount],BB___HK___AMHS__Others[PO No.],AR_725[[#This Row],[tsmc PO '#]],BB___HK___AMHS__Others[Status],"&lt;&gt;Rejected",BB___HK___AMHS__Others[YearMonth],"2024-08")</f>
        <v>0</v>
      </c>
      <c r="CR332" s="44">
        <f>SUMIFS(BB___HK___AMHS__Others[Tax],BB___HK___AMHS__Others[PO No.],AR_725[[#This Row],[tsmc PO '#]],BB___HK___AMHS__Others[Status],"&lt;&gt;Rejected",BB___HK___AMHS__Others[YearMonth],"2024-08")</f>
        <v>0</v>
      </c>
      <c r="CS332" s="62">
        <f>SUMIFS(BB___HK___AMHS__Others[AR Amount],BB___HK___AMHS__Others[PO No.],AR_725[[#This Row],[tsmc PO '#]],BB___HK___AMHS__Others[Status],"&lt;&gt;Rejected",BB___HK___AMHS__Others[YearMonth],"2024-09")</f>
        <v>0</v>
      </c>
      <c r="CT332" s="601">
        <f>SUMIFS(BB___HK___AMHS__Others[Tax],BB___HK___AMHS__Others[PO No.],AR_725[[#This Row],[tsmc PO '#]],BB___HK___AMHS__Others[Status],"&lt;&gt;Rejected",BB___HK___AMHS__Others[YearMonth],"2024-09")</f>
        <v>0</v>
      </c>
    </row>
    <row r="333" spans="1:98" ht="15" hidden="1" customHeight="1">
      <c r="A333" s="30" t="s">
        <v>12</v>
      </c>
      <c r="B333" s="30" t="s">
        <v>2113</v>
      </c>
      <c r="D333" s="50" t="s">
        <v>1546</v>
      </c>
      <c r="E333" s="105" t="s">
        <v>2052</v>
      </c>
      <c r="F333" s="105" t="s">
        <v>2260</v>
      </c>
      <c r="G333" s="64" t="s">
        <v>1168</v>
      </c>
      <c r="H333" s="50" t="s">
        <v>2345</v>
      </c>
      <c r="I333" s="30" t="s">
        <v>190</v>
      </c>
      <c r="J333" s="30" t="s">
        <v>2346</v>
      </c>
      <c r="K333" s="62">
        <f>4200</f>
        <v>4200</v>
      </c>
      <c r="L333" s="30"/>
      <c r="M333" s="86">
        <v>44860</v>
      </c>
      <c r="N333" s="87" t="s">
        <v>2063</v>
      </c>
      <c r="O333" s="88" t="s">
        <v>2089</v>
      </c>
      <c r="P33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33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3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33" s="72">
        <f>IF(AR_725[[#This Row],[PO Amount]]=0,1,AR_725[[#This Row],[Total AR (Sent)]]/AR_725[[#This Row],[PO Amount]])</f>
        <v>0</v>
      </c>
      <c r="T333" s="45">
        <f>AR_725[[#This Row],[PO Amount]]-AR_725[[#This Row],[Total AR (Sent)]]</f>
        <v>4200</v>
      </c>
      <c r="U333" s="40"/>
      <c r="V333" s="40"/>
      <c r="W333" s="46"/>
      <c r="X333" s="46"/>
      <c r="Y333" s="46"/>
      <c r="Z333" s="46"/>
      <c r="AA333" s="46"/>
      <c r="AB333" s="40"/>
      <c r="AC333" s="40"/>
      <c r="AD333" s="40"/>
      <c r="AE333" s="46"/>
      <c r="AF333" s="46"/>
      <c r="AG333" s="46"/>
      <c r="AH333" s="46"/>
      <c r="AI333" s="46"/>
      <c r="AJ333" s="41"/>
      <c r="AK333" s="46"/>
      <c r="AL333" s="46"/>
      <c r="AM333" s="46"/>
      <c r="AN333" s="46"/>
      <c r="AO333" s="46"/>
      <c r="AP333" s="46"/>
      <c r="AQ333" s="46"/>
      <c r="AR333" s="82"/>
      <c r="AS333" s="46"/>
      <c r="AT333" s="83"/>
      <c r="AU333" s="41"/>
      <c r="AV333" s="83"/>
      <c r="AW333" s="41"/>
      <c r="AX333" s="83"/>
      <c r="AY333" s="41"/>
      <c r="AZ333" s="83"/>
      <c r="BA333" s="41"/>
      <c r="BB333" s="83"/>
      <c r="BC333" s="41"/>
      <c r="BD333" s="41"/>
      <c r="BE333" s="46"/>
      <c r="BF333" s="41"/>
      <c r="BG333" s="46"/>
      <c r="BH333" s="41"/>
      <c r="BI333" s="41"/>
      <c r="BJ333" s="41"/>
      <c r="BK333" s="41"/>
      <c r="BL333" s="83"/>
      <c r="BM333" s="41"/>
      <c r="BN333" s="41"/>
      <c r="BO333" s="46"/>
      <c r="BP333" s="41"/>
      <c r="BQ333" s="40"/>
      <c r="BR333" s="40"/>
      <c r="BS333" s="40"/>
      <c r="BT333" s="40"/>
      <c r="BU333" s="40"/>
      <c r="BV333" s="40"/>
      <c r="BW333" s="40"/>
      <c r="BX333" s="34"/>
      <c r="BZ333" s="40"/>
      <c r="CA333" s="40"/>
      <c r="CB333" s="34"/>
      <c r="CC333" s="34"/>
      <c r="CD333" s="34"/>
      <c r="CE333" s="34"/>
      <c r="CF333" s="34"/>
      <c r="CG333" s="122"/>
      <c r="CI333" s="122"/>
      <c r="CJ333" s="30"/>
      <c r="CK333" s="122">
        <v>0</v>
      </c>
      <c r="CL333" s="122">
        <v>0</v>
      </c>
      <c r="CM333" s="122">
        <v>0</v>
      </c>
      <c r="CN333" s="122">
        <v>0</v>
      </c>
      <c r="CO333" s="122">
        <f>SUMIFS(BB___HK___AMHS__Others[AR Amount],BB___HK___AMHS__Others[PO No.],AR_725[[#This Row],[tsmc PO '#]],BB___HK___AMHS__Others[Status],"&lt;&gt;Rejected",BB___HK___AMHS__Others[YearMonth],"2024-07")</f>
        <v>0</v>
      </c>
      <c r="CP333" s="122">
        <f>SUMIFS(BB___HK___AMHS__Others[Tax],BB___HK___AMHS__Others[PO No.],AR_725[[#This Row],[tsmc PO '#]],BB___HK___AMHS__Others[Status],"&lt;&gt;Rejected",BB___HK___AMHS__Others[YearMonth],"2024-07")</f>
        <v>0</v>
      </c>
      <c r="CQ333" s="34">
        <f>SUMIFS(BB___HK___AMHS__Others[AR Amount],BB___HK___AMHS__Others[PO No.],AR_725[[#This Row],[tsmc PO '#]],BB___HK___AMHS__Others[Status],"&lt;&gt;Rejected",BB___HK___AMHS__Others[YearMonth],"2024-08")</f>
        <v>0</v>
      </c>
      <c r="CR333" s="44">
        <f>SUMIFS(BB___HK___AMHS__Others[Tax],BB___HK___AMHS__Others[PO No.],AR_725[[#This Row],[tsmc PO '#]],BB___HK___AMHS__Others[Status],"&lt;&gt;Rejected",BB___HK___AMHS__Others[YearMonth],"2024-08")</f>
        <v>0</v>
      </c>
      <c r="CS333" s="62">
        <f>SUMIFS(BB___HK___AMHS__Others[AR Amount],BB___HK___AMHS__Others[PO No.],AR_725[[#This Row],[tsmc PO '#]],BB___HK___AMHS__Others[Status],"&lt;&gt;Rejected",BB___HK___AMHS__Others[YearMonth],"2024-09")</f>
        <v>0</v>
      </c>
      <c r="CT333" s="601">
        <f>SUMIFS(BB___HK___AMHS__Others[Tax],BB___HK___AMHS__Others[PO No.],AR_725[[#This Row],[tsmc PO '#]],BB___HK___AMHS__Others[Status],"&lt;&gt;Rejected",BB___HK___AMHS__Others[YearMonth],"2024-09")</f>
        <v>0</v>
      </c>
    </row>
    <row r="334" spans="1:98" ht="15" hidden="1" customHeight="1">
      <c r="A334" s="30" t="s">
        <v>12</v>
      </c>
      <c r="B334" s="30" t="s">
        <v>2113</v>
      </c>
      <c r="D334" s="50" t="s">
        <v>1546</v>
      </c>
      <c r="E334" s="105" t="s">
        <v>2052</v>
      </c>
      <c r="F334" s="105" t="s">
        <v>2260</v>
      </c>
      <c r="G334" s="64" t="s">
        <v>1168</v>
      </c>
      <c r="H334" s="50" t="s">
        <v>2347</v>
      </c>
      <c r="I334" s="30" t="s">
        <v>190</v>
      </c>
      <c r="J334" s="30" t="s">
        <v>2348</v>
      </c>
      <c r="K334" s="62">
        <f>4200</f>
        <v>4200</v>
      </c>
      <c r="L334" s="30"/>
      <c r="M334" s="86">
        <v>44860</v>
      </c>
      <c r="N334" s="87" t="s">
        <v>2063</v>
      </c>
      <c r="O334" s="88" t="s">
        <v>2089</v>
      </c>
      <c r="P33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33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3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34" s="72">
        <f>IF(AR_725[[#This Row],[PO Amount]]=0,1,AR_725[[#This Row],[Total AR (Sent)]]/AR_725[[#This Row],[PO Amount]])</f>
        <v>0</v>
      </c>
      <c r="T334" s="45">
        <f>AR_725[[#This Row],[PO Amount]]-AR_725[[#This Row],[Total AR (Sent)]]</f>
        <v>4200</v>
      </c>
      <c r="U334" s="40"/>
      <c r="V334" s="40"/>
      <c r="W334" s="46"/>
      <c r="X334" s="46"/>
      <c r="Y334" s="46"/>
      <c r="Z334" s="46"/>
      <c r="AA334" s="46"/>
      <c r="AB334" s="40"/>
      <c r="AC334" s="40"/>
      <c r="AD334" s="40"/>
      <c r="AE334" s="46"/>
      <c r="AF334" s="46"/>
      <c r="AG334" s="46"/>
      <c r="AH334" s="46"/>
      <c r="AI334" s="46"/>
      <c r="AJ334" s="41"/>
      <c r="AK334" s="46"/>
      <c r="AL334" s="46"/>
      <c r="AM334" s="46"/>
      <c r="AN334" s="46"/>
      <c r="AO334" s="46"/>
      <c r="AP334" s="46"/>
      <c r="AQ334" s="46"/>
      <c r="AR334" s="82"/>
      <c r="AS334" s="46"/>
      <c r="AT334" s="83"/>
      <c r="AU334" s="41"/>
      <c r="AV334" s="83"/>
      <c r="AW334" s="41"/>
      <c r="AX334" s="83"/>
      <c r="AY334" s="41"/>
      <c r="AZ334" s="83"/>
      <c r="BA334" s="41"/>
      <c r="BB334" s="83"/>
      <c r="BC334" s="41"/>
      <c r="BD334" s="41"/>
      <c r="BE334" s="46"/>
      <c r="BF334" s="41"/>
      <c r="BG334" s="46"/>
      <c r="BH334" s="41"/>
      <c r="BI334" s="41"/>
      <c r="BJ334" s="41"/>
      <c r="BK334" s="41"/>
      <c r="BL334" s="83"/>
      <c r="BM334" s="41"/>
      <c r="BN334" s="41"/>
      <c r="BO334" s="46"/>
      <c r="BP334" s="41"/>
      <c r="BQ334" s="40"/>
      <c r="BR334" s="40"/>
      <c r="BS334" s="40"/>
      <c r="BT334" s="40"/>
      <c r="BU334" s="40"/>
      <c r="BV334" s="40"/>
      <c r="BW334" s="40"/>
      <c r="BX334" s="34"/>
      <c r="BZ334" s="40"/>
      <c r="CA334" s="40"/>
      <c r="CB334" s="34"/>
      <c r="CC334" s="34"/>
      <c r="CD334" s="34"/>
      <c r="CE334" s="34"/>
      <c r="CF334" s="34"/>
      <c r="CG334" s="122"/>
      <c r="CI334" s="122"/>
      <c r="CJ334" s="30"/>
      <c r="CK334" s="122">
        <v>0</v>
      </c>
      <c r="CL334" s="122">
        <v>0</v>
      </c>
      <c r="CM334" s="122">
        <v>0</v>
      </c>
      <c r="CN334" s="122">
        <v>0</v>
      </c>
      <c r="CO334" s="122">
        <f>SUMIFS(BB___HK___AMHS__Others[AR Amount],BB___HK___AMHS__Others[PO No.],AR_725[[#This Row],[tsmc PO '#]],BB___HK___AMHS__Others[Status],"&lt;&gt;Rejected",BB___HK___AMHS__Others[YearMonth],"2024-07")</f>
        <v>0</v>
      </c>
      <c r="CP334" s="122">
        <f>SUMIFS(BB___HK___AMHS__Others[Tax],BB___HK___AMHS__Others[PO No.],AR_725[[#This Row],[tsmc PO '#]],BB___HK___AMHS__Others[Status],"&lt;&gt;Rejected",BB___HK___AMHS__Others[YearMonth],"2024-07")</f>
        <v>0</v>
      </c>
      <c r="CQ334" s="34">
        <f>SUMIFS(BB___HK___AMHS__Others[AR Amount],BB___HK___AMHS__Others[PO No.],AR_725[[#This Row],[tsmc PO '#]],BB___HK___AMHS__Others[Status],"&lt;&gt;Rejected",BB___HK___AMHS__Others[YearMonth],"2024-08")</f>
        <v>0</v>
      </c>
      <c r="CR334" s="44">
        <f>SUMIFS(BB___HK___AMHS__Others[Tax],BB___HK___AMHS__Others[PO No.],AR_725[[#This Row],[tsmc PO '#]],BB___HK___AMHS__Others[Status],"&lt;&gt;Rejected",BB___HK___AMHS__Others[YearMonth],"2024-08")</f>
        <v>0</v>
      </c>
      <c r="CS334" s="62">
        <f>SUMIFS(BB___HK___AMHS__Others[AR Amount],BB___HK___AMHS__Others[PO No.],AR_725[[#This Row],[tsmc PO '#]],BB___HK___AMHS__Others[Status],"&lt;&gt;Rejected",BB___HK___AMHS__Others[YearMonth],"2024-09")</f>
        <v>0</v>
      </c>
      <c r="CT334" s="601">
        <f>SUMIFS(BB___HK___AMHS__Others[Tax],BB___HK___AMHS__Others[PO No.],AR_725[[#This Row],[tsmc PO '#]],BB___HK___AMHS__Others[Status],"&lt;&gt;Rejected",BB___HK___AMHS__Others[YearMonth],"2024-09")</f>
        <v>0</v>
      </c>
    </row>
    <row r="335" spans="1:98" ht="15" hidden="1" customHeight="1">
      <c r="A335" s="30" t="s">
        <v>12</v>
      </c>
      <c r="B335" s="30" t="s">
        <v>2113</v>
      </c>
      <c r="D335" s="50" t="s">
        <v>1546</v>
      </c>
      <c r="E335" s="105" t="s">
        <v>2052</v>
      </c>
      <c r="F335" s="105" t="s">
        <v>2260</v>
      </c>
      <c r="G335" s="64" t="s">
        <v>1168</v>
      </c>
      <c r="H335" s="50" t="s">
        <v>2349</v>
      </c>
      <c r="I335" s="30" t="s">
        <v>190</v>
      </c>
      <c r="J335" s="30" t="s">
        <v>2350</v>
      </c>
      <c r="K335" s="62">
        <f>4200</f>
        <v>4200</v>
      </c>
      <c r="L335" s="30"/>
      <c r="M335" s="86">
        <v>44860</v>
      </c>
      <c r="N335" s="87" t="s">
        <v>2063</v>
      </c>
      <c r="O335" s="88" t="s">
        <v>2089</v>
      </c>
      <c r="P33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33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3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35" s="72">
        <f>IF(AR_725[[#This Row],[PO Amount]]=0,1,AR_725[[#This Row],[Total AR (Sent)]]/AR_725[[#This Row],[PO Amount]])</f>
        <v>0</v>
      </c>
      <c r="T335" s="45">
        <f>AR_725[[#This Row],[PO Amount]]-AR_725[[#This Row],[Total AR (Sent)]]</f>
        <v>4200</v>
      </c>
      <c r="U335" s="40"/>
      <c r="V335" s="40"/>
      <c r="W335" s="46"/>
      <c r="X335" s="46"/>
      <c r="Y335" s="46"/>
      <c r="Z335" s="46"/>
      <c r="AA335" s="46"/>
      <c r="AB335" s="40"/>
      <c r="AC335" s="40"/>
      <c r="AD335" s="40"/>
      <c r="AE335" s="46"/>
      <c r="AF335" s="46"/>
      <c r="AG335" s="46"/>
      <c r="AH335" s="46"/>
      <c r="AI335" s="46"/>
      <c r="AJ335" s="41"/>
      <c r="AK335" s="46"/>
      <c r="AL335" s="46"/>
      <c r="AM335" s="46"/>
      <c r="AN335" s="46"/>
      <c r="AO335" s="46"/>
      <c r="AP335" s="46"/>
      <c r="AQ335" s="46"/>
      <c r="AR335" s="82"/>
      <c r="AS335" s="46"/>
      <c r="AT335" s="83"/>
      <c r="AU335" s="41"/>
      <c r="AV335" s="83"/>
      <c r="AW335" s="41"/>
      <c r="AX335" s="83"/>
      <c r="AY335" s="41"/>
      <c r="AZ335" s="83"/>
      <c r="BA335" s="41"/>
      <c r="BB335" s="83"/>
      <c r="BC335" s="41"/>
      <c r="BD335" s="41"/>
      <c r="BE335" s="46"/>
      <c r="BF335" s="41"/>
      <c r="BG335" s="46"/>
      <c r="BH335" s="41"/>
      <c r="BI335" s="41"/>
      <c r="BJ335" s="41"/>
      <c r="BK335" s="41"/>
      <c r="BL335" s="83"/>
      <c r="BM335" s="41"/>
      <c r="BN335" s="41"/>
      <c r="BO335" s="46"/>
      <c r="BP335" s="41"/>
      <c r="BQ335" s="40"/>
      <c r="BR335" s="40"/>
      <c r="BS335" s="40"/>
      <c r="BT335" s="40"/>
      <c r="BU335" s="40"/>
      <c r="BV335" s="40"/>
      <c r="BW335" s="40"/>
      <c r="BX335" s="34"/>
      <c r="BZ335" s="40"/>
      <c r="CA335" s="40"/>
      <c r="CB335" s="34"/>
      <c r="CC335" s="34"/>
      <c r="CD335" s="34"/>
      <c r="CE335" s="34"/>
      <c r="CF335" s="34"/>
      <c r="CG335" s="122"/>
      <c r="CI335" s="122"/>
      <c r="CJ335" s="30"/>
      <c r="CK335" s="122">
        <v>0</v>
      </c>
      <c r="CL335" s="122">
        <v>0</v>
      </c>
      <c r="CM335" s="122">
        <v>0</v>
      </c>
      <c r="CN335" s="122">
        <v>0</v>
      </c>
      <c r="CO335" s="122">
        <f>SUMIFS(BB___HK___AMHS__Others[AR Amount],BB___HK___AMHS__Others[PO No.],AR_725[[#This Row],[tsmc PO '#]],BB___HK___AMHS__Others[Status],"&lt;&gt;Rejected",BB___HK___AMHS__Others[YearMonth],"2024-07")</f>
        <v>0</v>
      </c>
      <c r="CP335" s="122">
        <f>SUMIFS(BB___HK___AMHS__Others[Tax],BB___HK___AMHS__Others[PO No.],AR_725[[#This Row],[tsmc PO '#]],BB___HK___AMHS__Others[Status],"&lt;&gt;Rejected",BB___HK___AMHS__Others[YearMonth],"2024-07")</f>
        <v>0</v>
      </c>
      <c r="CQ335" s="34">
        <f>SUMIFS(BB___HK___AMHS__Others[AR Amount],BB___HK___AMHS__Others[PO No.],AR_725[[#This Row],[tsmc PO '#]],BB___HK___AMHS__Others[Status],"&lt;&gt;Rejected",BB___HK___AMHS__Others[YearMonth],"2024-08")</f>
        <v>0</v>
      </c>
      <c r="CR335" s="44">
        <f>SUMIFS(BB___HK___AMHS__Others[Tax],BB___HK___AMHS__Others[PO No.],AR_725[[#This Row],[tsmc PO '#]],BB___HK___AMHS__Others[Status],"&lt;&gt;Rejected",BB___HK___AMHS__Others[YearMonth],"2024-08")</f>
        <v>0</v>
      </c>
      <c r="CS335" s="62">
        <f>SUMIFS(BB___HK___AMHS__Others[AR Amount],BB___HK___AMHS__Others[PO No.],AR_725[[#This Row],[tsmc PO '#]],BB___HK___AMHS__Others[Status],"&lt;&gt;Rejected",BB___HK___AMHS__Others[YearMonth],"2024-09")</f>
        <v>0</v>
      </c>
      <c r="CT335" s="601">
        <f>SUMIFS(BB___HK___AMHS__Others[Tax],BB___HK___AMHS__Others[PO No.],AR_725[[#This Row],[tsmc PO '#]],BB___HK___AMHS__Others[Status],"&lt;&gt;Rejected",BB___HK___AMHS__Others[YearMonth],"2024-09")</f>
        <v>0</v>
      </c>
    </row>
    <row r="336" spans="1:98" ht="15" hidden="1" customHeight="1">
      <c r="A336" s="30" t="s">
        <v>12</v>
      </c>
      <c r="B336" s="30" t="s">
        <v>2113</v>
      </c>
      <c r="D336" s="50" t="s">
        <v>1546</v>
      </c>
      <c r="E336" s="105" t="s">
        <v>2052</v>
      </c>
      <c r="F336" s="105" t="s">
        <v>2260</v>
      </c>
      <c r="G336" s="64" t="s">
        <v>1168</v>
      </c>
      <c r="H336" s="50" t="s">
        <v>2351</v>
      </c>
      <c r="I336" s="30" t="s">
        <v>190</v>
      </c>
      <c r="J336" s="30" t="s">
        <v>2352</v>
      </c>
      <c r="K336" s="62">
        <f>4200</f>
        <v>4200</v>
      </c>
      <c r="L336" s="30"/>
      <c r="M336" s="86">
        <v>44860</v>
      </c>
      <c r="N336" s="87" t="s">
        <v>2063</v>
      </c>
      <c r="O336" s="88" t="s">
        <v>2089</v>
      </c>
      <c r="P33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33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3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36" s="72">
        <f>IF(AR_725[[#This Row],[PO Amount]]=0,1,AR_725[[#This Row],[Total AR (Sent)]]/AR_725[[#This Row],[PO Amount]])</f>
        <v>0</v>
      </c>
      <c r="T336" s="45">
        <f>AR_725[[#This Row],[PO Amount]]-AR_725[[#This Row],[Total AR (Sent)]]</f>
        <v>4200</v>
      </c>
      <c r="U336" s="40"/>
      <c r="V336" s="40"/>
      <c r="W336" s="46"/>
      <c r="X336" s="46"/>
      <c r="Y336" s="46"/>
      <c r="Z336" s="46"/>
      <c r="AA336" s="46"/>
      <c r="AB336" s="40"/>
      <c r="AC336" s="40"/>
      <c r="AD336" s="40"/>
      <c r="AE336" s="46"/>
      <c r="AF336" s="46"/>
      <c r="AG336" s="46"/>
      <c r="AH336" s="46"/>
      <c r="AI336" s="46"/>
      <c r="AJ336" s="41"/>
      <c r="AK336" s="46"/>
      <c r="AL336" s="46"/>
      <c r="AM336" s="46"/>
      <c r="AN336" s="46"/>
      <c r="AO336" s="46"/>
      <c r="AP336" s="46"/>
      <c r="AQ336" s="46"/>
      <c r="AR336" s="82"/>
      <c r="AS336" s="46"/>
      <c r="AT336" s="83"/>
      <c r="AU336" s="41"/>
      <c r="AV336" s="83"/>
      <c r="AW336" s="41"/>
      <c r="AX336" s="83"/>
      <c r="AY336" s="41"/>
      <c r="AZ336" s="83"/>
      <c r="BA336" s="41"/>
      <c r="BB336" s="83"/>
      <c r="BC336" s="41"/>
      <c r="BD336" s="41"/>
      <c r="BE336" s="46"/>
      <c r="BF336" s="41"/>
      <c r="BG336" s="46"/>
      <c r="BH336" s="41"/>
      <c r="BI336" s="41"/>
      <c r="BJ336" s="41"/>
      <c r="BK336" s="41"/>
      <c r="BL336" s="83"/>
      <c r="BM336" s="41"/>
      <c r="BN336" s="41"/>
      <c r="BO336" s="46"/>
      <c r="BP336" s="41"/>
      <c r="BQ336" s="40"/>
      <c r="BR336" s="40"/>
      <c r="BS336" s="40"/>
      <c r="BT336" s="40"/>
      <c r="BU336" s="40"/>
      <c r="BV336" s="40"/>
      <c r="BW336" s="40"/>
      <c r="BX336" s="34"/>
      <c r="BZ336" s="40"/>
      <c r="CA336" s="40"/>
      <c r="CB336" s="34"/>
      <c r="CC336" s="34"/>
      <c r="CD336" s="34"/>
      <c r="CE336" s="34"/>
      <c r="CF336" s="34"/>
      <c r="CG336" s="122"/>
      <c r="CI336" s="122"/>
      <c r="CJ336" s="30"/>
      <c r="CK336" s="122">
        <v>0</v>
      </c>
      <c r="CL336" s="122">
        <v>0</v>
      </c>
      <c r="CM336" s="122">
        <v>0</v>
      </c>
      <c r="CN336" s="122">
        <v>0</v>
      </c>
      <c r="CO336" s="122">
        <f>SUMIFS(BB___HK___AMHS__Others[AR Amount],BB___HK___AMHS__Others[PO No.],AR_725[[#This Row],[tsmc PO '#]],BB___HK___AMHS__Others[Status],"&lt;&gt;Rejected",BB___HK___AMHS__Others[YearMonth],"2024-07")</f>
        <v>0</v>
      </c>
      <c r="CP336" s="122">
        <f>SUMIFS(BB___HK___AMHS__Others[Tax],BB___HK___AMHS__Others[PO No.],AR_725[[#This Row],[tsmc PO '#]],BB___HK___AMHS__Others[Status],"&lt;&gt;Rejected",BB___HK___AMHS__Others[YearMonth],"2024-07")</f>
        <v>0</v>
      </c>
      <c r="CQ336" s="34">
        <f>SUMIFS(BB___HK___AMHS__Others[AR Amount],BB___HK___AMHS__Others[PO No.],AR_725[[#This Row],[tsmc PO '#]],BB___HK___AMHS__Others[Status],"&lt;&gt;Rejected",BB___HK___AMHS__Others[YearMonth],"2024-08")</f>
        <v>0</v>
      </c>
      <c r="CR336" s="44">
        <f>SUMIFS(BB___HK___AMHS__Others[Tax],BB___HK___AMHS__Others[PO No.],AR_725[[#This Row],[tsmc PO '#]],BB___HK___AMHS__Others[Status],"&lt;&gt;Rejected",BB___HK___AMHS__Others[YearMonth],"2024-08")</f>
        <v>0</v>
      </c>
      <c r="CS336" s="62">
        <f>SUMIFS(BB___HK___AMHS__Others[AR Amount],BB___HK___AMHS__Others[PO No.],AR_725[[#This Row],[tsmc PO '#]],BB___HK___AMHS__Others[Status],"&lt;&gt;Rejected",BB___HK___AMHS__Others[YearMonth],"2024-09")</f>
        <v>0</v>
      </c>
      <c r="CT336" s="601">
        <f>SUMIFS(BB___HK___AMHS__Others[Tax],BB___HK___AMHS__Others[PO No.],AR_725[[#This Row],[tsmc PO '#]],BB___HK___AMHS__Others[Status],"&lt;&gt;Rejected",BB___HK___AMHS__Others[YearMonth],"2024-09")</f>
        <v>0</v>
      </c>
    </row>
    <row r="337" spans="1:98" ht="15" hidden="1" customHeight="1">
      <c r="A337" s="30" t="s">
        <v>12</v>
      </c>
      <c r="B337" s="30" t="s">
        <v>2113</v>
      </c>
      <c r="D337" s="50" t="s">
        <v>1546</v>
      </c>
      <c r="E337" s="364" t="s">
        <v>2052</v>
      </c>
      <c r="F337" s="105" t="s">
        <v>2260</v>
      </c>
      <c r="G337" s="64" t="s">
        <v>1168</v>
      </c>
      <c r="H337" s="50" t="s">
        <v>2353</v>
      </c>
      <c r="I337" s="30" t="s">
        <v>190</v>
      </c>
      <c r="J337" s="30" t="s">
        <v>2354</v>
      </c>
      <c r="K337" s="62">
        <f>4200</f>
        <v>4200</v>
      </c>
      <c r="L337" s="30"/>
      <c r="M337" s="86">
        <v>44860</v>
      </c>
      <c r="N337" s="87" t="s">
        <v>2063</v>
      </c>
      <c r="O337" s="88" t="s">
        <v>2089</v>
      </c>
      <c r="P33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33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3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37" s="72">
        <f>IF(AR_725[[#This Row],[PO Amount]]=0,1,AR_725[[#This Row],[Total AR (Sent)]]/AR_725[[#This Row],[PO Amount]])</f>
        <v>0</v>
      </c>
      <c r="T337" s="45">
        <f>AR_725[[#This Row],[PO Amount]]-AR_725[[#This Row],[Total AR (Sent)]]</f>
        <v>4200</v>
      </c>
      <c r="U337" s="40"/>
      <c r="V337" s="40"/>
      <c r="W337" s="46"/>
      <c r="X337" s="46"/>
      <c r="Y337" s="46"/>
      <c r="Z337" s="46"/>
      <c r="AA337" s="46"/>
      <c r="AB337" s="40"/>
      <c r="AC337" s="40"/>
      <c r="AD337" s="40"/>
      <c r="AE337" s="46"/>
      <c r="AF337" s="46"/>
      <c r="AG337" s="46"/>
      <c r="AH337" s="46"/>
      <c r="AI337" s="46"/>
      <c r="AJ337" s="41"/>
      <c r="AK337" s="46"/>
      <c r="AL337" s="46"/>
      <c r="AM337" s="46"/>
      <c r="AN337" s="46"/>
      <c r="AO337" s="46"/>
      <c r="AP337" s="46"/>
      <c r="AQ337" s="46"/>
      <c r="AR337" s="82"/>
      <c r="AS337" s="41"/>
      <c r="AT337" s="83"/>
      <c r="AU337" s="41"/>
      <c r="AV337" s="83"/>
      <c r="AW337" s="41"/>
      <c r="AX337" s="83"/>
      <c r="AY337" s="41"/>
      <c r="AZ337" s="83"/>
      <c r="BA337" s="41"/>
      <c r="BB337" s="83"/>
      <c r="BC337" s="41"/>
      <c r="BD337" s="41"/>
      <c r="BE337" s="46"/>
      <c r="BF337" s="41"/>
      <c r="BG337" s="46"/>
      <c r="BH337" s="41"/>
      <c r="BI337" s="41"/>
      <c r="BJ337" s="41"/>
      <c r="BK337" s="41"/>
      <c r="BL337" s="83"/>
      <c r="BM337" s="41"/>
      <c r="BN337" s="41"/>
      <c r="BO337" s="46"/>
      <c r="BP337" s="41"/>
      <c r="BQ337" s="40"/>
      <c r="BR337" s="40"/>
      <c r="BS337" s="40"/>
      <c r="BT337" s="40"/>
      <c r="BU337" s="40"/>
      <c r="BV337" s="40"/>
      <c r="BW337" s="40"/>
      <c r="BX337" s="34"/>
      <c r="BZ337" s="40"/>
      <c r="CA337" s="40"/>
      <c r="CB337" s="34"/>
      <c r="CC337" s="34"/>
      <c r="CD337" s="34"/>
      <c r="CE337" s="34"/>
      <c r="CF337" s="34"/>
      <c r="CG337" s="122"/>
      <c r="CI337" s="122"/>
      <c r="CJ337" s="30"/>
      <c r="CK337" s="122">
        <v>0</v>
      </c>
      <c r="CL337" s="122">
        <v>0</v>
      </c>
      <c r="CM337" s="122">
        <v>0</v>
      </c>
      <c r="CN337" s="122">
        <v>0</v>
      </c>
      <c r="CO337" s="122">
        <f>SUMIFS(BB___HK___AMHS__Others[AR Amount],BB___HK___AMHS__Others[PO No.],AR_725[[#This Row],[tsmc PO '#]],BB___HK___AMHS__Others[Status],"&lt;&gt;Rejected",BB___HK___AMHS__Others[YearMonth],"2024-07")</f>
        <v>0</v>
      </c>
      <c r="CP337" s="122">
        <f>SUMIFS(BB___HK___AMHS__Others[Tax],BB___HK___AMHS__Others[PO No.],AR_725[[#This Row],[tsmc PO '#]],BB___HK___AMHS__Others[Status],"&lt;&gt;Rejected",BB___HK___AMHS__Others[YearMonth],"2024-07")</f>
        <v>0</v>
      </c>
      <c r="CQ337" s="34">
        <f>SUMIFS(BB___HK___AMHS__Others[AR Amount],BB___HK___AMHS__Others[PO No.],AR_725[[#This Row],[tsmc PO '#]],BB___HK___AMHS__Others[Status],"&lt;&gt;Rejected",BB___HK___AMHS__Others[YearMonth],"2024-08")</f>
        <v>0</v>
      </c>
      <c r="CR337" s="44">
        <f>SUMIFS(BB___HK___AMHS__Others[Tax],BB___HK___AMHS__Others[PO No.],AR_725[[#This Row],[tsmc PO '#]],BB___HK___AMHS__Others[Status],"&lt;&gt;Rejected",BB___HK___AMHS__Others[YearMonth],"2024-08")</f>
        <v>0</v>
      </c>
      <c r="CS337" s="62">
        <f>SUMIFS(BB___HK___AMHS__Others[AR Amount],BB___HK___AMHS__Others[PO No.],AR_725[[#This Row],[tsmc PO '#]],BB___HK___AMHS__Others[Status],"&lt;&gt;Rejected",BB___HK___AMHS__Others[YearMonth],"2024-09")</f>
        <v>0</v>
      </c>
      <c r="CT337" s="601">
        <f>SUMIFS(BB___HK___AMHS__Others[Tax],BB___HK___AMHS__Others[PO No.],AR_725[[#This Row],[tsmc PO '#]],BB___HK___AMHS__Others[Status],"&lt;&gt;Rejected",BB___HK___AMHS__Others[YearMonth],"2024-09")</f>
        <v>0</v>
      </c>
    </row>
    <row r="338" spans="1:98" ht="15" hidden="1" customHeight="1">
      <c r="A338" s="30" t="s">
        <v>12</v>
      </c>
      <c r="B338" s="30" t="s">
        <v>2113</v>
      </c>
      <c r="D338" s="50" t="s">
        <v>1546</v>
      </c>
      <c r="E338" s="105" t="s">
        <v>2052</v>
      </c>
      <c r="F338" s="105" t="s">
        <v>2260</v>
      </c>
      <c r="G338" s="64" t="s">
        <v>1168</v>
      </c>
      <c r="H338" s="50" t="s">
        <v>2355</v>
      </c>
      <c r="I338" s="30" t="s">
        <v>190</v>
      </c>
      <c r="J338" s="30" t="s">
        <v>2356</v>
      </c>
      <c r="K338" s="62">
        <f>4200</f>
        <v>4200</v>
      </c>
      <c r="L338" s="30"/>
      <c r="M338" s="86">
        <v>44860</v>
      </c>
      <c r="N338" s="87" t="s">
        <v>2063</v>
      </c>
      <c r="O338" s="88" t="s">
        <v>2089</v>
      </c>
      <c r="P33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33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3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38" s="72">
        <f>IF(AR_725[[#This Row],[PO Amount]]=0,1,AR_725[[#This Row],[Total AR (Sent)]]/AR_725[[#This Row],[PO Amount]])</f>
        <v>0</v>
      </c>
      <c r="T338" s="45">
        <f>AR_725[[#This Row],[PO Amount]]-AR_725[[#This Row],[Total AR (Sent)]]</f>
        <v>4200</v>
      </c>
      <c r="U338" s="40"/>
      <c r="V338" s="40"/>
      <c r="W338" s="46"/>
      <c r="X338" s="46"/>
      <c r="Y338" s="46"/>
      <c r="Z338" s="46"/>
      <c r="AA338" s="46"/>
      <c r="AB338" s="40"/>
      <c r="AC338" s="40"/>
      <c r="AD338" s="40"/>
      <c r="AE338" s="46"/>
      <c r="AF338" s="46"/>
      <c r="AG338" s="46"/>
      <c r="AH338" s="46"/>
      <c r="AI338" s="46"/>
      <c r="AJ338" s="41"/>
      <c r="AK338" s="46"/>
      <c r="AL338" s="46"/>
      <c r="AM338" s="46"/>
      <c r="AN338" s="46"/>
      <c r="AO338" s="46"/>
      <c r="AP338" s="46"/>
      <c r="AQ338" s="46"/>
      <c r="AR338" s="82"/>
      <c r="AS338" s="41"/>
      <c r="AT338" s="83"/>
      <c r="AU338" s="41"/>
      <c r="AV338" s="83"/>
      <c r="AW338" s="41"/>
      <c r="AX338" s="83"/>
      <c r="AY338" s="41"/>
      <c r="AZ338" s="83"/>
      <c r="BA338" s="41"/>
      <c r="BB338" s="83"/>
      <c r="BC338" s="41"/>
      <c r="BD338" s="41"/>
      <c r="BE338" s="46"/>
      <c r="BF338" s="41"/>
      <c r="BG338" s="46"/>
      <c r="BH338" s="41"/>
      <c r="BI338" s="41"/>
      <c r="BJ338" s="41"/>
      <c r="BK338" s="41"/>
      <c r="BL338" s="83"/>
      <c r="BM338" s="41"/>
      <c r="BN338" s="41"/>
      <c r="BO338" s="46"/>
      <c r="BP338" s="41"/>
      <c r="BQ338" s="40"/>
      <c r="BR338" s="40"/>
      <c r="BS338" s="40"/>
      <c r="BT338" s="40"/>
      <c r="BU338" s="40"/>
      <c r="BV338" s="40"/>
      <c r="BW338" s="40"/>
      <c r="BX338" s="34"/>
      <c r="BZ338" s="40"/>
      <c r="CA338" s="40"/>
      <c r="CB338" s="34"/>
      <c r="CC338" s="34"/>
      <c r="CD338" s="34"/>
      <c r="CE338" s="34"/>
      <c r="CF338" s="34"/>
      <c r="CG338" s="122"/>
      <c r="CI338" s="122"/>
      <c r="CJ338" s="30"/>
      <c r="CK338" s="122">
        <v>0</v>
      </c>
      <c r="CL338" s="122">
        <v>0</v>
      </c>
      <c r="CM338" s="122">
        <v>0</v>
      </c>
      <c r="CN338" s="122">
        <v>0</v>
      </c>
      <c r="CO338" s="122">
        <f>SUMIFS(BB___HK___AMHS__Others[AR Amount],BB___HK___AMHS__Others[PO No.],AR_725[[#This Row],[tsmc PO '#]],BB___HK___AMHS__Others[Status],"&lt;&gt;Rejected",BB___HK___AMHS__Others[YearMonth],"2024-07")</f>
        <v>0</v>
      </c>
      <c r="CP338" s="122">
        <f>SUMIFS(BB___HK___AMHS__Others[Tax],BB___HK___AMHS__Others[PO No.],AR_725[[#This Row],[tsmc PO '#]],BB___HK___AMHS__Others[Status],"&lt;&gt;Rejected",BB___HK___AMHS__Others[YearMonth],"2024-07")</f>
        <v>0</v>
      </c>
      <c r="CQ338" s="34">
        <f>SUMIFS(BB___HK___AMHS__Others[AR Amount],BB___HK___AMHS__Others[PO No.],AR_725[[#This Row],[tsmc PO '#]],BB___HK___AMHS__Others[Status],"&lt;&gt;Rejected",BB___HK___AMHS__Others[YearMonth],"2024-08")</f>
        <v>0</v>
      </c>
      <c r="CR338" s="44">
        <f>SUMIFS(BB___HK___AMHS__Others[Tax],BB___HK___AMHS__Others[PO No.],AR_725[[#This Row],[tsmc PO '#]],BB___HK___AMHS__Others[Status],"&lt;&gt;Rejected",BB___HK___AMHS__Others[YearMonth],"2024-08")</f>
        <v>0</v>
      </c>
      <c r="CS338" s="62">
        <f>SUMIFS(BB___HK___AMHS__Others[AR Amount],BB___HK___AMHS__Others[PO No.],AR_725[[#This Row],[tsmc PO '#]],BB___HK___AMHS__Others[Status],"&lt;&gt;Rejected",BB___HK___AMHS__Others[YearMonth],"2024-09")</f>
        <v>0</v>
      </c>
      <c r="CT338" s="601">
        <f>SUMIFS(BB___HK___AMHS__Others[Tax],BB___HK___AMHS__Others[PO No.],AR_725[[#This Row],[tsmc PO '#]],BB___HK___AMHS__Others[Status],"&lt;&gt;Rejected",BB___HK___AMHS__Others[YearMonth],"2024-09")</f>
        <v>0</v>
      </c>
    </row>
    <row r="339" spans="1:98" ht="15" hidden="1" customHeight="1">
      <c r="A339" s="30" t="s">
        <v>12</v>
      </c>
      <c r="B339" s="30" t="s">
        <v>2113</v>
      </c>
      <c r="D339" s="50" t="s">
        <v>1546</v>
      </c>
      <c r="E339" s="364" t="s">
        <v>2052</v>
      </c>
      <c r="F339" s="105" t="s">
        <v>2260</v>
      </c>
      <c r="G339" s="64" t="s">
        <v>1168</v>
      </c>
      <c r="H339" s="50" t="s">
        <v>2357</v>
      </c>
      <c r="I339" s="30" t="s">
        <v>190</v>
      </c>
      <c r="J339" s="30" t="s">
        <v>2358</v>
      </c>
      <c r="K339" s="62">
        <f>4200</f>
        <v>4200</v>
      </c>
      <c r="L339" s="30"/>
      <c r="M339" s="86">
        <v>44860</v>
      </c>
      <c r="N339" s="87" t="s">
        <v>2063</v>
      </c>
      <c r="O339" s="88" t="s">
        <v>2089</v>
      </c>
      <c r="P33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33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3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39" s="72">
        <f>IF(AR_725[[#This Row],[PO Amount]]=0,1,AR_725[[#This Row],[Total AR (Sent)]]/AR_725[[#This Row],[PO Amount]])</f>
        <v>0</v>
      </c>
      <c r="T339" s="45">
        <f>AR_725[[#This Row],[PO Amount]]-AR_725[[#This Row],[Total AR (Sent)]]</f>
        <v>4200</v>
      </c>
      <c r="U339" s="40"/>
      <c r="V339" s="40"/>
      <c r="W339" s="46"/>
      <c r="X339" s="46"/>
      <c r="Y339" s="46"/>
      <c r="Z339" s="46"/>
      <c r="AA339" s="46"/>
      <c r="AB339" s="40"/>
      <c r="AC339" s="40"/>
      <c r="AD339" s="40"/>
      <c r="AE339" s="46"/>
      <c r="AF339" s="46"/>
      <c r="AG339" s="46"/>
      <c r="AH339" s="46"/>
      <c r="AI339" s="46"/>
      <c r="AJ339" s="41"/>
      <c r="AK339" s="46"/>
      <c r="AL339" s="46"/>
      <c r="AM339" s="46"/>
      <c r="AN339" s="46"/>
      <c r="AO339" s="46"/>
      <c r="AP339" s="46"/>
      <c r="AQ339" s="46"/>
      <c r="AR339" s="82"/>
      <c r="AS339" s="41"/>
      <c r="AT339" s="83"/>
      <c r="AU339" s="41"/>
      <c r="AV339" s="83"/>
      <c r="AW339" s="41"/>
      <c r="AX339" s="83"/>
      <c r="AY339" s="41"/>
      <c r="AZ339" s="83"/>
      <c r="BA339" s="41"/>
      <c r="BB339" s="83"/>
      <c r="BC339" s="41"/>
      <c r="BD339" s="41"/>
      <c r="BE339" s="46"/>
      <c r="BF339" s="41"/>
      <c r="BG339" s="46"/>
      <c r="BH339" s="41"/>
      <c r="BI339" s="41"/>
      <c r="BJ339" s="41"/>
      <c r="BK339" s="41"/>
      <c r="BL339" s="83"/>
      <c r="BM339" s="41"/>
      <c r="BN339" s="41"/>
      <c r="BO339" s="46"/>
      <c r="BP339" s="41"/>
      <c r="BQ339" s="40"/>
      <c r="BR339" s="40"/>
      <c r="BS339" s="40"/>
      <c r="BT339" s="40"/>
      <c r="BU339" s="40"/>
      <c r="BV339" s="40"/>
      <c r="BW339" s="40"/>
      <c r="BX339" s="34"/>
      <c r="BZ339" s="40"/>
      <c r="CA339" s="40"/>
      <c r="CB339" s="34"/>
      <c r="CC339" s="34"/>
      <c r="CD339" s="34"/>
      <c r="CE339" s="103"/>
      <c r="CF339" s="103"/>
      <c r="CG339" s="122"/>
      <c r="CI339" s="122"/>
      <c r="CJ339" s="30"/>
      <c r="CK339" s="122">
        <v>0</v>
      </c>
      <c r="CL339" s="122">
        <v>0</v>
      </c>
      <c r="CM339" s="122">
        <v>0</v>
      </c>
      <c r="CN339" s="122">
        <v>0</v>
      </c>
      <c r="CO339" s="122">
        <f>SUMIFS(BB___HK___AMHS__Others[AR Amount],BB___HK___AMHS__Others[PO No.],AR_725[[#This Row],[tsmc PO '#]],BB___HK___AMHS__Others[Status],"&lt;&gt;Rejected",BB___HK___AMHS__Others[YearMonth],"2024-07")</f>
        <v>0</v>
      </c>
      <c r="CP339" s="122">
        <f>SUMIFS(BB___HK___AMHS__Others[Tax],BB___HK___AMHS__Others[PO No.],AR_725[[#This Row],[tsmc PO '#]],BB___HK___AMHS__Others[Status],"&lt;&gt;Rejected",BB___HK___AMHS__Others[YearMonth],"2024-07")</f>
        <v>0</v>
      </c>
      <c r="CQ339" s="34">
        <f>SUMIFS(BB___HK___AMHS__Others[AR Amount],BB___HK___AMHS__Others[PO No.],AR_725[[#This Row],[tsmc PO '#]],BB___HK___AMHS__Others[Status],"&lt;&gt;Rejected",BB___HK___AMHS__Others[YearMonth],"2024-08")</f>
        <v>0</v>
      </c>
      <c r="CR339" s="44">
        <f>SUMIFS(BB___HK___AMHS__Others[Tax],BB___HK___AMHS__Others[PO No.],AR_725[[#This Row],[tsmc PO '#]],BB___HK___AMHS__Others[Status],"&lt;&gt;Rejected",BB___HK___AMHS__Others[YearMonth],"2024-08")</f>
        <v>0</v>
      </c>
      <c r="CS339" s="62">
        <f>SUMIFS(BB___HK___AMHS__Others[AR Amount],BB___HK___AMHS__Others[PO No.],AR_725[[#This Row],[tsmc PO '#]],BB___HK___AMHS__Others[Status],"&lt;&gt;Rejected",BB___HK___AMHS__Others[YearMonth],"2024-09")</f>
        <v>0</v>
      </c>
      <c r="CT339" s="601">
        <f>SUMIFS(BB___HK___AMHS__Others[Tax],BB___HK___AMHS__Others[PO No.],AR_725[[#This Row],[tsmc PO '#]],BB___HK___AMHS__Others[Status],"&lt;&gt;Rejected",BB___HK___AMHS__Others[YearMonth],"2024-09")</f>
        <v>0</v>
      </c>
    </row>
    <row r="340" spans="1:98" ht="15" hidden="1" customHeight="1">
      <c r="A340" s="30" t="s">
        <v>12</v>
      </c>
      <c r="B340" s="30" t="s">
        <v>2113</v>
      </c>
      <c r="D340" s="50" t="s">
        <v>1546</v>
      </c>
      <c r="E340" s="105" t="s">
        <v>2052</v>
      </c>
      <c r="F340" s="105" t="s">
        <v>2260</v>
      </c>
      <c r="G340" s="64" t="s">
        <v>1168</v>
      </c>
      <c r="H340" s="50" t="s">
        <v>2359</v>
      </c>
      <c r="I340" s="30" t="s">
        <v>190</v>
      </c>
      <c r="J340" s="30" t="s">
        <v>2360</v>
      </c>
      <c r="K340" s="62">
        <f>4200</f>
        <v>4200</v>
      </c>
      <c r="L340" s="30"/>
      <c r="M340" s="86">
        <v>44860</v>
      </c>
      <c r="N340" s="87" t="s">
        <v>2063</v>
      </c>
      <c r="O340" s="88" t="s">
        <v>2089</v>
      </c>
      <c r="P34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34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4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40" s="72">
        <f>IF(AR_725[[#This Row],[PO Amount]]=0,1,AR_725[[#This Row],[Total AR (Sent)]]/AR_725[[#This Row],[PO Amount]])</f>
        <v>0</v>
      </c>
      <c r="T340" s="45">
        <f>AR_725[[#This Row],[PO Amount]]-AR_725[[#This Row],[Total AR (Sent)]]</f>
        <v>4200</v>
      </c>
      <c r="U340" s="40"/>
      <c r="V340" s="40"/>
      <c r="W340" s="46"/>
      <c r="X340" s="46"/>
      <c r="Y340" s="46"/>
      <c r="Z340" s="46"/>
      <c r="AA340" s="46"/>
      <c r="AB340" s="40"/>
      <c r="AC340" s="40"/>
      <c r="AD340" s="40"/>
      <c r="AE340" s="46"/>
      <c r="AF340" s="46"/>
      <c r="AG340" s="46"/>
      <c r="AH340" s="46"/>
      <c r="AI340" s="46"/>
      <c r="AJ340" s="41"/>
      <c r="AK340" s="46"/>
      <c r="AL340" s="46"/>
      <c r="AM340" s="46"/>
      <c r="AN340" s="46"/>
      <c r="AO340" s="46"/>
      <c r="AP340" s="46"/>
      <c r="AQ340" s="46"/>
      <c r="AR340" s="82"/>
      <c r="AS340" s="41"/>
      <c r="AT340" s="83"/>
      <c r="AU340" s="41"/>
      <c r="AV340" s="83"/>
      <c r="AW340" s="41"/>
      <c r="AX340" s="83"/>
      <c r="AY340" s="41"/>
      <c r="AZ340" s="83"/>
      <c r="BA340" s="41"/>
      <c r="BB340" s="83"/>
      <c r="BC340" s="41"/>
      <c r="BD340" s="41"/>
      <c r="BE340" s="46"/>
      <c r="BF340" s="41"/>
      <c r="BG340" s="46"/>
      <c r="BH340" s="41"/>
      <c r="BI340" s="41"/>
      <c r="BJ340" s="41"/>
      <c r="BK340" s="41"/>
      <c r="BL340" s="83"/>
      <c r="BM340" s="41"/>
      <c r="BN340" s="41"/>
      <c r="BO340" s="46"/>
      <c r="BP340" s="41"/>
      <c r="BQ340" s="40"/>
      <c r="BR340" s="40"/>
      <c r="BS340" s="40"/>
      <c r="BT340" s="40"/>
      <c r="BU340" s="40"/>
      <c r="BV340" s="40"/>
      <c r="BW340" s="40"/>
      <c r="BX340" s="34"/>
      <c r="BZ340" s="40"/>
      <c r="CA340" s="40"/>
      <c r="CB340" s="34"/>
      <c r="CC340" s="34"/>
      <c r="CD340" s="34"/>
      <c r="CE340" s="34"/>
      <c r="CF340" s="34"/>
      <c r="CG340" s="122"/>
      <c r="CI340" s="122"/>
      <c r="CJ340" s="30"/>
      <c r="CK340" s="122">
        <v>0</v>
      </c>
      <c r="CL340" s="122">
        <v>0</v>
      </c>
      <c r="CM340" s="122">
        <v>0</v>
      </c>
      <c r="CN340" s="122">
        <v>0</v>
      </c>
      <c r="CO340" s="122">
        <f>SUMIFS(BB___HK___AMHS__Others[AR Amount],BB___HK___AMHS__Others[PO No.],AR_725[[#This Row],[tsmc PO '#]],BB___HK___AMHS__Others[Status],"&lt;&gt;Rejected",BB___HK___AMHS__Others[YearMonth],"2024-07")</f>
        <v>0</v>
      </c>
      <c r="CP340" s="122">
        <f>SUMIFS(BB___HK___AMHS__Others[Tax],BB___HK___AMHS__Others[PO No.],AR_725[[#This Row],[tsmc PO '#]],BB___HK___AMHS__Others[Status],"&lt;&gt;Rejected",BB___HK___AMHS__Others[YearMonth],"2024-07")</f>
        <v>0</v>
      </c>
      <c r="CQ340" s="34">
        <f>SUMIFS(BB___HK___AMHS__Others[AR Amount],BB___HK___AMHS__Others[PO No.],AR_725[[#This Row],[tsmc PO '#]],BB___HK___AMHS__Others[Status],"&lt;&gt;Rejected",BB___HK___AMHS__Others[YearMonth],"2024-08")</f>
        <v>0</v>
      </c>
      <c r="CR340" s="44">
        <f>SUMIFS(BB___HK___AMHS__Others[Tax],BB___HK___AMHS__Others[PO No.],AR_725[[#This Row],[tsmc PO '#]],BB___HK___AMHS__Others[Status],"&lt;&gt;Rejected",BB___HK___AMHS__Others[YearMonth],"2024-08")</f>
        <v>0</v>
      </c>
      <c r="CS340" s="62">
        <f>SUMIFS(BB___HK___AMHS__Others[AR Amount],BB___HK___AMHS__Others[PO No.],AR_725[[#This Row],[tsmc PO '#]],BB___HK___AMHS__Others[Status],"&lt;&gt;Rejected",BB___HK___AMHS__Others[YearMonth],"2024-09")</f>
        <v>0</v>
      </c>
      <c r="CT340" s="601">
        <f>SUMIFS(BB___HK___AMHS__Others[Tax],BB___HK___AMHS__Others[PO No.],AR_725[[#This Row],[tsmc PO '#]],BB___HK___AMHS__Others[Status],"&lt;&gt;Rejected",BB___HK___AMHS__Others[YearMonth],"2024-09")</f>
        <v>0</v>
      </c>
    </row>
    <row r="341" spans="1:98" ht="15" hidden="1" customHeight="1">
      <c r="A341" s="30" t="s">
        <v>12</v>
      </c>
      <c r="B341" s="30" t="s">
        <v>2113</v>
      </c>
      <c r="D341" s="50" t="s">
        <v>1546</v>
      </c>
      <c r="E341" s="105" t="s">
        <v>2052</v>
      </c>
      <c r="F341" s="105" t="s">
        <v>2260</v>
      </c>
      <c r="G341" s="64" t="s">
        <v>1168</v>
      </c>
      <c r="H341" s="50" t="s">
        <v>1190</v>
      </c>
      <c r="I341" s="30" t="s">
        <v>190</v>
      </c>
      <c r="J341" s="30" t="s">
        <v>1191</v>
      </c>
      <c r="K341" s="62">
        <f>4200</f>
        <v>4200</v>
      </c>
      <c r="L341" s="30"/>
      <c r="M341" s="86">
        <v>44860</v>
      </c>
      <c r="N341" s="87" t="s">
        <v>2063</v>
      </c>
      <c r="O341" s="88" t="s">
        <v>2089</v>
      </c>
      <c r="P34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4200</v>
      </c>
      <c r="Q34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4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4200</v>
      </c>
      <c r="S341" s="72">
        <f>IF(AR_725[[#This Row],[PO Amount]]=0,1,AR_725[[#This Row],[Total AR (Sent)]]/AR_725[[#This Row],[PO Amount]])</f>
        <v>1</v>
      </c>
      <c r="T341" s="45">
        <f>AR_725[[#This Row],[PO Amount]]-AR_725[[#This Row],[Total AR (Sent)]]</f>
        <v>0</v>
      </c>
      <c r="U341" s="40"/>
      <c r="V341" s="40"/>
      <c r="W341" s="46"/>
      <c r="X341" s="46"/>
      <c r="Y341" s="46"/>
      <c r="Z341" s="46"/>
      <c r="AA341" s="46"/>
      <c r="AB341" s="40"/>
      <c r="AC341" s="40"/>
      <c r="AD341" s="40"/>
      <c r="AE341" s="46"/>
      <c r="AF341" s="46"/>
      <c r="AG341" s="46"/>
      <c r="AH341" s="46"/>
      <c r="AI341" s="46"/>
      <c r="AJ341" s="41"/>
      <c r="AK341" s="46"/>
      <c r="AL341" s="46"/>
      <c r="AM341" s="46"/>
      <c r="AN341" s="46"/>
      <c r="AO341" s="46"/>
      <c r="AP341" s="46"/>
      <c r="AQ341" s="46"/>
      <c r="AR341" s="82"/>
      <c r="AS341" s="41"/>
      <c r="AT341" s="83"/>
      <c r="AU341" s="41"/>
      <c r="AV341" s="83"/>
      <c r="AW341" s="41"/>
      <c r="AX341" s="83"/>
      <c r="AY341" s="41"/>
      <c r="AZ341" s="83"/>
      <c r="BA341" s="41"/>
      <c r="BB341" s="83"/>
      <c r="BC341" s="41"/>
      <c r="BD341" s="41"/>
      <c r="BE341" s="46"/>
      <c r="BF341" s="41"/>
      <c r="BG341" s="46"/>
      <c r="BH341" s="41"/>
      <c r="BI341" s="41"/>
      <c r="BJ341" s="41"/>
      <c r="BK341" s="41"/>
      <c r="BL341" s="83"/>
      <c r="BM341" s="41"/>
      <c r="BN341" s="41"/>
      <c r="BO341" s="46"/>
      <c r="BP341" s="41"/>
      <c r="BQ341" s="40"/>
      <c r="BR341" s="40"/>
      <c r="BS341" s="40"/>
      <c r="BT341" s="40"/>
      <c r="BU341" s="40"/>
      <c r="BV341" s="40"/>
      <c r="BW341" s="40"/>
      <c r="BX341" s="34"/>
      <c r="BZ341" s="40"/>
      <c r="CA341" s="40"/>
      <c r="CB341" s="34"/>
      <c r="CC341" s="34"/>
      <c r="CD341" s="34"/>
      <c r="CE341" s="34"/>
      <c r="CF341" s="34"/>
      <c r="CG341" s="122"/>
      <c r="CI341" s="116">
        <v>4200</v>
      </c>
      <c r="CJ341" s="30"/>
      <c r="CK341" s="122">
        <v>0</v>
      </c>
      <c r="CL341" s="122">
        <v>0</v>
      </c>
      <c r="CM341" s="122">
        <v>0</v>
      </c>
      <c r="CN341" s="122">
        <v>0</v>
      </c>
      <c r="CO341" s="122">
        <f>SUMIFS(BB___HK___AMHS__Others[AR Amount],BB___HK___AMHS__Others[PO No.],AR_725[[#This Row],[tsmc PO '#]],BB___HK___AMHS__Others[Status],"&lt;&gt;Rejected",BB___HK___AMHS__Others[YearMonth],"2024-07")</f>
        <v>0</v>
      </c>
      <c r="CP341" s="122">
        <f>SUMIFS(BB___HK___AMHS__Others[Tax],BB___HK___AMHS__Others[PO No.],AR_725[[#This Row],[tsmc PO '#]],BB___HK___AMHS__Others[Status],"&lt;&gt;Rejected",BB___HK___AMHS__Others[YearMonth],"2024-07")</f>
        <v>0</v>
      </c>
      <c r="CQ341" s="34">
        <f>SUMIFS(BB___HK___AMHS__Others[AR Amount],BB___HK___AMHS__Others[PO No.],AR_725[[#This Row],[tsmc PO '#]],BB___HK___AMHS__Others[Status],"&lt;&gt;Rejected",BB___HK___AMHS__Others[YearMonth],"2024-08")</f>
        <v>0</v>
      </c>
      <c r="CR341" s="44">
        <f>SUMIFS(BB___HK___AMHS__Others[Tax],BB___HK___AMHS__Others[PO No.],AR_725[[#This Row],[tsmc PO '#]],BB___HK___AMHS__Others[Status],"&lt;&gt;Rejected",BB___HK___AMHS__Others[YearMonth],"2024-08")</f>
        <v>0</v>
      </c>
      <c r="CS341" s="62">
        <f>SUMIFS(BB___HK___AMHS__Others[AR Amount],BB___HK___AMHS__Others[PO No.],AR_725[[#This Row],[tsmc PO '#]],BB___HK___AMHS__Others[Status],"&lt;&gt;Rejected",BB___HK___AMHS__Others[YearMonth],"2024-09")</f>
        <v>0</v>
      </c>
      <c r="CT341" s="601">
        <f>SUMIFS(BB___HK___AMHS__Others[Tax],BB___HK___AMHS__Others[PO No.],AR_725[[#This Row],[tsmc PO '#]],BB___HK___AMHS__Others[Status],"&lt;&gt;Rejected",BB___HK___AMHS__Others[YearMonth],"2024-09")</f>
        <v>0</v>
      </c>
    </row>
    <row r="342" spans="1:98" ht="15" hidden="1" customHeight="1">
      <c r="A342" s="30" t="s">
        <v>12</v>
      </c>
      <c r="B342" s="30" t="s">
        <v>2113</v>
      </c>
      <c r="D342" s="50" t="s">
        <v>1546</v>
      </c>
      <c r="E342" s="292" t="s">
        <v>2052</v>
      </c>
      <c r="F342" s="105" t="s">
        <v>2260</v>
      </c>
      <c r="G342" s="64" t="s">
        <v>1168</v>
      </c>
      <c r="H342" s="50" t="s">
        <v>2361</v>
      </c>
      <c r="I342" s="30" t="s">
        <v>190</v>
      </c>
      <c r="J342" s="30" t="s">
        <v>2362</v>
      </c>
      <c r="K342" s="62">
        <f>4200</f>
        <v>4200</v>
      </c>
      <c r="L342" s="30"/>
      <c r="M342" s="86">
        <v>44860</v>
      </c>
      <c r="N342" s="87" t="s">
        <v>2063</v>
      </c>
      <c r="O342" s="88" t="s">
        <v>2089</v>
      </c>
      <c r="P34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34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4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42" s="72">
        <f>IF(AR_725[[#This Row],[PO Amount]]=0,1,AR_725[[#This Row],[Total AR (Sent)]]/AR_725[[#This Row],[PO Amount]])</f>
        <v>0</v>
      </c>
      <c r="T342" s="45">
        <f>AR_725[[#This Row],[PO Amount]]-AR_725[[#This Row],[Total AR (Sent)]]</f>
        <v>4200</v>
      </c>
      <c r="U342" s="40"/>
      <c r="V342" s="40"/>
      <c r="W342" s="46"/>
      <c r="X342" s="46"/>
      <c r="Y342" s="46"/>
      <c r="Z342" s="46"/>
      <c r="AA342" s="46"/>
      <c r="AB342" s="40"/>
      <c r="AC342" s="40"/>
      <c r="AD342" s="40"/>
      <c r="AE342" s="46"/>
      <c r="AF342" s="46"/>
      <c r="AG342" s="46"/>
      <c r="AH342" s="46"/>
      <c r="AI342" s="46"/>
      <c r="AJ342" s="41"/>
      <c r="AK342" s="46"/>
      <c r="AL342" s="46"/>
      <c r="AM342" s="46"/>
      <c r="AN342" s="46"/>
      <c r="AO342" s="46"/>
      <c r="AP342" s="46"/>
      <c r="AQ342" s="46"/>
      <c r="AR342" s="82"/>
      <c r="AS342" s="41"/>
      <c r="AT342" s="83"/>
      <c r="AU342" s="41"/>
      <c r="AV342" s="83"/>
      <c r="AW342" s="41"/>
      <c r="AX342" s="83"/>
      <c r="AY342" s="41"/>
      <c r="AZ342" s="83"/>
      <c r="BA342" s="41"/>
      <c r="BB342" s="83"/>
      <c r="BC342" s="41"/>
      <c r="BD342" s="41"/>
      <c r="BE342" s="46"/>
      <c r="BF342" s="41"/>
      <c r="BG342" s="46"/>
      <c r="BH342" s="41"/>
      <c r="BI342" s="41"/>
      <c r="BJ342" s="41"/>
      <c r="BK342" s="41"/>
      <c r="BL342" s="83"/>
      <c r="BM342" s="41"/>
      <c r="BN342" s="41"/>
      <c r="BO342" s="46"/>
      <c r="BP342" s="41"/>
      <c r="BQ342" s="40"/>
      <c r="BR342" s="40"/>
      <c r="BS342" s="40"/>
      <c r="BT342" s="40"/>
      <c r="BU342" s="40"/>
      <c r="BV342" s="40"/>
      <c r="BW342" s="40"/>
      <c r="BX342" s="34"/>
      <c r="BZ342" s="40"/>
      <c r="CA342" s="40"/>
      <c r="CB342" s="34"/>
      <c r="CC342" s="34"/>
      <c r="CD342" s="34"/>
      <c r="CE342" s="34"/>
      <c r="CF342" s="34"/>
      <c r="CG342" s="122"/>
      <c r="CI342" s="122"/>
      <c r="CJ342" s="30"/>
      <c r="CK342" s="122">
        <v>0</v>
      </c>
      <c r="CL342" s="122">
        <v>0</v>
      </c>
      <c r="CM342" s="122">
        <v>0</v>
      </c>
      <c r="CN342" s="122">
        <v>0</v>
      </c>
      <c r="CO342" s="122">
        <f>SUMIFS(BB___HK___AMHS__Others[AR Amount],BB___HK___AMHS__Others[PO No.],AR_725[[#This Row],[tsmc PO '#]],BB___HK___AMHS__Others[Status],"&lt;&gt;Rejected",BB___HK___AMHS__Others[YearMonth],"2024-07")</f>
        <v>0</v>
      </c>
      <c r="CP342" s="122">
        <f>SUMIFS(BB___HK___AMHS__Others[Tax],BB___HK___AMHS__Others[PO No.],AR_725[[#This Row],[tsmc PO '#]],BB___HK___AMHS__Others[Status],"&lt;&gt;Rejected",BB___HK___AMHS__Others[YearMonth],"2024-07")</f>
        <v>0</v>
      </c>
      <c r="CQ342" s="34">
        <f>SUMIFS(BB___HK___AMHS__Others[AR Amount],BB___HK___AMHS__Others[PO No.],AR_725[[#This Row],[tsmc PO '#]],BB___HK___AMHS__Others[Status],"&lt;&gt;Rejected",BB___HK___AMHS__Others[YearMonth],"2024-08")</f>
        <v>0</v>
      </c>
      <c r="CR342" s="44">
        <f>SUMIFS(BB___HK___AMHS__Others[Tax],BB___HK___AMHS__Others[PO No.],AR_725[[#This Row],[tsmc PO '#]],BB___HK___AMHS__Others[Status],"&lt;&gt;Rejected",BB___HK___AMHS__Others[YearMonth],"2024-08")</f>
        <v>0</v>
      </c>
      <c r="CS342" s="62">
        <f>SUMIFS(BB___HK___AMHS__Others[AR Amount],BB___HK___AMHS__Others[PO No.],AR_725[[#This Row],[tsmc PO '#]],BB___HK___AMHS__Others[Status],"&lt;&gt;Rejected",BB___HK___AMHS__Others[YearMonth],"2024-09")</f>
        <v>0</v>
      </c>
      <c r="CT342" s="601">
        <f>SUMIFS(BB___HK___AMHS__Others[Tax],BB___HK___AMHS__Others[PO No.],AR_725[[#This Row],[tsmc PO '#]],BB___HK___AMHS__Others[Status],"&lt;&gt;Rejected",BB___HK___AMHS__Others[YearMonth],"2024-09")</f>
        <v>0</v>
      </c>
    </row>
    <row r="343" spans="1:98" ht="15" hidden="1" customHeight="1">
      <c r="A343" s="30" t="s">
        <v>12</v>
      </c>
      <c r="B343" s="30" t="s">
        <v>2113</v>
      </c>
      <c r="D343" s="50" t="s">
        <v>1546</v>
      </c>
      <c r="E343" s="105" t="s">
        <v>2052</v>
      </c>
      <c r="F343" s="105" t="s">
        <v>2260</v>
      </c>
      <c r="G343" s="64" t="s">
        <v>1168</v>
      </c>
      <c r="H343" s="50" t="s">
        <v>738</v>
      </c>
      <c r="I343" s="30" t="s">
        <v>190</v>
      </c>
      <c r="J343" s="30" t="s">
        <v>739</v>
      </c>
      <c r="K343" s="62">
        <f>4200</f>
        <v>4200</v>
      </c>
      <c r="L343" s="30"/>
      <c r="M343" s="86">
        <v>44860</v>
      </c>
      <c r="N343" s="87" t="s">
        <v>2063</v>
      </c>
      <c r="O343" s="88" t="s">
        <v>2089</v>
      </c>
      <c r="P34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4200</v>
      </c>
      <c r="Q34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4200</v>
      </c>
      <c r="R34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4200</v>
      </c>
      <c r="S343" s="72">
        <f>IF(AR_725[[#This Row],[PO Amount]]=0,1,AR_725[[#This Row],[Total AR (Sent)]]/AR_725[[#This Row],[PO Amount]])</f>
        <v>1</v>
      </c>
      <c r="T343" s="39">
        <f>AR_725[[#This Row],[PO Amount]]-AR_725[[#This Row],[Total AR (Sent)]]</f>
        <v>0</v>
      </c>
      <c r="U343" s="40"/>
      <c r="V343" s="40"/>
      <c r="W343" s="41"/>
      <c r="X343" s="41"/>
      <c r="Y343" s="41"/>
      <c r="Z343" s="41"/>
      <c r="AA343" s="41"/>
      <c r="AB343" s="40"/>
      <c r="AC343" s="40"/>
      <c r="AD343" s="40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82"/>
      <c r="AS343" s="41"/>
      <c r="AT343" s="83"/>
      <c r="AU343" s="41"/>
      <c r="AV343" s="83"/>
      <c r="AW343" s="41"/>
      <c r="AX343" s="83"/>
      <c r="AY343" s="41"/>
      <c r="AZ343" s="83"/>
      <c r="BA343" s="41"/>
      <c r="BB343" s="83"/>
      <c r="BC343" s="41"/>
      <c r="BD343" s="41"/>
      <c r="BE343" s="41"/>
      <c r="BF343" s="41"/>
      <c r="BG343" s="41"/>
      <c r="BH343" s="41"/>
      <c r="BI343" s="41"/>
      <c r="BJ343" s="41"/>
      <c r="BK343" s="41"/>
      <c r="BL343" s="83"/>
      <c r="BM343" s="41"/>
      <c r="BN343" s="41"/>
      <c r="BO343" s="41"/>
      <c r="BP343" s="41"/>
      <c r="BQ343" s="40"/>
      <c r="BR343" s="40"/>
      <c r="BS343" s="34"/>
      <c r="BT343" s="40"/>
      <c r="BU343" s="34"/>
      <c r="BV343" s="40"/>
      <c r="BW343" s="34"/>
      <c r="BX343" s="34"/>
      <c r="BY343" s="34"/>
      <c r="BZ343" s="40"/>
      <c r="CA343" s="40"/>
      <c r="CB343" s="34"/>
      <c r="CC343" s="42">
        <v>4200</v>
      </c>
      <c r="CD343" s="34"/>
      <c r="CE343" s="34"/>
      <c r="CF343" s="34"/>
      <c r="CG343" s="122"/>
      <c r="CI343" s="122"/>
      <c r="CJ343" s="30"/>
      <c r="CK343" s="122">
        <v>0</v>
      </c>
      <c r="CL343" s="122">
        <v>0</v>
      </c>
      <c r="CM343" s="122">
        <v>0</v>
      </c>
      <c r="CN343" s="122">
        <v>0</v>
      </c>
      <c r="CO343" s="122">
        <f>SUMIFS(BB___HK___AMHS__Others[AR Amount],BB___HK___AMHS__Others[PO No.],AR_725[[#This Row],[tsmc PO '#]],BB___HK___AMHS__Others[Status],"&lt;&gt;Rejected",BB___HK___AMHS__Others[YearMonth],"2024-07")</f>
        <v>0</v>
      </c>
      <c r="CP343" s="122">
        <f>SUMIFS(BB___HK___AMHS__Others[Tax],BB___HK___AMHS__Others[PO No.],AR_725[[#This Row],[tsmc PO '#]],BB___HK___AMHS__Others[Status],"&lt;&gt;Rejected",BB___HK___AMHS__Others[YearMonth],"2024-07")</f>
        <v>0</v>
      </c>
      <c r="CQ343" s="34">
        <f>SUMIFS(BB___HK___AMHS__Others[AR Amount],BB___HK___AMHS__Others[PO No.],AR_725[[#This Row],[tsmc PO '#]],BB___HK___AMHS__Others[Status],"&lt;&gt;Rejected",BB___HK___AMHS__Others[YearMonth],"2024-08")</f>
        <v>0</v>
      </c>
      <c r="CR343" s="44">
        <f>SUMIFS(BB___HK___AMHS__Others[Tax],BB___HK___AMHS__Others[PO No.],AR_725[[#This Row],[tsmc PO '#]],BB___HK___AMHS__Others[Status],"&lt;&gt;Rejected",BB___HK___AMHS__Others[YearMonth],"2024-08")</f>
        <v>0</v>
      </c>
      <c r="CS343" s="62">
        <f>SUMIFS(BB___HK___AMHS__Others[AR Amount],BB___HK___AMHS__Others[PO No.],AR_725[[#This Row],[tsmc PO '#]],BB___HK___AMHS__Others[Status],"&lt;&gt;Rejected",BB___HK___AMHS__Others[YearMonth],"2024-09")</f>
        <v>0</v>
      </c>
      <c r="CT343" s="601">
        <f>SUMIFS(BB___HK___AMHS__Others[Tax],BB___HK___AMHS__Others[PO No.],AR_725[[#This Row],[tsmc PO '#]],BB___HK___AMHS__Others[Status],"&lt;&gt;Rejected",BB___HK___AMHS__Others[YearMonth],"2024-09")</f>
        <v>0</v>
      </c>
    </row>
    <row r="344" spans="1:98" ht="15" hidden="1" customHeight="1">
      <c r="A344" s="30" t="s">
        <v>12</v>
      </c>
      <c r="B344" s="30" t="s">
        <v>2113</v>
      </c>
      <c r="D344" s="50" t="s">
        <v>1546</v>
      </c>
      <c r="E344" s="292" t="s">
        <v>2052</v>
      </c>
      <c r="F344" s="105" t="s">
        <v>2260</v>
      </c>
      <c r="G344" s="64" t="s">
        <v>1168</v>
      </c>
      <c r="H344" s="50" t="s">
        <v>2363</v>
      </c>
      <c r="I344" s="30" t="s">
        <v>190</v>
      </c>
      <c r="J344" s="30" t="s">
        <v>2364</v>
      </c>
      <c r="K344" s="62">
        <f>4200</f>
        <v>4200</v>
      </c>
      <c r="L344" s="30"/>
      <c r="M344" s="86">
        <v>44860</v>
      </c>
      <c r="N344" s="87" t="s">
        <v>2063</v>
      </c>
      <c r="O344" s="88" t="s">
        <v>2089</v>
      </c>
      <c r="P34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34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4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44" s="72">
        <f>IF(AR_725[[#This Row],[PO Amount]]=0,1,AR_725[[#This Row],[Total AR (Sent)]]/AR_725[[#This Row],[PO Amount]])</f>
        <v>0</v>
      </c>
      <c r="T344" s="45">
        <f>AR_725[[#This Row],[PO Amount]]-AR_725[[#This Row],[Total AR (Sent)]]</f>
        <v>4200</v>
      </c>
      <c r="U344" s="40"/>
      <c r="V344" s="40"/>
      <c r="W344" s="46"/>
      <c r="X344" s="46"/>
      <c r="Y344" s="46"/>
      <c r="Z344" s="46"/>
      <c r="AA344" s="46"/>
      <c r="AB344" s="40"/>
      <c r="AC344" s="40"/>
      <c r="AD344" s="40"/>
      <c r="AE344" s="46"/>
      <c r="AF344" s="46"/>
      <c r="AG344" s="46"/>
      <c r="AH344" s="46"/>
      <c r="AI344" s="46"/>
      <c r="AJ344" s="41"/>
      <c r="AK344" s="46"/>
      <c r="AL344" s="46"/>
      <c r="AM344" s="46"/>
      <c r="AN344" s="46"/>
      <c r="AO344" s="46"/>
      <c r="AP344" s="46"/>
      <c r="AQ344" s="46"/>
      <c r="AR344" s="82"/>
      <c r="AS344" s="41"/>
      <c r="AT344" s="83"/>
      <c r="AU344" s="41"/>
      <c r="AV344" s="83"/>
      <c r="AW344" s="41"/>
      <c r="AX344" s="83"/>
      <c r="AY344" s="41"/>
      <c r="AZ344" s="83"/>
      <c r="BA344" s="41"/>
      <c r="BB344" s="83"/>
      <c r="BC344" s="41"/>
      <c r="BD344" s="41"/>
      <c r="BE344" s="46"/>
      <c r="BF344" s="41"/>
      <c r="BG344" s="46"/>
      <c r="BH344" s="41"/>
      <c r="BI344" s="41"/>
      <c r="BJ344" s="41"/>
      <c r="BK344" s="41"/>
      <c r="BL344" s="83"/>
      <c r="BM344" s="41"/>
      <c r="BN344" s="41"/>
      <c r="BO344" s="46"/>
      <c r="BP344" s="41"/>
      <c r="BQ344" s="40"/>
      <c r="BR344" s="40"/>
      <c r="BS344" s="40"/>
      <c r="BT344" s="40"/>
      <c r="BU344" s="40"/>
      <c r="BV344" s="40"/>
      <c r="BW344" s="40"/>
      <c r="BX344" s="34"/>
      <c r="BZ344" s="40"/>
      <c r="CA344" s="40"/>
      <c r="CB344" s="34"/>
      <c r="CC344" s="34"/>
      <c r="CD344" s="34"/>
      <c r="CE344" s="34"/>
      <c r="CF344" s="34"/>
      <c r="CG344" s="122"/>
      <c r="CI344" s="122"/>
      <c r="CJ344" s="30"/>
      <c r="CK344" s="122">
        <v>0</v>
      </c>
      <c r="CL344" s="122">
        <v>0</v>
      </c>
      <c r="CM344" s="122">
        <v>0</v>
      </c>
      <c r="CN344" s="122">
        <v>0</v>
      </c>
      <c r="CO344" s="122">
        <f>SUMIFS(BB___HK___AMHS__Others[AR Amount],BB___HK___AMHS__Others[PO No.],AR_725[[#This Row],[tsmc PO '#]],BB___HK___AMHS__Others[Status],"&lt;&gt;Rejected",BB___HK___AMHS__Others[YearMonth],"2024-07")</f>
        <v>0</v>
      </c>
      <c r="CP344" s="122">
        <f>SUMIFS(BB___HK___AMHS__Others[Tax],BB___HK___AMHS__Others[PO No.],AR_725[[#This Row],[tsmc PO '#]],BB___HK___AMHS__Others[Status],"&lt;&gt;Rejected",BB___HK___AMHS__Others[YearMonth],"2024-07")</f>
        <v>0</v>
      </c>
      <c r="CQ344" s="34">
        <f>SUMIFS(BB___HK___AMHS__Others[AR Amount],BB___HK___AMHS__Others[PO No.],AR_725[[#This Row],[tsmc PO '#]],BB___HK___AMHS__Others[Status],"&lt;&gt;Rejected",BB___HK___AMHS__Others[YearMonth],"2024-08")</f>
        <v>0</v>
      </c>
      <c r="CR344" s="44">
        <f>SUMIFS(BB___HK___AMHS__Others[Tax],BB___HK___AMHS__Others[PO No.],AR_725[[#This Row],[tsmc PO '#]],BB___HK___AMHS__Others[Status],"&lt;&gt;Rejected",BB___HK___AMHS__Others[YearMonth],"2024-08")</f>
        <v>0</v>
      </c>
      <c r="CS344" s="62">
        <f>SUMIFS(BB___HK___AMHS__Others[AR Amount],BB___HK___AMHS__Others[PO No.],AR_725[[#This Row],[tsmc PO '#]],BB___HK___AMHS__Others[Status],"&lt;&gt;Rejected",BB___HK___AMHS__Others[YearMonth],"2024-09")</f>
        <v>0</v>
      </c>
      <c r="CT344" s="601">
        <f>SUMIFS(BB___HK___AMHS__Others[Tax],BB___HK___AMHS__Others[PO No.],AR_725[[#This Row],[tsmc PO '#]],BB___HK___AMHS__Others[Status],"&lt;&gt;Rejected",BB___HK___AMHS__Others[YearMonth],"2024-09")</f>
        <v>0</v>
      </c>
    </row>
    <row r="345" spans="1:98" ht="15" hidden="1" customHeight="1">
      <c r="A345" s="30" t="s">
        <v>12</v>
      </c>
      <c r="B345" s="30" t="s">
        <v>2113</v>
      </c>
      <c r="D345" s="50" t="s">
        <v>1546</v>
      </c>
      <c r="E345" s="105" t="s">
        <v>2052</v>
      </c>
      <c r="F345" s="105" t="s">
        <v>2260</v>
      </c>
      <c r="G345" s="64" t="s">
        <v>1168</v>
      </c>
      <c r="H345" s="50" t="s">
        <v>1193</v>
      </c>
      <c r="I345" s="30" t="s">
        <v>190</v>
      </c>
      <c r="J345" s="30" t="s">
        <v>1194</v>
      </c>
      <c r="K345" s="62">
        <f>4200</f>
        <v>4200</v>
      </c>
      <c r="L345" s="30"/>
      <c r="M345" s="86">
        <v>44860</v>
      </c>
      <c r="N345" s="87" t="s">
        <v>2063</v>
      </c>
      <c r="O345" s="88" t="s">
        <v>2089</v>
      </c>
      <c r="P34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4200</v>
      </c>
      <c r="Q34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4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4200</v>
      </c>
      <c r="S345" s="72">
        <f>IF(AR_725[[#This Row],[PO Amount]]=0,1,AR_725[[#This Row],[Total AR (Sent)]]/AR_725[[#This Row],[PO Amount]])</f>
        <v>1</v>
      </c>
      <c r="T345" s="45">
        <f>AR_725[[#This Row],[PO Amount]]-AR_725[[#This Row],[Total AR (Sent)]]</f>
        <v>0</v>
      </c>
      <c r="U345" s="40"/>
      <c r="V345" s="40"/>
      <c r="W345" s="46"/>
      <c r="X345" s="46"/>
      <c r="Y345" s="46"/>
      <c r="Z345" s="46"/>
      <c r="AA345" s="46"/>
      <c r="AB345" s="40"/>
      <c r="AC345" s="40"/>
      <c r="AD345" s="40"/>
      <c r="AE345" s="46"/>
      <c r="AF345" s="46"/>
      <c r="AG345" s="46"/>
      <c r="AH345" s="46"/>
      <c r="AI345" s="46"/>
      <c r="AJ345" s="41"/>
      <c r="AK345" s="46"/>
      <c r="AL345" s="46"/>
      <c r="AM345" s="46"/>
      <c r="AN345" s="46"/>
      <c r="AO345" s="46"/>
      <c r="AP345" s="46"/>
      <c r="AQ345" s="46"/>
      <c r="AR345" s="82"/>
      <c r="AS345" s="41"/>
      <c r="AT345" s="83"/>
      <c r="AU345" s="41"/>
      <c r="AV345" s="83"/>
      <c r="AW345" s="41"/>
      <c r="AX345" s="83"/>
      <c r="AY345" s="41"/>
      <c r="AZ345" s="83"/>
      <c r="BA345" s="41"/>
      <c r="BB345" s="83"/>
      <c r="BC345" s="41"/>
      <c r="BD345" s="41"/>
      <c r="BE345" s="46"/>
      <c r="BF345" s="41"/>
      <c r="BG345" s="46"/>
      <c r="BH345" s="41"/>
      <c r="BI345" s="41"/>
      <c r="BJ345" s="41"/>
      <c r="BK345" s="41"/>
      <c r="BL345" s="83"/>
      <c r="BM345" s="41"/>
      <c r="BN345" s="41"/>
      <c r="BO345" s="46"/>
      <c r="BP345" s="41"/>
      <c r="BQ345" s="40"/>
      <c r="BR345" s="40"/>
      <c r="BS345" s="40"/>
      <c r="BT345" s="40"/>
      <c r="BU345" s="40"/>
      <c r="BV345" s="40"/>
      <c r="BW345" s="40"/>
      <c r="BX345" s="34"/>
      <c r="BZ345" s="40"/>
      <c r="CA345" s="40"/>
      <c r="CB345" s="34"/>
      <c r="CC345" s="34"/>
      <c r="CD345" s="34"/>
      <c r="CE345" s="34"/>
      <c r="CF345" s="34"/>
      <c r="CG345" s="122"/>
      <c r="CI345" s="116">
        <v>4200</v>
      </c>
      <c r="CJ345" s="30"/>
      <c r="CK345" s="122">
        <v>0</v>
      </c>
      <c r="CL345" s="122">
        <v>0</v>
      </c>
      <c r="CM345" s="122">
        <v>0</v>
      </c>
      <c r="CN345" s="122">
        <v>0</v>
      </c>
      <c r="CO345" s="122">
        <f>SUMIFS(BB___HK___AMHS__Others[AR Amount],BB___HK___AMHS__Others[PO No.],AR_725[[#This Row],[tsmc PO '#]],BB___HK___AMHS__Others[Status],"&lt;&gt;Rejected",BB___HK___AMHS__Others[YearMonth],"2024-07")</f>
        <v>0</v>
      </c>
      <c r="CP345" s="122">
        <f>SUMIFS(BB___HK___AMHS__Others[Tax],BB___HK___AMHS__Others[PO No.],AR_725[[#This Row],[tsmc PO '#]],BB___HK___AMHS__Others[Status],"&lt;&gt;Rejected",BB___HK___AMHS__Others[YearMonth],"2024-07")</f>
        <v>0</v>
      </c>
      <c r="CQ345" s="34">
        <f>SUMIFS(BB___HK___AMHS__Others[AR Amount],BB___HK___AMHS__Others[PO No.],AR_725[[#This Row],[tsmc PO '#]],BB___HK___AMHS__Others[Status],"&lt;&gt;Rejected",BB___HK___AMHS__Others[YearMonth],"2024-08")</f>
        <v>0</v>
      </c>
      <c r="CR345" s="44">
        <f>SUMIFS(BB___HK___AMHS__Others[Tax],BB___HK___AMHS__Others[PO No.],AR_725[[#This Row],[tsmc PO '#]],BB___HK___AMHS__Others[Status],"&lt;&gt;Rejected",BB___HK___AMHS__Others[YearMonth],"2024-08")</f>
        <v>0</v>
      </c>
      <c r="CS345" s="62">
        <f>SUMIFS(BB___HK___AMHS__Others[AR Amount],BB___HK___AMHS__Others[PO No.],AR_725[[#This Row],[tsmc PO '#]],BB___HK___AMHS__Others[Status],"&lt;&gt;Rejected",BB___HK___AMHS__Others[YearMonth],"2024-09")</f>
        <v>0</v>
      </c>
      <c r="CT345" s="601">
        <f>SUMIFS(BB___HK___AMHS__Others[Tax],BB___HK___AMHS__Others[PO No.],AR_725[[#This Row],[tsmc PO '#]],BB___HK___AMHS__Others[Status],"&lt;&gt;Rejected",BB___HK___AMHS__Others[YearMonth],"2024-09")</f>
        <v>0</v>
      </c>
    </row>
    <row r="346" spans="1:98" ht="15" hidden="1" customHeight="1">
      <c r="A346" s="30" t="s">
        <v>12</v>
      </c>
      <c r="B346" s="30" t="s">
        <v>2113</v>
      </c>
      <c r="D346" s="50" t="s">
        <v>1546</v>
      </c>
      <c r="E346" s="105" t="s">
        <v>2052</v>
      </c>
      <c r="F346" s="105" t="s">
        <v>2260</v>
      </c>
      <c r="G346" s="64" t="s">
        <v>1168</v>
      </c>
      <c r="H346" s="50" t="s">
        <v>1196</v>
      </c>
      <c r="I346" s="30" t="s">
        <v>190</v>
      </c>
      <c r="J346" s="30" t="s">
        <v>1197</v>
      </c>
      <c r="K346" s="62">
        <f>4200</f>
        <v>4200</v>
      </c>
      <c r="L346" s="30"/>
      <c r="M346" s="86">
        <v>44860</v>
      </c>
      <c r="N346" s="87" t="s">
        <v>2063</v>
      </c>
      <c r="O346" s="88" t="s">
        <v>2089</v>
      </c>
      <c r="P34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4200</v>
      </c>
      <c r="Q34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4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4200</v>
      </c>
      <c r="S346" s="72">
        <f>IF(AR_725[[#This Row],[PO Amount]]=0,1,AR_725[[#This Row],[Total AR (Sent)]]/AR_725[[#This Row],[PO Amount]])</f>
        <v>1</v>
      </c>
      <c r="T346" s="45">
        <f>AR_725[[#This Row],[PO Amount]]-AR_725[[#This Row],[Total AR (Sent)]]</f>
        <v>0</v>
      </c>
      <c r="U346" s="40"/>
      <c r="V346" s="40"/>
      <c r="W346" s="46"/>
      <c r="X346" s="46"/>
      <c r="Y346" s="46"/>
      <c r="Z346" s="46"/>
      <c r="AA346" s="46"/>
      <c r="AB346" s="40"/>
      <c r="AC346" s="40"/>
      <c r="AD346" s="40"/>
      <c r="AE346" s="46"/>
      <c r="AF346" s="46"/>
      <c r="AG346" s="46"/>
      <c r="AH346" s="46"/>
      <c r="AI346" s="46"/>
      <c r="AJ346" s="41"/>
      <c r="AK346" s="46"/>
      <c r="AL346" s="46"/>
      <c r="AM346" s="46"/>
      <c r="AN346" s="46"/>
      <c r="AO346" s="46"/>
      <c r="AP346" s="46"/>
      <c r="AQ346" s="46"/>
      <c r="AR346" s="82"/>
      <c r="AS346" s="41"/>
      <c r="AT346" s="83"/>
      <c r="AU346" s="41"/>
      <c r="AV346" s="83"/>
      <c r="AW346" s="41"/>
      <c r="AX346" s="83"/>
      <c r="AY346" s="41"/>
      <c r="AZ346" s="83"/>
      <c r="BA346" s="41"/>
      <c r="BB346" s="83"/>
      <c r="BC346" s="41"/>
      <c r="BD346" s="41"/>
      <c r="BE346" s="46"/>
      <c r="BF346" s="41"/>
      <c r="BG346" s="46"/>
      <c r="BH346" s="41"/>
      <c r="BI346" s="41"/>
      <c r="BJ346" s="41"/>
      <c r="BK346" s="41"/>
      <c r="BL346" s="83"/>
      <c r="BM346" s="41"/>
      <c r="BN346" s="41"/>
      <c r="BO346" s="46"/>
      <c r="BP346" s="41"/>
      <c r="BQ346" s="40"/>
      <c r="BR346" s="40"/>
      <c r="BS346" s="40"/>
      <c r="BT346" s="40"/>
      <c r="BU346" s="40"/>
      <c r="BV346" s="40"/>
      <c r="BW346" s="40"/>
      <c r="BX346" s="34"/>
      <c r="BZ346" s="40"/>
      <c r="CA346" s="40"/>
      <c r="CB346" s="34"/>
      <c r="CC346" s="34"/>
      <c r="CD346" s="34"/>
      <c r="CE346" s="34"/>
      <c r="CF346" s="34"/>
      <c r="CG346" s="122"/>
      <c r="CI346" s="116">
        <v>4200</v>
      </c>
      <c r="CJ346" s="30"/>
      <c r="CK346" s="122">
        <v>0</v>
      </c>
      <c r="CL346" s="122">
        <v>0</v>
      </c>
      <c r="CM346" s="122">
        <v>0</v>
      </c>
      <c r="CN346" s="122">
        <v>0</v>
      </c>
      <c r="CO346" s="122">
        <f>SUMIFS(BB___HK___AMHS__Others[AR Amount],BB___HK___AMHS__Others[PO No.],AR_725[[#This Row],[tsmc PO '#]],BB___HK___AMHS__Others[Status],"&lt;&gt;Rejected",BB___HK___AMHS__Others[YearMonth],"2024-07")</f>
        <v>0</v>
      </c>
      <c r="CP346" s="122">
        <f>SUMIFS(BB___HK___AMHS__Others[Tax],BB___HK___AMHS__Others[PO No.],AR_725[[#This Row],[tsmc PO '#]],BB___HK___AMHS__Others[Status],"&lt;&gt;Rejected",BB___HK___AMHS__Others[YearMonth],"2024-07")</f>
        <v>0</v>
      </c>
      <c r="CQ346" s="34">
        <f>SUMIFS(BB___HK___AMHS__Others[AR Amount],BB___HK___AMHS__Others[PO No.],AR_725[[#This Row],[tsmc PO '#]],BB___HK___AMHS__Others[Status],"&lt;&gt;Rejected",BB___HK___AMHS__Others[YearMonth],"2024-08")</f>
        <v>0</v>
      </c>
      <c r="CR346" s="44">
        <f>SUMIFS(BB___HK___AMHS__Others[Tax],BB___HK___AMHS__Others[PO No.],AR_725[[#This Row],[tsmc PO '#]],BB___HK___AMHS__Others[Status],"&lt;&gt;Rejected",BB___HK___AMHS__Others[YearMonth],"2024-08")</f>
        <v>0</v>
      </c>
      <c r="CS346" s="62">
        <f>SUMIFS(BB___HK___AMHS__Others[AR Amount],BB___HK___AMHS__Others[PO No.],AR_725[[#This Row],[tsmc PO '#]],BB___HK___AMHS__Others[Status],"&lt;&gt;Rejected",BB___HK___AMHS__Others[YearMonth],"2024-09")</f>
        <v>0</v>
      </c>
      <c r="CT346" s="601">
        <f>SUMIFS(BB___HK___AMHS__Others[Tax],BB___HK___AMHS__Others[PO No.],AR_725[[#This Row],[tsmc PO '#]],BB___HK___AMHS__Others[Status],"&lt;&gt;Rejected",BB___HK___AMHS__Others[YearMonth],"2024-09")</f>
        <v>0</v>
      </c>
    </row>
    <row r="347" spans="1:98" ht="15" hidden="1" customHeight="1">
      <c r="A347" s="30" t="s">
        <v>12</v>
      </c>
      <c r="B347" s="30" t="s">
        <v>2113</v>
      </c>
      <c r="D347" s="50" t="s">
        <v>1546</v>
      </c>
      <c r="E347" s="105" t="s">
        <v>2052</v>
      </c>
      <c r="F347" s="105" t="s">
        <v>2260</v>
      </c>
      <c r="G347" s="64" t="s">
        <v>1168</v>
      </c>
      <c r="H347" s="50" t="s">
        <v>1199</v>
      </c>
      <c r="I347" s="30" t="s">
        <v>190</v>
      </c>
      <c r="J347" s="30" t="s">
        <v>1200</v>
      </c>
      <c r="K347" s="62">
        <f>4200</f>
        <v>4200</v>
      </c>
      <c r="L347" s="30"/>
      <c r="M347" s="86">
        <v>44860</v>
      </c>
      <c r="N347" s="87" t="s">
        <v>2063</v>
      </c>
      <c r="O347" s="88" t="s">
        <v>2089</v>
      </c>
      <c r="P34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4200</v>
      </c>
      <c r="Q34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4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4200</v>
      </c>
      <c r="S347" s="72">
        <f>IF(AR_725[[#This Row],[PO Amount]]=0,1,AR_725[[#This Row],[Total AR (Sent)]]/AR_725[[#This Row],[PO Amount]])</f>
        <v>1</v>
      </c>
      <c r="T347" s="45">
        <f>AR_725[[#This Row],[PO Amount]]-AR_725[[#This Row],[Total AR (Sent)]]</f>
        <v>0</v>
      </c>
      <c r="U347" s="40"/>
      <c r="V347" s="40"/>
      <c r="W347" s="46"/>
      <c r="X347" s="46"/>
      <c r="Y347" s="46"/>
      <c r="Z347" s="46"/>
      <c r="AA347" s="46"/>
      <c r="AB347" s="40"/>
      <c r="AC347" s="40"/>
      <c r="AD347" s="40"/>
      <c r="AE347" s="46"/>
      <c r="AF347" s="46"/>
      <c r="AG347" s="46"/>
      <c r="AH347" s="46"/>
      <c r="AI347" s="41"/>
      <c r="AJ347" s="41"/>
      <c r="AK347" s="41"/>
      <c r="AL347" s="46"/>
      <c r="AM347" s="46"/>
      <c r="AN347" s="46"/>
      <c r="AO347" s="46"/>
      <c r="AP347" s="46"/>
      <c r="AQ347" s="46"/>
      <c r="AR347" s="82"/>
      <c r="AS347" s="41"/>
      <c r="AT347" s="83"/>
      <c r="AU347" s="41"/>
      <c r="AV347" s="83"/>
      <c r="AW347" s="41"/>
      <c r="AX347" s="83"/>
      <c r="AY347" s="41"/>
      <c r="AZ347" s="83"/>
      <c r="BA347" s="41"/>
      <c r="BB347" s="83"/>
      <c r="BC347" s="41"/>
      <c r="BD347" s="41"/>
      <c r="BE347" s="46"/>
      <c r="BF347" s="41"/>
      <c r="BG347" s="46"/>
      <c r="BH347" s="41"/>
      <c r="BI347" s="41"/>
      <c r="BJ347" s="41"/>
      <c r="BK347" s="41"/>
      <c r="BL347" s="83"/>
      <c r="BM347" s="41"/>
      <c r="BN347" s="41"/>
      <c r="BO347" s="46"/>
      <c r="BP347" s="41"/>
      <c r="BQ347" s="40"/>
      <c r="BR347" s="40"/>
      <c r="BS347" s="40"/>
      <c r="BT347" s="40"/>
      <c r="BU347" s="40"/>
      <c r="BV347" s="40"/>
      <c r="BW347" s="40"/>
      <c r="BX347" s="34"/>
      <c r="BZ347" s="40"/>
      <c r="CA347" s="40"/>
      <c r="CB347" s="34"/>
      <c r="CC347" s="34"/>
      <c r="CD347" s="34"/>
      <c r="CE347" s="34"/>
      <c r="CF347" s="34"/>
      <c r="CG347" s="122"/>
      <c r="CI347" s="116">
        <v>4200</v>
      </c>
      <c r="CJ347" s="30"/>
      <c r="CK347" s="122">
        <v>0</v>
      </c>
      <c r="CL347" s="122">
        <v>0</v>
      </c>
      <c r="CM347" s="122">
        <v>0</v>
      </c>
      <c r="CN347" s="122">
        <v>0</v>
      </c>
      <c r="CO347" s="122">
        <f>SUMIFS(BB___HK___AMHS__Others[AR Amount],BB___HK___AMHS__Others[PO No.],AR_725[[#This Row],[tsmc PO '#]],BB___HK___AMHS__Others[Status],"&lt;&gt;Rejected",BB___HK___AMHS__Others[YearMonth],"2024-07")</f>
        <v>0</v>
      </c>
      <c r="CP347" s="122">
        <f>SUMIFS(BB___HK___AMHS__Others[Tax],BB___HK___AMHS__Others[PO No.],AR_725[[#This Row],[tsmc PO '#]],BB___HK___AMHS__Others[Status],"&lt;&gt;Rejected",BB___HK___AMHS__Others[YearMonth],"2024-07")</f>
        <v>0</v>
      </c>
      <c r="CQ347" s="34">
        <f>SUMIFS(BB___HK___AMHS__Others[AR Amount],BB___HK___AMHS__Others[PO No.],AR_725[[#This Row],[tsmc PO '#]],BB___HK___AMHS__Others[Status],"&lt;&gt;Rejected",BB___HK___AMHS__Others[YearMonth],"2024-08")</f>
        <v>0</v>
      </c>
      <c r="CR347" s="44">
        <f>SUMIFS(BB___HK___AMHS__Others[Tax],BB___HK___AMHS__Others[PO No.],AR_725[[#This Row],[tsmc PO '#]],BB___HK___AMHS__Others[Status],"&lt;&gt;Rejected",BB___HK___AMHS__Others[YearMonth],"2024-08")</f>
        <v>0</v>
      </c>
      <c r="CS347" s="62">
        <f>SUMIFS(BB___HK___AMHS__Others[AR Amount],BB___HK___AMHS__Others[PO No.],AR_725[[#This Row],[tsmc PO '#]],BB___HK___AMHS__Others[Status],"&lt;&gt;Rejected",BB___HK___AMHS__Others[YearMonth],"2024-09")</f>
        <v>0</v>
      </c>
      <c r="CT347" s="601">
        <f>SUMIFS(BB___HK___AMHS__Others[Tax],BB___HK___AMHS__Others[PO No.],AR_725[[#This Row],[tsmc PO '#]],BB___HK___AMHS__Others[Status],"&lt;&gt;Rejected",BB___HK___AMHS__Others[YearMonth],"2024-09")</f>
        <v>0</v>
      </c>
    </row>
    <row r="348" spans="1:98" ht="15" hidden="1" customHeight="1">
      <c r="A348" s="30" t="s">
        <v>12</v>
      </c>
      <c r="B348" s="30" t="s">
        <v>2113</v>
      </c>
      <c r="D348" s="50" t="s">
        <v>1546</v>
      </c>
      <c r="E348" s="105" t="s">
        <v>2052</v>
      </c>
      <c r="F348" s="105" t="s">
        <v>2260</v>
      </c>
      <c r="G348" s="64" t="s">
        <v>1168</v>
      </c>
      <c r="H348" s="50" t="s">
        <v>1202</v>
      </c>
      <c r="I348" s="30" t="s">
        <v>190</v>
      </c>
      <c r="J348" s="30" t="s">
        <v>1203</v>
      </c>
      <c r="K348" s="62">
        <f>4200</f>
        <v>4200</v>
      </c>
      <c r="L348" s="30"/>
      <c r="M348" s="86">
        <v>44860</v>
      </c>
      <c r="N348" s="87" t="s">
        <v>2063</v>
      </c>
      <c r="O348" s="88" t="s">
        <v>2089</v>
      </c>
      <c r="P34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4200</v>
      </c>
      <c r="Q34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4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4200</v>
      </c>
      <c r="S348" s="72">
        <f>IF(AR_725[[#This Row],[PO Amount]]=0,1,AR_725[[#This Row],[Total AR (Sent)]]/AR_725[[#This Row],[PO Amount]])</f>
        <v>1</v>
      </c>
      <c r="T348" s="45">
        <f>AR_725[[#This Row],[PO Amount]]-AR_725[[#This Row],[Total AR (Sent)]]</f>
        <v>0</v>
      </c>
      <c r="U348" s="40"/>
      <c r="V348" s="40"/>
      <c r="W348" s="46"/>
      <c r="X348" s="46"/>
      <c r="Y348" s="46"/>
      <c r="Z348" s="46"/>
      <c r="AA348" s="46"/>
      <c r="AB348" s="40"/>
      <c r="AC348" s="40"/>
      <c r="AD348" s="40"/>
      <c r="AE348" s="46"/>
      <c r="AF348" s="46"/>
      <c r="AG348" s="46"/>
      <c r="AH348" s="46"/>
      <c r="AI348" s="46"/>
      <c r="AJ348" s="41"/>
      <c r="AK348" s="46"/>
      <c r="AL348" s="46"/>
      <c r="AM348" s="46"/>
      <c r="AN348" s="46"/>
      <c r="AO348" s="46"/>
      <c r="AP348" s="46"/>
      <c r="AQ348" s="46"/>
      <c r="AR348" s="82"/>
      <c r="AS348" s="41"/>
      <c r="AT348" s="83"/>
      <c r="AU348" s="41"/>
      <c r="AV348" s="83"/>
      <c r="AW348" s="41"/>
      <c r="AX348" s="83"/>
      <c r="AY348" s="41"/>
      <c r="AZ348" s="83"/>
      <c r="BA348" s="41"/>
      <c r="BB348" s="83"/>
      <c r="BC348" s="41"/>
      <c r="BD348" s="41"/>
      <c r="BE348" s="46"/>
      <c r="BF348" s="41"/>
      <c r="BG348" s="46"/>
      <c r="BH348" s="41"/>
      <c r="BI348" s="41"/>
      <c r="BJ348" s="41"/>
      <c r="BK348" s="41"/>
      <c r="BL348" s="83"/>
      <c r="BM348" s="41"/>
      <c r="BN348" s="41"/>
      <c r="BO348" s="46"/>
      <c r="BP348" s="41"/>
      <c r="BQ348" s="40"/>
      <c r="BR348" s="40"/>
      <c r="BS348" s="40"/>
      <c r="BT348" s="40"/>
      <c r="BU348" s="40"/>
      <c r="BV348" s="40"/>
      <c r="BW348" s="40"/>
      <c r="BX348" s="34"/>
      <c r="BZ348" s="40"/>
      <c r="CA348" s="40"/>
      <c r="CB348" s="34"/>
      <c r="CC348" s="34"/>
      <c r="CD348" s="34"/>
      <c r="CE348" s="34"/>
      <c r="CF348" s="34"/>
      <c r="CG348" s="122"/>
      <c r="CI348" s="116">
        <v>4200</v>
      </c>
      <c r="CJ348" s="30"/>
      <c r="CK348" s="122">
        <v>0</v>
      </c>
      <c r="CL348" s="122">
        <v>0</v>
      </c>
      <c r="CM348" s="122">
        <v>0</v>
      </c>
      <c r="CN348" s="122">
        <v>0</v>
      </c>
      <c r="CO348" s="122">
        <f>SUMIFS(BB___HK___AMHS__Others[AR Amount],BB___HK___AMHS__Others[PO No.],AR_725[[#This Row],[tsmc PO '#]],BB___HK___AMHS__Others[Status],"&lt;&gt;Rejected",BB___HK___AMHS__Others[YearMonth],"2024-07")</f>
        <v>0</v>
      </c>
      <c r="CP348" s="122">
        <f>SUMIFS(BB___HK___AMHS__Others[Tax],BB___HK___AMHS__Others[PO No.],AR_725[[#This Row],[tsmc PO '#]],BB___HK___AMHS__Others[Status],"&lt;&gt;Rejected",BB___HK___AMHS__Others[YearMonth],"2024-07")</f>
        <v>0</v>
      </c>
      <c r="CQ348" s="34">
        <f>SUMIFS(BB___HK___AMHS__Others[AR Amount],BB___HK___AMHS__Others[PO No.],AR_725[[#This Row],[tsmc PO '#]],BB___HK___AMHS__Others[Status],"&lt;&gt;Rejected",BB___HK___AMHS__Others[YearMonth],"2024-08")</f>
        <v>0</v>
      </c>
      <c r="CR348" s="44">
        <f>SUMIFS(BB___HK___AMHS__Others[Tax],BB___HK___AMHS__Others[PO No.],AR_725[[#This Row],[tsmc PO '#]],BB___HK___AMHS__Others[Status],"&lt;&gt;Rejected",BB___HK___AMHS__Others[YearMonth],"2024-08")</f>
        <v>0</v>
      </c>
      <c r="CS348" s="62">
        <f>SUMIFS(BB___HK___AMHS__Others[AR Amount],BB___HK___AMHS__Others[PO No.],AR_725[[#This Row],[tsmc PO '#]],BB___HK___AMHS__Others[Status],"&lt;&gt;Rejected",BB___HK___AMHS__Others[YearMonth],"2024-09")</f>
        <v>0</v>
      </c>
      <c r="CT348" s="601">
        <f>SUMIFS(BB___HK___AMHS__Others[Tax],BB___HK___AMHS__Others[PO No.],AR_725[[#This Row],[tsmc PO '#]],BB___HK___AMHS__Others[Status],"&lt;&gt;Rejected",BB___HK___AMHS__Others[YearMonth],"2024-09")</f>
        <v>0</v>
      </c>
    </row>
    <row r="349" spans="1:98" ht="15" hidden="1" customHeight="1">
      <c r="A349" s="30" t="s">
        <v>12</v>
      </c>
      <c r="B349" s="30" t="s">
        <v>2113</v>
      </c>
      <c r="D349" s="50" t="s">
        <v>1546</v>
      </c>
      <c r="E349" s="292" t="s">
        <v>2052</v>
      </c>
      <c r="F349" s="105" t="s">
        <v>2260</v>
      </c>
      <c r="G349" s="64" t="s">
        <v>1168</v>
      </c>
      <c r="H349" s="50" t="s">
        <v>2365</v>
      </c>
      <c r="I349" s="30" t="s">
        <v>190</v>
      </c>
      <c r="J349" s="30" t="s">
        <v>2366</v>
      </c>
      <c r="K349" s="62">
        <f>4200</f>
        <v>4200</v>
      </c>
      <c r="L349" s="30"/>
      <c r="M349" s="86">
        <v>44860</v>
      </c>
      <c r="N349" s="87" t="s">
        <v>2063</v>
      </c>
      <c r="O349" s="88" t="s">
        <v>2089</v>
      </c>
      <c r="P34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34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4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49" s="72">
        <f>IF(AR_725[[#This Row],[PO Amount]]=0,1,AR_725[[#This Row],[Total AR (Sent)]]/AR_725[[#This Row],[PO Amount]])</f>
        <v>0</v>
      </c>
      <c r="T349" s="45">
        <f>AR_725[[#This Row],[PO Amount]]-AR_725[[#This Row],[Total AR (Sent)]]</f>
        <v>4200</v>
      </c>
      <c r="U349" s="40"/>
      <c r="V349" s="40"/>
      <c r="W349" s="46"/>
      <c r="X349" s="46"/>
      <c r="Y349" s="46"/>
      <c r="Z349" s="46"/>
      <c r="AA349" s="46"/>
      <c r="AB349" s="40"/>
      <c r="AC349" s="40"/>
      <c r="AD349" s="40"/>
      <c r="AE349" s="46"/>
      <c r="AF349" s="46"/>
      <c r="AG349" s="46"/>
      <c r="AH349" s="46"/>
      <c r="AI349" s="46"/>
      <c r="AJ349" s="41"/>
      <c r="AK349" s="46"/>
      <c r="AL349" s="46"/>
      <c r="AM349" s="46"/>
      <c r="AN349" s="46"/>
      <c r="AO349" s="46"/>
      <c r="AP349" s="46"/>
      <c r="AQ349" s="46"/>
      <c r="AR349" s="82"/>
      <c r="AS349" s="41"/>
      <c r="AT349" s="83"/>
      <c r="AU349" s="41"/>
      <c r="AV349" s="83"/>
      <c r="AW349" s="41"/>
      <c r="AX349" s="83"/>
      <c r="AY349" s="41"/>
      <c r="AZ349" s="83"/>
      <c r="BA349" s="41"/>
      <c r="BB349" s="83"/>
      <c r="BC349" s="41"/>
      <c r="BD349" s="41"/>
      <c r="BE349" s="46"/>
      <c r="BF349" s="41"/>
      <c r="BG349" s="46"/>
      <c r="BH349" s="41"/>
      <c r="BI349" s="41"/>
      <c r="BJ349" s="41"/>
      <c r="BK349" s="41"/>
      <c r="BL349" s="83"/>
      <c r="BM349" s="41"/>
      <c r="BN349" s="41"/>
      <c r="BO349" s="46"/>
      <c r="BP349" s="41"/>
      <c r="BQ349" s="40"/>
      <c r="BR349" s="40"/>
      <c r="BS349" s="40"/>
      <c r="BT349" s="40"/>
      <c r="BU349" s="40"/>
      <c r="BV349" s="40"/>
      <c r="BW349" s="40"/>
      <c r="BX349" s="34"/>
      <c r="BZ349" s="40"/>
      <c r="CA349" s="40"/>
      <c r="CB349" s="34"/>
      <c r="CC349" s="34"/>
      <c r="CD349" s="34"/>
      <c r="CE349" s="34"/>
      <c r="CF349" s="34"/>
      <c r="CG349" s="122"/>
      <c r="CI349" s="122"/>
      <c r="CJ349" s="30"/>
      <c r="CK349" s="122">
        <v>0</v>
      </c>
      <c r="CL349" s="122">
        <v>0</v>
      </c>
      <c r="CM349" s="122">
        <v>0</v>
      </c>
      <c r="CN349" s="122">
        <v>0</v>
      </c>
      <c r="CO349" s="122">
        <f>SUMIFS(BB___HK___AMHS__Others[AR Amount],BB___HK___AMHS__Others[PO No.],AR_725[[#This Row],[tsmc PO '#]],BB___HK___AMHS__Others[Status],"&lt;&gt;Rejected",BB___HK___AMHS__Others[YearMonth],"2024-07")</f>
        <v>0</v>
      </c>
      <c r="CP349" s="122">
        <f>SUMIFS(BB___HK___AMHS__Others[Tax],BB___HK___AMHS__Others[PO No.],AR_725[[#This Row],[tsmc PO '#]],BB___HK___AMHS__Others[Status],"&lt;&gt;Rejected",BB___HK___AMHS__Others[YearMonth],"2024-07")</f>
        <v>0</v>
      </c>
      <c r="CQ349" s="34">
        <f>SUMIFS(BB___HK___AMHS__Others[AR Amount],BB___HK___AMHS__Others[PO No.],AR_725[[#This Row],[tsmc PO '#]],BB___HK___AMHS__Others[Status],"&lt;&gt;Rejected",BB___HK___AMHS__Others[YearMonth],"2024-08")</f>
        <v>0</v>
      </c>
      <c r="CR349" s="44">
        <f>SUMIFS(BB___HK___AMHS__Others[Tax],BB___HK___AMHS__Others[PO No.],AR_725[[#This Row],[tsmc PO '#]],BB___HK___AMHS__Others[Status],"&lt;&gt;Rejected",BB___HK___AMHS__Others[YearMonth],"2024-08")</f>
        <v>0</v>
      </c>
      <c r="CS349" s="62">
        <f>SUMIFS(BB___HK___AMHS__Others[AR Amount],BB___HK___AMHS__Others[PO No.],AR_725[[#This Row],[tsmc PO '#]],BB___HK___AMHS__Others[Status],"&lt;&gt;Rejected",BB___HK___AMHS__Others[YearMonth],"2024-09")</f>
        <v>0</v>
      </c>
      <c r="CT349" s="601">
        <f>SUMIFS(BB___HK___AMHS__Others[Tax],BB___HK___AMHS__Others[PO No.],AR_725[[#This Row],[tsmc PO '#]],BB___HK___AMHS__Others[Status],"&lt;&gt;Rejected",BB___HK___AMHS__Others[YearMonth],"2024-09")</f>
        <v>0</v>
      </c>
    </row>
    <row r="350" spans="1:98" ht="15" hidden="1" customHeight="1">
      <c r="A350" s="30" t="s">
        <v>12</v>
      </c>
      <c r="B350" s="30" t="s">
        <v>2113</v>
      </c>
      <c r="D350" s="50" t="s">
        <v>1546</v>
      </c>
      <c r="E350" s="105" t="s">
        <v>2052</v>
      </c>
      <c r="F350" s="105" t="s">
        <v>2260</v>
      </c>
      <c r="G350" s="64" t="s">
        <v>1168</v>
      </c>
      <c r="H350" s="50" t="s">
        <v>741</v>
      </c>
      <c r="I350" s="30" t="s">
        <v>190</v>
      </c>
      <c r="J350" s="30" t="s">
        <v>742</v>
      </c>
      <c r="K350" s="62">
        <f>4200</f>
        <v>4200</v>
      </c>
      <c r="L350" s="30"/>
      <c r="M350" s="86">
        <v>44860</v>
      </c>
      <c r="N350" s="87" t="s">
        <v>2063</v>
      </c>
      <c r="O350" s="88" t="s">
        <v>2089</v>
      </c>
      <c r="P35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4200</v>
      </c>
      <c r="Q35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4200</v>
      </c>
      <c r="R35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4200</v>
      </c>
      <c r="S350" s="72">
        <f>IF(AR_725[[#This Row],[PO Amount]]=0,1,AR_725[[#This Row],[Total AR (Sent)]]/AR_725[[#This Row],[PO Amount]])</f>
        <v>1</v>
      </c>
      <c r="T350" s="39">
        <f>AR_725[[#This Row],[PO Amount]]-AR_725[[#This Row],[Total AR (Sent)]]</f>
        <v>0</v>
      </c>
      <c r="U350" s="40"/>
      <c r="V350" s="40"/>
      <c r="W350" s="41"/>
      <c r="X350" s="41"/>
      <c r="Y350" s="41"/>
      <c r="Z350" s="41"/>
      <c r="AA350" s="41"/>
      <c r="AB350" s="40"/>
      <c r="AC350" s="40"/>
      <c r="AD350" s="40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82"/>
      <c r="AS350" s="41"/>
      <c r="AT350" s="83"/>
      <c r="AU350" s="41"/>
      <c r="AV350" s="83"/>
      <c r="AW350" s="41"/>
      <c r="AX350" s="83"/>
      <c r="AY350" s="41"/>
      <c r="AZ350" s="83"/>
      <c r="BA350" s="41"/>
      <c r="BB350" s="83"/>
      <c r="BC350" s="41"/>
      <c r="BD350" s="41"/>
      <c r="BE350" s="41"/>
      <c r="BF350" s="41"/>
      <c r="BG350" s="41"/>
      <c r="BH350" s="41"/>
      <c r="BI350" s="41"/>
      <c r="BJ350" s="41"/>
      <c r="BK350" s="41"/>
      <c r="BL350" s="83"/>
      <c r="BM350" s="41"/>
      <c r="BN350" s="41"/>
      <c r="BO350" s="41"/>
      <c r="BP350" s="41"/>
      <c r="BQ350" s="40"/>
      <c r="BR350" s="40"/>
      <c r="BS350" s="34"/>
      <c r="BT350" s="40"/>
      <c r="BU350" s="34"/>
      <c r="BV350" s="40"/>
      <c r="BW350" s="34"/>
      <c r="BX350" s="34"/>
      <c r="BY350" s="34"/>
      <c r="BZ350" s="40"/>
      <c r="CA350" s="40"/>
      <c r="CB350" s="34"/>
      <c r="CC350" s="42">
        <v>4200</v>
      </c>
      <c r="CD350" s="34"/>
      <c r="CE350" s="34"/>
      <c r="CF350" s="34"/>
      <c r="CG350" s="122"/>
      <c r="CI350" s="122"/>
      <c r="CJ350" s="30"/>
      <c r="CK350" s="122">
        <v>0</v>
      </c>
      <c r="CL350" s="122">
        <v>0</v>
      </c>
      <c r="CM350" s="122">
        <v>0</v>
      </c>
      <c r="CN350" s="122">
        <v>0</v>
      </c>
      <c r="CO350" s="122">
        <f>SUMIFS(BB___HK___AMHS__Others[AR Amount],BB___HK___AMHS__Others[PO No.],AR_725[[#This Row],[tsmc PO '#]],BB___HK___AMHS__Others[Status],"&lt;&gt;Rejected",BB___HK___AMHS__Others[YearMonth],"2024-07")</f>
        <v>0</v>
      </c>
      <c r="CP350" s="122">
        <f>SUMIFS(BB___HK___AMHS__Others[Tax],BB___HK___AMHS__Others[PO No.],AR_725[[#This Row],[tsmc PO '#]],BB___HK___AMHS__Others[Status],"&lt;&gt;Rejected",BB___HK___AMHS__Others[YearMonth],"2024-07")</f>
        <v>0</v>
      </c>
      <c r="CQ350" s="34">
        <f>SUMIFS(BB___HK___AMHS__Others[AR Amount],BB___HK___AMHS__Others[PO No.],AR_725[[#This Row],[tsmc PO '#]],BB___HK___AMHS__Others[Status],"&lt;&gt;Rejected",BB___HK___AMHS__Others[YearMonth],"2024-08")</f>
        <v>0</v>
      </c>
      <c r="CR350" s="44">
        <f>SUMIFS(BB___HK___AMHS__Others[Tax],BB___HK___AMHS__Others[PO No.],AR_725[[#This Row],[tsmc PO '#]],BB___HK___AMHS__Others[Status],"&lt;&gt;Rejected",BB___HK___AMHS__Others[YearMonth],"2024-08")</f>
        <v>0</v>
      </c>
      <c r="CS350" s="62">
        <f>SUMIFS(BB___HK___AMHS__Others[AR Amount],BB___HK___AMHS__Others[PO No.],AR_725[[#This Row],[tsmc PO '#]],BB___HK___AMHS__Others[Status],"&lt;&gt;Rejected",BB___HK___AMHS__Others[YearMonth],"2024-09")</f>
        <v>0</v>
      </c>
      <c r="CT350" s="601">
        <f>SUMIFS(BB___HK___AMHS__Others[Tax],BB___HK___AMHS__Others[PO No.],AR_725[[#This Row],[tsmc PO '#]],BB___HK___AMHS__Others[Status],"&lt;&gt;Rejected",BB___HK___AMHS__Others[YearMonth],"2024-09")</f>
        <v>0</v>
      </c>
    </row>
    <row r="351" spans="1:98" ht="15" hidden="1" customHeight="1">
      <c r="A351" s="30" t="s">
        <v>15</v>
      </c>
      <c r="B351" s="30" t="s">
        <v>13</v>
      </c>
      <c r="D351" s="50" t="s">
        <v>2367</v>
      </c>
      <c r="E351" s="50" t="s">
        <v>2044</v>
      </c>
      <c r="F351" s="105" t="s">
        <v>2130</v>
      </c>
      <c r="G351" s="63" t="s">
        <v>340</v>
      </c>
      <c r="H351" s="50" t="s">
        <v>276</v>
      </c>
      <c r="I351" s="30" t="s">
        <v>278</v>
      </c>
      <c r="J351" s="30" t="s">
        <v>277</v>
      </c>
      <c r="K351" s="62">
        <v>2680642</v>
      </c>
      <c r="L351" s="30"/>
      <c r="M351" s="86">
        <v>44875</v>
      </c>
      <c r="N351" s="87" t="s">
        <v>2132</v>
      </c>
      <c r="O351" s="88" t="s">
        <v>2072</v>
      </c>
      <c r="P35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2680571.27</v>
      </c>
      <c r="Q35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2680571.27</v>
      </c>
      <c r="R35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2680571.27</v>
      </c>
      <c r="S351" s="72">
        <f>IF(AR_725[[#This Row],[PO Amount]]=0,1,AR_725[[#This Row],[Total AR (Sent)]]/AR_725[[#This Row],[PO Amount]])</f>
        <v>0.99997361452965372</v>
      </c>
      <c r="T351" s="45">
        <f>AR_725[[#This Row],[PO Amount]]-AR_725[[#This Row],[Total AR (Sent)]]</f>
        <v>70.729999999981374</v>
      </c>
      <c r="U351" s="40"/>
      <c r="V351" s="40"/>
      <c r="W351" s="46"/>
      <c r="X351" s="46"/>
      <c r="Y351" s="46"/>
      <c r="Z351" s="46"/>
      <c r="AA351" s="46"/>
      <c r="AB351" s="40"/>
      <c r="AC351" s="40"/>
      <c r="AD351" s="40"/>
      <c r="AE351" s="46"/>
      <c r="AF351" s="46"/>
      <c r="AG351" s="46"/>
      <c r="AH351" s="46"/>
      <c r="AI351" s="46"/>
      <c r="AJ351" s="41"/>
      <c r="AK351" s="46"/>
      <c r="AL351" s="46"/>
      <c r="AM351" s="46"/>
      <c r="AN351" s="46"/>
      <c r="AO351" s="46"/>
      <c r="AP351" s="46"/>
      <c r="AQ351" s="46"/>
      <c r="AR351" s="82"/>
      <c r="AS351" s="41"/>
      <c r="AT351" s="83"/>
      <c r="AU351" s="41"/>
      <c r="AV351" s="83"/>
      <c r="AW351" s="41"/>
      <c r="AX351" s="83"/>
      <c r="AY351" s="41"/>
      <c r="AZ351" s="83"/>
      <c r="BA351" s="42">
        <v>2645069.4900000002</v>
      </c>
      <c r="BB351" s="83"/>
      <c r="BC351" s="41"/>
      <c r="BD351" s="41"/>
      <c r="BE351" s="46"/>
      <c r="BF351" s="41"/>
      <c r="BG351" s="46"/>
      <c r="BH351" s="41"/>
      <c r="BI351" s="41"/>
      <c r="BJ351" s="41"/>
      <c r="BK351" s="41"/>
      <c r="BL351" s="83"/>
      <c r="BM351" s="41"/>
      <c r="BN351" s="41"/>
      <c r="BO351" s="46"/>
      <c r="BP351" s="41"/>
      <c r="BQ351" s="40"/>
      <c r="BR351" s="40"/>
      <c r="BS351" s="40"/>
      <c r="BT351" s="40"/>
      <c r="BU351" s="40"/>
      <c r="BV351" s="40"/>
      <c r="BW351" s="40"/>
      <c r="BX351" s="34"/>
      <c r="BY351" s="47">
        <v>35501.78</v>
      </c>
      <c r="BZ351" s="40"/>
      <c r="CA351" s="40"/>
      <c r="CB351" s="34"/>
      <c r="CC351" s="34"/>
      <c r="CD351" s="34"/>
      <c r="CE351" s="34"/>
      <c r="CF351" s="34"/>
      <c r="CG351" s="122"/>
      <c r="CI351" s="122"/>
      <c r="CJ351" s="30"/>
      <c r="CK351" s="122">
        <v>0</v>
      </c>
      <c r="CL351" s="122">
        <v>0</v>
      </c>
      <c r="CM351" s="122">
        <v>0</v>
      </c>
      <c r="CN351" s="122">
        <v>0</v>
      </c>
      <c r="CO351" s="122">
        <f>SUMIFS(BB___HK___AMHS__Others[AR Amount],BB___HK___AMHS__Others[PO No.],AR_725[[#This Row],[tsmc PO '#]],BB___HK___AMHS__Others[Status],"&lt;&gt;Rejected",BB___HK___AMHS__Others[YearMonth],"2024-07")</f>
        <v>0</v>
      </c>
      <c r="CP351" s="122">
        <f>SUMIFS(BB___HK___AMHS__Others[Tax],BB___HK___AMHS__Others[PO No.],AR_725[[#This Row],[tsmc PO '#]],BB___HK___AMHS__Others[Status],"&lt;&gt;Rejected",BB___HK___AMHS__Others[YearMonth],"2024-07")</f>
        <v>0</v>
      </c>
      <c r="CQ351" s="34">
        <f>SUMIFS(BB___HK___AMHS__Others[AR Amount],BB___HK___AMHS__Others[PO No.],AR_725[[#This Row],[tsmc PO '#]],BB___HK___AMHS__Others[Status],"&lt;&gt;Rejected",BB___HK___AMHS__Others[YearMonth],"2024-08")</f>
        <v>0</v>
      </c>
      <c r="CR351" s="44">
        <f>SUMIFS(BB___HK___AMHS__Others[Tax],BB___HK___AMHS__Others[PO No.],AR_725[[#This Row],[tsmc PO '#]],BB___HK___AMHS__Others[Status],"&lt;&gt;Rejected",BB___HK___AMHS__Others[YearMonth],"2024-08")</f>
        <v>0</v>
      </c>
      <c r="CS351" s="62">
        <f>SUMIFS(BB___HK___AMHS__Others[AR Amount],BB___HK___AMHS__Others[PO No.],AR_725[[#This Row],[tsmc PO '#]],BB___HK___AMHS__Others[Status],"&lt;&gt;Rejected",BB___HK___AMHS__Others[YearMonth],"2024-09")</f>
        <v>0</v>
      </c>
      <c r="CT351" s="601">
        <f>SUMIFS(BB___HK___AMHS__Others[Tax],BB___HK___AMHS__Others[PO No.],AR_725[[#This Row],[tsmc PO '#]],BB___HK___AMHS__Others[Status],"&lt;&gt;Rejected",BB___HK___AMHS__Others[YearMonth],"2024-09")</f>
        <v>0</v>
      </c>
    </row>
    <row r="352" spans="1:98" ht="15" hidden="1" customHeight="1">
      <c r="A352" s="30" t="s">
        <v>15</v>
      </c>
      <c r="B352" s="30" t="s">
        <v>13</v>
      </c>
      <c r="D352" s="50" t="s">
        <v>2367</v>
      </c>
      <c r="E352" s="50" t="s">
        <v>2044</v>
      </c>
      <c r="F352" s="105" t="s">
        <v>2130</v>
      </c>
      <c r="G352" s="64" t="s">
        <v>340</v>
      </c>
      <c r="H352" s="50" t="s">
        <v>305</v>
      </c>
      <c r="I352" s="30" t="s">
        <v>278</v>
      </c>
      <c r="J352" s="30" t="s">
        <v>306</v>
      </c>
      <c r="K352" s="62">
        <v>21688833</v>
      </c>
      <c r="L352" s="30"/>
      <c r="M352" s="86">
        <v>44875</v>
      </c>
      <c r="N352" s="87" t="s">
        <v>2132</v>
      </c>
      <c r="O352" s="88" t="s">
        <v>2072</v>
      </c>
      <c r="P35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21688160.316999998</v>
      </c>
      <c r="Q35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21688160.316999998</v>
      </c>
      <c r="R35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21688160.319999997</v>
      </c>
      <c r="S352" s="72">
        <f>IF(AR_725[[#This Row],[PO Amount]]=0,1,AR_725[[#This Row],[Total AR (Sent)]]/AR_725[[#This Row],[PO Amount]])</f>
        <v>0.99996898482274255</v>
      </c>
      <c r="T352" s="45">
        <f>AR_725[[#This Row],[PO Amount]]-AR_725[[#This Row],[Total AR (Sent)]]</f>
        <v>672.68300000205636</v>
      </c>
      <c r="U352" s="40"/>
      <c r="V352" s="40"/>
      <c r="W352" s="46"/>
      <c r="X352" s="46"/>
      <c r="Y352" s="46"/>
      <c r="Z352" s="46"/>
      <c r="AA352" s="46"/>
      <c r="AB352" s="40"/>
      <c r="AC352" s="40"/>
      <c r="AD352" s="40"/>
      <c r="AE352" s="46"/>
      <c r="AF352" s="46"/>
      <c r="AG352" s="46"/>
      <c r="AH352" s="46"/>
      <c r="AI352" s="46"/>
      <c r="AJ352" s="41"/>
      <c r="AK352" s="46"/>
      <c r="AL352" s="46"/>
      <c r="AM352" s="46"/>
      <c r="AN352" s="46"/>
      <c r="AO352" s="46"/>
      <c r="AP352" s="46"/>
      <c r="AQ352" s="46"/>
      <c r="AR352" s="82"/>
      <c r="AS352" s="41"/>
      <c r="AT352" s="83"/>
      <c r="AU352" s="41"/>
      <c r="AV352" s="83"/>
      <c r="AW352" s="41"/>
      <c r="AX352" s="83"/>
      <c r="AY352" s="41"/>
      <c r="AZ352" s="83"/>
      <c r="BA352" s="41"/>
      <c r="BB352" s="83"/>
      <c r="BC352" s="95">
        <v>714772.61</v>
      </c>
      <c r="BD352" s="41"/>
      <c r="BE352" s="47">
        <v>46322.09</v>
      </c>
      <c r="BF352" s="41"/>
      <c r="BG352" s="47">
        <v>1826511.29</v>
      </c>
      <c r="BH352" s="41"/>
      <c r="BI352" s="53">
        <f>1548552.6441-1548552.6441</f>
        <v>0</v>
      </c>
      <c r="BJ352" s="41"/>
      <c r="BK352" s="53">
        <f>752567.69-752567.69</f>
        <v>0</v>
      </c>
      <c r="BL352" s="83"/>
      <c r="BM352" s="42">
        <v>3204636.2689999999</v>
      </c>
      <c r="BN352" s="41"/>
      <c r="BO352" s="47">
        <v>3349337.76</v>
      </c>
      <c r="BP352" s="41"/>
      <c r="BQ352" s="70">
        <f>1559497.07-1559497.07</f>
        <v>0</v>
      </c>
      <c r="BR352" s="40"/>
      <c r="BS352" s="47">
        <v>5709214.7480000006</v>
      </c>
      <c r="BT352" s="40"/>
      <c r="BU352" s="47">
        <v>3909695.68</v>
      </c>
      <c r="BV352" s="40"/>
      <c r="BW352" s="47">
        <v>1852533.56</v>
      </c>
      <c r="BX352" s="34"/>
      <c r="BY352" s="47">
        <v>1075136.31</v>
      </c>
      <c r="BZ352" s="40"/>
      <c r="CA352" s="40"/>
      <c r="CB352" s="34"/>
      <c r="CC352" s="34"/>
      <c r="CD352" s="34"/>
      <c r="CE352" s="34"/>
      <c r="CF352" s="34"/>
      <c r="CG352" s="122"/>
      <c r="CI352" s="122"/>
      <c r="CJ352" s="30"/>
      <c r="CK352" s="122">
        <v>0</v>
      </c>
      <c r="CL352" s="122">
        <v>0</v>
      </c>
      <c r="CM352" s="122">
        <v>0</v>
      </c>
      <c r="CN352" s="122">
        <v>0</v>
      </c>
      <c r="CO352" s="122">
        <f>SUMIFS(BB___HK___AMHS__Others[AR Amount],BB___HK___AMHS__Others[PO No.],AR_725[[#This Row],[tsmc PO '#]],BB___HK___AMHS__Others[Status],"&lt;&gt;Rejected",BB___HK___AMHS__Others[YearMonth],"2024-07")</f>
        <v>0</v>
      </c>
      <c r="CP352" s="122">
        <f>SUMIFS(BB___HK___AMHS__Others[Tax],BB___HK___AMHS__Others[PO No.],AR_725[[#This Row],[tsmc PO '#]],BB___HK___AMHS__Others[Status],"&lt;&gt;Rejected",BB___HK___AMHS__Others[YearMonth],"2024-07")</f>
        <v>0</v>
      </c>
      <c r="CQ352" s="34">
        <f>SUMIFS(BB___HK___AMHS__Others[AR Amount],BB___HK___AMHS__Others[PO No.],AR_725[[#This Row],[tsmc PO '#]],BB___HK___AMHS__Others[Status],"&lt;&gt;Rejected",BB___HK___AMHS__Others[YearMonth],"2024-08")</f>
        <v>0</v>
      </c>
      <c r="CR352" s="44">
        <f>SUMIFS(BB___HK___AMHS__Others[Tax],BB___HK___AMHS__Others[PO No.],AR_725[[#This Row],[tsmc PO '#]],BB___HK___AMHS__Others[Status],"&lt;&gt;Rejected",BB___HK___AMHS__Others[YearMonth],"2024-08")</f>
        <v>0</v>
      </c>
      <c r="CS352" s="62">
        <f>SUMIFS(BB___HK___AMHS__Others[AR Amount],BB___HK___AMHS__Others[PO No.],AR_725[[#This Row],[tsmc PO '#]],BB___HK___AMHS__Others[Status],"&lt;&gt;Rejected",BB___HK___AMHS__Others[YearMonth],"2024-09")</f>
        <v>0</v>
      </c>
      <c r="CT352" s="601">
        <f>SUMIFS(BB___HK___AMHS__Others[Tax],BB___HK___AMHS__Others[PO No.],AR_725[[#This Row],[tsmc PO '#]],BB___HK___AMHS__Others[Status],"&lt;&gt;Rejected",BB___HK___AMHS__Others[YearMonth],"2024-09")</f>
        <v>0</v>
      </c>
    </row>
    <row r="353" spans="1:98" ht="15" hidden="1" customHeight="1">
      <c r="A353" s="30" t="s">
        <v>11</v>
      </c>
      <c r="B353" s="30" t="s">
        <v>2051</v>
      </c>
      <c r="D353" s="50" t="s">
        <v>1706</v>
      </c>
      <c r="E353" s="603" t="s">
        <v>2070</v>
      </c>
      <c r="F353" s="105" t="s">
        <v>2115</v>
      </c>
      <c r="G353" s="48" t="s">
        <v>1205</v>
      </c>
      <c r="H353" s="50" t="s">
        <v>543</v>
      </c>
      <c r="I353" s="30" t="s">
        <v>545</v>
      </c>
      <c r="J353" s="30" t="s">
        <v>544</v>
      </c>
      <c r="K353" s="46">
        <v>240000</v>
      </c>
      <c r="L353" s="30"/>
      <c r="M353" s="86"/>
      <c r="N353" s="87"/>
      <c r="O353" s="88"/>
      <c r="P35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120041</v>
      </c>
      <c r="Q35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82883</v>
      </c>
      <c r="R35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107789</v>
      </c>
      <c r="S353" s="72">
        <f>IF(AR_725[[#This Row],[PO Amount]]=0,1,AR_725[[#This Row],[Total AR (Sent)]]/AR_725[[#This Row],[PO Amount]])</f>
        <v>0.50017083333333334</v>
      </c>
      <c r="T353" s="75">
        <f>AR_725[[#This Row],[PO Amount]]-AR_725[[#This Row],[Total AR (Sent)]]</f>
        <v>119959</v>
      </c>
      <c r="U353" s="40"/>
      <c r="V353" s="40"/>
      <c r="W353" s="46"/>
      <c r="X353" s="46"/>
      <c r="Y353" s="46"/>
      <c r="Z353" s="46"/>
      <c r="AA353" s="46"/>
      <c r="AB353" s="40"/>
      <c r="AC353" s="40"/>
      <c r="AD353" s="40"/>
      <c r="AE353" s="46"/>
      <c r="AF353" s="46"/>
      <c r="AG353" s="46"/>
      <c r="AH353" s="46"/>
      <c r="AI353" s="40"/>
      <c r="AJ353" s="41"/>
      <c r="AK353" s="40"/>
      <c r="AL353" s="46"/>
      <c r="AM353" s="40"/>
      <c r="AN353" s="46"/>
      <c r="AO353" s="40"/>
      <c r="AP353" s="46"/>
      <c r="AQ353" s="40"/>
      <c r="AR353" s="82"/>
      <c r="AS353" s="34"/>
      <c r="AT353" s="83"/>
      <c r="AU353" s="34"/>
      <c r="AV353" s="83"/>
      <c r="AW353" s="40"/>
      <c r="AX353" s="83"/>
      <c r="AY353" s="34"/>
      <c r="AZ353" s="83"/>
      <c r="BA353" s="41"/>
      <c r="BB353" s="83"/>
      <c r="BC353" s="40"/>
      <c r="BD353" s="41"/>
      <c r="BE353" s="46"/>
      <c r="BF353" s="41"/>
      <c r="BG353" s="41"/>
      <c r="BH353" s="41"/>
      <c r="BI353" s="41"/>
      <c r="BJ353" s="41"/>
      <c r="BK353" s="41"/>
      <c r="BL353" s="83"/>
      <c r="BM353" s="41"/>
      <c r="BN353" s="41"/>
      <c r="BO353" s="46"/>
      <c r="BP353" s="41"/>
      <c r="BQ353" s="47">
        <v>12884</v>
      </c>
      <c r="BR353" s="40"/>
      <c r="BS353" s="47">
        <v>32209</v>
      </c>
      <c r="BT353" s="40"/>
      <c r="BU353" s="47">
        <v>37790</v>
      </c>
      <c r="BV353" s="40"/>
      <c r="BW353" s="40"/>
      <c r="BX353" s="34"/>
      <c r="BZ353" s="40"/>
      <c r="CA353" s="40"/>
      <c r="CB353" s="34"/>
      <c r="CC353" s="34"/>
      <c r="CD353" s="34"/>
      <c r="CE353" s="34"/>
      <c r="CF353" s="34"/>
      <c r="CG353" s="122"/>
      <c r="CI353" s="116">
        <v>24906</v>
      </c>
      <c r="CJ353" s="30"/>
      <c r="CK353" s="122">
        <v>0</v>
      </c>
      <c r="CL353" s="122">
        <v>0</v>
      </c>
      <c r="CM353" s="122">
        <v>0</v>
      </c>
      <c r="CN353" s="122">
        <v>0</v>
      </c>
      <c r="CO353" s="34">
        <f>SUMIFS(BB___HK___AMHS__Others[AR Amount],BB___HK___AMHS__Others[PO No.],AR_725[[#This Row],[tsmc PO '#]],BB___HK___AMHS__Others[Status],"&lt;&gt;Rejected",BB___HK___AMHS__Others[YearMonth],"2024-07")</f>
        <v>0</v>
      </c>
      <c r="CP353" s="122">
        <f>SUMIFS(BB___HK___AMHS__Others[Tax],BB___HK___AMHS__Others[PO No.],AR_725[[#This Row],[tsmc PO '#]],BB___HK___AMHS__Others[Status],"&lt;&gt;Rejected",BB___HK___AMHS__Others[YearMonth],"2024-07")</f>
        <v>0</v>
      </c>
      <c r="CQ353" s="34">
        <f>SUMIFS(BB___HK___AMHS__Others[AR Amount],BB___HK___AMHS__Others[PO No.],AR_725[[#This Row],[tsmc PO '#]],BB___HK___AMHS__Others[Status],"&lt;&gt;Rejected",BB___HK___AMHS__Others[YearMonth],"2024-08")</f>
        <v>12252</v>
      </c>
      <c r="CR353" s="44">
        <f>SUMIFS(BB___HK___AMHS__Others[Tax],BB___HK___AMHS__Others[PO No.],AR_725[[#This Row],[tsmc PO '#]],BB___HK___AMHS__Others[Status],"&lt;&gt;Rejected",BB___HK___AMHS__Others[YearMonth],"2024-08")</f>
        <v>0</v>
      </c>
      <c r="CS353" s="62">
        <f>SUMIFS(BB___HK___AMHS__Others[AR Amount],BB___HK___AMHS__Others[PO No.],AR_725[[#This Row],[tsmc PO '#]],BB___HK___AMHS__Others[Status],"&lt;&gt;Rejected",BB___HK___AMHS__Others[YearMonth],"2024-09")</f>
        <v>0</v>
      </c>
      <c r="CT353" s="601">
        <f>SUMIFS(BB___HK___AMHS__Others[Tax],BB___HK___AMHS__Others[PO No.],AR_725[[#This Row],[tsmc PO '#]],BB___HK___AMHS__Others[Status],"&lt;&gt;Rejected",BB___HK___AMHS__Others[YearMonth],"2024-09")</f>
        <v>0</v>
      </c>
    </row>
    <row r="354" spans="1:98" ht="15" hidden="1" customHeight="1">
      <c r="A354" s="30" t="s">
        <v>11</v>
      </c>
      <c r="B354" s="30" t="s">
        <v>2051</v>
      </c>
      <c r="D354" s="50" t="s">
        <v>1706</v>
      </c>
      <c r="E354" s="57" t="s">
        <v>2070</v>
      </c>
      <c r="F354" s="105" t="s">
        <v>2115</v>
      </c>
      <c r="G354" s="48" t="s">
        <v>54</v>
      </c>
      <c r="H354" s="50" t="s">
        <v>576</v>
      </c>
      <c r="I354" s="30" t="s">
        <v>129</v>
      </c>
      <c r="J354" s="30" t="s">
        <v>577</v>
      </c>
      <c r="K354" s="62">
        <v>50000</v>
      </c>
      <c r="L354" s="30"/>
      <c r="M354" s="86"/>
      <c r="N354" s="87"/>
      <c r="O354" s="88"/>
      <c r="P35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45064</v>
      </c>
      <c r="Q35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4705</v>
      </c>
      <c r="R35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35865</v>
      </c>
      <c r="S354" s="72">
        <f>IF(AR_725[[#This Row],[PO Amount]]=0,1,AR_725[[#This Row],[Total AR (Sent)]]/AR_725[[#This Row],[PO Amount]])</f>
        <v>0.90127999999999997</v>
      </c>
      <c r="T354" s="45">
        <f>AR_725[[#This Row],[PO Amount]]-AR_725[[#This Row],[Total AR (Sent)]]</f>
        <v>4936</v>
      </c>
      <c r="U354" s="40"/>
      <c r="V354" s="40"/>
      <c r="W354" s="46"/>
      <c r="X354" s="46"/>
      <c r="Y354" s="46"/>
      <c r="Z354" s="46"/>
      <c r="AA354" s="46"/>
      <c r="AB354" s="40"/>
      <c r="AC354" s="40"/>
      <c r="AD354" s="40"/>
      <c r="AE354" s="46"/>
      <c r="AF354" s="46"/>
      <c r="AG354" s="46"/>
      <c r="AH354" s="46"/>
      <c r="AI354" s="46"/>
      <c r="AJ354" s="41"/>
      <c r="AK354" s="46"/>
      <c r="AL354" s="46"/>
      <c r="AM354" s="46"/>
      <c r="AN354" s="46"/>
      <c r="AO354" s="46"/>
      <c r="AP354" s="46"/>
      <c r="AQ354" s="46"/>
      <c r="AR354" s="82"/>
      <c r="AS354" s="41"/>
      <c r="AT354" s="83"/>
      <c r="AU354" s="41"/>
      <c r="AV354" s="83"/>
      <c r="AW354" s="41"/>
      <c r="AX354" s="83"/>
      <c r="AY354" s="41"/>
      <c r="AZ354" s="83"/>
      <c r="BA354" s="41"/>
      <c r="BB354" s="83"/>
      <c r="BC354" s="41"/>
      <c r="BD354" s="41"/>
      <c r="BE354" s="46"/>
      <c r="BF354" s="41"/>
      <c r="BG354" s="46"/>
      <c r="BH354" s="41"/>
      <c r="BI354" s="41"/>
      <c r="BJ354" s="41"/>
      <c r="BK354" s="41"/>
      <c r="BL354" s="83"/>
      <c r="BM354" s="41"/>
      <c r="BN354" s="41"/>
      <c r="BO354" s="46"/>
      <c r="BP354" s="41"/>
      <c r="BQ354" s="40"/>
      <c r="BR354" s="40"/>
      <c r="BS354" s="47">
        <v>4705</v>
      </c>
      <c r="BT354" s="40"/>
      <c r="BU354" s="40"/>
      <c r="BV354" s="40"/>
      <c r="BW354" s="40"/>
      <c r="BX354" s="34"/>
      <c r="BZ354" s="40"/>
      <c r="CA354" s="40"/>
      <c r="CB354" s="34"/>
      <c r="CC354" s="34"/>
      <c r="CD354" s="34"/>
      <c r="CE354" s="34"/>
      <c r="CF354" s="34"/>
      <c r="CG354" s="122"/>
      <c r="CI354" s="116">
        <v>31160</v>
      </c>
      <c r="CJ354" s="30"/>
      <c r="CK354" s="122">
        <v>0</v>
      </c>
      <c r="CL354" s="122">
        <v>0</v>
      </c>
      <c r="CM354" s="122">
        <v>0</v>
      </c>
      <c r="CN354" s="122">
        <v>0</v>
      </c>
      <c r="CO354" s="34">
        <f>SUMIFS(BB___HK___AMHS__Others[AR Amount],BB___HK___AMHS__Others[PO No.],AR_725[[#This Row],[tsmc PO '#]],BB___HK___AMHS__Others[Status],"&lt;&gt;Rejected",BB___HK___AMHS__Others[YearMonth],"2024-07")</f>
        <v>0</v>
      </c>
      <c r="CP354" s="122">
        <f>SUMIFS(BB___HK___AMHS__Others[Tax],BB___HK___AMHS__Others[PO No.],AR_725[[#This Row],[tsmc PO '#]],BB___HK___AMHS__Others[Status],"&lt;&gt;Rejected",BB___HK___AMHS__Others[YearMonth],"2024-07")</f>
        <v>0</v>
      </c>
      <c r="CQ354" s="34">
        <f>SUMIFS(BB___HK___AMHS__Others[AR Amount],BB___HK___AMHS__Others[PO No.],AR_725[[#This Row],[tsmc PO '#]],BB___HK___AMHS__Others[Status],"&lt;&gt;Rejected",BB___HK___AMHS__Others[YearMonth],"2024-08")</f>
        <v>9199</v>
      </c>
      <c r="CR354" s="44">
        <f>SUMIFS(BB___HK___AMHS__Others[Tax],BB___HK___AMHS__Others[PO No.],AR_725[[#This Row],[tsmc PO '#]],BB___HK___AMHS__Others[Status],"&lt;&gt;Rejected",BB___HK___AMHS__Others[YearMonth],"2024-08")</f>
        <v>0</v>
      </c>
      <c r="CS354" s="62">
        <f>SUMIFS(BB___HK___AMHS__Others[AR Amount],BB___HK___AMHS__Others[PO No.],AR_725[[#This Row],[tsmc PO '#]],BB___HK___AMHS__Others[Status],"&lt;&gt;Rejected",BB___HK___AMHS__Others[YearMonth],"2024-09")</f>
        <v>0</v>
      </c>
      <c r="CT354" s="601">
        <f>SUMIFS(BB___HK___AMHS__Others[Tax],BB___HK___AMHS__Others[PO No.],AR_725[[#This Row],[tsmc PO '#]],BB___HK___AMHS__Others[Status],"&lt;&gt;Rejected",BB___HK___AMHS__Others[YearMonth],"2024-09")</f>
        <v>0</v>
      </c>
    </row>
    <row r="355" spans="1:98" ht="15" hidden="1" customHeight="1">
      <c r="A355" s="30" t="s">
        <v>13</v>
      </c>
      <c r="B355" s="30" t="s">
        <v>13</v>
      </c>
      <c r="C355" s="30" t="s">
        <v>1794</v>
      </c>
      <c r="D355" s="50"/>
      <c r="E355" s="48" t="s">
        <v>2126</v>
      </c>
      <c r="F355" s="57" t="s">
        <v>2126</v>
      </c>
      <c r="G355" s="64" t="s">
        <v>822</v>
      </c>
      <c r="H355" s="50" t="s">
        <v>395</v>
      </c>
      <c r="I355" s="30" t="s">
        <v>361</v>
      </c>
      <c r="J355" s="30" t="s">
        <v>396</v>
      </c>
      <c r="K355" s="62">
        <v>1749804.22</v>
      </c>
      <c r="L355" s="30"/>
      <c r="M355" s="86">
        <v>44965</v>
      </c>
      <c r="N355" s="87" t="s">
        <v>2132</v>
      </c>
      <c r="O355" s="88" t="s">
        <v>2104</v>
      </c>
      <c r="P35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1749804</v>
      </c>
      <c r="Q35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1749804</v>
      </c>
      <c r="R35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1749804</v>
      </c>
      <c r="S355" s="72">
        <f>IF(AR_725[[#This Row],[PO Amount]]=0,1,AR_725[[#This Row],[Total AR (Sent)]]/AR_725[[#This Row],[PO Amount]])</f>
        <v>0.99999987427164849</v>
      </c>
      <c r="T355" s="75">
        <f>AR_725[[#This Row],[PO Amount]]-AR_725[[#This Row],[Total AR (Sent)]]</f>
        <v>0.21999999997206032</v>
      </c>
      <c r="U355" s="40"/>
      <c r="V355" s="40"/>
      <c r="W355" s="46"/>
      <c r="X355" s="46"/>
      <c r="Y355" s="46"/>
      <c r="Z355" s="46"/>
      <c r="AA355" s="46"/>
      <c r="AB355" s="40"/>
      <c r="AC355" s="40"/>
      <c r="AD355" s="40"/>
      <c r="AE355" s="46"/>
      <c r="AF355" s="46"/>
      <c r="AG355" s="40"/>
      <c r="AH355" s="46"/>
      <c r="AI355" s="40"/>
      <c r="AJ355" s="41"/>
      <c r="AK355" s="40"/>
      <c r="AL355" s="46"/>
      <c r="AM355" s="40"/>
      <c r="AN355" s="46"/>
      <c r="AO355" s="40"/>
      <c r="AP355" s="46"/>
      <c r="AQ355" s="40"/>
      <c r="AR355" s="82"/>
      <c r="AS355" s="40"/>
      <c r="AT355" s="83"/>
      <c r="AU355" s="40"/>
      <c r="AV355" s="83"/>
      <c r="AW355" s="40"/>
      <c r="AX355" s="83"/>
      <c r="AY355" s="34"/>
      <c r="AZ355" s="83"/>
      <c r="BA355" s="41"/>
      <c r="BB355" s="83"/>
      <c r="BC355" s="34"/>
      <c r="BD355" s="41"/>
      <c r="BE355" s="41"/>
      <c r="BF355" s="41"/>
      <c r="BG355" s="41"/>
      <c r="BH355" s="41"/>
      <c r="BI355" s="42">
        <v>177829</v>
      </c>
      <c r="BJ355" s="41"/>
      <c r="BK355" s="42">
        <v>347112</v>
      </c>
      <c r="BL355" s="83"/>
      <c r="BM355" s="42">
        <v>306216</v>
      </c>
      <c r="BN355" s="41"/>
      <c r="BO355" s="46"/>
      <c r="BP355" s="41"/>
      <c r="BQ355" s="47">
        <v>767770</v>
      </c>
      <c r="BR355" s="40"/>
      <c r="BS355" s="47">
        <v>150877</v>
      </c>
      <c r="BT355" s="40"/>
      <c r="BU355" s="40"/>
      <c r="BV355" s="40"/>
      <c r="BW355" s="40"/>
      <c r="BX355" s="34"/>
      <c r="BZ355" s="40"/>
      <c r="CA355" s="40"/>
      <c r="CB355" s="34"/>
      <c r="CC355" s="34"/>
      <c r="CD355" s="34"/>
      <c r="CE355" s="34"/>
      <c r="CF355" s="34"/>
      <c r="CG355" s="122"/>
      <c r="CI355" s="122"/>
      <c r="CJ355" s="30"/>
      <c r="CK355" s="122">
        <v>0</v>
      </c>
      <c r="CL355" s="122">
        <v>0</v>
      </c>
      <c r="CM355" s="122">
        <v>0</v>
      </c>
      <c r="CN355" s="122">
        <v>0</v>
      </c>
      <c r="CO355" s="122">
        <f>SUMIFS(BB___HK___AMHS__Others[AR Amount],BB___HK___AMHS__Others[PO No.],AR_725[[#This Row],[tsmc PO '#]],BB___HK___AMHS__Others[Status],"&lt;&gt;Rejected",BB___HK___AMHS__Others[YearMonth],"2024-07")</f>
        <v>0</v>
      </c>
      <c r="CP355" s="122">
        <f>SUMIFS(BB___HK___AMHS__Others[Tax],BB___HK___AMHS__Others[PO No.],AR_725[[#This Row],[tsmc PO '#]],BB___HK___AMHS__Others[Status],"&lt;&gt;Rejected",BB___HK___AMHS__Others[YearMonth],"2024-07")</f>
        <v>0</v>
      </c>
      <c r="CQ355" s="34">
        <f>SUMIFS(BB___HK___AMHS__Others[AR Amount],BB___HK___AMHS__Others[PO No.],AR_725[[#This Row],[tsmc PO '#]],BB___HK___AMHS__Others[Status],"&lt;&gt;Rejected",BB___HK___AMHS__Others[YearMonth],"2024-08")</f>
        <v>0</v>
      </c>
      <c r="CR355" s="44">
        <f>SUMIFS(BB___HK___AMHS__Others[Tax],BB___HK___AMHS__Others[PO No.],AR_725[[#This Row],[tsmc PO '#]],BB___HK___AMHS__Others[Status],"&lt;&gt;Rejected",BB___HK___AMHS__Others[YearMonth],"2024-08")</f>
        <v>0</v>
      </c>
      <c r="CS355" s="62">
        <f>SUMIFS(BB___HK___AMHS__Others[AR Amount],BB___HK___AMHS__Others[PO No.],AR_725[[#This Row],[tsmc PO '#]],BB___HK___AMHS__Others[Status],"&lt;&gt;Rejected",BB___HK___AMHS__Others[YearMonth],"2024-09")</f>
        <v>0</v>
      </c>
      <c r="CT355" s="601">
        <f>SUMIFS(BB___HK___AMHS__Others[Tax],BB___HK___AMHS__Others[PO No.],AR_725[[#This Row],[tsmc PO '#]],BB___HK___AMHS__Others[Status],"&lt;&gt;Rejected",BB___HK___AMHS__Others[YearMonth],"2024-09")</f>
        <v>0</v>
      </c>
    </row>
    <row r="356" spans="1:98" ht="14.1">
      <c r="A356" s="30" t="s">
        <v>13</v>
      </c>
      <c r="B356" s="30" t="s">
        <v>13</v>
      </c>
      <c r="C356" s="30" t="s">
        <v>1794</v>
      </c>
      <c r="D356" s="50"/>
      <c r="E356" s="604" t="s">
        <v>2126</v>
      </c>
      <c r="F356" s="48" t="s">
        <v>2126</v>
      </c>
      <c r="G356" s="64" t="s">
        <v>822</v>
      </c>
      <c r="H356" s="50" t="s">
        <v>502</v>
      </c>
      <c r="I356" s="30" t="s">
        <v>361</v>
      </c>
      <c r="J356" s="30" t="s">
        <v>503</v>
      </c>
      <c r="K356" s="62">
        <v>32050195.780000001</v>
      </c>
      <c r="L356" s="30"/>
      <c r="M356" s="86">
        <v>44965</v>
      </c>
      <c r="N356" s="87" t="s">
        <v>2132</v>
      </c>
      <c r="O356" s="88" t="s">
        <v>2104</v>
      </c>
      <c r="P35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21999801.489999998</v>
      </c>
      <c r="Q35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18285535.469999999</v>
      </c>
      <c r="R35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20789475.669999998</v>
      </c>
      <c r="S356" s="72">
        <f>IF(AR_725[[#This Row],[PO Amount]]=0,1,AR_725[[#This Row],[Total AR (Sent)]]/AR_725[[#This Row],[PO Amount]])</f>
        <v>0.68641707030471055</v>
      </c>
      <c r="T356" s="68">
        <f>AR_725[[#This Row],[PO Amount]]-AR_725[[#This Row],[Total AR (Sent)]]</f>
        <v>10050394.290000003</v>
      </c>
      <c r="U356" s="40"/>
      <c r="V356" s="40"/>
      <c r="W356" s="41"/>
      <c r="X356" s="41"/>
      <c r="Y356" s="41"/>
      <c r="Z356" s="41"/>
      <c r="AA356" s="41"/>
      <c r="AB356" s="40"/>
      <c r="AC356" s="40"/>
      <c r="AD356" s="40"/>
      <c r="AE356" s="41"/>
      <c r="AF356" s="41"/>
      <c r="AG356" s="40"/>
      <c r="AH356" s="41"/>
      <c r="AI356" s="34"/>
      <c r="AJ356" s="41"/>
      <c r="AK356" s="34"/>
      <c r="AL356" s="41"/>
      <c r="AM356" s="40"/>
      <c r="AN356" s="41"/>
      <c r="AO356" s="40"/>
      <c r="AP356" s="41"/>
      <c r="AQ356" s="40"/>
      <c r="AR356" s="82"/>
      <c r="AS356" s="40"/>
      <c r="AT356" s="83"/>
      <c r="AU356" s="40"/>
      <c r="AV356" s="83"/>
      <c r="AW356" s="40"/>
      <c r="AX356" s="83"/>
      <c r="AY356" s="34"/>
      <c r="AZ356" s="83"/>
      <c r="BA356" s="41"/>
      <c r="BB356" s="83"/>
      <c r="BC356" s="34"/>
      <c r="BD356" s="41"/>
      <c r="BE356" s="41"/>
      <c r="BF356" s="41"/>
      <c r="BG356" s="41"/>
      <c r="BH356" s="41"/>
      <c r="BI356" s="41"/>
      <c r="BJ356" s="41"/>
      <c r="BK356" s="41"/>
      <c r="BL356" s="83"/>
      <c r="BM356" s="41"/>
      <c r="BN356" s="41"/>
      <c r="BO356" s="42">
        <v>4162068.28</v>
      </c>
      <c r="BP356" s="41"/>
      <c r="BQ356" s="42">
        <v>1696480.68</v>
      </c>
      <c r="BR356" s="40"/>
      <c r="BS356" s="42">
        <v>4149440.52</v>
      </c>
      <c r="BT356" s="40"/>
      <c r="BU356" s="42">
        <v>4122495.69</v>
      </c>
      <c r="BV356" s="40"/>
      <c r="BW356" s="42">
        <v>1994686.39</v>
      </c>
      <c r="BX356" s="34"/>
      <c r="BY356" s="42">
        <v>381841.85</v>
      </c>
      <c r="BZ356" s="40"/>
      <c r="CA356" s="69">
        <f>1058327.78-1058327.78</f>
        <v>0</v>
      </c>
      <c r="CB356" s="34"/>
      <c r="CC356" s="42">
        <v>1277163</v>
      </c>
      <c r="CD356" s="34"/>
      <c r="CE356" s="42">
        <v>358843.52</v>
      </c>
      <c r="CF356" s="34"/>
      <c r="CG356" s="122">
        <v>142515.54</v>
      </c>
      <c r="CI356" s="122">
        <v>139155.54</v>
      </c>
      <c r="CJ356" s="30"/>
      <c r="CK356" s="122">
        <v>1075150.6599999999</v>
      </c>
      <c r="CL356" s="122">
        <v>0</v>
      </c>
      <c r="CM356" s="122">
        <v>0</v>
      </c>
      <c r="CN356" s="122">
        <v>0</v>
      </c>
      <c r="CO356" s="122">
        <f>SUMIFS(BB___HK___AMHS__Others[AR Amount],BB___HK___AMHS__Others[PO No.],AR_725[[#This Row],[tsmc PO '#]],BB___HK___AMHS__Others[Status],"&lt;&gt;Rejected",BB___HK___AMHS__Others[YearMonth],"2024-07")</f>
        <v>0</v>
      </c>
      <c r="CP356" s="122">
        <f>SUMIFS(BB___HK___AMHS__Others[Tax],BB___HK___AMHS__Others[PO No.],AR_725[[#This Row],[tsmc PO '#]],BB___HK___AMHS__Others[Status],"&lt;&gt;Rejected",BB___HK___AMHS__Others[YearMonth],"2024-07")</f>
        <v>0</v>
      </c>
      <c r="CQ356" s="34">
        <f>SUMIFS(BB___HK___AMHS__Others[AR Amount],BB___HK___AMHS__Others[PO No.],AR_725[[#This Row],[tsmc PO '#]],BB___HK___AMHS__Others[Status],"&lt;&gt;Rejected",BB___HK___AMHS__Others[YearMonth],"2024-08")</f>
        <v>1289634</v>
      </c>
      <c r="CR356" s="44">
        <f>SUMIFS(BB___HK___AMHS__Others[Tax],BB___HK___AMHS__Others[PO No.],AR_725[[#This Row],[tsmc PO '#]],BB___HK___AMHS__Others[Status],"&lt;&gt;Rejected",BB___HK___AMHS__Others[YearMonth],"2024-08")</f>
        <v>0</v>
      </c>
      <c r="CS356" s="62">
        <f>SUMIFS(BB___HK___AMHS__Others[AR Amount],BB___HK___AMHS__Others[PO No.],AR_725[[#This Row],[tsmc PO '#]],BB___HK___AMHS__Others[Status],"&lt;&gt;Rejected",BB___HK___AMHS__Others[YearMonth],"2024-09")</f>
        <v>1210325.82</v>
      </c>
      <c r="CT356" s="601">
        <f>SUMIFS(BB___HK___AMHS__Others[Tax],BB___HK___AMHS__Others[PO No.],AR_725[[#This Row],[tsmc PO '#]],BB___HK___AMHS__Others[Status],"&lt;&gt;Rejected",BB___HK___AMHS__Others[YearMonth],"2024-09")</f>
        <v>0</v>
      </c>
    </row>
    <row r="357" spans="1:98" ht="15" hidden="1" customHeight="1">
      <c r="A357" s="30" t="s">
        <v>13</v>
      </c>
      <c r="B357" s="30" t="s">
        <v>13</v>
      </c>
      <c r="D357" s="50"/>
      <c r="E357" s="50" t="s">
        <v>2206</v>
      </c>
      <c r="F357" s="50"/>
      <c r="G357" s="50" t="s">
        <v>54</v>
      </c>
      <c r="H357" s="50" t="s">
        <v>735</v>
      </c>
      <c r="I357" s="30" t="s">
        <v>537</v>
      </c>
      <c r="J357" s="30" t="s">
        <v>736</v>
      </c>
      <c r="K357" s="62">
        <v>39033874.969999999</v>
      </c>
      <c r="L357" s="30"/>
      <c r="M357" s="50" t="s">
        <v>2368</v>
      </c>
      <c r="N357" s="87"/>
      <c r="O357" s="30" t="s">
        <v>2156</v>
      </c>
      <c r="P35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39033874.969999999</v>
      </c>
      <c r="Q35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39033874.969999999</v>
      </c>
      <c r="R35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39033874.969999999</v>
      </c>
      <c r="S357" s="72">
        <f>IF(AR_725[[#This Row],[PO Amount]]=0,1,AR_725[[#This Row],[Total AR (Sent)]]/AR_725[[#This Row],[PO Amount]])</f>
        <v>1</v>
      </c>
      <c r="T357" s="73">
        <f>AR_725[[#This Row],[PO Amount]]-AR_725[[#This Row],[Total AR (Sent)]]</f>
        <v>0</v>
      </c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34"/>
      <c r="AK357" s="40"/>
      <c r="AL357" s="40"/>
      <c r="AM357" s="40"/>
      <c r="AN357" s="40"/>
      <c r="AO357" s="40"/>
      <c r="AP357" s="40"/>
      <c r="AQ357" s="40"/>
      <c r="AR357" s="102"/>
      <c r="AS357" s="40"/>
      <c r="AT357" s="44"/>
      <c r="AU357" s="34"/>
      <c r="AV357" s="83"/>
      <c r="AW357" s="40"/>
      <c r="AX357" s="44"/>
      <c r="AY357" s="40"/>
      <c r="AZ357" s="44"/>
      <c r="BA357" s="40"/>
      <c r="BB357" s="44"/>
      <c r="BC357" s="40"/>
      <c r="BD357" s="40"/>
      <c r="BE357" s="40"/>
      <c r="BF357" s="40"/>
      <c r="BG357" s="40"/>
      <c r="BH357" s="40"/>
      <c r="BI357" s="40"/>
      <c r="BJ357" s="40"/>
      <c r="BK357" s="40"/>
      <c r="BL357" s="44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Z357" s="34"/>
      <c r="CA357" s="40"/>
      <c r="CB357" s="34"/>
      <c r="CC357" s="42">
        <v>23025366.879999999</v>
      </c>
      <c r="CD357" s="34"/>
      <c r="CE357" s="42">
        <v>12210895.4</v>
      </c>
      <c r="CF357" s="34"/>
      <c r="CG357" s="122">
        <v>3797612.69</v>
      </c>
      <c r="CI357" s="122"/>
      <c r="CJ357" s="30"/>
      <c r="CK357" s="122">
        <v>0</v>
      </c>
      <c r="CL357" s="122">
        <v>0</v>
      </c>
      <c r="CM357" s="122">
        <v>0</v>
      </c>
      <c r="CN357" s="122">
        <v>0</v>
      </c>
      <c r="CO357" s="122">
        <f>SUMIFS(BB___HK___AMHS__Others[AR Amount],BB___HK___AMHS__Others[PO No.],AR_725[[#This Row],[tsmc PO '#]],BB___HK___AMHS__Others[Status],"&lt;&gt;Rejected",BB___HK___AMHS__Others[YearMonth],"2024-07")</f>
        <v>0</v>
      </c>
      <c r="CP357" s="122">
        <f>SUMIFS(BB___HK___AMHS__Others[Tax],BB___HK___AMHS__Others[PO No.],AR_725[[#This Row],[tsmc PO '#]],BB___HK___AMHS__Others[Status],"&lt;&gt;Rejected",BB___HK___AMHS__Others[YearMonth],"2024-07")</f>
        <v>0</v>
      </c>
      <c r="CQ357" s="34">
        <f>SUMIFS(BB___HK___AMHS__Others[AR Amount],BB___HK___AMHS__Others[PO No.],AR_725[[#This Row],[tsmc PO '#]],BB___HK___AMHS__Others[Status],"&lt;&gt;Rejected",BB___HK___AMHS__Others[YearMonth],"2024-08")</f>
        <v>0</v>
      </c>
      <c r="CR357" s="44">
        <f>SUMIFS(BB___HK___AMHS__Others[Tax],BB___HK___AMHS__Others[PO No.],AR_725[[#This Row],[tsmc PO '#]],BB___HK___AMHS__Others[Status],"&lt;&gt;Rejected",BB___HK___AMHS__Others[YearMonth],"2024-08")</f>
        <v>0</v>
      </c>
      <c r="CS357" s="62">
        <f>SUMIFS(BB___HK___AMHS__Others[AR Amount],BB___HK___AMHS__Others[PO No.],AR_725[[#This Row],[tsmc PO '#]],BB___HK___AMHS__Others[Status],"&lt;&gt;Rejected",BB___HK___AMHS__Others[YearMonth],"2024-09")</f>
        <v>0</v>
      </c>
      <c r="CT357" s="601">
        <f>SUMIFS(BB___HK___AMHS__Others[Tax],BB___HK___AMHS__Others[PO No.],AR_725[[#This Row],[tsmc PO '#]],BB___HK___AMHS__Others[Status],"&lt;&gt;Rejected",BB___HK___AMHS__Others[YearMonth],"2024-09")</f>
        <v>0</v>
      </c>
    </row>
    <row r="358" spans="1:98" ht="15" hidden="1" customHeight="1">
      <c r="A358" s="30" t="s">
        <v>13</v>
      </c>
      <c r="B358" s="30" t="s">
        <v>13</v>
      </c>
      <c r="D358" s="50"/>
      <c r="E358" s="50" t="s">
        <v>2206</v>
      </c>
      <c r="F358" s="50"/>
      <c r="G358" s="50" t="s">
        <v>54</v>
      </c>
      <c r="H358" s="50" t="s">
        <v>967</v>
      </c>
      <c r="I358" s="30" t="s">
        <v>537</v>
      </c>
      <c r="J358" s="30" t="s">
        <v>968</v>
      </c>
      <c r="K358" s="62">
        <v>9750000</v>
      </c>
      <c r="L358" s="30"/>
      <c r="M358" s="86" t="s">
        <v>2368</v>
      </c>
      <c r="N358" s="87"/>
      <c r="O358" s="30" t="s">
        <v>2156</v>
      </c>
      <c r="P35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9750000</v>
      </c>
      <c r="Q35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9750000</v>
      </c>
      <c r="R35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9750000</v>
      </c>
      <c r="S358" s="72">
        <f>IF(AR_725[[#This Row],[PO Amount]]=0,1,AR_725[[#This Row],[Total AR (Sent)]]/AR_725[[#This Row],[PO Amount]])</f>
        <v>1</v>
      </c>
      <c r="T358" s="73">
        <f>AR_725[[#This Row],[PO Amount]]-AR_725[[#This Row],[Total AR (Sent)]]</f>
        <v>0</v>
      </c>
      <c r="AR358" s="84"/>
      <c r="AT358" s="79"/>
      <c r="AU358" s="34"/>
      <c r="AV358" s="85"/>
      <c r="AX358" s="79"/>
      <c r="AZ358" s="79"/>
      <c r="BB358" s="79"/>
      <c r="BL358" s="79"/>
      <c r="BY358" s="30"/>
      <c r="BZ358" s="40"/>
      <c r="CG358" s="122">
        <v>9750000</v>
      </c>
      <c r="CI358" s="122"/>
      <c r="CJ358" s="30"/>
      <c r="CK358" s="122">
        <v>0</v>
      </c>
      <c r="CL358" s="122">
        <v>0</v>
      </c>
      <c r="CM358" s="122">
        <v>0</v>
      </c>
      <c r="CN358" s="122">
        <v>0</v>
      </c>
      <c r="CO358" s="122">
        <f>SUMIFS(BB___HK___AMHS__Others[AR Amount],BB___HK___AMHS__Others[PO No.],AR_725[[#This Row],[tsmc PO '#]],BB___HK___AMHS__Others[Status],"&lt;&gt;Rejected",BB___HK___AMHS__Others[YearMonth],"2024-07")</f>
        <v>0</v>
      </c>
      <c r="CP358" s="122">
        <f>SUMIFS(BB___HK___AMHS__Others[Tax],BB___HK___AMHS__Others[PO No.],AR_725[[#This Row],[tsmc PO '#]],BB___HK___AMHS__Others[Status],"&lt;&gt;Rejected",BB___HK___AMHS__Others[YearMonth],"2024-07")</f>
        <v>0</v>
      </c>
      <c r="CQ358" s="34">
        <f>SUMIFS(BB___HK___AMHS__Others[AR Amount],BB___HK___AMHS__Others[PO No.],AR_725[[#This Row],[tsmc PO '#]],BB___HK___AMHS__Others[Status],"&lt;&gt;Rejected",BB___HK___AMHS__Others[YearMonth],"2024-08")</f>
        <v>0</v>
      </c>
      <c r="CR358" s="44">
        <f>SUMIFS(BB___HK___AMHS__Others[Tax],BB___HK___AMHS__Others[PO No.],AR_725[[#This Row],[tsmc PO '#]],BB___HK___AMHS__Others[Status],"&lt;&gt;Rejected",BB___HK___AMHS__Others[YearMonth],"2024-08")</f>
        <v>0</v>
      </c>
      <c r="CS358" s="62">
        <f>SUMIFS(BB___HK___AMHS__Others[AR Amount],BB___HK___AMHS__Others[PO No.],AR_725[[#This Row],[tsmc PO '#]],BB___HK___AMHS__Others[Status],"&lt;&gt;Rejected",BB___HK___AMHS__Others[YearMonth],"2024-09")</f>
        <v>0</v>
      </c>
      <c r="CT358" s="601">
        <f>SUMIFS(BB___HK___AMHS__Others[Tax],BB___HK___AMHS__Others[PO No.],AR_725[[#This Row],[tsmc PO '#]],BB___HK___AMHS__Others[Status],"&lt;&gt;Rejected",BB___HK___AMHS__Others[YearMonth],"2024-09")</f>
        <v>0</v>
      </c>
    </row>
    <row r="359" spans="1:98" ht="15" customHeight="1">
      <c r="A359" s="30" t="s">
        <v>13</v>
      </c>
      <c r="B359" s="30" t="s">
        <v>2369</v>
      </c>
      <c r="D359" s="50"/>
      <c r="E359" s="57" t="s">
        <v>2126</v>
      </c>
      <c r="F359" s="48"/>
      <c r="G359" s="57" t="s">
        <v>54</v>
      </c>
      <c r="H359" s="50" t="s">
        <v>1899</v>
      </c>
      <c r="I359" s="30" t="s">
        <v>537</v>
      </c>
      <c r="J359" s="30" t="s">
        <v>2370</v>
      </c>
      <c r="K359" s="46">
        <v>756.64</v>
      </c>
      <c r="L359" s="30"/>
      <c r="M359" s="86">
        <v>45360</v>
      </c>
      <c r="N359" s="87"/>
      <c r="O359" s="88" t="s">
        <v>2156</v>
      </c>
      <c r="P35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756.64</v>
      </c>
      <c r="Q35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5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59" s="72">
        <f>IF(AR_725[[#This Row],[PO Amount]]=0,1,AR_725[[#This Row],[Total AR (Sent)]]/AR_725[[#This Row],[PO Amount]])</f>
        <v>1</v>
      </c>
      <c r="T359" s="45">
        <f>AR_725[[#This Row],[PO Amount]]-AR_725[[#This Row],[Total AR (Sent)]]</f>
        <v>0</v>
      </c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102"/>
      <c r="AS359" s="40"/>
      <c r="AT359" s="44"/>
      <c r="AU359" s="40"/>
      <c r="AV359" s="44"/>
      <c r="AW359" s="40"/>
      <c r="AX359" s="44"/>
      <c r="AY359" s="40"/>
      <c r="AZ359" s="44"/>
      <c r="BA359" s="40"/>
      <c r="BB359" s="44"/>
      <c r="BC359" s="40"/>
      <c r="BD359" s="40"/>
      <c r="BE359" s="40"/>
      <c r="BF359" s="40"/>
      <c r="BG359" s="40"/>
      <c r="BH359" s="40"/>
      <c r="BI359" s="40"/>
      <c r="BJ359" s="40"/>
      <c r="BK359" s="40"/>
      <c r="BL359" s="44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Z359" s="40"/>
      <c r="CA359" s="40"/>
      <c r="CB359" s="40"/>
      <c r="CC359" s="40"/>
      <c r="CD359" s="34"/>
      <c r="CE359" s="34"/>
      <c r="CF359" s="34"/>
      <c r="CG359" s="122"/>
      <c r="CI359" s="122"/>
      <c r="CJ359" s="30"/>
      <c r="CK359" s="122">
        <v>0</v>
      </c>
      <c r="CL359" s="122">
        <v>0</v>
      </c>
      <c r="CM359" s="122">
        <v>0</v>
      </c>
      <c r="CN359" s="122">
        <v>0</v>
      </c>
      <c r="CO359" s="122">
        <f>SUMIFS(BB___HK___AMHS__Others[AR Amount],BB___HK___AMHS__Others[PO No.],AR_725[[#This Row],[tsmc PO '#]],BB___HK___AMHS__Others[Status],"&lt;&gt;Rejected",BB___HK___AMHS__Others[YearMonth],"2024-07")</f>
        <v>0</v>
      </c>
      <c r="CP359" s="122">
        <f>SUMIFS(BB___HK___AMHS__Others[Tax],BB___HK___AMHS__Others[PO No.],AR_725[[#This Row],[tsmc PO '#]],BB___HK___AMHS__Others[Status],"&lt;&gt;Rejected",BB___HK___AMHS__Others[YearMonth],"2024-07")</f>
        <v>0</v>
      </c>
      <c r="CQ359" s="34">
        <f>SUMIFS(BB___HK___AMHS__Others[AR Amount],BB___HK___AMHS__Others[PO No.],AR_725[[#This Row],[tsmc PO '#]],BB___HK___AMHS__Others[Status],"&lt;&gt;Rejected",BB___HK___AMHS__Others[YearMonth],"2024-08")</f>
        <v>0</v>
      </c>
      <c r="CR359" s="44">
        <f>SUMIFS(BB___HK___AMHS__Others[Tax],BB___HK___AMHS__Others[PO No.],AR_725[[#This Row],[tsmc PO '#]],BB___HK___AMHS__Others[Status],"&lt;&gt;Rejected",BB___HK___AMHS__Others[YearMonth],"2024-08")</f>
        <v>0</v>
      </c>
      <c r="CS359" s="62">
        <f>SUMIFS(BB___HK___AMHS__Others[AR Amount],BB___HK___AMHS__Others[PO No.],AR_725[[#This Row],[tsmc PO '#]],BB___HK___AMHS__Others[Status],"&lt;&gt;Rejected",BB___HK___AMHS__Others[YearMonth],"2024-09")</f>
        <v>756.64</v>
      </c>
      <c r="CT359" s="601">
        <f>SUMIFS(BB___HK___AMHS__Others[Tax],BB___HK___AMHS__Others[PO No.],AR_725[[#This Row],[tsmc PO '#]],BB___HK___AMHS__Others[Status],"&lt;&gt;Rejected",BB___HK___AMHS__Others[YearMonth],"2024-09")</f>
        <v>0</v>
      </c>
    </row>
    <row r="360" spans="1:98" ht="15" customHeight="1">
      <c r="A360" s="30" t="s">
        <v>13</v>
      </c>
      <c r="B360" s="30" t="s">
        <v>2369</v>
      </c>
      <c r="D360" s="50"/>
      <c r="E360" s="57" t="s">
        <v>2126</v>
      </c>
      <c r="F360" s="48"/>
      <c r="G360" s="57" t="s">
        <v>54</v>
      </c>
      <c r="H360" s="50" t="s">
        <v>1902</v>
      </c>
      <c r="I360" s="30" t="s">
        <v>537</v>
      </c>
      <c r="J360" s="30" t="s">
        <v>2371</v>
      </c>
      <c r="K360" s="46">
        <v>2082.2199999999998</v>
      </c>
      <c r="L360" s="30"/>
      <c r="M360" s="86">
        <v>45360</v>
      </c>
      <c r="N360" s="87"/>
      <c r="O360" s="88" t="s">
        <v>2156</v>
      </c>
      <c r="P36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2082.2199999999998</v>
      </c>
      <c r="Q36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6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60" s="72">
        <f>IF(AR_725[[#This Row],[PO Amount]]=0,1,AR_725[[#This Row],[Total AR (Sent)]]/AR_725[[#This Row],[PO Amount]])</f>
        <v>1</v>
      </c>
      <c r="T360" s="45">
        <f>AR_725[[#This Row],[PO Amount]]-AR_725[[#This Row],[Total AR (Sent)]]</f>
        <v>0</v>
      </c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102"/>
      <c r="AS360" s="40"/>
      <c r="AT360" s="44"/>
      <c r="AU360" s="40"/>
      <c r="AV360" s="44"/>
      <c r="AW360" s="40"/>
      <c r="AX360" s="44"/>
      <c r="AY360" s="40"/>
      <c r="AZ360" s="44"/>
      <c r="BA360" s="40"/>
      <c r="BB360" s="44"/>
      <c r="BC360" s="40"/>
      <c r="BD360" s="40"/>
      <c r="BE360" s="40"/>
      <c r="BF360" s="40"/>
      <c r="BG360" s="40"/>
      <c r="BH360" s="40"/>
      <c r="BI360" s="40"/>
      <c r="BJ360" s="40"/>
      <c r="BK360" s="40"/>
      <c r="BL360" s="44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Z360" s="40"/>
      <c r="CA360" s="40"/>
      <c r="CB360" s="40"/>
      <c r="CC360" s="40"/>
      <c r="CD360" s="34"/>
      <c r="CE360" s="34"/>
      <c r="CF360" s="34"/>
      <c r="CG360" s="122"/>
      <c r="CI360" s="122"/>
      <c r="CJ360" s="30"/>
      <c r="CK360" s="122">
        <v>0</v>
      </c>
      <c r="CL360" s="122">
        <v>0</v>
      </c>
      <c r="CM360" s="122">
        <v>0</v>
      </c>
      <c r="CN360" s="122">
        <v>0</v>
      </c>
      <c r="CO360" s="122">
        <f>SUMIFS(BB___HK___AMHS__Others[AR Amount],BB___HK___AMHS__Others[PO No.],AR_725[[#This Row],[tsmc PO '#]],BB___HK___AMHS__Others[Status],"&lt;&gt;Rejected",BB___HK___AMHS__Others[YearMonth],"2024-07")</f>
        <v>0</v>
      </c>
      <c r="CP360" s="122">
        <f>SUMIFS(BB___HK___AMHS__Others[Tax],BB___HK___AMHS__Others[PO No.],AR_725[[#This Row],[tsmc PO '#]],BB___HK___AMHS__Others[Status],"&lt;&gt;Rejected",BB___HK___AMHS__Others[YearMonth],"2024-07")</f>
        <v>0</v>
      </c>
      <c r="CQ360" s="34">
        <f>SUMIFS(BB___HK___AMHS__Others[AR Amount],BB___HK___AMHS__Others[PO No.],AR_725[[#This Row],[tsmc PO '#]],BB___HK___AMHS__Others[Status],"&lt;&gt;Rejected",BB___HK___AMHS__Others[YearMonth],"2024-08")</f>
        <v>0</v>
      </c>
      <c r="CR360" s="44">
        <f>SUMIFS(BB___HK___AMHS__Others[Tax],BB___HK___AMHS__Others[PO No.],AR_725[[#This Row],[tsmc PO '#]],BB___HK___AMHS__Others[Status],"&lt;&gt;Rejected",BB___HK___AMHS__Others[YearMonth],"2024-08")</f>
        <v>0</v>
      </c>
      <c r="CS360" s="62">
        <f>SUMIFS(BB___HK___AMHS__Others[AR Amount],BB___HK___AMHS__Others[PO No.],AR_725[[#This Row],[tsmc PO '#]],BB___HK___AMHS__Others[Status],"&lt;&gt;Rejected",BB___HK___AMHS__Others[YearMonth],"2024-09")</f>
        <v>2082.2199999999998</v>
      </c>
      <c r="CT360" s="601">
        <f>SUMIFS(BB___HK___AMHS__Others[Tax],BB___HK___AMHS__Others[PO No.],AR_725[[#This Row],[tsmc PO '#]],BB___HK___AMHS__Others[Status],"&lt;&gt;Rejected",BB___HK___AMHS__Others[YearMonth],"2024-09")</f>
        <v>0</v>
      </c>
    </row>
    <row r="361" spans="1:98" ht="15" hidden="1" customHeight="1">
      <c r="A361" s="30" t="s">
        <v>13</v>
      </c>
      <c r="B361" s="30" t="s">
        <v>13</v>
      </c>
      <c r="D361" s="50"/>
      <c r="E361" s="50" t="s">
        <v>2206</v>
      </c>
      <c r="F361" s="50"/>
      <c r="G361" s="50" t="s">
        <v>2372</v>
      </c>
      <c r="H361" s="50" t="s">
        <v>1235</v>
      </c>
      <c r="I361" s="30" t="s">
        <v>537</v>
      </c>
      <c r="J361" s="30" t="s">
        <v>1236</v>
      </c>
      <c r="K361" s="62">
        <v>11494921.939999999</v>
      </c>
      <c r="L361" s="30"/>
      <c r="M361" s="50" t="s">
        <v>2373</v>
      </c>
      <c r="N361" s="87"/>
      <c r="O361" s="30" t="s">
        <v>2156</v>
      </c>
      <c r="P36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10725019.359999999</v>
      </c>
      <c r="Q36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6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10725019.359999999</v>
      </c>
      <c r="S361" s="72">
        <f>IF(AR_725[[#This Row],[PO Amount]]=0,1,AR_725[[#This Row],[Total AR (Sent)]]/AR_725[[#This Row],[PO Amount]])</f>
        <v>0.93302237422588363</v>
      </c>
      <c r="T361" s="73">
        <f>AR_725[[#This Row],[PO Amount]]-AR_725[[#This Row],[Total AR (Sent)]]</f>
        <v>769902.58000000007</v>
      </c>
      <c r="AR361" s="84"/>
      <c r="AT361" s="79"/>
      <c r="AU361" s="34"/>
      <c r="AV361" s="85"/>
      <c r="AX361" s="79"/>
      <c r="AZ361" s="79"/>
      <c r="BB361" s="79"/>
      <c r="BL361" s="79"/>
      <c r="BY361" s="30"/>
      <c r="BZ361" s="40"/>
      <c r="CG361" s="122"/>
      <c r="CI361" s="117">
        <v>10725019.359999999</v>
      </c>
      <c r="CJ361" s="30"/>
      <c r="CK361" s="122">
        <v>0</v>
      </c>
      <c r="CL361" s="122">
        <v>0</v>
      </c>
      <c r="CM361" s="122">
        <v>0</v>
      </c>
      <c r="CN361" s="122">
        <v>0</v>
      </c>
      <c r="CO361" s="122">
        <f>SUMIFS(BB___HK___AMHS__Others[AR Amount],BB___HK___AMHS__Others[PO No.],AR_725[[#This Row],[tsmc PO '#]],BB___HK___AMHS__Others[Status],"&lt;&gt;Rejected",BB___HK___AMHS__Others[YearMonth],"2024-07")</f>
        <v>0</v>
      </c>
      <c r="CP361" s="122">
        <f>SUMIFS(BB___HK___AMHS__Others[Tax],BB___HK___AMHS__Others[PO No.],AR_725[[#This Row],[tsmc PO '#]],BB___HK___AMHS__Others[Status],"&lt;&gt;Rejected",BB___HK___AMHS__Others[YearMonth],"2024-07")</f>
        <v>0</v>
      </c>
      <c r="CQ361" s="34">
        <f>SUMIFS(BB___HK___AMHS__Others[AR Amount],BB___HK___AMHS__Others[PO No.],AR_725[[#This Row],[tsmc PO '#]],BB___HK___AMHS__Others[Status],"&lt;&gt;Rejected",BB___HK___AMHS__Others[YearMonth],"2024-08")</f>
        <v>0</v>
      </c>
      <c r="CR361" s="44">
        <f>SUMIFS(BB___HK___AMHS__Others[Tax],BB___HK___AMHS__Others[PO No.],AR_725[[#This Row],[tsmc PO '#]],BB___HK___AMHS__Others[Status],"&lt;&gt;Rejected",BB___HK___AMHS__Others[YearMonth],"2024-08")</f>
        <v>0</v>
      </c>
      <c r="CS361" s="62">
        <f>SUMIFS(BB___HK___AMHS__Others[AR Amount],BB___HK___AMHS__Others[PO No.],AR_725[[#This Row],[tsmc PO '#]],BB___HK___AMHS__Others[Status],"&lt;&gt;Rejected",BB___HK___AMHS__Others[YearMonth],"2024-09")</f>
        <v>0</v>
      </c>
      <c r="CT361" s="601">
        <f>SUMIFS(BB___HK___AMHS__Others[Tax],BB___HK___AMHS__Others[PO No.],AR_725[[#This Row],[tsmc PO '#]],BB___HK___AMHS__Others[Status],"&lt;&gt;Rejected",BB___HK___AMHS__Others[YearMonth],"2024-09")</f>
        <v>0</v>
      </c>
    </row>
    <row r="362" spans="1:98" ht="15" hidden="1" customHeight="1">
      <c r="A362" s="30" t="s">
        <v>13</v>
      </c>
      <c r="B362" s="30" t="s">
        <v>13</v>
      </c>
      <c r="D362" s="50"/>
      <c r="E362" s="50" t="s">
        <v>2206</v>
      </c>
      <c r="F362" s="50"/>
      <c r="G362" s="50" t="s">
        <v>2372</v>
      </c>
      <c r="H362" s="50" t="s">
        <v>1238</v>
      </c>
      <c r="I362" s="30" t="s">
        <v>537</v>
      </c>
      <c r="J362" s="30" t="s">
        <v>1239</v>
      </c>
      <c r="K362" s="62">
        <v>1500000</v>
      </c>
      <c r="L362" s="30"/>
      <c r="M362" s="50" t="s">
        <v>2373</v>
      </c>
      <c r="N362" s="87"/>
      <c r="O362" s="30" t="s">
        <v>2156</v>
      </c>
      <c r="P36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1500000</v>
      </c>
      <c r="Q36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6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1500000</v>
      </c>
      <c r="S362" s="72">
        <f>IF(AR_725[[#This Row],[PO Amount]]=0,1,AR_725[[#This Row],[Total AR (Sent)]]/AR_725[[#This Row],[PO Amount]])</f>
        <v>1</v>
      </c>
      <c r="T362" s="73">
        <f>AR_725[[#This Row],[PO Amount]]-AR_725[[#This Row],[Total AR (Sent)]]</f>
        <v>0</v>
      </c>
      <c r="AR362" s="84"/>
      <c r="AT362" s="79"/>
      <c r="AU362" s="34"/>
      <c r="AV362" s="85"/>
      <c r="AX362" s="79"/>
      <c r="AZ362" s="79"/>
      <c r="BB362" s="79"/>
      <c r="BL362" s="79"/>
      <c r="BY362" s="30"/>
      <c r="BZ362" s="40"/>
      <c r="CG362" s="122"/>
      <c r="CI362" s="117">
        <v>1500000</v>
      </c>
      <c r="CJ362" s="30"/>
      <c r="CK362" s="122">
        <v>0</v>
      </c>
      <c r="CL362" s="122">
        <v>0</v>
      </c>
      <c r="CM362" s="122">
        <v>0</v>
      </c>
      <c r="CN362" s="122">
        <v>0</v>
      </c>
      <c r="CO362" s="122">
        <f>SUMIFS(BB___HK___AMHS__Others[AR Amount],BB___HK___AMHS__Others[PO No.],AR_725[[#This Row],[tsmc PO '#]],BB___HK___AMHS__Others[Status],"&lt;&gt;Rejected",BB___HK___AMHS__Others[YearMonth],"2024-07")</f>
        <v>0</v>
      </c>
      <c r="CP362" s="122">
        <f>SUMIFS(BB___HK___AMHS__Others[Tax],BB___HK___AMHS__Others[PO No.],AR_725[[#This Row],[tsmc PO '#]],BB___HK___AMHS__Others[Status],"&lt;&gt;Rejected",BB___HK___AMHS__Others[YearMonth],"2024-07")</f>
        <v>0</v>
      </c>
      <c r="CQ362" s="34">
        <f>SUMIFS(BB___HK___AMHS__Others[AR Amount],BB___HK___AMHS__Others[PO No.],AR_725[[#This Row],[tsmc PO '#]],BB___HK___AMHS__Others[Status],"&lt;&gt;Rejected",BB___HK___AMHS__Others[YearMonth],"2024-08")</f>
        <v>0</v>
      </c>
      <c r="CR362" s="44">
        <f>SUMIFS(BB___HK___AMHS__Others[Tax],BB___HK___AMHS__Others[PO No.],AR_725[[#This Row],[tsmc PO '#]],BB___HK___AMHS__Others[Status],"&lt;&gt;Rejected",BB___HK___AMHS__Others[YearMonth],"2024-08")</f>
        <v>0</v>
      </c>
      <c r="CS362" s="62">
        <f>SUMIFS(BB___HK___AMHS__Others[AR Amount],BB___HK___AMHS__Others[PO No.],AR_725[[#This Row],[tsmc PO '#]],BB___HK___AMHS__Others[Status],"&lt;&gt;Rejected",BB___HK___AMHS__Others[YearMonth],"2024-09")</f>
        <v>0</v>
      </c>
      <c r="CT362" s="601">
        <f>SUMIFS(BB___HK___AMHS__Others[Tax],BB___HK___AMHS__Others[PO No.],AR_725[[#This Row],[tsmc PO '#]],BB___HK___AMHS__Others[Status],"&lt;&gt;Rejected",BB___HK___AMHS__Others[YearMonth],"2024-09")</f>
        <v>0</v>
      </c>
    </row>
    <row r="363" spans="1:98" ht="15" hidden="1" customHeight="1">
      <c r="A363" s="30" t="s">
        <v>13</v>
      </c>
      <c r="B363" s="30" t="s">
        <v>13</v>
      </c>
      <c r="D363" s="50"/>
      <c r="E363" s="50" t="s">
        <v>2126</v>
      </c>
      <c r="F363" s="50"/>
      <c r="G363" s="50" t="s">
        <v>2266</v>
      </c>
      <c r="H363" s="50" t="s">
        <v>2374</v>
      </c>
      <c r="I363" s="30" t="s">
        <v>361</v>
      </c>
      <c r="J363" s="30" t="s">
        <v>2375</v>
      </c>
      <c r="K363" s="40">
        <v>180000</v>
      </c>
      <c r="L363" s="30"/>
      <c r="M363" s="86">
        <v>45428</v>
      </c>
      <c r="N363" s="87"/>
      <c r="O363" s="30" t="s">
        <v>2376</v>
      </c>
      <c r="P36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36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6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63" s="72">
        <f>IF(AR_725[[#This Row],[PO Amount]]=0,1,AR_725[[#This Row],[Total AR (Sent)]]/AR_725[[#This Row],[PO Amount]])</f>
        <v>0</v>
      </c>
      <c r="T363" s="73">
        <f>AR_725[[#This Row],[PO Amount]]-AR_725[[#This Row],[Total AR (Sent)]]</f>
        <v>180000</v>
      </c>
      <c r="AR363" s="84"/>
      <c r="AT363" s="79"/>
      <c r="AU363" s="34"/>
      <c r="AV363" s="85"/>
      <c r="AX363" s="79"/>
      <c r="AZ363" s="79"/>
      <c r="BB363" s="79"/>
      <c r="BL363" s="79"/>
      <c r="BY363" s="30"/>
      <c r="BZ363" s="40"/>
      <c r="CG363" s="122"/>
      <c r="CI363" s="122"/>
      <c r="CJ363" s="30"/>
      <c r="CK363" s="122">
        <v>0</v>
      </c>
      <c r="CL363" s="122">
        <v>0</v>
      </c>
      <c r="CM363" s="122">
        <v>0</v>
      </c>
      <c r="CN363" s="122">
        <v>0</v>
      </c>
      <c r="CO363" s="122">
        <f>SUMIFS(BB___HK___AMHS__Others[AR Amount],BB___HK___AMHS__Others[PO No.],AR_725[[#This Row],[tsmc PO '#]],BB___HK___AMHS__Others[Status],"&lt;&gt;Rejected",BB___HK___AMHS__Others[YearMonth],"2024-07")</f>
        <v>0</v>
      </c>
      <c r="CP363" s="122">
        <f>SUMIFS(BB___HK___AMHS__Others[Tax],BB___HK___AMHS__Others[PO No.],AR_725[[#This Row],[tsmc PO '#]],BB___HK___AMHS__Others[Status],"&lt;&gt;Rejected",BB___HK___AMHS__Others[YearMonth],"2024-07")</f>
        <v>0</v>
      </c>
      <c r="CQ363" s="34">
        <f>SUMIFS(BB___HK___AMHS__Others[AR Amount],BB___HK___AMHS__Others[PO No.],AR_725[[#This Row],[tsmc PO '#]],BB___HK___AMHS__Others[Status],"&lt;&gt;Rejected",BB___HK___AMHS__Others[YearMonth],"2024-08")</f>
        <v>0</v>
      </c>
      <c r="CR363" s="44">
        <f>SUMIFS(BB___HK___AMHS__Others[Tax],BB___HK___AMHS__Others[PO No.],AR_725[[#This Row],[tsmc PO '#]],BB___HK___AMHS__Others[Status],"&lt;&gt;Rejected",BB___HK___AMHS__Others[YearMonth],"2024-08")</f>
        <v>0</v>
      </c>
      <c r="CS363" s="62">
        <f>SUMIFS(BB___HK___AMHS__Others[AR Amount],BB___HK___AMHS__Others[PO No.],AR_725[[#This Row],[tsmc PO '#]],BB___HK___AMHS__Others[Status],"&lt;&gt;Rejected",BB___HK___AMHS__Others[YearMonth],"2024-09")</f>
        <v>0</v>
      </c>
      <c r="CT363" s="601">
        <f>SUMIFS(BB___HK___AMHS__Others[Tax],BB___HK___AMHS__Others[PO No.],AR_725[[#This Row],[tsmc PO '#]],BB___HK___AMHS__Others[Status],"&lt;&gt;Rejected",BB___HK___AMHS__Others[YearMonth],"2024-09")</f>
        <v>0</v>
      </c>
    </row>
    <row r="364" spans="1:98" ht="15" hidden="1" customHeight="1">
      <c r="A364" s="30" t="s">
        <v>13</v>
      </c>
      <c r="B364" s="30" t="s">
        <v>13</v>
      </c>
      <c r="D364" s="50"/>
      <c r="E364" s="50" t="s">
        <v>2126</v>
      </c>
      <c r="F364" s="50"/>
      <c r="G364" s="50" t="s">
        <v>2266</v>
      </c>
      <c r="H364" s="50" t="s">
        <v>2377</v>
      </c>
      <c r="I364" s="30" t="s">
        <v>361</v>
      </c>
      <c r="J364" s="30" t="s">
        <v>2378</v>
      </c>
      <c r="K364" s="40">
        <v>213905.04</v>
      </c>
      <c r="L364" s="30"/>
      <c r="M364" s="86">
        <v>45428</v>
      </c>
      <c r="N364" s="87"/>
      <c r="O364" s="30" t="s">
        <v>2267</v>
      </c>
      <c r="P36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36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6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64" s="72">
        <f>IF(AR_725[[#This Row],[PO Amount]]=0,1,AR_725[[#This Row],[Total AR (Sent)]]/AR_725[[#This Row],[PO Amount]])</f>
        <v>0</v>
      </c>
      <c r="T364" s="73">
        <f>AR_725[[#This Row],[PO Amount]]-AR_725[[#This Row],[Total AR (Sent)]]</f>
        <v>213905.04</v>
      </c>
      <c r="AR364" s="84"/>
      <c r="AT364" s="79"/>
      <c r="AU364" s="34"/>
      <c r="AV364" s="85"/>
      <c r="AX364" s="79"/>
      <c r="AZ364" s="79"/>
      <c r="BB364" s="79"/>
      <c r="BL364" s="79"/>
      <c r="BY364" s="30"/>
      <c r="BZ364" s="40"/>
      <c r="CG364" s="122"/>
      <c r="CI364" s="122"/>
      <c r="CJ364" s="30"/>
      <c r="CK364" s="122">
        <v>0</v>
      </c>
      <c r="CL364" s="122">
        <v>0</v>
      </c>
      <c r="CM364" s="122">
        <v>0</v>
      </c>
      <c r="CN364" s="122">
        <v>0</v>
      </c>
      <c r="CO364" s="122">
        <f>SUMIFS(BB___HK___AMHS__Others[AR Amount],BB___HK___AMHS__Others[PO No.],AR_725[[#This Row],[tsmc PO '#]],BB___HK___AMHS__Others[Status],"&lt;&gt;Rejected",BB___HK___AMHS__Others[YearMonth],"2024-07")</f>
        <v>0</v>
      </c>
      <c r="CP364" s="122">
        <f>SUMIFS(BB___HK___AMHS__Others[Tax],BB___HK___AMHS__Others[PO No.],AR_725[[#This Row],[tsmc PO '#]],BB___HK___AMHS__Others[Status],"&lt;&gt;Rejected",BB___HK___AMHS__Others[YearMonth],"2024-07")</f>
        <v>0</v>
      </c>
      <c r="CQ364" s="34">
        <f>SUMIFS(BB___HK___AMHS__Others[AR Amount],BB___HK___AMHS__Others[PO No.],AR_725[[#This Row],[tsmc PO '#]],BB___HK___AMHS__Others[Status],"&lt;&gt;Rejected",BB___HK___AMHS__Others[YearMonth],"2024-08")</f>
        <v>0</v>
      </c>
      <c r="CR364" s="44">
        <f>SUMIFS(BB___HK___AMHS__Others[Tax],BB___HK___AMHS__Others[PO No.],AR_725[[#This Row],[tsmc PO '#]],BB___HK___AMHS__Others[Status],"&lt;&gt;Rejected",BB___HK___AMHS__Others[YearMonth],"2024-08")</f>
        <v>0</v>
      </c>
      <c r="CS364" s="62">
        <f>SUMIFS(BB___HK___AMHS__Others[AR Amount],BB___HK___AMHS__Others[PO No.],AR_725[[#This Row],[tsmc PO '#]],BB___HK___AMHS__Others[Status],"&lt;&gt;Rejected",BB___HK___AMHS__Others[YearMonth],"2024-09")</f>
        <v>0</v>
      </c>
      <c r="CT364" s="601">
        <f>SUMIFS(BB___HK___AMHS__Others[Tax],BB___HK___AMHS__Others[PO No.],AR_725[[#This Row],[tsmc PO '#]],BB___HK___AMHS__Others[Status],"&lt;&gt;Rejected",BB___HK___AMHS__Others[YearMonth],"2024-09")</f>
        <v>0</v>
      </c>
    </row>
    <row r="365" spans="1:98" ht="15" hidden="1" customHeight="1">
      <c r="A365" s="30" t="s">
        <v>13</v>
      </c>
      <c r="B365" s="30" t="s">
        <v>13</v>
      </c>
      <c r="D365" s="50"/>
      <c r="E365" s="50"/>
      <c r="F365" s="50"/>
      <c r="G365" s="50" t="s">
        <v>2270</v>
      </c>
      <c r="H365" s="50" t="s">
        <v>1329</v>
      </c>
      <c r="I365" s="30" t="s">
        <v>537</v>
      </c>
      <c r="J365" s="30" t="s">
        <v>1330</v>
      </c>
      <c r="K365" s="46">
        <v>5454764</v>
      </c>
      <c r="L365" s="30"/>
      <c r="M365" s="86">
        <v>45443</v>
      </c>
      <c r="N365" s="87"/>
      <c r="O365" s="30" t="s">
        <v>2156</v>
      </c>
      <c r="P36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5454764</v>
      </c>
      <c r="Q36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6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5454764</v>
      </c>
      <c r="S365" s="72">
        <f>IF(AR_725[[#This Row],[PO Amount]]=0,1,AR_725[[#This Row],[Total AR (Sent)]]/AR_725[[#This Row],[PO Amount]])</f>
        <v>1</v>
      </c>
      <c r="T365" s="73">
        <f>AR_725[[#This Row],[PO Amount]]-AR_725[[#This Row],[Total AR (Sent)]]</f>
        <v>0</v>
      </c>
      <c r="AR365" s="84"/>
      <c r="AT365" s="79"/>
      <c r="AU365" s="34"/>
      <c r="AV365" s="85"/>
      <c r="AX365" s="79"/>
      <c r="AZ365" s="79"/>
      <c r="BB365" s="79"/>
      <c r="BL365" s="79"/>
      <c r="BY365" s="30"/>
      <c r="BZ365" s="40"/>
      <c r="CG365" s="122"/>
      <c r="CI365" s="122"/>
      <c r="CJ365" s="30"/>
      <c r="CK365" s="122">
        <v>5454764</v>
      </c>
      <c r="CL365" s="122">
        <v>0</v>
      </c>
      <c r="CM365" s="122">
        <v>0</v>
      </c>
      <c r="CN365" s="122">
        <v>0</v>
      </c>
      <c r="CO365" s="122">
        <f>SUMIFS(BB___HK___AMHS__Others[AR Amount],BB___HK___AMHS__Others[PO No.],AR_725[[#This Row],[tsmc PO '#]],BB___HK___AMHS__Others[Status],"&lt;&gt;Rejected",BB___HK___AMHS__Others[YearMonth],"2024-07")</f>
        <v>0</v>
      </c>
      <c r="CP365" s="122">
        <f>SUMIFS(BB___HK___AMHS__Others[Tax],BB___HK___AMHS__Others[PO No.],AR_725[[#This Row],[tsmc PO '#]],BB___HK___AMHS__Others[Status],"&lt;&gt;Rejected",BB___HK___AMHS__Others[YearMonth],"2024-07")</f>
        <v>0</v>
      </c>
      <c r="CQ365" s="34">
        <f>SUMIFS(BB___HK___AMHS__Others[AR Amount],BB___HK___AMHS__Others[PO No.],AR_725[[#This Row],[tsmc PO '#]],BB___HK___AMHS__Others[Status],"&lt;&gt;Rejected",BB___HK___AMHS__Others[YearMonth],"2024-08")</f>
        <v>0</v>
      </c>
      <c r="CR365" s="44">
        <f>SUMIFS(BB___HK___AMHS__Others[Tax],BB___HK___AMHS__Others[PO No.],AR_725[[#This Row],[tsmc PO '#]],BB___HK___AMHS__Others[Status],"&lt;&gt;Rejected",BB___HK___AMHS__Others[YearMonth],"2024-08")</f>
        <v>0</v>
      </c>
      <c r="CS365" s="62">
        <f>SUMIFS(BB___HK___AMHS__Others[AR Amount],BB___HK___AMHS__Others[PO No.],AR_725[[#This Row],[tsmc PO '#]],BB___HK___AMHS__Others[Status],"&lt;&gt;Rejected",BB___HK___AMHS__Others[YearMonth],"2024-09")</f>
        <v>0</v>
      </c>
      <c r="CT365" s="601">
        <f>SUMIFS(BB___HK___AMHS__Others[Tax],BB___HK___AMHS__Others[PO No.],AR_725[[#This Row],[tsmc PO '#]],BB___HK___AMHS__Others[Status],"&lt;&gt;Rejected",BB___HK___AMHS__Others[YearMonth],"2024-09")</f>
        <v>0</v>
      </c>
    </row>
    <row r="366" spans="1:98" ht="15" hidden="1" customHeight="1">
      <c r="A366" s="30" t="s">
        <v>13</v>
      </c>
      <c r="B366" s="30" t="s">
        <v>13</v>
      </c>
      <c r="D366" s="50"/>
      <c r="E366" s="50"/>
      <c r="F366" s="50"/>
      <c r="G366" s="50" t="s">
        <v>2270</v>
      </c>
      <c r="H366" s="50" t="s">
        <v>1333</v>
      </c>
      <c r="I366" s="30" t="s">
        <v>537</v>
      </c>
      <c r="J366" s="30" t="s">
        <v>1334</v>
      </c>
      <c r="K366" s="46">
        <v>700000</v>
      </c>
      <c r="L366" s="30"/>
      <c r="M366" s="86">
        <v>45443</v>
      </c>
      <c r="N366" s="87"/>
      <c r="O366" s="30" t="s">
        <v>2156</v>
      </c>
      <c r="P36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700000</v>
      </c>
      <c r="Q36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6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700000</v>
      </c>
      <c r="S366" s="72">
        <f>IF(AR_725[[#This Row],[PO Amount]]=0,1,AR_725[[#This Row],[Total AR (Sent)]]/AR_725[[#This Row],[PO Amount]])</f>
        <v>1</v>
      </c>
      <c r="T366" s="73">
        <f>AR_725[[#This Row],[PO Amount]]-AR_725[[#This Row],[Total AR (Sent)]]</f>
        <v>0</v>
      </c>
      <c r="AR366" s="84"/>
      <c r="AT366" s="79"/>
      <c r="AU366" s="34"/>
      <c r="AV366" s="85"/>
      <c r="AX366" s="79"/>
      <c r="AZ366" s="79"/>
      <c r="BB366" s="79"/>
      <c r="BL366" s="79"/>
      <c r="BY366" s="30"/>
      <c r="BZ366" s="40"/>
      <c r="CG366" s="122"/>
      <c r="CI366" s="122"/>
      <c r="CJ366" s="30"/>
      <c r="CK366" s="122">
        <v>700000</v>
      </c>
      <c r="CL366" s="122">
        <v>0</v>
      </c>
      <c r="CM366" s="122">
        <v>0</v>
      </c>
      <c r="CN366" s="122">
        <v>0</v>
      </c>
      <c r="CO366" s="122">
        <f>SUMIFS(BB___HK___AMHS__Others[AR Amount],BB___HK___AMHS__Others[PO No.],AR_725[[#This Row],[tsmc PO '#]],BB___HK___AMHS__Others[Status],"&lt;&gt;Rejected",BB___HK___AMHS__Others[YearMonth],"2024-07")</f>
        <v>0</v>
      </c>
      <c r="CP366" s="122">
        <f>SUMIFS(BB___HK___AMHS__Others[Tax],BB___HK___AMHS__Others[PO No.],AR_725[[#This Row],[tsmc PO '#]],BB___HK___AMHS__Others[Status],"&lt;&gt;Rejected",BB___HK___AMHS__Others[YearMonth],"2024-07")</f>
        <v>0</v>
      </c>
      <c r="CQ366" s="34">
        <f>SUMIFS(BB___HK___AMHS__Others[AR Amount],BB___HK___AMHS__Others[PO No.],AR_725[[#This Row],[tsmc PO '#]],BB___HK___AMHS__Others[Status],"&lt;&gt;Rejected",BB___HK___AMHS__Others[YearMonth],"2024-08")</f>
        <v>0</v>
      </c>
      <c r="CR366" s="44">
        <f>SUMIFS(BB___HK___AMHS__Others[Tax],BB___HK___AMHS__Others[PO No.],AR_725[[#This Row],[tsmc PO '#]],BB___HK___AMHS__Others[Status],"&lt;&gt;Rejected",BB___HK___AMHS__Others[YearMonth],"2024-08")</f>
        <v>0</v>
      </c>
      <c r="CS366" s="62">
        <f>SUMIFS(BB___HK___AMHS__Others[AR Amount],BB___HK___AMHS__Others[PO No.],AR_725[[#This Row],[tsmc PO '#]],BB___HK___AMHS__Others[Status],"&lt;&gt;Rejected",BB___HK___AMHS__Others[YearMonth],"2024-09")</f>
        <v>0</v>
      </c>
      <c r="CT366" s="601">
        <f>SUMIFS(BB___HK___AMHS__Others[Tax],BB___HK___AMHS__Others[PO No.],AR_725[[#This Row],[tsmc PO '#]],BB___HK___AMHS__Others[Status],"&lt;&gt;Rejected",BB___HK___AMHS__Others[YearMonth],"2024-09")</f>
        <v>0</v>
      </c>
    </row>
    <row r="367" spans="1:98" ht="15" hidden="1" customHeight="1">
      <c r="A367" s="30" t="s">
        <v>18</v>
      </c>
      <c r="B367" s="30" t="s">
        <v>2041</v>
      </c>
      <c r="D367" s="50"/>
      <c r="E367" s="48" t="s">
        <v>2133</v>
      </c>
      <c r="F367" s="48" t="s">
        <v>2193</v>
      </c>
      <c r="G367" s="48" t="s">
        <v>341</v>
      </c>
      <c r="H367" s="50" t="s">
        <v>280</v>
      </c>
      <c r="I367" s="30" t="s">
        <v>282</v>
      </c>
      <c r="J367" s="30" t="s">
        <v>281</v>
      </c>
      <c r="K367" s="46">
        <v>3533920</v>
      </c>
      <c r="L367" s="30"/>
      <c r="M367" s="86"/>
      <c r="N367" s="87"/>
      <c r="P36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3533920</v>
      </c>
      <c r="Q36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3533920</v>
      </c>
      <c r="R36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3533920</v>
      </c>
      <c r="S367" s="72">
        <f>IF(AR_725[[#This Row],[PO Amount]]=0,1,AR_725[[#This Row],[Total AR (Sent)]]/AR_725[[#This Row],[PO Amount]])</f>
        <v>1</v>
      </c>
      <c r="T367" s="45">
        <f>AR_725[[#This Row],[PO Amount]]-AR_725[[#This Row],[Total AR (Sent)]]</f>
        <v>0</v>
      </c>
      <c r="U367" s="40"/>
      <c r="V367" s="40"/>
      <c r="W367" s="46"/>
      <c r="X367" s="46"/>
      <c r="Y367" s="46"/>
      <c r="Z367" s="46"/>
      <c r="AA367" s="46"/>
      <c r="AB367" s="40"/>
      <c r="AC367" s="40"/>
      <c r="AD367" s="40"/>
      <c r="AE367" s="46"/>
      <c r="AF367" s="46"/>
      <c r="AG367" s="46"/>
      <c r="AH367" s="46"/>
      <c r="AI367" s="34"/>
      <c r="AJ367" s="34"/>
      <c r="AK367" s="34"/>
      <c r="AL367" s="40"/>
      <c r="AM367" s="34"/>
      <c r="AN367" s="40"/>
      <c r="AO367" s="34"/>
      <c r="AP367" s="40"/>
      <c r="AQ367" s="34"/>
      <c r="AR367" s="102"/>
      <c r="AS367" s="34"/>
      <c r="AT367" s="44"/>
      <c r="AU367" s="34"/>
      <c r="AV367" s="83"/>
      <c r="AW367" s="34"/>
      <c r="AX367" s="44"/>
      <c r="AY367" s="34"/>
      <c r="AZ367" s="44"/>
      <c r="BA367" s="42">
        <v>1060176</v>
      </c>
      <c r="BB367" s="44"/>
      <c r="BC367" s="34"/>
      <c r="BD367" s="41"/>
      <c r="BE367" s="42">
        <v>1060176</v>
      </c>
      <c r="BF367" s="34"/>
      <c r="BG367" s="47">
        <v>353392</v>
      </c>
      <c r="BH367" s="34"/>
      <c r="BI367" s="34"/>
      <c r="BJ367" s="34"/>
      <c r="BK367" s="42">
        <v>530088</v>
      </c>
      <c r="BL367" s="44"/>
      <c r="BM367" s="42">
        <v>530088</v>
      </c>
      <c r="BN367" s="34"/>
      <c r="BO367" s="40"/>
      <c r="BP367" s="34"/>
      <c r="BQ367" s="40"/>
      <c r="BR367" s="40"/>
      <c r="BS367" s="40"/>
      <c r="BT367" s="40"/>
      <c r="BU367" s="40"/>
      <c r="BV367" s="40"/>
      <c r="BW367" s="40"/>
      <c r="BX367" s="34"/>
      <c r="BZ367" s="40"/>
      <c r="CA367" s="40"/>
      <c r="CB367" s="34"/>
      <c r="CC367" s="34"/>
      <c r="CD367" s="34"/>
      <c r="CE367" s="34"/>
      <c r="CF367" s="34"/>
      <c r="CG367" s="122"/>
      <c r="CI367" s="122"/>
      <c r="CJ367" s="30"/>
      <c r="CK367" s="122">
        <v>0</v>
      </c>
      <c r="CL367" s="122">
        <v>0</v>
      </c>
      <c r="CM367" s="122">
        <v>0</v>
      </c>
      <c r="CN367" s="122">
        <v>0</v>
      </c>
      <c r="CO367" s="122">
        <f>SUMIFS(BB___HK___AMHS__Others[AR Amount],BB___HK___AMHS__Others[PO No.],AR_725[[#This Row],[tsmc PO '#]],BB___HK___AMHS__Others[Status],"&lt;&gt;Rejected",BB___HK___AMHS__Others[YearMonth],"2024-07")</f>
        <v>0</v>
      </c>
      <c r="CP367" s="122">
        <f>SUMIFS(BB___HK___AMHS__Others[Tax],BB___HK___AMHS__Others[PO No.],AR_725[[#This Row],[tsmc PO '#]],BB___HK___AMHS__Others[Status],"&lt;&gt;Rejected",BB___HK___AMHS__Others[YearMonth],"2024-07")</f>
        <v>0</v>
      </c>
      <c r="CQ367" s="34">
        <f>SUMIFS(BB___HK___AMHS__Others[AR Amount],BB___HK___AMHS__Others[PO No.],AR_725[[#This Row],[tsmc PO '#]],BB___HK___AMHS__Others[Status],"&lt;&gt;Rejected",BB___HK___AMHS__Others[YearMonth],"2024-08")</f>
        <v>0</v>
      </c>
      <c r="CR367" s="44">
        <f>SUMIFS(BB___HK___AMHS__Others[Tax],BB___HK___AMHS__Others[PO No.],AR_725[[#This Row],[tsmc PO '#]],BB___HK___AMHS__Others[Status],"&lt;&gt;Rejected",BB___HK___AMHS__Others[YearMonth],"2024-08")</f>
        <v>0</v>
      </c>
      <c r="CS367" s="62">
        <f>SUMIFS(BB___HK___AMHS__Others[AR Amount],BB___HK___AMHS__Others[PO No.],AR_725[[#This Row],[tsmc PO '#]],BB___HK___AMHS__Others[Status],"&lt;&gt;Rejected",BB___HK___AMHS__Others[YearMonth],"2024-09")</f>
        <v>0</v>
      </c>
      <c r="CT367" s="601">
        <f>SUMIFS(BB___HK___AMHS__Others[Tax],BB___HK___AMHS__Others[PO No.],AR_725[[#This Row],[tsmc PO '#]],BB___HK___AMHS__Others[Status],"&lt;&gt;Rejected",BB___HK___AMHS__Others[YearMonth],"2024-09")</f>
        <v>0</v>
      </c>
    </row>
    <row r="368" spans="1:98" ht="15" hidden="1" customHeight="1">
      <c r="A368" s="30" t="s">
        <v>18</v>
      </c>
      <c r="B368" s="30" t="s">
        <v>2041</v>
      </c>
      <c r="D368" s="50"/>
      <c r="E368" s="57" t="s">
        <v>2379</v>
      </c>
      <c r="F368" s="48"/>
      <c r="G368" s="63" t="s">
        <v>2380</v>
      </c>
      <c r="H368" s="50" t="s">
        <v>2381</v>
      </c>
      <c r="J368" s="30" t="s">
        <v>2382</v>
      </c>
      <c r="K368" s="62">
        <v>108800</v>
      </c>
      <c r="L368" s="30"/>
      <c r="M368" s="86"/>
      <c r="N368" s="87"/>
      <c r="O368" s="88"/>
      <c r="P36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36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6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68" s="72">
        <f>IF(AR_725[[#This Row],[PO Amount]]=0,1,AR_725[[#This Row],[Total AR (Sent)]]/AR_725[[#This Row],[PO Amount]])</f>
        <v>0</v>
      </c>
      <c r="T368" s="75">
        <f>AR_725[[#This Row],[PO Amount]]-AR_725[[#This Row],[Total AR (Sent)]]</f>
        <v>108800</v>
      </c>
      <c r="U368" s="40"/>
      <c r="V368" s="40"/>
      <c r="W368" s="46"/>
      <c r="X368" s="46"/>
      <c r="Y368" s="46"/>
      <c r="Z368" s="46"/>
      <c r="AA368" s="46"/>
      <c r="AB368" s="40"/>
      <c r="AC368" s="40"/>
      <c r="AD368" s="40"/>
      <c r="AE368" s="46"/>
      <c r="AF368" s="46"/>
      <c r="AG368" s="46"/>
      <c r="AH368" s="46"/>
      <c r="AI368" s="46"/>
      <c r="AJ368" s="46"/>
      <c r="AK368" s="46"/>
      <c r="AL368" s="46"/>
      <c r="AM368" s="46"/>
      <c r="AN368" s="46"/>
      <c r="AO368" s="46"/>
      <c r="AP368" s="46"/>
      <c r="AQ368" s="46"/>
      <c r="AR368" s="82"/>
      <c r="AS368" s="41"/>
      <c r="AT368" s="83"/>
      <c r="AU368" s="41"/>
      <c r="AV368" s="83"/>
      <c r="AW368" s="46"/>
      <c r="AX368" s="83"/>
      <c r="AY368" s="41"/>
      <c r="AZ368" s="83"/>
      <c r="BA368" s="41"/>
      <c r="BB368" s="83"/>
      <c r="BC368" s="40"/>
      <c r="BD368" s="41"/>
      <c r="BE368" s="41"/>
      <c r="BF368" s="41"/>
      <c r="BG368" s="46"/>
      <c r="BH368" s="41"/>
      <c r="BI368" s="41"/>
      <c r="BJ368" s="41"/>
      <c r="BK368" s="41"/>
      <c r="BL368" s="83"/>
      <c r="BM368" s="41"/>
      <c r="BN368" s="41"/>
      <c r="BO368" s="46"/>
      <c r="BP368" s="41"/>
      <c r="BQ368" s="46"/>
      <c r="BR368" s="40"/>
      <c r="BS368" s="40"/>
      <c r="BT368" s="40"/>
      <c r="BU368" s="40"/>
      <c r="BV368" s="40"/>
      <c r="BW368" s="40"/>
      <c r="BX368" s="34"/>
      <c r="BZ368" s="40"/>
      <c r="CA368" s="40"/>
      <c r="CB368" s="34"/>
      <c r="CC368" s="34"/>
      <c r="CD368" s="34"/>
      <c r="CE368" s="34"/>
      <c r="CF368" s="34"/>
      <c r="CG368" s="122"/>
      <c r="CI368" s="122"/>
      <c r="CJ368" s="30"/>
      <c r="CK368" s="122">
        <v>0</v>
      </c>
      <c r="CL368" s="122">
        <v>0</v>
      </c>
      <c r="CM368" s="122">
        <v>0</v>
      </c>
      <c r="CN368" s="122">
        <v>0</v>
      </c>
      <c r="CO368" s="122">
        <f>SUMIFS(BB___HK___AMHS__Others[AR Amount],BB___HK___AMHS__Others[PO No.],AR_725[[#This Row],[tsmc PO '#]],BB___HK___AMHS__Others[Status],"&lt;&gt;Rejected",BB___HK___AMHS__Others[YearMonth],"2024-07")</f>
        <v>0</v>
      </c>
      <c r="CP368" s="122">
        <f>SUMIFS(BB___HK___AMHS__Others[Tax],BB___HK___AMHS__Others[PO No.],AR_725[[#This Row],[tsmc PO '#]],BB___HK___AMHS__Others[Status],"&lt;&gt;Rejected",BB___HK___AMHS__Others[YearMonth],"2024-07")</f>
        <v>0</v>
      </c>
      <c r="CQ368" s="34">
        <f>SUMIFS(BB___HK___AMHS__Others[AR Amount],BB___HK___AMHS__Others[PO No.],AR_725[[#This Row],[tsmc PO '#]],BB___HK___AMHS__Others[Status],"&lt;&gt;Rejected",BB___HK___AMHS__Others[YearMonth],"2024-08")</f>
        <v>0</v>
      </c>
      <c r="CR368" s="44">
        <f>SUMIFS(BB___HK___AMHS__Others[Tax],BB___HK___AMHS__Others[PO No.],AR_725[[#This Row],[tsmc PO '#]],BB___HK___AMHS__Others[Status],"&lt;&gt;Rejected",BB___HK___AMHS__Others[YearMonth],"2024-08")</f>
        <v>0</v>
      </c>
      <c r="CS368" s="62">
        <f>SUMIFS(BB___HK___AMHS__Others[AR Amount],BB___HK___AMHS__Others[PO No.],AR_725[[#This Row],[tsmc PO '#]],BB___HK___AMHS__Others[Status],"&lt;&gt;Rejected",BB___HK___AMHS__Others[YearMonth],"2024-09")</f>
        <v>0</v>
      </c>
      <c r="CT368" s="601">
        <f>SUMIFS(BB___HK___AMHS__Others[Tax],BB___HK___AMHS__Others[PO No.],AR_725[[#This Row],[tsmc PO '#]],BB___HK___AMHS__Others[Status],"&lt;&gt;Rejected",BB___HK___AMHS__Others[YearMonth],"2024-09")</f>
        <v>0</v>
      </c>
    </row>
    <row r="369" spans="1:98" ht="15" hidden="1" customHeight="1">
      <c r="A369" s="30" t="s">
        <v>18</v>
      </c>
      <c r="B369" s="30" t="s">
        <v>2041</v>
      </c>
      <c r="D369" s="50"/>
      <c r="E369" s="48"/>
      <c r="F369" s="48"/>
      <c r="G369" s="64" t="s">
        <v>46</v>
      </c>
      <c r="H369" s="50" t="s">
        <v>397</v>
      </c>
      <c r="I369" s="30" t="s">
        <v>400</v>
      </c>
      <c r="J369" s="30" t="s">
        <v>398</v>
      </c>
      <c r="K369" s="46">
        <v>2028</v>
      </c>
      <c r="L369" s="30"/>
      <c r="M369" s="86">
        <v>45006</v>
      </c>
      <c r="N369" s="87"/>
      <c r="O369" s="88"/>
      <c r="P36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2028</v>
      </c>
      <c r="Q36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2028</v>
      </c>
      <c r="R36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2028</v>
      </c>
      <c r="S369" s="72">
        <f>IF(AR_725[[#This Row],[PO Amount]]=0,1,AR_725[[#This Row],[Total AR (Sent)]]/AR_725[[#This Row],[PO Amount]])</f>
        <v>1</v>
      </c>
      <c r="T369" s="75">
        <f>AR_725[[#This Row],[PO Amount]]-AR_725[[#This Row],[Total AR (Sent)]]</f>
        <v>0</v>
      </c>
      <c r="U369" s="40"/>
      <c r="V369" s="40"/>
      <c r="W369" s="46"/>
      <c r="X369" s="46"/>
      <c r="Y369" s="46"/>
      <c r="Z369" s="46"/>
      <c r="AA369" s="46"/>
      <c r="AB369" s="40"/>
      <c r="AC369" s="40"/>
      <c r="AD369" s="40"/>
      <c r="AE369" s="46"/>
      <c r="AF369" s="46"/>
      <c r="AG369" s="46"/>
      <c r="AH369" s="46"/>
      <c r="AI369" s="40"/>
      <c r="AJ369" s="41"/>
      <c r="AK369" s="40"/>
      <c r="AL369" s="46"/>
      <c r="AM369" s="40"/>
      <c r="AN369" s="46"/>
      <c r="AO369" s="40"/>
      <c r="AP369" s="46"/>
      <c r="AQ369" s="40"/>
      <c r="AR369" s="82"/>
      <c r="AS369" s="34"/>
      <c r="AT369" s="83"/>
      <c r="AU369" s="34"/>
      <c r="AV369" s="83"/>
      <c r="AW369" s="40"/>
      <c r="AX369" s="83"/>
      <c r="AY369" s="34"/>
      <c r="AZ369" s="83"/>
      <c r="BA369" s="41"/>
      <c r="BB369" s="83"/>
      <c r="BC369" s="40"/>
      <c r="BD369" s="41"/>
      <c r="BE369" s="46"/>
      <c r="BF369" s="41"/>
      <c r="BG369" s="41"/>
      <c r="BH369" s="41"/>
      <c r="BI369" s="42">
        <v>2028</v>
      </c>
      <c r="BJ369" s="41"/>
      <c r="BK369" s="41"/>
      <c r="BL369" s="83"/>
      <c r="BM369" s="41"/>
      <c r="BN369" s="41"/>
      <c r="BO369" s="46"/>
      <c r="BP369" s="41"/>
      <c r="BQ369" s="46"/>
      <c r="BR369" s="40"/>
      <c r="BS369" s="40"/>
      <c r="BT369" s="40"/>
      <c r="BU369" s="40"/>
      <c r="BV369" s="40"/>
      <c r="BW369" s="40"/>
      <c r="BX369" s="34"/>
      <c r="BZ369" s="40"/>
      <c r="CA369" s="40"/>
      <c r="CB369" s="34"/>
      <c r="CC369" s="34"/>
      <c r="CD369" s="34"/>
      <c r="CE369" s="34"/>
      <c r="CF369" s="34"/>
      <c r="CG369" s="122"/>
      <c r="CI369" s="122"/>
      <c r="CJ369" s="30"/>
      <c r="CK369" s="122">
        <v>0</v>
      </c>
      <c r="CL369" s="122">
        <v>0</v>
      </c>
      <c r="CM369" s="122">
        <v>0</v>
      </c>
      <c r="CN369" s="122">
        <v>0</v>
      </c>
      <c r="CO369" s="122">
        <f>SUMIFS(BB___HK___AMHS__Others[AR Amount],BB___HK___AMHS__Others[PO No.],AR_725[[#This Row],[tsmc PO '#]],BB___HK___AMHS__Others[Status],"&lt;&gt;Rejected",BB___HK___AMHS__Others[YearMonth],"2024-07")</f>
        <v>0</v>
      </c>
      <c r="CP369" s="122">
        <f>SUMIFS(BB___HK___AMHS__Others[Tax],BB___HK___AMHS__Others[PO No.],AR_725[[#This Row],[tsmc PO '#]],BB___HK___AMHS__Others[Status],"&lt;&gt;Rejected",BB___HK___AMHS__Others[YearMonth],"2024-07")</f>
        <v>0</v>
      </c>
      <c r="CQ369" s="34">
        <f>SUMIFS(BB___HK___AMHS__Others[AR Amount],BB___HK___AMHS__Others[PO No.],AR_725[[#This Row],[tsmc PO '#]],BB___HK___AMHS__Others[Status],"&lt;&gt;Rejected",BB___HK___AMHS__Others[YearMonth],"2024-08")</f>
        <v>0</v>
      </c>
      <c r="CR369" s="44">
        <f>SUMIFS(BB___HK___AMHS__Others[Tax],BB___HK___AMHS__Others[PO No.],AR_725[[#This Row],[tsmc PO '#]],BB___HK___AMHS__Others[Status],"&lt;&gt;Rejected",BB___HK___AMHS__Others[YearMonth],"2024-08")</f>
        <v>0</v>
      </c>
      <c r="CS369" s="62">
        <f>SUMIFS(BB___HK___AMHS__Others[AR Amount],BB___HK___AMHS__Others[PO No.],AR_725[[#This Row],[tsmc PO '#]],BB___HK___AMHS__Others[Status],"&lt;&gt;Rejected",BB___HK___AMHS__Others[YearMonth],"2024-09")</f>
        <v>0</v>
      </c>
      <c r="CT369" s="601">
        <f>SUMIFS(BB___HK___AMHS__Others[Tax],BB___HK___AMHS__Others[PO No.],AR_725[[#This Row],[tsmc PO '#]],BB___HK___AMHS__Others[Status],"&lt;&gt;Rejected",BB___HK___AMHS__Others[YearMonth],"2024-09")</f>
        <v>0</v>
      </c>
    </row>
    <row r="370" spans="1:98" ht="15" hidden="1" customHeight="1">
      <c r="A370" s="30" t="s">
        <v>18</v>
      </c>
      <c r="B370" s="30" t="s">
        <v>2041</v>
      </c>
      <c r="D370" s="50"/>
      <c r="E370" s="50" t="s">
        <v>2171</v>
      </c>
      <c r="F370" s="50"/>
      <c r="G370" s="50" t="s">
        <v>46</v>
      </c>
      <c r="H370" s="50" t="s">
        <v>2383</v>
      </c>
      <c r="J370" s="30" t="s">
        <v>2384</v>
      </c>
      <c r="K370" s="40">
        <v>1575</v>
      </c>
      <c r="L370" s="30"/>
      <c r="M370" s="50" t="s">
        <v>2385</v>
      </c>
      <c r="N370" s="87"/>
      <c r="P37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1575</v>
      </c>
      <c r="Q37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1575</v>
      </c>
      <c r="R37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70" s="72">
        <f>IF(AR_725[[#This Row],[PO Amount]]=0,1,AR_725[[#This Row],[Total AR (Sent)]]/AR_725[[#This Row],[PO Amount]])</f>
        <v>1</v>
      </c>
      <c r="T370" s="73">
        <f>AR_725[[#This Row],[PO Amount]]-AR_725[[#This Row],[Total AR (Sent)]]</f>
        <v>0</v>
      </c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34"/>
      <c r="AK370" s="40"/>
      <c r="AL370" s="40"/>
      <c r="AM370" s="40"/>
      <c r="AN370" s="40"/>
      <c r="AO370" s="40"/>
      <c r="AP370" s="40"/>
      <c r="AQ370" s="40"/>
      <c r="AR370" s="102"/>
      <c r="AS370" s="40"/>
      <c r="AT370" s="44"/>
      <c r="AU370" s="40"/>
      <c r="AV370" s="83"/>
      <c r="AW370" s="40"/>
      <c r="AX370" s="44"/>
      <c r="AY370" s="34"/>
      <c r="AZ370" s="44"/>
      <c r="BA370" s="40"/>
      <c r="BB370" s="44"/>
      <c r="BC370" s="40"/>
      <c r="BD370" s="40"/>
      <c r="BE370" s="40"/>
      <c r="BF370" s="40"/>
      <c r="BG370" s="40"/>
      <c r="BH370" s="40"/>
      <c r="BI370" s="40"/>
      <c r="BJ370" s="40"/>
      <c r="BK370" s="40"/>
      <c r="BL370" s="44"/>
      <c r="BM370" s="40"/>
      <c r="BN370" s="40"/>
      <c r="BO370" s="40"/>
      <c r="BP370" s="40"/>
      <c r="BQ370" s="40"/>
      <c r="BR370" s="40"/>
      <c r="BS370" s="40"/>
      <c r="BT370" s="40"/>
      <c r="BU370" s="40"/>
      <c r="BV370" s="40"/>
      <c r="BW370" s="40"/>
      <c r="BX370" s="40"/>
      <c r="BZ370" s="40"/>
      <c r="CA370" s="47">
        <v>1575</v>
      </c>
      <c r="CB370" s="34"/>
      <c r="CC370" s="34"/>
      <c r="CD370" s="34"/>
      <c r="CE370" s="34"/>
      <c r="CF370" s="34"/>
      <c r="CG370" s="122"/>
      <c r="CI370" s="122"/>
      <c r="CJ370" s="30"/>
      <c r="CK370" s="122">
        <v>0</v>
      </c>
      <c r="CL370" s="122">
        <v>0</v>
      </c>
      <c r="CM370" s="122">
        <v>0</v>
      </c>
      <c r="CN370" s="122">
        <v>0</v>
      </c>
      <c r="CO370" s="122">
        <f>SUMIFS(BB___HK___AMHS__Others[AR Amount],BB___HK___AMHS__Others[PO No.],AR_725[[#This Row],[tsmc PO '#]],BB___HK___AMHS__Others[Status],"&lt;&gt;Rejected",BB___HK___AMHS__Others[YearMonth],"2024-07")</f>
        <v>0</v>
      </c>
      <c r="CP370" s="122">
        <f>SUMIFS(BB___HK___AMHS__Others[Tax],BB___HK___AMHS__Others[PO No.],AR_725[[#This Row],[tsmc PO '#]],BB___HK___AMHS__Others[Status],"&lt;&gt;Rejected",BB___HK___AMHS__Others[YearMonth],"2024-07")</f>
        <v>0</v>
      </c>
      <c r="CQ370" s="34">
        <f>SUMIFS(BB___HK___AMHS__Others[AR Amount],BB___HK___AMHS__Others[PO No.],AR_725[[#This Row],[tsmc PO '#]],BB___HK___AMHS__Others[Status],"&lt;&gt;Rejected",BB___HK___AMHS__Others[YearMonth],"2024-08")</f>
        <v>0</v>
      </c>
      <c r="CR370" s="44">
        <f>SUMIFS(BB___HK___AMHS__Others[Tax],BB___HK___AMHS__Others[PO No.],AR_725[[#This Row],[tsmc PO '#]],BB___HK___AMHS__Others[Status],"&lt;&gt;Rejected",BB___HK___AMHS__Others[YearMonth],"2024-08")</f>
        <v>0</v>
      </c>
      <c r="CS370" s="62">
        <f>SUMIFS(BB___HK___AMHS__Others[AR Amount],BB___HK___AMHS__Others[PO No.],AR_725[[#This Row],[tsmc PO '#]],BB___HK___AMHS__Others[Status],"&lt;&gt;Rejected",BB___HK___AMHS__Others[YearMonth],"2024-09")</f>
        <v>0</v>
      </c>
      <c r="CT370" s="601">
        <f>SUMIFS(BB___HK___AMHS__Others[Tax],BB___HK___AMHS__Others[PO No.],AR_725[[#This Row],[tsmc PO '#]],BB___HK___AMHS__Others[Status],"&lt;&gt;Rejected",BB___HK___AMHS__Others[YearMonth],"2024-09")</f>
        <v>0</v>
      </c>
    </row>
    <row r="371" spans="1:98" ht="15" hidden="1" customHeight="1">
      <c r="A371" s="30" t="s">
        <v>18</v>
      </c>
      <c r="B371" s="30" t="s">
        <v>2041</v>
      </c>
      <c r="D371" s="50" t="s">
        <v>1720</v>
      </c>
      <c r="E371" s="48" t="s">
        <v>2060</v>
      </c>
      <c r="F371" s="50"/>
      <c r="G371" s="50" t="s">
        <v>2317</v>
      </c>
      <c r="H371" s="50" t="s">
        <v>2386</v>
      </c>
      <c r="I371" s="30" t="s">
        <v>1405</v>
      </c>
      <c r="J371" s="30" t="s">
        <v>2387</v>
      </c>
      <c r="K371" s="40">
        <v>40977.81</v>
      </c>
      <c r="L371" s="30"/>
      <c r="M371" s="50" t="s">
        <v>2388</v>
      </c>
      <c r="N371" s="87"/>
      <c r="O371" s="100" t="s">
        <v>2389</v>
      </c>
      <c r="P37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37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7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71" s="72">
        <f>IF(AR_725[[#This Row],[PO Amount]]=0,1,AR_725[[#This Row],[Total AR (Sent)]]/AR_725[[#This Row],[PO Amount]])</f>
        <v>0</v>
      </c>
      <c r="T371" s="73">
        <f>AR_725[[#This Row],[PO Amount]]-AR_725[[#This Row],[Total AR (Sent)]]</f>
        <v>40977.81</v>
      </c>
      <c r="AR371" s="84"/>
      <c r="AT371" s="79"/>
      <c r="AU371" s="34"/>
      <c r="AV371" s="85"/>
      <c r="AX371" s="79"/>
      <c r="AZ371" s="79"/>
      <c r="BB371" s="79"/>
      <c r="BL371" s="79"/>
      <c r="BY371" s="30"/>
      <c r="BZ371" s="40"/>
      <c r="CG371" s="122"/>
      <c r="CI371" s="122"/>
      <c r="CJ371" s="30"/>
      <c r="CK371" s="122">
        <v>0</v>
      </c>
      <c r="CL371" s="122">
        <v>0</v>
      </c>
      <c r="CM371" s="122">
        <v>0</v>
      </c>
      <c r="CN371" s="122">
        <v>0</v>
      </c>
      <c r="CO371" s="122">
        <f>SUMIFS(BB___HK___AMHS__Others[AR Amount],BB___HK___AMHS__Others[PO No.],AR_725[[#This Row],[tsmc PO '#]],BB___HK___AMHS__Others[Status],"&lt;&gt;Rejected",BB___HK___AMHS__Others[YearMonth],"2024-07")</f>
        <v>0</v>
      </c>
      <c r="CP371" s="122">
        <f>SUMIFS(BB___HK___AMHS__Others[Tax],BB___HK___AMHS__Others[PO No.],AR_725[[#This Row],[tsmc PO '#]],BB___HK___AMHS__Others[Status],"&lt;&gt;Rejected",BB___HK___AMHS__Others[YearMonth],"2024-07")</f>
        <v>0</v>
      </c>
      <c r="CQ371" s="34">
        <f>SUMIFS(BB___HK___AMHS__Others[AR Amount],BB___HK___AMHS__Others[PO No.],AR_725[[#This Row],[tsmc PO '#]],BB___HK___AMHS__Others[Status],"&lt;&gt;Rejected",BB___HK___AMHS__Others[YearMonth],"2024-08")</f>
        <v>0</v>
      </c>
      <c r="CR371" s="44">
        <f>SUMIFS(BB___HK___AMHS__Others[Tax],BB___HK___AMHS__Others[PO No.],AR_725[[#This Row],[tsmc PO '#]],BB___HK___AMHS__Others[Status],"&lt;&gt;Rejected",BB___HK___AMHS__Others[YearMonth],"2024-08")</f>
        <v>0</v>
      </c>
      <c r="CS371" s="62">
        <f>SUMIFS(BB___HK___AMHS__Others[AR Amount],BB___HK___AMHS__Others[PO No.],AR_725[[#This Row],[tsmc PO '#]],BB___HK___AMHS__Others[Status],"&lt;&gt;Rejected",BB___HK___AMHS__Others[YearMonth],"2024-09")</f>
        <v>0</v>
      </c>
      <c r="CT371" s="601">
        <f>SUMIFS(BB___HK___AMHS__Others[Tax],BB___HK___AMHS__Others[PO No.],AR_725[[#This Row],[tsmc PO '#]],BB___HK___AMHS__Others[Status],"&lt;&gt;Rejected",BB___HK___AMHS__Others[YearMonth],"2024-09")</f>
        <v>0</v>
      </c>
    </row>
    <row r="372" spans="1:98" ht="15" hidden="1" customHeight="1">
      <c r="A372" s="30" t="s">
        <v>9</v>
      </c>
      <c r="B372" s="30" t="s">
        <v>2041</v>
      </c>
      <c r="D372" s="50" t="s">
        <v>1720</v>
      </c>
      <c r="E372" s="57" t="s">
        <v>2095</v>
      </c>
      <c r="F372" s="50"/>
      <c r="G372" s="50" t="s">
        <v>2390</v>
      </c>
      <c r="H372" s="50" t="s">
        <v>1632</v>
      </c>
      <c r="I372" s="30" t="s">
        <v>1636</v>
      </c>
      <c r="J372" s="30" t="s">
        <v>2391</v>
      </c>
      <c r="K372" s="46">
        <v>655000</v>
      </c>
      <c r="M372" s="86">
        <v>45483</v>
      </c>
      <c r="N372" s="87"/>
      <c r="O372" s="30" t="s">
        <v>2392</v>
      </c>
      <c r="P37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655000</v>
      </c>
      <c r="Q37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7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655000</v>
      </c>
      <c r="S372" s="72">
        <f>IF(AR_725[[#This Row],[PO Amount]]=0,1,AR_725[[#This Row],[Total AR (Sent)]]/AR_725[[#This Row],[PO Amount]])</f>
        <v>1</v>
      </c>
      <c r="T372" s="73">
        <f>AR_725[[#This Row],[PO Amount]]-AR_725[[#This Row],[Total AR (Sent)]]</f>
        <v>0</v>
      </c>
      <c r="AR372" s="84"/>
      <c r="AT372" s="44"/>
      <c r="AV372" s="85"/>
      <c r="AX372" s="79"/>
      <c r="AZ372" s="79"/>
      <c r="BB372" s="79"/>
      <c r="BL372" s="79"/>
      <c r="CG372" s="122"/>
      <c r="CI372" s="122"/>
      <c r="CK372" s="122"/>
      <c r="CL372" s="122">
        <v>0</v>
      </c>
      <c r="CM372" s="122">
        <v>0</v>
      </c>
      <c r="CN372" s="122">
        <v>0</v>
      </c>
      <c r="CO372" s="34">
        <f>SUMIFS(BB___HK___AMHS__Others[AR Amount],BB___HK___AMHS__Others[PO No.],AR_725[[#This Row],[tsmc PO '#]],BB___HK___AMHS__Others[Status],"&lt;&gt;Rejected",BB___HK___AMHS__Others[YearMonth],"2024-07")</f>
        <v>0</v>
      </c>
      <c r="CP372" s="122">
        <f>SUMIFS(BB___HK___AMHS__Others[Tax],BB___HK___AMHS__Others[PO No.],AR_725[[#This Row],[tsmc PO '#]],BB___HK___AMHS__Others[Status],"&lt;&gt;Rejected",BB___HK___AMHS__Others[YearMonth],"2024-07")</f>
        <v>0</v>
      </c>
      <c r="CQ372" s="42">
        <f>SUMIFS(BB___HK___AMHS__Others[AR Amount],BB___HK___AMHS__Others[PO No.],AR_725[[#This Row],[tsmc PO '#]],BB___HK___AMHS__Others[Status],"&lt;&gt;Rejected",BB___HK___AMHS__Others[YearMonth],"2024-08")</f>
        <v>655000</v>
      </c>
      <c r="CR372" s="44">
        <f>SUMIFS(BB___HK___AMHS__Others[Tax],BB___HK___AMHS__Others[PO No.],AR_725[[#This Row],[tsmc PO '#]],BB___HK___AMHS__Others[Status],"&lt;&gt;Rejected",BB___HK___AMHS__Others[YearMonth],"2024-08")</f>
        <v>0</v>
      </c>
      <c r="CS372" s="62">
        <f>SUMIFS(BB___HK___AMHS__Others[AR Amount],BB___HK___AMHS__Others[PO No.],AR_725[[#This Row],[tsmc PO '#]],BB___HK___AMHS__Others[Status],"&lt;&gt;Rejected",BB___HK___AMHS__Others[YearMonth],"2024-09")</f>
        <v>0</v>
      </c>
      <c r="CT372" s="601">
        <f>SUMIFS(BB___HK___AMHS__Others[Tax],BB___HK___AMHS__Others[PO No.],AR_725[[#This Row],[tsmc PO '#]],BB___HK___AMHS__Others[Status],"&lt;&gt;Rejected",BB___HK___AMHS__Others[YearMonth],"2024-09")</f>
        <v>0</v>
      </c>
    </row>
    <row r="373" spans="1:98" ht="15" customHeight="1">
      <c r="A373" s="30" t="s">
        <v>9</v>
      </c>
      <c r="B373" s="30" t="s">
        <v>2041</v>
      </c>
      <c r="D373" s="50" t="s">
        <v>1720</v>
      </c>
      <c r="E373" s="50" t="s">
        <v>2393</v>
      </c>
      <c r="F373" s="50"/>
      <c r="G373" s="50" t="s">
        <v>2394</v>
      </c>
      <c r="H373" s="50" t="s">
        <v>1860</v>
      </c>
      <c r="I373" s="30" t="s">
        <v>1405</v>
      </c>
      <c r="J373" s="30" t="s">
        <v>2395</v>
      </c>
      <c r="K373" s="40">
        <v>140434.63</v>
      </c>
      <c r="L373" s="30"/>
      <c r="M373" s="86">
        <v>45420</v>
      </c>
      <c r="N373" s="87"/>
      <c r="P37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140434.63</v>
      </c>
      <c r="Q37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7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140434.63</v>
      </c>
      <c r="S373" s="72">
        <f>IF(AR_725[[#This Row],[PO Amount]]=0,1,AR_725[[#This Row],[Total AR (Sent)]]/AR_725[[#This Row],[PO Amount]])</f>
        <v>1</v>
      </c>
      <c r="T373" s="73">
        <f>AR_725[[#This Row],[PO Amount]]-AR_725[[#This Row],[Total AR (Sent)]]</f>
        <v>0</v>
      </c>
      <c r="AR373" s="84"/>
      <c r="AT373" s="79"/>
      <c r="AU373" s="34"/>
      <c r="AV373" s="85"/>
      <c r="AX373" s="79"/>
      <c r="AZ373" s="79"/>
      <c r="BB373" s="79"/>
      <c r="BL373" s="79"/>
      <c r="BY373" s="30"/>
      <c r="BZ373" s="40"/>
      <c r="CG373" s="122"/>
      <c r="CI373" s="122"/>
      <c r="CJ373" s="30"/>
      <c r="CK373" s="122">
        <v>0</v>
      </c>
      <c r="CL373" s="122">
        <v>0</v>
      </c>
      <c r="CM373" s="122">
        <v>0</v>
      </c>
      <c r="CN373" s="122">
        <v>0</v>
      </c>
      <c r="CO373" s="122">
        <f>SUMIFS(BB___HK___AMHS__Others[AR Amount],BB___HK___AMHS__Others[PO No.],AR_725[[#This Row],[tsmc PO '#]],BB___HK___AMHS__Others[Status],"&lt;&gt;Rejected",BB___HK___AMHS__Others[YearMonth],"2024-07")</f>
        <v>0</v>
      </c>
      <c r="CP373" s="122">
        <f>SUMIFS(BB___HK___AMHS__Others[Tax],BB___HK___AMHS__Others[PO No.],AR_725[[#This Row],[tsmc PO '#]],BB___HK___AMHS__Others[Status],"&lt;&gt;Rejected",BB___HK___AMHS__Others[YearMonth],"2024-07")</f>
        <v>0</v>
      </c>
      <c r="CQ373" s="34">
        <f>SUMIFS(BB___HK___AMHS__Others[AR Amount],BB___HK___AMHS__Others[PO No.],AR_725[[#This Row],[tsmc PO '#]],BB___HK___AMHS__Others[Status],"&lt;&gt;Rejected",BB___HK___AMHS__Others[YearMonth],"2024-08")</f>
        <v>0</v>
      </c>
      <c r="CR373" s="44">
        <f>SUMIFS(BB___HK___AMHS__Others[Tax],BB___HK___AMHS__Others[PO No.],AR_725[[#This Row],[tsmc PO '#]],BB___HK___AMHS__Others[Status],"&lt;&gt;Rejected",BB___HK___AMHS__Others[YearMonth],"2024-08")</f>
        <v>0</v>
      </c>
      <c r="CS373" s="622">
        <v>140434.63</v>
      </c>
      <c r="CT373" s="601">
        <f>SUMIFS(BB___HK___AMHS__Others[Tax],BB___HK___AMHS__Others[PO No.],AR_725[[#This Row],[tsmc PO '#]],BB___HK___AMHS__Others[Status],"&lt;&gt;Rejected",BB___HK___AMHS__Others[YearMonth],"2024-09")</f>
        <v>0</v>
      </c>
    </row>
    <row r="374" spans="1:98" ht="15" hidden="1" customHeight="1">
      <c r="A374" s="30" t="s">
        <v>9</v>
      </c>
      <c r="B374" s="30" t="s">
        <v>2041</v>
      </c>
      <c r="D374" s="50" t="s">
        <v>1720</v>
      </c>
      <c r="E374" s="50"/>
      <c r="F374" s="50"/>
      <c r="G374" s="50" t="s">
        <v>2396</v>
      </c>
      <c r="H374" s="50" t="s">
        <v>1402</v>
      </c>
      <c r="I374" s="30" t="s">
        <v>1405</v>
      </c>
      <c r="J374" s="30" t="s">
        <v>1403</v>
      </c>
      <c r="K374" s="40">
        <v>795000</v>
      </c>
      <c r="L374" s="30"/>
      <c r="M374" s="86">
        <v>45420</v>
      </c>
      <c r="N374" s="87"/>
      <c r="P37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715500</v>
      </c>
      <c r="Q37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74" s="547">
        <f>IF(ISNUMBER(SEARCH("Mura", AR_725[[#This Row],[Sponsor]])), AR_725[[#This Row],[Total AR (Sent)]], SUMIFS(BB___HK___AMHS__Others[AR Amount], BB___HK___AMHS__Others[PO No.], AR_725[[#This Row],[tsmc PO '#]], BB___HK___AMHS__Others[Status], "Paid"))</f>
        <v>715500</v>
      </c>
      <c r="S374" s="72">
        <f>IF(AR_725[[#This Row],[PO Amount]]=0,1,AR_725[[#This Row],[Total AR (Sent)]]/AR_725[[#This Row],[PO Amount]])</f>
        <v>0.9</v>
      </c>
      <c r="T374" s="73">
        <f>AR_725[[#This Row],[PO Amount]]-AR_725[[#This Row],[Total AR (Sent)]]</f>
        <v>79500</v>
      </c>
      <c r="AR374" s="84"/>
      <c r="AT374" s="79"/>
      <c r="AU374" s="34"/>
      <c r="AV374" s="85"/>
      <c r="AX374" s="79"/>
      <c r="AZ374" s="79"/>
      <c r="BB374" s="79"/>
      <c r="BL374" s="79"/>
      <c r="BY374" s="30"/>
      <c r="BZ374" s="40"/>
      <c r="CG374" s="122"/>
      <c r="CI374" s="122"/>
      <c r="CJ374" s="30"/>
      <c r="CK374" s="122">
        <v>0</v>
      </c>
      <c r="CL374" s="122">
        <v>0</v>
      </c>
      <c r="CM374" s="122">
        <v>715500</v>
      </c>
      <c r="CN374" s="122">
        <v>0</v>
      </c>
      <c r="CO374" s="122">
        <f>SUMIFS(BB___HK___AMHS__Others[AR Amount],BB___HK___AMHS__Others[PO No.],AR_725[[#This Row],[tsmc PO '#]],BB___HK___AMHS__Others[Status],"&lt;&gt;Rejected",BB___HK___AMHS__Others[YearMonth],"2024-07")</f>
        <v>0</v>
      </c>
      <c r="CP374" s="122">
        <f>SUMIFS(BB___HK___AMHS__Others[Tax],BB___HK___AMHS__Others[PO No.],AR_725[[#This Row],[tsmc PO '#]],BB___HK___AMHS__Others[Status],"&lt;&gt;Rejected",BB___HK___AMHS__Others[YearMonth],"2024-07")</f>
        <v>0</v>
      </c>
      <c r="CQ374" s="34">
        <f>SUMIFS(BB___HK___AMHS__Others[AR Amount],BB___HK___AMHS__Others[PO No.],AR_725[[#This Row],[tsmc PO '#]],BB___HK___AMHS__Others[Status],"&lt;&gt;Rejected",BB___HK___AMHS__Others[YearMonth],"2024-08")</f>
        <v>0</v>
      </c>
      <c r="CR374" s="44">
        <f>SUMIFS(BB___HK___AMHS__Others[Tax],BB___HK___AMHS__Others[PO No.],AR_725[[#This Row],[tsmc PO '#]],BB___HK___AMHS__Others[Status],"&lt;&gt;Rejected",BB___HK___AMHS__Others[YearMonth],"2024-08")</f>
        <v>0</v>
      </c>
      <c r="CS374" s="62">
        <f>SUMIFS(BB___HK___AMHS__Others[AR Amount],BB___HK___AMHS__Others[PO No.],AR_725[[#This Row],[tsmc PO '#]],BB___HK___AMHS__Others[Status],"&lt;&gt;Rejected",BB___HK___AMHS__Others[YearMonth],"2024-09")</f>
        <v>0</v>
      </c>
      <c r="CT374" s="601">
        <f>SUMIFS(BB___HK___AMHS__Others[Tax],BB___HK___AMHS__Others[PO No.],AR_725[[#This Row],[tsmc PO '#]],BB___HK___AMHS__Others[Status],"&lt;&gt;Rejected",BB___HK___AMHS__Others[YearMonth],"2024-09")</f>
        <v>0</v>
      </c>
    </row>
    <row r="375" spans="1:98" ht="15" hidden="1" customHeight="1">
      <c r="A375" s="30" t="s">
        <v>9</v>
      </c>
      <c r="B375" s="30" t="s">
        <v>2041</v>
      </c>
      <c r="D375" s="50" t="s">
        <v>1720</v>
      </c>
      <c r="E375" s="50" t="s">
        <v>2292</v>
      </c>
      <c r="F375" s="50"/>
      <c r="G375" s="50" t="s">
        <v>2397</v>
      </c>
      <c r="H375" s="50" t="s">
        <v>2398</v>
      </c>
      <c r="I375" s="30" t="s">
        <v>1636</v>
      </c>
      <c r="J375" s="30" t="s">
        <v>2399</v>
      </c>
      <c r="K375" s="62">
        <v>11726.98</v>
      </c>
      <c r="M375" s="50" t="s">
        <v>2400</v>
      </c>
      <c r="N375" s="87"/>
      <c r="O375" s="30" t="s">
        <v>2156</v>
      </c>
      <c r="P37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37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7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75" s="72">
        <f>IF(AR_725[[#This Row],[PO Amount]]=0,1,AR_725[[#This Row],[Total AR (Sent)]]/AR_725[[#This Row],[PO Amount]])</f>
        <v>0</v>
      </c>
      <c r="T375" s="73">
        <f>AR_725[[#This Row],[PO Amount]]-AR_725[[#This Row],[Total AR (Sent)]]</f>
        <v>11726.98</v>
      </c>
      <c r="AR375" s="84"/>
      <c r="AT375" s="44"/>
      <c r="AV375" s="85"/>
      <c r="AX375" s="79"/>
      <c r="AZ375" s="79"/>
      <c r="BB375" s="79"/>
      <c r="BL375" s="79"/>
      <c r="CG375" s="122"/>
      <c r="CI375" s="122"/>
      <c r="CK375" s="122"/>
      <c r="CL375" s="122">
        <v>0</v>
      </c>
      <c r="CM375" s="122">
        <v>0</v>
      </c>
      <c r="CN375" s="122">
        <v>0</v>
      </c>
      <c r="CO375" s="122">
        <f>SUMIFS(BB___HK___AMHS__Others[AR Amount],BB___HK___AMHS__Others[PO No.],AR_725[[#This Row],[tsmc PO '#]],BB___HK___AMHS__Others[Status],"&lt;&gt;Rejected",BB___HK___AMHS__Others[YearMonth],"2024-07")</f>
        <v>0</v>
      </c>
      <c r="CP375" s="122">
        <f>SUMIFS(BB___HK___AMHS__Others[Tax],BB___HK___AMHS__Others[PO No.],AR_725[[#This Row],[tsmc PO '#]],BB___HK___AMHS__Others[Status],"&lt;&gt;Rejected",BB___HK___AMHS__Others[YearMonth],"2024-07")</f>
        <v>0</v>
      </c>
      <c r="CQ375" s="34">
        <f>SUMIFS(BB___HK___AMHS__Others[AR Amount],BB___HK___AMHS__Others[PO No.],AR_725[[#This Row],[tsmc PO '#]],BB___HK___AMHS__Others[Status],"&lt;&gt;Rejected",BB___HK___AMHS__Others[YearMonth],"2024-08")</f>
        <v>0</v>
      </c>
      <c r="CR375" s="44">
        <f>SUMIFS(BB___HK___AMHS__Others[Tax],BB___HK___AMHS__Others[PO No.],AR_725[[#This Row],[tsmc PO '#]],BB___HK___AMHS__Others[Status],"&lt;&gt;Rejected",BB___HK___AMHS__Others[YearMonth],"2024-08")</f>
        <v>0</v>
      </c>
      <c r="CS375" s="62">
        <f>SUMIFS(BB___HK___AMHS__Others[AR Amount],BB___HK___AMHS__Others[PO No.],AR_725[[#This Row],[tsmc PO '#]],BB___HK___AMHS__Others[Status],"&lt;&gt;Rejected",BB___HK___AMHS__Others[YearMonth],"2024-09")</f>
        <v>0</v>
      </c>
      <c r="CT375" s="601">
        <f>SUMIFS(BB___HK___AMHS__Others[Tax],BB___HK___AMHS__Others[PO No.],AR_725[[#This Row],[tsmc PO '#]],BB___HK___AMHS__Others[Status],"&lt;&gt;Rejected",BB___HK___AMHS__Others[YearMonth],"2024-09")</f>
        <v>0</v>
      </c>
    </row>
    <row r="376" spans="1:98" ht="15" hidden="1" customHeight="1">
      <c r="A376" s="30" t="s">
        <v>18</v>
      </c>
      <c r="B376" s="30" t="s">
        <v>2041</v>
      </c>
      <c r="D376" s="50"/>
      <c r="E376" s="48" t="s">
        <v>326</v>
      </c>
      <c r="F376" s="48" t="s">
        <v>2193</v>
      </c>
      <c r="G376" s="64" t="s">
        <v>2321</v>
      </c>
      <c r="H376" s="50" t="s">
        <v>106</v>
      </c>
      <c r="I376" s="30" t="s">
        <v>108</v>
      </c>
      <c r="J376" s="30" t="s">
        <v>107</v>
      </c>
      <c r="K376" s="46">
        <v>50000</v>
      </c>
      <c r="L376" s="30"/>
      <c r="M376" s="86"/>
      <c r="N376" s="87"/>
      <c r="O376" s="88"/>
      <c r="P37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50000</v>
      </c>
      <c r="Q37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50000</v>
      </c>
      <c r="R37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50000</v>
      </c>
      <c r="S376" s="72">
        <f>IF(AR_725[[#This Row],[PO Amount]]=0,1,AR_725[[#This Row],[Total AR (Sent)]]/AR_725[[#This Row],[PO Amount]])</f>
        <v>1</v>
      </c>
      <c r="T376" s="75">
        <f>AR_725[[#This Row],[PO Amount]]-AR_725[[#This Row],[Total AR (Sent)]]</f>
        <v>0</v>
      </c>
      <c r="U376" s="40"/>
      <c r="V376" s="40"/>
      <c r="W376" s="46">
        <v>50000</v>
      </c>
      <c r="X376" s="46"/>
      <c r="Y376" s="46"/>
      <c r="Z376" s="46"/>
      <c r="AA376" s="46"/>
      <c r="AB376" s="40"/>
      <c r="AC376" s="40"/>
      <c r="AD376" s="40"/>
      <c r="AE376" s="46"/>
      <c r="AF376" s="46"/>
      <c r="AG376" s="46"/>
      <c r="AH376" s="46"/>
      <c r="AI376" s="46"/>
      <c r="AJ376" s="41"/>
      <c r="AK376" s="46"/>
      <c r="AL376" s="46"/>
      <c r="AM376" s="46"/>
      <c r="AN376" s="46"/>
      <c r="AO376" s="46"/>
      <c r="AP376" s="46"/>
      <c r="AQ376" s="46"/>
      <c r="AR376" s="82"/>
      <c r="AS376" s="41"/>
      <c r="AT376" s="83"/>
      <c r="AU376" s="41"/>
      <c r="AV376" s="83"/>
      <c r="AW376" s="41"/>
      <c r="AX376" s="83"/>
      <c r="AY376" s="41"/>
      <c r="AZ376" s="83"/>
      <c r="BA376" s="41"/>
      <c r="BB376" s="83"/>
      <c r="BC376" s="40"/>
      <c r="BD376" s="41"/>
      <c r="BE376" s="41"/>
      <c r="BF376" s="41"/>
      <c r="BG376" s="101"/>
      <c r="BH376" s="99"/>
      <c r="BI376" s="99"/>
      <c r="BJ376" s="41"/>
      <c r="BK376" s="41"/>
      <c r="BL376" s="83"/>
      <c r="BM376" s="41"/>
      <c r="BN376" s="41"/>
      <c r="BO376" s="46"/>
      <c r="BP376" s="41"/>
      <c r="BQ376" s="46"/>
      <c r="BR376" s="40"/>
      <c r="BS376" s="40"/>
      <c r="BT376" s="40"/>
      <c r="BU376" s="40"/>
      <c r="BV376" s="40"/>
      <c r="BW376" s="40"/>
      <c r="BX376" s="34"/>
      <c r="BZ376" s="40"/>
      <c r="CA376" s="40"/>
      <c r="CB376" s="34"/>
      <c r="CC376" s="34"/>
      <c r="CD376" s="34"/>
      <c r="CE376" s="34"/>
      <c r="CF376" s="34"/>
      <c r="CG376" s="122"/>
      <c r="CI376" s="122"/>
      <c r="CJ376" s="30"/>
      <c r="CK376" s="122">
        <v>0</v>
      </c>
      <c r="CL376" s="122">
        <v>0</v>
      </c>
      <c r="CM376" s="122">
        <v>0</v>
      </c>
      <c r="CN376" s="122">
        <v>0</v>
      </c>
      <c r="CO376" s="122">
        <f>SUMIFS(BB___HK___AMHS__Others[AR Amount],BB___HK___AMHS__Others[PO No.],AR_725[[#This Row],[tsmc PO '#]],BB___HK___AMHS__Others[Status],"&lt;&gt;Rejected",BB___HK___AMHS__Others[YearMonth],"2024-07")</f>
        <v>0</v>
      </c>
      <c r="CP376" s="122">
        <f>SUMIFS(BB___HK___AMHS__Others[Tax],BB___HK___AMHS__Others[PO No.],AR_725[[#This Row],[tsmc PO '#]],BB___HK___AMHS__Others[Status],"&lt;&gt;Rejected",BB___HK___AMHS__Others[YearMonth],"2024-07")</f>
        <v>0</v>
      </c>
      <c r="CQ376" s="34">
        <f>SUMIFS(BB___HK___AMHS__Others[AR Amount],BB___HK___AMHS__Others[PO No.],AR_725[[#This Row],[tsmc PO '#]],BB___HK___AMHS__Others[Status],"&lt;&gt;Rejected",BB___HK___AMHS__Others[YearMonth],"2024-08")</f>
        <v>0</v>
      </c>
      <c r="CR376" s="44">
        <f>SUMIFS(BB___HK___AMHS__Others[Tax],BB___HK___AMHS__Others[PO No.],AR_725[[#This Row],[tsmc PO '#]],BB___HK___AMHS__Others[Status],"&lt;&gt;Rejected",BB___HK___AMHS__Others[YearMonth],"2024-08")</f>
        <v>0</v>
      </c>
      <c r="CS376" s="62">
        <f>SUMIFS(BB___HK___AMHS__Others[AR Amount],BB___HK___AMHS__Others[PO No.],AR_725[[#This Row],[tsmc PO '#]],BB___HK___AMHS__Others[Status],"&lt;&gt;Rejected",BB___HK___AMHS__Others[YearMonth],"2024-09")</f>
        <v>0</v>
      </c>
      <c r="CT376" s="601">
        <f>SUMIFS(BB___HK___AMHS__Others[Tax],BB___HK___AMHS__Others[PO No.],AR_725[[#This Row],[tsmc PO '#]],BB___HK___AMHS__Others[Status],"&lt;&gt;Rejected",BB___HK___AMHS__Others[YearMonth],"2024-09")</f>
        <v>0</v>
      </c>
    </row>
    <row r="377" spans="1:98" ht="15" hidden="1" customHeight="1">
      <c r="A377" s="30" t="s">
        <v>18</v>
      </c>
      <c r="B377" s="30" t="s">
        <v>2041</v>
      </c>
      <c r="D377" s="50"/>
      <c r="E377" s="48" t="s">
        <v>326</v>
      </c>
      <c r="F377" s="48" t="s">
        <v>2193</v>
      </c>
      <c r="G377" s="64" t="s">
        <v>2321</v>
      </c>
      <c r="H377" s="50" t="s">
        <v>308</v>
      </c>
      <c r="I377" s="30" t="s">
        <v>310</v>
      </c>
      <c r="J377" s="30" t="s">
        <v>309</v>
      </c>
      <c r="K377" s="46">
        <v>66751.38</v>
      </c>
      <c r="L377" s="30"/>
      <c r="M377" s="86"/>
      <c r="N377" s="87"/>
      <c r="O377" s="88"/>
      <c r="P37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66751.759999999995</v>
      </c>
      <c r="Q37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66751.759999999995</v>
      </c>
      <c r="R37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66751.759999999995</v>
      </c>
      <c r="S377" s="72">
        <f>IF(AR_725[[#This Row],[PO Amount]]=0,1,AR_725[[#This Row],[Total AR (Sent)]]/AR_725[[#This Row],[PO Amount]])</f>
        <v>1.0000056927662018</v>
      </c>
      <c r="T377" s="75">
        <f>AR_725[[#This Row],[PO Amount]]-AR_725[[#This Row],[Total AR (Sent)]]</f>
        <v>-0.3799999999901047</v>
      </c>
      <c r="U377" s="40"/>
      <c r="V377" s="40"/>
      <c r="W377" s="46"/>
      <c r="X377" s="46"/>
      <c r="Y377" s="46"/>
      <c r="Z377" s="46"/>
      <c r="AA377" s="46"/>
      <c r="AB377" s="40"/>
      <c r="AC377" s="40"/>
      <c r="AD377" s="40"/>
      <c r="AE377" s="46"/>
      <c r="AF377" s="46"/>
      <c r="AG377" s="46"/>
      <c r="AH377" s="46"/>
      <c r="AI377" s="46"/>
      <c r="AJ377" s="41"/>
      <c r="AK377" s="46"/>
      <c r="AL377" s="46"/>
      <c r="AM377" s="46"/>
      <c r="AN377" s="46"/>
      <c r="AO377" s="46"/>
      <c r="AP377" s="46"/>
      <c r="AQ377" s="46"/>
      <c r="AR377" s="82"/>
      <c r="AS377" s="41"/>
      <c r="AT377" s="83"/>
      <c r="AU377" s="41"/>
      <c r="AV377" s="83"/>
      <c r="AW377" s="41"/>
      <c r="AX377" s="83"/>
      <c r="AY377" s="41"/>
      <c r="AZ377" s="83"/>
      <c r="BA377" s="41"/>
      <c r="BB377" s="83"/>
      <c r="BC377" s="47">
        <f>66116.2+635.56</f>
        <v>66751.759999999995</v>
      </c>
      <c r="BD377" s="41"/>
      <c r="BE377" s="41"/>
      <c r="BF377" s="41"/>
      <c r="BG377" s="101"/>
      <c r="BH377" s="99"/>
      <c r="BI377" s="99"/>
      <c r="BJ377" s="41"/>
      <c r="BK377" s="41"/>
      <c r="BL377" s="83"/>
      <c r="BM377" s="41"/>
      <c r="BN377" s="41"/>
      <c r="BO377" s="46"/>
      <c r="BP377" s="41"/>
      <c r="BQ377" s="46"/>
      <c r="BR377" s="40"/>
      <c r="BS377" s="40"/>
      <c r="BT377" s="40"/>
      <c r="BU377" s="40"/>
      <c r="BV377" s="40"/>
      <c r="BW377" s="40"/>
      <c r="BX377" s="34"/>
      <c r="BZ377" s="40"/>
      <c r="CA377" s="40"/>
      <c r="CB377" s="34"/>
      <c r="CC377" s="34"/>
      <c r="CD377" s="34"/>
      <c r="CE377" s="34"/>
      <c r="CF377" s="34"/>
      <c r="CG377" s="122"/>
      <c r="CI377" s="122"/>
      <c r="CJ377" s="30"/>
      <c r="CK377" s="122">
        <v>0</v>
      </c>
      <c r="CL377" s="122">
        <v>0</v>
      </c>
      <c r="CM377" s="122">
        <v>0</v>
      </c>
      <c r="CN377" s="122">
        <v>0</v>
      </c>
      <c r="CO377" s="122">
        <f>SUMIFS(BB___HK___AMHS__Others[AR Amount],BB___HK___AMHS__Others[PO No.],AR_725[[#This Row],[tsmc PO '#]],BB___HK___AMHS__Others[Status],"&lt;&gt;Rejected",BB___HK___AMHS__Others[YearMonth],"2024-07")</f>
        <v>0</v>
      </c>
      <c r="CP377" s="122">
        <f>SUMIFS(BB___HK___AMHS__Others[Tax],BB___HK___AMHS__Others[PO No.],AR_725[[#This Row],[tsmc PO '#]],BB___HK___AMHS__Others[Status],"&lt;&gt;Rejected",BB___HK___AMHS__Others[YearMonth],"2024-07")</f>
        <v>0</v>
      </c>
      <c r="CQ377" s="34">
        <f>SUMIFS(BB___HK___AMHS__Others[AR Amount],BB___HK___AMHS__Others[PO No.],AR_725[[#This Row],[tsmc PO '#]],BB___HK___AMHS__Others[Status],"&lt;&gt;Rejected",BB___HK___AMHS__Others[YearMonth],"2024-08")</f>
        <v>0</v>
      </c>
      <c r="CR377" s="44">
        <f>SUMIFS(BB___HK___AMHS__Others[Tax],BB___HK___AMHS__Others[PO No.],AR_725[[#This Row],[tsmc PO '#]],BB___HK___AMHS__Others[Status],"&lt;&gt;Rejected",BB___HK___AMHS__Others[YearMonth],"2024-08")</f>
        <v>0</v>
      </c>
      <c r="CS377" s="62">
        <f>SUMIFS(BB___HK___AMHS__Others[AR Amount],BB___HK___AMHS__Others[PO No.],AR_725[[#This Row],[tsmc PO '#]],BB___HK___AMHS__Others[Status],"&lt;&gt;Rejected",BB___HK___AMHS__Others[YearMonth],"2024-09")</f>
        <v>0</v>
      </c>
      <c r="CT377" s="601">
        <f>SUMIFS(BB___HK___AMHS__Others[Tax],BB___HK___AMHS__Others[PO No.],AR_725[[#This Row],[tsmc PO '#]],BB___HK___AMHS__Others[Status],"&lt;&gt;Rejected",BB___HK___AMHS__Others[YearMonth],"2024-09")</f>
        <v>0</v>
      </c>
    </row>
    <row r="378" spans="1:98" ht="15" hidden="1" customHeight="1">
      <c r="A378" s="30" t="s">
        <v>18</v>
      </c>
      <c r="B378" s="30" t="s">
        <v>2041</v>
      </c>
      <c r="D378" s="50"/>
      <c r="E378" s="48" t="s">
        <v>326</v>
      </c>
      <c r="F378" s="48" t="s">
        <v>2193</v>
      </c>
      <c r="G378" s="64" t="s">
        <v>2321</v>
      </c>
      <c r="H378" s="50" t="s">
        <v>374</v>
      </c>
      <c r="I378" s="30" t="s">
        <v>310</v>
      </c>
      <c r="J378" s="30" t="s">
        <v>375</v>
      </c>
      <c r="K378" s="46">
        <v>926.3</v>
      </c>
      <c r="L378" s="30"/>
      <c r="M378" s="86"/>
      <c r="N378" s="87"/>
      <c r="O378" s="88"/>
      <c r="P37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926.3</v>
      </c>
      <c r="Q37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926.3</v>
      </c>
      <c r="R37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926.3</v>
      </c>
      <c r="S378" s="72">
        <f>IF(AR_725[[#This Row],[PO Amount]]=0,1,AR_725[[#This Row],[Total AR (Sent)]]/AR_725[[#This Row],[PO Amount]])</f>
        <v>1</v>
      </c>
      <c r="T378" s="75">
        <f>AR_725[[#This Row],[PO Amount]]-AR_725[[#This Row],[Total AR (Sent)]]</f>
        <v>0</v>
      </c>
      <c r="U378" s="40"/>
      <c r="V378" s="40"/>
      <c r="W378" s="46"/>
      <c r="X378" s="46"/>
      <c r="Y378" s="46"/>
      <c r="Z378" s="46"/>
      <c r="AA378" s="46"/>
      <c r="AB378" s="40"/>
      <c r="AC378" s="40"/>
      <c r="AD378" s="40"/>
      <c r="AE378" s="46"/>
      <c r="AF378" s="46"/>
      <c r="AG378" s="46"/>
      <c r="AH378" s="46"/>
      <c r="AI378" s="46"/>
      <c r="AJ378" s="41"/>
      <c r="AK378" s="46"/>
      <c r="AL378" s="46"/>
      <c r="AM378" s="46"/>
      <c r="AN378" s="46"/>
      <c r="AO378" s="46"/>
      <c r="AP378" s="46"/>
      <c r="AQ378" s="46"/>
      <c r="AR378" s="82"/>
      <c r="AS378" s="41"/>
      <c r="AT378" s="83"/>
      <c r="AU378" s="41"/>
      <c r="AV378" s="83"/>
      <c r="AW378" s="41"/>
      <c r="AX378" s="83"/>
      <c r="AY378" s="41"/>
      <c r="AZ378" s="83"/>
      <c r="BA378" s="41"/>
      <c r="BB378" s="83"/>
      <c r="BC378" s="40"/>
      <c r="BD378" s="41"/>
      <c r="BE378" s="41"/>
      <c r="BF378" s="41"/>
      <c r="BG378" s="47">
        <v>926.3</v>
      </c>
      <c r="BH378" s="99"/>
      <c r="BI378" s="99"/>
      <c r="BJ378" s="41"/>
      <c r="BK378" s="41"/>
      <c r="BL378" s="83"/>
      <c r="BM378" s="41"/>
      <c r="BN378" s="41"/>
      <c r="BO378" s="46"/>
      <c r="BP378" s="41"/>
      <c r="BQ378" s="46"/>
      <c r="BR378" s="40"/>
      <c r="BS378" s="40"/>
      <c r="BT378" s="40"/>
      <c r="BU378" s="40"/>
      <c r="BV378" s="40"/>
      <c r="BW378" s="40"/>
      <c r="BX378" s="34"/>
      <c r="BZ378" s="40"/>
      <c r="CA378" s="40"/>
      <c r="CB378" s="34"/>
      <c r="CC378" s="34"/>
      <c r="CD378" s="34"/>
      <c r="CE378" s="34"/>
      <c r="CF378" s="34"/>
      <c r="CG378" s="122"/>
      <c r="CI378" s="122"/>
      <c r="CJ378" s="30"/>
      <c r="CK378" s="122">
        <v>0</v>
      </c>
      <c r="CL378" s="122">
        <v>0</v>
      </c>
      <c r="CM378" s="122">
        <v>0</v>
      </c>
      <c r="CN378" s="122">
        <v>0</v>
      </c>
      <c r="CO378" s="122">
        <f>SUMIFS(BB___HK___AMHS__Others[AR Amount],BB___HK___AMHS__Others[PO No.],AR_725[[#This Row],[tsmc PO '#]],BB___HK___AMHS__Others[Status],"&lt;&gt;Rejected",BB___HK___AMHS__Others[YearMonth],"2024-07")</f>
        <v>0</v>
      </c>
      <c r="CP378" s="122">
        <f>SUMIFS(BB___HK___AMHS__Others[Tax],BB___HK___AMHS__Others[PO No.],AR_725[[#This Row],[tsmc PO '#]],BB___HK___AMHS__Others[Status],"&lt;&gt;Rejected",BB___HK___AMHS__Others[YearMonth],"2024-07")</f>
        <v>0</v>
      </c>
      <c r="CQ378" s="34">
        <f>SUMIFS(BB___HK___AMHS__Others[AR Amount],BB___HK___AMHS__Others[PO No.],AR_725[[#This Row],[tsmc PO '#]],BB___HK___AMHS__Others[Status],"&lt;&gt;Rejected",BB___HK___AMHS__Others[YearMonth],"2024-08")</f>
        <v>0</v>
      </c>
      <c r="CR378" s="44">
        <f>SUMIFS(BB___HK___AMHS__Others[Tax],BB___HK___AMHS__Others[PO No.],AR_725[[#This Row],[tsmc PO '#]],BB___HK___AMHS__Others[Status],"&lt;&gt;Rejected",BB___HK___AMHS__Others[YearMonth],"2024-08")</f>
        <v>0</v>
      </c>
      <c r="CS378" s="62">
        <f>SUMIFS(BB___HK___AMHS__Others[AR Amount],BB___HK___AMHS__Others[PO No.],AR_725[[#This Row],[tsmc PO '#]],BB___HK___AMHS__Others[Status],"&lt;&gt;Rejected",BB___HK___AMHS__Others[YearMonth],"2024-09")</f>
        <v>0</v>
      </c>
      <c r="CT378" s="601">
        <f>SUMIFS(BB___HK___AMHS__Others[Tax],BB___HK___AMHS__Others[PO No.],AR_725[[#This Row],[tsmc PO '#]],BB___HK___AMHS__Others[Status],"&lt;&gt;Rejected",BB___HK___AMHS__Others[YearMonth],"2024-09")</f>
        <v>0</v>
      </c>
    </row>
    <row r="379" spans="1:98" ht="15" hidden="1" customHeight="1">
      <c r="A379" s="30" t="s">
        <v>18</v>
      </c>
      <c r="B379" s="30" t="s">
        <v>2041</v>
      </c>
      <c r="D379" s="50"/>
      <c r="E379" s="57" t="s">
        <v>326</v>
      </c>
      <c r="F379" s="57"/>
      <c r="G379" s="63" t="s">
        <v>840</v>
      </c>
      <c r="H379" s="50" t="s">
        <v>326</v>
      </c>
      <c r="I379" s="30" t="s">
        <v>332</v>
      </c>
      <c r="J379" s="30" t="s">
        <v>376</v>
      </c>
      <c r="K379" s="46"/>
      <c r="L379" s="30"/>
      <c r="M379" s="86"/>
      <c r="N379" s="87"/>
      <c r="O379" s="88"/>
      <c r="P37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2116491.7600000002</v>
      </c>
      <c r="Q37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2112441.2200000002</v>
      </c>
      <c r="R37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982412.34</v>
      </c>
      <c r="S379" s="72">
        <f>IF(AR_725[[#This Row],[PO Amount]]=0,1,AR_725[[#This Row],[Total AR (Sent)]]/AR_725[[#This Row],[PO Amount]])</f>
        <v>1</v>
      </c>
      <c r="T379" s="75">
        <f>AR_725[[#This Row],[PO Amount]]-AR_725[[#This Row],[Total AR (Sent)]]</f>
        <v>-2116491.7600000002</v>
      </c>
      <c r="U379" s="40"/>
      <c r="V379" s="40"/>
      <c r="W379" s="46"/>
      <c r="X379" s="46"/>
      <c r="Y379" s="46"/>
      <c r="Z379" s="46"/>
      <c r="AA379" s="46"/>
      <c r="AB379" s="40"/>
      <c r="AC379" s="40"/>
      <c r="AD379" s="40"/>
      <c r="AE379" s="46"/>
      <c r="AF379" s="46"/>
      <c r="AG379" s="46"/>
      <c r="AH379" s="46"/>
      <c r="AI379" s="40"/>
      <c r="AJ379" s="41"/>
      <c r="AK379" s="40"/>
      <c r="AL379" s="46"/>
      <c r="AM379" s="40"/>
      <c r="AN379" s="46"/>
      <c r="AO379" s="40"/>
      <c r="AP379" s="46"/>
      <c r="AQ379" s="40"/>
      <c r="AR379" s="82"/>
      <c r="AS379" s="34"/>
      <c r="AT379" s="83"/>
      <c r="AU379" s="34"/>
      <c r="AV379" s="83"/>
      <c r="AW379" s="34"/>
      <c r="AX379" s="83"/>
      <c r="AY379" s="40"/>
      <c r="AZ379" s="83"/>
      <c r="BA379" s="41"/>
      <c r="BB379" s="83"/>
      <c r="BC379" s="40"/>
      <c r="BD379" s="41"/>
      <c r="BE379" s="46"/>
      <c r="BF379" s="41"/>
      <c r="BG379" s="41">
        <v>385510.54</v>
      </c>
      <c r="BH379" s="41"/>
      <c r="BI379" s="41">
        <v>146149.65</v>
      </c>
      <c r="BJ379" s="41"/>
      <c r="BK379" s="40">
        <v>172549.65</v>
      </c>
      <c r="BL379" s="83"/>
      <c r="BM379" s="41">
        <v>146149.65</v>
      </c>
      <c r="BN379" s="41"/>
      <c r="BO379" s="46">
        <v>257691.06</v>
      </c>
      <c r="BP379" s="41"/>
      <c r="BQ379" s="46">
        <v>188152.85</v>
      </c>
      <c r="BR379" s="40"/>
      <c r="BS379" s="40">
        <v>182152.85</v>
      </c>
      <c r="BT379" s="40"/>
      <c r="BU379" s="40">
        <v>247191.06</v>
      </c>
      <c r="BV379" s="40"/>
      <c r="BW379" s="40">
        <v>171952.85</v>
      </c>
      <c r="BX379" s="34"/>
      <c r="BY379" s="40">
        <v>214941.06</v>
      </c>
      <c r="BZ379" s="40"/>
      <c r="CA379" s="40"/>
      <c r="CB379" s="34"/>
      <c r="CC379" s="34"/>
      <c r="CD379" s="34"/>
      <c r="CE379" s="34"/>
      <c r="CF379" s="34"/>
      <c r="CG379" s="122"/>
      <c r="CI379" s="122"/>
      <c r="CJ379" s="30"/>
      <c r="CK379" s="122">
        <v>0</v>
      </c>
      <c r="CL379" s="122">
        <v>0</v>
      </c>
      <c r="CM379" s="122">
        <v>4050.54</v>
      </c>
      <c r="CN379" s="122">
        <v>0</v>
      </c>
      <c r="CO379" s="122">
        <f>SUMIFS(BB___HK___AMHS__Others[AR Amount],BB___HK___AMHS__Others[PO No.],AR_725[[#This Row],[tsmc PO '#]],BB___HK___AMHS__Others[Status],"&lt;&gt;Rejected",BB___HK___AMHS__Others[YearMonth],"2024-07")</f>
        <v>0</v>
      </c>
      <c r="CP379" s="122">
        <f>SUMIFS(BB___HK___AMHS__Others[Tax],BB___HK___AMHS__Others[PO No.],AR_725[[#This Row],[tsmc PO '#]],BB___HK___AMHS__Others[Status],"&lt;&gt;Rejected",BB___HK___AMHS__Others[YearMonth],"2024-07")</f>
        <v>0</v>
      </c>
      <c r="CQ379" s="34">
        <f>SUMIFS(BB___HK___AMHS__Others[AR Amount],BB___HK___AMHS__Others[PO No.],AR_725[[#This Row],[tsmc PO '#]],BB___HK___AMHS__Others[Status],"&lt;&gt;Rejected",BB___HK___AMHS__Others[YearMonth],"2024-08")</f>
        <v>0</v>
      </c>
      <c r="CR379" s="44">
        <f>SUMIFS(BB___HK___AMHS__Others[Tax],BB___HK___AMHS__Others[PO No.],AR_725[[#This Row],[tsmc PO '#]],BB___HK___AMHS__Others[Status],"&lt;&gt;Rejected",BB___HK___AMHS__Others[YearMonth],"2024-08")</f>
        <v>0</v>
      </c>
      <c r="CS379" s="62">
        <f>SUMIFS(BB___HK___AMHS__Others[AR Amount],BB___HK___AMHS__Others[PO No.],AR_725[[#This Row],[tsmc PO '#]],BB___HK___AMHS__Others[Status],"&lt;&gt;Rejected",BB___HK___AMHS__Others[YearMonth],"2024-09")</f>
        <v>0</v>
      </c>
      <c r="CT379" s="601">
        <f>SUMIFS(BB___HK___AMHS__Others[Tax],BB___HK___AMHS__Others[PO No.],AR_725[[#This Row],[tsmc PO '#]],BB___HK___AMHS__Others[Status],"&lt;&gt;Rejected",BB___HK___AMHS__Others[YearMonth],"2024-09")</f>
        <v>0</v>
      </c>
    </row>
    <row r="380" spans="1:98" ht="15" hidden="1" customHeight="1">
      <c r="A380" s="30" t="s">
        <v>8</v>
      </c>
      <c r="B380" s="30" t="s">
        <v>2041</v>
      </c>
      <c r="D380" s="50" t="s">
        <v>8</v>
      </c>
      <c r="E380" s="604" t="s">
        <v>2109</v>
      </c>
      <c r="F380" s="48" t="s">
        <v>2110</v>
      </c>
      <c r="G380" s="64" t="s">
        <v>2401</v>
      </c>
      <c r="H380" s="50" t="s">
        <v>1154</v>
      </c>
      <c r="I380" s="30" t="s">
        <v>1156</v>
      </c>
      <c r="J380" s="30" t="s">
        <v>1155</v>
      </c>
      <c r="K380" s="46">
        <v>180000</v>
      </c>
      <c r="L380" s="30"/>
      <c r="M380" s="86"/>
      <c r="N380" s="87"/>
      <c r="O380" s="88"/>
      <c r="P38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125640</v>
      </c>
      <c r="Q38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125640</v>
      </c>
      <c r="R38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125640</v>
      </c>
      <c r="S380" s="72">
        <f>IF(AR_725[[#This Row],[PO Amount]]=0,1,AR_725[[#This Row],[Total AR (Sent)]]/AR_725[[#This Row],[PO Amount]])</f>
        <v>0.69799999999999995</v>
      </c>
      <c r="T380" s="75">
        <f>AR_725[[#This Row],[PO Amount]]-AR_725[[#This Row],[Total AR (Sent)]]</f>
        <v>54360</v>
      </c>
      <c r="U380" s="40"/>
      <c r="V380" s="40"/>
      <c r="W380" s="46"/>
      <c r="X380" s="46"/>
      <c r="Y380" s="46"/>
      <c r="Z380" s="46"/>
      <c r="AA380" s="46"/>
      <c r="AB380" s="40"/>
      <c r="AC380" s="40"/>
      <c r="AD380" s="40"/>
      <c r="AE380" s="46"/>
      <c r="AF380" s="46"/>
      <c r="AG380" s="46"/>
      <c r="AH380" s="46"/>
      <c r="AI380" s="46"/>
      <c r="AJ380" s="41"/>
      <c r="AK380" s="46"/>
      <c r="AL380" s="46"/>
      <c r="AM380" s="46"/>
      <c r="AN380" s="46"/>
      <c r="AO380" s="46"/>
      <c r="AP380" s="46"/>
      <c r="AQ380" s="46"/>
      <c r="AR380" s="82"/>
      <c r="AS380" s="41"/>
      <c r="AT380" s="83"/>
      <c r="AU380" s="41"/>
      <c r="AV380" s="83"/>
      <c r="AW380" s="41"/>
      <c r="AX380" s="83"/>
      <c r="AY380" s="41"/>
      <c r="AZ380" s="83"/>
      <c r="BA380" s="41"/>
      <c r="BB380" s="83"/>
      <c r="BC380" s="40"/>
      <c r="BD380" s="41"/>
      <c r="BE380" s="41"/>
      <c r="BF380" s="41"/>
      <c r="BG380" s="46"/>
      <c r="BH380" s="41"/>
      <c r="BI380" s="42">
        <v>125640</v>
      </c>
      <c r="BJ380" s="41"/>
      <c r="BK380" s="41"/>
      <c r="BL380" s="83"/>
      <c r="BM380" s="41"/>
      <c r="BN380" s="41"/>
      <c r="BO380" s="46"/>
      <c r="BP380" s="41"/>
      <c r="BQ380" s="46"/>
      <c r="BR380" s="40"/>
      <c r="BS380" s="40"/>
      <c r="BT380" s="40"/>
      <c r="BU380" s="40"/>
      <c r="BV380" s="40"/>
      <c r="BW380" s="40"/>
      <c r="BX380" s="34"/>
      <c r="BZ380" s="40"/>
      <c r="CA380" s="40"/>
      <c r="CB380" s="34"/>
      <c r="CC380" s="34"/>
      <c r="CD380" s="34"/>
      <c r="CE380" s="34"/>
      <c r="CF380" s="34"/>
      <c r="CG380" s="122"/>
      <c r="CI380" s="122"/>
      <c r="CJ380" s="30"/>
      <c r="CK380" s="122">
        <v>0</v>
      </c>
      <c r="CL380" s="122">
        <v>0</v>
      </c>
      <c r="CM380" s="122">
        <v>0</v>
      </c>
      <c r="CN380" s="122">
        <v>0</v>
      </c>
      <c r="CO380" s="122">
        <f>SUMIFS(BB___HK___AMHS__Others[AR Amount],BB___HK___AMHS__Others[PO No.],AR_725[[#This Row],[tsmc PO '#]],BB___HK___AMHS__Others[Status],"&lt;&gt;Rejected",BB___HK___AMHS__Others[YearMonth],"2024-07")</f>
        <v>0</v>
      </c>
      <c r="CP380" s="122">
        <f>SUMIFS(BB___HK___AMHS__Others[Tax],BB___HK___AMHS__Others[PO No.],AR_725[[#This Row],[tsmc PO '#]],BB___HK___AMHS__Others[Status],"&lt;&gt;Rejected",BB___HK___AMHS__Others[YearMonth],"2024-07")</f>
        <v>0</v>
      </c>
      <c r="CQ380" s="34">
        <f>SUMIFS(BB___HK___AMHS__Others[AR Amount],BB___HK___AMHS__Others[PO No.],AR_725[[#This Row],[tsmc PO '#]],BB___HK___AMHS__Others[Status],"&lt;&gt;Rejected",BB___HK___AMHS__Others[YearMonth],"2024-08")</f>
        <v>0</v>
      </c>
      <c r="CR380" s="44">
        <f>SUMIFS(BB___HK___AMHS__Others[Tax],BB___HK___AMHS__Others[PO No.],AR_725[[#This Row],[tsmc PO '#]],BB___HK___AMHS__Others[Status],"&lt;&gt;Rejected",BB___HK___AMHS__Others[YearMonth],"2024-08")</f>
        <v>0</v>
      </c>
      <c r="CS380" s="62">
        <f>SUMIFS(BB___HK___AMHS__Others[AR Amount],BB___HK___AMHS__Others[PO No.],AR_725[[#This Row],[tsmc PO '#]],BB___HK___AMHS__Others[Status],"&lt;&gt;Rejected",BB___HK___AMHS__Others[YearMonth],"2024-09")</f>
        <v>0</v>
      </c>
      <c r="CT380" s="601">
        <f>SUMIFS(BB___HK___AMHS__Others[Tax],BB___HK___AMHS__Others[PO No.],AR_725[[#This Row],[tsmc PO '#]],BB___HK___AMHS__Others[Status],"&lt;&gt;Rejected",BB___HK___AMHS__Others[YearMonth],"2024-09")</f>
        <v>0</v>
      </c>
    </row>
    <row r="381" spans="1:98" ht="15" customHeight="1">
      <c r="A381" s="30" t="s">
        <v>8</v>
      </c>
      <c r="B381" s="30" t="s">
        <v>2041</v>
      </c>
      <c r="D381" s="50" t="s">
        <v>8</v>
      </c>
      <c r="E381" s="604" t="s">
        <v>2109</v>
      </c>
      <c r="F381" s="48" t="s">
        <v>2110</v>
      </c>
      <c r="G381" s="50" t="s">
        <v>2402</v>
      </c>
      <c r="H381" s="50" t="s">
        <v>1811</v>
      </c>
      <c r="I381" s="30" t="s">
        <v>408</v>
      </c>
      <c r="J381" s="30" t="s">
        <v>407</v>
      </c>
      <c r="K381" s="40">
        <v>38479828.130000003</v>
      </c>
      <c r="L381" s="30"/>
      <c r="M381" s="86" t="s">
        <v>2403</v>
      </c>
      <c r="N381" s="87"/>
      <c r="O381" s="30" t="s">
        <v>2404</v>
      </c>
      <c r="P38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27278806.420000006</v>
      </c>
      <c r="Q38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25698640.750000004</v>
      </c>
      <c r="R38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27278806.420000006</v>
      </c>
      <c r="S381" s="72">
        <f>IF(AR_725[[#This Row],[PO Amount]]=0,1,AR_725[[#This Row],[Total AR (Sent)]]/AR_725[[#This Row],[PO Amount]])</f>
        <v>0.70891185708630144</v>
      </c>
      <c r="T381" s="75">
        <f>AR_725[[#This Row],[PO Amount]]-AR_725[[#This Row],[Total AR (Sent)]]</f>
        <v>11201021.709999997</v>
      </c>
      <c r="U381" s="40"/>
      <c r="V381" s="40"/>
      <c r="W381" s="46"/>
      <c r="X381" s="46"/>
      <c r="Y381" s="46"/>
      <c r="Z381" s="46"/>
      <c r="AA381" s="46"/>
      <c r="AB381" s="40"/>
      <c r="AC381" s="40"/>
      <c r="AD381" s="40"/>
      <c r="AE381" s="46"/>
      <c r="AF381" s="46"/>
      <c r="AG381" s="46"/>
      <c r="AH381" s="46"/>
      <c r="AI381" s="46"/>
      <c r="AJ381" s="41"/>
      <c r="AK381" s="46"/>
      <c r="AL381" s="46"/>
      <c r="AM381" s="46"/>
      <c r="AN381" s="46"/>
      <c r="AO381" s="46"/>
      <c r="AP381" s="46"/>
      <c r="AQ381" s="46"/>
      <c r="AR381" s="82"/>
      <c r="AS381" s="41"/>
      <c r="AT381" s="83"/>
      <c r="AU381" s="41"/>
      <c r="AV381" s="83"/>
      <c r="AW381" s="41"/>
      <c r="AX381" s="83"/>
      <c r="AY381" s="41"/>
      <c r="AZ381" s="83"/>
      <c r="BA381" s="41"/>
      <c r="BB381" s="83"/>
      <c r="BC381" s="40"/>
      <c r="BD381" s="41"/>
      <c r="BE381" s="41"/>
      <c r="BF381" s="41"/>
      <c r="BG381" s="46"/>
      <c r="BH381" s="41"/>
      <c r="BI381" s="42">
        <v>5295236.74</v>
      </c>
      <c r="BJ381" s="41"/>
      <c r="BK381" s="41"/>
      <c r="BL381" s="83"/>
      <c r="BM381" s="41"/>
      <c r="BN381" s="41"/>
      <c r="BO381" s="46"/>
      <c r="BP381" s="41"/>
      <c r="BQ381" s="46"/>
      <c r="BR381" s="40"/>
      <c r="BS381" s="40"/>
      <c r="BT381" s="40"/>
      <c r="BU381" s="40"/>
      <c r="BV381" s="40"/>
      <c r="BW381" s="47">
        <v>6456886.2000000002</v>
      </c>
      <c r="BX381" s="34"/>
      <c r="BY381" s="47">
        <f>4222025.57+2491205.14</f>
        <v>6713230.7100000009</v>
      </c>
      <c r="BZ381" s="40"/>
      <c r="CA381" s="47">
        <f>1016646.95+214693.97</f>
        <v>1231340.92</v>
      </c>
      <c r="CB381" s="42">
        <v>12001.39</v>
      </c>
      <c r="CC381" s="42">
        <f>1413643.39</f>
        <v>1413643.39</v>
      </c>
      <c r="CD381" s="34"/>
      <c r="CE381" s="42">
        <f>2481401.95+393534.6+224569.13+814388.83+14278.68</f>
        <v>3928173.1900000004</v>
      </c>
      <c r="CF381" s="42">
        <f>138710.37+21998.58+12553.41</f>
        <v>173262.36000000002</v>
      </c>
      <c r="CG381" s="132">
        <f>10334.42+569975.79+79819.39</f>
        <v>660129.60000000009</v>
      </c>
      <c r="CI381" s="125">
        <v>84299.46</v>
      </c>
      <c r="CJ381" s="30"/>
      <c r="CK381" s="122">
        <v>0</v>
      </c>
      <c r="CL381" s="122">
        <v>0</v>
      </c>
      <c r="CM381" s="125">
        <v>823062.05</v>
      </c>
      <c r="CN381" s="125">
        <v>22525.46</v>
      </c>
      <c r="CO381" s="34">
        <f>315817.53+321378.07</f>
        <v>637195.60000000009</v>
      </c>
      <c r="CP381" s="122">
        <v>17654.2</v>
      </c>
      <c r="CQ381" s="34">
        <f>SUMIFS(BB___HK___AMHS__Others[AR Amount],BB___HK___AMHS__Others[PO No.],AR_725[[#This Row],[tsmc PO '#]],BB___HK___AMHS__Others[Status],"&lt;&gt;Rejected",BB___HK___AMHS__Others[YearMonth],"2024-08")</f>
        <v>0</v>
      </c>
      <c r="CR381" s="44">
        <f>SUMIFS(BB___HK___AMHS__Others[Tax],BB___HK___AMHS__Others[PO No.],AR_725[[#This Row],[tsmc PO '#]],BB___HK___AMHS__Others[Status],"&lt;&gt;Rejected",BB___HK___AMHS__Others[YearMonth],"2024-08")</f>
        <v>0</v>
      </c>
      <c r="CS381" s="62">
        <f>SUMIFS(BB___HK___AMHS__Others[AR Amount],BB___HK___AMHS__Others[PO No.],AR_725[[#This Row],[tsmc PO '#]],BB___HK___AMHS__Others[Status],"&lt;&gt;Rejected",BB___HK___AMHS__Others[YearMonth],"2024-09")</f>
        <v>35608.559999999998</v>
      </c>
      <c r="CT381" s="601">
        <f>SUMIFS(BB___HK___AMHS__Others[Tax],BB___HK___AMHS__Others[PO No.],AR_725[[#This Row],[tsmc PO '#]],BB___HK___AMHS__Others[Status],"&lt;&gt;Rejected",BB___HK___AMHS__Others[YearMonth],"2024-09")</f>
        <v>0</v>
      </c>
    </row>
    <row r="382" spans="1:98" ht="15" customHeight="1">
      <c r="A382" s="30" t="s">
        <v>8</v>
      </c>
      <c r="B382" s="30" t="s">
        <v>2041</v>
      </c>
      <c r="D382" s="50" t="s">
        <v>8</v>
      </c>
      <c r="E382" s="292" t="s">
        <v>2405</v>
      </c>
      <c r="F382" s="50"/>
      <c r="G382" s="50" t="s">
        <v>2402</v>
      </c>
      <c r="H382" s="50" t="s">
        <v>1428</v>
      </c>
      <c r="I382" s="30" t="s">
        <v>408</v>
      </c>
      <c r="J382" s="30" t="s">
        <v>1817</v>
      </c>
      <c r="K382" s="46">
        <v>1864987.5</v>
      </c>
      <c r="M382" s="86">
        <v>45477</v>
      </c>
      <c r="N382" s="87"/>
      <c r="O382" s="30" t="s">
        <v>2406</v>
      </c>
      <c r="P38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1266929.6299999999</v>
      </c>
      <c r="Q38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8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1266929.6299999999</v>
      </c>
      <c r="S382" s="72">
        <f>IF(AR_725[[#This Row],[PO Amount]]=0,1,AR_725[[#This Row],[Total AR (Sent)]]/AR_725[[#This Row],[PO Amount]])</f>
        <v>0.67932338956695415</v>
      </c>
      <c r="T382" s="73">
        <f>AR_725[[#This Row],[PO Amount]]-AR_725[[#This Row],[Total AR (Sent)]]</f>
        <v>598057.87000000011</v>
      </c>
      <c r="AR382" s="84"/>
      <c r="AT382" s="44"/>
      <c r="AV382" s="85"/>
      <c r="AX382" s="79"/>
      <c r="AZ382" s="79"/>
      <c r="BB382" s="79"/>
      <c r="BL382" s="79"/>
      <c r="CG382" s="122"/>
      <c r="CI382" s="122"/>
      <c r="CK382" s="122"/>
      <c r="CL382" s="122">
        <v>0</v>
      </c>
      <c r="CM382" s="122">
        <v>585640.94999999995</v>
      </c>
      <c r="CN382" s="122">
        <v>32737.33</v>
      </c>
      <c r="CO382" s="122">
        <f>SUMIFS(BB___HK___AMHS__Others[AR Amount],BB___HK___AMHS__Others[PO No.],AR_725[[#This Row],[tsmc PO '#]],BB___HK___AMHS__Others[Status],"&lt;&gt;Rejected",BB___HK___AMHS__Others[YearMonth],"2024-07")</f>
        <v>315817.53000000003</v>
      </c>
      <c r="CP382" s="122">
        <f>SUMIFS(BB___HK___AMHS__Others[Tax],BB___HK___AMHS__Others[PO No.],AR_725[[#This Row],[tsmc PO '#]],BB___HK___AMHS__Others[Status],"&lt;&gt;Rejected",BB___HK___AMHS__Others[YearMonth],"2024-07")</f>
        <v>17654.2</v>
      </c>
      <c r="CQ382" s="34">
        <f>SUMIFS(BB___HK___AMHS__Others[AR Amount],BB___HK___AMHS__Others[PO No.],AR_725[[#This Row],[tsmc PO '#]],BB___HK___AMHS__Others[Status],"&lt;&gt;Rejected",BB___HK___AMHS__Others[YearMonth],"2024-08")</f>
        <v>0</v>
      </c>
      <c r="CR382" s="44">
        <f>SUMIFS(BB___HK___AMHS__Others[Tax],BB___HK___AMHS__Others[PO No.],AR_725[[#This Row],[tsmc PO '#]],BB___HK___AMHS__Others[Status],"&lt;&gt;Rejected",BB___HK___AMHS__Others[YearMonth],"2024-08")</f>
        <v>0</v>
      </c>
      <c r="CS382" s="62">
        <f>SUMIFS(BB___HK___AMHS__Others[AR Amount],BB___HK___AMHS__Others[PO No.],AR_725[[#This Row],[tsmc PO '#]],BB___HK___AMHS__Others[Status],"&lt;&gt;Rejected",BB___HK___AMHS__Others[YearMonth],"2024-09")</f>
        <v>365471.15</v>
      </c>
      <c r="CT382" s="601">
        <f>SUMIFS(BB___HK___AMHS__Others[Tax],BB___HK___AMHS__Others[PO No.],AR_725[[#This Row],[tsmc PO '#]],BB___HK___AMHS__Others[Status],"&lt;&gt;Rejected",BB___HK___AMHS__Others[YearMonth],"2024-09")</f>
        <v>20429.830000000002</v>
      </c>
    </row>
    <row r="383" spans="1:98" ht="15" customHeight="1">
      <c r="A383" s="30" t="s">
        <v>8</v>
      </c>
      <c r="B383" s="30" t="s">
        <v>2041</v>
      </c>
      <c r="D383" s="50" t="s">
        <v>8</v>
      </c>
      <c r="E383" s="604" t="s">
        <v>2109</v>
      </c>
      <c r="F383" s="50" t="s">
        <v>2110</v>
      </c>
      <c r="G383" s="50" t="s">
        <v>2402</v>
      </c>
      <c r="H383" s="50" t="s">
        <v>1626</v>
      </c>
      <c r="I383" s="30" t="s">
        <v>1631</v>
      </c>
      <c r="J383" s="30" t="s">
        <v>1817</v>
      </c>
      <c r="K383" s="62">
        <v>2998028.97</v>
      </c>
      <c r="M383" s="50" t="s">
        <v>2407</v>
      </c>
      <c r="N383" s="87"/>
      <c r="O383" s="30" t="s">
        <v>2408</v>
      </c>
      <c r="P38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1083653.52</v>
      </c>
      <c r="Q38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8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1083653.52</v>
      </c>
      <c r="S383" s="72">
        <f>IF(AR_725[[#This Row],[PO Amount]]=0,1,AR_725[[#This Row],[Total AR (Sent)]]/AR_725[[#This Row],[PO Amount]])</f>
        <v>0.36145531975963524</v>
      </c>
      <c r="T383" s="73">
        <f>AR_725[[#This Row],[PO Amount]]-AR_725[[#This Row],[Total AR (Sent)]]</f>
        <v>1914375.4500000002</v>
      </c>
      <c r="AR383" s="84"/>
      <c r="AT383" s="44"/>
      <c r="AV383" s="85"/>
      <c r="AX383" s="79"/>
      <c r="AZ383" s="79"/>
      <c r="BB383" s="79"/>
      <c r="BL383" s="79"/>
      <c r="CG383" s="122"/>
      <c r="CI383" s="122"/>
      <c r="CK383" s="122"/>
      <c r="CL383" s="122"/>
      <c r="CM383" s="122"/>
      <c r="CN383" s="122"/>
      <c r="CO383" s="34">
        <f>SUMIFS(BB___HK___AMHS__Others[AR Amount],BB___HK___AMHS__Others[PO No.],AR_725[[#This Row],[tsmc PO '#]],BB___HK___AMHS__Others[Status],"&lt;&gt;Rejected",BB___HK___AMHS__Others[YearMonth],"2024-07")</f>
        <v>0</v>
      </c>
      <c r="CP383" s="122">
        <f>SUMIFS(BB___HK___AMHS__Others[Tax],BB___HK___AMHS__Others[PO No.],AR_725[[#This Row],[tsmc PO '#]],BB___HK___AMHS__Others[Status],"&lt;&gt;Rejected",BB___HK___AMHS__Others[YearMonth],"2024-07")</f>
        <v>0</v>
      </c>
      <c r="CQ383" s="34">
        <f>SUMIFS(BB___HK___AMHS__Others[AR Amount],BB___HK___AMHS__Others[PO No.],AR_725[[#This Row],[tsmc PO '#]],BB___HK___AMHS__Others[Status],"&lt;&gt;Rejected",BB___HK___AMHS__Others[YearMonth],"2024-08")</f>
        <v>540343.24</v>
      </c>
      <c r="CR383" s="44">
        <f>SUMIFS(BB___HK___AMHS__Others[Tax],BB___HK___AMHS__Others[PO No.],AR_725[[#This Row],[tsmc PO '#]],BB___HK___AMHS__Others[Status],"&lt;&gt;Rejected",BB___HK___AMHS__Others[YearMonth],"2024-08")</f>
        <v>30205.19</v>
      </c>
      <c r="CS383" s="62">
        <f>SUMIFS(BB___HK___AMHS__Others[AR Amount],BB___HK___AMHS__Others[PO No.],AR_725[[#This Row],[tsmc PO '#]],BB___HK___AMHS__Others[Status],"&lt;&gt;Rejected",BB___HK___AMHS__Others[YearMonth],"2024-09")</f>
        <v>543310.28</v>
      </c>
      <c r="CT383" s="601">
        <f>SUMIFS(BB___HK___AMHS__Others[Tax],BB___HK___AMHS__Others[PO No.],AR_725[[#This Row],[tsmc PO '#]],BB___HK___AMHS__Others[Status],"&lt;&gt;Rejected",BB___HK___AMHS__Others[YearMonth],"2024-09")</f>
        <v>30371.040000000001</v>
      </c>
    </row>
    <row r="384" spans="1:98" ht="15" hidden="1" customHeight="1">
      <c r="A384" s="30" t="s">
        <v>18</v>
      </c>
      <c r="B384" s="30" t="s">
        <v>2041</v>
      </c>
      <c r="D384" s="50"/>
      <c r="E384" s="603" t="s">
        <v>2095</v>
      </c>
      <c r="F384" s="48"/>
      <c r="G384" s="63" t="s">
        <v>2409</v>
      </c>
      <c r="H384" s="50" t="s">
        <v>623</v>
      </c>
      <c r="I384" s="30" t="s">
        <v>628</v>
      </c>
      <c r="J384" s="30" t="s">
        <v>624</v>
      </c>
      <c r="K384" s="46">
        <v>277190</v>
      </c>
      <c r="L384" s="30"/>
      <c r="M384" s="86">
        <v>45040</v>
      </c>
      <c r="N384" s="87"/>
      <c r="O384" s="88" t="s">
        <v>2410</v>
      </c>
      <c r="P38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55438</v>
      </c>
      <c r="Q38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55438</v>
      </c>
      <c r="R38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84" s="72">
        <f>IF(AR_725[[#This Row],[PO Amount]]=0,1,AR_725[[#This Row],[Total AR (Sent)]]/AR_725[[#This Row],[PO Amount]])</f>
        <v>0.2</v>
      </c>
      <c r="T384" s="75">
        <f>AR_725[[#This Row],[PO Amount]]-AR_725[[#This Row],[Total AR (Sent)]]</f>
        <v>221752</v>
      </c>
      <c r="U384" s="40"/>
      <c r="V384" s="40"/>
      <c r="W384" s="46"/>
      <c r="X384" s="46"/>
      <c r="Y384" s="46"/>
      <c r="Z384" s="46"/>
      <c r="AA384" s="46"/>
      <c r="AB384" s="40"/>
      <c r="AC384" s="40"/>
      <c r="AD384" s="40"/>
      <c r="AE384" s="46"/>
      <c r="AF384" s="46"/>
      <c r="AG384" s="46"/>
      <c r="AH384" s="46"/>
      <c r="AI384" s="40"/>
      <c r="AJ384" s="41"/>
      <c r="AK384" s="40"/>
      <c r="AL384" s="46"/>
      <c r="AM384" s="40"/>
      <c r="AN384" s="46"/>
      <c r="AO384" s="40"/>
      <c r="AP384" s="46"/>
      <c r="AQ384" s="40"/>
      <c r="AR384" s="82"/>
      <c r="AS384" s="34"/>
      <c r="AT384" s="83"/>
      <c r="AU384" s="34"/>
      <c r="AV384" s="83"/>
      <c r="AW384" s="40"/>
      <c r="AX384" s="83"/>
      <c r="AY384" s="34"/>
      <c r="AZ384" s="83"/>
      <c r="BA384" s="41"/>
      <c r="BB384" s="83"/>
      <c r="BC384" s="40"/>
      <c r="BD384" s="41"/>
      <c r="BE384" s="46"/>
      <c r="BF384" s="41"/>
      <c r="BG384" s="41"/>
      <c r="BH384" s="41"/>
      <c r="BI384" s="41"/>
      <c r="BJ384" s="41"/>
      <c r="BK384" s="41"/>
      <c r="BL384" s="83"/>
      <c r="BM384" s="41"/>
      <c r="BN384" s="41"/>
      <c r="BO384" s="46"/>
      <c r="BP384" s="41"/>
      <c r="BQ384" s="46"/>
      <c r="BR384" s="40"/>
      <c r="BS384" s="40"/>
      <c r="BT384" s="40"/>
      <c r="BU384" s="40"/>
      <c r="BV384" s="40"/>
      <c r="BW384" s="40">
        <v>55438</v>
      </c>
      <c r="BX384" s="34"/>
      <c r="BZ384" s="40"/>
      <c r="CA384" s="40"/>
      <c r="CB384" s="34"/>
      <c r="CC384" s="34"/>
      <c r="CD384" s="34"/>
      <c r="CE384" s="34"/>
      <c r="CF384" s="34"/>
      <c r="CG384" s="122"/>
      <c r="CI384" s="122"/>
      <c r="CJ384" s="30"/>
      <c r="CK384" s="122">
        <v>0</v>
      </c>
      <c r="CL384" s="122">
        <v>0</v>
      </c>
      <c r="CM384" s="122">
        <v>0</v>
      </c>
      <c r="CN384" s="122">
        <v>0</v>
      </c>
      <c r="CO384" s="122">
        <f>SUMIFS(BB___HK___AMHS__Others[AR Amount],BB___HK___AMHS__Others[PO No.],AR_725[[#This Row],[tsmc PO '#]],BB___HK___AMHS__Others[Status],"&lt;&gt;Rejected",BB___HK___AMHS__Others[YearMonth],"2024-07")</f>
        <v>0</v>
      </c>
      <c r="CP384" s="122">
        <f>SUMIFS(BB___HK___AMHS__Others[Tax],BB___HK___AMHS__Others[PO No.],AR_725[[#This Row],[tsmc PO '#]],BB___HK___AMHS__Others[Status],"&lt;&gt;Rejected",BB___HK___AMHS__Others[YearMonth],"2024-07")</f>
        <v>0</v>
      </c>
      <c r="CQ384" s="34">
        <f>SUMIFS(BB___HK___AMHS__Others[AR Amount],BB___HK___AMHS__Others[PO No.],AR_725[[#This Row],[tsmc PO '#]],BB___HK___AMHS__Others[Status],"&lt;&gt;Rejected",BB___HK___AMHS__Others[YearMonth],"2024-08")</f>
        <v>0</v>
      </c>
      <c r="CR384" s="44">
        <f>SUMIFS(BB___HK___AMHS__Others[Tax],BB___HK___AMHS__Others[PO No.],AR_725[[#This Row],[tsmc PO '#]],BB___HK___AMHS__Others[Status],"&lt;&gt;Rejected",BB___HK___AMHS__Others[YearMonth],"2024-08")</f>
        <v>0</v>
      </c>
      <c r="CS384" s="62">
        <f>SUMIFS(BB___HK___AMHS__Others[AR Amount],BB___HK___AMHS__Others[PO No.],AR_725[[#This Row],[tsmc PO '#]],BB___HK___AMHS__Others[Status],"&lt;&gt;Rejected",BB___HK___AMHS__Others[YearMonth],"2024-09")</f>
        <v>0</v>
      </c>
      <c r="CT384" s="601">
        <f>SUMIFS(BB___HK___AMHS__Others[Tax],BB___HK___AMHS__Others[PO No.],AR_725[[#This Row],[tsmc PO '#]],BB___HK___AMHS__Others[Status],"&lt;&gt;Rejected",BB___HK___AMHS__Others[YearMonth],"2024-09")</f>
        <v>0</v>
      </c>
    </row>
    <row r="385" spans="1:98" ht="15" hidden="1" customHeight="1">
      <c r="A385" s="30" t="s">
        <v>9</v>
      </c>
      <c r="B385" s="30" t="s">
        <v>2041</v>
      </c>
      <c r="D385" s="50"/>
      <c r="E385" s="50" t="s">
        <v>2411</v>
      </c>
      <c r="F385" s="50"/>
      <c r="G385" s="50" t="s">
        <v>2412</v>
      </c>
      <c r="H385" s="50" t="s">
        <v>2413</v>
      </c>
      <c r="I385" s="30" t="s">
        <v>169</v>
      </c>
      <c r="J385" s="30" t="s">
        <v>2414</v>
      </c>
      <c r="K385" s="40">
        <v>11878.35</v>
      </c>
      <c r="L385" s="30"/>
      <c r="M385" s="50" t="s">
        <v>2415</v>
      </c>
      <c r="N385" s="87"/>
      <c r="O385" s="30" t="s">
        <v>2416</v>
      </c>
      <c r="P38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11878.35</v>
      </c>
      <c r="Q38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11878.35</v>
      </c>
      <c r="R38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85" s="72">
        <f>IF(AR_725[[#This Row],[PO Amount]]=0,1,AR_725[[#This Row],[Total AR (Sent)]]/AR_725[[#This Row],[PO Amount]])</f>
        <v>1</v>
      </c>
      <c r="T385" s="73">
        <f>AR_725[[#This Row],[PO Amount]]-AR_725[[#This Row],[Total AR (Sent)]]</f>
        <v>0</v>
      </c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102"/>
      <c r="AS385" s="40"/>
      <c r="AT385" s="44"/>
      <c r="AU385" s="40"/>
      <c r="AV385" s="83"/>
      <c r="AW385" s="40"/>
      <c r="AX385" s="44"/>
      <c r="AY385" s="34"/>
      <c r="AZ385" s="44"/>
      <c r="BA385" s="40"/>
      <c r="BB385" s="44"/>
      <c r="BC385" s="40"/>
      <c r="BD385" s="40"/>
      <c r="BE385" s="40"/>
      <c r="BF385" s="40"/>
      <c r="BG385" s="40"/>
      <c r="BH385" s="40"/>
      <c r="BI385" s="40"/>
      <c r="BJ385" s="40"/>
      <c r="BK385" s="40"/>
      <c r="BL385" s="44"/>
      <c r="BM385" s="40"/>
      <c r="BN385" s="40"/>
      <c r="BO385" s="40"/>
      <c r="BP385" s="40"/>
      <c r="BQ385" s="40"/>
      <c r="BR385" s="40"/>
      <c r="BS385" s="40"/>
      <c r="BT385" s="40"/>
      <c r="BU385" s="40"/>
      <c r="BV385" s="40"/>
      <c r="BW385" s="40"/>
      <c r="BX385" s="40"/>
      <c r="BZ385" s="40"/>
      <c r="CA385" s="40"/>
      <c r="CB385" s="34"/>
      <c r="CC385" s="34"/>
      <c r="CD385" s="34"/>
      <c r="CE385" s="42">
        <v>11878.35</v>
      </c>
      <c r="CF385" s="42">
        <v>664</v>
      </c>
      <c r="CG385" s="122"/>
      <c r="CI385" s="122"/>
      <c r="CJ385" s="30"/>
      <c r="CK385" s="122">
        <v>0</v>
      </c>
      <c r="CL385" s="122">
        <v>0</v>
      </c>
      <c r="CM385" s="122">
        <v>0</v>
      </c>
      <c r="CN385" s="122">
        <v>0</v>
      </c>
      <c r="CO385" s="122">
        <f>SUMIFS(BB___HK___AMHS__Others[AR Amount],BB___HK___AMHS__Others[PO No.],AR_725[[#This Row],[tsmc PO '#]],BB___HK___AMHS__Others[Status],"&lt;&gt;Rejected",BB___HK___AMHS__Others[YearMonth],"2024-07")</f>
        <v>0</v>
      </c>
      <c r="CP385" s="122">
        <f>SUMIFS(BB___HK___AMHS__Others[Tax],BB___HK___AMHS__Others[PO No.],AR_725[[#This Row],[tsmc PO '#]],BB___HK___AMHS__Others[Status],"&lt;&gt;Rejected",BB___HK___AMHS__Others[YearMonth],"2024-07")</f>
        <v>0</v>
      </c>
      <c r="CQ385" s="34">
        <f>SUMIFS(BB___HK___AMHS__Others[AR Amount],BB___HK___AMHS__Others[PO No.],AR_725[[#This Row],[tsmc PO '#]],BB___HK___AMHS__Others[Status],"&lt;&gt;Rejected",BB___HK___AMHS__Others[YearMonth],"2024-08")</f>
        <v>0</v>
      </c>
      <c r="CR385" s="44">
        <f>SUMIFS(BB___HK___AMHS__Others[Tax],BB___HK___AMHS__Others[PO No.],AR_725[[#This Row],[tsmc PO '#]],BB___HK___AMHS__Others[Status],"&lt;&gt;Rejected",BB___HK___AMHS__Others[YearMonth],"2024-08")</f>
        <v>0</v>
      </c>
      <c r="CS385" s="62">
        <f>SUMIFS(BB___HK___AMHS__Others[AR Amount],BB___HK___AMHS__Others[PO No.],AR_725[[#This Row],[tsmc PO '#]],BB___HK___AMHS__Others[Status],"&lt;&gt;Rejected",BB___HK___AMHS__Others[YearMonth],"2024-09")</f>
        <v>0</v>
      </c>
      <c r="CT385" s="601">
        <f>SUMIFS(BB___HK___AMHS__Others[Tax],BB___HK___AMHS__Others[PO No.],AR_725[[#This Row],[tsmc PO '#]],BB___HK___AMHS__Others[Status],"&lt;&gt;Rejected",BB___HK___AMHS__Others[YearMonth],"2024-09")</f>
        <v>0</v>
      </c>
    </row>
    <row r="386" spans="1:98" ht="15" hidden="1" customHeight="1">
      <c r="A386" s="30" t="s">
        <v>18</v>
      </c>
      <c r="B386" s="30" t="s">
        <v>2041</v>
      </c>
      <c r="D386" s="50"/>
      <c r="E386" s="57" t="s">
        <v>2067</v>
      </c>
      <c r="F386" s="48" t="s">
        <v>2193</v>
      </c>
      <c r="G386" s="57" t="s">
        <v>2412</v>
      </c>
      <c r="H386" s="50" t="s">
        <v>166</v>
      </c>
      <c r="I386" s="30" t="s">
        <v>169</v>
      </c>
      <c r="J386" s="30" t="s">
        <v>167</v>
      </c>
      <c r="K386" s="46">
        <v>3005096</v>
      </c>
      <c r="L386" s="30"/>
      <c r="M386" s="86"/>
      <c r="N386" s="87"/>
      <c r="O386" s="88"/>
      <c r="P38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3005096.07</v>
      </c>
      <c r="Q38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3005096.07</v>
      </c>
      <c r="R38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3005096.07</v>
      </c>
      <c r="S386" s="72">
        <f>IF(AR_725[[#This Row],[PO Amount]]=0,1,AR_725[[#This Row],[Total AR (Sent)]]/AR_725[[#This Row],[PO Amount]])</f>
        <v>1.0000000232937649</v>
      </c>
      <c r="T386" s="45">
        <f>AR_725[[#This Row],[PO Amount]]-AR_725[[#This Row],[Total AR (Sent)]]</f>
        <v>-6.9999999832361937E-2</v>
      </c>
      <c r="U386" s="40"/>
      <c r="V386" s="40"/>
      <c r="W386" s="46"/>
      <c r="X386" s="46"/>
      <c r="Y386" s="46"/>
      <c r="Z386" s="46"/>
      <c r="AA386" s="46"/>
      <c r="AB386" s="40"/>
      <c r="AC386" s="40"/>
      <c r="AD386" s="40"/>
      <c r="AE386" s="46"/>
      <c r="AF386" s="46"/>
      <c r="AG386" s="46"/>
      <c r="AH386" s="46"/>
      <c r="AI386" s="40"/>
      <c r="AJ386" s="40"/>
      <c r="AK386" s="40"/>
      <c r="AL386" s="40"/>
      <c r="AM386" s="40"/>
      <c r="AN386" s="40"/>
      <c r="AO386" s="40"/>
      <c r="AP386" s="40"/>
      <c r="AQ386" s="40">
        <v>1286713.08</v>
      </c>
      <c r="AR386" s="102"/>
      <c r="AS386" s="34">
        <v>177670.88</v>
      </c>
      <c r="AT386" s="44"/>
      <c r="AU386" s="34">
        <v>1051201.52</v>
      </c>
      <c r="AV386" s="83"/>
      <c r="AW386" s="41">
        <v>489510.59</v>
      </c>
      <c r="AX386" s="83"/>
      <c r="AY386" s="34"/>
      <c r="AZ386" s="44"/>
      <c r="BA386" s="34"/>
      <c r="BB386" s="44"/>
      <c r="BC386" s="41"/>
      <c r="BD386" s="41"/>
      <c r="BE386" s="34"/>
      <c r="BF386" s="34"/>
      <c r="BG386" s="40"/>
      <c r="BH386" s="34"/>
      <c r="BI386" s="34"/>
      <c r="BJ386" s="34"/>
      <c r="BK386" s="34"/>
      <c r="BL386" s="44"/>
      <c r="BM386" s="34"/>
      <c r="BN386" s="34"/>
      <c r="BO386" s="40"/>
      <c r="BP386" s="34"/>
      <c r="BQ386" s="40"/>
      <c r="BR386" s="40"/>
      <c r="BS386" s="40"/>
      <c r="BT386" s="40"/>
      <c r="BU386" s="40"/>
      <c r="BV386" s="40"/>
      <c r="BW386" s="40"/>
      <c r="BX386" s="34"/>
      <c r="BZ386" s="40"/>
      <c r="CA386" s="96"/>
      <c r="CB386" s="103"/>
      <c r="CC386" s="103"/>
      <c r="CD386" s="103"/>
      <c r="CE386" s="34"/>
      <c r="CF386" s="34"/>
      <c r="CG386" s="122"/>
      <c r="CI386" s="122"/>
      <c r="CJ386" s="30"/>
      <c r="CK386" s="122">
        <v>0</v>
      </c>
      <c r="CL386" s="122">
        <v>0</v>
      </c>
      <c r="CM386" s="122">
        <v>0</v>
      </c>
      <c r="CN386" s="122">
        <v>0</v>
      </c>
      <c r="CO386" s="122">
        <f>SUMIFS(BB___HK___AMHS__Others[AR Amount],BB___HK___AMHS__Others[PO No.],AR_725[[#This Row],[tsmc PO '#]],BB___HK___AMHS__Others[Status],"&lt;&gt;Rejected",BB___HK___AMHS__Others[YearMonth],"2024-07")</f>
        <v>0</v>
      </c>
      <c r="CP386" s="122">
        <f>SUMIFS(BB___HK___AMHS__Others[Tax],BB___HK___AMHS__Others[PO No.],AR_725[[#This Row],[tsmc PO '#]],BB___HK___AMHS__Others[Status],"&lt;&gt;Rejected",BB___HK___AMHS__Others[YearMonth],"2024-07")</f>
        <v>0</v>
      </c>
      <c r="CQ386" s="34">
        <f>SUMIFS(BB___HK___AMHS__Others[AR Amount],BB___HK___AMHS__Others[PO No.],AR_725[[#This Row],[tsmc PO '#]],BB___HK___AMHS__Others[Status],"&lt;&gt;Rejected",BB___HK___AMHS__Others[YearMonth],"2024-08")</f>
        <v>0</v>
      </c>
      <c r="CR386" s="44">
        <f>SUMIFS(BB___HK___AMHS__Others[Tax],BB___HK___AMHS__Others[PO No.],AR_725[[#This Row],[tsmc PO '#]],BB___HK___AMHS__Others[Status],"&lt;&gt;Rejected",BB___HK___AMHS__Others[YearMonth],"2024-08")</f>
        <v>0</v>
      </c>
      <c r="CS386" s="62">
        <f>SUMIFS(BB___HK___AMHS__Others[AR Amount],BB___HK___AMHS__Others[PO No.],AR_725[[#This Row],[tsmc PO '#]],BB___HK___AMHS__Others[Status],"&lt;&gt;Rejected",BB___HK___AMHS__Others[YearMonth],"2024-09")</f>
        <v>0</v>
      </c>
      <c r="CT386" s="601">
        <f>SUMIFS(BB___HK___AMHS__Others[Tax],BB___HK___AMHS__Others[PO No.],AR_725[[#This Row],[tsmc PO '#]],BB___HK___AMHS__Others[Status],"&lt;&gt;Rejected",BB___HK___AMHS__Others[YearMonth],"2024-09")</f>
        <v>0</v>
      </c>
    </row>
    <row r="387" spans="1:98" ht="15" hidden="1" customHeight="1">
      <c r="A387" s="30" t="s">
        <v>18</v>
      </c>
      <c r="B387" s="30" t="s">
        <v>2041</v>
      </c>
      <c r="D387" s="50"/>
      <c r="E387" s="57"/>
      <c r="F387" s="57"/>
      <c r="G387" s="57" t="s">
        <v>2417</v>
      </c>
      <c r="H387" s="50" t="s">
        <v>147</v>
      </c>
      <c r="I387" s="30" t="s">
        <v>149</v>
      </c>
      <c r="J387" s="30" t="s">
        <v>148</v>
      </c>
      <c r="K387" s="46">
        <v>351500</v>
      </c>
      <c r="L387" s="30"/>
      <c r="M387" s="86"/>
      <c r="N387" s="87"/>
      <c r="O387" s="88"/>
      <c r="P38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351500</v>
      </c>
      <c r="Q38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351500</v>
      </c>
      <c r="R38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351500</v>
      </c>
      <c r="S387" s="72">
        <f>IF(AR_725[[#This Row],[PO Amount]]=0,1,AR_725[[#This Row],[Total AR (Sent)]]/AR_725[[#This Row],[PO Amount]])</f>
        <v>1</v>
      </c>
      <c r="T387" s="45">
        <f>AR_725[[#This Row],[PO Amount]]-AR_725[[#This Row],[Total AR (Sent)]]</f>
        <v>0</v>
      </c>
      <c r="U387" s="40"/>
      <c r="V387" s="40"/>
      <c r="W387" s="40"/>
      <c r="X387" s="40"/>
      <c r="Y387" s="40"/>
      <c r="Z387" s="40"/>
      <c r="AA387" s="40"/>
      <c r="AB387" s="40"/>
      <c r="AC387" s="40">
        <v>29174.5</v>
      </c>
      <c r="AD387" s="40"/>
      <c r="AE387" s="40"/>
      <c r="AF387" s="40"/>
      <c r="AG387" s="40">
        <v>29174.5</v>
      </c>
      <c r="AH387" s="40"/>
      <c r="AI387" s="40">
        <v>29174.5</v>
      </c>
      <c r="AJ387" s="40"/>
      <c r="AK387" s="40">
        <v>29174.5</v>
      </c>
      <c r="AL387" s="40"/>
      <c r="AM387" s="40">
        <v>29174.5</v>
      </c>
      <c r="AN387" s="40"/>
      <c r="AO387" s="40">
        <v>29174.5</v>
      </c>
      <c r="AP387" s="40"/>
      <c r="AQ387" s="40">
        <v>29174.5</v>
      </c>
      <c r="AR387" s="102"/>
      <c r="AS387" s="40">
        <v>29174.5</v>
      </c>
      <c r="AT387" s="44"/>
      <c r="AU387" s="40">
        <v>29174.5</v>
      </c>
      <c r="AV387" s="44"/>
      <c r="AW387" s="40">
        <v>29174.5</v>
      </c>
      <c r="AX387" s="44"/>
      <c r="AY387" s="40">
        <v>29174.5</v>
      </c>
      <c r="AZ387" s="44"/>
      <c r="BA387" s="40">
        <v>30580.5</v>
      </c>
      <c r="BB387" s="44"/>
      <c r="BC387" s="40"/>
      <c r="BD387" s="40"/>
      <c r="BE387" s="40"/>
      <c r="BF387" s="40"/>
      <c r="BG387" s="40"/>
      <c r="BH387" s="40"/>
      <c r="BI387" s="40"/>
      <c r="BJ387" s="40"/>
      <c r="BK387" s="40"/>
      <c r="BL387" s="44"/>
      <c r="BM387" s="40"/>
      <c r="BN387" s="40"/>
      <c r="BO387" s="40"/>
      <c r="BP387" s="40"/>
      <c r="BQ387" s="40"/>
      <c r="BR387" s="40"/>
      <c r="BS387" s="40"/>
      <c r="BT387" s="40"/>
      <c r="BU387" s="40"/>
      <c r="BV387" s="40"/>
      <c r="BW387" s="40"/>
      <c r="BX387" s="40"/>
      <c r="BZ387" s="40"/>
      <c r="CA387" s="40"/>
      <c r="CB387" s="40"/>
      <c r="CC387" s="40"/>
      <c r="CD387" s="34"/>
      <c r="CE387" s="34"/>
      <c r="CF387" s="34"/>
      <c r="CG387" s="122"/>
      <c r="CI387" s="122"/>
      <c r="CJ387" s="30"/>
      <c r="CK387" s="122">
        <v>0</v>
      </c>
      <c r="CL387" s="122">
        <v>0</v>
      </c>
      <c r="CM387" s="122">
        <v>0</v>
      </c>
      <c r="CN387" s="122">
        <v>0</v>
      </c>
      <c r="CO387" s="122">
        <f>SUMIFS(BB___HK___AMHS__Others[AR Amount],BB___HK___AMHS__Others[PO No.],AR_725[[#This Row],[tsmc PO '#]],BB___HK___AMHS__Others[Status],"&lt;&gt;Rejected",BB___HK___AMHS__Others[YearMonth],"2024-07")</f>
        <v>0</v>
      </c>
      <c r="CP387" s="122">
        <f>SUMIFS(BB___HK___AMHS__Others[Tax],BB___HK___AMHS__Others[PO No.],AR_725[[#This Row],[tsmc PO '#]],BB___HK___AMHS__Others[Status],"&lt;&gt;Rejected",BB___HK___AMHS__Others[YearMonth],"2024-07")</f>
        <v>0</v>
      </c>
      <c r="CQ387" s="34">
        <f>SUMIFS(BB___HK___AMHS__Others[AR Amount],BB___HK___AMHS__Others[PO No.],AR_725[[#This Row],[tsmc PO '#]],BB___HK___AMHS__Others[Status],"&lt;&gt;Rejected",BB___HK___AMHS__Others[YearMonth],"2024-08")</f>
        <v>0</v>
      </c>
      <c r="CR387" s="44">
        <f>SUMIFS(BB___HK___AMHS__Others[Tax],BB___HK___AMHS__Others[PO No.],AR_725[[#This Row],[tsmc PO '#]],BB___HK___AMHS__Others[Status],"&lt;&gt;Rejected",BB___HK___AMHS__Others[YearMonth],"2024-08")</f>
        <v>0</v>
      </c>
      <c r="CS387" s="62">
        <f>SUMIFS(BB___HK___AMHS__Others[AR Amount],BB___HK___AMHS__Others[PO No.],AR_725[[#This Row],[tsmc PO '#]],BB___HK___AMHS__Others[Status],"&lt;&gt;Rejected",BB___HK___AMHS__Others[YearMonth],"2024-09")</f>
        <v>0</v>
      </c>
      <c r="CT387" s="601">
        <f>SUMIFS(BB___HK___AMHS__Others[Tax],BB___HK___AMHS__Others[PO No.],AR_725[[#This Row],[tsmc PO '#]],BB___HK___AMHS__Others[Status],"&lt;&gt;Rejected",BB___HK___AMHS__Others[YearMonth],"2024-09")</f>
        <v>0</v>
      </c>
    </row>
    <row r="388" spans="1:98" ht="15" hidden="1" customHeight="1">
      <c r="A388" s="30" t="s">
        <v>8</v>
      </c>
      <c r="B388" s="30" t="s">
        <v>8</v>
      </c>
      <c r="D388" s="50"/>
      <c r="E388" s="604" t="s">
        <v>2109</v>
      </c>
      <c r="F388" s="50"/>
      <c r="G388" s="50" t="s">
        <v>54</v>
      </c>
      <c r="H388" s="50">
        <v>4590021213</v>
      </c>
      <c r="J388" s="30" t="s">
        <v>2418</v>
      </c>
      <c r="K388" s="62">
        <v>522588.59</v>
      </c>
      <c r="M388" s="50" t="s">
        <v>2419</v>
      </c>
      <c r="N388" s="87"/>
      <c r="O388" s="30" t="s">
        <v>2156</v>
      </c>
      <c r="P38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38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8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88" s="72">
        <f>IF(AR_725[[#This Row],[PO Amount]]=0,1,AR_725[[#This Row],[Total AR (Sent)]]/AR_725[[#This Row],[PO Amount]])</f>
        <v>0</v>
      </c>
      <c r="T388" s="73">
        <f>AR_725[[#This Row],[PO Amount]]-AR_725[[#This Row],[Total AR (Sent)]]</f>
        <v>522588.59</v>
      </c>
      <c r="AR388" s="84"/>
      <c r="AT388" s="44"/>
      <c r="AV388" s="85"/>
      <c r="AX388" s="79"/>
      <c r="AZ388" s="79"/>
      <c r="BB388" s="79"/>
      <c r="BL388" s="79"/>
      <c r="CG388" s="122"/>
      <c r="CI388" s="122"/>
      <c r="CK388" s="122"/>
      <c r="CL388" s="122"/>
      <c r="CM388" s="122"/>
      <c r="CN388" s="122"/>
      <c r="CP388" s="122">
        <f>SUMIFS(BB___HK___AMHS__Others[Tax],BB___HK___AMHS__Others[PO No.],AR_725[[#This Row],[tsmc PO '#]],BB___HK___AMHS__Others[Status],"&lt;&gt;Rejected",BB___HK___AMHS__Others[YearMonth],"2024-07")</f>
        <v>0</v>
      </c>
      <c r="CQ388" s="34">
        <f>SUMIFS(BB___HK___AMHS__Others[AR Amount],BB___HK___AMHS__Others[PO No.],AR_725[[#This Row],[tsmc PO '#]],BB___HK___AMHS__Others[Status],"&lt;&gt;Rejected",BB___HK___AMHS__Others[YearMonth],"2024-08")</f>
        <v>0</v>
      </c>
      <c r="CR388" s="44">
        <f>SUMIFS(BB___HK___AMHS__Others[Tax],BB___HK___AMHS__Others[PO No.],AR_725[[#This Row],[tsmc PO '#]],BB___HK___AMHS__Others[Status],"&lt;&gt;Rejected",BB___HK___AMHS__Others[YearMonth],"2024-08")</f>
        <v>0</v>
      </c>
      <c r="CS388" s="62">
        <f>SUMIFS(BB___HK___AMHS__Others[AR Amount],BB___HK___AMHS__Others[PO No.],AR_725[[#This Row],[tsmc PO '#]],BB___HK___AMHS__Others[Status],"&lt;&gt;Rejected",BB___HK___AMHS__Others[YearMonth],"2024-09")</f>
        <v>0</v>
      </c>
      <c r="CT388" s="601">
        <f>SUMIFS(BB___HK___AMHS__Others[Tax],BB___HK___AMHS__Others[PO No.],AR_725[[#This Row],[tsmc PO '#]],BB___HK___AMHS__Others[Status],"&lt;&gt;Rejected",BB___HK___AMHS__Others[YearMonth],"2024-09")</f>
        <v>0</v>
      </c>
    </row>
    <row r="389" spans="1:98" ht="15" customHeight="1">
      <c r="A389" s="30" t="s">
        <v>13</v>
      </c>
      <c r="B389" s="30" t="s">
        <v>13</v>
      </c>
      <c r="D389" s="50"/>
      <c r="E389" s="30" t="s">
        <v>2206</v>
      </c>
      <c r="F389" s="50"/>
      <c r="G389" s="50" t="s">
        <v>54</v>
      </c>
      <c r="H389" s="50">
        <v>4590021215</v>
      </c>
      <c r="I389" s="30" t="s">
        <v>1749</v>
      </c>
      <c r="J389" s="30" t="s">
        <v>1747</v>
      </c>
      <c r="K389" s="62">
        <v>4831717.95</v>
      </c>
      <c r="M389" s="50" t="s">
        <v>2419</v>
      </c>
      <c r="N389" s="87"/>
      <c r="O389" s="30" t="s">
        <v>2156</v>
      </c>
      <c r="P38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1327766.83</v>
      </c>
      <c r="Q38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8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1125969.1000000001</v>
      </c>
      <c r="S389" s="72">
        <f>IF(AR_725[[#This Row],[PO Amount]]=0,1,AR_725[[#This Row],[Total AR (Sent)]]/AR_725[[#This Row],[PO Amount]])</f>
        <v>0.27480222226133877</v>
      </c>
      <c r="T389" s="73">
        <f>AR_725[[#This Row],[PO Amount]]-AR_725[[#This Row],[Total AR (Sent)]]</f>
        <v>3503951.12</v>
      </c>
      <c r="AR389" s="84"/>
      <c r="AT389" s="44"/>
      <c r="AV389" s="85"/>
      <c r="AX389" s="79"/>
      <c r="AZ389" s="79"/>
      <c r="BB389" s="79"/>
      <c r="BL389" s="79"/>
      <c r="CG389" s="122"/>
      <c r="CI389" s="122"/>
      <c r="CK389" s="122"/>
      <c r="CL389" s="122"/>
      <c r="CM389" s="122"/>
      <c r="CN389" s="122"/>
      <c r="CO389" s="34"/>
      <c r="CP389" s="122">
        <f>SUMIFS(BB___HK___AMHS__Others[Tax],BB___HK___AMHS__Others[PO No.],AR_725[[#This Row],[tsmc PO '#]],BB___HK___AMHS__Others[Status],"&lt;&gt;Rejected",BB___HK___AMHS__Others[YearMonth],"2024-07")</f>
        <v>0</v>
      </c>
      <c r="CQ389" s="34">
        <f>SUMIFS(BB___HK___AMHS__Others[AR Amount],BB___HK___AMHS__Others[PO No.],AR_725[[#This Row],[tsmc PO '#]],BB___HK___AMHS__Others[Status],"&lt;&gt;Rejected",BB___HK___AMHS__Others[YearMonth],"2024-08")</f>
        <v>1125969.1000000001</v>
      </c>
      <c r="CR389" s="44">
        <f>SUMIFS(BB___HK___AMHS__Others[Tax],BB___HK___AMHS__Others[PO No.],AR_725[[#This Row],[tsmc PO '#]],BB___HK___AMHS__Others[Status],"&lt;&gt;Rejected",BB___HK___AMHS__Others[YearMonth],"2024-08")</f>
        <v>0</v>
      </c>
      <c r="CS389" s="62">
        <f>SUMIFS(BB___HK___AMHS__Others[AR Amount],BB___HK___AMHS__Others[PO No.],AR_725[[#This Row],[tsmc PO '#]],BB___HK___AMHS__Others[Status],"&lt;&gt;Rejected",BB___HK___AMHS__Others[YearMonth],"2024-09")</f>
        <v>201797.73</v>
      </c>
      <c r="CT389" s="601">
        <f>SUMIFS(BB___HK___AMHS__Others[Tax],BB___HK___AMHS__Others[PO No.],AR_725[[#This Row],[tsmc PO '#]],BB___HK___AMHS__Others[Status],"&lt;&gt;Rejected",BB___HK___AMHS__Others[YearMonth],"2024-09")</f>
        <v>0</v>
      </c>
    </row>
    <row r="390" spans="1:98" ht="15" hidden="1" customHeight="1">
      <c r="A390" s="30" t="s">
        <v>9</v>
      </c>
      <c r="B390" s="30" t="s">
        <v>2051</v>
      </c>
      <c r="D390" s="50" t="s">
        <v>1706</v>
      </c>
      <c r="E390" s="30" t="s">
        <v>2070</v>
      </c>
      <c r="F390" s="50"/>
      <c r="G390" s="50" t="s">
        <v>1432</v>
      </c>
      <c r="H390" s="50">
        <v>4590021323</v>
      </c>
      <c r="J390" s="30" t="s">
        <v>2420</v>
      </c>
      <c r="K390" s="62">
        <v>684093.85</v>
      </c>
      <c r="M390" s="50" t="s">
        <v>2421</v>
      </c>
      <c r="N390" s="87"/>
      <c r="O390" s="30" t="s">
        <v>2156</v>
      </c>
      <c r="P39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39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9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90" s="72">
        <f>IF(AR_725[[#This Row],[PO Amount]]=0,1,AR_725[[#This Row],[Total AR (Sent)]]/AR_725[[#This Row],[PO Amount]])</f>
        <v>0</v>
      </c>
      <c r="T390" s="73">
        <f>AR_725[[#This Row],[PO Amount]]-AR_725[[#This Row],[Total AR (Sent)]]</f>
        <v>684093.85</v>
      </c>
      <c r="AR390" s="84"/>
      <c r="AT390" s="44"/>
      <c r="AV390" s="85"/>
      <c r="AX390" s="79"/>
      <c r="AZ390" s="79"/>
      <c r="BB390" s="79"/>
      <c r="BL390" s="79"/>
      <c r="CG390" s="122"/>
      <c r="CI390" s="122"/>
      <c r="CK390" s="122"/>
      <c r="CL390" s="122"/>
      <c r="CM390" s="122"/>
      <c r="CN390" s="122"/>
      <c r="CP390" s="122">
        <f>SUMIFS(BB___HK___AMHS__Others[Tax],BB___HK___AMHS__Others[PO No.],AR_725[[#This Row],[tsmc PO '#]],BB___HK___AMHS__Others[Status],"&lt;&gt;Rejected",BB___HK___AMHS__Others[YearMonth],"2024-07")</f>
        <v>0</v>
      </c>
      <c r="CQ390" s="34">
        <f>SUMIFS(BB___HK___AMHS__Others[AR Amount],BB___HK___AMHS__Others[PO No.],AR_725[[#This Row],[tsmc PO '#]],BB___HK___AMHS__Others[Status],"&lt;&gt;Rejected",BB___HK___AMHS__Others[YearMonth],"2024-08")</f>
        <v>0</v>
      </c>
      <c r="CR390" s="44">
        <f>SUMIFS(BB___HK___AMHS__Others[Tax],BB___HK___AMHS__Others[PO No.],AR_725[[#This Row],[tsmc PO '#]],BB___HK___AMHS__Others[Status],"&lt;&gt;Rejected",BB___HK___AMHS__Others[YearMonth],"2024-08")</f>
        <v>0</v>
      </c>
      <c r="CS390" s="62">
        <f>SUMIFS(BB___HK___AMHS__Others[AR Amount],BB___HK___AMHS__Others[PO No.],AR_725[[#This Row],[tsmc PO '#]],BB___HK___AMHS__Others[Status],"&lt;&gt;Rejected",BB___HK___AMHS__Others[YearMonth],"2024-09")</f>
        <v>0</v>
      </c>
      <c r="CT390" s="601">
        <f>SUMIFS(BB___HK___AMHS__Others[Tax],BB___HK___AMHS__Others[PO No.],AR_725[[#This Row],[tsmc PO '#]],BB___HK___AMHS__Others[Status],"&lt;&gt;Rejected",BB___HK___AMHS__Others[YearMonth],"2024-09")</f>
        <v>0</v>
      </c>
    </row>
    <row r="391" spans="1:98" ht="15" hidden="1" customHeight="1">
      <c r="A391" s="30" t="s">
        <v>21</v>
      </c>
      <c r="D391" s="50" t="s">
        <v>1706</v>
      </c>
      <c r="E391" s="50" t="s">
        <v>2070</v>
      </c>
      <c r="F391" s="50"/>
      <c r="G391" s="50" t="s">
        <v>2422</v>
      </c>
      <c r="H391" s="50">
        <v>4590021332</v>
      </c>
      <c r="J391" s="30" t="s">
        <v>2423</v>
      </c>
      <c r="K391" s="62">
        <v>374559.6</v>
      </c>
      <c r="M391" s="50" t="s">
        <v>2424</v>
      </c>
      <c r="N391" s="87"/>
      <c r="O391" s="30" t="s">
        <v>2156</v>
      </c>
      <c r="P39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374559.6</v>
      </c>
      <c r="Q39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9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91" s="72">
        <f>IF(AR_725[[#This Row],[PO Amount]]=0,1,AR_725[[#This Row],[Total AR (Sent)]]/AR_725[[#This Row],[PO Amount]])</f>
        <v>1</v>
      </c>
      <c r="T391" s="73">
        <f>AR_725[[#This Row],[PO Amount]]-AR_725[[#This Row],[Total AR (Sent)]]</f>
        <v>0</v>
      </c>
      <c r="AR391" s="84"/>
      <c r="AT391" s="44"/>
      <c r="AV391" s="85"/>
      <c r="AX391" s="79"/>
      <c r="AZ391" s="79"/>
      <c r="BB391" s="79"/>
      <c r="BL391" s="79"/>
      <c r="CG391" s="122"/>
      <c r="CI391" s="122"/>
      <c r="CK391" s="122"/>
      <c r="CL391" s="122"/>
      <c r="CM391" s="122"/>
      <c r="CN391" s="122"/>
      <c r="CP391" s="122">
        <f>SUMIFS(BB___HK___AMHS__Others[Tax],BB___HK___AMHS__Others[PO No.],AR_725[[#This Row],[tsmc PO '#]],BB___HK___AMHS__Others[Status],"&lt;&gt;Rejected",BB___HK___AMHS__Others[YearMonth],"2024-07")</f>
        <v>0</v>
      </c>
      <c r="CQ391" s="34">
        <f>SUMIFS(BB___HK___AMHS__Others[AR Amount],BB___HK___AMHS__Others[PO No.],AR_725[[#This Row],[tsmc PO '#]],BB___HK___AMHS__Others[Status],"&lt;&gt;Rejected",BB___HK___AMHS__Others[YearMonth],"2024-08")</f>
        <v>374559.6</v>
      </c>
      <c r="CR391" s="44">
        <f>SUMIFS(BB___HK___AMHS__Others[Tax],BB___HK___AMHS__Others[PO No.],AR_725[[#This Row],[tsmc PO '#]],BB___HK___AMHS__Others[Status],"&lt;&gt;Rejected",BB___HK___AMHS__Others[YearMonth],"2024-08")</f>
        <v>0</v>
      </c>
      <c r="CS391" s="62">
        <f>SUMIFS(BB___HK___AMHS__Others[AR Amount],BB___HK___AMHS__Others[PO No.],AR_725[[#This Row],[tsmc PO '#]],BB___HK___AMHS__Others[Status],"&lt;&gt;Rejected",BB___HK___AMHS__Others[YearMonth],"2024-09")</f>
        <v>0</v>
      </c>
      <c r="CT391" s="601">
        <f>SUMIFS(BB___HK___AMHS__Others[Tax],BB___HK___AMHS__Others[PO No.],AR_725[[#This Row],[tsmc PO '#]],BB___HK___AMHS__Others[Status],"&lt;&gt;Rejected",BB___HK___AMHS__Others[YearMonth],"2024-09")</f>
        <v>0</v>
      </c>
    </row>
    <row r="392" spans="1:98" ht="15" hidden="1" customHeight="1">
      <c r="A392" s="30" t="s">
        <v>13</v>
      </c>
      <c r="D392" s="50"/>
      <c r="E392" s="603" t="s">
        <v>2095</v>
      </c>
      <c r="F392" s="50"/>
      <c r="G392" s="50" t="s">
        <v>54</v>
      </c>
      <c r="H392" s="50">
        <v>4590021581</v>
      </c>
      <c r="J392" s="30" t="s">
        <v>2425</v>
      </c>
      <c r="K392" s="62">
        <v>511456</v>
      </c>
      <c r="M392" s="50" t="s">
        <v>2426</v>
      </c>
      <c r="N392" s="87"/>
      <c r="O392" s="30" t="s">
        <v>2156</v>
      </c>
      <c r="P39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39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9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92" s="72">
        <f>IF(AR_725[[#This Row],[PO Amount]]=0,1,AR_725[[#This Row],[Total AR (Sent)]]/AR_725[[#This Row],[PO Amount]])</f>
        <v>0</v>
      </c>
      <c r="T392" s="73">
        <f>AR_725[[#This Row],[PO Amount]]-AR_725[[#This Row],[Total AR (Sent)]]</f>
        <v>511456</v>
      </c>
      <c r="AR392" s="84"/>
      <c r="AT392" s="44"/>
      <c r="AV392" s="85"/>
      <c r="AX392" s="79"/>
      <c r="AZ392" s="79"/>
      <c r="BB392" s="79"/>
      <c r="BL392" s="79"/>
      <c r="CG392" s="122"/>
      <c r="CI392" s="122"/>
      <c r="CK392" s="122"/>
      <c r="CL392" s="122"/>
      <c r="CM392" s="122"/>
      <c r="CN392" s="122"/>
      <c r="CP392" s="122">
        <f>SUMIFS(BB___HK___AMHS__Others[Tax],BB___HK___AMHS__Others[PO No.],AR_725[[#This Row],[tsmc PO '#]],BB___HK___AMHS__Others[Status],"&lt;&gt;Rejected",BB___HK___AMHS__Others[YearMonth],"2024-07")</f>
        <v>0</v>
      </c>
      <c r="CQ392" s="34">
        <f>SUMIFS(BB___HK___AMHS__Others[AR Amount],BB___HK___AMHS__Others[PO No.],AR_725[[#This Row],[tsmc PO '#]],BB___HK___AMHS__Others[Status],"&lt;&gt;Rejected",BB___HK___AMHS__Others[YearMonth],"2024-08")</f>
        <v>0</v>
      </c>
      <c r="CR392" s="44">
        <f>SUMIFS(BB___HK___AMHS__Others[Tax],BB___HK___AMHS__Others[PO No.],AR_725[[#This Row],[tsmc PO '#]],BB___HK___AMHS__Others[Status],"&lt;&gt;Rejected",BB___HK___AMHS__Others[YearMonth],"2024-08")</f>
        <v>0</v>
      </c>
      <c r="CS392" s="62">
        <f>SUMIFS(BB___HK___AMHS__Others[AR Amount],BB___HK___AMHS__Others[PO No.],AR_725[[#This Row],[tsmc PO '#]],BB___HK___AMHS__Others[Status],"&lt;&gt;Rejected",BB___HK___AMHS__Others[YearMonth],"2024-09")</f>
        <v>0</v>
      </c>
      <c r="CT392" s="601">
        <f>SUMIFS(BB___HK___AMHS__Others[Tax],BB___HK___AMHS__Others[PO No.],AR_725[[#This Row],[tsmc PO '#]],BB___HK___AMHS__Others[Status],"&lt;&gt;Rejected",BB___HK___AMHS__Others[YearMonth],"2024-09")</f>
        <v>0</v>
      </c>
    </row>
    <row r="393" spans="1:98" ht="15" customHeight="1">
      <c r="A393" s="30" t="s">
        <v>9</v>
      </c>
      <c r="D393" s="50" t="s">
        <v>1546</v>
      </c>
      <c r="E393" s="105" t="s">
        <v>2052</v>
      </c>
      <c r="F393" s="50"/>
      <c r="G393" s="50" t="s">
        <v>54</v>
      </c>
      <c r="H393" s="50">
        <v>4590021580</v>
      </c>
      <c r="J393" s="30" t="s">
        <v>2427</v>
      </c>
      <c r="K393" s="62">
        <v>1010419.34</v>
      </c>
      <c r="M393" s="50" t="s">
        <v>2426</v>
      </c>
      <c r="N393" s="87"/>
      <c r="O393" s="30" t="s">
        <v>2156</v>
      </c>
      <c r="P39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471889.25</v>
      </c>
      <c r="Q39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9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93" s="72">
        <f>IF(AR_725[[#This Row],[PO Amount]]=0,1,AR_725[[#This Row],[Total AR (Sent)]]/AR_725[[#This Row],[PO Amount]])</f>
        <v>0.46702317673373117</v>
      </c>
      <c r="T393" s="73">
        <f>AR_725[[#This Row],[PO Amount]]-AR_725[[#This Row],[Total AR (Sent)]]</f>
        <v>538530.09</v>
      </c>
      <c r="AR393" s="84"/>
      <c r="AT393" s="44"/>
      <c r="AV393" s="85"/>
      <c r="AX393" s="79"/>
      <c r="AZ393" s="79"/>
      <c r="BB393" s="79"/>
      <c r="BL393" s="79"/>
      <c r="CG393" s="122"/>
      <c r="CI393" s="122"/>
      <c r="CK393" s="122"/>
      <c r="CL393" s="122"/>
      <c r="CM393" s="122"/>
      <c r="CN393" s="122"/>
      <c r="CP393" s="122">
        <f>SUMIFS(BB___HK___AMHS__Others[Tax],BB___HK___AMHS__Others[PO No.],AR_725[[#This Row],[tsmc PO '#]],BB___HK___AMHS__Others[Status],"&lt;&gt;Rejected",BB___HK___AMHS__Others[YearMonth],"2024-07")</f>
        <v>0</v>
      </c>
      <c r="CQ393" s="34">
        <f>SUMIFS(BB___HK___AMHS__Others[AR Amount],BB___HK___AMHS__Others[PO No.],AR_725[[#This Row],[tsmc PO '#]],BB___HK___AMHS__Others[Status],"&lt;&gt;Rejected",BB___HK___AMHS__Others[YearMonth],"2024-08")</f>
        <v>0</v>
      </c>
      <c r="CR393" s="44">
        <f>SUMIFS(BB___HK___AMHS__Others[Tax],BB___HK___AMHS__Others[PO No.],AR_725[[#This Row],[tsmc PO '#]],BB___HK___AMHS__Others[Status],"&lt;&gt;Rejected",BB___HK___AMHS__Others[YearMonth],"2024-08")</f>
        <v>0</v>
      </c>
      <c r="CS393" s="62">
        <f>SUMIFS(BB___HK___AMHS__Others[AR Amount],BB___HK___AMHS__Others[PO No.],AR_725[[#This Row],[tsmc PO '#]],BB___HK___AMHS__Others[Status],"&lt;&gt;Rejected",BB___HK___AMHS__Others[YearMonth],"2024-09")</f>
        <v>471889.25</v>
      </c>
      <c r="CT393" s="601">
        <f>SUMIFS(BB___HK___AMHS__Others[Tax],BB___HK___AMHS__Others[PO No.],AR_725[[#This Row],[tsmc PO '#]],BB___HK___AMHS__Others[Status],"&lt;&gt;Rejected",BB___HK___AMHS__Others[YearMonth],"2024-09")</f>
        <v>0</v>
      </c>
    </row>
    <row r="394" spans="1:98" ht="15" hidden="1" customHeight="1">
      <c r="A394" s="30" t="s">
        <v>18</v>
      </c>
      <c r="D394" s="50"/>
      <c r="E394" s="30" t="s">
        <v>2044</v>
      </c>
      <c r="F394" s="50"/>
      <c r="G394" s="50" t="s">
        <v>2077</v>
      </c>
      <c r="H394" s="50" t="s">
        <v>2428</v>
      </c>
      <c r="J394" s="30" t="s">
        <v>2429</v>
      </c>
      <c r="K394" s="462">
        <v>17910.55</v>
      </c>
      <c r="M394" s="50" t="s">
        <v>2430</v>
      </c>
      <c r="N394" s="87"/>
      <c r="O394" s="30" t="s">
        <v>2079</v>
      </c>
      <c r="P39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39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9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94" s="72">
        <f>IF(AR_725[[#This Row],[PO Amount]]=0,1,AR_725[[#This Row],[Total AR (Sent)]]/AR_725[[#This Row],[PO Amount]])</f>
        <v>0</v>
      </c>
      <c r="T394" s="73">
        <f>AR_725[[#This Row],[PO Amount]]-AR_725[[#This Row],[Total AR (Sent)]]</f>
        <v>17910.55</v>
      </c>
      <c r="AR394" s="84"/>
      <c r="AT394" s="44"/>
      <c r="AV394" s="85"/>
      <c r="AX394" s="79"/>
      <c r="AZ394" s="79"/>
      <c r="BB394" s="79"/>
      <c r="BL394" s="79"/>
      <c r="CG394" s="122"/>
      <c r="CI394" s="122"/>
      <c r="CK394" s="122"/>
      <c r="CL394" s="122"/>
      <c r="CM394" s="122"/>
      <c r="CN394" s="122"/>
      <c r="CP394" s="122">
        <f>SUMIFS(BB___HK___AMHS__Others[Tax],BB___HK___AMHS__Others[PO No.],AR_725[[#This Row],[tsmc PO '#]],BB___HK___AMHS__Others[Status],"&lt;&gt;Rejected",BB___HK___AMHS__Others[YearMonth],"2024-07")</f>
        <v>0</v>
      </c>
      <c r="CQ394" s="34">
        <f>SUMIFS(BB___HK___AMHS__Others[AR Amount],BB___HK___AMHS__Others[PO No.],AR_725[[#This Row],[tsmc PO '#]],BB___HK___AMHS__Others[Status],"&lt;&gt;Rejected",BB___HK___AMHS__Others[YearMonth],"2024-08")</f>
        <v>0</v>
      </c>
      <c r="CR394" s="44">
        <f>SUMIFS(BB___HK___AMHS__Others[Tax],BB___HK___AMHS__Others[PO No.],AR_725[[#This Row],[tsmc PO '#]],BB___HK___AMHS__Others[Status],"&lt;&gt;Rejected",BB___HK___AMHS__Others[YearMonth],"2024-08")</f>
        <v>0</v>
      </c>
      <c r="CS394" s="62">
        <f>SUMIFS(BB___HK___AMHS__Others[AR Amount],BB___HK___AMHS__Others[PO No.],AR_725[[#This Row],[tsmc PO '#]],BB___HK___AMHS__Others[Status],"&lt;&gt;Rejected",BB___HK___AMHS__Others[YearMonth],"2024-09")</f>
        <v>0</v>
      </c>
      <c r="CT394" s="601">
        <f>SUMIFS(BB___HK___AMHS__Others[Tax],BB___HK___AMHS__Others[PO No.],AR_725[[#This Row],[tsmc PO '#]],BB___HK___AMHS__Others[Status],"&lt;&gt;Rejected",BB___HK___AMHS__Others[YearMonth],"2024-09")</f>
        <v>0</v>
      </c>
    </row>
    <row r="395" spans="1:98" ht="15" customHeight="1">
      <c r="A395" s="30" t="s">
        <v>13</v>
      </c>
      <c r="D395" s="50"/>
      <c r="E395" s="30" t="s">
        <v>2126</v>
      </c>
      <c r="F395" s="50"/>
      <c r="G395" s="50" t="s">
        <v>2266</v>
      </c>
      <c r="H395" s="50">
        <v>4590021791</v>
      </c>
      <c r="J395" s="30" t="s">
        <v>1890</v>
      </c>
      <c r="K395" s="46">
        <v>3841900</v>
      </c>
      <c r="M395" s="86">
        <v>45531</v>
      </c>
      <c r="N395" s="87"/>
      <c r="O395" s="30" t="s">
        <v>2156</v>
      </c>
      <c r="P39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142536.84</v>
      </c>
      <c r="Q39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9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95" s="72">
        <f>IF(AR_725[[#This Row],[PO Amount]]=0,1,AR_725[[#This Row],[Total AR (Sent)]]/AR_725[[#This Row],[PO Amount]])</f>
        <v>3.7100611676514225E-2</v>
      </c>
      <c r="T395" s="73">
        <f>AR_725[[#This Row],[PO Amount]]-AR_725[[#This Row],[Total AR (Sent)]]</f>
        <v>3699363.16</v>
      </c>
      <c r="AR395" s="84"/>
      <c r="AT395" s="44"/>
      <c r="AV395" s="85"/>
      <c r="AX395" s="79"/>
      <c r="AZ395" s="79"/>
      <c r="BB395" s="79"/>
      <c r="BL395" s="79"/>
      <c r="CG395" s="122"/>
      <c r="CI395" s="122"/>
      <c r="CK395" s="122"/>
      <c r="CL395" s="122"/>
      <c r="CM395" s="122"/>
      <c r="CN395" s="122"/>
      <c r="CP395" s="122">
        <f>SUMIFS(BB___HK___AMHS__Others[Tax],BB___HK___AMHS__Others[PO No.],AR_725[[#This Row],[tsmc PO '#]],BB___HK___AMHS__Others[Status],"&lt;&gt;Rejected",BB___HK___AMHS__Others[YearMonth],"2024-07")</f>
        <v>0</v>
      </c>
      <c r="CQ395" s="34">
        <f>SUMIFS(BB___HK___AMHS__Others[AR Amount],BB___HK___AMHS__Others[PO No.],AR_725[[#This Row],[tsmc PO '#]],BB___HK___AMHS__Others[Status],"&lt;&gt;Rejected",BB___HK___AMHS__Others[YearMonth],"2024-08")</f>
        <v>0</v>
      </c>
      <c r="CR395" s="44">
        <f>SUMIFS(BB___HK___AMHS__Others[Tax],BB___HK___AMHS__Others[PO No.],AR_725[[#This Row],[tsmc PO '#]],BB___HK___AMHS__Others[Status],"&lt;&gt;Rejected",BB___HK___AMHS__Others[YearMonth],"2024-08")</f>
        <v>0</v>
      </c>
      <c r="CS395" s="62">
        <f>SUMIFS(BB___HK___AMHS__Others[AR Amount],BB___HK___AMHS__Others[PO No.],AR_725[[#This Row],[tsmc PO '#]],BB___HK___AMHS__Others[Status],"&lt;&gt;Rejected",BB___HK___AMHS__Others[YearMonth],"2024-09")</f>
        <v>142536.84</v>
      </c>
      <c r="CT395" s="601">
        <f>SUMIFS(BB___HK___AMHS__Others[Tax],BB___HK___AMHS__Others[PO No.],AR_725[[#This Row],[tsmc PO '#]],BB___HK___AMHS__Others[Status],"&lt;&gt;Rejected",BB___HK___AMHS__Others[YearMonth],"2024-09")</f>
        <v>0</v>
      </c>
    </row>
    <row r="396" spans="1:98" ht="15" hidden="1" customHeight="1">
      <c r="A396" s="30" t="s">
        <v>21</v>
      </c>
      <c r="D396" s="50" t="s">
        <v>1706</v>
      </c>
      <c r="E396" s="30" t="s">
        <v>2070</v>
      </c>
      <c r="F396" s="50"/>
      <c r="G396" s="50" t="s">
        <v>54</v>
      </c>
      <c r="H396" s="50">
        <v>4590021815</v>
      </c>
      <c r="J396" s="30" t="s">
        <v>2431</v>
      </c>
      <c r="K396" s="46">
        <v>1016002.05</v>
      </c>
      <c r="M396" s="86">
        <v>45532</v>
      </c>
      <c r="N396" s="87"/>
      <c r="O396" s="30" t="s">
        <v>2156</v>
      </c>
      <c r="P39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39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9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96" s="72">
        <f>IF(AR_725[[#This Row],[PO Amount]]=0,1,AR_725[[#This Row],[Total AR (Sent)]]/AR_725[[#This Row],[PO Amount]])</f>
        <v>0</v>
      </c>
      <c r="T396" s="73">
        <f>AR_725[[#This Row],[PO Amount]]-AR_725[[#This Row],[Total AR (Sent)]]</f>
        <v>1016002.05</v>
      </c>
      <c r="AR396" s="84"/>
      <c r="AT396" s="44"/>
      <c r="AV396" s="85"/>
      <c r="AX396" s="79"/>
      <c r="AZ396" s="79"/>
      <c r="BB396" s="79"/>
      <c r="BL396" s="79"/>
      <c r="CG396" s="122"/>
      <c r="CI396" s="122"/>
      <c r="CK396" s="122"/>
      <c r="CL396" s="122"/>
      <c r="CM396" s="122"/>
      <c r="CN396" s="122"/>
      <c r="CP396" s="122">
        <f>SUMIFS(BB___HK___AMHS__Others[Tax],BB___HK___AMHS__Others[PO No.],AR_725[[#This Row],[tsmc PO '#]],BB___HK___AMHS__Others[Status],"&lt;&gt;Rejected",BB___HK___AMHS__Others[YearMonth],"2024-07")</f>
        <v>0</v>
      </c>
      <c r="CQ396" s="34">
        <f>SUMIFS(BB___HK___AMHS__Others[AR Amount],BB___HK___AMHS__Others[PO No.],AR_725[[#This Row],[tsmc PO '#]],BB___HK___AMHS__Others[Status],"&lt;&gt;Rejected",BB___HK___AMHS__Others[YearMonth],"2024-08")</f>
        <v>0</v>
      </c>
      <c r="CR396" s="44">
        <f>SUMIFS(BB___HK___AMHS__Others[Tax],BB___HK___AMHS__Others[PO No.],AR_725[[#This Row],[tsmc PO '#]],BB___HK___AMHS__Others[Status],"&lt;&gt;Rejected",BB___HK___AMHS__Others[YearMonth],"2024-08")</f>
        <v>0</v>
      </c>
      <c r="CS396" s="62">
        <f>SUMIFS(BB___HK___AMHS__Others[AR Amount],BB___HK___AMHS__Others[PO No.],AR_725[[#This Row],[tsmc PO '#]],BB___HK___AMHS__Others[Status],"&lt;&gt;Rejected",BB___HK___AMHS__Others[YearMonth],"2024-09")</f>
        <v>0</v>
      </c>
      <c r="CT396" s="601">
        <f>SUMIFS(BB___HK___AMHS__Others[Tax],BB___HK___AMHS__Others[PO No.],AR_725[[#This Row],[tsmc PO '#]],BB___HK___AMHS__Others[Status],"&lt;&gt;Rejected",BB___HK___AMHS__Others[YearMonth],"2024-09")</f>
        <v>0</v>
      </c>
    </row>
    <row r="397" spans="1:98" ht="15" hidden="1" customHeight="1">
      <c r="A397" s="30" t="s">
        <v>9</v>
      </c>
      <c r="D397" s="50" t="s">
        <v>1720</v>
      </c>
      <c r="E397" s="30" t="s">
        <v>2432</v>
      </c>
      <c r="F397" s="50"/>
      <c r="G397" s="50" t="s">
        <v>2433</v>
      </c>
      <c r="H397" s="50">
        <v>4590021643</v>
      </c>
      <c r="J397" s="30" t="s">
        <v>2434</v>
      </c>
      <c r="K397" s="46">
        <v>1284</v>
      </c>
      <c r="M397" s="86">
        <v>45527</v>
      </c>
      <c r="N397" s="87"/>
      <c r="O397" s="30" t="s">
        <v>2160</v>
      </c>
      <c r="P39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39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9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97" s="72">
        <f>IF(AR_725[[#This Row],[PO Amount]]=0,1,AR_725[[#This Row],[Total AR (Sent)]]/AR_725[[#This Row],[PO Amount]])</f>
        <v>0</v>
      </c>
      <c r="T397" s="73">
        <f>AR_725[[#This Row],[PO Amount]]-AR_725[[#This Row],[Total AR (Sent)]]</f>
        <v>1284</v>
      </c>
      <c r="AR397" s="84"/>
      <c r="AT397" s="44"/>
      <c r="AV397" s="85"/>
      <c r="AX397" s="79"/>
      <c r="AZ397" s="79"/>
      <c r="BB397" s="79"/>
      <c r="BL397" s="79"/>
      <c r="CG397" s="122"/>
      <c r="CI397" s="122"/>
      <c r="CK397" s="122"/>
      <c r="CL397" s="122"/>
      <c r="CM397" s="122"/>
      <c r="CN397" s="122"/>
      <c r="CP397" s="122">
        <f>SUMIFS(BB___HK___AMHS__Others[Tax],BB___HK___AMHS__Others[PO No.],AR_725[[#This Row],[tsmc PO '#]],BB___HK___AMHS__Others[Status],"&lt;&gt;Rejected",BB___HK___AMHS__Others[YearMonth],"2024-07")</f>
        <v>0</v>
      </c>
      <c r="CQ397" s="34">
        <f>SUMIFS(BB___HK___AMHS__Others[AR Amount],BB___HK___AMHS__Others[PO No.],AR_725[[#This Row],[tsmc PO '#]],BB___HK___AMHS__Others[Status],"&lt;&gt;Rejected",BB___HK___AMHS__Others[YearMonth],"2024-08")</f>
        <v>0</v>
      </c>
      <c r="CR397" s="44">
        <f>SUMIFS(BB___HK___AMHS__Others[Tax],BB___HK___AMHS__Others[PO No.],AR_725[[#This Row],[tsmc PO '#]],BB___HK___AMHS__Others[Status],"&lt;&gt;Rejected",BB___HK___AMHS__Others[YearMonth],"2024-08")</f>
        <v>0</v>
      </c>
      <c r="CS397" s="62">
        <f>SUMIFS(BB___HK___AMHS__Others[AR Amount],BB___HK___AMHS__Others[PO No.],AR_725[[#This Row],[tsmc PO '#]],BB___HK___AMHS__Others[Status],"&lt;&gt;Rejected",BB___HK___AMHS__Others[YearMonth],"2024-09")</f>
        <v>0</v>
      </c>
      <c r="CT397" s="601">
        <f>SUMIFS(BB___HK___AMHS__Others[Tax],BB___HK___AMHS__Others[PO No.],AR_725[[#This Row],[tsmc PO '#]],BB___HK___AMHS__Others[Status],"&lt;&gt;Rejected",BB___HK___AMHS__Others[YearMonth],"2024-09")</f>
        <v>0</v>
      </c>
    </row>
    <row r="398" spans="1:98" ht="15" hidden="1" customHeight="1">
      <c r="A398" s="30" t="s">
        <v>9</v>
      </c>
      <c r="B398" s="30" t="s">
        <v>2051</v>
      </c>
      <c r="D398" s="50" t="s">
        <v>1759</v>
      </c>
      <c r="E398" s="50" t="s">
        <v>2065</v>
      </c>
      <c r="F398" s="50"/>
      <c r="G398" s="50" t="s">
        <v>2435</v>
      </c>
      <c r="H398" s="50">
        <v>4590021972</v>
      </c>
      <c r="J398" s="30" t="s">
        <v>2436</v>
      </c>
      <c r="K398" s="46">
        <v>8972.68</v>
      </c>
      <c r="M398" s="86">
        <v>45534</v>
      </c>
      <c r="N398" s="87"/>
      <c r="O398" s="30" t="s">
        <v>2160</v>
      </c>
      <c r="P39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39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9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98" s="72">
        <f>IF(AR_725[[#This Row],[PO Amount]]=0,1,AR_725[[#This Row],[Total AR (Sent)]]/AR_725[[#This Row],[PO Amount]])</f>
        <v>0</v>
      </c>
      <c r="T398" s="73">
        <f>AR_725[[#This Row],[PO Amount]]-AR_725[[#This Row],[Total AR (Sent)]]</f>
        <v>8972.68</v>
      </c>
      <c r="AR398" s="84"/>
      <c r="AT398" s="44"/>
      <c r="AV398" s="85"/>
      <c r="AX398" s="79"/>
      <c r="AZ398" s="79"/>
      <c r="BB398" s="79"/>
      <c r="BL398" s="79"/>
      <c r="CG398" s="122"/>
      <c r="CI398" s="122"/>
      <c r="CK398" s="122"/>
      <c r="CL398" s="122"/>
      <c r="CM398" s="122"/>
      <c r="CN398" s="122"/>
      <c r="CP398" s="122">
        <f>SUMIFS(BB___HK___AMHS__Others[Tax],BB___HK___AMHS__Others[PO No.],AR_725[[#This Row],[tsmc PO '#]],BB___HK___AMHS__Others[Status],"&lt;&gt;Rejected",BB___HK___AMHS__Others[YearMonth],"2024-07")</f>
        <v>0</v>
      </c>
      <c r="CQ398" s="34">
        <f>SUMIFS(BB___HK___AMHS__Others[AR Amount],BB___HK___AMHS__Others[PO No.],AR_725[[#This Row],[tsmc PO '#]],BB___HK___AMHS__Others[Status],"&lt;&gt;Rejected",BB___HK___AMHS__Others[YearMonth],"2024-08")</f>
        <v>0</v>
      </c>
      <c r="CR398" s="44">
        <f>SUMIFS(BB___HK___AMHS__Others[Tax],BB___HK___AMHS__Others[PO No.],AR_725[[#This Row],[tsmc PO '#]],BB___HK___AMHS__Others[Status],"&lt;&gt;Rejected",BB___HK___AMHS__Others[YearMonth],"2024-08")</f>
        <v>0</v>
      </c>
      <c r="CS398" s="62">
        <f>SUMIFS(BB___HK___AMHS__Others[AR Amount],BB___HK___AMHS__Others[PO No.],AR_725[[#This Row],[tsmc PO '#]],BB___HK___AMHS__Others[Status],"&lt;&gt;Rejected",BB___HK___AMHS__Others[YearMonth],"2024-09")</f>
        <v>0</v>
      </c>
      <c r="CT398" s="601">
        <f>SUMIFS(BB___HK___AMHS__Others[Tax],BB___HK___AMHS__Others[PO No.],AR_725[[#This Row],[tsmc PO '#]],BB___HK___AMHS__Others[Status],"&lt;&gt;Rejected",BB___HK___AMHS__Others[YearMonth],"2024-09")</f>
        <v>0</v>
      </c>
    </row>
    <row r="399" spans="1:98" ht="15" hidden="1" customHeight="1">
      <c r="A399" s="30" t="s">
        <v>9</v>
      </c>
      <c r="B399" s="30" t="s">
        <v>2051</v>
      </c>
      <c r="D399" s="50" t="s">
        <v>1706</v>
      </c>
      <c r="E399" s="30" t="s">
        <v>2070</v>
      </c>
      <c r="F399" s="50"/>
      <c r="G399" s="50" t="s">
        <v>1432</v>
      </c>
      <c r="H399" s="50">
        <v>4590021934</v>
      </c>
      <c r="J399" s="30" t="s">
        <v>2437</v>
      </c>
      <c r="K399" s="46">
        <v>7189476.5199999996</v>
      </c>
      <c r="M399" s="86">
        <v>45533</v>
      </c>
      <c r="N399" s="87"/>
      <c r="O399" s="30" t="s">
        <v>2156</v>
      </c>
      <c r="P39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39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39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399" s="72">
        <f>IF(AR_725[[#This Row],[PO Amount]]=0,1,AR_725[[#This Row],[Total AR (Sent)]]/AR_725[[#This Row],[PO Amount]])</f>
        <v>0</v>
      </c>
      <c r="T399" s="73">
        <f>AR_725[[#This Row],[PO Amount]]-AR_725[[#This Row],[Total AR (Sent)]]</f>
        <v>7189476.5199999996</v>
      </c>
      <c r="AR399" s="84"/>
      <c r="AT399" s="44"/>
      <c r="AV399" s="85"/>
      <c r="AX399" s="79"/>
      <c r="AZ399" s="79"/>
      <c r="BB399" s="79"/>
      <c r="BL399" s="79"/>
      <c r="CG399" s="122"/>
      <c r="CI399" s="122"/>
      <c r="CK399" s="122"/>
      <c r="CL399" s="122"/>
      <c r="CM399" s="122"/>
      <c r="CN399" s="122"/>
      <c r="CP399" s="122">
        <f>SUMIFS(BB___HK___AMHS__Others[Tax],BB___HK___AMHS__Others[PO No.],AR_725[[#This Row],[tsmc PO '#]],BB___HK___AMHS__Others[Status],"&lt;&gt;Rejected",BB___HK___AMHS__Others[YearMonth],"2024-07")</f>
        <v>0</v>
      </c>
      <c r="CQ399" s="34">
        <f>SUMIFS(BB___HK___AMHS__Others[AR Amount],BB___HK___AMHS__Others[PO No.],AR_725[[#This Row],[tsmc PO '#]],BB___HK___AMHS__Others[Status],"&lt;&gt;Rejected",BB___HK___AMHS__Others[YearMonth],"2024-08")</f>
        <v>0</v>
      </c>
      <c r="CR399" s="44">
        <f>SUMIFS(BB___HK___AMHS__Others[Tax],BB___HK___AMHS__Others[PO No.],AR_725[[#This Row],[tsmc PO '#]],BB___HK___AMHS__Others[Status],"&lt;&gt;Rejected",BB___HK___AMHS__Others[YearMonth],"2024-08")</f>
        <v>0</v>
      </c>
      <c r="CS399" s="62">
        <f>SUMIFS(BB___HK___AMHS__Others[AR Amount],BB___HK___AMHS__Others[PO No.],AR_725[[#This Row],[tsmc PO '#]],BB___HK___AMHS__Others[Status],"&lt;&gt;Rejected",BB___HK___AMHS__Others[YearMonth],"2024-09")</f>
        <v>0</v>
      </c>
      <c r="CT399" s="601">
        <f>SUMIFS(BB___HK___AMHS__Others[Tax],BB___HK___AMHS__Others[PO No.],AR_725[[#This Row],[tsmc PO '#]],BB___HK___AMHS__Others[Status],"&lt;&gt;Rejected",BB___HK___AMHS__Others[YearMonth],"2024-09")</f>
        <v>0</v>
      </c>
    </row>
    <row r="400" spans="1:98" ht="15" hidden="1" customHeight="1">
      <c r="A400" s="30" t="s">
        <v>9</v>
      </c>
      <c r="B400" s="30" t="s">
        <v>2051</v>
      </c>
      <c r="D400" s="50" t="s">
        <v>1706</v>
      </c>
      <c r="E400" s="30" t="s">
        <v>2070</v>
      </c>
      <c r="F400" s="50"/>
      <c r="G400" s="50" t="s">
        <v>1432</v>
      </c>
      <c r="H400" s="50">
        <v>4590021935</v>
      </c>
      <c r="J400" s="30" t="s">
        <v>2438</v>
      </c>
      <c r="K400" s="46">
        <v>4536009.3</v>
      </c>
      <c r="M400" s="86">
        <v>45533</v>
      </c>
      <c r="N400" s="87"/>
      <c r="O400" s="30" t="s">
        <v>2156</v>
      </c>
      <c r="P40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40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40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400" s="72">
        <f>IF(AR_725[[#This Row],[PO Amount]]=0,1,AR_725[[#This Row],[Total AR (Sent)]]/AR_725[[#This Row],[PO Amount]])</f>
        <v>0</v>
      </c>
      <c r="T400" s="73">
        <f>AR_725[[#This Row],[PO Amount]]-AR_725[[#This Row],[Total AR (Sent)]]</f>
        <v>4536009.3</v>
      </c>
      <c r="AR400" s="84"/>
      <c r="AT400" s="44"/>
      <c r="AV400" s="85"/>
      <c r="AX400" s="79"/>
      <c r="AZ400" s="79"/>
      <c r="BB400" s="79"/>
      <c r="BL400" s="79"/>
      <c r="CG400" s="122"/>
      <c r="CI400" s="122"/>
      <c r="CK400" s="122"/>
      <c r="CL400" s="122"/>
      <c r="CM400" s="122"/>
      <c r="CN400" s="122"/>
      <c r="CP400" s="122">
        <f>SUMIFS(BB___HK___AMHS__Others[Tax],BB___HK___AMHS__Others[PO No.],AR_725[[#This Row],[tsmc PO '#]],BB___HK___AMHS__Others[Status],"&lt;&gt;Rejected",BB___HK___AMHS__Others[YearMonth],"2024-07")</f>
        <v>0</v>
      </c>
      <c r="CQ400" s="34">
        <f>SUMIFS(BB___HK___AMHS__Others[AR Amount],BB___HK___AMHS__Others[PO No.],AR_725[[#This Row],[tsmc PO '#]],BB___HK___AMHS__Others[Status],"&lt;&gt;Rejected",BB___HK___AMHS__Others[YearMonth],"2024-08")</f>
        <v>0</v>
      </c>
      <c r="CR400" s="44">
        <f>SUMIFS(BB___HK___AMHS__Others[Tax],BB___HK___AMHS__Others[PO No.],AR_725[[#This Row],[tsmc PO '#]],BB___HK___AMHS__Others[Status],"&lt;&gt;Rejected",BB___HK___AMHS__Others[YearMonth],"2024-08")</f>
        <v>0</v>
      </c>
      <c r="CS400" s="62">
        <f>SUMIFS(BB___HK___AMHS__Others[AR Amount],BB___HK___AMHS__Others[PO No.],AR_725[[#This Row],[tsmc PO '#]],BB___HK___AMHS__Others[Status],"&lt;&gt;Rejected",BB___HK___AMHS__Others[YearMonth],"2024-09")</f>
        <v>0</v>
      </c>
      <c r="CT400" s="601">
        <f>SUMIFS(BB___HK___AMHS__Others[Tax],BB___HK___AMHS__Others[PO No.],AR_725[[#This Row],[tsmc PO '#]],BB___HK___AMHS__Others[Status],"&lt;&gt;Rejected",BB___HK___AMHS__Others[YearMonth],"2024-09")</f>
        <v>0</v>
      </c>
    </row>
    <row r="401" spans="1:98" ht="15" hidden="1" customHeight="1">
      <c r="A401" s="30" t="s">
        <v>8</v>
      </c>
      <c r="D401" s="50" t="s">
        <v>8</v>
      </c>
      <c r="E401" s="604" t="s">
        <v>2109</v>
      </c>
      <c r="F401" s="50"/>
      <c r="G401" s="50" t="s">
        <v>2183</v>
      </c>
      <c r="H401" s="50">
        <v>4590022059</v>
      </c>
      <c r="J401" s="30" t="s">
        <v>2439</v>
      </c>
      <c r="K401" s="46">
        <v>9120</v>
      </c>
      <c r="M401" s="86">
        <v>45539</v>
      </c>
      <c r="N401" s="87"/>
      <c r="O401" s="30" t="s">
        <v>2156</v>
      </c>
      <c r="P40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40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40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401" s="72">
        <f>IF(AR_725[[#This Row],[PO Amount]]=0,1,AR_725[[#This Row],[Total AR (Sent)]]/AR_725[[#This Row],[PO Amount]])</f>
        <v>0</v>
      </c>
      <c r="T401" s="73">
        <f>AR_725[[#This Row],[PO Amount]]-AR_725[[#This Row],[Total AR (Sent)]]</f>
        <v>9120</v>
      </c>
      <c r="AR401" s="84"/>
      <c r="AT401" s="44"/>
      <c r="AV401" s="85"/>
      <c r="AX401" s="79"/>
      <c r="AZ401" s="79"/>
      <c r="BB401" s="79"/>
      <c r="BL401" s="79"/>
      <c r="CG401" s="122"/>
      <c r="CI401" s="122"/>
      <c r="CK401" s="122"/>
      <c r="CL401" s="122"/>
      <c r="CM401" s="122"/>
      <c r="CN401" s="122"/>
      <c r="CP401" s="122">
        <f>SUMIFS(BB___HK___AMHS__Others[Tax],BB___HK___AMHS__Others[PO No.],AR_725[[#This Row],[tsmc PO '#]],BB___HK___AMHS__Others[Status],"&lt;&gt;Rejected",BB___HK___AMHS__Others[YearMonth],"2024-07")</f>
        <v>0</v>
      </c>
      <c r="CQ401" s="34">
        <f>SUMIFS(BB___HK___AMHS__Others[AR Amount],BB___HK___AMHS__Others[PO No.],AR_725[[#This Row],[tsmc PO '#]],BB___HK___AMHS__Others[Status],"&lt;&gt;Rejected",BB___HK___AMHS__Others[YearMonth],"2024-08")</f>
        <v>0</v>
      </c>
      <c r="CR401" s="44">
        <f>SUMIFS(BB___HK___AMHS__Others[Tax],BB___HK___AMHS__Others[PO No.],AR_725[[#This Row],[tsmc PO '#]],BB___HK___AMHS__Others[Status],"&lt;&gt;Rejected",BB___HK___AMHS__Others[YearMonth],"2024-08")</f>
        <v>0</v>
      </c>
      <c r="CS401" s="62">
        <f>SUMIFS(BB___HK___AMHS__Others[AR Amount],BB___HK___AMHS__Others[PO No.],AR_725[[#This Row],[tsmc PO '#]],BB___HK___AMHS__Others[Status],"&lt;&gt;Rejected",BB___HK___AMHS__Others[YearMonth],"2024-09")</f>
        <v>0</v>
      </c>
      <c r="CT401" s="601">
        <f>SUMIFS(BB___HK___AMHS__Others[Tax],BB___HK___AMHS__Others[PO No.],AR_725[[#This Row],[tsmc PO '#]],BB___HK___AMHS__Others[Status],"&lt;&gt;Rejected",BB___HK___AMHS__Others[YearMonth],"2024-09")</f>
        <v>0</v>
      </c>
    </row>
    <row r="402" spans="1:98" ht="15" hidden="1" customHeight="1">
      <c r="A402" s="30" t="s">
        <v>8</v>
      </c>
      <c r="D402" s="50" t="s">
        <v>8</v>
      </c>
      <c r="E402" s="604" t="s">
        <v>2109</v>
      </c>
      <c r="F402" s="50"/>
      <c r="G402" s="50" t="s">
        <v>2440</v>
      </c>
      <c r="H402" s="50">
        <v>4590022060</v>
      </c>
      <c r="J402" s="30" t="s">
        <v>2441</v>
      </c>
      <c r="K402" s="46">
        <v>31680</v>
      </c>
      <c r="M402" s="86">
        <v>45539</v>
      </c>
      <c r="N402" s="87"/>
      <c r="O402" s="30" t="s">
        <v>2156</v>
      </c>
      <c r="P40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40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40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402" s="72">
        <f>IF(AR_725[[#This Row],[PO Amount]]=0,1,AR_725[[#This Row],[Total AR (Sent)]]/AR_725[[#This Row],[PO Amount]])</f>
        <v>0</v>
      </c>
      <c r="T402" s="73">
        <f>AR_725[[#This Row],[PO Amount]]-AR_725[[#This Row],[Total AR (Sent)]]</f>
        <v>31680</v>
      </c>
      <c r="AR402" s="84"/>
      <c r="AT402" s="44"/>
      <c r="AV402" s="85"/>
      <c r="AX402" s="79"/>
      <c r="AZ402" s="79"/>
      <c r="BB402" s="79"/>
      <c r="BL402" s="79"/>
      <c r="CG402" s="122"/>
      <c r="CI402" s="122"/>
      <c r="CK402" s="122"/>
      <c r="CL402" s="122"/>
      <c r="CM402" s="122"/>
      <c r="CN402" s="122"/>
      <c r="CP402" s="122">
        <f>SUMIFS(BB___HK___AMHS__Others[Tax],BB___HK___AMHS__Others[PO No.],AR_725[[#This Row],[tsmc PO '#]],BB___HK___AMHS__Others[Status],"&lt;&gt;Rejected",BB___HK___AMHS__Others[YearMonth],"2024-07")</f>
        <v>0</v>
      </c>
      <c r="CQ402" s="34">
        <f>SUMIFS(BB___HK___AMHS__Others[AR Amount],BB___HK___AMHS__Others[PO No.],AR_725[[#This Row],[tsmc PO '#]],BB___HK___AMHS__Others[Status],"&lt;&gt;Rejected",BB___HK___AMHS__Others[YearMonth],"2024-08")</f>
        <v>0</v>
      </c>
      <c r="CR402" s="44">
        <f>SUMIFS(BB___HK___AMHS__Others[Tax],BB___HK___AMHS__Others[PO No.],AR_725[[#This Row],[tsmc PO '#]],BB___HK___AMHS__Others[Status],"&lt;&gt;Rejected",BB___HK___AMHS__Others[YearMonth],"2024-08")</f>
        <v>0</v>
      </c>
      <c r="CS402" s="62">
        <f>SUMIFS(BB___HK___AMHS__Others[AR Amount],BB___HK___AMHS__Others[PO No.],AR_725[[#This Row],[tsmc PO '#]],BB___HK___AMHS__Others[Status],"&lt;&gt;Rejected",BB___HK___AMHS__Others[YearMonth],"2024-09")</f>
        <v>0</v>
      </c>
      <c r="CT402" s="601">
        <f>SUMIFS(BB___HK___AMHS__Others[Tax],BB___HK___AMHS__Others[PO No.],AR_725[[#This Row],[tsmc PO '#]],BB___HK___AMHS__Others[Status],"&lt;&gt;Rejected",BB___HK___AMHS__Others[YearMonth],"2024-09")</f>
        <v>0</v>
      </c>
    </row>
    <row r="403" spans="1:98" ht="15" hidden="1" customHeight="1">
      <c r="A403" s="30" t="s">
        <v>13</v>
      </c>
      <c r="D403" s="50" t="s">
        <v>13</v>
      </c>
      <c r="E403" s="30" t="s">
        <v>2206</v>
      </c>
      <c r="F403" s="50"/>
      <c r="G403" s="50" t="s">
        <v>2442</v>
      </c>
      <c r="H403" s="50">
        <v>4590022061</v>
      </c>
      <c r="J403" s="30" t="s">
        <v>2443</v>
      </c>
      <c r="K403" s="46">
        <v>3922</v>
      </c>
      <c r="M403" s="86">
        <v>45539</v>
      </c>
      <c r="N403" s="87"/>
      <c r="O403" s="30" t="s">
        <v>2156</v>
      </c>
      <c r="P40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40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40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403" s="72">
        <f>IF(AR_725[[#This Row],[PO Amount]]=0,1,AR_725[[#This Row],[Total AR (Sent)]]/AR_725[[#This Row],[PO Amount]])</f>
        <v>0</v>
      </c>
      <c r="T403" s="73">
        <f>AR_725[[#This Row],[PO Amount]]-AR_725[[#This Row],[Total AR (Sent)]]</f>
        <v>3922</v>
      </c>
      <c r="AR403" s="84"/>
      <c r="AT403" s="44"/>
      <c r="AV403" s="85"/>
      <c r="AX403" s="79"/>
      <c r="AZ403" s="79"/>
      <c r="BB403" s="79"/>
      <c r="BL403" s="79"/>
      <c r="CG403" s="122"/>
      <c r="CI403" s="122"/>
      <c r="CK403" s="122"/>
      <c r="CL403" s="122"/>
      <c r="CM403" s="122"/>
      <c r="CN403" s="122"/>
      <c r="CP403" s="122">
        <f>SUMIFS(BB___HK___AMHS__Others[Tax],BB___HK___AMHS__Others[PO No.],AR_725[[#This Row],[tsmc PO '#]],BB___HK___AMHS__Others[Status],"&lt;&gt;Rejected",BB___HK___AMHS__Others[YearMonth],"2024-07")</f>
        <v>0</v>
      </c>
      <c r="CQ403" s="34">
        <f>SUMIFS(BB___HK___AMHS__Others[AR Amount],BB___HK___AMHS__Others[PO No.],AR_725[[#This Row],[tsmc PO '#]],BB___HK___AMHS__Others[Status],"&lt;&gt;Rejected",BB___HK___AMHS__Others[YearMonth],"2024-08")</f>
        <v>0</v>
      </c>
      <c r="CR403" s="44">
        <f>SUMIFS(BB___HK___AMHS__Others[Tax],BB___HK___AMHS__Others[PO No.],AR_725[[#This Row],[tsmc PO '#]],BB___HK___AMHS__Others[Status],"&lt;&gt;Rejected",BB___HK___AMHS__Others[YearMonth],"2024-08")</f>
        <v>0</v>
      </c>
      <c r="CS403" s="62">
        <f>SUMIFS(BB___HK___AMHS__Others[AR Amount],BB___HK___AMHS__Others[PO No.],AR_725[[#This Row],[tsmc PO '#]],BB___HK___AMHS__Others[Status],"&lt;&gt;Rejected",BB___HK___AMHS__Others[YearMonth],"2024-09")</f>
        <v>0</v>
      </c>
      <c r="CT403" s="601">
        <f>SUMIFS(BB___HK___AMHS__Others[Tax],BB___HK___AMHS__Others[PO No.],AR_725[[#This Row],[tsmc PO '#]],BB___HK___AMHS__Others[Status],"&lt;&gt;Rejected",BB___HK___AMHS__Others[YearMonth],"2024-09")</f>
        <v>0</v>
      </c>
    </row>
    <row r="404" spans="1:98" ht="15" hidden="1" customHeight="1">
      <c r="A404" s="30" t="s">
        <v>9</v>
      </c>
      <c r="B404" s="30" t="s">
        <v>2051</v>
      </c>
      <c r="D404" s="50" t="s">
        <v>1720</v>
      </c>
      <c r="E404" s="30" t="s">
        <v>2292</v>
      </c>
      <c r="F404" s="50" t="s">
        <v>2292</v>
      </c>
      <c r="G404" s="50" t="s">
        <v>312</v>
      </c>
      <c r="H404" s="50" t="s">
        <v>2444</v>
      </c>
      <c r="J404" s="30" t="s">
        <v>2445</v>
      </c>
      <c r="K404" s="46">
        <v>1686849.69</v>
      </c>
      <c r="M404" s="86">
        <v>45534</v>
      </c>
      <c r="N404" s="87"/>
      <c r="O404" s="30" t="s">
        <v>2160</v>
      </c>
      <c r="P40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40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40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404" s="72">
        <f>IF(AR_725[[#This Row],[PO Amount]]=0,1,AR_725[[#This Row],[Total AR (Sent)]]/AR_725[[#This Row],[PO Amount]])</f>
        <v>0</v>
      </c>
      <c r="T404" s="73">
        <f>AR_725[[#This Row],[PO Amount]]-AR_725[[#This Row],[Total AR (Sent)]]</f>
        <v>1686849.69</v>
      </c>
      <c r="AR404" s="84"/>
      <c r="AT404" s="44"/>
      <c r="AV404" s="85"/>
      <c r="AX404" s="79"/>
      <c r="AZ404" s="79"/>
      <c r="BB404" s="79"/>
      <c r="BL404" s="79"/>
      <c r="CG404" s="122"/>
      <c r="CI404" s="122"/>
      <c r="CK404" s="122"/>
      <c r="CL404" s="122"/>
      <c r="CM404" s="122"/>
      <c r="CN404" s="122"/>
      <c r="CP404" s="122">
        <f>SUMIFS(BB___HK___AMHS__Others[Tax],BB___HK___AMHS__Others[PO No.],AR_725[[#This Row],[tsmc PO '#]],BB___HK___AMHS__Others[Status],"&lt;&gt;Rejected",BB___HK___AMHS__Others[YearMonth],"2024-07")</f>
        <v>0</v>
      </c>
      <c r="CQ404" s="34">
        <f>SUMIFS(BB___HK___AMHS__Others[AR Amount],BB___HK___AMHS__Others[PO No.],AR_725[[#This Row],[tsmc PO '#]],BB___HK___AMHS__Others[Status],"&lt;&gt;Rejected",BB___HK___AMHS__Others[YearMonth],"2024-08")</f>
        <v>0</v>
      </c>
      <c r="CR404" s="44">
        <f>SUMIFS(BB___HK___AMHS__Others[Tax],BB___HK___AMHS__Others[PO No.],AR_725[[#This Row],[tsmc PO '#]],BB___HK___AMHS__Others[Status],"&lt;&gt;Rejected",BB___HK___AMHS__Others[YearMonth],"2024-08")</f>
        <v>0</v>
      </c>
      <c r="CS404" s="62">
        <f>SUMIFS(BB___HK___AMHS__Others[AR Amount],BB___HK___AMHS__Others[PO No.],AR_725[[#This Row],[tsmc PO '#]],BB___HK___AMHS__Others[Status],"&lt;&gt;Rejected",BB___HK___AMHS__Others[YearMonth],"2024-09")</f>
        <v>0</v>
      </c>
      <c r="CT404" s="601">
        <f>SUMIFS(BB___HK___AMHS__Others[Tax],BB___HK___AMHS__Others[PO No.],AR_725[[#This Row],[tsmc PO '#]],BB___HK___AMHS__Others[Status],"&lt;&gt;Rejected",BB___HK___AMHS__Others[YearMonth],"2024-09")</f>
        <v>0</v>
      </c>
    </row>
    <row r="405" spans="1:98" ht="15" hidden="1" customHeight="1">
      <c r="A405" s="30" t="s">
        <v>13</v>
      </c>
      <c r="B405" s="30" t="s">
        <v>13</v>
      </c>
      <c r="D405" s="50" t="s">
        <v>13</v>
      </c>
      <c r="E405" s="30" t="s">
        <v>2206</v>
      </c>
      <c r="F405" s="50"/>
      <c r="G405" s="50" t="s">
        <v>2446</v>
      </c>
      <c r="H405" s="50">
        <v>4590022052</v>
      </c>
      <c r="J405" s="30" t="s">
        <v>2447</v>
      </c>
      <c r="K405" s="46">
        <v>9705841.4299999997</v>
      </c>
      <c r="M405" s="86">
        <v>45539</v>
      </c>
      <c r="N405" s="87"/>
      <c r="O405" s="30" t="s">
        <v>2156</v>
      </c>
      <c r="P40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40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40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405" s="72">
        <f>IF(AR_725[[#This Row],[PO Amount]]=0,1,AR_725[[#This Row],[Total AR (Sent)]]/AR_725[[#This Row],[PO Amount]])</f>
        <v>0</v>
      </c>
      <c r="T405" s="73">
        <f>AR_725[[#This Row],[PO Amount]]-AR_725[[#This Row],[Total AR (Sent)]]</f>
        <v>9705841.4299999997</v>
      </c>
      <c r="AR405" s="84"/>
      <c r="AT405" s="44"/>
      <c r="AV405" s="85"/>
      <c r="AX405" s="79"/>
      <c r="AZ405" s="79"/>
      <c r="BB405" s="79"/>
      <c r="BL405" s="79"/>
      <c r="CG405" s="122"/>
      <c r="CI405" s="122"/>
      <c r="CK405" s="122"/>
      <c r="CL405" s="122"/>
      <c r="CM405" s="122"/>
      <c r="CN405" s="122"/>
      <c r="CP405" s="122">
        <f>SUMIFS(BB___HK___AMHS__Others[Tax],BB___HK___AMHS__Others[PO No.],AR_725[[#This Row],[tsmc PO '#]],BB___HK___AMHS__Others[Status],"&lt;&gt;Rejected",BB___HK___AMHS__Others[YearMonth],"2024-07")</f>
        <v>0</v>
      </c>
      <c r="CQ405" s="34">
        <f>SUMIFS(BB___HK___AMHS__Others[AR Amount],BB___HK___AMHS__Others[PO No.],AR_725[[#This Row],[tsmc PO '#]],BB___HK___AMHS__Others[Status],"&lt;&gt;Rejected",BB___HK___AMHS__Others[YearMonth],"2024-08")</f>
        <v>0</v>
      </c>
      <c r="CR405" s="44">
        <f>SUMIFS(BB___HK___AMHS__Others[Tax],BB___HK___AMHS__Others[PO No.],AR_725[[#This Row],[tsmc PO '#]],BB___HK___AMHS__Others[Status],"&lt;&gt;Rejected",BB___HK___AMHS__Others[YearMonth],"2024-08")</f>
        <v>0</v>
      </c>
      <c r="CS405" s="62">
        <f>SUMIFS(BB___HK___AMHS__Others[AR Amount],BB___HK___AMHS__Others[PO No.],AR_725[[#This Row],[tsmc PO '#]],BB___HK___AMHS__Others[Status],"&lt;&gt;Rejected",BB___HK___AMHS__Others[YearMonth],"2024-09")</f>
        <v>0</v>
      </c>
      <c r="CT405" s="601">
        <f>SUMIFS(BB___HK___AMHS__Others[Tax],BB___HK___AMHS__Others[PO No.],AR_725[[#This Row],[tsmc PO '#]],BB___HK___AMHS__Others[Status],"&lt;&gt;Rejected",BB___HK___AMHS__Others[YearMonth],"2024-09")</f>
        <v>0</v>
      </c>
    </row>
    <row r="406" spans="1:98" ht="15" hidden="1" customHeight="1">
      <c r="A406" s="30" t="s">
        <v>9</v>
      </c>
      <c r="D406" s="50" t="s">
        <v>1546</v>
      </c>
      <c r="E406" s="50" t="s">
        <v>2052</v>
      </c>
      <c r="F406" s="50"/>
      <c r="G406" s="50" t="s">
        <v>2448</v>
      </c>
      <c r="H406" s="50">
        <v>4590022271</v>
      </c>
      <c r="I406" s="30" t="s">
        <v>2449</v>
      </c>
      <c r="J406" s="30" t="s">
        <v>2450</v>
      </c>
      <c r="K406" s="46">
        <v>51831.9</v>
      </c>
      <c r="M406" s="86">
        <v>45542</v>
      </c>
      <c r="N406" s="87"/>
      <c r="O406" s="30" t="s">
        <v>2160</v>
      </c>
      <c r="P40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40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40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406" s="72">
        <f>IF(AR_725[[#This Row],[PO Amount]]=0,1,AR_725[[#This Row],[Total AR (Sent)]]/AR_725[[#This Row],[PO Amount]])</f>
        <v>0</v>
      </c>
      <c r="T406" s="73">
        <f>AR_725[[#This Row],[PO Amount]]-AR_725[[#This Row],[Total AR (Sent)]]</f>
        <v>51831.9</v>
      </c>
      <c r="AR406" s="84"/>
      <c r="AT406" s="44"/>
      <c r="AV406" s="85"/>
      <c r="AX406" s="79"/>
      <c r="AZ406" s="79"/>
      <c r="BB406" s="79"/>
      <c r="BL406" s="79"/>
      <c r="CG406" s="122"/>
      <c r="CI406" s="122"/>
      <c r="CK406" s="122"/>
      <c r="CL406" s="122"/>
      <c r="CM406" s="122"/>
      <c r="CN406" s="122"/>
      <c r="CP406" s="122">
        <f>SUMIFS(BB___HK___AMHS__Others[Tax],BB___HK___AMHS__Others[PO No.],AR_725[[#This Row],[tsmc PO '#]],BB___HK___AMHS__Others[Status],"&lt;&gt;Rejected",BB___HK___AMHS__Others[YearMonth],"2024-07")</f>
        <v>0</v>
      </c>
      <c r="CQ406" s="34">
        <f>SUMIFS(BB___HK___AMHS__Others[AR Amount],BB___HK___AMHS__Others[PO No.],AR_725[[#This Row],[tsmc PO '#]],BB___HK___AMHS__Others[Status],"&lt;&gt;Rejected",BB___HK___AMHS__Others[YearMonth],"2024-08")</f>
        <v>0</v>
      </c>
      <c r="CR406" s="601">
        <f>SUMIFS(BB___HK___AMHS__Others[Tax],BB___HK___AMHS__Others[PO No.],AR_725[[#This Row],[tsmc PO '#]],BB___HK___AMHS__Others[Status],"&lt;&gt;Rejected",BB___HK___AMHS__Others[YearMonth],"2024-08")</f>
        <v>0</v>
      </c>
      <c r="CS406" s="62">
        <f>SUMIFS(BB___HK___AMHS__Others[AR Amount],BB___HK___AMHS__Others[PO No.],AR_725[[#This Row],[tsmc PO '#]],BB___HK___AMHS__Others[Status],"&lt;&gt;Rejected",BB___HK___AMHS__Others[YearMonth],"2024-09")</f>
        <v>0</v>
      </c>
      <c r="CT406" s="601">
        <f>SUMIFS(BB___HK___AMHS__Others[Tax],BB___HK___AMHS__Others[PO No.],AR_725[[#This Row],[tsmc PO '#]],BB___HK___AMHS__Others[Status],"&lt;&gt;Rejected",BB___HK___AMHS__Others[YearMonth],"2024-09")</f>
        <v>0</v>
      </c>
    </row>
    <row r="407" spans="1:98" ht="15" hidden="1" customHeight="1">
      <c r="A407" s="30" t="s">
        <v>9</v>
      </c>
      <c r="D407" s="50" t="s">
        <v>1759</v>
      </c>
      <c r="E407" s="50" t="s">
        <v>2065</v>
      </c>
      <c r="F407" s="50"/>
      <c r="G407" s="50" t="s">
        <v>2451</v>
      </c>
      <c r="H407" s="50">
        <v>4590022278</v>
      </c>
      <c r="J407" s="30" t="s">
        <v>2452</v>
      </c>
      <c r="K407" s="40">
        <v>31565.200000000001</v>
      </c>
      <c r="M407" s="86">
        <v>45542</v>
      </c>
      <c r="N407" s="87"/>
      <c r="O407" s="30" t="s">
        <v>2160</v>
      </c>
      <c r="P40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40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40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407" s="72">
        <f>IF(AR_725[[#This Row],[PO Amount]]=0,1,AR_725[[#This Row],[Total AR (Sent)]]/AR_725[[#This Row],[PO Amount]])</f>
        <v>0</v>
      </c>
      <c r="T407" s="73">
        <f>AR_725[[#This Row],[PO Amount]]-AR_725[[#This Row],[Total AR (Sent)]]</f>
        <v>31565.200000000001</v>
      </c>
      <c r="AR407" s="84"/>
      <c r="AT407" s="44"/>
      <c r="AV407" s="85"/>
      <c r="AX407" s="79"/>
      <c r="AZ407" s="79"/>
      <c r="BB407" s="79"/>
      <c r="BL407" s="79"/>
      <c r="CG407" s="122"/>
      <c r="CI407" s="122"/>
      <c r="CK407" s="122"/>
      <c r="CL407" s="122"/>
      <c r="CM407" s="122"/>
      <c r="CN407" s="122"/>
      <c r="CP407" s="122">
        <f>SUMIFS(BB___HK___AMHS__Others[Tax],BB___HK___AMHS__Others[PO No.],AR_725[[#This Row],[tsmc PO '#]],BB___HK___AMHS__Others[Status],"&lt;&gt;Rejected",BB___HK___AMHS__Others[YearMonth],"2024-07")</f>
        <v>0</v>
      </c>
      <c r="CQ407" s="34">
        <f>SUMIFS(BB___HK___AMHS__Others[AR Amount],BB___HK___AMHS__Others[PO No.],AR_725[[#This Row],[tsmc PO '#]],BB___HK___AMHS__Others[Status],"&lt;&gt;Rejected",BB___HK___AMHS__Others[YearMonth],"2024-08")</f>
        <v>0</v>
      </c>
      <c r="CR407" s="601">
        <f>SUMIFS(BB___HK___AMHS__Others[Tax],BB___HK___AMHS__Others[PO No.],AR_725[[#This Row],[tsmc PO '#]],BB___HK___AMHS__Others[Status],"&lt;&gt;Rejected",BB___HK___AMHS__Others[YearMonth],"2024-08")</f>
        <v>0</v>
      </c>
      <c r="CS407" s="62">
        <f>SUMIFS(BB___HK___AMHS__Others[AR Amount],BB___HK___AMHS__Others[PO No.],AR_725[[#This Row],[tsmc PO '#]],BB___HK___AMHS__Others[Status],"&lt;&gt;Rejected",BB___HK___AMHS__Others[YearMonth],"2024-09")</f>
        <v>0</v>
      </c>
      <c r="CT407" s="601">
        <f>SUMIFS(BB___HK___AMHS__Others[Tax],BB___HK___AMHS__Others[PO No.],AR_725[[#This Row],[tsmc PO '#]],BB___HK___AMHS__Others[Status],"&lt;&gt;Rejected",BB___HK___AMHS__Others[YearMonth],"2024-09")</f>
        <v>0</v>
      </c>
    </row>
    <row r="408" spans="1:98" ht="15" hidden="1" customHeight="1">
      <c r="A408" s="30" t="s">
        <v>9</v>
      </c>
      <c r="D408" s="50" t="s">
        <v>1759</v>
      </c>
      <c r="E408" s="50" t="s">
        <v>2052</v>
      </c>
      <c r="F408" s="50"/>
      <c r="G408" s="50" t="s">
        <v>54</v>
      </c>
      <c r="H408" s="50">
        <v>4590022283</v>
      </c>
      <c r="I408" s="30" t="s">
        <v>2449</v>
      </c>
      <c r="J408" s="30" t="s">
        <v>2453</v>
      </c>
      <c r="K408" s="40">
        <v>68953.83</v>
      </c>
      <c r="M408" s="86">
        <v>45542</v>
      </c>
      <c r="N408" s="87"/>
      <c r="O408" s="30" t="s">
        <v>2156</v>
      </c>
      <c r="P40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40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40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408" s="72">
        <f>IF(AR_725[[#This Row],[PO Amount]]=0,1,AR_725[[#This Row],[Total AR (Sent)]]/AR_725[[#This Row],[PO Amount]])</f>
        <v>0</v>
      </c>
      <c r="T408" s="73">
        <f>AR_725[[#This Row],[PO Amount]]-AR_725[[#This Row],[Total AR (Sent)]]</f>
        <v>68953.83</v>
      </c>
      <c r="AR408" s="84"/>
      <c r="AT408" s="44"/>
      <c r="AV408" s="85"/>
      <c r="AX408" s="79"/>
      <c r="AZ408" s="79"/>
      <c r="BB408" s="79"/>
      <c r="BL408" s="79"/>
      <c r="CG408" s="122"/>
      <c r="CI408" s="122"/>
      <c r="CK408" s="122"/>
      <c r="CL408" s="122"/>
      <c r="CM408" s="122"/>
      <c r="CN408" s="122"/>
      <c r="CP408" s="122">
        <f>SUMIFS(BB___HK___AMHS__Others[Tax],BB___HK___AMHS__Others[PO No.],AR_725[[#This Row],[tsmc PO '#]],BB___HK___AMHS__Others[Status],"&lt;&gt;Rejected",BB___HK___AMHS__Others[YearMonth],"2024-07")</f>
        <v>0</v>
      </c>
      <c r="CQ408" s="34">
        <f>SUMIFS(BB___HK___AMHS__Others[AR Amount],BB___HK___AMHS__Others[PO No.],AR_725[[#This Row],[tsmc PO '#]],BB___HK___AMHS__Others[Status],"&lt;&gt;Rejected",BB___HK___AMHS__Others[YearMonth],"2024-08")</f>
        <v>0</v>
      </c>
      <c r="CR408" s="601">
        <f>SUMIFS(BB___HK___AMHS__Others[Tax],BB___HK___AMHS__Others[PO No.],AR_725[[#This Row],[tsmc PO '#]],BB___HK___AMHS__Others[Status],"&lt;&gt;Rejected",BB___HK___AMHS__Others[YearMonth],"2024-08")</f>
        <v>0</v>
      </c>
      <c r="CS408" s="62">
        <f>SUMIFS(BB___HK___AMHS__Others[AR Amount],BB___HK___AMHS__Others[PO No.],AR_725[[#This Row],[tsmc PO '#]],BB___HK___AMHS__Others[Status],"&lt;&gt;Rejected",BB___HK___AMHS__Others[YearMonth],"2024-09")</f>
        <v>0</v>
      </c>
      <c r="CT408" s="601">
        <f>SUMIFS(BB___HK___AMHS__Others[Tax],BB___HK___AMHS__Others[PO No.],AR_725[[#This Row],[tsmc PO '#]],BB___HK___AMHS__Others[Status],"&lt;&gt;Rejected",BB___HK___AMHS__Others[YearMonth],"2024-09")</f>
        <v>0</v>
      </c>
    </row>
    <row r="409" spans="1:98" ht="15" hidden="1" customHeight="1">
      <c r="A409" s="30" t="s">
        <v>9</v>
      </c>
      <c r="D409" s="50" t="s">
        <v>1546</v>
      </c>
      <c r="E409" s="50" t="s">
        <v>2052</v>
      </c>
      <c r="F409" s="50"/>
      <c r="G409" s="50" t="s">
        <v>2268</v>
      </c>
      <c r="H409" s="50">
        <v>4590022284</v>
      </c>
      <c r="J409" s="30" t="s">
        <v>2454</v>
      </c>
      <c r="K409" s="40">
        <v>156372</v>
      </c>
      <c r="M409" s="86">
        <v>45542</v>
      </c>
      <c r="N409" s="87"/>
      <c r="O409" s="30" t="s">
        <v>2160</v>
      </c>
      <c r="P40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40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40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409" s="72">
        <f>IF(AR_725[[#This Row],[PO Amount]]=0,1,AR_725[[#This Row],[Total AR (Sent)]]/AR_725[[#This Row],[PO Amount]])</f>
        <v>0</v>
      </c>
      <c r="T409" s="73">
        <f>AR_725[[#This Row],[PO Amount]]-AR_725[[#This Row],[Total AR (Sent)]]</f>
        <v>156372</v>
      </c>
      <c r="AR409" s="84"/>
      <c r="AT409" s="44"/>
      <c r="AV409" s="85"/>
      <c r="AX409" s="79"/>
      <c r="AZ409" s="79"/>
      <c r="BB409" s="79"/>
      <c r="BL409" s="79"/>
      <c r="CG409" s="122"/>
      <c r="CI409" s="122"/>
      <c r="CK409" s="122"/>
      <c r="CL409" s="122"/>
      <c r="CM409" s="122"/>
      <c r="CN409" s="122"/>
      <c r="CP409" s="122">
        <f>SUMIFS(BB___HK___AMHS__Others[Tax],BB___HK___AMHS__Others[PO No.],AR_725[[#This Row],[tsmc PO '#]],BB___HK___AMHS__Others[Status],"&lt;&gt;Rejected",BB___HK___AMHS__Others[YearMonth],"2024-07")</f>
        <v>0</v>
      </c>
      <c r="CQ409" s="34">
        <f>SUMIFS(BB___HK___AMHS__Others[AR Amount],BB___HK___AMHS__Others[PO No.],AR_725[[#This Row],[tsmc PO '#]],BB___HK___AMHS__Others[Status],"&lt;&gt;Rejected",BB___HK___AMHS__Others[YearMonth],"2024-08")</f>
        <v>0</v>
      </c>
      <c r="CR409" s="601">
        <f>SUMIFS(BB___HK___AMHS__Others[Tax],BB___HK___AMHS__Others[PO No.],AR_725[[#This Row],[tsmc PO '#]],BB___HK___AMHS__Others[Status],"&lt;&gt;Rejected",BB___HK___AMHS__Others[YearMonth],"2024-08")</f>
        <v>0</v>
      </c>
      <c r="CS409" s="62">
        <f>SUMIFS(BB___HK___AMHS__Others[AR Amount],BB___HK___AMHS__Others[PO No.],AR_725[[#This Row],[tsmc PO '#]],BB___HK___AMHS__Others[Status],"&lt;&gt;Rejected",BB___HK___AMHS__Others[YearMonth],"2024-09")</f>
        <v>0</v>
      </c>
      <c r="CT409" s="601">
        <f>SUMIFS(BB___HK___AMHS__Others[Tax],BB___HK___AMHS__Others[PO No.],AR_725[[#This Row],[tsmc PO '#]],BB___HK___AMHS__Others[Status],"&lt;&gt;Rejected",BB___HK___AMHS__Others[YearMonth],"2024-09")</f>
        <v>0</v>
      </c>
    </row>
    <row r="410" spans="1:98" ht="15" hidden="1" customHeight="1">
      <c r="A410" s="30" t="s">
        <v>9</v>
      </c>
      <c r="B410" s="30" t="s">
        <v>2051</v>
      </c>
      <c r="D410" s="50" t="s">
        <v>1759</v>
      </c>
      <c r="E410" s="50" t="s">
        <v>2185</v>
      </c>
      <c r="F410" s="50"/>
      <c r="G410" s="50" t="s">
        <v>2455</v>
      </c>
      <c r="H410" s="50">
        <v>4590022280</v>
      </c>
      <c r="J410" s="30" t="s">
        <v>2456</v>
      </c>
      <c r="K410" s="40">
        <v>462873.51</v>
      </c>
      <c r="M410" s="86">
        <v>45542</v>
      </c>
      <c r="N410" s="87"/>
      <c r="O410" s="30" t="s">
        <v>2160</v>
      </c>
      <c r="P41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41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41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410" s="72">
        <f>IF(AR_725[[#This Row],[PO Amount]]=0,1,AR_725[[#This Row],[Total AR (Sent)]]/AR_725[[#This Row],[PO Amount]])</f>
        <v>0</v>
      </c>
      <c r="T410" s="73">
        <f>AR_725[[#This Row],[PO Amount]]-AR_725[[#This Row],[Total AR (Sent)]]</f>
        <v>462873.51</v>
      </c>
      <c r="AR410" s="84"/>
      <c r="AT410" s="44"/>
      <c r="AV410" s="85"/>
      <c r="AX410" s="79"/>
      <c r="AZ410" s="79"/>
      <c r="BB410" s="79"/>
      <c r="BL410" s="79"/>
      <c r="CG410" s="122"/>
      <c r="CI410" s="122"/>
      <c r="CK410" s="122"/>
      <c r="CL410" s="122"/>
      <c r="CM410" s="122"/>
      <c r="CN410" s="122"/>
      <c r="CP410" s="122">
        <f>SUMIFS(BB___HK___AMHS__Others[Tax],BB___HK___AMHS__Others[PO No.],AR_725[[#This Row],[tsmc PO '#]],BB___HK___AMHS__Others[Status],"&lt;&gt;Rejected",BB___HK___AMHS__Others[YearMonth],"2024-07")</f>
        <v>0</v>
      </c>
      <c r="CQ410" s="34">
        <f>SUMIFS(BB___HK___AMHS__Others[AR Amount],BB___HK___AMHS__Others[PO No.],AR_725[[#This Row],[tsmc PO '#]],BB___HK___AMHS__Others[Status],"&lt;&gt;Rejected",BB___HK___AMHS__Others[YearMonth],"2024-08")</f>
        <v>0</v>
      </c>
      <c r="CR410" s="601">
        <f>SUMIFS(BB___HK___AMHS__Others[Tax],BB___HK___AMHS__Others[PO No.],AR_725[[#This Row],[tsmc PO '#]],BB___HK___AMHS__Others[Status],"&lt;&gt;Rejected",BB___HK___AMHS__Others[YearMonth],"2024-08")</f>
        <v>0</v>
      </c>
      <c r="CS410" s="62">
        <f>SUMIFS(BB___HK___AMHS__Others[AR Amount],BB___HK___AMHS__Others[PO No.],AR_725[[#This Row],[tsmc PO '#]],BB___HK___AMHS__Others[Status],"&lt;&gt;Rejected",BB___HK___AMHS__Others[YearMonth],"2024-09")</f>
        <v>0</v>
      </c>
      <c r="CT410" s="601">
        <f>SUMIFS(BB___HK___AMHS__Others[Tax],BB___HK___AMHS__Others[PO No.],AR_725[[#This Row],[tsmc PO '#]],BB___HK___AMHS__Others[Status],"&lt;&gt;Rejected",BB___HK___AMHS__Others[YearMonth],"2024-09")</f>
        <v>0</v>
      </c>
    </row>
    <row r="411" spans="1:98" ht="15" hidden="1" customHeight="1">
      <c r="A411" s="30" t="s">
        <v>13</v>
      </c>
      <c r="D411" s="50" t="s">
        <v>2367</v>
      </c>
      <c r="E411" s="50" t="s">
        <v>2457</v>
      </c>
      <c r="F411" s="50"/>
      <c r="G411" s="50" t="s">
        <v>2458</v>
      </c>
      <c r="H411" s="50">
        <v>4590022346</v>
      </c>
      <c r="I411" s="30" t="s">
        <v>1936</v>
      </c>
      <c r="J411" s="30" t="s">
        <v>2459</v>
      </c>
      <c r="K411" s="46">
        <v>38854.199999999997</v>
      </c>
      <c r="M411" s="86">
        <v>45545</v>
      </c>
      <c r="N411" s="87"/>
      <c r="O411" s="30" t="s">
        <v>2156</v>
      </c>
      <c r="P41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41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41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411" s="72">
        <f>IF(AR_725[[#This Row],[PO Amount]]=0,1,AR_725[[#This Row],[Total AR (Sent)]]/AR_725[[#This Row],[PO Amount]])</f>
        <v>0</v>
      </c>
      <c r="T411" s="73">
        <f>AR_725[[#This Row],[PO Amount]]-AR_725[[#This Row],[Total AR (Sent)]]</f>
        <v>38854.199999999997</v>
      </c>
      <c r="AR411" s="84"/>
      <c r="AT411" s="44"/>
      <c r="AV411" s="85"/>
      <c r="AX411" s="79"/>
      <c r="AZ411" s="79"/>
      <c r="BB411" s="79"/>
      <c r="BL411" s="79"/>
      <c r="CG411" s="122"/>
      <c r="CI411" s="122"/>
      <c r="CK411" s="122"/>
      <c r="CL411" s="122"/>
      <c r="CM411" s="122"/>
      <c r="CN411" s="122"/>
      <c r="CP411" s="122">
        <f>SUMIFS(BB___HK___AMHS__Others[Tax],BB___HK___AMHS__Others[PO No.],AR_725[[#This Row],[tsmc PO '#]],BB___HK___AMHS__Others[Status],"&lt;&gt;Rejected",BB___HK___AMHS__Others[YearMonth],"2024-07")</f>
        <v>0</v>
      </c>
      <c r="CQ411" s="34">
        <f>SUMIFS(BB___HK___AMHS__Others[AR Amount],BB___HK___AMHS__Others[PO No.],AR_725[[#This Row],[tsmc PO '#]],BB___HK___AMHS__Others[Status],"&lt;&gt;Rejected",BB___HK___AMHS__Others[YearMonth],"2024-08")</f>
        <v>0</v>
      </c>
      <c r="CR411" s="601">
        <f>SUMIFS(BB___HK___AMHS__Others[Tax],BB___HK___AMHS__Others[PO No.],AR_725[[#This Row],[tsmc PO '#]],BB___HK___AMHS__Others[Status],"&lt;&gt;Rejected",BB___HK___AMHS__Others[YearMonth],"2024-08")</f>
        <v>0</v>
      </c>
      <c r="CS411" s="62">
        <f>SUMIFS(BB___HK___AMHS__Others[AR Amount],BB___HK___AMHS__Others[PO No.],AR_725[[#This Row],[tsmc PO '#]],BB___HK___AMHS__Others[Status],"&lt;&gt;Rejected",BB___HK___AMHS__Others[YearMonth],"2024-09")</f>
        <v>0</v>
      </c>
      <c r="CT411" s="601">
        <f>SUMIFS(BB___HK___AMHS__Others[Tax],BB___HK___AMHS__Others[PO No.],AR_725[[#This Row],[tsmc PO '#]],BB___HK___AMHS__Others[Status],"&lt;&gt;Rejected",BB___HK___AMHS__Others[YearMonth],"2024-09")</f>
        <v>0</v>
      </c>
    </row>
    <row r="412" spans="1:98" ht="15" hidden="1" customHeight="1">
      <c r="A412" s="30" t="s">
        <v>8</v>
      </c>
      <c r="D412" s="50" t="s">
        <v>8</v>
      </c>
      <c r="E412" s="50" t="s">
        <v>2109</v>
      </c>
      <c r="F412" s="50" t="s">
        <v>2110</v>
      </c>
      <c r="G412" s="50" t="s">
        <v>2183</v>
      </c>
      <c r="H412" s="50">
        <v>4590022461</v>
      </c>
      <c r="I412" s="30" t="s">
        <v>268</v>
      </c>
      <c r="J412" s="30" t="s">
        <v>2460</v>
      </c>
      <c r="K412" s="40">
        <v>61162.61</v>
      </c>
      <c r="M412" s="86">
        <v>45547</v>
      </c>
      <c r="N412" s="87"/>
      <c r="O412" s="30" t="s">
        <v>2156</v>
      </c>
      <c r="P41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41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41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412" s="72">
        <f>IF(AR_725[[#This Row],[PO Amount]]=0,1,AR_725[[#This Row],[Total AR (Sent)]]/AR_725[[#This Row],[PO Amount]])</f>
        <v>0</v>
      </c>
      <c r="T412" s="73">
        <f>AR_725[[#This Row],[PO Amount]]-AR_725[[#This Row],[Total AR (Sent)]]</f>
        <v>61162.61</v>
      </c>
      <c r="AR412" s="84"/>
      <c r="AT412" s="44"/>
      <c r="AV412" s="85"/>
      <c r="AX412" s="79"/>
      <c r="AZ412" s="79"/>
      <c r="BB412" s="79"/>
      <c r="BL412" s="79"/>
      <c r="CG412" s="122"/>
      <c r="CI412" s="122"/>
      <c r="CK412" s="122"/>
      <c r="CL412" s="122"/>
      <c r="CM412" s="122"/>
      <c r="CN412" s="122"/>
      <c r="CP412" s="122">
        <f>SUMIFS(BB___HK___AMHS__Others[Tax],BB___HK___AMHS__Others[PO No.],AR_725[[#This Row],[tsmc PO '#]],BB___HK___AMHS__Others[Status],"&lt;&gt;Rejected",BB___HK___AMHS__Others[YearMonth],"2024-07")</f>
        <v>0</v>
      </c>
      <c r="CQ412" s="34">
        <f>SUMIFS(BB___HK___AMHS__Others[AR Amount],BB___HK___AMHS__Others[PO No.],AR_725[[#This Row],[tsmc PO '#]],BB___HK___AMHS__Others[Status],"&lt;&gt;Rejected",BB___HK___AMHS__Others[YearMonth],"2024-08")</f>
        <v>0</v>
      </c>
      <c r="CR412" s="601">
        <f>SUMIFS(BB___HK___AMHS__Others[Tax],BB___HK___AMHS__Others[PO No.],AR_725[[#This Row],[tsmc PO '#]],BB___HK___AMHS__Others[Status],"&lt;&gt;Rejected",BB___HK___AMHS__Others[YearMonth],"2024-08")</f>
        <v>0</v>
      </c>
      <c r="CS412" s="62">
        <f>SUMIFS(BB___HK___AMHS__Others[AR Amount],BB___HK___AMHS__Others[PO No.],AR_725[[#This Row],[tsmc PO '#]],BB___HK___AMHS__Others[Status],"&lt;&gt;Rejected",BB___HK___AMHS__Others[YearMonth],"2024-09")</f>
        <v>0</v>
      </c>
      <c r="CT412" s="601">
        <f>SUMIFS(BB___HK___AMHS__Others[Tax],BB___HK___AMHS__Others[PO No.],AR_725[[#This Row],[tsmc PO '#]],BB___HK___AMHS__Others[Status],"&lt;&gt;Rejected",BB___HK___AMHS__Others[YearMonth],"2024-09")</f>
        <v>0</v>
      </c>
    </row>
    <row r="413" spans="1:98" ht="15" customHeight="1">
      <c r="A413" s="30" t="s">
        <v>13</v>
      </c>
      <c r="D413" s="50" t="s">
        <v>13</v>
      </c>
      <c r="E413" s="50" t="s">
        <v>2206</v>
      </c>
      <c r="F413" s="50"/>
      <c r="G413" s="50" t="s">
        <v>2372</v>
      </c>
      <c r="H413" s="50">
        <v>4590022549</v>
      </c>
      <c r="I413" s="30" t="s">
        <v>1424</v>
      </c>
      <c r="J413" s="30" t="s">
        <v>1905</v>
      </c>
      <c r="K413" s="40">
        <v>36850416.75</v>
      </c>
      <c r="M413" s="86">
        <v>45548</v>
      </c>
      <c r="N413" s="87"/>
      <c r="O413" s="30" t="s">
        <v>2156</v>
      </c>
      <c r="P41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12270405</v>
      </c>
      <c r="Q41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41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413" s="72">
        <f>IF(AR_725[[#This Row],[PO Amount]]=0,1,AR_725[[#This Row],[Total AR (Sent)]]/AR_725[[#This Row],[PO Amount]])</f>
        <v>0.3329787308307714</v>
      </c>
      <c r="T413" s="73">
        <f>AR_725[[#This Row],[PO Amount]]-AR_725[[#This Row],[Total AR (Sent)]]</f>
        <v>24580011.75</v>
      </c>
      <c r="AR413" s="84"/>
      <c r="AT413" s="44"/>
      <c r="AV413" s="85"/>
      <c r="AX413" s="79"/>
      <c r="AZ413" s="79"/>
      <c r="BB413" s="79"/>
      <c r="BL413" s="79"/>
      <c r="CG413" s="122"/>
      <c r="CI413" s="122"/>
      <c r="CK413" s="122"/>
      <c r="CL413" s="122"/>
      <c r="CM413" s="122"/>
      <c r="CN413" s="122"/>
      <c r="CP413" s="122">
        <f>SUMIFS(BB___HK___AMHS__Others[Tax],BB___HK___AMHS__Others[PO No.],AR_725[[#This Row],[tsmc PO '#]],BB___HK___AMHS__Others[Status],"&lt;&gt;Rejected",BB___HK___AMHS__Others[YearMonth],"2024-07")</f>
        <v>0</v>
      </c>
      <c r="CQ413" s="34">
        <f>SUMIFS(BB___HK___AMHS__Others[AR Amount],BB___HK___AMHS__Others[PO No.],AR_725[[#This Row],[tsmc PO '#]],BB___HK___AMHS__Others[Status],"&lt;&gt;Rejected",BB___HK___AMHS__Others[YearMonth],"2024-08")</f>
        <v>0</v>
      </c>
      <c r="CR413" s="601">
        <f>SUMIFS(BB___HK___AMHS__Others[Tax],BB___HK___AMHS__Others[PO No.],AR_725[[#This Row],[tsmc PO '#]],BB___HK___AMHS__Others[Status],"&lt;&gt;Rejected",BB___HK___AMHS__Others[YearMonth],"2024-08")</f>
        <v>0</v>
      </c>
      <c r="CS413" s="62">
        <f>SUMIFS(BB___HK___AMHS__Others[AR Amount],BB___HK___AMHS__Others[PO No.],AR_725[[#This Row],[tsmc PO '#]],BB___HK___AMHS__Others[Status],"&lt;&gt;Rejected",BB___HK___AMHS__Others[YearMonth],"2024-09")</f>
        <v>12270405</v>
      </c>
      <c r="CT413" s="601">
        <f>SUMIFS(BB___HK___AMHS__Others[Tax],BB___HK___AMHS__Others[PO No.],AR_725[[#This Row],[tsmc PO '#]],BB___HK___AMHS__Others[Status],"&lt;&gt;Rejected",BB___HK___AMHS__Others[YearMonth],"2024-09")</f>
        <v>0</v>
      </c>
    </row>
    <row r="414" spans="1:98" ht="15" hidden="1" customHeight="1">
      <c r="A414" s="30" t="s">
        <v>13</v>
      </c>
      <c r="D414" s="50" t="s">
        <v>2461</v>
      </c>
      <c r="E414" s="50" t="s">
        <v>2462</v>
      </c>
      <c r="F414" s="50"/>
      <c r="G414" s="50" t="s">
        <v>2463</v>
      </c>
      <c r="H414" s="50">
        <v>4590022558</v>
      </c>
      <c r="J414" s="30" t="s">
        <v>2464</v>
      </c>
      <c r="K414" s="40">
        <v>133166</v>
      </c>
      <c r="M414" s="86">
        <v>45548</v>
      </c>
      <c r="N414" s="87"/>
      <c r="O414" s="30" t="s">
        <v>2156</v>
      </c>
      <c r="P41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41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41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414" s="72">
        <f>IF(AR_725[[#This Row],[PO Amount]]=0,1,AR_725[[#This Row],[Total AR (Sent)]]/AR_725[[#This Row],[PO Amount]])</f>
        <v>0</v>
      </c>
      <c r="T414" s="73">
        <f>AR_725[[#This Row],[PO Amount]]-AR_725[[#This Row],[Total AR (Sent)]]</f>
        <v>133166</v>
      </c>
      <c r="AR414" s="84"/>
      <c r="AT414" s="44"/>
      <c r="AV414" s="85"/>
      <c r="AX414" s="79"/>
      <c r="AZ414" s="79"/>
      <c r="BB414" s="79"/>
      <c r="BL414" s="79"/>
      <c r="CG414" s="122"/>
      <c r="CI414" s="122"/>
      <c r="CK414" s="122"/>
      <c r="CL414" s="122"/>
      <c r="CM414" s="122"/>
      <c r="CN414" s="122"/>
      <c r="CP414" s="122">
        <f>SUMIFS(BB___HK___AMHS__Others[Tax],BB___HK___AMHS__Others[PO No.],AR_725[[#This Row],[tsmc PO '#]],BB___HK___AMHS__Others[Status],"&lt;&gt;Rejected",BB___HK___AMHS__Others[YearMonth],"2024-07")</f>
        <v>0</v>
      </c>
      <c r="CQ414" s="34">
        <f>SUMIFS(BB___HK___AMHS__Others[AR Amount],BB___HK___AMHS__Others[PO No.],AR_725[[#This Row],[tsmc PO '#]],BB___HK___AMHS__Others[Status],"&lt;&gt;Rejected",BB___HK___AMHS__Others[YearMonth],"2024-08")</f>
        <v>0</v>
      </c>
      <c r="CR414" s="601">
        <f>SUMIFS(BB___HK___AMHS__Others[Tax],BB___HK___AMHS__Others[PO No.],AR_725[[#This Row],[tsmc PO '#]],BB___HK___AMHS__Others[Status],"&lt;&gt;Rejected",BB___HK___AMHS__Others[YearMonth],"2024-08")</f>
        <v>0</v>
      </c>
      <c r="CS414" s="62">
        <f>SUMIFS(BB___HK___AMHS__Others[AR Amount],BB___HK___AMHS__Others[PO No.],AR_725[[#This Row],[tsmc PO '#]],BB___HK___AMHS__Others[Status],"&lt;&gt;Rejected",BB___HK___AMHS__Others[YearMonth],"2024-09")</f>
        <v>0</v>
      </c>
      <c r="CT414" s="601">
        <f>SUMIFS(BB___HK___AMHS__Others[Tax],BB___HK___AMHS__Others[PO No.],AR_725[[#This Row],[tsmc PO '#]],BB___HK___AMHS__Others[Status],"&lt;&gt;Rejected",BB___HK___AMHS__Others[YearMonth],"2024-09")</f>
        <v>0</v>
      </c>
    </row>
    <row r="415" spans="1:98" ht="15" hidden="1" customHeight="1">
      <c r="A415" s="30" t="s">
        <v>13</v>
      </c>
      <c r="D415" s="50" t="s">
        <v>1794</v>
      </c>
      <c r="E415" s="50" t="s">
        <v>2126</v>
      </c>
      <c r="F415" s="50"/>
      <c r="G415" s="50" t="s">
        <v>2465</v>
      </c>
      <c r="H415" s="50">
        <v>4590022800</v>
      </c>
      <c r="J415" s="30" t="s">
        <v>2466</v>
      </c>
      <c r="K415" s="40">
        <v>22199</v>
      </c>
      <c r="M415" s="86">
        <v>45552</v>
      </c>
      <c r="N415" s="87"/>
      <c r="O415" s="30" t="s">
        <v>2156</v>
      </c>
      <c r="P41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41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41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415" s="72">
        <f>IF(AR_725[[#This Row],[PO Amount]]=0,1,AR_725[[#This Row],[Total AR (Sent)]]/AR_725[[#This Row],[PO Amount]])</f>
        <v>0</v>
      </c>
      <c r="T415" s="73">
        <f>AR_725[[#This Row],[PO Amount]]-AR_725[[#This Row],[Total AR (Sent)]]</f>
        <v>22199</v>
      </c>
      <c r="AR415" s="84"/>
      <c r="AT415" s="44"/>
      <c r="AV415" s="85"/>
      <c r="AX415" s="79"/>
      <c r="AZ415" s="79"/>
      <c r="BB415" s="79"/>
      <c r="BL415" s="79"/>
      <c r="CG415" s="122"/>
      <c r="CI415" s="122"/>
      <c r="CK415" s="122"/>
      <c r="CL415" s="122"/>
      <c r="CM415" s="122"/>
      <c r="CN415" s="122"/>
      <c r="CP415" s="122">
        <f>SUMIFS(BB___HK___AMHS__Others[Tax],BB___HK___AMHS__Others[PO No.],AR_725[[#This Row],[tsmc PO '#]],BB___HK___AMHS__Others[Status],"&lt;&gt;Rejected",BB___HK___AMHS__Others[YearMonth],"2024-07")</f>
        <v>0</v>
      </c>
      <c r="CQ415" s="34">
        <f>SUMIFS(BB___HK___AMHS__Others[AR Amount],BB___HK___AMHS__Others[PO No.],AR_725[[#This Row],[tsmc PO '#]],BB___HK___AMHS__Others[Status],"&lt;&gt;Rejected",BB___HK___AMHS__Others[YearMonth],"2024-08")</f>
        <v>0</v>
      </c>
      <c r="CR415" s="601">
        <f>SUMIFS(BB___HK___AMHS__Others[Tax],BB___HK___AMHS__Others[PO No.],AR_725[[#This Row],[tsmc PO '#]],BB___HK___AMHS__Others[Status],"&lt;&gt;Rejected",BB___HK___AMHS__Others[YearMonth],"2024-08")</f>
        <v>0</v>
      </c>
      <c r="CS415" s="62">
        <f>SUMIFS(BB___HK___AMHS__Others[AR Amount],BB___HK___AMHS__Others[PO No.],AR_725[[#This Row],[tsmc PO '#]],BB___HK___AMHS__Others[Status],"&lt;&gt;Rejected",BB___HK___AMHS__Others[YearMonth],"2024-09")</f>
        <v>0</v>
      </c>
      <c r="CT415" s="601">
        <f>SUMIFS(BB___HK___AMHS__Others[Tax],BB___HK___AMHS__Others[PO No.],AR_725[[#This Row],[tsmc PO '#]],BB___HK___AMHS__Others[Status],"&lt;&gt;Rejected",BB___HK___AMHS__Others[YearMonth],"2024-09")</f>
        <v>0</v>
      </c>
    </row>
    <row r="416" spans="1:98" ht="15" hidden="1" customHeight="1">
      <c r="A416" s="30" t="s">
        <v>13</v>
      </c>
      <c r="D416" s="50" t="s">
        <v>13</v>
      </c>
      <c r="E416" s="50" t="s">
        <v>2206</v>
      </c>
      <c r="F416" s="50"/>
      <c r="G416" s="50" t="s">
        <v>2446</v>
      </c>
      <c r="H416" s="50">
        <v>4590022803</v>
      </c>
      <c r="I416" s="30" t="s">
        <v>1424</v>
      </c>
      <c r="J416" s="30" t="s">
        <v>2467</v>
      </c>
      <c r="K416" s="40">
        <v>2484994.0499999998</v>
      </c>
      <c r="M416" s="86">
        <v>45553</v>
      </c>
      <c r="N416" s="87"/>
      <c r="O416" s="30" t="s">
        <v>2156</v>
      </c>
      <c r="P41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0</v>
      </c>
      <c r="Q416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416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416" s="72">
        <f>IF(AR_725[[#This Row],[PO Amount]]=0,1,AR_725[[#This Row],[Total AR (Sent)]]/AR_725[[#This Row],[PO Amount]])</f>
        <v>0</v>
      </c>
      <c r="T416" s="73">
        <f>AR_725[[#This Row],[PO Amount]]-AR_725[[#This Row],[Total AR (Sent)]]</f>
        <v>2484994.0499999998</v>
      </c>
      <c r="AR416" s="84"/>
      <c r="AT416" s="44"/>
      <c r="AV416" s="85"/>
      <c r="AX416" s="79"/>
      <c r="AZ416" s="79"/>
      <c r="BB416" s="79"/>
      <c r="BL416" s="79"/>
      <c r="CG416" s="122"/>
      <c r="CI416" s="122"/>
      <c r="CK416" s="122"/>
      <c r="CL416" s="122"/>
      <c r="CM416" s="122"/>
      <c r="CN416" s="122"/>
      <c r="CP416" s="122">
        <f>SUMIFS(BB___HK___AMHS__Others[Tax],BB___HK___AMHS__Others[PO No.],AR_725[[#This Row],[tsmc PO '#]],BB___HK___AMHS__Others[Status],"&lt;&gt;Rejected",BB___HK___AMHS__Others[YearMonth],"2024-07")</f>
        <v>0</v>
      </c>
      <c r="CQ416" s="34">
        <f>SUMIFS(BB___HK___AMHS__Others[AR Amount],BB___HK___AMHS__Others[PO No.],AR_725[[#This Row],[tsmc PO '#]],BB___HK___AMHS__Others[Status],"&lt;&gt;Rejected",BB___HK___AMHS__Others[YearMonth],"2024-08")</f>
        <v>0</v>
      </c>
      <c r="CR416" s="601">
        <f>SUMIFS(BB___HK___AMHS__Others[Tax],BB___HK___AMHS__Others[PO No.],AR_725[[#This Row],[tsmc PO '#]],BB___HK___AMHS__Others[Status],"&lt;&gt;Rejected",BB___HK___AMHS__Others[YearMonth],"2024-08")</f>
        <v>0</v>
      </c>
      <c r="CS416" s="62">
        <f>SUMIFS(BB___HK___AMHS__Others[AR Amount],BB___HK___AMHS__Others[PO No.],AR_725[[#This Row],[tsmc PO '#]],BB___HK___AMHS__Others[Status],"&lt;&gt;Rejected",BB___HK___AMHS__Others[YearMonth],"2024-09")</f>
        <v>0</v>
      </c>
      <c r="CT416" s="601">
        <f>SUMIFS(BB___HK___AMHS__Others[Tax],BB___HK___AMHS__Others[PO No.],AR_725[[#This Row],[tsmc PO '#]],BB___HK___AMHS__Others[Status],"&lt;&gt;Rejected",BB___HK___AMHS__Others[YearMonth],"2024-09")</f>
        <v>0</v>
      </c>
    </row>
    <row r="417" spans="1:98" ht="15" customHeight="1">
      <c r="A417" s="30" t="s">
        <v>8</v>
      </c>
      <c r="B417" s="30" t="s">
        <v>2041</v>
      </c>
      <c r="D417" s="50" t="s">
        <v>8</v>
      </c>
      <c r="E417" s="50" t="s">
        <v>2109</v>
      </c>
      <c r="F417" s="50"/>
      <c r="G417" s="50" t="s">
        <v>2402</v>
      </c>
      <c r="H417" s="50" t="s">
        <v>1916</v>
      </c>
      <c r="J417" s="30" t="s">
        <v>1917</v>
      </c>
      <c r="K417" s="40">
        <v>1525609.46</v>
      </c>
      <c r="M417" s="86">
        <v>45554</v>
      </c>
      <c r="N417" s="87"/>
      <c r="O417" s="30" t="s">
        <v>2468</v>
      </c>
      <c r="P41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Plan]],AR_725[[#This Row],[May-24 Draft Plan]],AR_725[[#This Row],[Jun-24 Draft Plan]],AR_725[[#This Row],[Jul-24 Draft Plan]],AR_725[[#This Row],[Aug-24 Draft]],AR_725[[#This Row],[Sep-24 Draft]])</f>
        <v>596445.66</v>
      </c>
      <c r="Q417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417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596445.66</v>
      </c>
      <c r="S417" s="72">
        <f>IF(AR_725[[#This Row],[PO Amount]]=0,1,AR_725[[#This Row],[Total AR (Sent)]]/AR_725[[#This Row],[PO Amount]])</f>
        <v>0.3909556643677341</v>
      </c>
      <c r="T417" s="73">
        <f>AR_725[[#This Row],[PO Amount]]-AR_725[[#This Row],[Total AR (Sent)]]</f>
        <v>929163.79999999993</v>
      </c>
      <c r="AR417" s="84"/>
      <c r="AT417" s="44"/>
      <c r="AV417" s="85"/>
      <c r="AX417" s="79"/>
      <c r="AZ417" s="79"/>
      <c r="BB417" s="79"/>
      <c r="BL417" s="79"/>
      <c r="CG417" s="122"/>
      <c r="CI417" s="122"/>
      <c r="CK417" s="122"/>
      <c r="CL417" s="122"/>
      <c r="CM417" s="122"/>
      <c r="CN417" s="122"/>
      <c r="CP417" s="122">
        <f>SUMIFS(BB___HK___AMHS__Others[Tax],BB___HK___AMHS__Others[PO No.],AR_725[[#This Row],[tsmc PO '#]],BB___HK___AMHS__Others[Status],"&lt;&gt;Rejected",BB___HK___AMHS__Others[YearMonth],"2024-07")</f>
        <v>0</v>
      </c>
      <c r="CQ417" s="34">
        <f>SUMIFS(BB___HK___AMHS__Others[AR Amount],BB___HK___AMHS__Others[PO No.],AR_725[[#This Row],[tsmc PO '#]],BB___HK___AMHS__Others[Status],"&lt;&gt;Rejected",BB___HK___AMHS__Others[YearMonth],"2024-08")</f>
        <v>0</v>
      </c>
      <c r="CR417" s="601">
        <f>SUMIFS(BB___HK___AMHS__Others[Tax],BB___HK___AMHS__Others[PO No.],AR_725[[#This Row],[tsmc PO '#]],BB___HK___AMHS__Others[Status],"&lt;&gt;Rejected",BB___HK___AMHS__Others[YearMonth],"2024-08")</f>
        <v>0</v>
      </c>
      <c r="CS417" s="62">
        <f>SUMIFS(BB___HK___AMHS__Others[AR Amount],BB___HK___AMHS__Others[PO No.],AR_725[[#This Row],[tsmc PO '#]],BB___HK___AMHS__Others[Status],"&lt;&gt;Rejected",BB___HK___AMHS__Others[YearMonth],"2024-09")</f>
        <v>596445.66</v>
      </c>
      <c r="CT417" s="601">
        <f>SUMIFS(BB___HK___AMHS__Others[Tax],BB___HK___AMHS__Others[PO No.],AR_725[[#This Row],[tsmc PO '#]],BB___HK___AMHS__Others[Status],"&lt;&gt;Rejected",BB___HK___AMHS__Others[YearMonth],"2024-09")</f>
        <v>33341.32</v>
      </c>
    </row>
    <row r="418" spans="1:98" ht="15" hidden="1" customHeight="1">
      <c r="A418" s="30" t="s">
        <v>8</v>
      </c>
      <c r="D418" s="50"/>
      <c r="E418" s="50" t="s">
        <v>2109</v>
      </c>
      <c r="F418" s="50"/>
      <c r="G418" s="50" t="s">
        <v>2402</v>
      </c>
      <c r="H418" s="50" t="s">
        <v>2469</v>
      </c>
      <c r="J418" s="30" t="s">
        <v>2470</v>
      </c>
      <c r="K418" s="62">
        <v>698883.33</v>
      </c>
      <c r="M418" s="50" t="s">
        <v>2471</v>
      </c>
      <c r="N418" s="87"/>
      <c r="O418" s="30" t="s">
        <v>2468</v>
      </c>
      <c r="P41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Plan]])</f>
        <v>0</v>
      </c>
      <c r="Q418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418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418" s="72">
        <f>IF(AR_725[[#This Row],[PO Amount]]=0,1,AR_725[[#This Row],[Total AR (Sent)]]/AR_725[[#This Row],[PO Amount]])</f>
        <v>0</v>
      </c>
      <c r="T418" s="73">
        <f>AR_725[[#This Row],[PO Amount]]-AR_725[[#This Row],[Total AR (Sent)]]</f>
        <v>698883.33</v>
      </c>
      <c r="AR418" s="84"/>
      <c r="AT418" s="44"/>
      <c r="AV418" s="85"/>
      <c r="AX418" s="79"/>
      <c r="AZ418" s="79"/>
      <c r="BB418" s="79"/>
      <c r="BL418" s="79"/>
      <c r="CG418" s="122"/>
      <c r="CI418" s="122"/>
      <c r="CK418" s="122"/>
      <c r="CL418" s="122"/>
      <c r="CM418" s="122"/>
      <c r="CN418" s="122"/>
      <c r="CP418" s="122">
        <f>SUMIFS(BB___HK___AMHS__Others[Tax],BB___HK___AMHS__Others[PO No.],AR_725[[#This Row],[tsmc PO '#]],BB___HK___AMHS__Others[Status],"&lt;&gt;Rejected",BB___HK___AMHS__Others[YearMonth],"2024-07")</f>
        <v>0</v>
      </c>
      <c r="CR418" s="601">
        <f>SUMIFS(BB___HK___AMHS__Others[Tax],BB___HK___AMHS__Others[PO No.],AR_725[[#This Row],[tsmc PO '#]],BB___HK___AMHS__Others[Status],"&lt;&gt;Rejected",BB___HK___AMHS__Others[YearMonth],"2024-08")</f>
        <v>0</v>
      </c>
      <c r="CS418" s="62">
        <f>SUMIFS(BB___HK___AMHS__Others[AR Amount],BB___HK___AMHS__Others[PO No.],AR_725[[#This Row],[tsmc PO '#]],BB___HK___AMHS__Others[Status],"&lt;&gt;Rejected",BB___HK___AMHS__Others[YearMonth],"2024-09")</f>
        <v>0</v>
      </c>
      <c r="CT418" s="601">
        <f>SUMIFS(BB___HK___AMHS__Others[Tax],BB___HK___AMHS__Others[PO No.],AR_725[[#This Row],[tsmc PO '#]],BB___HK___AMHS__Others[Status],"&lt;&gt;Rejected",BB___HK___AMHS__Others[YearMonth],"2024-09")</f>
        <v>0</v>
      </c>
    </row>
    <row r="419" spans="1:98" ht="15" hidden="1" customHeight="1">
      <c r="A419" s="30" t="s">
        <v>9</v>
      </c>
      <c r="B419" s="30" t="s">
        <v>2051</v>
      </c>
      <c r="D419" s="50" t="s">
        <v>1546</v>
      </c>
      <c r="E419" s="50" t="s">
        <v>2052</v>
      </c>
      <c r="F419" s="50"/>
      <c r="G419" s="50" t="s">
        <v>2268</v>
      </c>
      <c r="H419" s="50" t="s">
        <v>2472</v>
      </c>
      <c r="J419" s="30" t="s">
        <v>2473</v>
      </c>
      <c r="K419" s="62">
        <v>159798.46</v>
      </c>
      <c r="M419" s="50" t="s">
        <v>2474</v>
      </c>
      <c r="N419" s="87"/>
      <c r="O419" s="30" t="s">
        <v>2160</v>
      </c>
      <c r="P41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Plan]])</f>
        <v>0</v>
      </c>
      <c r="Q419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419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419" s="72">
        <f>IF(AR_725[[#This Row],[PO Amount]]=0,1,AR_725[[#This Row],[Total AR (Sent)]]/AR_725[[#This Row],[PO Amount]])</f>
        <v>0</v>
      </c>
      <c r="T419" s="73">
        <f>AR_725[[#This Row],[PO Amount]]-AR_725[[#This Row],[Total AR (Sent)]]</f>
        <v>159798.46</v>
      </c>
      <c r="AR419" s="84"/>
      <c r="AT419" s="44"/>
      <c r="AV419" s="85"/>
      <c r="AX419" s="79"/>
      <c r="AZ419" s="79"/>
      <c r="BB419" s="79"/>
      <c r="BL419" s="79"/>
      <c r="CG419" s="122"/>
      <c r="CI419" s="122"/>
      <c r="CK419" s="122"/>
      <c r="CL419" s="122"/>
      <c r="CM419" s="122"/>
      <c r="CN419" s="122"/>
      <c r="CP419" s="122">
        <f>SUMIFS(BB___HK___AMHS__Others[Tax],BB___HK___AMHS__Others[PO No.],AR_725[[#This Row],[tsmc PO '#]],BB___HK___AMHS__Others[Status],"&lt;&gt;Rejected",BB___HK___AMHS__Others[YearMonth],"2024-07")</f>
        <v>0</v>
      </c>
      <c r="CR419" s="601">
        <f>SUMIFS(BB___HK___AMHS__Others[Tax],BB___HK___AMHS__Others[PO No.],AR_725[[#This Row],[tsmc PO '#]],BB___HK___AMHS__Others[Status],"&lt;&gt;Rejected",BB___HK___AMHS__Others[YearMonth],"2024-08")</f>
        <v>0</v>
      </c>
      <c r="CS419" s="62">
        <f>SUMIFS(BB___HK___AMHS__Others[AR Amount],BB___HK___AMHS__Others[PO No.],AR_725[[#This Row],[tsmc PO '#]],BB___HK___AMHS__Others[Status],"&lt;&gt;Rejected",BB___HK___AMHS__Others[YearMonth],"2024-09")</f>
        <v>0</v>
      </c>
      <c r="CT419" s="601">
        <f>SUMIFS(BB___HK___AMHS__Others[Tax],BB___HK___AMHS__Others[PO No.],AR_725[[#This Row],[tsmc PO '#]],BB___HK___AMHS__Others[Status],"&lt;&gt;Rejected",BB___HK___AMHS__Others[YearMonth],"2024-09")</f>
        <v>0</v>
      </c>
    </row>
    <row r="420" spans="1:98" ht="15" hidden="1" customHeight="1">
      <c r="A420" s="30" t="s">
        <v>9</v>
      </c>
      <c r="B420" s="30" t="s">
        <v>2051</v>
      </c>
      <c r="D420" s="50" t="s">
        <v>1546</v>
      </c>
      <c r="E420" s="50" t="s">
        <v>2052</v>
      </c>
      <c r="F420" s="50"/>
      <c r="G420" s="50" t="s">
        <v>2268</v>
      </c>
      <c r="H420" s="50" t="s">
        <v>2475</v>
      </c>
      <c r="J420" s="30" t="s">
        <v>2476</v>
      </c>
      <c r="K420" s="62">
        <v>110013.4</v>
      </c>
      <c r="M420" s="50" t="s">
        <v>2474</v>
      </c>
      <c r="N420" s="87"/>
      <c r="O420" s="30" t="s">
        <v>2160</v>
      </c>
      <c r="P42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Plan]])</f>
        <v>0</v>
      </c>
      <c r="Q420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420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420" s="72">
        <f>IF(AR_725[[#This Row],[PO Amount]]=0,1,AR_725[[#This Row],[Total AR (Sent)]]/AR_725[[#This Row],[PO Amount]])</f>
        <v>0</v>
      </c>
      <c r="T420" s="73">
        <f>AR_725[[#This Row],[PO Amount]]-AR_725[[#This Row],[Total AR (Sent)]]</f>
        <v>110013.4</v>
      </c>
      <c r="AR420" s="84"/>
      <c r="AT420" s="44"/>
      <c r="AV420" s="85"/>
      <c r="AX420" s="79"/>
      <c r="AZ420" s="79"/>
      <c r="BB420" s="79"/>
      <c r="BL420" s="79"/>
      <c r="CG420" s="122"/>
      <c r="CI420" s="122"/>
      <c r="CK420" s="122"/>
      <c r="CL420" s="122"/>
      <c r="CM420" s="122"/>
      <c r="CN420" s="122"/>
      <c r="CP420" s="122">
        <f>SUMIFS(BB___HK___AMHS__Others[Tax],BB___HK___AMHS__Others[PO No.],AR_725[[#This Row],[tsmc PO '#]],BB___HK___AMHS__Others[Status],"&lt;&gt;Rejected",BB___HK___AMHS__Others[YearMonth],"2024-07")</f>
        <v>0</v>
      </c>
      <c r="CR420" s="601">
        <f>SUMIFS(BB___HK___AMHS__Others[Tax],BB___HK___AMHS__Others[PO No.],AR_725[[#This Row],[tsmc PO '#]],BB___HK___AMHS__Others[Status],"&lt;&gt;Rejected",BB___HK___AMHS__Others[YearMonth],"2024-08")</f>
        <v>0</v>
      </c>
      <c r="CS420" s="62">
        <f>SUMIFS(BB___HK___AMHS__Others[AR Amount],BB___HK___AMHS__Others[PO No.],AR_725[[#This Row],[tsmc PO '#]],BB___HK___AMHS__Others[Status],"&lt;&gt;Rejected",BB___HK___AMHS__Others[YearMonth],"2024-09")</f>
        <v>0</v>
      </c>
      <c r="CT420" s="601">
        <f>SUMIFS(BB___HK___AMHS__Others[Tax],BB___HK___AMHS__Others[PO No.],AR_725[[#This Row],[tsmc PO '#]],BB___HK___AMHS__Others[Status],"&lt;&gt;Rejected",BB___HK___AMHS__Others[YearMonth],"2024-09")</f>
        <v>0</v>
      </c>
    </row>
    <row r="421" spans="1:98" ht="15" hidden="1" customHeight="1">
      <c r="A421" s="30" t="s">
        <v>9</v>
      </c>
      <c r="B421" s="30" t="s">
        <v>2051</v>
      </c>
      <c r="D421" s="50" t="s">
        <v>1546</v>
      </c>
      <c r="E421" s="50" t="s">
        <v>2052</v>
      </c>
      <c r="F421" s="50"/>
      <c r="G421" s="50" t="s">
        <v>2268</v>
      </c>
      <c r="H421" s="50" t="s">
        <v>2477</v>
      </c>
      <c r="J421" s="30" t="s">
        <v>2478</v>
      </c>
      <c r="K421" s="62">
        <v>99501</v>
      </c>
      <c r="M421" s="50" t="s">
        <v>2474</v>
      </c>
      <c r="N421" s="87"/>
      <c r="O421" s="30" t="s">
        <v>2160</v>
      </c>
      <c r="P42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Plan]])</f>
        <v>0</v>
      </c>
      <c r="Q421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421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421" s="72">
        <f>IF(AR_725[[#This Row],[PO Amount]]=0,1,AR_725[[#This Row],[Total AR (Sent)]]/AR_725[[#This Row],[PO Amount]])</f>
        <v>0</v>
      </c>
      <c r="T421" s="73">
        <f>AR_725[[#This Row],[PO Amount]]-AR_725[[#This Row],[Total AR (Sent)]]</f>
        <v>99501</v>
      </c>
      <c r="AR421" s="84"/>
      <c r="AT421" s="44"/>
      <c r="AV421" s="85"/>
      <c r="AX421" s="79"/>
      <c r="AZ421" s="79"/>
      <c r="BB421" s="79"/>
      <c r="BL421" s="79"/>
      <c r="CG421" s="122"/>
      <c r="CI421" s="122"/>
      <c r="CK421" s="122"/>
      <c r="CL421" s="122"/>
      <c r="CM421" s="122"/>
      <c r="CN421" s="122"/>
      <c r="CP421" s="122">
        <f>SUMIFS(BB___HK___AMHS__Others[Tax],BB___HK___AMHS__Others[PO No.],AR_725[[#This Row],[tsmc PO '#]],BB___HK___AMHS__Others[Status],"&lt;&gt;Rejected",BB___HK___AMHS__Others[YearMonth],"2024-07")</f>
        <v>0</v>
      </c>
      <c r="CR421" s="601">
        <f>SUMIFS(BB___HK___AMHS__Others[Tax],BB___HK___AMHS__Others[PO No.],AR_725[[#This Row],[tsmc PO '#]],BB___HK___AMHS__Others[Status],"&lt;&gt;Rejected",BB___HK___AMHS__Others[YearMonth],"2024-08")</f>
        <v>0</v>
      </c>
      <c r="CS421" s="62">
        <f>SUMIFS(BB___HK___AMHS__Others[AR Amount],BB___HK___AMHS__Others[PO No.],AR_725[[#This Row],[tsmc PO '#]],BB___HK___AMHS__Others[Status],"&lt;&gt;Rejected",BB___HK___AMHS__Others[YearMonth],"2024-09")</f>
        <v>0</v>
      </c>
      <c r="CT421" s="601">
        <f>SUMIFS(BB___HK___AMHS__Others[Tax],BB___HK___AMHS__Others[PO No.],AR_725[[#This Row],[tsmc PO '#]],BB___HK___AMHS__Others[Status],"&lt;&gt;Rejected",BB___HK___AMHS__Others[YearMonth],"2024-09")</f>
        <v>0</v>
      </c>
    </row>
    <row r="422" spans="1:98" ht="15" hidden="1" customHeight="1">
      <c r="A422" s="30" t="s">
        <v>9</v>
      </c>
      <c r="B422" s="30" t="s">
        <v>2051</v>
      </c>
      <c r="D422" s="50" t="s">
        <v>1706</v>
      </c>
      <c r="E422" s="50" t="s">
        <v>2070</v>
      </c>
      <c r="F422" s="50"/>
      <c r="G422" s="50" t="s">
        <v>1432</v>
      </c>
      <c r="H422" s="50">
        <v>4590023708</v>
      </c>
      <c r="J422" s="30" t="s">
        <v>2479</v>
      </c>
      <c r="K422" s="62">
        <v>9585.5</v>
      </c>
      <c r="M422" s="50" t="s">
        <v>1941</v>
      </c>
      <c r="N422" s="87"/>
      <c r="O422" s="30" t="s">
        <v>2156</v>
      </c>
      <c r="P42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Plan]])</f>
        <v>0</v>
      </c>
      <c r="Q422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422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422" s="72">
        <f>IF(AR_725[[#This Row],[PO Amount]]=0,1,AR_725[[#This Row],[Total AR (Sent)]]/AR_725[[#This Row],[PO Amount]])</f>
        <v>0</v>
      </c>
      <c r="T422" s="73">
        <f>AR_725[[#This Row],[PO Amount]]-AR_725[[#This Row],[Total AR (Sent)]]</f>
        <v>9585.5</v>
      </c>
      <c r="AR422" s="84"/>
      <c r="AT422" s="44"/>
      <c r="AV422" s="85"/>
      <c r="AX422" s="79"/>
      <c r="AZ422" s="79"/>
      <c r="BB422" s="79"/>
      <c r="BL422" s="79"/>
      <c r="CG422" s="122"/>
      <c r="CI422" s="122"/>
      <c r="CK422" s="122"/>
      <c r="CL422" s="122"/>
      <c r="CM422" s="122"/>
      <c r="CN422" s="122"/>
      <c r="CP422" s="122">
        <f>SUMIFS(BB___HK___AMHS__Others[Tax],BB___HK___AMHS__Others[PO No.],AR_725[[#This Row],[tsmc PO '#]],BB___HK___AMHS__Others[Status],"&lt;&gt;Rejected",BB___HK___AMHS__Others[YearMonth],"2024-07")</f>
        <v>0</v>
      </c>
      <c r="CR422" s="601">
        <f>SUMIFS(BB___HK___AMHS__Others[Tax],BB___HK___AMHS__Others[PO No.],AR_725[[#This Row],[tsmc PO '#]],BB___HK___AMHS__Others[Status],"&lt;&gt;Rejected",BB___HK___AMHS__Others[YearMonth],"2024-08")</f>
        <v>0</v>
      </c>
      <c r="CS422" s="62">
        <f>SUMIFS(BB___HK___AMHS__Others[AR Amount],BB___HK___AMHS__Others[PO No.],AR_725[[#This Row],[tsmc PO '#]],BB___HK___AMHS__Others[Status],"&lt;&gt;Rejected",BB___HK___AMHS__Others[YearMonth],"2024-09")</f>
        <v>0</v>
      </c>
      <c r="CT422" s="601">
        <f>SUMIFS(BB___HK___AMHS__Others[Tax],BB___HK___AMHS__Others[PO No.],AR_725[[#This Row],[tsmc PO '#]],BB___HK___AMHS__Others[Status],"&lt;&gt;Rejected",BB___HK___AMHS__Others[YearMonth],"2024-09")</f>
        <v>0</v>
      </c>
    </row>
    <row r="423" spans="1:98" ht="15" hidden="1" customHeight="1">
      <c r="A423" s="30" t="s">
        <v>9</v>
      </c>
      <c r="D423" s="50"/>
      <c r="E423" s="50" t="s">
        <v>2067</v>
      </c>
      <c r="F423" s="50"/>
      <c r="G423" s="50" t="s">
        <v>2480</v>
      </c>
      <c r="H423" s="50" t="s">
        <v>2481</v>
      </c>
      <c r="J423" s="30" t="s">
        <v>2482</v>
      </c>
      <c r="K423" s="62">
        <v>4826.32</v>
      </c>
      <c r="M423" s="50" t="s">
        <v>1941</v>
      </c>
      <c r="N423" s="87"/>
      <c r="O423" s="30" t="s">
        <v>2483</v>
      </c>
      <c r="P42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Plan]])</f>
        <v>0</v>
      </c>
      <c r="Q423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423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423" s="72">
        <f>IF(AR_725[[#This Row],[PO Amount]]=0,1,AR_725[[#This Row],[Total AR (Sent)]]/AR_725[[#This Row],[PO Amount]])</f>
        <v>0</v>
      </c>
      <c r="T423" s="73">
        <f>AR_725[[#This Row],[PO Amount]]-AR_725[[#This Row],[Total AR (Sent)]]</f>
        <v>4826.32</v>
      </c>
      <c r="AR423" s="84"/>
      <c r="AT423" s="44"/>
      <c r="AV423" s="85"/>
      <c r="AX423" s="79"/>
      <c r="AZ423" s="79"/>
      <c r="BB423" s="79"/>
      <c r="BL423" s="79"/>
      <c r="CG423" s="122"/>
      <c r="CI423" s="122"/>
      <c r="CK423" s="122"/>
      <c r="CL423" s="122"/>
      <c r="CM423" s="122"/>
      <c r="CN423" s="122"/>
      <c r="CP423" s="122">
        <f>SUMIFS(BB___HK___AMHS__Others[Tax],BB___HK___AMHS__Others[PO No.],AR_725[[#This Row],[tsmc PO '#]],BB___HK___AMHS__Others[Status],"&lt;&gt;Rejected",BB___HK___AMHS__Others[YearMonth],"2024-07")</f>
        <v>0</v>
      </c>
      <c r="CR423" s="601">
        <f>SUMIFS(BB___HK___AMHS__Others[Tax],BB___HK___AMHS__Others[PO No.],AR_725[[#This Row],[tsmc PO '#]],BB___HK___AMHS__Others[Status],"&lt;&gt;Rejected",BB___HK___AMHS__Others[YearMonth],"2024-08")</f>
        <v>0</v>
      </c>
      <c r="CS423" s="62">
        <f>SUMIFS(BB___HK___AMHS__Others[AR Amount],BB___HK___AMHS__Others[PO No.],AR_725[[#This Row],[tsmc PO '#]],BB___HK___AMHS__Others[Status],"&lt;&gt;Rejected",BB___HK___AMHS__Others[YearMonth],"2024-09")</f>
        <v>0</v>
      </c>
      <c r="CT423" s="601">
        <f>SUMIFS(BB___HK___AMHS__Others[Tax],BB___HK___AMHS__Others[PO No.],AR_725[[#This Row],[tsmc PO '#]],BB___HK___AMHS__Others[Status],"&lt;&gt;Rejected",BB___HK___AMHS__Others[YearMonth],"2024-09")</f>
        <v>0</v>
      </c>
    </row>
    <row r="424" spans="1:98" ht="15" hidden="1" customHeight="1">
      <c r="A424" s="30" t="s">
        <v>9</v>
      </c>
      <c r="B424" s="30" t="s">
        <v>2051</v>
      </c>
      <c r="D424" s="50" t="s">
        <v>1546</v>
      </c>
      <c r="E424" s="50" t="s">
        <v>2052</v>
      </c>
      <c r="F424" s="50"/>
      <c r="G424" s="50" t="s">
        <v>2268</v>
      </c>
      <c r="H424" s="50">
        <v>4590023789</v>
      </c>
      <c r="J424" s="30" t="s">
        <v>2484</v>
      </c>
      <c r="K424" s="62">
        <v>53354.76</v>
      </c>
      <c r="M424" s="50" t="s">
        <v>1941</v>
      </c>
      <c r="N424" s="87"/>
      <c r="O424" s="30" t="s">
        <v>2160</v>
      </c>
      <c r="P42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Plan]])</f>
        <v>0</v>
      </c>
      <c r="Q424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424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424" s="72">
        <f>IF(AR_725[[#This Row],[PO Amount]]=0,1,AR_725[[#This Row],[Total AR (Sent)]]/AR_725[[#This Row],[PO Amount]])</f>
        <v>0</v>
      </c>
      <c r="T424" s="73">
        <f>AR_725[[#This Row],[PO Amount]]-AR_725[[#This Row],[Total AR (Sent)]]</f>
        <v>53354.76</v>
      </c>
      <c r="AR424" s="84"/>
      <c r="AT424" s="44"/>
      <c r="AV424" s="85"/>
      <c r="AX424" s="79"/>
      <c r="AZ424" s="79"/>
      <c r="BB424" s="79"/>
      <c r="BL424" s="79"/>
      <c r="CG424" s="122"/>
      <c r="CI424" s="122"/>
      <c r="CK424" s="122"/>
      <c r="CL424" s="122"/>
      <c r="CM424" s="122"/>
      <c r="CN424" s="122"/>
      <c r="CP424" s="122">
        <f>SUMIFS(BB___HK___AMHS__Others[Tax],BB___HK___AMHS__Others[PO No.],AR_725[[#This Row],[tsmc PO '#]],BB___HK___AMHS__Others[Status],"&lt;&gt;Rejected",BB___HK___AMHS__Others[YearMonth],"2024-07")</f>
        <v>0</v>
      </c>
      <c r="CR424" s="601">
        <f>SUMIFS(BB___HK___AMHS__Others[Tax],BB___HK___AMHS__Others[PO No.],AR_725[[#This Row],[tsmc PO '#]],BB___HK___AMHS__Others[Status],"&lt;&gt;Rejected",BB___HK___AMHS__Others[YearMonth],"2024-08")</f>
        <v>0</v>
      </c>
      <c r="CS424" s="62">
        <f>SUMIFS(BB___HK___AMHS__Others[AR Amount],BB___HK___AMHS__Others[PO No.],AR_725[[#This Row],[tsmc PO '#]],BB___HK___AMHS__Others[Status],"&lt;&gt;Rejected",BB___HK___AMHS__Others[YearMonth],"2024-09")</f>
        <v>0</v>
      </c>
      <c r="CT424" s="601">
        <f>SUMIFS(BB___HK___AMHS__Others[Tax],BB___HK___AMHS__Others[PO No.],AR_725[[#This Row],[tsmc PO '#]],BB___HK___AMHS__Others[Status],"&lt;&gt;Rejected",BB___HK___AMHS__Others[YearMonth],"2024-09")</f>
        <v>0</v>
      </c>
    </row>
    <row r="425" spans="1:98" ht="15" hidden="1" customHeight="1">
      <c r="A425" s="30" t="s">
        <v>9</v>
      </c>
      <c r="B425" s="30" t="s">
        <v>2051</v>
      </c>
      <c r="D425" s="50" t="s">
        <v>1706</v>
      </c>
      <c r="E425" s="50" t="s">
        <v>2070</v>
      </c>
      <c r="F425" s="50"/>
      <c r="G425" s="50" t="s">
        <v>2485</v>
      </c>
      <c r="H425" s="50">
        <v>4590023864</v>
      </c>
      <c r="J425" s="30" t="s">
        <v>2486</v>
      </c>
      <c r="K425" s="62">
        <v>7008</v>
      </c>
      <c r="M425" s="50" t="s">
        <v>2487</v>
      </c>
      <c r="N425" s="87"/>
      <c r="O425" s="30" t="s">
        <v>2156</v>
      </c>
      <c r="P42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Plan]],AR_725[[#This Row],[Feb-24 Draft Plan]],AR_725[[#This Row],[Mar-24 Draft Plan]],AR_725[[#This Row],[Apr-24 Draft Plan]])</f>
        <v>0</v>
      </c>
      <c r="Q425" s="38">
        <f>SUM(AR_725[[#This Row],[Before Sep Real]],AR_725[[#This Row],[21-Sep Real]],AR_725[[#This Row],[Oct-21 Real]],AR_725[[#This Row],[Nov-21 Real]],AR_725[[#This Row],[Dec-21 Real]],AR_725[[#This Row],[Dec-21 Draft invoice (first time draft invoice-- 12/22/2021 submitted) Jan Formal Invoice]],AR_725[[#This Row],[Jan-22 Draft invoice Real]],AR_725[[#This Row],[Feb-22 Draft]],AR_725[[#This Row],[Mar-22 Draft]],AR_725[[#This Row],[Apr-22 Draft]],AR_725[[#This Row],[May-22 Draft Plan]],AR_725[[#This Row],[Jun-22 Draft Plan]],AR_725[[#This Row],[Jul-22 Draft Plan]],AR_725[[#This Row],[Aug-22 Draft Plan]],AR_725[[#This Row],[Sep-22 Draft Plan]],AR_725[[#This Row],[Oct-22 Draft Plan]],AR_725[[#This Row],[Nov-22 Draft Plan]],AR_725[[#This Row],[Dec-22 Draft Plan]],AR_725[[#This Row],[Jan-23 Draft Plan]],AR_725[[#This Row],[Feb-23 Draft Plan]],AR_725[[#This Row],[Mar-23 Draft Plan]],AR_725[[#This Row],[Apr-23 Draft Plan]],AR_725[[#This Row],[May-23 Draft Plan]],AR_725[[#This Row],[Jun-23 Draft Plan]], AR_725[[#This Row],[July-23 Draft Plan]],AR_725[[#This Row],[Aug-23 Draft Plan]],AR_725[[#This Row],[Sep-23 Draft Plan]],AR_725[[#This Row],[Oct-23 Draft Plan]],AR_725[[#This Row],[Nov-23 Draft Plan]],AR_725[[#This Row],[Dec-23 Draft Plan]],AR_725[[#This Row],[Jan-24 Draft Plan]], AR_725[[#This Row],[Feb-24 Draft Plan]],AR_725[[#This Row],[Mar-24 Draft Plan]])</f>
        <v>0</v>
      </c>
      <c r="R425" s="38">
        <f>IF(ISNUMBER(SEARCH("Mura", AR_725[[#This Row],[Sponsor]])), AR_725[[#This Row],[Total AR (Sent)]], SUMIFS(BB___HK___AMHS__Others[AR Amount], BB___HK___AMHS__Others[PO No.], AR_725[[#This Row],[tsmc PO '#]], BB___HK___AMHS__Others[Status], "Paid"))</f>
        <v>0</v>
      </c>
      <c r="S425" s="72">
        <f>IF(AR_725[[#This Row],[PO Amount]]=0,1,AR_725[[#This Row],[Total AR (Sent)]]/AR_725[[#This Row],[PO Amount]])</f>
        <v>0</v>
      </c>
      <c r="T425" s="73">
        <f>AR_725[[#This Row],[PO Amount]]-AR_725[[#This Row],[Total AR (Sent)]]</f>
        <v>7008</v>
      </c>
      <c r="AR425" s="84"/>
      <c r="AT425" s="44"/>
      <c r="AV425" s="85"/>
      <c r="AX425" s="79"/>
      <c r="AZ425" s="79"/>
      <c r="BB425" s="79"/>
      <c r="BL425" s="79"/>
      <c r="CG425" s="122"/>
      <c r="CI425" s="122"/>
      <c r="CK425" s="122"/>
      <c r="CL425" s="122"/>
      <c r="CM425" s="122"/>
      <c r="CN425" s="122"/>
      <c r="CP425" s="122">
        <f>SUMIFS(BB___HK___AMHS__Others[Tax],BB___HK___AMHS__Others[PO No.],AR_725[[#This Row],[tsmc PO '#]],BB___HK___AMHS__Others[Status],"&lt;&gt;Rejected",BB___HK___AMHS__Others[YearMonth],"2024-07")</f>
        <v>0</v>
      </c>
      <c r="CR425" s="601">
        <f>SUMIFS(BB___HK___AMHS__Others[Tax],BB___HK___AMHS__Others[PO No.],AR_725[[#This Row],[tsmc PO '#]],BB___HK___AMHS__Others[Status],"&lt;&gt;Rejected",BB___HK___AMHS__Others[YearMonth],"2024-08")</f>
        <v>0</v>
      </c>
      <c r="CS425" s="62">
        <f>SUMIFS(BB___HK___AMHS__Others[AR Amount],BB___HK___AMHS__Others[PO No.],AR_725[[#This Row],[tsmc PO '#]],BB___HK___AMHS__Others[Status],"&lt;&gt;Rejected",BB___HK___AMHS__Others[YearMonth],"2024-09")</f>
        <v>0</v>
      </c>
      <c r="CT425" s="601">
        <f>SUMIFS(BB___HK___AMHS__Others[Tax],BB___HK___AMHS__Others[PO No.],AR_725[[#This Row],[tsmc PO '#]],BB___HK___AMHS__Others[Status],"&lt;&gt;Rejected",BB___HK___AMHS__Others[YearMonth],"2024-09")</f>
        <v>0</v>
      </c>
    </row>
  </sheetData>
  <phoneticPr fontId="4" type="noConversion"/>
  <conditionalFormatting sqref="H2:H202">
    <cfRule type="duplicateValues" dxfId="526" priority="3755"/>
  </conditionalFormatting>
  <conditionalFormatting sqref="H2:H425">
    <cfRule type="duplicateValues" dxfId="525" priority="3780"/>
  </conditionalFormatting>
  <conditionalFormatting sqref="S2:S202">
    <cfRule type="dataBar" priority="3759">
      <dataBar>
        <cfvo type="min"/>
        <cfvo type="max"/>
        <color theme="0" tint="-0.34998626667073579"/>
      </dataBar>
      <extLst>
        <ext xmlns:x14="http://schemas.microsoft.com/office/spreadsheetml/2009/9/main" uri="{B025F937-C7B1-47D3-B67F-A62EFF666E3E}">
          <x14:id>{C9B8753F-854E-4490-BC9D-B3C755502CED}</x14:id>
        </ext>
      </extLst>
    </cfRule>
    <cfRule type="dataBar" priority="37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{33D3119F-96ED-4194-B566-C1DA4109E71B}</x14:id>
        </ext>
      </extLst>
    </cfRule>
    <cfRule type="dataBar" priority="3761">
      <dataBar>
        <cfvo type="percent" val="0"/>
        <cfvo type="percent" val="100"/>
        <color theme="0" tint="-0.34998626667073579"/>
      </dataBar>
      <extLst>
        <ext xmlns:x14="http://schemas.microsoft.com/office/spreadsheetml/2009/9/main" uri="{B025F937-C7B1-47D3-B67F-A62EFF666E3E}">
          <x14:id>{486B3EEF-19B7-413F-9441-7A2FAD8D132A}</x14:id>
        </ext>
      </extLst>
    </cfRule>
    <cfRule type="dataBar" priority="3762">
      <dataBar>
        <cfvo type="percent" val="0"/>
        <cfvo type="percent" val="100"/>
        <color theme="0" tint="-0.34998626667073579"/>
      </dataBar>
      <extLst>
        <ext xmlns:x14="http://schemas.microsoft.com/office/spreadsheetml/2009/9/main" uri="{B025F937-C7B1-47D3-B67F-A62EFF666E3E}">
          <x14:id>{7DFA167A-A858-45D9-BEDE-00AD70AE1495}</x14:id>
        </ext>
      </extLst>
    </cfRule>
    <cfRule type="dataBar" priority="3763">
      <dataBar>
        <cfvo type="num" val="0"/>
        <cfvo type="num" val="1"/>
        <color theme="0" tint="-0.34998626667073579"/>
      </dataBar>
      <extLst>
        <ext xmlns:x14="http://schemas.microsoft.com/office/spreadsheetml/2009/9/main" uri="{B025F937-C7B1-47D3-B67F-A62EFF666E3E}">
          <x14:id>{0C49DADA-0DC9-4645-B4E3-C453222BB658}</x14:id>
        </ext>
      </extLst>
    </cfRule>
    <cfRule type="dataBar" priority="376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{712F24FF-92F8-47D5-A179-1A06F4443613}</x14:id>
        </ext>
      </extLst>
    </cfRule>
    <cfRule type="dataBar" priority="3765">
      <dataBar>
        <cfvo type="min"/>
        <cfvo type="max"/>
        <color theme="0" tint="-0.34998626667073579"/>
      </dataBar>
      <extLst>
        <ext xmlns:x14="http://schemas.microsoft.com/office/spreadsheetml/2009/9/main" uri="{B025F937-C7B1-47D3-B67F-A62EFF666E3E}">
          <x14:id>{B8658888-43A9-4820-8E57-96634FD786FD}</x14:id>
        </ext>
      </extLst>
    </cfRule>
  </conditionalFormatting>
  <conditionalFormatting sqref="S2:S425">
    <cfRule type="dataBar" priority="3782">
      <dataBar>
        <cfvo type="min"/>
        <cfvo type="max"/>
        <color theme="0" tint="-0.34998626667073579"/>
      </dataBar>
      <extLst>
        <ext xmlns:x14="http://schemas.microsoft.com/office/spreadsheetml/2009/9/main" uri="{B025F937-C7B1-47D3-B67F-A62EFF666E3E}">
          <x14:id>{8B6E2D81-46E0-4E50-B932-35698868A845}</x14:id>
        </ext>
      </extLst>
    </cfRule>
    <cfRule type="dataBar" priority="378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{83B86792-0B96-4949-B5DD-9911FCF5E8AD}</x14:id>
        </ext>
      </extLst>
    </cfRule>
    <cfRule type="dataBar" priority="3784">
      <dataBar>
        <cfvo type="percent" val="0"/>
        <cfvo type="percent" val="100"/>
        <color theme="0" tint="-0.34998626667073579"/>
      </dataBar>
      <extLst>
        <ext xmlns:x14="http://schemas.microsoft.com/office/spreadsheetml/2009/9/main" uri="{B025F937-C7B1-47D3-B67F-A62EFF666E3E}">
          <x14:id>{8B2153CF-484F-4211-A050-94B02C21FD81}</x14:id>
        </ext>
      </extLst>
    </cfRule>
    <cfRule type="dataBar" priority="3785">
      <dataBar>
        <cfvo type="percent" val="0"/>
        <cfvo type="percent" val="100"/>
        <color theme="0" tint="-0.34998626667073579"/>
      </dataBar>
      <extLst>
        <ext xmlns:x14="http://schemas.microsoft.com/office/spreadsheetml/2009/9/main" uri="{B025F937-C7B1-47D3-B67F-A62EFF666E3E}">
          <x14:id>{071AB097-4C2C-4885-9C95-F6A54A55C225}</x14:id>
        </ext>
      </extLst>
    </cfRule>
    <cfRule type="dataBar" priority="3786">
      <dataBar>
        <cfvo type="num" val="0"/>
        <cfvo type="num" val="1"/>
        <color theme="0" tint="-0.34998626667073579"/>
      </dataBar>
      <extLst>
        <ext xmlns:x14="http://schemas.microsoft.com/office/spreadsheetml/2009/9/main" uri="{B025F937-C7B1-47D3-B67F-A62EFF666E3E}">
          <x14:id>{853FB074-3C29-40DF-8170-CF948A33F0F4}</x14:id>
        </ext>
      </extLst>
    </cfRule>
    <cfRule type="dataBar" priority="378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{5A5DD0DE-2B57-4303-BA97-419DFB36F31D}</x14:id>
        </ext>
      </extLst>
    </cfRule>
    <cfRule type="dataBar" priority="3788">
      <dataBar>
        <cfvo type="min"/>
        <cfvo type="max"/>
        <color theme="0" tint="-0.34998626667073579"/>
      </dataBar>
      <extLst>
        <ext xmlns:x14="http://schemas.microsoft.com/office/spreadsheetml/2009/9/main" uri="{B025F937-C7B1-47D3-B67F-A62EFF666E3E}">
          <x14:id>{23D7F701-526B-457B-B9F4-2A12B58A15BE}</x14:id>
        </ext>
      </extLst>
    </cfRule>
  </conditionalFormatting>
  <conditionalFormatting sqref="S203:S283">
    <cfRule type="dataBar" priority="2866">
      <dataBar>
        <cfvo type="min"/>
        <cfvo type="max"/>
        <color theme="0" tint="-0.34998626667073579"/>
      </dataBar>
      <extLst>
        <ext xmlns:x14="http://schemas.microsoft.com/office/spreadsheetml/2009/9/main" uri="{B025F937-C7B1-47D3-B67F-A62EFF666E3E}">
          <x14:id>{D5986430-3A16-4237-ACF5-ADB734C8D8E6}</x14:id>
        </ext>
      </extLst>
    </cfRule>
    <cfRule type="dataBar" priority="286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{9B6A5DBA-AC99-4635-9338-AE14BD0AC5F6}</x14:id>
        </ext>
      </extLst>
    </cfRule>
    <cfRule type="dataBar" priority="2868">
      <dataBar>
        <cfvo type="percent" val="0"/>
        <cfvo type="percent" val="100"/>
        <color theme="0" tint="-0.34998626667073579"/>
      </dataBar>
      <extLst>
        <ext xmlns:x14="http://schemas.microsoft.com/office/spreadsheetml/2009/9/main" uri="{B025F937-C7B1-47D3-B67F-A62EFF666E3E}">
          <x14:id>{D05B4CC8-4ACB-4828-9958-DE30F3915A49}</x14:id>
        </ext>
      </extLst>
    </cfRule>
    <cfRule type="dataBar" priority="2869">
      <dataBar>
        <cfvo type="percent" val="0"/>
        <cfvo type="percent" val="100"/>
        <color theme="0" tint="-0.34998626667073579"/>
      </dataBar>
      <extLst>
        <ext xmlns:x14="http://schemas.microsoft.com/office/spreadsheetml/2009/9/main" uri="{B025F937-C7B1-47D3-B67F-A62EFF666E3E}">
          <x14:id>{C72A77B3-0DD8-4CF9-B8C6-900D937B4B66}</x14:id>
        </ext>
      </extLst>
    </cfRule>
    <cfRule type="dataBar" priority="2870">
      <dataBar>
        <cfvo type="num" val="0"/>
        <cfvo type="num" val="1"/>
        <color theme="0" tint="-0.34998626667073579"/>
      </dataBar>
      <extLst>
        <ext xmlns:x14="http://schemas.microsoft.com/office/spreadsheetml/2009/9/main" uri="{B025F937-C7B1-47D3-B67F-A62EFF666E3E}">
          <x14:id>{A3139D0C-70FD-4627-87E1-666E5A495054}</x14:id>
        </ext>
      </extLst>
    </cfRule>
    <cfRule type="dataBar" priority="287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{8ACA0023-DB11-4AC1-A98D-713E769AC76B}</x14:id>
        </ext>
      </extLst>
    </cfRule>
    <cfRule type="dataBar" priority="2872">
      <dataBar>
        <cfvo type="min"/>
        <cfvo type="max"/>
        <color theme="0" tint="-0.34998626667073579"/>
      </dataBar>
      <extLst>
        <ext xmlns:x14="http://schemas.microsoft.com/office/spreadsheetml/2009/9/main" uri="{B025F937-C7B1-47D3-B67F-A62EFF666E3E}">
          <x14:id>{F69CE272-15C9-4D91-B48E-51E4AE2BC816}</x14:id>
        </ext>
      </extLst>
    </cfRule>
  </conditionalFormatting>
  <pageMargins left="0.7" right="0.7" top="0.75" bottom="0.75" header="0.3" footer="0.3"/>
  <pageSetup paperSize="3" fitToHeight="0" orientation="landscape" r:id="rId1"/>
  <legacy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9B8753F-854E-4490-BC9D-B3C755502C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33D3119F-96ED-4194-B566-C1DA4109E71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486B3EEF-19B7-413F-9441-7A2FAD8D132A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7DFA167A-A858-45D9-BEDE-00AD70AE1495}">
            <x14:dataBar minLength="0" maxLength="100" gradient="0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0C49DADA-0DC9-4645-B4E3-C453222BB658}">
            <x14:dataBar minLength="0" maxLength="100" gradient="0" direction="leftToRight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712F24FF-92F8-47D5-A179-1A06F44436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B8658888-43A9-4820-8E57-96634FD786F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S2:S202</xm:sqref>
        </x14:conditionalFormatting>
        <x14:conditionalFormatting xmlns:xm="http://schemas.microsoft.com/office/excel/2006/main">
          <x14:cfRule type="dataBar" id="{8B6E2D81-46E0-4E50-B932-35698868A84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83B86792-0B96-4949-B5DD-9911FCF5E8A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8B2153CF-484F-4211-A050-94B02C21FD81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071AB097-4C2C-4885-9C95-F6A54A55C225}">
            <x14:dataBar minLength="0" maxLength="100" gradient="0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853FB074-3C29-40DF-8170-CF948A33F0F4}">
            <x14:dataBar minLength="0" maxLength="100" gradient="0" direction="leftToRight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5A5DD0DE-2B57-4303-BA97-419DFB36F3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23D7F701-526B-457B-B9F4-2A12B58A15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S2:S425</xm:sqref>
        </x14:conditionalFormatting>
        <x14:conditionalFormatting xmlns:xm="http://schemas.microsoft.com/office/excel/2006/main">
          <x14:cfRule type="dataBar" id="{D5986430-3A16-4237-ACF5-ADB734C8D8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B6A5DBA-AC99-4635-9338-AE14BD0AC5F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D05B4CC8-4ACB-4828-9958-DE30F3915A49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C72A77B3-0DD8-4CF9-B8C6-900D937B4B66}">
            <x14:dataBar minLength="0" maxLength="100" gradient="0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A3139D0C-70FD-4627-87E1-666E5A495054}">
            <x14:dataBar minLength="0" maxLength="100" gradient="0" direction="leftToRight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8ACA0023-DB11-4AC1-A98D-713E769AC7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F69CE272-15C9-4D91-B48E-51E4AE2BC8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S203:S283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7C31E-BF0F-493B-9820-6470B13E4662}">
  <sheetPr codeName="Sheet9"/>
  <dimension ref="A1:BU552"/>
  <sheetViews>
    <sheetView zoomScale="80" zoomScaleNormal="80" workbookViewId="0">
      <pane xSplit="9" topLeftCell="X1" activePane="topRight" state="frozenSplit"/>
      <selection pane="topRight" activeCell="X195" sqref="X195"/>
      <selection activeCell="AJ139" sqref="AJ139"/>
    </sheetView>
  </sheetViews>
  <sheetFormatPr defaultColWidth="9.140625" defaultRowHeight="15" customHeight="1" outlineLevelCol="1"/>
  <cols>
    <col min="1" max="1" width="9.140625" customWidth="1"/>
    <col min="2" max="2" width="43.140625" bestFit="1" customWidth="1"/>
    <col min="3" max="3" width="52.28515625" customWidth="1" outlineLevel="1"/>
    <col min="4" max="4" width="20.5703125" bestFit="1" customWidth="1"/>
    <col min="5" max="5" width="9.140625" customWidth="1"/>
    <col min="6" max="6" width="28.42578125" bestFit="1" customWidth="1"/>
    <col min="7" max="7" width="28.28515625" hidden="1" customWidth="1" outlineLevel="1"/>
    <col min="8" max="8" width="34.7109375" hidden="1" customWidth="1" outlineLevel="1"/>
    <col min="9" max="9" width="40.42578125" bestFit="1" customWidth="1" collapsed="1"/>
    <col min="10" max="10" width="18" style="3" customWidth="1"/>
    <col min="11" max="11" width="18.7109375" style="148" customWidth="1"/>
    <col min="12" max="12" width="9.140625" style="148" customWidth="1"/>
    <col min="13" max="13" width="15.42578125" style="148" customWidth="1" outlineLevel="1"/>
    <col min="14" max="14" width="23.42578125" style="148" customWidth="1" outlineLevel="1"/>
    <col min="15" max="16" width="17.42578125" style="148" customWidth="1" outlineLevel="1"/>
    <col min="17" max="17" width="19.42578125" style="148" customWidth="1" outlineLevel="1"/>
    <col min="18" max="18" width="15.85546875" style="148" bestFit="1" customWidth="1"/>
    <col min="19" max="19" width="16.42578125" style="148" customWidth="1" outlineLevel="1"/>
    <col min="20" max="20" width="11.28515625" style="148" customWidth="1" outlineLevel="1"/>
    <col min="21" max="21" width="15.42578125" style="148" customWidth="1" outlineLevel="1"/>
    <col min="22" max="22" width="13.42578125" style="148" customWidth="1" outlineLevel="1"/>
    <col min="23" max="23" width="18.42578125" style="148" customWidth="1" outlineLevel="1"/>
    <col min="24" max="24" width="15.85546875" style="148" bestFit="1" customWidth="1"/>
    <col min="25" max="25" width="9.140625" style="150" customWidth="1"/>
    <col min="26" max="26" width="18.7109375" style="151" customWidth="1"/>
    <col min="27" max="27" width="9.140625" customWidth="1" outlineLevel="1"/>
    <col min="28" max="29" width="14.28515625" style="148" customWidth="1" outlineLevel="1"/>
    <col min="30" max="30" width="19" style="148" customWidth="1" outlineLevel="1"/>
    <col min="31" max="31" width="17.85546875" style="148" customWidth="1" outlineLevel="1"/>
    <col min="32" max="32" width="19.42578125" customWidth="1" outlineLevel="1"/>
    <col min="33" max="33" width="18.140625" customWidth="1" outlineLevel="1" collapsed="1"/>
    <col min="34" max="34" width="19.28515625" customWidth="1" outlineLevel="1"/>
    <col min="35" max="35" width="18" customWidth="1" outlineLevel="1" collapsed="1"/>
    <col min="36" max="36" width="17.42578125" customWidth="1" outlineLevel="1"/>
    <col min="37" max="37" width="18.42578125" customWidth="1" outlineLevel="1" collapsed="1"/>
    <col min="38" max="38" width="14.140625" customWidth="1" outlineLevel="1"/>
    <col min="39" max="39" width="17.42578125" customWidth="1" outlineLevel="1" collapsed="1"/>
    <col min="40" max="40" width="16.140625" customWidth="1" outlineLevel="1"/>
    <col min="41" max="41" width="18.28515625" customWidth="1" outlineLevel="1" collapsed="1"/>
    <col min="42" max="42" width="16.140625" customWidth="1" outlineLevel="1"/>
    <col min="43" max="43" width="18.28515625" customWidth="1" outlineLevel="1" collapsed="1"/>
    <col min="44" max="44" width="15.42578125" customWidth="1" outlineLevel="1"/>
    <col min="45" max="45" width="17.85546875" customWidth="1" outlineLevel="1"/>
    <col min="46" max="51" width="11.85546875" customWidth="1" outlineLevel="1"/>
    <col min="52" max="52" width="14.140625" customWidth="1" outlineLevel="1"/>
    <col min="53" max="53" width="11.85546875" customWidth="1" outlineLevel="1"/>
    <col min="54" max="54" width="15.140625" style="165" customWidth="1" outlineLevel="1"/>
    <col min="55" max="57" width="11.85546875" style="165" customWidth="1" outlineLevel="1"/>
    <col min="58" max="58" width="13.42578125" style="192" customWidth="1" outlineLevel="1"/>
    <col min="59" max="59" width="11.85546875" style="165" customWidth="1" outlineLevel="1"/>
    <col min="60" max="60" width="14.42578125" style="165" customWidth="1" outlineLevel="1"/>
    <col min="61" max="61" width="11.85546875" style="165" customWidth="1" outlineLevel="1"/>
    <col min="62" max="62" width="11.85546875" style="192" customWidth="1" outlineLevel="1"/>
    <col min="63" max="63" width="11.85546875" style="165" customWidth="1" outlineLevel="1"/>
    <col min="64" max="64" width="15.42578125" style="165" customWidth="1" outlineLevel="1"/>
    <col min="65" max="67" width="11.85546875" style="165" customWidth="1" outlineLevel="1"/>
    <col min="68" max="68" width="17.7109375" style="165" customWidth="1" outlineLevel="1"/>
    <col min="69" max="69" width="11.85546875" style="165" customWidth="1" outlineLevel="1"/>
    <col min="70" max="70" width="16.28515625" customWidth="1"/>
    <col min="71" max="72" width="9.140625" customWidth="1"/>
    <col min="73" max="73" width="18.140625" customWidth="1"/>
  </cols>
  <sheetData>
    <row r="1" spans="1:73" s="133" customFormat="1" ht="33.6" customHeight="1" thickBot="1">
      <c r="A1" s="133" t="s">
        <v>1951</v>
      </c>
      <c r="B1" s="133" t="s">
        <v>2488</v>
      </c>
      <c r="C1" s="133" t="s">
        <v>0</v>
      </c>
      <c r="D1" s="133" t="s">
        <v>2489</v>
      </c>
      <c r="E1" s="133" t="s">
        <v>2490</v>
      </c>
      <c r="F1" s="133" t="s">
        <v>2491</v>
      </c>
      <c r="G1" s="133" t="s">
        <v>1954</v>
      </c>
      <c r="H1" s="133" t="s">
        <v>2492</v>
      </c>
      <c r="I1" s="133" t="s">
        <v>2493</v>
      </c>
      <c r="J1" s="133" t="s">
        <v>2494</v>
      </c>
      <c r="K1" s="134" t="s">
        <v>2495</v>
      </c>
      <c r="L1" s="7" t="s">
        <v>2496</v>
      </c>
      <c r="M1" s="135" t="s">
        <v>2497</v>
      </c>
      <c r="N1" s="135" t="s">
        <v>2498</v>
      </c>
      <c r="O1" s="135" t="s">
        <v>2499</v>
      </c>
      <c r="P1" s="135" t="s">
        <v>2500</v>
      </c>
      <c r="Q1" s="135" t="s">
        <v>2501</v>
      </c>
      <c r="R1" s="135" t="s">
        <v>2502</v>
      </c>
      <c r="S1" s="135" t="s">
        <v>1955</v>
      </c>
      <c r="T1" s="135" t="s">
        <v>73</v>
      </c>
      <c r="U1" s="135" t="s">
        <v>1956</v>
      </c>
      <c r="V1" s="135" t="s">
        <v>1957</v>
      </c>
      <c r="W1" s="135" t="s">
        <v>1958</v>
      </c>
      <c r="X1" s="135" t="s">
        <v>1961</v>
      </c>
      <c r="Y1" s="136" t="s">
        <v>1962</v>
      </c>
      <c r="Z1" s="134" t="s">
        <v>28</v>
      </c>
      <c r="AA1" s="137" t="s">
        <v>2503</v>
      </c>
      <c r="AB1" s="137" t="s">
        <v>2504</v>
      </c>
      <c r="AC1" s="134" t="s">
        <v>2505</v>
      </c>
      <c r="AD1" s="133" t="s">
        <v>2506</v>
      </c>
      <c r="AE1" s="138" t="s">
        <v>2507</v>
      </c>
      <c r="AF1" s="139" t="s">
        <v>2508</v>
      </c>
      <c r="AG1" s="138" t="s">
        <v>2509</v>
      </c>
      <c r="AH1" s="139" t="s">
        <v>2510</v>
      </c>
      <c r="AI1" s="138" t="s">
        <v>2511</v>
      </c>
      <c r="AJ1" s="133" t="s">
        <v>2512</v>
      </c>
      <c r="AK1" s="138" t="s">
        <v>2513</v>
      </c>
      <c r="AL1" s="133" t="s">
        <v>2514</v>
      </c>
      <c r="AM1" s="138" t="s">
        <v>2515</v>
      </c>
      <c r="AN1" s="133" t="s">
        <v>2516</v>
      </c>
      <c r="AO1" s="140" t="s">
        <v>2517</v>
      </c>
      <c r="AP1" s="133" t="s">
        <v>2518</v>
      </c>
      <c r="AQ1" s="138" t="s">
        <v>2519</v>
      </c>
      <c r="AR1" s="133" t="s">
        <v>2520</v>
      </c>
      <c r="AS1" s="138" t="s">
        <v>2521</v>
      </c>
      <c r="AT1" s="133" t="s">
        <v>2522</v>
      </c>
      <c r="AU1" s="141" t="s">
        <v>2523</v>
      </c>
      <c r="AV1" s="139" t="s">
        <v>2524</v>
      </c>
      <c r="AW1" s="141" t="s">
        <v>2525</v>
      </c>
      <c r="AX1" s="141" t="s">
        <v>2526</v>
      </c>
      <c r="AY1" s="141" t="s">
        <v>2527</v>
      </c>
      <c r="AZ1" s="141" t="s">
        <v>2528</v>
      </c>
      <c r="BA1" s="141" t="s">
        <v>2529</v>
      </c>
      <c r="BB1" s="142" t="s">
        <v>2530</v>
      </c>
      <c r="BC1" s="142" t="s">
        <v>2531</v>
      </c>
      <c r="BD1" s="143" t="s">
        <v>2532</v>
      </c>
      <c r="BE1" s="142" t="s">
        <v>2533</v>
      </c>
      <c r="BF1" s="144" t="s">
        <v>2534</v>
      </c>
      <c r="BG1" s="143" t="s">
        <v>2535</v>
      </c>
      <c r="BH1" s="143" t="s">
        <v>2536</v>
      </c>
      <c r="BI1" s="143" t="s">
        <v>2537</v>
      </c>
      <c r="BJ1" s="144" t="s">
        <v>2538</v>
      </c>
      <c r="BK1" s="143" t="s">
        <v>2539</v>
      </c>
      <c r="BL1" s="143" t="s">
        <v>2540</v>
      </c>
      <c r="BM1" s="143" t="s">
        <v>2541</v>
      </c>
      <c r="BN1" s="143" t="s">
        <v>2542</v>
      </c>
      <c r="BO1" s="143" t="s">
        <v>2543</v>
      </c>
      <c r="BP1" s="143" t="s">
        <v>2544</v>
      </c>
      <c r="BQ1" s="143" t="s">
        <v>2545</v>
      </c>
      <c r="BR1" s="145" t="s">
        <v>2546</v>
      </c>
      <c r="BS1" s="146" t="s">
        <v>80</v>
      </c>
      <c r="BT1" s="133" t="s">
        <v>2547</v>
      </c>
      <c r="BU1" s="133" t="s">
        <v>2548</v>
      </c>
    </row>
    <row r="2" spans="1:73" ht="14.45" hidden="1">
      <c r="B2" s="3" t="s">
        <v>29</v>
      </c>
      <c r="C2" s="3"/>
      <c r="D2" s="3">
        <v>4400758378</v>
      </c>
      <c r="E2" s="3">
        <v>1</v>
      </c>
      <c r="F2" s="3" t="s">
        <v>2549</v>
      </c>
      <c r="G2" s="3"/>
      <c r="H2" s="3" t="s">
        <v>17</v>
      </c>
      <c r="I2" s="3"/>
      <c r="J2" t="s">
        <v>2550</v>
      </c>
      <c r="K2" s="147"/>
      <c r="L2" s="3">
        <v>1</v>
      </c>
      <c r="M2" s="177"/>
      <c r="N2" s="148">
        <v>85000</v>
      </c>
      <c r="Q2" s="151"/>
      <c r="R2" s="151">
        <f>Table242[[#This Row],[Material Unit Price]]+Table242[[#This Row],[Labor Unit Price]]+Table242[[#This Row],[GC + Manage+ Insur]]</f>
        <v>85000</v>
      </c>
      <c r="S2" s="151">
        <f>Table242[[#This Row],[Total Per Tool]]*Table242[[#This Row],[Tool QTY]]</f>
        <v>85000</v>
      </c>
      <c r="T2" s="151"/>
      <c r="U2" s="175">
        <v>45006</v>
      </c>
      <c r="V2" s="151"/>
      <c r="W2" s="151" t="s">
        <v>2551</v>
      </c>
      <c r="X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85000</v>
      </c>
      <c r="Y2" s="150">
        <f>Table242[[#This Row],[Total AR (Received)]]/Table242[[#This Row],[PO Amount]]</f>
        <v>1</v>
      </c>
      <c r="Z2" s="151">
        <f>Table242[[#This Row],[PO Amount]]-Table242[[#This Row],[Total AR (Received)]]</f>
        <v>0</v>
      </c>
      <c r="AA2" s="151"/>
      <c r="AB2" s="151"/>
      <c r="AC2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" s="151"/>
      <c r="AE2"/>
      <c r="AF2" s="3"/>
      <c r="AJ2" s="172">
        <v>85000</v>
      </c>
      <c r="BD2" s="154" t="s">
        <v>550</v>
      </c>
      <c r="BF2" s="165">
        <v>0</v>
      </c>
      <c r="BG2" s="287"/>
      <c r="BJ2" s="165"/>
      <c r="BR2" s="156">
        <f t="shared" ref="BR2:BR65" si="0">SUM(AD2:BH2)</f>
        <v>85000</v>
      </c>
      <c r="BU2" s="159">
        <f>Table242[[#This Row],[Total]]</f>
        <v>85000</v>
      </c>
    </row>
    <row r="3" spans="1:73" ht="14.45" hidden="1">
      <c r="B3" s="3" t="s">
        <v>29</v>
      </c>
      <c r="C3" s="3"/>
      <c r="D3" s="3">
        <v>4400767535</v>
      </c>
      <c r="E3" s="3">
        <v>1</v>
      </c>
      <c r="F3" s="3" t="s">
        <v>2549</v>
      </c>
      <c r="G3" s="3"/>
      <c r="H3" s="3" t="s">
        <v>17</v>
      </c>
      <c r="I3" s="3"/>
      <c r="J3" t="s">
        <v>2552</v>
      </c>
      <c r="K3" s="147"/>
      <c r="L3" s="3">
        <v>1</v>
      </c>
      <c r="M3" s="148">
        <v>677000</v>
      </c>
      <c r="R3" s="148">
        <f>Table242[[#This Row],[Material Unit Price]]+Table242[[#This Row],[Labor Unit Price]]+Table242[[#This Row],[GC + Manage+ Insur]]</f>
        <v>677000</v>
      </c>
      <c r="S3" s="148">
        <f>Table242[[#This Row],[Total Per Tool]]*Table242[[#This Row],[Tool QTY]]</f>
        <v>677000</v>
      </c>
      <c r="U3" s="149"/>
      <c r="X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677000</v>
      </c>
      <c r="Y3" s="150">
        <f>Table242[[#This Row],[Total AR (Received)]]/Table242[[#This Row],[PO Amount]]</f>
        <v>1</v>
      </c>
      <c r="Z3" s="151">
        <f>Table242[[#This Row],[PO Amount]]-Table242[[#This Row],[Total AR (Received)]]</f>
        <v>0</v>
      </c>
      <c r="AA3" s="152">
        <v>1</v>
      </c>
      <c r="AB3" s="152">
        <v>0</v>
      </c>
      <c r="AC3" s="152">
        <v>1</v>
      </c>
      <c r="AD3"/>
      <c r="AE3"/>
      <c r="AF3" s="3"/>
      <c r="AH3" s="153"/>
      <c r="AI3" s="2"/>
      <c r="AJ3" s="172">
        <v>677000</v>
      </c>
      <c r="BD3" s="154" t="s">
        <v>550</v>
      </c>
      <c r="BF3" s="165">
        <v>0</v>
      </c>
      <c r="BG3" s="287"/>
      <c r="BJ3" s="165"/>
      <c r="BR3" s="156">
        <f t="shared" si="0"/>
        <v>677000</v>
      </c>
      <c r="BU3" s="159">
        <f>Table242[[#This Row],[Total]]</f>
        <v>677000</v>
      </c>
    </row>
    <row r="4" spans="1:73" ht="14.45" hidden="1">
      <c r="B4" s="3" t="s">
        <v>29</v>
      </c>
      <c r="C4" s="3"/>
      <c r="D4" s="3">
        <v>4400772471</v>
      </c>
      <c r="E4" s="3">
        <v>1</v>
      </c>
      <c r="F4" s="3" t="s">
        <v>2549</v>
      </c>
      <c r="G4" s="3"/>
      <c r="H4" s="3" t="s">
        <v>17</v>
      </c>
      <c r="I4" s="3" t="s">
        <v>2553</v>
      </c>
      <c r="J4" t="s">
        <v>2554</v>
      </c>
      <c r="K4" s="147"/>
      <c r="L4" s="3">
        <v>1</v>
      </c>
      <c r="N4" s="148">
        <v>2662941.46</v>
      </c>
      <c r="R4" s="148">
        <f>Table242[[#This Row],[Material Unit Price]]+Table242[[#This Row],[Labor Unit Price]]+Table242[[#This Row],[GC + Manage+ Insur]]</f>
        <v>2662941.46</v>
      </c>
      <c r="S4" s="148">
        <f>Table242[[#This Row],[Total Per Tool]]*Table242[[#This Row],[Tool QTY]]</f>
        <v>2662941.46</v>
      </c>
      <c r="U4" s="149"/>
      <c r="X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2639418.6500000004</v>
      </c>
      <c r="Y4" s="150">
        <f>Table242[[#This Row],[Total AR (Received)]]/Table242[[#This Row],[PO Amount]]</f>
        <v>0.99116660641875332</v>
      </c>
      <c r="Z4" s="151">
        <f>Table242[[#This Row],[PO Amount]]-Table242[[#This Row],[Total AR (Received)]]</f>
        <v>23522.80999999959</v>
      </c>
      <c r="AA4" s="152">
        <v>0</v>
      </c>
      <c r="AB4" s="152">
        <f>Table242[[#This Row],[23-May draft]]/Table242[[#This Row],[Total Per Tool]]</f>
        <v>0.56328726430208498</v>
      </c>
      <c r="AC4" s="152">
        <f>Table242[[#This Row],[Total L %]]</f>
        <v>0.56328726430208498</v>
      </c>
      <c r="AD4"/>
      <c r="AE4"/>
      <c r="AF4" s="3"/>
      <c r="AH4" s="153"/>
      <c r="AI4" s="2"/>
      <c r="AJ4" s="168">
        <v>1500001.01</v>
      </c>
      <c r="AL4" s="172"/>
      <c r="AN4" s="171">
        <v>56750.02</v>
      </c>
      <c r="AP4" s="173">
        <f>30951.06+56750.02</f>
        <v>87701.08</v>
      </c>
      <c r="AR4" s="173">
        <v>59108.76</v>
      </c>
      <c r="AV4" s="169">
        <f>592.9</f>
        <v>592.9</v>
      </c>
      <c r="AX4" s="169">
        <f>125234.03+81711.87+56750.02+13881.62+13881.62</f>
        <v>291459.15999999997</v>
      </c>
      <c r="AZ4" s="174">
        <f>56750.02+27236.93+104429.74</f>
        <v>188416.69</v>
      </c>
      <c r="BB4" s="171">
        <f>59.29+56750.02+11821.75+59108.76+81711.87+22030.6</f>
        <v>231482.29</v>
      </c>
      <c r="BD4" s="172">
        <f>32684.75+81711.87+81711.87</f>
        <v>196108.49</v>
      </c>
      <c r="BF4" s="293"/>
      <c r="BG4" s="287"/>
      <c r="BJ4" s="165"/>
      <c r="BL4" s="165">
        <v>27798.25</v>
      </c>
      <c r="BR4" s="156">
        <f t="shared" si="0"/>
        <v>2611620.4000000004</v>
      </c>
      <c r="BU4" s="159">
        <f>Table242[[#This Row],[Total]]</f>
        <v>2611620.4000000004</v>
      </c>
    </row>
    <row r="5" spans="1:73" ht="14.45" hidden="1">
      <c r="B5" s="3" t="s">
        <v>29</v>
      </c>
      <c r="C5" s="3"/>
      <c r="D5" s="3">
        <v>4400800335</v>
      </c>
      <c r="E5" s="3">
        <v>1</v>
      </c>
      <c r="F5" s="3" t="s">
        <v>2549</v>
      </c>
      <c r="G5" s="3"/>
      <c r="H5" s="3" t="s">
        <v>17</v>
      </c>
      <c r="I5" s="3" t="s">
        <v>2555</v>
      </c>
      <c r="J5" t="s">
        <v>2556</v>
      </c>
      <c r="K5" s="164"/>
      <c r="L5" s="3">
        <v>1</v>
      </c>
      <c r="N5" s="148">
        <v>1135</v>
      </c>
      <c r="R5" s="148">
        <f>Table242[[#This Row],[Material Unit Price]]+Table242[[#This Row],[Labor Unit Price]]+Table242[[#This Row],[GC + Manage+ Insur]]</f>
        <v>1135</v>
      </c>
      <c r="S5" s="148">
        <f>Table242[[#This Row],[Total Per Tool]]*Table242[[#This Row],[Tool QTY]]</f>
        <v>1135</v>
      </c>
      <c r="U5" s="149"/>
      <c r="W5" s="148" t="s">
        <v>2551</v>
      </c>
      <c r="X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1135</v>
      </c>
      <c r="Y5" s="150">
        <f>Table242[[#This Row],[Total AR (Received)]]/Table242[[#This Row],[PO Amount]]</f>
        <v>1</v>
      </c>
      <c r="Z5" s="151">
        <f>Table242[[#This Row],[PO Amount]]-Table242[[#This Row],[Total AR (Received)]]</f>
        <v>0</v>
      </c>
      <c r="AA5" s="148"/>
      <c r="AE5"/>
      <c r="AF5" s="3"/>
      <c r="AR5" s="173">
        <v>1135</v>
      </c>
      <c r="BD5" s="154" t="s">
        <v>550</v>
      </c>
      <c r="BF5" s="165">
        <v>0</v>
      </c>
      <c r="BG5" s="287"/>
      <c r="BJ5" s="165"/>
      <c r="BR5" s="156">
        <f t="shared" si="0"/>
        <v>1135</v>
      </c>
    </row>
    <row r="6" spans="1:73" ht="14.45" hidden="1">
      <c r="B6" s="3" t="s">
        <v>29</v>
      </c>
      <c r="C6" s="3"/>
      <c r="D6" s="3">
        <v>4400801046</v>
      </c>
      <c r="E6" s="3">
        <v>1</v>
      </c>
      <c r="F6" s="3" t="s">
        <v>2549</v>
      </c>
      <c r="G6" s="3"/>
      <c r="H6" s="3" t="s">
        <v>17</v>
      </c>
      <c r="I6" s="3" t="s">
        <v>2557</v>
      </c>
      <c r="J6" t="s">
        <v>2558</v>
      </c>
      <c r="K6" s="164"/>
      <c r="L6" s="3">
        <v>1</v>
      </c>
      <c r="N6" s="148">
        <v>1081</v>
      </c>
      <c r="Q6" s="148">
        <v>54</v>
      </c>
      <c r="R6" s="148">
        <f>Table242[[#This Row],[Material Unit Price]]+Table242[[#This Row],[Labor Unit Price]]+Table242[[#This Row],[GC + Manage+ Insur]]</f>
        <v>1135</v>
      </c>
      <c r="S6" s="148">
        <f>Table242[[#This Row],[Total Per Tool]]*Table242[[#This Row],[Tool QTY]]</f>
        <v>1135</v>
      </c>
      <c r="U6" s="149"/>
      <c r="X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1135</v>
      </c>
      <c r="Y6" s="150">
        <f>Table242[[#This Row],[Total AR (Received)]]/Table242[[#This Row],[PO Amount]]</f>
        <v>1</v>
      </c>
      <c r="Z6" s="151">
        <f>Table242[[#This Row],[PO Amount]]-Table242[[#This Row],[Total AR (Received)]]</f>
        <v>0</v>
      </c>
      <c r="AA6" s="148"/>
      <c r="AE6"/>
      <c r="AF6" s="3"/>
      <c r="AR6" s="173">
        <v>1135</v>
      </c>
      <c r="BD6" s="154" t="s">
        <v>550</v>
      </c>
      <c r="BF6" s="165">
        <v>0</v>
      </c>
      <c r="BG6" s="287"/>
      <c r="BJ6" s="165"/>
      <c r="BR6" s="156">
        <f t="shared" si="0"/>
        <v>1135</v>
      </c>
    </row>
    <row r="7" spans="1:73" ht="14.45" hidden="1">
      <c r="B7" s="3" t="s">
        <v>29</v>
      </c>
      <c r="C7" s="3"/>
      <c r="D7" s="3">
        <v>4400802557</v>
      </c>
      <c r="E7" s="3">
        <v>1</v>
      </c>
      <c r="F7" s="3" t="s">
        <v>2549</v>
      </c>
      <c r="G7" s="3"/>
      <c r="H7" s="3" t="s">
        <v>17</v>
      </c>
      <c r="I7" s="3" t="s">
        <v>2559</v>
      </c>
      <c r="J7" t="s">
        <v>2560</v>
      </c>
      <c r="K7" s="164"/>
      <c r="L7" s="3">
        <v>1</v>
      </c>
      <c r="N7" s="148">
        <v>3799.99</v>
      </c>
      <c r="R7" s="148">
        <f>Table242[[#This Row],[Material Unit Price]]+Table242[[#This Row],[Labor Unit Price]]+Table242[[#This Row],[GC + Manage+ Insur]]</f>
        <v>3799.99</v>
      </c>
      <c r="S7" s="148">
        <f>Table242[[#This Row],[Total Per Tool]]*Table242[[#This Row],[Tool QTY]]</f>
        <v>3799.99</v>
      </c>
      <c r="U7" s="149"/>
      <c r="W7" s="148" t="s">
        <v>2551</v>
      </c>
      <c r="X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3799.99</v>
      </c>
      <c r="Y7" s="150">
        <f>Table242[[#This Row],[Total AR (Received)]]/Table242[[#This Row],[PO Amount]]</f>
        <v>1</v>
      </c>
      <c r="Z7" s="151">
        <f>Table242[[#This Row],[PO Amount]]-Table242[[#This Row],[Total AR (Received)]]</f>
        <v>0</v>
      </c>
      <c r="AA7" s="148"/>
      <c r="AE7"/>
      <c r="AF7" s="3"/>
      <c r="AR7" s="169">
        <v>3799.99</v>
      </c>
      <c r="BD7" s="154" t="s">
        <v>550</v>
      </c>
      <c r="BF7" s="165">
        <v>0</v>
      </c>
      <c r="BG7" s="287"/>
      <c r="BJ7" s="165"/>
      <c r="BR7" s="156">
        <f t="shared" si="0"/>
        <v>3799.99</v>
      </c>
    </row>
    <row r="8" spans="1:73" ht="14.45" hidden="1">
      <c r="B8" s="3" t="s">
        <v>29</v>
      </c>
      <c r="C8" s="3"/>
      <c r="D8" s="3">
        <v>4400803577</v>
      </c>
      <c r="E8" s="3">
        <v>1</v>
      </c>
      <c r="F8" s="3" t="s">
        <v>2549</v>
      </c>
      <c r="G8" s="3"/>
      <c r="H8" s="3" t="s">
        <v>17</v>
      </c>
      <c r="I8" s="3" t="s">
        <v>2561</v>
      </c>
      <c r="J8" t="s">
        <v>2562</v>
      </c>
      <c r="K8" s="164"/>
      <c r="L8" s="3">
        <v>1</v>
      </c>
      <c r="N8" s="148">
        <v>3109</v>
      </c>
      <c r="Q8" s="148">
        <v>156</v>
      </c>
      <c r="R8" s="148">
        <f>Table242[[#This Row],[Material Unit Price]]+Table242[[#This Row],[Labor Unit Price]]+Table242[[#This Row],[GC + Manage+ Insur]]</f>
        <v>3265</v>
      </c>
      <c r="S8" s="148">
        <f>Table242[[#This Row],[Total Per Tool]]*Table242[[#This Row],[Tool QTY]]</f>
        <v>3265</v>
      </c>
      <c r="U8" s="149"/>
      <c r="X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3265</v>
      </c>
      <c r="Y8" s="150">
        <f>Table242[[#This Row],[Total AR (Received)]]/Table242[[#This Row],[PO Amount]]</f>
        <v>1</v>
      </c>
      <c r="Z8" s="151">
        <f>Table242[[#This Row],[PO Amount]]-Table242[[#This Row],[Total AR (Received)]]</f>
        <v>0</v>
      </c>
      <c r="AA8" s="148"/>
      <c r="AE8"/>
      <c r="AF8" s="3"/>
      <c r="AR8" s="173">
        <v>3265</v>
      </c>
      <c r="BD8" s="154" t="s">
        <v>550</v>
      </c>
      <c r="BF8" s="165">
        <v>0</v>
      </c>
      <c r="BG8" s="287"/>
      <c r="BJ8" s="165"/>
      <c r="BR8" s="156">
        <f t="shared" si="0"/>
        <v>3265</v>
      </c>
    </row>
    <row r="9" spans="1:73" ht="14.45" hidden="1">
      <c r="B9" s="3" t="s">
        <v>29</v>
      </c>
      <c r="C9" s="3"/>
      <c r="D9" s="3">
        <v>4400806736</v>
      </c>
      <c r="E9" s="3">
        <v>1</v>
      </c>
      <c r="F9" s="3" t="s">
        <v>2549</v>
      </c>
      <c r="G9" s="3"/>
      <c r="H9" s="3" t="s">
        <v>17</v>
      </c>
      <c r="I9" s="3" t="s">
        <v>2555</v>
      </c>
      <c r="J9" s="163" t="s">
        <v>2563</v>
      </c>
      <c r="K9" s="164"/>
      <c r="L9" s="3">
        <v>1</v>
      </c>
      <c r="N9" s="148">
        <v>4921</v>
      </c>
      <c r="R9" s="148">
        <f>Table242[[#This Row],[Material Unit Price]]+Table242[[#This Row],[Labor Unit Price]]+Table242[[#This Row],[GC + Manage+ Insur]]</f>
        <v>4921</v>
      </c>
      <c r="S9" s="148">
        <f>Table242[[#This Row],[Total Per Tool]]*Table242[[#This Row],[Tool QTY]]</f>
        <v>4921</v>
      </c>
      <c r="U9" s="149"/>
      <c r="X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4921</v>
      </c>
      <c r="Y9" s="150">
        <f>Table242[[#This Row],[Total AR (Received)]]/Table242[[#This Row],[PO Amount]]</f>
        <v>1</v>
      </c>
      <c r="Z9" s="151">
        <f>Table242[[#This Row],[PO Amount]]-Table242[[#This Row],[Total AR (Received)]]</f>
        <v>0</v>
      </c>
      <c r="AA9" s="3"/>
      <c r="AF9" s="3"/>
      <c r="AX9" s="162"/>
      <c r="AZ9" s="174">
        <v>4921</v>
      </c>
      <c r="BD9" s="154" t="s">
        <v>550</v>
      </c>
      <c r="BF9" s="165">
        <v>0</v>
      </c>
      <c r="BG9" s="287"/>
      <c r="BJ9" s="165"/>
      <c r="BR9" s="156">
        <f t="shared" si="0"/>
        <v>4921</v>
      </c>
    </row>
    <row r="10" spans="1:73" ht="14.45" hidden="1">
      <c r="B10" s="3" t="s">
        <v>29</v>
      </c>
      <c r="C10" s="3"/>
      <c r="D10" s="3">
        <v>4400810811</v>
      </c>
      <c r="E10" s="3">
        <v>1</v>
      </c>
      <c r="F10" s="3" t="s">
        <v>2549</v>
      </c>
      <c r="G10" s="3"/>
      <c r="H10" s="3" t="s">
        <v>17</v>
      </c>
      <c r="I10" s="3" t="s">
        <v>2564</v>
      </c>
      <c r="J10" t="s">
        <v>2565</v>
      </c>
      <c r="K10" s="164"/>
      <c r="L10" s="3">
        <v>1</v>
      </c>
      <c r="N10" s="148">
        <v>12813</v>
      </c>
      <c r="Q10" s="148">
        <v>641</v>
      </c>
      <c r="R10" s="148">
        <f>Table242[[#This Row],[Material Unit Price]]+Table242[[#This Row],[Labor Unit Price]]+Table242[[#This Row],[GC + Manage+ Insur]]</f>
        <v>13454</v>
      </c>
      <c r="S10" s="148">
        <f>Table242[[#This Row],[Total Per Tool]]*Table242[[#This Row],[Tool QTY]]</f>
        <v>13454</v>
      </c>
      <c r="U10" s="149"/>
      <c r="X1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13454</v>
      </c>
      <c r="Y10" s="150">
        <f>Table242[[#This Row],[Total AR (Received)]]/Table242[[#This Row],[PO Amount]]</f>
        <v>1</v>
      </c>
      <c r="Z10" s="151">
        <f>Table242[[#This Row],[PO Amount]]-Table242[[#This Row],[Total AR (Received)]]</f>
        <v>0</v>
      </c>
      <c r="AA10" s="148"/>
      <c r="AE10"/>
      <c r="AF10" s="3"/>
      <c r="AT10" s="169">
        <v>13454</v>
      </c>
      <c r="AU10" s="178"/>
      <c r="BD10" s="154" t="s">
        <v>550</v>
      </c>
      <c r="BF10" s="165">
        <v>0</v>
      </c>
      <c r="BG10" s="287"/>
      <c r="BJ10" s="165"/>
      <c r="BR10" s="156">
        <f t="shared" si="0"/>
        <v>13454</v>
      </c>
    </row>
    <row r="11" spans="1:73" ht="14.45" hidden="1">
      <c r="B11" s="3" t="s">
        <v>29</v>
      </c>
      <c r="C11" s="3"/>
      <c r="D11" s="3">
        <v>4400811501</v>
      </c>
      <c r="E11" s="3">
        <v>1</v>
      </c>
      <c r="F11" s="3" t="s">
        <v>2549</v>
      </c>
      <c r="G11" s="3"/>
      <c r="H11" s="3" t="s">
        <v>17</v>
      </c>
      <c r="I11" s="3" t="s">
        <v>2559</v>
      </c>
      <c r="J11" t="s">
        <v>2566</v>
      </c>
      <c r="K11" s="164"/>
      <c r="L11" s="3">
        <v>1</v>
      </c>
      <c r="N11" s="148">
        <v>15766</v>
      </c>
      <c r="Q11" s="148">
        <v>789</v>
      </c>
      <c r="R11" s="148">
        <f>Table242[[#This Row],[Material Unit Price]]+Table242[[#This Row],[Labor Unit Price]]+Table242[[#This Row],[GC + Manage+ Insur]]</f>
        <v>16555</v>
      </c>
      <c r="S11" s="148">
        <f>Table242[[#This Row],[Total Per Tool]]*Table242[[#This Row],[Tool QTY]]</f>
        <v>16555</v>
      </c>
      <c r="U11" s="149"/>
      <c r="X1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16555</v>
      </c>
      <c r="Y11" s="150">
        <f>Table242[[#This Row],[Total AR (Received)]]/Table242[[#This Row],[PO Amount]]</f>
        <v>1</v>
      </c>
      <c r="Z11" s="151">
        <f>Table242[[#This Row],[PO Amount]]-Table242[[#This Row],[Total AR (Received)]]</f>
        <v>0</v>
      </c>
      <c r="AA11" s="148"/>
      <c r="AE11"/>
      <c r="AF11" s="3"/>
      <c r="AT11" s="169">
        <v>16555</v>
      </c>
      <c r="AU11" s="179"/>
      <c r="BD11" s="154" t="s">
        <v>550</v>
      </c>
      <c r="BF11" s="165">
        <v>0</v>
      </c>
      <c r="BG11" s="287"/>
      <c r="BJ11" s="165"/>
      <c r="BR11" s="156">
        <f t="shared" si="0"/>
        <v>16555</v>
      </c>
    </row>
    <row r="12" spans="1:73" ht="14.45" hidden="1">
      <c r="A12" t="s">
        <v>2206</v>
      </c>
      <c r="B12" s="3" t="s">
        <v>29</v>
      </c>
      <c r="C12" s="3"/>
      <c r="D12" s="3">
        <v>4400811559</v>
      </c>
      <c r="E12" s="3">
        <v>1</v>
      </c>
      <c r="F12" s="3" t="s">
        <v>2549</v>
      </c>
      <c r="G12" s="3" t="s">
        <v>2567</v>
      </c>
      <c r="H12" s="3" t="s">
        <v>17</v>
      </c>
      <c r="I12" s="3" t="s">
        <v>2568</v>
      </c>
      <c r="J12" s="163" t="s">
        <v>2569</v>
      </c>
      <c r="K12" s="164"/>
      <c r="L12" s="3">
        <v>1</v>
      </c>
      <c r="N12" s="148">
        <v>1131</v>
      </c>
      <c r="R12" s="148">
        <f>Table242[[#This Row],[Material Unit Price]]+Table242[[#This Row],[Labor Unit Price]]+Table242[[#This Row],[GC + Manage+ Insur]]</f>
        <v>1131</v>
      </c>
      <c r="S12" s="148">
        <f>Table242[[#This Row],[Total Per Tool]]*Table242[[#This Row],[Tool QTY]]</f>
        <v>1131</v>
      </c>
      <c r="U12" s="149" t="s">
        <v>2570</v>
      </c>
      <c r="W12" s="148" t="s">
        <v>2551</v>
      </c>
      <c r="X1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1131</v>
      </c>
      <c r="Y12" s="150">
        <f>Table242[[#This Row],[Total AR (Received)]]/Table242[[#This Row],[PO Amount]]</f>
        <v>1</v>
      </c>
      <c r="Z12" s="151">
        <f>Table242[[#This Row],[PO Amount]]-Table242[[#This Row],[Total AR (Received)]]</f>
        <v>0</v>
      </c>
      <c r="AA12" s="3"/>
      <c r="AD12" s="148">
        <v>1131</v>
      </c>
      <c r="AF12" s="3"/>
      <c r="BD12" s="154" t="s">
        <v>550</v>
      </c>
      <c r="BF12" s="165">
        <v>0</v>
      </c>
      <c r="BG12" s="287"/>
      <c r="BJ12" s="165"/>
      <c r="BR12" s="156">
        <f t="shared" si="0"/>
        <v>1131</v>
      </c>
    </row>
    <row r="13" spans="1:73" ht="14.45" hidden="1">
      <c r="A13" t="s">
        <v>2206</v>
      </c>
      <c r="B13" s="3" t="s">
        <v>29</v>
      </c>
      <c r="C13" s="3"/>
      <c r="D13" s="3">
        <v>4400811568</v>
      </c>
      <c r="E13" s="3">
        <v>1</v>
      </c>
      <c r="F13" s="3" t="s">
        <v>2549</v>
      </c>
      <c r="G13" s="3" t="s">
        <v>2567</v>
      </c>
      <c r="H13" s="3" t="s">
        <v>17</v>
      </c>
      <c r="I13" s="3" t="s">
        <v>2571</v>
      </c>
      <c r="J13" s="163" t="s">
        <v>2572</v>
      </c>
      <c r="K13" s="164"/>
      <c r="L13" s="3">
        <v>1</v>
      </c>
      <c r="N13" s="148">
        <v>1131</v>
      </c>
      <c r="R13" s="148">
        <f>Table242[[#This Row],[Material Unit Price]]+Table242[[#This Row],[Labor Unit Price]]+Table242[[#This Row],[GC + Manage+ Insur]]</f>
        <v>1131</v>
      </c>
      <c r="S13" s="148">
        <f>Table242[[#This Row],[Total Per Tool]]*Table242[[#This Row],[Tool QTY]]</f>
        <v>1131</v>
      </c>
      <c r="U13" s="149" t="s">
        <v>2570</v>
      </c>
      <c r="W13" s="148" t="s">
        <v>2551</v>
      </c>
      <c r="X1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1131</v>
      </c>
      <c r="Y13" s="150">
        <f>Table242[[#This Row],[Total AR (Received)]]/Table242[[#This Row],[PO Amount]]</f>
        <v>1</v>
      </c>
      <c r="Z13" s="151">
        <f>Table242[[#This Row],[PO Amount]]-Table242[[#This Row],[Total AR (Received)]]</f>
        <v>0</v>
      </c>
      <c r="AA13" s="3"/>
      <c r="AD13" s="148">
        <v>1131</v>
      </c>
      <c r="AF13" s="3"/>
      <c r="BD13" s="154" t="s">
        <v>550</v>
      </c>
      <c r="BF13" s="165">
        <v>0</v>
      </c>
      <c r="BG13" s="287"/>
      <c r="BJ13" s="165"/>
      <c r="BR13" s="156">
        <f t="shared" si="0"/>
        <v>1131</v>
      </c>
    </row>
    <row r="14" spans="1:73" ht="14.45" hidden="1">
      <c r="A14" t="s">
        <v>2206</v>
      </c>
      <c r="B14" s="3" t="s">
        <v>29</v>
      </c>
      <c r="C14" s="3"/>
      <c r="D14" s="3">
        <v>4400816696</v>
      </c>
      <c r="E14" s="3">
        <v>1</v>
      </c>
      <c r="F14" s="3" t="s">
        <v>2549</v>
      </c>
      <c r="G14" s="3"/>
      <c r="H14" s="3" t="s">
        <v>17</v>
      </c>
      <c r="I14" s="3" t="s">
        <v>2573</v>
      </c>
      <c r="J14" s="163"/>
      <c r="K14" s="164"/>
      <c r="L14" s="3">
        <v>1</v>
      </c>
      <c r="N14" s="148">
        <v>2379</v>
      </c>
      <c r="R14" s="148">
        <f>Table242[[#This Row],[Material Unit Price]]+Table242[[#This Row],[Labor Unit Price]]+Table242[[#This Row],[GC + Manage+ Insur]]</f>
        <v>2379</v>
      </c>
      <c r="S14" s="148">
        <f>Table242[[#This Row],[Total Per Tool]]*Table242[[#This Row],[Tool QTY]]</f>
        <v>2379</v>
      </c>
      <c r="U14" s="149"/>
      <c r="X1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2379</v>
      </c>
      <c r="Y14" s="150">
        <f>Table242[[#This Row],[Total AR (Received)]]/Table242[[#This Row],[PO Amount]]</f>
        <v>1</v>
      </c>
      <c r="Z14" s="151">
        <f>Table242[[#This Row],[PO Amount]]-Table242[[#This Row],[Total AR (Received)]]</f>
        <v>0</v>
      </c>
      <c r="AA14" s="3"/>
      <c r="AF14" s="3"/>
      <c r="AX14" s="168">
        <v>2379</v>
      </c>
      <c r="BD14" s="154" t="s">
        <v>550</v>
      </c>
      <c r="BF14" s="165">
        <v>0</v>
      </c>
      <c r="BG14" s="287"/>
      <c r="BJ14" s="165"/>
      <c r="BR14" s="156">
        <f t="shared" si="0"/>
        <v>2379</v>
      </c>
    </row>
    <row r="15" spans="1:73" ht="14.45" hidden="1">
      <c r="B15" s="3" t="s">
        <v>29</v>
      </c>
      <c r="C15" s="3"/>
      <c r="D15" s="3">
        <v>4400816699</v>
      </c>
      <c r="E15" s="3">
        <v>1</v>
      </c>
      <c r="F15" s="3" t="s">
        <v>2549</v>
      </c>
      <c r="G15" s="3"/>
      <c r="H15" s="3" t="s">
        <v>17</v>
      </c>
      <c r="I15" s="3"/>
      <c r="J15" s="163" t="s">
        <v>2574</v>
      </c>
      <c r="K15" s="164"/>
      <c r="L15" s="3">
        <v>1</v>
      </c>
      <c r="N15" s="148">
        <v>1296</v>
      </c>
      <c r="R15" s="148">
        <f>Table242[[#This Row],[Material Unit Price]]+Table242[[#This Row],[Labor Unit Price]]+Table242[[#This Row],[GC + Manage+ Insur]]</f>
        <v>1296</v>
      </c>
      <c r="S15" s="148">
        <f>Table242[[#This Row],[Total Per Tool]]*Table242[[#This Row],[Tool QTY]]</f>
        <v>1296</v>
      </c>
      <c r="U15" s="149" t="s">
        <v>2575</v>
      </c>
      <c r="W15" s="148" t="s">
        <v>2551</v>
      </c>
      <c r="X1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1296</v>
      </c>
      <c r="Y15" s="150">
        <f>Table242[[#This Row],[Total AR (Received)]]/Table242[[#This Row],[PO Amount]]</f>
        <v>1</v>
      </c>
      <c r="Z15" s="151">
        <f>Table242[[#This Row],[PO Amount]]-Table242[[#This Row],[Total AR (Received)]]</f>
        <v>0</v>
      </c>
      <c r="AA15" s="3"/>
      <c r="AD15" s="148">
        <v>1296</v>
      </c>
      <c r="AF15" s="3"/>
      <c r="BG15" s="287"/>
      <c r="BJ15" s="165"/>
      <c r="BR15" s="156">
        <f t="shared" si="0"/>
        <v>1296</v>
      </c>
    </row>
    <row r="16" spans="1:73" ht="14.45" hidden="1">
      <c r="A16" t="s">
        <v>2206</v>
      </c>
      <c r="B16" s="3" t="s">
        <v>29</v>
      </c>
      <c r="C16" s="3"/>
      <c r="D16" s="3">
        <v>4400819528</v>
      </c>
      <c r="E16" s="3">
        <v>1</v>
      </c>
      <c r="F16" s="3" t="s">
        <v>2549</v>
      </c>
      <c r="G16" s="3"/>
      <c r="H16" s="3" t="s">
        <v>17</v>
      </c>
      <c r="I16" s="3" t="s">
        <v>2576</v>
      </c>
      <c r="J16" s="163" t="s">
        <v>2577</v>
      </c>
      <c r="K16" s="164"/>
      <c r="L16" s="3">
        <v>1</v>
      </c>
      <c r="N16" s="148">
        <v>1135</v>
      </c>
      <c r="R16" s="148">
        <f>Table242[[#This Row],[Material Unit Price]]+Table242[[#This Row],[Labor Unit Price]]+Table242[[#This Row],[GC + Manage+ Insur]]</f>
        <v>1135</v>
      </c>
      <c r="S16" s="148">
        <f>Table242[[#This Row],[Total Per Tool]]*Table242[[#This Row],[Tool QTY]]</f>
        <v>1135</v>
      </c>
      <c r="U16" s="149"/>
      <c r="W16" s="148" t="s">
        <v>2551</v>
      </c>
      <c r="X1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1135</v>
      </c>
      <c r="Y16" s="150">
        <f>Table242[[#This Row],[Total AR (Received)]]/Table242[[#This Row],[PO Amount]]</f>
        <v>1</v>
      </c>
      <c r="Z16" s="151">
        <f>Table242[[#This Row],[PO Amount]]-Table242[[#This Row],[Total AR (Received)]]</f>
        <v>0</v>
      </c>
      <c r="AA16" s="3"/>
      <c r="AF16" s="3"/>
      <c r="BD16" s="172">
        <v>1135</v>
      </c>
      <c r="BF16" s="165">
        <v>0</v>
      </c>
      <c r="BG16" s="287"/>
      <c r="BJ16" s="165"/>
      <c r="BR16" s="156">
        <f t="shared" si="0"/>
        <v>1135</v>
      </c>
    </row>
    <row r="17" spans="1:70" ht="14.45" hidden="1">
      <c r="A17" t="s">
        <v>2206</v>
      </c>
      <c r="B17" s="3" t="s">
        <v>29</v>
      </c>
      <c r="C17" s="3"/>
      <c r="D17" s="3">
        <v>4400819529</v>
      </c>
      <c r="E17" s="3">
        <v>1</v>
      </c>
      <c r="F17" s="3" t="s">
        <v>2549</v>
      </c>
      <c r="G17" s="3"/>
      <c r="H17" s="3" t="s">
        <v>17</v>
      </c>
      <c r="I17" s="3" t="s">
        <v>2578</v>
      </c>
      <c r="J17" s="163" t="s">
        <v>2579</v>
      </c>
      <c r="K17" s="164"/>
      <c r="L17" s="3">
        <v>1</v>
      </c>
      <c r="N17" s="148">
        <v>1135</v>
      </c>
      <c r="R17" s="148">
        <f>Table242[[#This Row],[Material Unit Price]]+Table242[[#This Row],[Labor Unit Price]]+Table242[[#This Row],[GC + Manage+ Insur]]</f>
        <v>1135</v>
      </c>
      <c r="S17" s="148">
        <f>Table242[[#This Row],[Total Per Tool]]*Table242[[#This Row],[Tool QTY]]</f>
        <v>1135</v>
      </c>
      <c r="U17" s="149"/>
      <c r="W17" s="148" t="s">
        <v>2551</v>
      </c>
      <c r="X1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1135</v>
      </c>
      <c r="Y17" s="150">
        <f>Table242[[#This Row],[Total AR (Received)]]/Table242[[#This Row],[PO Amount]]</f>
        <v>1</v>
      </c>
      <c r="Z17" s="151">
        <f>Table242[[#This Row],[PO Amount]]-Table242[[#This Row],[Total AR (Received)]]</f>
        <v>0</v>
      </c>
      <c r="AA17" s="3"/>
      <c r="AF17" s="3"/>
      <c r="BD17" s="172">
        <v>1135</v>
      </c>
      <c r="BF17" s="165">
        <v>0</v>
      </c>
      <c r="BG17" s="287"/>
      <c r="BJ17" s="165"/>
      <c r="BR17" s="156">
        <f t="shared" si="0"/>
        <v>1135</v>
      </c>
    </row>
    <row r="18" spans="1:70" ht="14.45" hidden="1">
      <c r="A18" t="s">
        <v>2206</v>
      </c>
      <c r="B18" s="3" t="s">
        <v>29</v>
      </c>
      <c r="C18" s="3"/>
      <c r="D18" s="3">
        <v>4400819541</v>
      </c>
      <c r="E18" s="3">
        <v>1</v>
      </c>
      <c r="F18" s="3" t="s">
        <v>2549</v>
      </c>
      <c r="G18" s="3" t="s">
        <v>2567</v>
      </c>
      <c r="H18" s="3" t="s">
        <v>17</v>
      </c>
      <c r="I18" s="3" t="s">
        <v>2580</v>
      </c>
      <c r="J18" s="163" t="s">
        <v>2581</v>
      </c>
      <c r="K18" s="164"/>
      <c r="L18" s="3">
        <v>1</v>
      </c>
      <c r="N18" s="148">
        <v>1135</v>
      </c>
      <c r="R18" s="148">
        <f>Table242[[#This Row],[Material Unit Price]]+Table242[[#This Row],[Labor Unit Price]]+Table242[[#This Row],[GC + Manage+ Insur]]</f>
        <v>1135</v>
      </c>
      <c r="S18" s="148">
        <f>Table242[[#This Row],[Total Per Tool]]*Table242[[#This Row],[Tool QTY]]</f>
        <v>1135</v>
      </c>
      <c r="U18" s="149" t="s">
        <v>2582</v>
      </c>
      <c r="W18" s="148" t="s">
        <v>2551</v>
      </c>
      <c r="X1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1131</v>
      </c>
      <c r="Y18" s="150">
        <f>Table242[[#This Row],[Total AR (Received)]]/Table242[[#This Row],[PO Amount]]</f>
        <v>0.99647577092511008</v>
      </c>
      <c r="Z18" s="151">
        <f>Table242[[#This Row],[PO Amount]]-Table242[[#This Row],[Total AR (Received)]]</f>
        <v>4</v>
      </c>
      <c r="AA18" s="3"/>
      <c r="AD18" s="148">
        <v>1131</v>
      </c>
      <c r="AF18" s="3"/>
      <c r="BD18" s="154" t="s">
        <v>550</v>
      </c>
      <c r="BF18" s="165">
        <v>0</v>
      </c>
      <c r="BG18" s="287"/>
      <c r="BJ18" s="165"/>
      <c r="BR18" s="156">
        <f t="shared" si="0"/>
        <v>1131</v>
      </c>
    </row>
    <row r="19" spans="1:70" ht="14.45" hidden="1">
      <c r="A19" t="s">
        <v>2206</v>
      </c>
      <c r="B19" s="3" t="s">
        <v>29</v>
      </c>
      <c r="C19" s="3"/>
      <c r="D19" s="3">
        <v>4400819543</v>
      </c>
      <c r="E19" s="3">
        <v>1</v>
      </c>
      <c r="F19" s="3" t="s">
        <v>2549</v>
      </c>
      <c r="G19" s="3" t="s">
        <v>2567</v>
      </c>
      <c r="H19" s="3" t="s">
        <v>17</v>
      </c>
      <c r="I19" s="3" t="s">
        <v>2583</v>
      </c>
      <c r="J19" s="163" t="s">
        <v>2584</v>
      </c>
      <c r="K19" s="164"/>
      <c r="L19" s="3">
        <v>1</v>
      </c>
      <c r="N19" s="148">
        <v>1135</v>
      </c>
      <c r="R19" s="148">
        <f>Table242[[#This Row],[Material Unit Price]]+Table242[[#This Row],[Labor Unit Price]]+Table242[[#This Row],[GC + Manage+ Insur]]</f>
        <v>1135</v>
      </c>
      <c r="S19" s="148">
        <f>Table242[[#This Row],[Total Per Tool]]*Table242[[#This Row],[Tool QTY]]</f>
        <v>1135</v>
      </c>
      <c r="U19" s="149" t="s">
        <v>2582</v>
      </c>
      <c r="W19" s="148" t="s">
        <v>2551</v>
      </c>
      <c r="X1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1131</v>
      </c>
      <c r="Y19" s="150">
        <f>Table242[[#This Row],[Total AR (Received)]]/Table242[[#This Row],[PO Amount]]</f>
        <v>0.99647577092511008</v>
      </c>
      <c r="Z19" s="151">
        <f>Table242[[#This Row],[PO Amount]]-Table242[[#This Row],[Total AR (Received)]]</f>
        <v>4</v>
      </c>
      <c r="AA19" s="3"/>
      <c r="AD19" s="148">
        <v>1131</v>
      </c>
      <c r="AF19" s="3"/>
      <c r="BD19" s="154" t="s">
        <v>550</v>
      </c>
      <c r="BF19" s="165">
        <v>0</v>
      </c>
      <c r="BG19" s="287"/>
      <c r="BJ19" s="165"/>
      <c r="BR19" s="156">
        <f t="shared" si="0"/>
        <v>1131</v>
      </c>
    </row>
    <row r="20" spans="1:70" ht="14.45" hidden="1">
      <c r="A20" t="s">
        <v>2206</v>
      </c>
      <c r="B20" s="3" t="s">
        <v>29</v>
      </c>
      <c r="C20" s="3"/>
      <c r="D20" s="3">
        <v>4400819544</v>
      </c>
      <c r="E20" s="3">
        <v>1</v>
      </c>
      <c r="F20" s="3" t="s">
        <v>2549</v>
      </c>
      <c r="G20" s="3" t="s">
        <v>2567</v>
      </c>
      <c r="H20" s="3" t="s">
        <v>17</v>
      </c>
      <c r="I20" s="3" t="s">
        <v>2585</v>
      </c>
      <c r="J20" s="163" t="s">
        <v>2586</v>
      </c>
      <c r="K20" s="164"/>
      <c r="L20" s="3">
        <v>1</v>
      </c>
      <c r="N20" s="148">
        <v>1135</v>
      </c>
      <c r="R20" s="148">
        <f>Table242[[#This Row],[Material Unit Price]]+Table242[[#This Row],[Labor Unit Price]]+Table242[[#This Row],[GC + Manage+ Insur]]</f>
        <v>1135</v>
      </c>
      <c r="S20" s="148">
        <f>Table242[[#This Row],[Total Per Tool]]*Table242[[#This Row],[Tool QTY]]</f>
        <v>1135</v>
      </c>
      <c r="U20" s="149" t="s">
        <v>2582</v>
      </c>
      <c r="W20" s="148" t="s">
        <v>2551</v>
      </c>
      <c r="X2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1131</v>
      </c>
      <c r="Y20" s="150">
        <f>Table242[[#This Row],[Total AR (Received)]]/Table242[[#This Row],[PO Amount]]</f>
        <v>0.99647577092511008</v>
      </c>
      <c r="Z20" s="151">
        <f>Table242[[#This Row],[PO Amount]]-Table242[[#This Row],[Total AR (Received)]]</f>
        <v>4</v>
      </c>
      <c r="AA20" s="3"/>
      <c r="AD20" s="148">
        <v>1131</v>
      </c>
      <c r="AF20" s="3"/>
      <c r="BD20" s="154" t="s">
        <v>550</v>
      </c>
      <c r="BF20" s="165">
        <v>0</v>
      </c>
      <c r="BG20" s="287"/>
      <c r="BJ20" s="165"/>
      <c r="BR20" s="156">
        <f t="shared" si="0"/>
        <v>1131</v>
      </c>
    </row>
    <row r="21" spans="1:70" ht="14.45" hidden="1">
      <c r="A21" t="s">
        <v>2206</v>
      </c>
      <c r="B21" s="3" t="s">
        <v>29</v>
      </c>
      <c r="C21" s="3"/>
      <c r="D21" s="3">
        <v>4400819587</v>
      </c>
      <c r="E21" s="3">
        <v>1</v>
      </c>
      <c r="F21" s="3" t="s">
        <v>2549</v>
      </c>
      <c r="G21" s="3" t="s">
        <v>2567</v>
      </c>
      <c r="H21" s="3" t="s">
        <v>17</v>
      </c>
      <c r="I21" s="3" t="s">
        <v>2587</v>
      </c>
      <c r="J21" s="163" t="s">
        <v>2588</v>
      </c>
      <c r="K21" s="164"/>
      <c r="L21" s="3">
        <v>1</v>
      </c>
      <c r="N21" s="148">
        <v>1135</v>
      </c>
      <c r="R21" s="148">
        <f>Table242[[#This Row],[Material Unit Price]]+Table242[[#This Row],[Labor Unit Price]]+Table242[[#This Row],[GC + Manage+ Insur]]</f>
        <v>1135</v>
      </c>
      <c r="S21" s="148">
        <f>Table242[[#This Row],[Total Per Tool]]*Table242[[#This Row],[Tool QTY]]</f>
        <v>1135</v>
      </c>
      <c r="U21" s="149" t="s">
        <v>2582</v>
      </c>
      <c r="W21" s="148" t="s">
        <v>2551</v>
      </c>
      <c r="X2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1131</v>
      </c>
      <c r="Y21" s="150">
        <f>Table242[[#This Row],[Total AR (Received)]]/Table242[[#This Row],[PO Amount]]</f>
        <v>0.99647577092511008</v>
      </c>
      <c r="Z21" s="151">
        <f>Table242[[#This Row],[PO Amount]]-Table242[[#This Row],[Total AR (Received)]]</f>
        <v>4</v>
      </c>
      <c r="AA21" s="3"/>
      <c r="AD21" s="148">
        <v>1131</v>
      </c>
      <c r="AF21" s="3"/>
      <c r="BD21" s="154" t="s">
        <v>550</v>
      </c>
      <c r="BF21" s="165">
        <v>0</v>
      </c>
      <c r="BG21" s="287"/>
      <c r="BJ21" s="165"/>
      <c r="BR21" s="156">
        <f t="shared" si="0"/>
        <v>1131</v>
      </c>
    </row>
    <row r="22" spans="1:70" ht="14.45" hidden="1">
      <c r="A22" t="s">
        <v>2206</v>
      </c>
      <c r="B22" s="3" t="s">
        <v>29</v>
      </c>
      <c r="C22" s="3"/>
      <c r="D22" s="3">
        <v>4400819608</v>
      </c>
      <c r="E22" s="3">
        <v>1</v>
      </c>
      <c r="F22" s="3" t="s">
        <v>2549</v>
      </c>
      <c r="G22" s="3" t="s">
        <v>2567</v>
      </c>
      <c r="H22" s="3" t="s">
        <v>17</v>
      </c>
      <c r="I22" s="3" t="s">
        <v>2589</v>
      </c>
      <c r="J22" s="163" t="s">
        <v>2590</v>
      </c>
      <c r="K22" s="164"/>
      <c r="L22" s="3">
        <v>1</v>
      </c>
      <c r="N22" s="148">
        <v>1135</v>
      </c>
      <c r="R22" s="148">
        <f>Table242[[#This Row],[Material Unit Price]]+Table242[[#This Row],[Labor Unit Price]]+Table242[[#This Row],[GC + Manage+ Insur]]</f>
        <v>1135</v>
      </c>
      <c r="S22" s="148">
        <f>Table242[[#This Row],[Total Per Tool]]*Table242[[#This Row],[Tool QTY]]</f>
        <v>1135</v>
      </c>
      <c r="U22" s="149" t="s">
        <v>2582</v>
      </c>
      <c r="W22" s="148" t="s">
        <v>2551</v>
      </c>
      <c r="X2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1131</v>
      </c>
      <c r="Y22" s="150">
        <f>Table242[[#This Row],[Total AR (Received)]]/Table242[[#This Row],[PO Amount]]</f>
        <v>0.99647577092511008</v>
      </c>
      <c r="Z22" s="151">
        <f>Table242[[#This Row],[PO Amount]]-Table242[[#This Row],[Total AR (Received)]]</f>
        <v>4</v>
      </c>
      <c r="AA22" s="3"/>
      <c r="AD22" s="148">
        <v>1131</v>
      </c>
      <c r="AF22" s="3"/>
      <c r="BD22" s="154" t="s">
        <v>550</v>
      </c>
      <c r="BF22" s="165">
        <v>0</v>
      </c>
      <c r="BG22" s="287"/>
      <c r="BJ22" s="165"/>
      <c r="BR22" s="156">
        <f t="shared" si="0"/>
        <v>1131</v>
      </c>
    </row>
    <row r="23" spans="1:70" ht="14.45" hidden="1">
      <c r="A23" t="s">
        <v>2206</v>
      </c>
      <c r="B23" s="3" t="s">
        <v>29</v>
      </c>
      <c r="C23" s="3"/>
      <c r="D23" s="3">
        <v>4400819935</v>
      </c>
      <c r="E23" s="3">
        <v>1</v>
      </c>
      <c r="F23" s="3" t="s">
        <v>2549</v>
      </c>
      <c r="G23" s="3"/>
      <c r="H23" s="3" t="s">
        <v>17</v>
      </c>
      <c r="I23" s="3" t="s">
        <v>2591</v>
      </c>
      <c r="J23" s="163" t="s">
        <v>2592</v>
      </c>
      <c r="K23" s="164"/>
      <c r="L23" s="3">
        <v>1</v>
      </c>
      <c r="N23" s="148">
        <v>3799</v>
      </c>
      <c r="R23" s="148">
        <f>Table242[[#This Row],[Material Unit Price]]+Table242[[#This Row],[Labor Unit Price]]+Table242[[#This Row],[GC + Manage+ Insur]]</f>
        <v>3799</v>
      </c>
      <c r="S23" s="148">
        <f>Table242[[#This Row],[Total Per Tool]]*Table242[[#This Row],[Tool QTY]]</f>
        <v>3799</v>
      </c>
      <c r="U23" s="149"/>
      <c r="W23" s="148" t="s">
        <v>2551</v>
      </c>
      <c r="X2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3799</v>
      </c>
      <c r="Y23" s="150">
        <f>Table242[[#This Row],[Total AR (Received)]]/Table242[[#This Row],[PO Amount]]</f>
        <v>1</v>
      </c>
      <c r="Z23" s="151">
        <f>Table242[[#This Row],[PO Amount]]-Table242[[#This Row],[Total AR (Received)]]</f>
        <v>0</v>
      </c>
      <c r="AA23" s="3"/>
      <c r="AF23" s="3"/>
      <c r="BD23" s="172">
        <v>3799</v>
      </c>
      <c r="BF23" s="165">
        <v>0</v>
      </c>
      <c r="BG23" s="287"/>
      <c r="BJ23" s="165"/>
      <c r="BR23" s="156">
        <f t="shared" si="0"/>
        <v>3799</v>
      </c>
    </row>
    <row r="24" spans="1:70" ht="14.45" hidden="1">
      <c r="A24" t="s">
        <v>2206</v>
      </c>
      <c r="B24" s="3" t="s">
        <v>29</v>
      </c>
      <c r="C24" s="3"/>
      <c r="D24" s="3">
        <v>4400819974</v>
      </c>
      <c r="E24" s="3">
        <v>1</v>
      </c>
      <c r="F24" s="3" t="s">
        <v>2549</v>
      </c>
      <c r="G24" s="3"/>
      <c r="H24" s="3" t="s">
        <v>17</v>
      </c>
      <c r="I24" s="3" t="s">
        <v>2591</v>
      </c>
      <c r="J24" s="163" t="s">
        <v>2593</v>
      </c>
      <c r="K24" s="164"/>
      <c r="L24" s="3">
        <v>1</v>
      </c>
      <c r="N24" s="148">
        <v>1135</v>
      </c>
      <c r="R24" s="148">
        <f>Table242[[#This Row],[Material Unit Price]]+Table242[[#This Row],[Labor Unit Price]]+Table242[[#This Row],[GC + Manage+ Insur]]</f>
        <v>1135</v>
      </c>
      <c r="S24" s="148">
        <f>Table242[[#This Row],[Total Per Tool]]*Table242[[#This Row],[Tool QTY]]</f>
        <v>1135</v>
      </c>
      <c r="U24" s="149"/>
      <c r="W24" s="148" t="s">
        <v>2551</v>
      </c>
      <c r="X2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1135</v>
      </c>
      <c r="Y24" s="150">
        <f>Table242[[#This Row],[Total AR (Received)]]/Table242[[#This Row],[PO Amount]]</f>
        <v>1</v>
      </c>
      <c r="Z24" s="151">
        <f>Table242[[#This Row],[PO Amount]]-Table242[[#This Row],[Total AR (Received)]]</f>
        <v>0</v>
      </c>
      <c r="AA24" s="3"/>
      <c r="AF24" s="3"/>
      <c r="BD24" s="172">
        <v>1135</v>
      </c>
      <c r="BF24" s="165">
        <v>0</v>
      </c>
      <c r="BG24" s="287"/>
      <c r="BJ24" s="165"/>
      <c r="BR24" s="156">
        <f t="shared" si="0"/>
        <v>1135</v>
      </c>
    </row>
    <row r="25" spans="1:70" ht="14.45" hidden="1">
      <c r="A25" t="s">
        <v>2206</v>
      </c>
      <c r="B25" s="3" t="s">
        <v>29</v>
      </c>
      <c r="C25" s="3"/>
      <c r="D25" s="3">
        <v>4400819975</v>
      </c>
      <c r="E25" s="3">
        <v>1</v>
      </c>
      <c r="F25" s="3" t="s">
        <v>2549</v>
      </c>
      <c r="G25" s="3"/>
      <c r="H25" s="3" t="s">
        <v>17</v>
      </c>
      <c r="I25" s="3" t="s">
        <v>2594</v>
      </c>
      <c r="J25" s="163" t="s">
        <v>2595</v>
      </c>
      <c r="K25" s="164"/>
      <c r="L25" s="3">
        <v>1</v>
      </c>
      <c r="N25" s="148">
        <v>1135</v>
      </c>
      <c r="R25" s="148">
        <f>Table242[[#This Row],[Material Unit Price]]+Table242[[#This Row],[Labor Unit Price]]+Table242[[#This Row],[GC + Manage+ Insur]]</f>
        <v>1135</v>
      </c>
      <c r="S25" s="148">
        <f>Table242[[#This Row],[Total Per Tool]]*Table242[[#This Row],[Tool QTY]]</f>
        <v>1135</v>
      </c>
      <c r="U25" s="149"/>
      <c r="W25" s="148" t="s">
        <v>2551</v>
      </c>
      <c r="X2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1135</v>
      </c>
      <c r="Y25" s="150">
        <f>Table242[[#This Row],[Total AR (Received)]]/Table242[[#This Row],[PO Amount]]</f>
        <v>1</v>
      </c>
      <c r="Z25" s="151">
        <f>Table242[[#This Row],[PO Amount]]-Table242[[#This Row],[Total AR (Received)]]</f>
        <v>0</v>
      </c>
      <c r="AA25" s="3"/>
      <c r="AF25" s="3"/>
      <c r="BD25" s="154" t="s">
        <v>550</v>
      </c>
      <c r="BF25" s="171">
        <v>1135</v>
      </c>
      <c r="BG25" s="287"/>
      <c r="BJ25" s="165"/>
      <c r="BR25" s="156">
        <f t="shared" si="0"/>
        <v>1135</v>
      </c>
    </row>
    <row r="26" spans="1:70" ht="14.45" hidden="1">
      <c r="A26" t="s">
        <v>2206</v>
      </c>
      <c r="B26" s="3" t="s">
        <v>29</v>
      </c>
      <c r="C26" s="3"/>
      <c r="D26" s="3">
        <v>4400819976</v>
      </c>
      <c r="E26" s="3">
        <v>1</v>
      </c>
      <c r="F26" s="3" t="s">
        <v>2549</v>
      </c>
      <c r="G26" s="3"/>
      <c r="H26" s="3" t="s">
        <v>17</v>
      </c>
      <c r="I26" s="3" t="s">
        <v>2596</v>
      </c>
      <c r="J26" s="163" t="s">
        <v>2597</v>
      </c>
      <c r="K26" s="164"/>
      <c r="L26" s="3">
        <v>1</v>
      </c>
      <c r="N26" s="148">
        <v>1135</v>
      </c>
      <c r="R26" s="148">
        <f>Table242[[#This Row],[Material Unit Price]]+Table242[[#This Row],[Labor Unit Price]]+Table242[[#This Row],[GC + Manage+ Insur]]</f>
        <v>1135</v>
      </c>
      <c r="S26" s="148">
        <f>Table242[[#This Row],[Total Per Tool]]*Table242[[#This Row],[Tool QTY]]</f>
        <v>1135</v>
      </c>
      <c r="U26" s="149"/>
      <c r="W26" s="148" t="s">
        <v>2551</v>
      </c>
      <c r="X2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1135</v>
      </c>
      <c r="Y26" s="150">
        <f>Table242[[#This Row],[Total AR (Received)]]/Table242[[#This Row],[PO Amount]]</f>
        <v>1</v>
      </c>
      <c r="Z26" s="151">
        <f>Table242[[#This Row],[PO Amount]]-Table242[[#This Row],[Total AR (Received)]]</f>
        <v>0</v>
      </c>
      <c r="AA26" s="3"/>
      <c r="AF26" s="3"/>
      <c r="BD26" s="154" t="s">
        <v>550</v>
      </c>
      <c r="BF26" s="171">
        <v>1135</v>
      </c>
      <c r="BG26" s="287"/>
      <c r="BJ26" s="165"/>
      <c r="BR26" s="156">
        <f t="shared" si="0"/>
        <v>1135</v>
      </c>
    </row>
    <row r="27" spans="1:70" ht="14.45" hidden="1">
      <c r="A27" t="s">
        <v>2206</v>
      </c>
      <c r="B27" s="3" t="s">
        <v>29</v>
      </c>
      <c r="C27" s="3"/>
      <c r="D27" s="3">
        <v>4400819977</v>
      </c>
      <c r="E27" s="3">
        <v>1</v>
      </c>
      <c r="F27" s="3" t="s">
        <v>2549</v>
      </c>
      <c r="G27" s="3"/>
      <c r="H27" s="3" t="s">
        <v>17</v>
      </c>
      <c r="I27" s="3" t="s">
        <v>2598</v>
      </c>
      <c r="J27" s="163" t="s">
        <v>2599</v>
      </c>
      <c r="K27" s="164"/>
      <c r="L27" s="3">
        <v>1</v>
      </c>
      <c r="N27" s="148">
        <v>1135</v>
      </c>
      <c r="R27" s="148">
        <f>Table242[[#This Row],[Material Unit Price]]+Table242[[#This Row],[Labor Unit Price]]+Table242[[#This Row],[GC + Manage+ Insur]]</f>
        <v>1135</v>
      </c>
      <c r="S27" s="148">
        <f>Table242[[#This Row],[Total Per Tool]]*Table242[[#This Row],[Tool QTY]]</f>
        <v>1135</v>
      </c>
      <c r="U27" s="149"/>
      <c r="W27" s="148" t="s">
        <v>2551</v>
      </c>
      <c r="X2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1135</v>
      </c>
      <c r="Y27" s="150">
        <f>Table242[[#This Row],[Total AR (Received)]]/Table242[[#This Row],[PO Amount]]</f>
        <v>1</v>
      </c>
      <c r="Z27" s="151">
        <f>Table242[[#This Row],[PO Amount]]-Table242[[#This Row],[Total AR (Received)]]</f>
        <v>0</v>
      </c>
      <c r="AA27" s="3"/>
      <c r="AF27" s="3"/>
      <c r="BD27" s="172">
        <v>1135</v>
      </c>
      <c r="BF27" s="165">
        <v>0</v>
      </c>
      <c r="BG27" s="287"/>
      <c r="BJ27" s="165"/>
      <c r="BR27" s="156">
        <f t="shared" si="0"/>
        <v>1135</v>
      </c>
    </row>
    <row r="28" spans="1:70" ht="14.45" hidden="1">
      <c r="A28" t="s">
        <v>2206</v>
      </c>
      <c r="B28" s="3" t="s">
        <v>29</v>
      </c>
      <c r="C28" s="3"/>
      <c r="D28" s="3">
        <v>4400819978</v>
      </c>
      <c r="E28" s="3">
        <v>1</v>
      </c>
      <c r="F28" s="3" t="s">
        <v>2549</v>
      </c>
      <c r="G28" s="3"/>
      <c r="H28" s="3" t="s">
        <v>17</v>
      </c>
      <c r="I28" s="3" t="s">
        <v>2600</v>
      </c>
      <c r="J28" s="163" t="s">
        <v>2601</v>
      </c>
      <c r="K28" s="164"/>
      <c r="L28" s="3">
        <v>1</v>
      </c>
      <c r="N28" s="148">
        <v>1135</v>
      </c>
      <c r="R28" s="148">
        <f>Table242[[#This Row],[Material Unit Price]]+Table242[[#This Row],[Labor Unit Price]]+Table242[[#This Row],[GC + Manage+ Insur]]</f>
        <v>1135</v>
      </c>
      <c r="S28" s="148">
        <f>Table242[[#This Row],[Total Per Tool]]*Table242[[#This Row],[Tool QTY]]</f>
        <v>1135</v>
      </c>
      <c r="U28" s="149"/>
      <c r="W28" s="148" t="s">
        <v>2551</v>
      </c>
      <c r="X2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1135</v>
      </c>
      <c r="Y28" s="150">
        <f>Table242[[#This Row],[Total AR (Received)]]/Table242[[#This Row],[PO Amount]]</f>
        <v>1</v>
      </c>
      <c r="Z28" s="151">
        <f>Table242[[#This Row],[PO Amount]]-Table242[[#This Row],[Total AR (Received)]]</f>
        <v>0</v>
      </c>
      <c r="AA28" s="3"/>
      <c r="AF28" s="3"/>
      <c r="BD28" s="172">
        <v>1135</v>
      </c>
      <c r="BF28" s="165">
        <v>0</v>
      </c>
      <c r="BG28" s="287"/>
      <c r="BJ28" s="165"/>
      <c r="BR28" s="156">
        <f t="shared" si="0"/>
        <v>1135</v>
      </c>
    </row>
    <row r="29" spans="1:70" s="378" customFormat="1" ht="14.45" hidden="1">
      <c r="A29" s="378" t="s">
        <v>2206</v>
      </c>
      <c r="B29" s="379" t="s">
        <v>29</v>
      </c>
      <c r="C29" s="3"/>
      <c r="D29" s="379">
        <v>4400819979</v>
      </c>
      <c r="E29" s="379">
        <v>1</v>
      </c>
      <c r="F29" s="379" t="s">
        <v>2549</v>
      </c>
      <c r="G29" s="3" t="s">
        <v>2567</v>
      </c>
      <c r="H29" s="3" t="s">
        <v>17</v>
      </c>
      <c r="I29" s="379" t="s">
        <v>2602</v>
      </c>
      <c r="J29" s="395" t="s">
        <v>2603</v>
      </c>
      <c r="K29" s="394"/>
      <c r="L29" s="379">
        <v>1</v>
      </c>
      <c r="M29" s="381"/>
      <c r="N29" s="381">
        <v>1135</v>
      </c>
      <c r="O29" s="381"/>
      <c r="P29" s="381"/>
      <c r="Q29" s="381"/>
      <c r="R29" s="381">
        <f>Table242[[#This Row],[Material Unit Price]]+Table242[[#This Row],[Labor Unit Price]]+Table242[[#This Row],[GC + Manage+ Insur]]</f>
        <v>1135</v>
      </c>
      <c r="S29" s="148">
        <f>Table242[[#This Row],[Total Per Tool]]*Table242[[#This Row],[Tool QTY]]</f>
        <v>1135</v>
      </c>
      <c r="T29" s="148"/>
      <c r="U29" s="149" t="s">
        <v>2582</v>
      </c>
      <c r="V29" s="148"/>
      <c r="W29" s="148" t="s">
        <v>2551</v>
      </c>
      <c r="X29" s="381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29" s="384">
        <f>Table242[[#This Row],[Total AR (Received)]]/Table242[[#This Row],[PO Amount]]</f>
        <v>0</v>
      </c>
      <c r="Z29" s="385">
        <f>Table242[[#This Row],[PO Amount]]-Table242[[#This Row],[Total AR (Received)]]</f>
        <v>1135</v>
      </c>
      <c r="AA29" s="379"/>
      <c r="AB29" s="381"/>
      <c r="AC29" s="381"/>
      <c r="AD29" s="381"/>
      <c r="AE29" s="381"/>
      <c r="AF29" s="379"/>
      <c r="BB29" s="593"/>
      <c r="BC29" s="593"/>
      <c r="BD29" s="594" t="s">
        <v>550</v>
      </c>
      <c r="BE29" s="593"/>
      <c r="BF29" s="593">
        <v>0</v>
      </c>
      <c r="BG29" s="595"/>
      <c r="BH29" s="593"/>
      <c r="BI29" s="593"/>
      <c r="BJ29" s="593"/>
      <c r="BK29" s="593"/>
      <c r="BL29" s="593"/>
      <c r="BM29" s="593"/>
      <c r="BN29" s="593"/>
      <c r="BO29" s="593"/>
      <c r="BP29" s="593"/>
      <c r="BQ29" s="593"/>
      <c r="BR29" s="386">
        <f t="shared" si="0"/>
        <v>0</v>
      </c>
    </row>
    <row r="30" spans="1:70" ht="14.45" hidden="1">
      <c r="A30" t="s">
        <v>2206</v>
      </c>
      <c r="B30" s="3" t="s">
        <v>29</v>
      </c>
      <c r="C30" s="3"/>
      <c r="D30" s="3">
        <v>4400819986</v>
      </c>
      <c r="E30" s="3">
        <v>1</v>
      </c>
      <c r="F30" s="3" t="s">
        <v>2549</v>
      </c>
      <c r="G30" s="3"/>
      <c r="H30" s="3" t="s">
        <v>17</v>
      </c>
      <c r="I30" s="3" t="s">
        <v>2604</v>
      </c>
      <c r="J30" s="163" t="s">
        <v>2605</v>
      </c>
      <c r="K30" s="164"/>
      <c r="L30" s="3">
        <v>1</v>
      </c>
      <c r="N30" s="148">
        <v>1135</v>
      </c>
      <c r="R30" s="148">
        <f>Table242[[#This Row],[Material Unit Price]]+Table242[[#This Row],[Labor Unit Price]]+Table242[[#This Row],[GC + Manage+ Insur]]</f>
        <v>1135</v>
      </c>
      <c r="S30" s="148">
        <f>Table242[[#This Row],[Total Per Tool]]*Table242[[#This Row],[Tool QTY]]</f>
        <v>1135</v>
      </c>
      <c r="U30" s="149"/>
      <c r="W30" s="148" t="s">
        <v>2551</v>
      </c>
      <c r="X3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1135</v>
      </c>
      <c r="Y30" s="150">
        <f>Table242[[#This Row],[Total AR (Received)]]/Table242[[#This Row],[PO Amount]]</f>
        <v>1</v>
      </c>
      <c r="Z30" s="151">
        <f>Table242[[#This Row],[PO Amount]]-Table242[[#This Row],[Total AR (Received)]]</f>
        <v>0</v>
      </c>
      <c r="AA30" s="3"/>
      <c r="AF30" s="3"/>
      <c r="BD30" s="172">
        <v>1135</v>
      </c>
      <c r="BF30" s="165">
        <v>0</v>
      </c>
      <c r="BG30" s="287"/>
      <c r="BJ30" s="165"/>
      <c r="BR30" s="156">
        <f t="shared" si="0"/>
        <v>1135</v>
      </c>
    </row>
    <row r="31" spans="1:70" ht="14.45" hidden="1">
      <c r="A31" t="s">
        <v>2206</v>
      </c>
      <c r="B31" s="3" t="s">
        <v>29</v>
      </c>
      <c r="C31" s="3"/>
      <c r="D31" s="3">
        <v>4400820281</v>
      </c>
      <c r="E31" s="3">
        <v>1</v>
      </c>
      <c r="F31" s="3" t="s">
        <v>2549</v>
      </c>
      <c r="G31" s="3" t="s">
        <v>2567</v>
      </c>
      <c r="H31" s="3" t="s">
        <v>17</v>
      </c>
      <c r="I31" s="3" t="s">
        <v>2606</v>
      </c>
      <c r="J31" s="163" t="s">
        <v>2607</v>
      </c>
      <c r="K31" s="164"/>
      <c r="L31" s="3">
        <v>1</v>
      </c>
      <c r="N31" s="148">
        <v>3799</v>
      </c>
      <c r="R31" s="148">
        <f>Table242[[#This Row],[Material Unit Price]]+Table242[[#This Row],[Labor Unit Price]]+Table242[[#This Row],[GC + Manage+ Insur]]</f>
        <v>3799</v>
      </c>
      <c r="S31" s="148">
        <f>Table242[[#This Row],[Total Per Tool]]*Table242[[#This Row],[Tool QTY]]</f>
        <v>3799</v>
      </c>
      <c r="U31" s="149" t="s">
        <v>2608</v>
      </c>
      <c r="W31" s="148" t="s">
        <v>2551</v>
      </c>
      <c r="X3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3799</v>
      </c>
      <c r="Y31" s="150">
        <f>Table242[[#This Row],[Total AR (Received)]]/Table242[[#This Row],[PO Amount]]</f>
        <v>1</v>
      </c>
      <c r="Z31" s="151">
        <f>Table242[[#This Row],[PO Amount]]-Table242[[#This Row],[Total AR (Received)]]</f>
        <v>0</v>
      </c>
      <c r="AA31" s="3"/>
      <c r="AF31" s="3"/>
      <c r="BD31" s="154" t="s">
        <v>550</v>
      </c>
      <c r="BF31" s="293">
        <v>3799</v>
      </c>
      <c r="BG31" s="287"/>
      <c r="BJ31" s="165"/>
      <c r="BR31" s="156">
        <f t="shared" si="0"/>
        <v>3799</v>
      </c>
    </row>
    <row r="32" spans="1:70" ht="14.45" hidden="1">
      <c r="A32" t="s">
        <v>2206</v>
      </c>
      <c r="B32" s="3" t="s">
        <v>29</v>
      </c>
      <c r="C32" s="3"/>
      <c r="D32" s="3">
        <v>4400820284</v>
      </c>
      <c r="E32" s="3">
        <v>1</v>
      </c>
      <c r="F32" s="3" t="s">
        <v>2549</v>
      </c>
      <c r="G32" s="3"/>
      <c r="H32" s="3" t="s">
        <v>17</v>
      </c>
      <c r="I32" s="3" t="s">
        <v>2604</v>
      </c>
      <c r="J32" s="163" t="s">
        <v>2609</v>
      </c>
      <c r="K32" s="164"/>
      <c r="L32" s="3">
        <v>1</v>
      </c>
      <c r="N32" s="148">
        <v>3799</v>
      </c>
      <c r="R32" s="148">
        <f>Table242[[#This Row],[Material Unit Price]]+Table242[[#This Row],[Labor Unit Price]]+Table242[[#This Row],[GC + Manage+ Insur]]</f>
        <v>3799</v>
      </c>
      <c r="S32" s="148">
        <f>Table242[[#This Row],[Total Per Tool]]*Table242[[#This Row],[Tool QTY]]</f>
        <v>3799</v>
      </c>
      <c r="U32" s="149"/>
      <c r="W32" s="148" t="s">
        <v>2551</v>
      </c>
      <c r="X3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3799</v>
      </c>
      <c r="Y32" s="150">
        <f>Table242[[#This Row],[Total AR (Received)]]/Table242[[#This Row],[PO Amount]]</f>
        <v>1</v>
      </c>
      <c r="Z32" s="151">
        <f>Table242[[#This Row],[PO Amount]]-Table242[[#This Row],[Total AR (Received)]]</f>
        <v>0</v>
      </c>
      <c r="AA32" s="3"/>
      <c r="AF32" s="3"/>
      <c r="BD32" s="172">
        <v>3799</v>
      </c>
      <c r="BF32" s="165">
        <v>0</v>
      </c>
      <c r="BG32" s="287"/>
      <c r="BJ32" s="165"/>
      <c r="BR32" s="156">
        <f t="shared" si="0"/>
        <v>3799</v>
      </c>
    </row>
    <row r="33" spans="1:70" ht="14.45" hidden="1">
      <c r="A33" t="s">
        <v>2206</v>
      </c>
      <c r="B33" s="3" t="s">
        <v>29</v>
      </c>
      <c r="C33" s="3"/>
      <c r="D33" s="3">
        <v>4400820801</v>
      </c>
      <c r="E33" s="3">
        <v>1</v>
      </c>
      <c r="F33" s="3" t="s">
        <v>2549</v>
      </c>
      <c r="G33" s="3" t="s">
        <v>2567</v>
      </c>
      <c r="H33" s="3" t="s">
        <v>17</v>
      </c>
      <c r="I33" s="3" t="s">
        <v>2610</v>
      </c>
      <c r="J33" s="163" t="s">
        <v>2611</v>
      </c>
      <c r="K33" s="164"/>
      <c r="L33" s="3">
        <v>1</v>
      </c>
      <c r="N33" s="148">
        <v>3758</v>
      </c>
      <c r="R33" s="148">
        <f>Table242[[#This Row],[Material Unit Price]]+Table242[[#This Row],[Labor Unit Price]]+Table242[[#This Row],[GC + Manage+ Insur]]</f>
        <v>3758</v>
      </c>
      <c r="S33" s="148">
        <f>Table242[[#This Row],[Total Per Tool]]*Table242[[#This Row],[Tool QTY]]</f>
        <v>3758</v>
      </c>
      <c r="U33" s="149" t="s">
        <v>2612</v>
      </c>
      <c r="W33" s="148" t="s">
        <v>2551</v>
      </c>
      <c r="X3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3758</v>
      </c>
      <c r="Y33" s="150">
        <f>Table242[[#This Row],[Total AR (Received)]]/Table242[[#This Row],[PO Amount]]</f>
        <v>1</v>
      </c>
      <c r="Z33" s="151">
        <f>Table242[[#This Row],[PO Amount]]-Table242[[#This Row],[Total AR (Received)]]</f>
        <v>0</v>
      </c>
      <c r="AA33" s="3"/>
      <c r="AD33" s="148">
        <v>3758</v>
      </c>
      <c r="AF33" s="3"/>
      <c r="BD33" s="154" t="s">
        <v>550</v>
      </c>
      <c r="BF33" s="165">
        <v>0</v>
      </c>
      <c r="BG33" s="287"/>
      <c r="BJ33" s="165"/>
      <c r="BR33" s="156">
        <f t="shared" si="0"/>
        <v>3758</v>
      </c>
    </row>
    <row r="34" spans="1:70" ht="14.45" hidden="1">
      <c r="A34" t="s">
        <v>2206</v>
      </c>
      <c r="B34" s="3" t="s">
        <v>29</v>
      </c>
      <c r="C34" s="3"/>
      <c r="D34" s="3">
        <v>4400821520</v>
      </c>
      <c r="E34" s="3">
        <v>1</v>
      </c>
      <c r="F34" s="3" t="s">
        <v>2549</v>
      </c>
      <c r="G34" s="3" t="s">
        <v>2567</v>
      </c>
      <c r="H34" s="3" t="s">
        <v>17</v>
      </c>
      <c r="I34" s="3" t="s">
        <v>2606</v>
      </c>
      <c r="J34" s="163" t="s">
        <v>2613</v>
      </c>
      <c r="K34" s="164"/>
      <c r="L34" s="3">
        <v>1</v>
      </c>
      <c r="N34" s="148">
        <v>1135</v>
      </c>
      <c r="R34" s="148">
        <f>Table242[[#This Row],[Material Unit Price]]+Table242[[#This Row],[Labor Unit Price]]+Table242[[#This Row],[GC + Manage+ Insur]]</f>
        <v>1135</v>
      </c>
      <c r="S34" s="148">
        <f>Table242[[#This Row],[Total Per Tool]]*Table242[[#This Row],[Tool QTY]]</f>
        <v>1135</v>
      </c>
      <c r="U34" s="149" t="s">
        <v>2614</v>
      </c>
      <c r="W34" s="148" t="s">
        <v>2551</v>
      </c>
      <c r="X3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1135</v>
      </c>
      <c r="Y34" s="150">
        <f>Table242[[#This Row],[Total AR (Received)]]/Table242[[#This Row],[PO Amount]]</f>
        <v>1</v>
      </c>
      <c r="Z34" s="151">
        <f>Table242[[#This Row],[PO Amount]]-Table242[[#This Row],[Total AR (Received)]]</f>
        <v>0</v>
      </c>
      <c r="AA34" s="3"/>
      <c r="AF34" s="3"/>
      <c r="BD34" s="154" t="s">
        <v>550</v>
      </c>
      <c r="BF34" s="171">
        <v>1135</v>
      </c>
      <c r="BG34" s="287"/>
      <c r="BJ34" s="165"/>
      <c r="BR34" s="156">
        <f t="shared" si="0"/>
        <v>1135</v>
      </c>
    </row>
    <row r="35" spans="1:70" ht="14.45" hidden="1">
      <c r="A35" t="s">
        <v>2206</v>
      </c>
      <c r="B35" s="3" t="s">
        <v>29</v>
      </c>
      <c r="C35" s="3"/>
      <c r="D35" s="3">
        <v>4400822498</v>
      </c>
      <c r="E35" s="3">
        <v>1</v>
      </c>
      <c r="F35" s="3" t="s">
        <v>2549</v>
      </c>
      <c r="G35" s="3" t="s">
        <v>2567</v>
      </c>
      <c r="H35" s="3" t="s">
        <v>17</v>
      </c>
      <c r="I35" s="3" t="s">
        <v>2615</v>
      </c>
      <c r="J35" s="163" t="s">
        <v>2616</v>
      </c>
      <c r="K35" s="164"/>
      <c r="L35" s="3">
        <v>1</v>
      </c>
      <c r="N35" s="148">
        <v>1135</v>
      </c>
      <c r="R35" s="148">
        <f>Table242[[#This Row],[Material Unit Price]]+Table242[[#This Row],[Labor Unit Price]]+Table242[[#This Row],[GC + Manage+ Insur]]</f>
        <v>1135</v>
      </c>
      <c r="S35" s="148">
        <f>Table242[[#This Row],[Total Per Tool]]*Table242[[#This Row],[Tool QTY]]</f>
        <v>1135</v>
      </c>
      <c r="U35" s="149" t="s">
        <v>1605</v>
      </c>
      <c r="W35" s="148" t="s">
        <v>2551</v>
      </c>
      <c r="X3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1135</v>
      </c>
      <c r="Y35" s="150">
        <f>Table242[[#This Row],[Total AR (Received)]]/Table242[[#This Row],[PO Amount]]</f>
        <v>1</v>
      </c>
      <c r="Z35" s="151">
        <f>Table242[[#This Row],[PO Amount]]-Table242[[#This Row],[Total AR (Received)]]</f>
        <v>0</v>
      </c>
      <c r="AA35" s="3"/>
      <c r="AD35" s="148">
        <v>1135</v>
      </c>
      <c r="AF35" s="3"/>
      <c r="BD35" s="154" t="s">
        <v>550</v>
      </c>
      <c r="BF35" s="165">
        <v>0</v>
      </c>
      <c r="BG35" s="287"/>
      <c r="BJ35" s="165"/>
      <c r="BR35" s="156">
        <f t="shared" si="0"/>
        <v>1135</v>
      </c>
    </row>
    <row r="36" spans="1:70" s="378" customFormat="1" ht="14.45" hidden="1">
      <c r="A36" s="378" t="s">
        <v>2206</v>
      </c>
      <c r="B36" s="379" t="s">
        <v>29</v>
      </c>
      <c r="C36" s="3"/>
      <c r="D36" s="379">
        <v>4400822500</v>
      </c>
      <c r="E36" s="379">
        <v>1</v>
      </c>
      <c r="F36" s="379" t="s">
        <v>2549</v>
      </c>
      <c r="G36" s="3" t="s">
        <v>2567</v>
      </c>
      <c r="H36" s="3" t="s">
        <v>17</v>
      </c>
      <c r="I36" s="379" t="s">
        <v>2617</v>
      </c>
      <c r="J36" s="395" t="s">
        <v>2618</v>
      </c>
      <c r="K36" s="394"/>
      <c r="L36" s="379">
        <v>1</v>
      </c>
      <c r="M36" s="381"/>
      <c r="N36" s="381">
        <v>3799</v>
      </c>
      <c r="O36" s="381"/>
      <c r="P36" s="381"/>
      <c r="Q36" s="381"/>
      <c r="R36" s="381">
        <f>Table242[[#This Row],[Material Unit Price]]+Table242[[#This Row],[Labor Unit Price]]+Table242[[#This Row],[GC + Manage+ Insur]]</f>
        <v>3799</v>
      </c>
      <c r="S36" s="148">
        <f>Table242[[#This Row],[Total Per Tool]]*Table242[[#This Row],[Tool QTY]]</f>
        <v>3799</v>
      </c>
      <c r="T36" s="148"/>
      <c r="U36" s="149" t="s">
        <v>1605</v>
      </c>
      <c r="V36" s="148"/>
      <c r="W36" s="148" t="s">
        <v>2551</v>
      </c>
      <c r="X36" s="381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6" s="384">
        <f>Table242[[#This Row],[Total AR (Received)]]/Table242[[#This Row],[PO Amount]]</f>
        <v>0</v>
      </c>
      <c r="Z36" s="385">
        <f>Table242[[#This Row],[PO Amount]]-Table242[[#This Row],[Total AR (Received)]]</f>
        <v>3799</v>
      </c>
      <c r="AA36" s="379"/>
      <c r="AB36" s="381"/>
      <c r="AC36" s="381"/>
      <c r="AD36" s="381"/>
      <c r="AE36" s="381"/>
      <c r="AF36" s="379"/>
      <c r="BB36" s="593"/>
      <c r="BC36" s="593"/>
      <c r="BD36" s="594"/>
      <c r="BE36" s="593"/>
      <c r="BF36" s="593">
        <v>0</v>
      </c>
      <c r="BG36" s="595"/>
      <c r="BH36" s="593"/>
      <c r="BI36" s="593"/>
      <c r="BJ36" s="593"/>
      <c r="BK36" s="593"/>
      <c r="BL36" s="593"/>
      <c r="BM36" s="593"/>
      <c r="BN36" s="593"/>
      <c r="BO36" s="593"/>
      <c r="BP36" s="593"/>
      <c r="BQ36" s="593"/>
      <c r="BR36" s="386">
        <f t="shared" si="0"/>
        <v>0</v>
      </c>
    </row>
    <row r="37" spans="1:70" s="378" customFormat="1" ht="14.45" hidden="1">
      <c r="A37" s="378" t="s">
        <v>2206</v>
      </c>
      <c r="B37" s="379" t="s">
        <v>29</v>
      </c>
      <c r="C37" s="3"/>
      <c r="D37" s="379">
        <v>4400822504</v>
      </c>
      <c r="E37" s="379">
        <v>1</v>
      </c>
      <c r="F37" s="379" t="s">
        <v>2549</v>
      </c>
      <c r="G37" s="3" t="s">
        <v>2567</v>
      </c>
      <c r="H37" s="3" t="s">
        <v>17</v>
      </c>
      <c r="I37" s="379" t="s">
        <v>2617</v>
      </c>
      <c r="J37" s="395" t="s">
        <v>2619</v>
      </c>
      <c r="K37" s="394"/>
      <c r="L37" s="379">
        <v>1</v>
      </c>
      <c r="M37" s="381"/>
      <c r="N37" s="381">
        <v>1135</v>
      </c>
      <c r="O37" s="381"/>
      <c r="P37" s="381"/>
      <c r="Q37" s="381"/>
      <c r="R37" s="381">
        <f>Table242[[#This Row],[Material Unit Price]]+Table242[[#This Row],[Labor Unit Price]]+Table242[[#This Row],[GC + Manage+ Insur]]</f>
        <v>1135</v>
      </c>
      <c r="S37" s="148">
        <f>Table242[[#This Row],[Total Per Tool]]*Table242[[#This Row],[Tool QTY]]</f>
        <v>1135</v>
      </c>
      <c r="T37" s="148"/>
      <c r="U37" s="149" t="s">
        <v>1605</v>
      </c>
      <c r="V37" s="148"/>
      <c r="W37" s="148" t="s">
        <v>2551</v>
      </c>
      <c r="X37" s="381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7" s="384">
        <f>Table242[[#This Row],[Total AR (Received)]]/Table242[[#This Row],[PO Amount]]</f>
        <v>0</v>
      </c>
      <c r="Z37" s="385">
        <f>Table242[[#This Row],[PO Amount]]-Table242[[#This Row],[Total AR (Received)]]</f>
        <v>1135</v>
      </c>
      <c r="AA37" s="379"/>
      <c r="AB37" s="381"/>
      <c r="AC37" s="381"/>
      <c r="AD37" s="381"/>
      <c r="AE37" s="381"/>
      <c r="AF37" s="379"/>
      <c r="BB37" s="593"/>
      <c r="BC37" s="593"/>
      <c r="BD37" s="594"/>
      <c r="BE37" s="593"/>
      <c r="BF37" s="593">
        <v>0</v>
      </c>
      <c r="BG37" s="595"/>
      <c r="BH37" s="593"/>
      <c r="BI37" s="593"/>
      <c r="BJ37" s="593"/>
      <c r="BK37" s="593"/>
      <c r="BL37" s="593"/>
      <c r="BM37" s="593"/>
      <c r="BN37" s="593"/>
      <c r="BO37" s="593"/>
      <c r="BP37" s="593"/>
      <c r="BQ37" s="593"/>
      <c r="BR37" s="386">
        <f t="shared" si="0"/>
        <v>0</v>
      </c>
    </row>
    <row r="38" spans="1:70" ht="14.45" hidden="1">
      <c r="A38" t="s">
        <v>2206</v>
      </c>
      <c r="B38" s="3" t="s">
        <v>29</v>
      </c>
      <c r="C38" s="3"/>
      <c r="D38" s="3">
        <v>4400822509</v>
      </c>
      <c r="E38" s="3">
        <v>1</v>
      </c>
      <c r="F38" s="3" t="s">
        <v>2549</v>
      </c>
      <c r="G38" s="3" t="s">
        <v>2567</v>
      </c>
      <c r="H38" s="3" t="s">
        <v>17</v>
      </c>
      <c r="I38" s="3" t="s">
        <v>2589</v>
      </c>
      <c r="J38" s="163" t="s">
        <v>2620</v>
      </c>
      <c r="K38" s="164"/>
      <c r="L38" s="3">
        <v>1</v>
      </c>
      <c r="N38" s="148">
        <v>8651</v>
      </c>
      <c r="R38" s="148">
        <f>Table242[[#This Row],[Material Unit Price]]+Table242[[#This Row],[Labor Unit Price]]+Table242[[#This Row],[GC + Manage+ Insur]]</f>
        <v>8651</v>
      </c>
      <c r="S38" s="148">
        <f>Table242[[#This Row],[Total Per Tool]]*Table242[[#This Row],[Tool QTY]]</f>
        <v>8651</v>
      </c>
      <c r="U38" s="149" t="s">
        <v>1605</v>
      </c>
      <c r="W38" s="148" t="s">
        <v>2551</v>
      </c>
      <c r="X3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8651</v>
      </c>
      <c r="Y38" s="150">
        <f>Table242[[#This Row],[Total AR (Received)]]/Table242[[#This Row],[PO Amount]]</f>
        <v>1</v>
      </c>
      <c r="Z38" s="151">
        <f>Table242[[#This Row],[PO Amount]]-Table242[[#This Row],[Total AR (Received)]]</f>
        <v>0</v>
      </c>
      <c r="AA38" s="3"/>
      <c r="AD38" s="148">
        <v>8651</v>
      </c>
      <c r="AF38" s="3"/>
      <c r="BD38" s="154" t="s">
        <v>550</v>
      </c>
      <c r="BF38" s="165">
        <v>0</v>
      </c>
      <c r="BG38" s="287"/>
      <c r="BJ38" s="165"/>
      <c r="BR38" s="156">
        <f t="shared" si="0"/>
        <v>8651</v>
      </c>
    </row>
    <row r="39" spans="1:70" s="378" customFormat="1" ht="14.45" hidden="1">
      <c r="A39" s="378" t="s">
        <v>2206</v>
      </c>
      <c r="B39" s="379" t="s">
        <v>29</v>
      </c>
      <c r="C39" s="3"/>
      <c r="D39" s="379">
        <v>4400822580</v>
      </c>
      <c r="E39" s="379">
        <v>1</v>
      </c>
      <c r="F39" s="379" t="s">
        <v>2549</v>
      </c>
      <c r="G39" s="3" t="s">
        <v>2567</v>
      </c>
      <c r="H39" s="3" t="s">
        <v>17</v>
      </c>
      <c r="I39" s="379" t="s">
        <v>2621</v>
      </c>
      <c r="J39" s="395" t="s">
        <v>2622</v>
      </c>
      <c r="K39" s="394"/>
      <c r="L39" s="379">
        <v>1</v>
      </c>
      <c r="M39" s="381"/>
      <c r="N39" s="381">
        <v>1135</v>
      </c>
      <c r="O39" s="381"/>
      <c r="P39" s="381"/>
      <c r="Q39" s="381"/>
      <c r="R39" s="381">
        <f>Table242[[#This Row],[Material Unit Price]]+Table242[[#This Row],[Labor Unit Price]]+Table242[[#This Row],[GC + Manage+ Insur]]</f>
        <v>1135</v>
      </c>
      <c r="S39" s="148">
        <f>Table242[[#This Row],[Total Per Tool]]*Table242[[#This Row],[Tool QTY]]</f>
        <v>1135</v>
      </c>
      <c r="T39" s="148"/>
      <c r="U39" s="149" t="s">
        <v>1605</v>
      </c>
      <c r="V39" s="148"/>
      <c r="W39" s="148" t="s">
        <v>2551</v>
      </c>
      <c r="X39" s="381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9" s="384">
        <f>Table242[[#This Row],[Total AR (Received)]]/Table242[[#This Row],[PO Amount]]</f>
        <v>0</v>
      </c>
      <c r="Z39" s="385">
        <f>Table242[[#This Row],[PO Amount]]-Table242[[#This Row],[Total AR (Received)]]</f>
        <v>1135</v>
      </c>
      <c r="AA39" s="379"/>
      <c r="AB39" s="381"/>
      <c r="AC39" s="381"/>
      <c r="AD39" s="381"/>
      <c r="AE39" s="381"/>
      <c r="AF39" s="379"/>
      <c r="BB39" s="593"/>
      <c r="BC39" s="593"/>
      <c r="BD39" s="594"/>
      <c r="BE39" s="593"/>
      <c r="BF39" s="593">
        <v>0</v>
      </c>
      <c r="BG39" s="595"/>
      <c r="BH39" s="593"/>
      <c r="BI39" s="593"/>
      <c r="BJ39" s="593"/>
      <c r="BK39" s="593"/>
      <c r="BL39" s="593"/>
      <c r="BM39" s="593"/>
      <c r="BN39" s="593"/>
      <c r="BO39" s="593"/>
      <c r="BP39" s="593"/>
      <c r="BQ39" s="593"/>
      <c r="BR39" s="386">
        <f t="shared" si="0"/>
        <v>0</v>
      </c>
    </row>
    <row r="40" spans="1:70" s="378" customFormat="1" ht="14.45" hidden="1">
      <c r="A40" s="378" t="s">
        <v>2206</v>
      </c>
      <c r="B40" s="379" t="s">
        <v>29</v>
      </c>
      <c r="C40" s="3"/>
      <c r="D40" s="379">
        <v>4400822585</v>
      </c>
      <c r="E40" s="379">
        <v>1</v>
      </c>
      <c r="F40" s="379" t="s">
        <v>2549</v>
      </c>
      <c r="G40" s="3" t="s">
        <v>2567</v>
      </c>
      <c r="H40" s="3" t="s">
        <v>17</v>
      </c>
      <c r="I40" s="379" t="s">
        <v>2621</v>
      </c>
      <c r="J40" s="395" t="s">
        <v>2623</v>
      </c>
      <c r="K40" s="394"/>
      <c r="L40" s="379">
        <v>1</v>
      </c>
      <c r="M40" s="381"/>
      <c r="N40" s="381">
        <v>3799</v>
      </c>
      <c r="O40" s="381"/>
      <c r="P40" s="381"/>
      <c r="Q40" s="381"/>
      <c r="R40" s="381">
        <f>Table242[[#This Row],[Material Unit Price]]+Table242[[#This Row],[Labor Unit Price]]+Table242[[#This Row],[GC + Manage+ Insur]]</f>
        <v>3799</v>
      </c>
      <c r="S40" s="148">
        <f>Table242[[#This Row],[Total Per Tool]]*Table242[[#This Row],[Tool QTY]]</f>
        <v>3799</v>
      </c>
      <c r="T40" s="148"/>
      <c r="U40" s="149" t="s">
        <v>1605</v>
      </c>
      <c r="V40" s="148"/>
      <c r="W40" s="148" t="s">
        <v>2551</v>
      </c>
      <c r="X40" s="381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40" s="384">
        <f>Table242[[#This Row],[Total AR (Received)]]/Table242[[#This Row],[PO Amount]]</f>
        <v>0</v>
      </c>
      <c r="Z40" s="385">
        <f>Table242[[#This Row],[PO Amount]]-Table242[[#This Row],[Total AR (Received)]]</f>
        <v>3799</v>
      </c>
      <c r="AA40" s="379"/>
      <c r="AB40" s="381"/>
      <c r="AC40" s="381"/>
      <c r="AD40" s="381"/>
      <c r="AE40" s="381"/>
      <c r="AF40" s="379"/>
      <c r="BB40" s="593"/>
      <c r="BC40" s="593"/>
      <c r="BD40" s="594"/>
      <c r="BE40" s="593"/>
      <c r="BF40" s="593">
        <v>0</v>
      </c>
      <c r="BG40" s="595"/>
      <c r="BH40" s="593"/>
      <c r="BI40" s="593"/>
      <c r="BJ40" s="593"/>
      <c r="BK40" s="593"/>
      <c r="BL40" s="593"/>
      <c r="BM40" s="593"/>
      <c r="BN40" s="593"/>
      <c r="BO40" s="593"/>
      <c r="BP40" s="593"/>
      <c r="BQ40" s="593"/>
      <c r="BR40" s="386">
        <f t="shared" si="0"/>
        <v>0</v>
      </c>
    </row>
    <row r="41" spans="1:70" s="378" customFormat="1" ht="14.45" hidden="1">
      <c r="A41" s="378" t="s">
        <v>2206</v>
      </c>
      <c r="B41" s="379" t="s">
        <v>29</v>
      </c>
      <c r="C41" s="3"/>
      <c r="D41" s="379">
        <v>4400822589</v>
      </c>
      <c r="E41" s="379">
        <v>1</v>
      </c>
      <c r="F41" s="379" t="s">
        <v>2549</v>
      </c>
      <c r="G41" s="3" t="s">
        <v>2567</v>
      </c>
      <c r="H41" s="3" t="s">
        <v>17</v>
      </c>
      <c r="I41" s="379" t="s">
        <v>2624</v>
      </c>
      <c r="J41" s="395" t="s">
        <v>2625</v>
      </c>
      <c r="K41" s="394"/>
      <c r="L41" s="379">
        <v>1</v>
      </c>
      <c r="M41" s="381"/>
      <c r="N41" s="381">
        <v>1135</v>
      </c>
      <c r="O41" s="381"/>
      <c r="P41" s="381"/>
      <c r="Q41" s="381"/>
      <c r="R41" s="381">
        <f>Table242[[#This Row],[Material Unit Price]]+Table242[[#This Row],[Labor Unit Price]]+Table242[[#This Row],[GC + Manage+ Insur]]</f>
        <v>1135</v>
      </c>
      <c r="S41" s="148">
        <f>Table242[[#This Row],[Total Per Tool]]*Table242[[#This Row],[Tool QTY]]</f>
        <v>1135</v>
      </c>
      <c r="T41" s="148"/>
      <c r="U41" s="149" t="s">
        <v>1605</v>
      </c>
      <c r="V41" s="148"/>
      <c r="W41" s="148" t="s">
        <v>2551</v>
      </c>
      <c r="X41" s="381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41" s="384">
        <f>Table242[[#This Row],[Total AR (Received)]]/Table242[[#This Row],[PO Amount]]</f>
        <v>0</v>
      </c>
      <c r="Z41" s="385">
        <f>Table242[[#This Row],[PO Amount]]-Table242[[#This Row],[Total AR (Received)]]</f>
        <v>1135</v>
      </c>
      <c r="AA41" s="379"/>
      <c r="AB41" s="381"/>
      <c r="AC41" s="381"/>
      <c r="AD41" s="381"/>
      <c r="AE41" s="381"/>
      <c r="AF41" s="379"/>
      <c r="BB41" s="593"/>
      <c r="BC41" s="593"/>
      <c r="BD41" s="594"/>
      <c r="BE41" s="593"/>
      <c r="BF41" s="593">
        <v>0</v>
      </c>
      <c r="BG41" s="595"/>
      <c r="BH41" s="593"/>
      <c r="BI41" s="593"/>
      <c r="BJ41" s="593"/>
      <c r="BK41" s="593"/>
      <c r="BL41" s="593"/>
      <c r="BM41" s="593"/>
      <c r="BN41" s="593"/>
      <c r="BO41" s="593"/>
      <c r="BP41" s="593"/>
      <c r="BQ41" s="593"/>
      <c r="BR41" s="386">
        <f t="shared" si="0"/>
        <v>0</v>
      </c>
    </row>
    <row r="42" spans="1:70" s="378" customFormat="1" ht="14.45" hidden="1">
      <c r="A42" s="378" t="s">
        <v>2206</v>
      </c>
      <c r="B42" s="379" t="s">
        <v>29</v>
      </c>
      <c r="C42" s="3"/>
      <c r="D42" s="379">
        <v>4400822631</v>
      </c>
      <c r="E42" s="379">
        <v>1</v>
      </c>
      <c r="F42" s="379" t="s">
        <v>2549</v>
      </c>
      <c r="G42" s="3" t="s">
        <v>2567</v>
      </c>
      <c r="H42" s="3" t="s">
        <v>17</v>
      </c>
      <c r="I42" s="379" t="s">
        <v>2624</v>
      </c>
      <c r="J42" s="395" t="s">
        <v>2626</v>
      </c>
      <c r="K42" s="394"/>
      <c r="L42" s="379">
        <v>1</v>
      </c>
      <c r="M42" s="381"/>
      <c r="N42" s="381">
        <v>3799</v>
      </c>
      <c r="O42" s="381"/>
      <c r="P42" s="381"/>
      <c r="Q42" s="381"/>
      <c r="R42" s="381">
        <f>Table242[[#This Row],[Material Unit Price]]+Table242[[#This Row],[Labor Unit Price]]+Table242[[#This Row],[GC + Manage+ Insur]]</f>
        <v>3799</v>
      </c>
      <c r="S42" s="148">
        <f>Table242[[#This Row],[Total Per Tool]]*Table242[[#This Row],[Tool QTY]]</f>
        <v>3799</v>
      </c>
      <c r="T42" s="148"/>
      <c r="U42" s="149" t="s">
        <v>1605</v>
      </c>
      <c r="V42" s="148"/>
      <c r="W42" s="148" t="s">
        <v>2551</v>
      </c>
      <c r="X42" s="381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42" s="384">
        <f>Table242[[#This Row],[Total AR (Received)]]/Table242[[#This Row],[PO Amount]]</f>
        <v>0</v>
      </c>
      <c r="Z42" s="385">
        <f>Table242[[#This Row],[PO Amount]]-Table242[[#This Row],[Total AR (Received)]]</f>
        <v>3799</v>
      </c>
      <c r="AA42" s="379"/>
      <c r="AB42" s="381"/>
      <c r="AC42" s="381"/>
      <c r="AD42" s="381"/>
      <c r="AE42" s="381"/>
      <c r="AF42" s="379"/>
      <c r="BB42" s="593"/>
      <c r="BC42" s="593"/>
      <c r="BD42" s="594"/>
      <c r="BE42" s="593"/>
      <c r="BF42" s="593">
        <v>0</v>
      </c>
      <c r="BG42" s="595"/>
      <c r="BH42" s="593"/>
      <c r="BI42" s="593"/>
      <c r="BJ42" s="593"/>
      <c r="BK42" s="593"/>
      <c r="BL42" s="593"/>
      <c r="BM42" s="593"/>
      <c r="BN42" s="593"/>
      <c r="BO42" s="593"/>
      <c r="BP42" s="593"/>
      <c r="BQ42" s="593"/>
      <c r="BR42" s="386">
        <f t="shared" si="0"/>
        <v>0</v>
      </c>
    </row>
    <row r="43" spans="1:70" ht="14.45" hidden="1">
      <c r="A43" t="s">
        <v>2206</v>
      </c>
      <c r="B43" s="3" t="s">
        <v>29</v>
      </c>
      <c r="C43" s="3"/>
      <c r="D43" s="3">
        <v>4400824054</v>
      </c>
      <c r="E43" s="3">
        <v>1</v>
      </c>
      <c r="F43" s="3" t="s">
        <v>2549</v>
      </c>
      <c r="G43" s="3" t="s">
        <v>2567</v>
      </c>
      <c r="H43" s="3" t="s">
        <v>17</v>
      </c>
      <c r="I43" s="3" t="s">
        <v>2627</v>
      </c>
      <c r="J43" s="163" t="s">
        <v>2628</v>
      </c>
      <c r="K43" s="164"/>
      <c r="L43" s="3">
        <v>1</v>
      </c>
      <c r="N43" s="148">
        <v>1135</v>
      </c>
      <c r="R43" s="148">
        <f>Table242[[#This Row],[Material Unit Price]]+Table242[[#This Row],[Labor Unit Price]]+Table242[[#This Row],[GC + Manage+ Insur]]</f>
        <v>1135</v>
      </c>
      <c r="S43" s="148">
        <f>Table242[[#This Row],[Total Per Tool]]*Table242[[#This Row],[Tool QTY]]</f>
        <v>1135</v>
      </c>
      <c r="U43" s="149" t="s">
        <v>2629</v>
      </c>
      <c r="W43" s="148" t="s">
        <v>2551</v>
      </c>
      <c r="X4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1135</v>
      </c>
      <c r="Y43" s="150">
        <f>Table242[[#This Row],[Total AR (Received)]]/Table242[[#This Row],[PO Amount]]</f>
        <v>1</v>
      </c>
      <c r="Z43" s="151">
        <f>Table242[[#This Row],[PO Amount]]-Table242[[#This Row],[Total AR (Received)]]</f>
        <v>0</v>
      </c>
      <c r="AA43" s="3"/>
      <c r="AF43" s="3"/>
      <c r="BD43" s="295"/>
      <c r="BF43" s="171">
        <v>1135</v>
      </c>
      <c r="BG43" s="287"/>
      <c r="BJ43" s="165"/>
      <c r="BR43" s="156">
        <f t="shared" si="0"/>
        <v>1135</v>
      </c>
    </row>
    <row r="44" spans="1:70" ht="14.45" hidden="1">
      <c r="A44" t="s">
        <v>2206</v>
      </c>
      <c r="B44" s="3" t="s">
        <v>29</v>
      </c>
      <c r="C44" s="3"/>
      <c r="D44" s="3">
        <v>4400824102</v>
      </c>
      <c r="E44" s="3">
        <v>1</v>
      </c>
      <c r="F44" s="3" t="s">
        <v>2549</v>
      </c>
      <c r="G44" s="3" t="s">
        <v>2567</v>
      </c>
      <c r="H44" s="3" t="s">
        <v>17</v>
      </c>
      <c r="I44" s="3" t="s">
        <v>2630</v>
      </c>
      <c r="J44" s="163" t="s">
        <v>2631</v>
      </c>
      <c r="K44" s="164"/>
      <c r="L44" s="3">
        <v>1</v>
      </c>
      <c r="N44" s="148">
        <v>4250</v>
      </c>
      <c r="R44" s="148">
        <f>Table242[[#This Row],[Material Unit Price]]+Table242[[#This Row],[Labor Unit Price]]+Table242[[#This Row],[GC + Manage+ Insur]]</f>
        <v>4250</v>
      </c>
      <c r="S44" s="148">
        <f>Table242[[#This Row],[Total Per Tool]]*Table242[[#This Row],[Tool QTY]]</f>
        <v>4250</v>
      </c>
      <c r="U44" s="149" t="s">
        <v>2629</v>
      </c>
      <c r="W44" s="148" t="s">
        <v>2551</v>
      </c>
      <c r="X4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4249.2</v>
      </c>
      <c r="Y44" s="150">
        <f>Table242[[#This Row],[Total AR (Received)]]/Table242[[#This Row],[PO Amount]]</f>
        <v>0.99981176470588229</v>
      </c>
      <c r="Z44" s="151">
        <f>Table242[[#This Row],[PO Amount]]-Table242[[#This Row],[Total AR (Received)]]</f>
        <v>0.8000000000001819</v>
      </c>
      <c r="AA44" s="3"/>
      <c r="AD44" s="148">
        <v>4249.2</v>
      </c>
      <c r="AF44" s="3"/>
      <c r="BD44" s="154" t="s">
        <v>550</v>
      </c>
      <c r="BF44" s="165">
        <v>0</v>
      </c>
      <c r="BG44" s="287"/>
      <c r="BJ44" s="165"/>
      <c r="BR44" s="156">
        <f t="shared" si="0"/>
        <v>4249.2</v>
      </c>
    </row>
    <row r="45" spans="1:70" s="378" customFormat="1" ht="14.45" hidden="1">
      <c r="A45" s="378" t="s">
        <v>2206</v>
      </c>
      <c r="B45" s="379" t="s">
        <v>29</v>
      </c>
      <c r="C45" s="3"/>
      <c r="D45" s="379">
        <v>4400824141</v>
      </c>
      <c r="E45" s="379">
        <v>1</v>
      </c>
      <c r="F45" s="379" t="s">
        <v>2549</v>
      </c>
      <c r="G45" s="3" t="s">
        <v>2567</v>
      </c>
      <c r="H45" s="3" t="s">
        <v>17</v>
      </c>
      <c r="I45" s="379" t="s">
        <v>2632</v>
      </c>
      <c r="J45" s="395" t="s">
        <v>2633</v>
      </c>
      <c r="K45" s="394"/>
      <c r="L45" s="379">
        <v>1</v>
      </c>
      <c r="M45" s="381"/>
      <c r="N45" s="381">
        <v>1135</v>
      </c>
      <c r="O45" s="381"/>
      <c r="P45" s="381"/>
      <c r="Q45" s="381"/>
      <c r="R45" s="381">
        <f>Table242[[#This Row],[Material Unit Price]]+Table242[[#This Row],[Labor Unit Price]]+Table242[[#This Row],[GC + Manage+ Insur]]</f>
        <v>1135</v>
      </c>
      <c r="S45" s="148">
        <f>Table242[[#This Row],[Total Per Tool]]*Table242[[#This Row],[Tool QTY]]</f>
        <v>1135</v>
      </c>
      <c r="T45" s="148"/>
      <c r="U45" s="149" t="s">
        <v>2629</v>
      </c>
      <c r="V45" s="148"/>
      <c r="W45" s="148" t="s">
        <v>2551</v>
      </c>
      <c r="X45" s="381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45" s="384">
        <f>Table242[[#This Row],[Total AR (Received)]]/Table242[[#This Row],[PO Amount]]</f>
        <v>0</v>
      </c>
      <c r="Z45" s="385">
        <f>Table242[[#This Row],[PO Amount]]-Table242[[#This Row],[Total AR (Received)]]</f>
        <v>1135</v>
      </c>
      <c r="AA45" s="379"/>
      <c r="AB45" s="381"/>
      <c r="AC45" s="381"/>
      <c r="AD45" s="381"/>
      <c r="AE45" s="381"/>
      <c r="AF45" s="379"/>
      <c r="BB45" s="593"/>
      <c r="BC45" s="593"/>
      <c r="BD45" s="594" t="s">
        <v>550</v>
      </c>
      <c r="BE45" s="593"/>
      <c r="BF45" s="593">
        <v>0</v>
      </c>
      <c r="BG45" s="595"/>
      <c r="BH45" s="593"/>
      <c r="BI45" s="593"/>
      <c r="BJ45" s="593"/>
      <c r="BK45" s="593"/>
      <c r="BL45" s="593"/>
      <c r="BM45" s="593"/>
      <c r="BN45" s="593"/>
      <c r="BO45" s="593"/>
      <c r="BP45" s="593"/>
      <c r="BQ45" s="593"/>
      <c r="BR45" s="386">
        <f t="shared" si="0"/>
        <v>0</v>
      </c>
    </row>
    <row r="46" spans="1:70" s="378" customFormat="1" ht="14.45" hidden="1">
      <c r="A46" s="378" t="s">
        <v>2206</v>
      </c>
      <c r="B46" s="379" t="s">
        <v>29</v>
      </c>
      <c r="C46" s="3"/>
      <c r="D46" s="379">
        <v>4400824143</v>
      </c>
      <c r="E46" s="379">
        <v>1</v>
      </c>
      <c r="F46" s="379" t="s">
        <v>2549</v>
      </c>
      <c r="G46" s="3" t="s">
        <v>2567</v>
      </c>
      <c r="H46" s="3" t="s">
        <v>17</v>
      </c>
      <c r="I46" s="379" t="s">
        <v>2634</v>
      </c>
      <c r="J46" s="395" t="s">
        <v>2635</v>
      </c>
      <c r="K46" s="394"/>
      <c r="L46" s="379">
        <v>1</v>
      </c>
      <c r="M46" s="381"/>
      <c r="N46" s="381">
        <v>1135</v>
      </c>
      <c r="O46" s="381"/>
      <c r="P46" s="381"/>
      <c r="Q46" s="381"/>
      <c r="R46" s="381">
        <f>Table242[[#This Row],[Material Unit Price]]+Table242[[#This Row],[Labor Unit Price]]+Table242[[#This Row],[GC + Manage+ Insur]]</f>
        <v>1135</v>
      </c>
      <c r="S46" s="148">
        <f>Table242[[#This Row],[Total Per Tool]]*Table242[[#This Row],[Tool QTY]]</f>
        <v>1135</v>
      </c>
      <c r="T46" s="148"/>
      <c r="U46" s="149" t="s">
        <v>2629</v>
      </c>
      <c r="V46" s="148"/>
      <c r="W46" s="148" t="s">
        <v>2551</v>
      </c>
      <c r="X46" s="381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46" s="384">
        <f>Table242[[#This Row],[Total AR (Received)]]/Table242[[#This Row],[PO Amount]]</f>
        <v>0</v>
      </c>
      <c r="Z46" s="385">
        <f>Table242[[#This Row],[PO Amount]]-Table242[[#This Row],[Total AR (Received)]]</f>
        <v>1135</v>
      </c>
      <c r="AA46" s="379"/>
      <c r="AB46" s="381"/>
      <c r="AC46" s="381"/>
      <c r="AD46" s="381"/>
      <c r="AE46" s="381"/>
      <c r="AF46" s="379"/>
      <c r="BB46" s="593"/>
      <c r="BC46" s="593"/>
      <c r="BD46" s="594"/>
      <c r="BE46" s="593"/>
      <c r="BF46" s="593">
        <v>0</v>
      </c>
      <c r="BG46" s="595"/>
      <c r="BH46" s="593"/>
      <c r="BI46" s="593"/>
      <c r="BJ46" s="593"/>
      <c r="BK46" s="593"/>
      <c r="BL46" s="593"/>
      <c r="BM46" s="593"/>
      <c r="BN46" s="593"/>
      <c r="BO46" s="593"/>
      <c r="BP46" s="593"/>
      <c r="BQ46" s="593"/>
      <c r="BR46" s="386">
        <f t="shared" si="0"/>
        <v>0</v>
      </c>
    </row>
    <row r="47" spans="1:70" ht="14.45" hidden="1">
      <c r="A47" t="s">
        <v>2206</v>
      </c>
      <c r="B47" s="3" t="s">
        <v>29</v>
      </c>
      <c r="C47" s="3"/>
      <c r="D47" s="3">
        <v>4400824144</v>
      </c>
      <c r="E47" s="3">
        <v>1</v>
      </c>
      <c r="F47" s="3" t="s">
        <v>2549</v>
      </c>
      <c r="G47" s="3" t="s">
        <v>2567</v>
      </c>
      <c r="H47" s="3" t="s">
        <v>17</v>
      </c>
      <c r="I47" s="3"/>
      <c r="J47" s="163" t="s">
        <v>2636</v>
      </c>
      <c r="K47" s="164"/>
      <c r="L47" s="3">
        <v>1</v>
      </c>
      <c r="N47" s="148">
        <v>2600</v>
      </c>
      <c r="R47" s="148">
        <f>Table242[[#This Row],[Material Unit Price]]+Table242[[#This Row],[Labor Unit Price]]+Table242[[#This Row],[GC + Manage+ Insur]]</f>
        <v>2600</v>
      </c>
      <c r="S47" s="148">
        <f>Table242[[#This Row],[Total Per Tool]]*Table242[[#This Row],[Tool QTY]]</f>
        <v>2600</v>
      </c>
      <c r="U47" s="149" t="s">
        <v>2629</v>
      </c>
      <c r="W47" s="148" t="s">
        <v>2551</v>
      </c>
      <c r="X4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2600</v>
      </c>
      <c r="Y47" s="150">
        <f>Table242[[#This Row],[Total AR (Received)]]/Table242[[#This Row],[PO Amount]]</f>
        <v>1</v>
      </c>
      <c r="Z47" s="151">
        <f>Table242[[#This Row],[PO Amount]]-Table242[[#This Row],[Total AR (Received)]]</f>
        <v>0</v>
      </c>
      <c r="AA47" s="3"/>
      <c r="AD47" s="148">
        <v>2600</v>
      </c>
      <c r="AF47" s="3"/>
      <c r="BD47" s="154" t="s">
        <v>550</v>
      </c>
      <c r="BF47" s="165">
        <v>0</v>
      </c>
      <c r="BG47" s="287"/>
      <c r="BJ47" s="165"/>
      <c r="BR47" s="156">
        <f t="shared" si="0"/>
        <v>2600</v>
      </c>
    </row>
    <row r="48" spans="1:70" ht="14.45" hidden="1">
      <c r="A48" t="s">
        <v>2206</v>
      </c>
      <c r="B48" s="3" t="s">
        <v>29</v>
      </c>
      <c r="C48" s="3"/>
      <c r="D48" s="3">
        <v>4400824162</v>
      </c>
      <c r="E48" s="3">
        <v>1</v>
      </c>
      <c r="F48" s="3" t="s">
        <v>2549</v>
      </c>
      <c r="G48" s="3" t="s">
        <v>2567</v>
      </c>
      <c r="H48" s="3" t="s">
        <v>17</v>
      </c>
      <c r="I48" s="3" t="s">
        <v>2637</v>
      </c>
      <c r="J48" s="163" t="s">
        <v>2638</v>
      </c>
      <c r="K48" s="164"/>
      <c r="L48" s="3">
        <v>1</v>
      </c>
      <c r="N48" s="148">
        <v>1135</v>
      </c>
      <c r="R48" s="148">
        <f>Table242[[#This Row],[Material Unit Price]]+Table242[[#This Row],[Labor Unit Price]]+Table242[[#This Row],[GC + Manage+ Insur]]</f>
        <v>1135</v>
      </c>
      <c r="S48" s="148">
        <f>Table242[[#This Row],[Total Per Tool]]*Table242[[#This Row],[Tool QTY]]</f>
        <v>1135</v>
      </c>
      <c r="U48" s="149" t="s">
        <v>2629</v>
      </c>
      <c r="W48" s="148" t="s">
        <v>2551</v>
      </c>
      <c r="X4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1135</v>
      </c>
      <c r="Y48" s="150">
        <f>Table242[[#This Row],[Total AR (Received)]]/Table242[[#This Row],[PO Amount]]</f>
        <v>1</v>
      </c>
      <c r="Z48" s="151">
        <f>Table242[[#This Row],[PO Amount]]-Table242[[#This Row],[Total AR (Received)]]</f>
        <v>0</v>
      </c>
      <c r="AA48" s="3"/>
      <c r="AF48" s="3"/>
      <c r="BD48" s="154" t="s">
        <v>550</v>
      </c>
      <c r="BF48" s="171">
        <v>1135</v>
      </c>
      <c r="BG48" s="287"/>
      <c r="BJ48" s="165"/>
      <c r="BR48" s="156">
        <f t="shared" si="0"/>
        <v>1135</v>
      </c>
    </row>
    <row r="49" spans="1:70" ht="14.45" hidden="1">
      <c r="A49" t="s">
        <v>2206</v>
      </c>
      <c r="B49" s="3" t="s">
        <v>29</v>
      </c>
      <c r="C49" s="3"/>
      <c r="D49" s="3">
        <v>4400824164</v>
      </c>
      <c r="E49" s="3">
        <v>1</v>
      </c>
      <c r="F49" s="3" t="s">
        <v>2549</v>
      </c>
      <c r="G49" s="3" t="s">
        <v>2567</v>
      </c>
      <c r="H49" s="3" t="s">
        <v>17</v>
      </c>
      <c r="I49" s="3" t="s">
        <v>1043</v>
      </c>
      <c r="J49" s="163" t="s">
        <v>2639</v>
      </c>
      <c r="K49" s="164"/>
      <c r="L49" s="3">
        <v>1</v>
      </c>
      <c r="N49" s="148">
        <v>1135</v>
      </c>
      <c r="R49" s="148">
        <f>Table242[[#This Row],[Material Unit Price]]+Table242[[#This Row],[Labor Unit Price]]+Table242[[#This Row],[GC + Manage+ Insur]]</f>
        <v>1135</v>
      </c>
      <c r="S49" s="148">
        <f>Table242[[#This Row],[Total Per Tool]]*Table242[[#This Row],[Tool QTY]]</f>
        <v>1135</v>
      </c>
      <c r="U49" s="149" t="s">
        <v>2629</v>
      </c>
      <c r="W49" s="148" t="s">
        <v>2551</v>
      </c>
      <c r="X4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1135</v>
      </c>
      <c r="Y49" s="150">
        <f>Table242[[#This Row],[Total AR (Received)]]/Table242[[#This Row],[PO Amount]]</f>
        <v>1</v>
      </c>
      <c r="Z49" s="151">
        <f>Table242[[#This Row],[PO Amount]]-Table242[[#This Row],[Total AR (Received)]]</f>
        <v>0</v>
      </c>
      <c r="AA49" s="3"/>
      <c r="AF49" s="3"/>
      <c r="BD49" s="154" t="s">
        <v>550</v>
      </c>
      <c r="BF49" s="171">
        <v>1135</v>
      </c>
      <c r="BG49" s="287"/>
      <c r="BJ49" s="165"/>
      <c r="BR49" s="156">
        <f t="shared" si="0"/>
        <v>1135</v>
      </c>
    </row>
    <row r="50" spans="1:70" ht="14.45" hidden="1">
      <c r="A50" t="s">
        <v>2206</v>
      </c>
      <c r="B50" s="3" t="s">
        <v>29</v>
      </c>
      <c r="C50" s="3"/>
      <c r="D50" s="3">
        <v>4400824165</v>
      </c>
      <c r="E50" s="3">
        <v>1</v>
      </c>
      <c r="F50" s="3" t="s">
        <v>2549</v>
      </c>
      <c r="G50" s="3" t="s">
        <v>2567</v>
      </c>
      <c r="H50" s="3" t="s">
        <v>17</v>
      </c>
      <c r="I50" s="3" t="s">
        <v>1045</v>
      </c>
      <c r="J50" s="163" t="s">
        <v>2640</v>
      </c>
      <c r="K50" s="164"/>
      <c r="L50" s="3">
        <v>1</v>
      </c>
      <c r="N50" s="148">
        <v>1135</v>
      </c>
      <c r="R50" s="148">
        <f>Table242[[#This Row],[Material Unit Price]]+Table242[[#This Row],[Labor Unit Price]]+Table242[[#This Row],[GC + Manage+ Insur]]</f>
        <v>1135</v>
      </c>
      <c r="S50" s="148">
        <f>Table242[[#This Row],[Total Per Tool]]*Table242[[#This Row],[Tool QTY]]</f>
        <v>1135</v>
      </c>
      <c r="U50" s="149" t="s">
        <v>2629</v>
      </c>
      <c r="W50" s="148" t="s">
        <v>2551</v>
      </c>
      <c r="X5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1135</v>
      </c>
      <c r="Y50" s="150">
        <f>Table242[[#This Row],[Total AR (Received)]]/Table242[[#This Row],[PO Amount]]</f>
        <v>1</v>
      </c>
      <c r="Z50" s="151">
        <f>Table242[[#This Row],[PO Amount]]-Table242[[#This Row],[Total AR (Received)]]</f>
        <v>0</v>
      </c>
      <c r="AA50" s="3"/>
      <c r="AF50" s="3"/>
      <c r="BD50" s="154" t="s">
        <v>550</v>
      </c>
      <c r="BF50" s="171">
        <v>1135</v>
      </c>
      <c r="BG50" s="287"/>
      <c r="BJ50" s="165"/>
      <c r="BR50" s="156">
        <f t="shared" si="0"/>
        <v>1135</v>
      </c>
    </row>
    <row r="51" spans="1:70" ht="14.45" hidden="1">
      <c r="A51" t="s">
        <v>2206</v>
      </c>
      <c r="B51" s="3" t="s">
        <v>29</v>
      </c>
      <c r="C51" s="3"/>
      <c r="D51" s="3">
        <v>4400824167</v>
      </c>
      <c r="E51" s="3">
        <v>1</v>
      </c>
      <c r="F51" s="3" t="s">
        <v>2549</v>
      </c>
      <c r="G51" s="3" t="s">
        <v>2567</v>
      </c>
      <c r="H51" s="3" t="s">
        <v>17</v>
      </c>
      <c r="I51" s="3" t="s">
        <v>2641</v>
      </c>
      <c r="J51" s="163" t="s">
        <v>2642</v>
      </c>
      <c r="K51" s="164"/>
      <c r="L51" s="3">
        <v>1</v>
      </c>
      <c r="N51" s="148">
        <v>1135</v>
      </c>
      <c r="R51" s="148">
        <f>Table242[[#This Row],[Material Unit Price]]+Table242[[#This Row],[Labor Unit Price]]+Table242[[#This Row],[GC + Manage+ Insur]]</f>
        <v>1135</v>
      </c>
      <c r="S51" s="148">
        <f>Table242[[#This Row],[Total Per Tool]]*Table242[[#This Row],[Tool QTY]]</f>
        <v>1135</v>
      </c>
      <c r="U51" s="149" t="s">
        <v>2629</v>
      </c>
      <c r="W51" s="148" t="s">
        <v>2551</v>
      </c>
      <c r="X5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1135</v>
      </c>
      <c r="Y51" s="150">
        <f>Table242[[#This Row],[Total AR (Received)]]/Table242[[#This Row],[PO Amount]]</f>
        <v>1</v>
      </c>
      <c r="Z51" s="151">
        <f>Table242[[#This Row],[PO Amount]]-Table242[[#This Row],[Total AR (Received)]]</f>
        <v>0</v>
      </c>
      <c r="AA51" s="3"/>
      <c r="AF51" s="3"/>
      <c r="BD51" s="154" t="s">
        <v>550</v>
      </c>
      <c r="BF51" s="171">
        <v>1135</v>
      </c>
      <c r="BG51" s="287"/>
      <c r="BJ51" s="165"/>
      <c r="BR51" s="156">
        <f t="shared" si="0"/>
        <v>1135</v>
      </c>
    </row>
    <row r="52" spans="1:70" ht="14.45" hidden="1">
      <c r="A52" t="s">
        <v>2206</v>
      </c>
      <c r="B52" s="3" t="s">
        <v>29</v>
      </c>
      <c r="C52" s="3"/>
      <c r="D52" s="3">
        <v>4400824169</v>
      </c>
      <c r="E52" s="3">
        <v>1</v>
      </c>
      <c r="F52" s="3" t="s">
        <v>2549</v>
      </c>
      <c r="G52" s="3" t="s">
        <v>2567</v>
      </c>
      <c r="H52" s="3" t="s">
        <v>17</v>
      </c>
      <c r="I52" s="3" t="s">
        <v>2643</v>
      </c>
      <c r="J52" s="163" t="s">
        <v>2644</v>
      </c>
      <c r="K52" s="164"/>
      <c r="L52" s="3">
        <v>1</v>
      </c>
      <c r="N52" s="148">
        <v>1135</v>
      </c>
      <c r="R52" s="148">
        <f>Table242[[#This Row],[Material Unit Price]]+Table242[[#This Row],[Labor Unit Price]]+Table242[[#This Row],[GC + Manage+ Insur]]</f>
        <v>1135</v>
      </c>
      <c r="S52" s="148">
        <f>Table242[[#This Row],[Total Per Tool]]*Table242[[#This Row],[Tool QTY]]</f>
        <v>1135</v>
      </c>
      <c r="U52" s="149" t="s">
        <v>2629</v>
      </c>
      <c r="W52" s="148" t="s">
        <v>2551</v>
      </c>
      <c r="X5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1135</v>
      </c>
      <c r="Y52" s="150">
        <f>Table242[[#This Row],[Total AR (Received)]]/Table242[[#This Row],[PO Amount]]</f>
        <v>1</v>
      </c>
      <c r="Z52" s="151">
        <f>Table242[[#This Row],[PO Amount]]-Table242[[#This Row],[Total AR (Received)]]</f>
        <v>0</v>
      </c>
      <c r="AA52" s="3"/>
      <c r="AD52" s="148">
        <v>1135</v>
      </c>
      <c r="AF52" s="3"/>
      <c r="BD52" s="154" t="s">
        <v>550</v>
      </c>
      <c r="BF52" s="165">
        <v>0</v>
      </c>
      <c r="BG52" s="287"/>
      <c r="BJ52" s="165"/>
      <c r="BR52" s="156">
        <f t="shared" si="0"/>
        <v>1135</v>
      </c>
    </row>
    <row r="53" spans="1:70" ht="14.45" hidden="1">
      <c r="A53" t="s">
        <v>2206</v>
      </c>
      <c r="B53" s="3" t="s">
        <v>29</v>
      </c>
      <c r="C53" s="3"/>
      <c r="D53" s="3">
        <v>4400824191</v>
      </c>
      <c r="E53" s="3">
        <v>1</v>
      </c>
      <c r="F53" s="3" t="s">
        <v>2549</v>
      </c>
      <c r="G53" s="3" t="s">
        <v>2567</v>
      </c>
      <c r="H53" s="3" t="s">
        <v>17</v>
      </c>
      <c r="I53" s="3" t="s">
        <v>2645</v>
      </c>
      <c r="J53" s="163" t="s">
        <v>2646</v>
      </c>
      <c r="K53" s="164"/>
      <c r="L53" s="3">
        <v>1</v>
      </c>
      <c r="N53" s="148">
        <v>1135</v>
      </c>
      <c r="R53" s="148">
        <f>Table242[[#This Row],[Material Unit Price]]+Table242[[#This Row],[Labor Unit Price]]+Table242[[#This Row],[GC + Manage+ Insur]]</f>
        <v>1135</v>
      </c>
      <c r="S53" s="148">
        <f>Table242[[#This Row],[Total Per Tool]]*Table242[[#This Row],[Tool QTY]]</f>
        <v>1135</v>
      </c>
      <c r="U53" s="149" t="s">
        <v>2629</v>
      </c>
      <c r="W53" s="148" t="s">
        <v>2551</v>
      </c>
      <c r="X5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1135</v>
      </c>
      <c r="Y53" s="150">
        <f>Table242[[#This Row],[Total AR (Received)]]/Table242[[#This Row],[PO Amount]]</f>
        <v>1</v>
      </c>
      <c r="Z53" s="151">
        <f>Table242[[#This Row],[PO Amount]]-Table242[[#This Row],[Total AR (Received)]]</f>
        <v>0</v>
      </c>
      <c r="AA53" s="3"/>
      <c r="AF53" s="3"/>
      <c r="BD53" s="154" t="s">
        <v>550</v>
      </c>
      <c r="BF53" s="171">
        <v>1135</v>
      </c>
      <c r="BG53" s="287"/>
      <c r="BJ53" s="165"/>
      <c r="BR53" s="156">
        <f t="shared" si="0"/>
        <v>1135</v>
      </c>
    </row>
    <row r="54" spans="1:70" ht="14.45" hidden="1">
      <c r="A54" t="s">
        <v>2206</v>
      </c>
      <c r="B54" s="3" t="s">
        <v>29</v>
      </c>
      <c r="C54" s="3"/>
      <c r="D54" s="3">
        <v>4400826923</v>
      </c>
      <c r="E54" s="3">
        <v>1</v>
      </c>
      <c r="F54" s="3" t="s">
        <v>2549</v>
      </c>
      <c r="G54" s="3"/>
      <c r="H54" s="3" t="s">
        <v>17</v>
      </c>
      <c r="I54" s="3" t="s">
        <v>2573</v>
      </c>
      <c r="J54" s="163" t="s">
        <v>2647</v>
      </c>
      <c r="K54" s="164"/>
      <c r="L54" s="3">
        <v>1</v>
      </c>
      <c r="N54" s="148">
        <v>2393</v>
      </c>
      <c r="R54" s="148">
        <f>Table242[[#This Row],[Material Unit Price]]+Table242[[#This Row],[Labor Unit Price]]+Table242[[#This Row],[GC + Manage+ Insur]]</f>
        <v>2393</v>
      </c>
      <c r="S54" s="148">
        <f>Table242[[#This Row],[Total Per Tool]]*Table242[[#This Row],[Tool QTY]]</f>
        <v>2393</v>
      </c>
      <c r="U54" s="149"/>
      <c r="X5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2393</v>
      </c>
      <c r="Y54" s="150">
        <f>Table242[[#This Row],[Total AR (Received)]]/Table242[[#This Row],[PO Amount]]</f>
        <v>1</v>
      </c>
      <c r="Z54" s="151">
        <f>Table242[[#This Row],[PO Amount]]-Table242[[#This Row],[Total AR (Received)]]</f>
        <v>0</v>
      </c>
      <c r="AA54" s="3"/>
      <c r="AF54" s="3"/>
      <c r="AX54" s="168">
        <v>2393</v>
      </c>
      <c r="BD54" s="154" t="s">
        <v>550</v>
      </c>
      <c r="BF54" s="165">
        <v>0</v>
      </c>
      <c r="BG54" s="287"/>
      <c r="BJ54" s="165"/>
      <c r="BR54" s="156">
        <f t="shared" si="0"/>
        <v>2393</v>
      </c>
    </row>
    <row r="55" spans="1:70" ht="14.45" hidden="1">
      <c r="A55" t="s">
        <v>2206</v>
      </c>
      <c r="B55" s="3" t="s">
        <v>29</v>
      </c>
      <c r="C55" s="3"/>
      <c r="D55" s="3">
        <v>4400828868</v>
      </c>
      <c r="E55" s="3">
        <v>1</v>
      </c>
      <c r="F55" s="3" t="s">
        <v>2549</v>
      </c>
      <c r="G55" s="3" t="s">
        <v>2567</v>
      </c>
      <c r="H55" s="3" t="s">
        <v>17</v>
      </c>
      <c r="I55" s="3" t="s">
        <v>2630</v>
      </c>
      <c r="J55" s="163" t="s">
        <v>2647</v>
      </c>
      <c r="K55" s="164"/>
      <c r="L55" s="3">
        <v>1</v>
      </c>
      <c r="N55" s="148">
        <v>995.71</v>
      </c>
      <c r="R55" s="148">
        <f>Table242[[#This Row],[Material Unit Price]]+Table242[[#This Row],[Labor Unit Price]]+Table242[[#This Row],[GC + Manage+ Insur]]</f>
        <v>995.71</v>
      </c>
      <c r="S55" s="148">
        <f>Table242[[#This Row],[Total Per Tool]]*Table242[[#This Row],[Tool QTY]]</f>
        <v>995.71</v>
      </c>
      <c r="U55" s="149" t="s">
        <v>2648</v>
      </c>
      <c r="W55" s="148" t="s">
        <v>2551</v>
      </c>
      <c r="X5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995.71</v>
      </c>
      <c r="Y55" s="150">
        <f>Table242[[#This Row],[Total AR (Received)]]/Table242[[#This Row],[PO Amount]]</f>
        <v>1</v>
      </c>
      <c r="Z55" s="151">
        <f>Table242[[#This Row],[PO Amount]]-Table242[[#This Row],[Total AR (Received)]]</f>
        <v>0</v>
      </c>
      <c r="AA55" s="3"/>
      <c r="AD55" s="148">
        <v>995.71</v>
      </c>
      <c r="AF55" s="3"/>
      <c r="BD55" s="154" t="s">
        <v>550</v>
      </c>
      <c r="BF55" s="165">
        <v>0</v>
      </c>
      <c r="BG55" s="287"/>
      <c r="BJ55" s="165"/>
      <c r="BR55" s="156">
        <f t="shared" si="0"/>
        <v>995.71</v>
      </c>
    </row>
    <row r="56" spans="1:70" ht="14.45" hidden="1">
      <c r="A56" t="s">
        <v>2206</v>
      </c>
      <c r="B56" s="3" t="s">
        <v>29</v>
      </c>
      <c r="C56" s="3"/>
      <c r="D56" s="3">
        <v>4400830144</v>
      </c>
      <c r="E56" s="3">
        <v>1</v>
      </c>
      <c r="F56" s="3" t="s">
        <v>2549</v>
      </c>
      <c r="G56" s="3" t="s">
        <v>2567</v>
      </c>
      <c r="H56" s="3" t="s">
        <v>17</v>
      </c>
      <c r="I56" s="3" t="s">
        <v>2649</v>
      </c>
      <c r="J56" s="163" t="s">
        <v>2650</v>
      </c>
      <c r="K56" s="164"/>
      <c r="L56" s="3">
        <v>1</v>
      </c>
      <c r="N56" s="148">
        <v>3698</v>
      </c>
      <c r="R56" s="148">
        <f>Table242[[#This Row],[Material Unit Price]]+Table242[[#This Row],[Labor Unit Price]]+Table242[[#This Row],[GC + Manage+ Insur]]</f>
        <v>3698</v>
      </c>
      <c r="S56" s="148">
        <f>Table242[[#This Row],[Total Per Tool]]*Table242[[#This Row],[Tool QTY]]</f>
        <v>3698</v>
      </c>
      <c r="U56" s="149" t="s">
        <v>1607</v>
      </c>
      <c r="W56" s="148" t="s">
        <v>2551</v>
      </c>
      <c r="X5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3698</v>
      </c>
      <c r="Y56" s="150">
        <f>Table242[[#This Row],[Total AR (Received)]]/Table242[[#This Row],[PO Amount]]</f>
        <v>1</v>
      </c>
      <c r="Z56" s="151">
        <f>Table242[[#This Row],[PO Amount]]-Table242[[#This Row],[Total AR (Received)]]</f>
        <v>0</v>
      </c>
      <c r="AA56" s="3"/>
      <c r="AF56" s="3"/>
      <c r="BD56" s="154" t="s">
        <v>550</v>
      </c>
      <c r="BF56" s="165">
        <v>0</v>
      </c>
      <c r="BG56" s="287"/>
      <c r="BJ56" s="357">
        <v>3698</v>
      </c>
      <c r="BR56" s="156">
        <f t="shared" si="0"/>
        <v>0</v>
      </c>
    </row>
    <row r="57" spans="1:70" ht="14.45" hidden="1">
      <c r="A57" t="s">
        <v>2206</v>
      </c>
      <c r="B57" s="3" t="s">
        <v>29</v>
      </c>
      <c r="C57" s="3"/>
      <c r="D57" s="3">
        <v>4400830150</v>
      </c>
      <c r="E57" s="3"/>
      <c r="F57" s="3" t="s">
        <v>2549</v>
      </c>
      <c r="G57" s="3" t="s">
        <v>2567</v>
      </c>
      <c r="H57" s="3" t="s">
        <v>17</v>
      </c>
      <c r="I57" s="3" t="s">
        <v>2573</v>
      </c>
      <c r="J57" s="163" t="s">
        <v>2651</v>
      </c>
      <c r="K57" s="164"/>
      <c r="L57" s="3">
        <v>1</v>
      </c>
      <c r="N57" s="148">
        <v>2357</v>
      </c>
      <c r="R57" s="148">
        <f>Table242[[#This Row],[Material Unit Price]]+Table242[[#This Row],[Labor Unit Price]]+Table242[[#This Row],[GC + Manage+ Insur]]</f>
        <v>2357</v>
      </c>
      <c r="S57" s="148">
        <f>Table242[[#This Row],[Total Per Tool]]*Table242[[#This Row],[Tool QTY]]</f>
        <v>2357</v>
      </c>
      <c r="U57" s="149" t="s">
        <v>1607</v>
      </c>
      <c r="W57" s="148" t="s">
        <v>2551</v>
      </c>
      <c r="X5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2357</v>
      </c>
      <c r="Y57" s="150">
        <f>Table242[[#This Row],[Total AR (Received)]]/Table242[[#This Row],[PO Amount]]</f>
        <v>1</v>
      </c>
      <c r="Z57" s="151">
        <f>Table242[[#This Row],[PO Amount]]-Table242[[#This Row],[Total AR (Received)]]</f>
        <v>0</v>
      </c>
      <c r="AA57" s="3"/>
      <c r="AD57" s="148">
        <v>2357</v>
      </c>
      <c r="AF57" s="3"/>
      <c r="BD57" s="154" t="s">
        <v>550</v>
      </c>
      <c r="BF57" s="165">
        <v>0</v>
      </c>
      <c r="BG57" s="287"/>
      <c r="BJ57" s="165"/>
      <c r="BR57" s="156">
        <f t="shared" si="0"/>
        <v>2357</v>
      </c>
    </row>
    <row r="58" spans="1:70" ht="14.45" hidden="1">
      <c r="A58" t="s">
        <v>2206</v>
      </c>
      <c r="B58" s="3" t="s">
        <v>29</v>
      </c>
      <c r="C58" s="3"/>
      <c r="D58" s="3">
        <v>4400830518</v>
      </c>
      <c r="E58" s="3"/>
      <c r="F58" s="3" t="s">
        <v>2549</v>
      </c>
      <c r="G58" s="3" t="s">
        <v>2567</v>
      </c>
      <c r="H58" s="3" t="s">
        <v>17</v>
      </c>
      <c r="I58" s="3" t="s">
        <v>2580</v>
      </c>
      <c r="J58" s="163" t="s">
        <v>2652</v>
      </c>
      <c r="K58" s="164"/>
      <c r="L58" s="3">
        <v>1</v>
      </c>
      <c r="N58" s="148">
        <v>6081</v>
      </c>
      <c r="R58" s="148">
        <f>Table242[[#This Row],[Material Unit Price]]+Table242[[#This Row],[Labor Unit Price]]+Table242[[#This Row],[GC + Manage+ Insur]]</f>
        <v>6081</v>
      </c>
      <c r="S58" s="148">
        <f>Table242[[#This Row],[Total Per Tool]]*Table242[[#This Row],[Tool QTY]]</f>
        <v>6081</v>
      </c>
      <c r="U58" s="149" t="s">
        <v>2214</v>
      </c>
      <c r="W58" s="148" t="s">
        <v>2551</v>
      </c>
      <c r="X5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6081</v>
      </c>
      <c r="Y58" s="150">
        <f>Table242[[#This Row],[Total AR (Received)]]/Table242[[#This Row],[PO Amount]]</f>
        <v>1</v>
      </c>
      <c r="Z58" s="151">
        <f>Table242[[#This Row],[PO Amount]]-Table242[[#This Row],[Total AR (Received)]]</f>
        <v>0</v>
      </c>
      <c r="AA58" s="3"/>
      <c r="AD58" s="148">
        <v>6081</v>
      </c>
      <c r="AF58" s="3"/>
      <c r="BD58" s="154" t="s">
        <v>550</v>
      </c>
      <c r="BF58" s="165">
        <v>0</v>
      </c>
      <c r="BG58" s="287"/>
      <c r="BJ58" s="165"/>
      <c r="BR58" s="156">
        <f t="shared" si="0"/>
        <v>6081</v>
      </c>
    </row>
    <row r="59" spans="1:70" ht="14.45" hidden="1">
      <c r="A59" t="s">
        <v>2206</v>
      </c>
      <c r="B59" s="3" t="s">
        <v>29</v>
      </c>
      <c r="C59" s="3"/>
      <c r="D59" s="3">
        <v>4400830748</v>
      </c>
      <c r="E59" s="3"/>
      <c r="F59" s="3" t="s">
        <v>2549</v>
      </c>
      <c r="G59" s="3" t="s">
        <v>2567</v>
      </c>
      <c r="H59" s="3" t="s">
        <v>17</v>
      </c>
      <c r="I59" s="3" t="s">
        <v>2583</v>
      </c>
      <c r="J59" s="163" t="s">
        <v>2653</v>
      </c>
      <c r="K59" s="164"/>
      <c r="L59" s="3">
        <v>1</v>
      </c>
      <c r="N59" s="148">
        <v>1800</v>
      </c>
      <c r="R59" s="148">
        <f>Table242[[#This Row],[Material Unit Price]]+Table242[[#This Row],[Labor Unit Price]]+Table242[[#This Row],[GC + Manage+ Insur]]</f>
        <v>1800</v>
      </c>
      <c r="S59" s="148">
        <f>Table242[[#This Row],[Total Per Tool]]*Table242[[#This Row],[Tool QTY]]</f>
        <v>1800</v>
      </c>
      <c r="U59" s="149" t="s">
        <v>2216</v>
      </c>
      <c r="W59" s="148" t="s">
        <v>2551</v>
      </c>
      <c r="X5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1800</v>
      </c>
      <c r="Y59" s="150">
        <f>Table242[[#This Row],[Total AR (Received)]]/Table242[[#This Row],[PO Amount]]</f>
        <v>1</v>
      </c>
      <c r="Z59" s="151">
        <f>Table242[[#This Row],[PO Amount]]-Table242[[#This Row],[Total AR (Received)]]</f>
        <v>0</v>
      </c>
      <c r="AA59" s="3"/>
      <c r="AD59" s="148">
        <v>1800</v>
      </c>
      <c r="AF59" s="3"/>
      <c r="BD59" s="154" t="s">
        <v>550</v>
      </c>
      <c r="BF59" s="165">
        <v>0</v>
      </c>
      <c r="BG59" s="287"/>
      <c r="BJ59" s="165"/>
      <c r="BR59" s="156">
        <f t="shared" si="0"/>
        <v>1800</v>
      </c>
    </row>
    <row r="60" spans="1:70" ht="14.45" hidden="1">
      <c r="A60" t="s">
        <v>2206</v>
      </c>
      <c r="B60" s="3" t="s">
        <v>29</v>
      </c>
      <c r="C60" s="3"/>
      <c r="D60" s="3">
        <v>4400833162</v>
      </c>
      <c r="E60" s="3">
        <v>1</v>
      </c>
      <c r="F60" s="3" t="s">
        <v>2549</v>
      </c>
      <c r="G60" s="3" t="s">
        <v>2567</v>
      </c>
      <c r="H60" s="3" t="s">
        <v>17</v>
      </c>
      <c r="I60" s="3" t="s">
        <v>2654</v>
      </c>
      <c r="J60" s="163" t="s">
        <v>2655</v>
      </c>
      <c r="K60" s="164"/>
      <c r="L60" s="3">
        <v>1</v>
      </c>
      <c r="N60" s="148">
        <v>3572</v>
      </c>
      <c r="R60" s="148">
        <f>Table242[[#This Row],[Material Unit Price]]+Table242[[#This Row],[Labor Unit Price]]+Table242[[#This Row],[GC + Manage+ Insur]]</f>
        <v>3572</v>
      </c>
      <c r="S60" s="148">
        <f>Table242[[#This Row],[Total Per Tool]]*Table242[[#This Row],[Tool QTY]]</f>
        <v>3572</v>
      </c>
      <c r="U60" s="149" t="s">
        <v>2656</v>
      </c>
      <c r="W60" s="148" t="s">
        <v>2551</v>
      </c>
      <c r="X6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3572</v>
      </c>
      <c r="Y60" s="150">
        <f>Table242[[#This Row],[Total AR (Received)]]/Table242[[#This Row],[PO Amount]]</f>
        <v>1</v>
      </c>
      <c r="Z60" s="151">
        <f>Table242[[#This Row],[PO Amount]]-Table242[[#This Row],[Total AR (Received)]]</f>
        <v>0</v>
      </c>
      <c r="AA60" s="3"/>
      <c r="AF60" s="3"/>
      <c r="BD60" s="154" t="s">
        <v>550</v>
      </c>
      <c r="BF60" s="171">
        <v>3572</v>
      </c>
      <c r="BG60" s="287"/>
      <c r="BJ60" s="165"/>
      <c r="BR60" s="156">
        <f t="shared" si="0"/>
        <v>3572</v>
      </c>
    </row>
    <row r="61" spans="1:70" ht="14.45" hidden="1">
      <c r="A61" t="s">
        <v>2206</v>
      </c>
      <c r="B61" s="3" t="s">
        <v>29</v>
      </c>
      <c r="C61" s="3"/>
      <c r="D61" s="3">
        <v>4400834416</v>
      </c>
      <c r="E61" s="3">
        <v>1</v>
      </c>
      <c r="F61" s="3" t="s">
        <v>2549</v>
      </c>
      <c r="G61" s="3" t="s">
        <v>2567</v>
      </c>
      <c r="H61" s="3" t="s">
        <v>17</v>
      </c>
      <c r="I61" s="3" t="s">
        <v>2585</v>
      </c>
      <c r="J61" s="163" t="s">
        <v>2657</v>
      </c>
      <c r="K61" s="164"/>
      <c r="L61" s="3">
        <v>1</v>
      </c>
      <c r="N61" s="148">
        <v>2850</v>
      </c>
      <c r="R61" s="148">
        <f>Table242[[#This Row],[Material Unit Price]]+Table242[[#This Row],[Labor Unit Price]]+Table242[[#This Row],[GC + Manage+ Insur]]</f>
        <v>2850</v>
      </c>
      <c r="S61" s="148">
        <f>Table242[[#This Row],[Total Per Tool]]*Table242[[#This Row],[Tool QTY]]</f>
        <v>2850</v>
      </c>
      <c r="U61" s="149" t="s">
        <v>2658</v>
      </c>
      <c r="W61" s="148" t="s">
        <v>2551</v>
      </c>
      <c r="X6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2850</v>
      </c>
      <c r="Y61" s="150">
        <f>Table242[[#This Row],[Total AR (Received)]]/Table242[[#This Row],[PO Amount]]</f>
        <v>1</v>
      </c>
      <c r="Z61" s="151">
        <f>Table242[[#This Row],[PO Amount]]-Table242[[#This Row],[Total AR (Received)]]</f>
        <v>0</v>
      </c>
      <c r="AA61" s="3"/>
      <c r="AF61" s="3"/>
      <c r="BD61" s="294">
        <v>2850</v>
      </c>
      <c r="BF61" s="165">
        <v>0</v>
      </c>
      <c r="BG61" s="287"/>
      <c r="BJ61" s="165"/>
      <c r="BR61" s="156">
        <f t="shared" si="0"/>
        <v>2850</v>
      </c>
    </row>
    <row r="62" spans="1:70" ht="14.45" hidden="1">
      <c r="A62" t="s">
        <v>2659</v>
      </c>
      <c r="B62" s="3" t="s">
        <v>29</v>
      </c>
      <c r="C62" s="3"/>
      <c r="D62" s="3">
        <v>4400834624</v>
      </c>
      <c r="E62" s="3">
        <v>1</v>
      </c>
      <c r="F62" s="3" t="s">
        <v>2549</v>
      </c>
      <c r="G62" s="3" t="s">
        <v>2567</v>
      </c>
      <c r="H62" s="3" t="s">
        <v>17</v>
      </c>
      <c r="I62" s="3" t="s">
        <v>2585</v>
      </c>
      <c r="J62" s="163" t="s">
        <v>2660</v>
      </c>
      <c r="K62" s="164"/>
      <c r="L62" s="3">
        <v>1</v>
      </c>
      <c r="N62" s="148">
        <v>2399</v>
      </c>
      <c r="R62" s="148">
        <f>Table242[[#This Row],[Material Unit Price]]+Table242[[#This Row],[Labor Unit Price]]+Table242[[#This Row],[GC + Manage+ Insur]]</f>
        <v>2399</v>
      </c>
      <c r="S62" s="148">
        <f>Table242[[#This Row],[Total Per Tool]]*Table242[[#This Row],[Tool QTY]]</f>
        <v>2399</v>
      </c>
      <c r="U62" s="149" t="s">
        <v>2080</v>
      </c>
      <c r="W62" s="148" t="s">
        <v>2551</v>
      </c>
      <c r="X6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2399</v>
      </c>
      <c r="Y62" s="150">
        <f>Table242[[#This Row],[Total AR (Received)]]/Table242[[#This Row],[PO Amount]]</f>
        <v>1</v>
      </c>
      <c r="Z62" s="151">
        <f>Table242[[#This Row],[PO Amount]]-Table242[[#This Row],[Total AR (Received)]]</f>
        <v>0</v>
      </c>
      <c r="AA62" s="3"/>
      <c r="AF62" s="3"/>
      <c r="BD62" s="172">
        <v>2399</v>
      </c>
      <c r="BF62" s="165">
        <v>0</v>
      </c>
      <c r="BG62" s="287"/>
      <c r="BJ62" s="165"/>
      <c r="BR62" s="156">
        <f t="shared" si="0"/>
        <v>2399</v>
      </c>
    </row>
    <row r="63" spans="1:70" ht="14.45" hidden="1">
      <c r="A63" t="s">
        <v>2659</v>
      </c>
      <c r="B63" s="3" t="s">
        <v>29</v>
      </c>
      <c r="C63" s="3"/>
      <c r="D63" s="3">
        <v>4400837502</v>
      </c>
      <c r="E63" s="3"/>
      <c r="F63" s="3" t="s">
        <v>2549</v>
      </c>
      <c r="G63" s="3" t="s">
        <v>2567</v>
      </c>
      <c r="H63" s="3" t="s">
        <v>17</v>
      </c>
      <c r="I63" s="3" t="s">
        <v>2602</v>
      </c>
      <c r="J63" s="163" t="s">
        <v>2661</v>
      </c>
      <c r="K63" s="164"/>
      <c r="L63" s="3">
        <v>1</v>
      </c>
      <c r="N63" s="148">
        <v>39604</v>
      </c>
      <c r="R63" s="148">
        <f>Table242[[#This Row],[Material Unit Price]]+Table242[[#This Row],[Labor Unit Price]]+Table242[[#This Row],[GC + Manage+ Insur]]</f>
        <v>39604</v>
      </c>
      <c r="S63" s="148">
        <f>Table242[[#This Row],[Total Per Tool]]*Table242[[#This Row],[Tool QTY]]</f>
        <v>39604</v>
      </c>
      <c r="U63" s="149" t="s">
        <v>2662</v>
      </c>
      <c r="W63" s="148" t="s">
        <v>2551</v>
      </c>
      <c r="X6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39604</v>
      </c>
      <c r="Y63" s="150">
        <f>Table242[[#This Row],[Total AR (Received)]]/Table242[[#This Row],[PO Amount]]</f>
        <v>1</v>
      </c>
      <c r="Z63" s="151">
        <f>Table242[[#This Row],[PO Amount]]-Table242[[#This Row],[Total AR (Received)]]</f>
        <v>0</v>
      </c>
      <c r="AA63" s="3"/>
      <c r="AF63" s="3"/>
      <c r="BD63" s="172">
        <v>39604</v>
      </c>
      <c r="BF63" s="165">
        <v>0</v>
      </c>
      <c r="BG63" s="287"/>
      <c r="BJ63" s="165"/>
      <c r="BR63" s="156">
        <f t="shared" si="0"/>
        <v>39604</v>
      </c>
    </row>
    <row r="64" spans="1:70" ht="14.45" hidden="1">
      <c r="A64" t="s">
        <v>2659</v>
      </c>
      <c r="B64" s="3" t="s">
        <v>29</v>
      </c>
      <c r="C64" s="3"/>
      <c r="D64" s="3">
        <v>4400837507</v>
      </c>
      <c r="E64" s="3"/>
      <c r="F64" s="3" t="s">
        <v>2549</v>
      </c>
      <c r="G64" s="3" t="s">
        <v>2567</v>
      </c>
      <c r="H64" s="3" t="s">
        <v>17</v>
      </c>
      <c r="I64" s="3" t="s">
        <v>2632</v>
      </c>
      <c r="J64" s="163" t="s">
        <v>2663</v>
      </c>
      <c r="K64" s="164"/>
      <c r="L64" s="3">
        <v>1</v>
      </c>
      <c r="N64" s="148">
        <v>39604</v>
      </c>
      <c r="R64" s="148">
        <f>Table242[[#This Row],[Material Unit Price]]+Table242[[#This Row],[Labor Unit Price]]+Table242[[#This Row],[GC + Manage+ Insur]]</f>
        <v>39604</v>
      </c>
      <c r="S64" s="148">
        <f>Table242[[#This Row],[Total Per Tool]]*Table242[[#This Row],[Tool QTY]]</f>
        <v>39604</v>
      </c>
      <c r="U64" s="149" t="s">
        <v>2662</v>
      </c>
      <c r="W64" s="148" t="s">
        <v>2551</v>
      </c>
      <c r="X6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39604</v>
      </c>
      <c r="Y64" s="150">
        <f>Table242[[#This Row],[Total AR (Received)]]/Table242[[#This Row],[PO Amount]]</f>
        <v>1</v>
      </c>
      <c r="Z64" s="151">
        <f>Table242[[#This Row],[PO Amount]]-Table242[[#This Row],[Total AR (Received)]]</f>
        <v>0</v>
      </c>
      <c r="AA64" s="3"/>
      <c r="AF64" s="3"/>
      <c r="BD64" s="172">
        <v>39604</v>
      </c>
      <c r="BF64" s="165">
        <v>0</v>
      </c>
      <c r="BG64" s="287"/>
      <c r="BJ64" s="165"/>
      <c r="BR64" s="156">
        <f t="shared" si="0"/>
        <v>39604</v>
      </c>
    </row>
    <row r="65" spans="1:70" ht="14.45" hidden="1">
      <c r="A65" t="s">
        <v>2659</v>
      </c>
      <c r="B65" s="3" t="s">
        <v>29</v>
      </c>
      <c r="C65" s="3"/>
      <c r="D65" s="3">
        <v>4400837508</v>
      </c>
      <c r="E65" s="3"/>
      <c r="F65" s="3" t="s">
        <v>2549</v>
      </c>
      <c r="G65" s="3" t="s">
        <v>2567</v>
      </c>
      <c r="H65" s="3" t="s">
        <v>17</v>
      </c>
      <c r="I65" s="3" t="s">
        <v>2664</v>
      </c>
      <c r="J65" s="163" t="s">
        <v>2665</v>
      </c>
      <c r="K65" s="164"/>
      <c r="L65" s="3">
        <v>1</v>
      </c>
      <c r="N65" s="148">
        <v>38469</v>
      </c>
      <c r="R65" s="148">
        <f>Table242[[#This Row],[Material Unit Price]]+Table242[[#This Row],[Labor Unit Price]]+Table242[[#This Row],[GC + Manage+ Insur]]</f>
        <v>38469</v>
      </c>
      <c r="S65" s="148">
        <f>Table242[[#This Row],[Total Per Tool]]*Table242[[#This Row],[Tool QTY]]</f>
        <v>38469</v>
      </c>
      <c r="U65" s="149" t="s">
        <v>2662</v>
      </c>
      <c r="W65" s="148" t="s">
        <v>2551</v>
      </c>
      <c r="X6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38469</v>
      </c>
      <c r="Y65" s="150">
        <f>Table242[[#This Row],[Total AR (Received)]]/Table242[[#This Row],[PO Amount]]</f>
        <v>1</v>
      </c>
      <c r="Z65" s="151">
        <f>Table242[[#This Row],[PO Amount]]-Table242[[#This Row],[Total AR (Received)]]</f>
        <v>0</v>
      </c>
      <c r="AA65" s="3"/>
      <c r="AF65" s="3"/>
      <c r="AZ65" s="174">
        <v>38469</v>
      </c>
      <c r="BD65" s="154" t="s">
        <v>550</v>
      </c>
      <c r="BF65" s="165">
        <v>0</v>
      </c>
      <c r="BG65" s="287"/>
      <c r="BJ65" s="165"/>
      <c r="BR65" s="156">
        <f t="shared" si="0"/>
        <v>38469</v>
      </c>
    </row>
    <row r="66" spans="1:70" ht="14.45" hidden="1">
      <c r="A66" t="s">
        <v>2659</v>
      </c>
      <c r="B66" s="3" t="s">
        <v>29</v>
      </c>
      <c r="C66" s="3"/>
      <c r="D66" s="3">
        <v>4400837524</v>
      </c>
      <c r="E66" s="3"/>
      <c r="F66" s="3" t="s">
        <v>2549</v>
      </c>
      <c r="G66" s="3" t="s">
        <v>2567</v>
      </c>
      <c r="H66" s="3" t="s">
        <v>17</v>
      </c>
      <c r="I66" s="3" t="s">
        <v>2621</v>
      </c>
      <c r="J66" s="163" t="s">
        <v>2666</v>
      </c>
      <c r="K66" s="164"/>
      <c r="L66" s="3">
        <v>1</v>
      </c>
      <c r="N66" s="148">
        <v>75453</v>
      </c>
      <c r="R66" s="148">
        <f>Table242[[#This Row],[Material Unit Price]]+Table242[[#This Row],[Labor Unit Price]]+Table242[[#This Row],[GC + Manage+ Insur]]</f>
        <v>75453</v>
      </c>
      <c r="S66" s="148">
        <f>Table242[[#This Row],[Total Per Tool]]*Table242[[#This Row],[Tool QTY]]</f>
        <v>75453</v>
      </c>
      <c r="U66" s="149" t="s">
        <v>2662</v>
      </c>
      <c r="W66" s="148" t="s">
        <v>2551</v>
      </c>
      <c r="X6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75453</v>
      </c>
      <c r="Y66" s="150">
        <f>Table242[[#This Row],[Total AR (Received)]]/Table242[[#This Row],[PO Amount]]</f>
        <v>1</v>
      </c>
      <c r="Z66" s="151">
        <f>Table242[[#This Row],[PO Amount]]-Table242[[#This Row],[Total AR (Received)]]</f>
        <v>0</v>
      </c>
      <c r="AA66" s="3"/>
      <c r="AF66" s="3"/>
      <c r="BD66" s="172">
        <v>75453</v>
      </c>
      <c r="BF66" s="165">
        <v>0</v>
      </c>
      <c r="BG66" s="287"/>
      <c r="BJ66" s="165"/>
      <c r="BR66" s="156">
        <f t="shared" ref="BR66:BR129" si="1">SUM(AD66:BH66)</f>
        <v>75453</v>
      </c>
    </row>
    <row r="67" spans="1:70" ht="14.45" hidden="1">
      <c r="A67" t="s">
        <v>2659</v>
      </c>
      <c r="B67" s="3" t="s">
        <v>29</v>
      </c>
      <c r="C67" s="3"/>
      <c r="D67" s="3">
        <v>4400837525</v>
      </c>
      <c r="E67" s="3"/>
      <c r="F67" s="3" t="s">
        <v>2549</v>
      </c>
      <c r="G67" s="3" t="s">
        <v>2567</v>
      </c>
      <c r="H67" s="3" t="s">
        <v>17</v>
      </c>
      <c r="I67" s="3" t="s">
        <v>2667</v>
      </c>
      <c r="J67" s="163" t="s">
        <v>2668</v>
      </c>
      <c r="K67" s="164"/>
      <c r="L67" s="3">
        <v>1</v>
      </c>
      <c r="N67" s="148">
        <v>75453</v>
      </c>
      <c r="R67" s="148">
        <f>Table242[[#This Row],[Material Unit Price]]+Table242[[#This Row],[Labor Unit Price]]+Table242[[#This Row],[GC + Manage+ Insur]]</f>
        <v>75453</v>
      </c>
      <c r="S67" s="148">
        <f>Table242[[#This Row],[Total Per Tool]]*Table242[[#This Row],[Tool QTY]]</f>
        <v>75453</v>
      </c>
      <c r="U67" s="149" t="s">
        <v>2662</v>
      </c>
      <c r="W67" s="148" t="s">
        <v>2551</v>
      </c>
      <c r="X6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75453</v>
      </c>
      <c r="Y67" s="150">
        <f>Table242[[#This Row],[Total AR (Received)]]/Table242[[#This Row],[PO Amount]]</f>
        <v>1</v>
      </c>
      <c r="Z67" s="151">
        <f>Table242[[#This Row],[PO Amount]]-Table242[[#This Row],[Total AR (Received)]]</f>
        <v>0</v>
      </c>
      <c r="AA67" s="3"/>
      <c r="AF67" s="3"/>
      <c r="BD67" s="154" t="s">
        <v>550</v>
      </c>
      <c r="BF67" s="171">
        <v>75453</v>
      </c>
      <c r="BG67" s="287"/>
      <c r="BJ67" s="165"/>
      <c r="BR67" s="156">
        <f t="shared" si="1"/>
        <v>75453</v>
      </c>
    </row>
    <row r="68" spans="1:70" ht="14.45" hidden="1">
      <c r="A68" t="s">
        <v>2659</v>
      </c>
      <c r="B68" s="3" t="s">
        <v>29</v>
      </c>
      <c r="C68" s="3"/>
      <c r="D68" s="3">
        <v>4400837526</v>
      </c>
      <c r="E68" s="3"/>
      <c r="F68" s="3" t="s">
        <v>2549</v>
      </c>
      <c r="G68" s="3" t="s">
        <v>2567</v>
      </c>
      <c r="H68" s="3" t="s">
        <v>17</v>
      </c>
      <c r="I68" s="3" t="s">
        <v>2669</v>
      </c>
      <c r="J68" s="163" t="s">
        <v>2670</v>
      </c>
      <c r="K68" s="147"/>
      <c r="L68" s="3">
        <v>1</v>
      </c>
      <c r="M68" s="151"/>
      <c r="N68" s="151">
        <v>75453</v>
      </c>
      <c r="O68" s="151"/>
      <c r="P68" s="151"/>
      <c r="Q68" s="151"/>
      <c r="R68" s="151">
        <f>Table242[[#This Row],[Material Unit Price]]+Table242[[#This Row],[Labor Unit Price]]+Table242[[#This Row],[GC + Manage+ Insur]]</f>
        <v>75453</v>
      </c>
      <c r="S68" s="151">
        <f>Table242[[#This Row],[Total Per Tool]]*Table242[[#This Row],[Tool QTY]]</f>
        <v>75453</v>
      </c>
      <c r="T68" s="151"/>
      <c r="U68" s="175" t="s">
        <v>2662</v>
      </c>
      <c r="V68" s="151"/>
      <c r="W68" s="151" t="s">
        <v>2551</v>
      </c>
      <c r="X68" s="151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75453</v>
      </c>
      <c r="Y68" s="152">
        <f>Table242[[#This Row],[Total AR (Received)]]/Table242[[#This Row],[PO Amount]]</f>
        <v>1</v>
      </c>
      <c r="Z68" s="151">
        <f>Table242[[#This Row],[PO Amount]]-Table242[[#This Row],[Total AR (Received)]]</f>
        <v>0</v>
      </c>
      <c r="AA68" s="3"/>
      <c r="AB68" s="151"/>
      <c r="AC68" s="151"/>
      <c r="AD68" s="151"/>
      <c r="AE68" s="151"/>
      <c r="AF68" s="3"/>
      <c r="BD68" s="154" t="s">
        <v>550</v>
      </c>
      <c r="BF68" s="171">
        <v>75453</v>
      </c>
      <c r="BG68" s="287"/>
      <c r="BJ68" s="165"/>
      <c r="BR68" s="156">
        <f t="shared" si="1"/>
        <v>75453</v>
      </c>
    </row>
    <row r="69" spans="1:70" ht="14.45" hidden="1">
      <c r="A69" t="s">
        <v>2659</v>
      </c>
      <c r="B69" s="3" t="s">
        <v>29</v>
      </c>
      <c r="C69" s="3"/>
      <c r="D69" s="3">
        <v>4400837527</v>
      </c>
      <c r="E69" s="3"/>
      <c r="F69" s="3" t="s">
        <v>2549</v>
      </c>
      <c r="G69" s="3" t="s">
        <v>2567</v>
      </c>
      <c r="H69" s="3" t="s">
        <v>17</v>
      </c>
      <c r="I69" s="3" t="s">
        <v>2624</v>
      </c>
      <c r="J69" s="163" t="s">
        <v>2671</v>
      </c>
      <c r="K69" s="164"/>
      <c r="L69" s="3">
        <v>1</v>
      </c>
      <c r="N69" s="148">
        <v>75453</v>
      </c>
      <c r="R69" s="148">
        <f>Table242[[#This Row],[Material Unit Price]]+Table242[[#This Row],[Labor Unit Price]]+Table242[[#This Row],[GC + Manage+ Insur]]</f>
        <v>75453</v>
      </c>
      <c r="S69" s="148">
        <f>Table242[[#This Row],[Total Per Tool]]*Table242[[#This Row],[Tool QTY]]</f>
        <v>75453</v>
      </c>
      <c r="U69" s="149" t="s">
        <v>2662</v>
      </c>
      <c r="W69" s="148" t="s">
        <v>2551</v>
      </c>
      <c r="X6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75453</v>
      </c>
      <c r="Y69" s="150">
        <f>Table242[[#This Row],[Total AR (Received)]]/Table242[[#This Row],[PO Amount]]</f>
        <v>1</v>
      </c>
      <c r="Z69" s="151">
        <f>Table242[[#This Row],[PO Amount]]-Table242[[#This Row],[Total AR (Received)]]</f>
        <v>0</v>
      </c>
      <c r="AA69" s="3"/>
      <c r="AF69" s="3"/>
      <c r="BD69" s="172">
        <v>75453</v>
      </c>
      <c r="BF69" s="165">
        <v>0</v>
      </c>
      <c r="BG69" s="287"/>
      <c r="BJ69" s="165"/>
      <c r="BR69" s="156">
        <f t="shared" si="1"/>
        <v>75453</v>
      </c>
    </row>
    <row r="70" spans="1:70" ht="14.45" hidden="1">
      <c r="A70" t="s">
        <v>2659</v>
      </c>
      <c r="B70" s="3" t="s">
        <v>29</v>
      </c>
      <c r="C70" s="3"/>
      <c r="D70" s="3">
        <v>4400837529</v>
      </c>
      <c r="E70" s="3"/>
      <c r="F70" s="3" t="s">
        <v>2549</v>
      </c>
      <c r="G70" s="3" t="s">
        <v>2567</v>
      </c>
      <c r="H70" s="3" t="s">
        <v>17</v>
      </c>
      <c r="I70" s="3" t="s">
        <v>2617</v>
      </c>
      <c r="J70" s="163" t="s">
        <v>2672</v>
      </c>
      <c r="K70" s="164"/>
      <c r="L70" s="3">
        <v>1</v>
      </c>
      <c r="N70" s="148">
        <v>75453</v>
      </c>
      <c r="R70" s="148">
        <f>Table242[[#This Row],[Material Unit Price]]+Table242[[#This Row],[Labor Unit Price]]+Table242[[#This Row],[GC + Manage+ Insur]]</f>
        <v>75453</v>
      </c>
      <c r="S70" s="148">
        <f>Table242[[#This Row],[Total Per Tool]]*Table242[[#This Row],[Tool QTY]]</f>
        <v>75453</v>
      </c>
      <c r="U70" s="149" t="s">
        <v>2662</v>
      </c>
      <c r="W70" s="148" t="s">
        <v>2551</v>
      </c>
      <c r="X7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75453</v>
      </c>
      <c r="Y70" s="150">
        <f>Table242[[#This Row],[Total AR (Received)]]/Table242[[#This Row],[PO Amount]]</f>
        <v>1</v>
      </c>
      <c r="Z70" s="151">
        <f>Table242[[#This Row],[PO Amount]]-Table242[[#This Row],[Total AR (Received)]]</f>
        <v>0</v>
      </c>
      <c r="AA70" s="3"/>
      <c r="AF70" s="3"/>
      <c r="BD70" s="172">
        <v>75453</v>
      </c>
      <c r="BF70" s="165">
        <v>0</v>
      </c>
      <c r="BG70" s="287"/>
      <c r="BJ70" s="165"/>
      <c r="BR70" s="156">
        <f t="shared" si="1"/>
        <v>75453</v>
      </c>
    </row>
    <row r="71" spans="1:70" ht="14.45" hidden="1">
      <c r="A71" t="s">
        <v>2659</v>
      </c>
      <c r="B71" s="3" t="s">
        <v>29</v>
      </c>
      <c r="C71" s="3"/>
      <c r="D71" s="3">
        <v>4400837542</v>
      </c>
      <c r="E71" s="3"/>
      <c r="F71" s="3" t="s">
        <v>2549</v>
      </c>
      <c r="G71" s="3" t="s">
        <v>2567</v>
      </c>
      <c r="H71" s="3" t="s">
        <v>17</v>
      </c>
      <c r="I71" s="3" t="s">
        <v>2673</v>
      </c>
      <c r="J71" s="163" t="s">
        <v>2674</v>
      </c>
      <c r="K71" s="164"/>
      <c r="L71" s="3">
        <v>1</v>
      </c>
      <c r="N71" s="148">
        <v>75453</v>
      </c>
      <c r="R71" s="148">
        <f>Table242[[#This Row],[Material Unit Price]]+Table242[[#This Row],[Labor Unit Price]]+Table242[[#This Row],[GC + Manage+ Insur]]</f>
        <v>75453</v>
      </c>
      <c r="S71" s="148">
        <f>Table242[[#This Row],[Total Per Tool]]*Table242[[#This Row],[Tool QTY]]</f>
        <v>75453</v>
      </c>
      <c r="U71" s="149" t="s">
        <v>2662</v>
      </c>
      <c r="W71" s="148" t="s">
        <v>2551</v>
      </c>
      <c r="X7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75453</v>
      </c>
      <c r="Y71" s="150">
        <f>Table242[[#This Row],[Total AR (Received)]]/Table242[[#This Row],[PO Amount]]</f>
        <v>1</v>
      </c>
      <c r="Z71" s="151">
        <f>Table242[[#This Row],[PO Amount]]-Table242[[#This Row],[Total AR (Received)]]</f>
        <v>0</v>
      </c>
      <c r="AA71" s="3"/>
      <c r="AF71" s="3"/>
      <c r="BD71" s="172">
        <v>75453</v>
      </c>
      <c r="BF71" s="165">
        <v>0</v>
      </c>
      <c r="BG71" s="287"/>
      <c r="BJ71" s="165"/>
      <c r="BR71" s="156">
        <f t="shared" si="1"/>
        <v>75453</v>
      </c>
    </row>
    <row r="72" spans="1:70" ht="14.45" hidden="1">
      <c r="A72" t="s">
        <v>2659</v>
      </c>
      <c r="B72" s="3" t="s">
        <v>29</v>
      </c>
      <c r="C72" s="3"/>
      <c r="D72" s="3">
        <v>4400837575</v>
      </c>
      <c r="E72" s="3">
        <v>1</v>
      </c>
      <c r="F72" s="3" t="s">
        <v>2549</v>
      </c>
      <c r="G72" s="3"/>
      <c r="H72" s="3" t="s">
        <v>17</v>
      </c>
      <c r="I72" s="3" t="s">
        <v>2585</v>
      </c>
      <c r="J72" s="163" t="s">
        <v>2675</v>
      </c>
      <c r="K72" s="164"/>
      <c r="L72" s="3">
        <v>1</v>
      </c>
      <c r="N72" s="148">
        <v>25371</v>
      </c>
      <c r="R72" s="148">
        <f>Table242[[#This Row],[Material Unit Price]]+Table242[[#This Row],[Labor Unit Price]]+Table242[[#This Row],[GC + Manage+ Insur]]</f>
        <v>25371</v>
      </c>
      <c r="S72" s="148">
        <f>Table242[[#This Row],[Total Per Tool]]*Table242[[#This Row],[Tool QTY]]</f>
        <v>25371</v>
      </c>
      <c r="U72" s="149" t="s">
        <v>2676</v>
      </c>
      <c r="X7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25371</v>
      </c>
      <c r="Y72" s="150">
        <f>Table242[[#This Row],[Total AR (Received)]]/Table242[[#This Row],[PO Amount]]</f>
        <v>1</v>
      </c>
      <c r="Z72" s="151">
        <f>Table242[[#This Row],[PO Amount]]-Table242[[#This Row],[Total AR (Received)]]</f>
        <v>0</v>
      </c>
      <c r="AA72" s="3"/>
      <c r="AF72" s="3"/>
      <c r="BD72" s="154" t="s">
        <v>550</v>
      </c>
      <c r="BF72" s="171">
        <v>25371</v>
      </c>
      <c r="BG72" s="287"/>
      <c r="BJ72" s="165"/>
      <c r="BR72" s="156">
        <f t="shared" si="1"/>
        <v>25371</v>
      </c>
    </row>
    <row r="73" spans="1:70" ht="14.45" hidden="1">
      <c r="A73" t="s">
        <v>2659</v>
      </c>
      <c r="B73" s="3" t="s">
        <v>29</v>
      </c>
      <c r="C73" s="3"/>
      <c r="D73" s="3">
        <v>4400842132</v>
      </c>
      <c r="E73" s="3"/>
      <c r="F73" s="3" t="s">
        <v>2549</v>
      </c>
      <c r="G73" s="3"/>
      <c r="H73" s="3" t="s">
        <v>17</v>
      </c>
      <c r="I73" s="3" t="s">
        <v>2677</v>
      </c>
      <c r="J73" s="163" t="s">
        <v>2678</v>
      </c>
      <c r="K73" s="164"/>
      <c r="L73" s="3">
        <v>1</v>
      </c>
      <c r="N73" s="148">
        <v>1135</v>
      </c>
      <c r="R73" s="148">
        <f>Table242[[#This Row],[Material Unit Price]]+Table242[[#This Row],[Labor Unit Price]]+Table242[[#This Row],[GC + Manage+ Insur]]</f>
        <v>1135</v>
      </c>
      <c r="S73" s="148">
        <f>Table242[[#This Row],[Total Per Tool]]*Table242[[#This Row],[Tool QTY]]</f>
        <v>1135</v>
      </c>
      <c r="U73" s="149" t="s">
        <v>2679</v>
      </c>
      <c r="X7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1135</v>
      </c>
      <c r="Y73" s="150">
        <f>Table242[[#This Row],[Total AR (Received)]]/Table242[[#This Row],[PO Amount]]</f>
        <v>1</v>
      </c>
      <c r="Z73" s="151">
        <f>Table242[[#This Row],[PO Amount]]-Table242[[#This Row],[Total AR (Received)]]</f>
        <v>0</v>
      </c>
      <c r="AA73" s="3"/>
      <c r="AF73" s="3"/>
      <c r="BD73" s="154" t="s">
        <v>550</v>
      </c>
      <c r="BF73" s="165">
        <v>0</v>
      </c>
      <c r="BG73" s="287"/>
      <c r="BH73" s="171">
        <v>1135</v>
      </c>
      <c r="BJ73" s="165"/>
      <c r="BR73" s="156">
        <f t="shared" si="1"/>
        <v>1135</v>
      </c>
    </row>
    <row r="74" spans="1:70" ht="14.45" hidden="1">
      <c r="A74" t="s">
        <v>2659</v>
      </c>
      <c r="B74" s="3" t="s">
        <v>29</v>
      </c>
      <c r="C74" s="3"/>
      <c r="D74" s="3">
        <v>4400842335</v>
      </c>
      <c r="E74" s="3"/>
      <c r="F74" s="3" t="s">
        <v>2549</v>
      </c>
      <c r="G74" s="3"/>
      <c r="H74" s="3" t="s">
        <v>17</v>
      </c>
      <c r="I74" s="3" t="s">
        <v>2680</v>
      </c>
      <c r="J74" s="163" t="s">
        <v>2681</v>
      </c>
      <c r="K74" s="164"/>
      <c r="L74" s="3">
        <v>1</v>
      </c>
      <c r="N74" s="148">
        <v>760</v>
      </c>
      <c r="R74" s="148">
        <f>Table242[[#This Row],[Material Unit Price]]+Table242[[#This Row],[Labor Unit Price]]+Table242[[#This Row],[GC + Manage+ Insur]]</f>
        <v>760</v>
      </c>
      <c r="S74" s="148">
        <f>Table242[[#This Row],[Total Per Tool]]*Table242[[#This Row],[Tool QTY]]</f>
        <v>760</v>
      </c>
      <c r="U74" s="149" t="s">
        <v>2682</v>
      </c>
      <c r="X7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760</v>
      </c>
      <c r="Y74" s="150">
        <f>Table242[[#This Row],[Total AR (Received)]]/Table242[[#This Row],[PO Amount]]</f>
        <v>1</v>
      </c>
      <c r="Z74" s="151">
        <f>Table242[[#This Row],[PO Amount]]-Table242[[#This Row],[Total AR (Received)]]</f>
        <v>0</v>
      </c>
      <c r="AA74" s="3"/>
      <c r="AF74" s="3"/>
      <c r="BD74" s="172">
        <v>760</v>
      </c>
      <c r="BF74" s="165">
        <v>0</v>
      </c>
      <c r="BG74" s="287"/>
      <c r="BJ74" s="165"/>
      <c r="BR74" s="156">
        <f t="shared" si="1"/>
        <v>760</v>
      </c>
    </row>
    <row r="75" spans="1:70" ht="14.45" hidden="1">
      <c r="A75" t="s">
        <v>2659</v>
      </c>
      <c r="B75" s="3" t="s">
        <v>29</v>
      </c>
      <c r="C75" s="3"/>
      <c r="D75" s="3">
        <v>4400842745</v>
      </c>
      <c r="E75" s="3"/>
      <c r="F75" s="3" t="s">
        <v>2549</v>
      </c>
      <c r="G75" s="3"/>
      <c r="H75" s="3" t="s">
        <v>17</v>
      </c>
      <c r="I75" s="3" t="s">
        <v>2683</v>
      </c>
      <c r="J75" s="163" t="s">
        <v>2684</v>
      </c>
      <c r="K75" s="164"/>
      <c r="L75" s="3">
        <v>1</v>
      </c>
      <c r="N75" s="148">
        <v>75453</v>
      </c>
      <c r="R75" s="148">
        <f>Table242[[#This Row],[Material Unit Price]]+Table242[[#This Row],[Labor Unit Price]]+Table242[[#This Row],[GC + Manage+ Insur]]</f>
        <v>75453</v>
      </c>
      <c r="S75" s="148">
        <f>Table242[[#This Row],[Total Per Tool]]*Table242[[#This Row],[Tool QTY]]</f>
        <v>75453</v>
      </c>
      <c r="U75" s="149" t="s">
        <v>2682</v>
      </c>
      <c r="X7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75453</v>
      </c>
      <c r="Y75" s="150">
        <f>Table242[[#This Row],[Total AR (Received)]]/Table242[[#This Row],[PO Amount]]</f>
        <v>1</v>
      </c>
      <c r="Z75" s="151">
        <f>Table242[[#This Row],[PO Amount]]-Table242[[#This Row],[Total AR (Received)]]</f>
        <v>0</v>
      </c>
      <c r="AA75" s="3"/>
      <c r="AF75" s="3"/>
      <c r="BD75" s="154" t="s">
        <v>550</v>
      </c>
      <c r="BF75" s="171">
        <v>75453</v>
      </c>
      <c r="BG75" s="287"/>
      <c r="BJ75" s="165"/>
      <c r="BR75" s="156">
        <f t="shared" si="1"/>
        <v>75453</v>
      </c>
    </row>
    <row r="76" spans="1:70" ht="14.45" hidden="1">
      <c r="A76" t="s">
        <v>2659</v>
      </c>
      <c r="B76" s="3" t="s">
        <v>29</v>
      </c>
      <c r="C76" s="3"/>
      <c r="D76" s="3">
        <v>4400842747</v>
      </c>
      <c r="E76" s="3"/>
      <c r="F76" s="3" t="s">
        <v>2549</v>
      </c>
      <c r="G76" s="3"/>
      <c r="H76" s="3" t="s">
        <v>17</v>
      </c>
      <c r="I76" s="3" t="s">
        <v>2685</v>
      </c>
      <c r="J76" s="163" t="s">
        <v>2686</v>
      </c>
      <c r="K76" s="164"/>
      <c r="L76" s="3">
        <v>1</v>
      </c>
      <c r="N76" s="148">
        <v>75453</v>
      </c>
      <c r="R76" s="148">
        <f>Table242[[#This Row],[Material Unit Price]]+Table242[[#This Row],[Labor Unit Price]]+Table242[[#This Row],[GC + Manage+ Insur]]</f>
        <v>75453</v>
      </c>
      <c r="S76" s="148">
        <f>Table242[[#This Row],[Total Per Tool]]*Table242[[#This Row],[Tool QTY]]</f>
        <v>75453</v>
      </c>
      <c r="U76" s="149" t="s">
        <v>2682</v>
      </c>
      <c r="X7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75453</v>
      </c>
      <c r="Y76" s="150">
        <f>Table242[[#This Row],[Total AR (Received)]]/Table242[[#This Row],[PO Amount]]</f>
        <v>1</v>
      </c>
      <c r="Z76" s="151">
        <f>Table242[[#This Row],[PO Amount]]-Table242[[#This Row],[Total AR (Received)]]</f>
        <v>0</v>
      </c>
      <c r="AA76" s="3"/>
      <c r="AF76" s="3"/>
      <c r="BD76" s="154" t="s">
        <v>550</v>
      </c>
      <c r="BF76" s="171">
        <v>75453</v>
      </c>
      <c r="BG76" s="287"/>
      <c r="BJ76" s="165"/>
      <c r="BR76" s="156">
        <f t="shared" si="1"/>
        <v>75453</v>
      </c>
    </row>
    <row r="77" spans="1:70" ht="14.45" hidden="1">
      <c r="A77" t="s">
        <v>2659</v>
      </c>
      <c r="B77" s="3" t="s">
        <v>29</v>
      </c>
      <c r="C77" s="3"/>
      <c r="D77" s="3">
        <v>4400842757</v>
      </c>
      <c r="E77" s="3"/>
      <c r="F77" s="3" t="s">
        <v>2549</v>
      </c>
      <c r="G77" s="3"/>
      <c r="H77" s="3" t="s">
        <v>17</v>
      </c>
      <c r="I77" s="3" t="s">
        <v>2687</v>
      </c>
      <c r="J77" s="163" t="s">
        <v>2688</v>
      </c>
      <c r="K77" s="164"/>
      <c r="L77" s="3">
        <v>1</v>
      </c>
      <c r="N77" s="148">
        <v>75453</v>
      </c>
      <c r="R77" s="148">
        <f>Table242[[#This Row],[Material Unit Price]]+Table242[[#This Row],[Labor Unit Price]]+Table242[[#This Row],[GC + Manage+ Insur]]</f>
        <v>75453</v>
      </c>
      <c r="S77" s="148">
        <f>Table242[[#This Row],[Total Per Tool]]*Table242[[#This Row],[Tool QTY]]</f>
        <v>75453</v>
      </c>
      <c r="U77" s="149" t="s">
        <v>2682</v>
      </c>
      <c r="X7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75453</v>
      </c>
      <c r="Y77" s="150">
        <f>Table242[[#This Row],[Total AR (Received)]]/Table242[[#This Row],[PO Amount]]</f>
        <v>1</v>
      </c>
      <c r="Z77" s="151">
        <f>Table242[[#This Row],[PO Amount]]-Table242[[#This Row],[Total AR (Received)]]</f>
        <v>0</v>
      </c>
      <c r="AA77" s="3"/>
      <c r="AF77" s="3"/>
      <c r="BD77" s="154" t="s">
        <v>550</v>
      </c>
      <c r="BF77" s="171">
        <v>75453</v>
      </c>
      <c r="BG77" s="287"/>
      <c r="BJ77" s="165"/>
      <c r="BR77" s="156">
        <f t="shared" si="1"/>
        <v>75453</v>
      </c>
    </row>
    <row r="78" spans="1:70" ht="14.45" hidden="1">
      <c r="A78" t="s">
        <v>2659</v>
      </c>
      <c r="B78" s="3" t="s">
        <v>29</v>
      </c>
      <c r="C78" s="3"/>
      <c r="D78" s="3">
        <v>4400842761</v>
      </c>
      <c r="E78" s="3"/>
      <c r="F78" s="3" t="s">
        <v>2549</v>
      </c>
      <c r="G78" s="3"/>
      <c r="H78" s="3" t="s">
        <v>17</v>
      </c>
      <c r="I78" s="3" t="s">
        <v>2689</v>
      </c>
      <c r="J78" s="163" t="s">
        <v>2690</v>
      </c>
      <c r="K78" s="164"/>
      <c r="L78" s="3">
        <v>1</v>
      </c>
      <c r="N78" s="148">
        <v>75453</v>
      </c>
      <c r="R78" s="148">
        <f>Table242[[#This Row],[Material Unit Price]]+Table242[[#This Row],[Labor Unit Price]]+Table242[[#This Row],[GC + Manage+ Insur]]</f>
        <v>75453</v>
      </c>
      <c r="S78" s="148">
        <f>Table242[[#This Row],[Total Per Tool]]*Table242[[#This Row],[Tool QTY]]</f>
        <v>75453</v>
      </c>
      <c r="U78" s="149" t="s">
        <v>2682</v>
      </c>
      <c r="X7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75453</v>
      </c>
      <c r="Y78" s="150">
        <f>Table242[[#This Row],[Total AR (Received)]]/Table242[[#This Row],[PO Amount]]</f>
        <v>1</v>
      </c>
      <c r="Z78" s="151">
        <f>Table242[[#This Row],[PO Amount]]-Table242[[#This Row],[Total AR (Received)]]</f>
        <v>0</v>
      </c>
      <c r="AA78" s="3"/>
      <c r="AF78" s="3"/>
      <c r="BD78" s="154" t="s">
        <v>550</v>
      </c>
      <c r="BF78" s="171">
        <v>75453</v>
      </c>
      <c r="BG78" s="287"/>
      <c r="BJ78" s="165"/>
      <c r="BR78" s="156">
        <f t="shared" si="1"/>
        <v>75453</v>
      </c>
    </row>
    <row r="79" spans="1:70" ht="14.45" hidden="1">
      <c r="A79" t="s">
        <v>2659</v>
      </c>
      <c r="B79" s="3" t="s">
        <v>29</v>
      </c>
      <c r="C79" s="3"/>
      <c r="D79" s="3">
        <v>4400842788</v>
      </c>
      <c r="E79" s="3"/>
      <c r="F79" s="3" t="s">
        <v>2549</v>
      </c>
      <c r="G79" s="3"/>
      <c r="H79" s="3" t="s">
        <v>17</v>
      </c>
      <c r="I79" s="3" t="s">
        <v>2691</v>
      </c>
      <c r="J79" s="163" t="s">
        <v>2692</v>
      </c>
      <c r="K79" s="164"/>
      <c r="L79" s="3">
        <v>1</v>
      </c>
      <c r="N79" s="148">
        <v>70646</v>
      </c>
      <c r="R79" s="148">
        <f>Table242[[#This Row],[Material Unit Price]]+Table242[[#This Row],[Labor Unit Price]]+Table242[[#This Row],[GC + Manage+ Insur]]</f>
        <v>70646</v>
      </c>
      <c r="S79" s="148">
        <f>Table242[[#This Row],[Total Per Tool]]*Table242[[#This Row],[Tool QTY]]</f>
        <v>70646</v>
      </c>
      <c r="U79" s="149" t="s">
        <v>2682</v>
      </c>
      <c r="X7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70646</v>
      </c>
      <c r="Y79" s="150">
        <f>Table242[[#This Row],[Total AR (Received)]]/Table242[[#This Row],[PO Amount]]</f>
        <v>1</v>
      </c>
      <c r="Z79" s="151">
        <f>Table242[[#This Row],[PO Amount]]-Table242[[#This Row],[Total AR (Received)]]</f>
        <v>0</v>
      </c>
      <c r="AA79" s="3"/>
      <c r="AF79" s="3"/>
      <c r="BD79" s="154" t="s">
        <v>550</v>
      </c>
      <c r="BF79" s="171">
        <v>70646</v>
      </c>
      <c r="BG79" s="287"/>
      <c r="BJ79" s="165"/>
      <c r="BR79" s="156">
        <f t="shared" si="1"/>
        <v>70646</v>
      </c>
    </row>
    <row r="80" spans="1:70" ht="14.45" hidden="1">
      <c r="A80" t="s">
        <v>2659</v>
      </c>
      <c r="B80" s="3" t="s">
        <v>29</v>
      </c>
      <c r="C80" s="3"/>
      <c r="D80" s="3">
        <v>4400842850</v>
      </c>
      <c r="E80" s="3"/>
      <c r="F80" s="3" t="s">
        <v>2549</v>
      </c>
      <c r="G80" s="3"/>
      <c r="H80" s="3" t="s">
        <v>17</v>
      </c>
      <c r="I80" s="3" t="s">
        <v>2693</v>
      </c>
      <c r="J80" s="163" t="s">
        <v>2694</v>
      </c>
      <c r="K80" s="164"/>
      <c r="L80" s="3">
        <v>1</v>
      </c>
      <c r="N80" s="148">
        <v>75453</v>
      </c>
      <c r="R80" s="148">
        <f>Table242[[#This Row],[Material Unit Price]]+Table242[[#This Row],[Labor Unit Price]]+Table242[[#This Row],[GC + Manage+ Insur]]</f>
        <v>75453</v>
      </c>
      <c r="S80" s="148">
        <f>Table242[[#This Row],[Total Per Tool]]*Table242[[#This Row],[Tool QTY]]</f>
        <v>75453</v>
      </c>
      <c r="U80" s="149" t="s">
        <v>2682</v>
      </c>
      <c r="X8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75453</v>
      </c>
      <c r="Y80" s="150">
        <f>Table242[[#This Row],[Total AR (Received)]]/Table242[[#This Row],[PO Amount]]</f>
        <v>1</v>
      </c>
      <c r="Z80" s="151">
        <f>Table242[[#This Row],[PO Amount]]-Table242[[#This Row],[Total AR (Received)]]</f>
        <v>0</v>
      </c>
      <c r="AA80" s="3"/>
      <c r="AF80" s="3"/>
      <c r="BD80" s="154" t="s">
        <v>550</v>
      </c>
      <c r="BF80" s="171">
        <v>75453</v>
      </c>
      <c r="BG80" s="287"/>
      <c r="BJ80" s="165"/>
      <c r="BR80" s="156">
        <f t="shared" si="1"/>
        <v>75453</v>
      </c>
    </row>
    <row r="81" spans="1:70" ht="14.45" hidden="1">
      <c r="A81" t="s">
        <v>2659</v>
      </c>
      <c r="B81" s="3" t="s">
        <v>29</v>
      </c>
      <c r="C81" s="3"/>
      <c r="D81" s="3">
        <v>4400842932</v>
      </c>
      <c r="E81" s="3">
        <v>1</v>
      </c>
      <c r="F81" s="3" t="s">
        <v>2549</v>
      </c>
      <c r="G81" s="3"/>
      <c r="H81" s="3" t="s">
        <v>17</v>
      </c>
      <c r="I81" s="3" t="s">
        <v>2585</v>
      </c>
      <c r="J81" s="163" t="s">
        <v>2695</v>
      </c>
      <c r="K81" s="164"/>
      <c r="L81" s="3">
        <v>1</v>
      </c>
      <c r="N81" s="148">
        <v>12096</v>
      </c>
      <c r="R81" s="148">
        <f>Table242[[#This Row],[Material Unit Price]]+Table242[[#This Row],[Labor Unit Price]]+Table242[[#This Row],[GC + Manage+ Insur]]</f>
        <v>12096</v>
      </c>
      <c r="S81" s="148">
        <f>Table242[[#This Row],[Total Per Tool]]*Table242[[#This Row],[Tool QTY]]</f>
        <v>12096</v>
      </c>
      <c r="U81" s="149" t="s">
        <v>2682</v>
      </c>
      <c r="X8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12096</v>
      </c>
      <c r="Y81" s="150">
        <f>Table242[[#This Row],[Total AR (Received)]]/Table242[[#This Row],[PO Amount]]</f>
        <v>1</v>
      </c>
      <c r="Z81" s="151">
        <f>Table242[[#This Row],[PO Amount]]-Table242[[#This Row],[Total AR (Received)]]</f>
        <v>0</v>
      </c>
      <c r="AA81" s="3"/>
      <c r="AF81" s="3"/>
      <c r="BD81" s="172">
        <v>12096</v>
      </c>
      <c r="BF81" s="165">
        <v>0</v>
      </c>
      <c r="BG81" s="287"/>
      <c r="BJ81" s="165"/>
      <c r="BR81" s="156">
        <f t="shared" si="1"/>
        <v>12096</v>
      </c>
    </row>
    <row r="82" spans="1:70" ht="14.45" hidden="1">
      <c r="A82" t="s">
        <v>2659</v>
      </c>
      <c r="B82" s="3" t="s">
        <v>29</v>
      </c>
      <c r="C82" s="3"/>
      <c r="D82" s="3">
        <v>4400843694</v>
      </c>
      <c r="E82" s="3"/>
      <c r="F82" s="3" t="s">
        <v>2549</v>
      </c>
      <c r="G82" s="3"/>
      <c r="H82" s="3" t="s">
        <v>17</v>
      </c>
      <c r="I82" s="3" t="s">
        <v>2696</v>
      </c>
      <c r="J82" s="163" t="s">
        <v>2697</v>
      </c>
      <c r="K82" s="164"/>
      <c r="L82" s="3">
        <v>1</v>
      </c>
      <c r="N82" s="148">
        <v>75453</v>
      </c>
      <c r="R82" s="148">
        <f>Table242[[#This Row],[Material Unit Price]]+Table242[[#This Row],[Labor Unit Price]]+Table242[[#This Row],[GC + Manage+ Insur]]</f>
        <v>75453</v>
      </c>
      <c r="S82" s="148">
        <f>Table242[[#This Row],[Total Per Tool]]*Table242[[#This Row],[Tool QTY]]</f>
        <v>75453</v>
      </c>
      <c r="U82" s="149" t="s">
        <v>2238</v>
      </c>
      <c r="X8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75453</v>
      </c>
      <c r="Y82" s="150">
        <f>Table242[[#This Row],[Total AR (Received)]]/Table242[[#This Row],[PO Amount]]</f>
        <v>1</v>
      </c>
      <c r="Z82" s="151">
        <f>Table242[[#This Row],[PO Amount]]-Table242[[#This Row],[Total AR (Received)]]</f>
        <v>0</v>
      </c>
      <c r="AA82" s="3"/>
      <c r="AF82" s="3"/>
      <c r="BD82" s="154" t="s">
        <v>550</v>
      </c>
      <c r="BF82" s="165">
        <v>0</v>
      </c>
      <c r="BG82" s="287"/>
      <c r="BH82" s="171">
        <v>75453</v>
      </c>
      <c r="BJ82" s="165"/>
      <c r="BR82" s="156">
        <f t="shared" si="1"/>
        <v>75453</v>
      </c>
    </row>
    <row r="83" spans="1:70" ht="14.45" hidden="1">
      <c r="A83" t="s">
        <v>2659</v>
      </c>
      <c r="B83" s="3" t="s">
        <v>29</v>
      </c>
      <c r="C83" s="3"/>
      <c r="D83" s="3">
        <v>4400843732</v>
      </c>
      <c r="E83" s="3"/>
      <c r="F83" s="3" t="s">
        <v>2549</v>
      </c>
      <c r="G83" s="3"/>
      <c r="H83" s="3" t="s">
        <v>17</v>
      </c>
      <c r="I83" s="3" t="s">
        <v>2698</v>
      </c>
      <c r="J83" s="163" t="s">
        <v>2699</v>
      </c>
      <c r="K83" s="164"/>
      <c r="L83" s="3">
        <v>1</v>
      </c>
      <c r="N83" s="148">
        <v>98189</v>
      </c>
      <c r="R83" s="148">
        <f>Table242[[#This Row],[Material Unit Price]]+Table242[[#This Row],[Labor Unit Price]]+Table242[[#This Row],[GC + Manage+ Insur]]</f>
        <v>98189</v>
      </c>
      <c r="S83" s="148">
        <f>Table242[[#This Row],[Total Per Tool]]*Table242[[#This Row],[Tool QTY]]</f>
        <v>98189</v>
      </c>
      <c r="U83" s="149" t="s">
        <v>2238</v>
      </c>
      <c r="X8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98189</v>
      </c>
      <c r="Y83" s="150">
        <f>Table242[[#This Row],[Total AR (Received)]]/Table242[[#This Row],[PO Amount]]</f>
        <v>1</v>
      </c>
      <c r="Z83" s="151">
        <f>Table242[[#This Row],[PO Amount]]-Table242[[#This Row],[Total AR (Received)]]</f>
        <v>0</v>
      </c>
      <c r="AA83" s="3"/>
      <c r="AF83" s="3"/>
      <c r="BD83" s="154" t="s">
        <v>550</v>
      </c>
      <c r="BF83" s="165">
        <v>0</v>
      </c>
      <c r="BG83" s="287"/>
      <c r="BH83" s="171">
        <v>98189</v>
      </c>
      <c r="BJ83" s="165"/>
      <c r="BR83" s="156">
        <f t="shared" si="1"/>
        <v>98189</v>
      </c>
    </row>
    <row r="84" spans="1:70" ht="14.45" hidden="1">
      <c r="A84" t="s">
        <v>2659</v>
      </c>
      <c r="B84" s="3" t="s">
        <v>29</v>
      </c>
      <c r="C84" s="3"/>
      <c r="D84" s="3">
        <v>4400843734</v>
      </c>
      <c r="E84" s="3"/>
      <c r="F84" s="3" t="s">
        <v>2549</v>
      </c>
      <c r="G84" s="3"/>
      <c r="H84" s="3" t="s">
        <v>17</v>
      </c>
      <c r="I84" s="3" t="s">
        <v>2700</v>
      </c>
      <c r="J84" s="163" t="s">
        <v>2701</v>
      </c>
      <c r="K84" s="164"/>
      <c r="L84" s="3">
        <v>1</v>
      </c>
      <c r="N84" s="148">
        <v>98189</v>
      </c>
      <c r="R84" s="148">
        <f>Table242[[#This Row],[Material Unit Price]]+Table242[[#This Row],[Labor Unit Price]]+Table242[[#This Row],[GC + Manage+ Insur]]</f>
        <v>98189</v>
      </c>
      <c r="S84" s="148">
        <f>Table242[[#This Row],[Total Per Tool]]*Table242[[#This Row],[Tool QTY]]</f>
        <v>98189</v>
      </c>
      <c r="U84" s="149" t="s">
        <v>2238</v>
      </c>
      <c r="X8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98189</v>
      </c>
      <c r="Y84" s="150">
        <f>Table242[[#This Row],[Total AR (Received)]]/Table242[[#This Row],[PO Amount]]</f>
        <v>1</v>
      </c>
      <c r="Z84" s="151">
        <f>Table242[[#This Row],[PO Amount]]-Table242[[#This Row],[Total AR (Received)]]</f>
        <v>0</v>
      </c>
      <c r="AA84" s="3"/>
      <c r="AF84" s="3"/>
      <c r="BD84" s="154" t="s">
        <v>550</v>
      </c>
      <c r="BF84" s="165">
        <v>0</v>
      </c>
      <c r="BG84" s="287"/>
      <c r="BH84" s="171">
        <v>98189</v>
      </c>
      <c r="BJ84" s="165"/>
      <c r="BR84" s="156">
        <f t="shared" si="1"/>
        <v>98189</v>
      </c>
    </row>
    <row r="85" spans="1:70" ht="14.45" hidden="1">
      <c r="A85" t="s">
        <v>2659</v>
      </c>
      <c r="B85" s="3" t="s">
        <v>29</v>
      </c>
      <c r="C85" s="3"/>
      <c r="D85" s="3">
        <v>4400843754</v>
      </c>
      <c r="E85" s="3"/>
      <c r="F85" s="3" t="s">
        <v>2549</v>
      </c>
      <c r="G85" s="3"/>
      <c r="H85" s="3" t="s">
        <v>17</v>
      </c>
      <c r="I85" s="3" t="s">
        <v>2702</v>
      </c>
      <c r="J85" s="163" t="s">
        <v>2703</v>
      </c>
      <c r="K85" s="164"/>
      <c r="L85" s="3">
        <v>1</v>
      </c>
      <c r="N85" s="148">
        <v>98189</v>
      </c>
      <c r="R85" s="148">
        <f>Table242[[#This Row],[Material Unit Price]]+Table242[[#This Row],[Labor Unit Price]]+Table242[[#This Row],[GC + Manage+ Insur]]</f>
        <v>98189</v>
      </c>
      <c r="S85" s="148">
        <f>Table242[[#This Row],[Total Per Tool]]*Table242[[#This Row],[Tool QTY]]</f>
        <v>98189</v>
      </c>
      <c r="U85" s="149" t="s">
        <v>2238</v>
      </c>
      <c r="X8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98189</v>
      </c>
      <c r="Y85" s="150">
        <f>Table242[[#This Row],[Total AR (Received)]]/Table242[[#This Row],[PO Amount]]</f>
        <v>1</v>
      </c>
      <c r="Z85" s="151">
        <f>Table242[[#This Row],[PO Amount]]-Table242[[#This Row],[Total AR (Received)]]</f>
        <v>0</v>
      </c>
      <c r="AA85" s="3"/>
      <c r="AF85" s="3"/>
      <c r="BD85" s="154" t="s">
        <v>550</v>
      </c>
      <c r="BF85" s="171">
        <v>98189</v>
      </c>
      <c r="BG85" s="287"/>
      <c r="BJ85" s="165"/>
      <c r="BR85" s="156">
        <f t="shared" si="1"/>
        <v>98189</v>
      </c>
    </row>
    <row r="86" spans="1:70" ht="14.45" hidden="1">
      <c r="A86" t="s">
        <v>2659</v>
      </c>
      <c r="B86" s="3" t="s">
        <v>29</v>
      </c>
      <c r="C86" s="3"/>
      <c r="D86" s="3">
        <v>4400843757</v>
      </c>
      <c r="E86" s="3"/>
      <c r="F86" s="3" t="s">
        <v>2549</v>
      </c>
      <c r="G86" s="3"/>
      <c r="H86" s="3" t="s">
        <v>17</v>
      </c>
      <c r="I86" s="3" t="s">
        <v>2704</v>
      </c>
      <c r="J86" s="163" t="s">
        <v>2705</v>
      </c>
      <c r="K86" s="164"/>
      <c r="L86" s="3">
        <v>1</v>
      </c>
      <c r="N86" s="148">
        <v>98189</v>
      </c>
      <c r="R86" s="148">
        <f>Table242[[#This Row],[Material Unit Price]]+Table242[[#This Row],[Labor Unit Price]]+Table242[[#This Row],[GC + Manage+ Insur]]</f>
        <v>98189</v>
      </c>
      <c r="S86" s="148">
        <f>Table242[[#This Row],[Total Per Tool]]*Table242[[#This Row],[Tool QTY]]</f>
        <v>98189</v>
      </c>
      <c r="U86" s="149" t="s">
        <v>2238</v>
      </c>
      <c r="X8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98189</v>
      </c>
      <c r="Y86" s="150">
        <f>Table242[[#This Row],[Total AR (Received)]]/Table242[[#This Row],[PO Amount]]</f>
        <v>1</v>
      </c>
      <c r="Z86" s="151">
        <f>Table242[[#This Row],[PO Amount]]-Table242[[#This Row],[Total AR (Received)]]</f>
        <v>0</v>
      </c>
      <c r="AA86" s="3"/>
      <c r="AF86" s="3"/>
      <c r="BD86" s="154" t="s">
        <v>550</v>
      </c>
      <c r="BF86" s="165">
        <v>0</v>
      </c>
      <c r="BG86" s="287"/>
      <c r="BJ86" s="165">
        <v>98189</v>
      </c>
      <c r="BR86" s="156">
        <f t="shared" si="1"/>
        <v>0</v>
      </c>
    </row>
    <row r="87" spans="1:70" ht="14.45" hidden="1">
      <c r="A87" t="s">
        <v>2659</v>
      </c>
      <c r="B87" s="3" t="s">
        <v>29</v>
      </c>
      <c r="C87" s="3"/>
      <c r="D87" s="3">
        <v>4400843806</v>
      </c>
      <c r="E87" s="3"/>
      <c r="F87" s="3" t="s">
        <v>2549</v>
      </c>
      <c r="G87" s="3"/>
      <c r="H87" s="3" t="s">
        <v>17</v>
      </c>
      <c r="I87" s="3" t="s">
        <v>2706</v>
      </c>
      <c r="J87" s="163" t="s">
        <v>2707</v>
      </c>
      <c r="K87" s="164"/>
      <c r="L87" s="3">
        <v>1</v>
      </c>
      <c r="N87" s="148">
        <v>98189</v>
      </c>
      <c r="R87" s="148">
        <f>Table242[[#This Row],[Material Unit Price]]+Table242[[#This Row],[Labor Unit Price]]+Table242[[#This Row],[GC + Manage+ Insur]]</f>
        <v>98189</v>
      </c>
      <c r="S87" s="148">
        <f>Table242[[#This Row],[Total Per Tool]]*Table242[[#This Row],[Tool QTY]]</f>
        <v>98189</v>
      </c>
      <c r="U87" s="149" t="s">
        <v>2238</v>
      </c>
      <c r="X8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98189</v>
      </c>
      <c r="Y87" s="150">
        <f>Table242[[#This Row],[Total AR (Received)]]/Table242[[#This Row],[PO Amount]]</f>
        <v>1</v>
      </c>
      <c r="Z87" s="151">
        <f>Table242[[#This Row],[PO Amount]]-Table242[[#This Row],[Total AR (Received)]]</f>
        <v>0</v>
      </c>
      <c r="AA87" s="3"/>
      <c r="AF87" s="3"/>
      <c r="BD87" s="154" t="s">
        <v>550</v>
      </c>
      <c r="BF87" s="165">
        <v>0</v>
      </c>
      <c r="BG87" s="287"/>
      <c r="BH87" s="171">
        <v>98189</v>
      </c>
      <c r="BJ87" s="165"/>
      <c r="BR87" s="156">
        <f t="shared" si="1"/>
        <v>98189</v>
      </c>
    </row>
    <row r="88" spans="1:70" ht="14.45" hidden="1">
      <c r="A88" t="s">
        <v>2659</v>
      </c>
      <c r="B88" s="3" t="s">
        <v>29</v>
      </c>
      <c r="C88" s="3"/>
      <c r="D88" s="3">
        <v>4400843808</v>
      </c>
      <c r="E88" s="3"/>
      <c r="F88" s="3" t="s">
        <v>2549</v>
      </c>
      <c r="G88" s="3"/>
      <c r="H88" s="3" t="s">
        <v>17</v>
      </c>
      <c r="I88" s="3" t="s">
        <v>2708</v>
      </c>
      <c r="J88" s="163" t="s">
        <v>2709</v>
      </c>
      <c r="K88" s="164"/>
      <c r="L88" s="3">
        <v>1</v>
      </c>
      <c r="N88" s="148">
        <v>98189</v>
      </c>
      <c r="R88" s="148">
        <f>Table242[[#This Row],[Material Unit Price]]+Table242[[#This Row],[Labor Unit Price]]+Table242[[#This Row],[GC + Manage+ Insur]]</f>
        <v>98189</v>
      </c>
      <c r="S88" s="148">
        <f>Table242[[#This Row],[Total Per Tool]]*Table242[[#This Row],[Tool QTY]]</f>
        <v>98189</v>
      </c>
      <c r="U88" s="149" t="s">
        <v>2238</v>
      </c>
      <c r="X8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98189</v>
      </c>
      <c r="Y88" s="150">
        <f>Table242[[#This Row],[Total AR (Received)]]/Table242[[#This Row],[PO Amount]]</f>
        <v>1</v>
      </c>
      <c r="Z88" s="151">
        <f>Table242[[#This Row],[PO Amount]]-Table242[[#This Row],[Total AR (Received)]]</f>
        <v>0</v>
      </c>
      <c r="AA88" s="3"/>
      <c r="AF88" s="3"/>
      <c r="BD88" s="154" t="s">
        <v>550</v>
      </c>
      <c r="BF88" s="165">
        <v>0</v>
      </c>
      <c r="BG88" s="287"/>
      <c r="BH88" s="171">
        <v>98189</v>
      </c>
      <c r="BJ88" s="165"/>
      <c r="BR88" s="156">
        <f t="shared" si="1"/>
        <v>98189</v>
      </c>
    </row>
    <row r="89" spans="1:70" ht="14.45" hidden="1">
      <c r="A89" t="s">
        <v>2659</v>
      </c>
      <c r="B89" s="3" t="s">
        <v>29</v>
      </c>
      <c r="C89" s="3"/>
      <c r="D89" s="3">
        <v>4400843809</v>
      </c>
      <c r="E89" s="3"/>
      <c r="F89" s="3" t="s">
        <v>2549</v>
      </c>
      <c r="G89" s="3"/>
      <c r="H89" s="3" t="s">
        <v>17</v>
      </c>
      <c r="I89" s="3" t="s">
        <v>2710</v>
      </c>
      <c r="J89" s="163" t="s">
        <v>2711</v>
      </c>
      <c r="K89" s="164"/>
      <c r="L89" s="3">
        <v>1</v>
      </c>
      <c r="N89" s="148">
        <v>98189</v>
      </c>
      <c r="R89" s="148">
        <f>Table242[[#This Row],[Material Unit Price]]+Table242[[#This Row],[Labor Unit Price]]+Table242[[#This Row],[GC + Manage+ Insur]]</f>
        <v>98189</v>
      </c>
      <c r="S89" s="148">
        <f>Table242[[#This Row],[Total Per Tool]]*Table242[[#This Row],[Tool QTY]]</f>
        <v>98189</v>
      </c>
      <c r="U89" s="149" t="s">
        <v>2238</v>
      </c>
      <c r="X8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98189</v>
      </c>
      <c r="Y89" s="150">
        <f>Table242[[#This Row],[Total AR (Received)]]/Table242[[#This Row],[PO Amount]]</f>
        <v>1</v>
      </c>
      <c r="Z89" s="151">
        <f>Table242[[#This Row],[PO Amount]]-Table242[[#This Row],[Total AR (Received)]]</f>
        <v>0</v>
      </c>
      <c r="AA89" s="3"/>
      <c r="AF89" s="3"/>
      <c r="BD89" s="154" t="s">
        <v>550</v>
      </c>
      <c r="BF89" s="165">
        <v>0</v>
      </c>
      <c r="BG89" s="287"/>
      <c r="BJ89" s="357">
        <v>98189</v>
      </c>
      <c r="BR89" s="156">
        <f t="shared" si="1"/>
        <v>0</v>
      </c>
    </row>
    <row r="90" spans="1:70" ht="14.45" hidden="1">
      <c r="A90" t="s">
        <v>2659</v>
      </c>
      <c r="B90" s="3" t="s">
        <v>29</v>
      </c>
      <c r="C90" s="3"/>
      <c r="D90" s="3">
        <v>4400843814</v>
      </c>
      <c r="E90" s="3"/>
      <c r="F90" s="3" t="s">
        <v>2549</v>
      </c>
      <c r="G90" s="3"/>
      <c r="H90" s="3" t="s">
        <v>17</v>
      </c>
      <c r="I90" s="3" t="s">
        <v>2712</v>
      </c>
      <c r="J90" s="163" t="s">
        <v>2713</v>
      </c>
      <c r="K90" s="164"/>
      <c r="L90" s="3">
        <v>1</v>
      </c>
      <c r="N90" s="148">
        <v>98189</v>
      </c>
      <c r="R90" s="148">
        <f>Table242[[#This Row],[Material Unit Price]]+Table242[[#This Row],[Labor Unit Price]]+Table242[[#This Row],[GC + Manage+ Insur]]</f>
        <v>98189</v>
      </c>
      <c r="S90" s="148">
        <f>Table242[[#This Row],[Total Per Tool]]*Table242[[#This Row],[Tool QTY]]</f>
        <v>98189</v>
      </c>
      <c r="U90" s="149" t="s">
        <v>2238</v>
      </c>
      <c r="X9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98189</v>
      </c>
      <c r="Y90" s="150">
        <f>Table242[[#This Row],[Total AR (Received)]]/Table242[[#This Row],[PO Amount]]</f>
        <v>1</v>
      </c>
      <c r="Z90" s="151">
        <f>Table242[[#This Row],[PO Amount]]-Table242[[#This Row],[Total AR (Received)]]</f>
        <v>0</v>
      </c>
      <c r="AA90" s="3"/>
      <c r="AF90" s="3"/>
      <c r="BD90" s="154" t="s">
        <v>550</v>
      </c>
      <c r="BF90" s="165">
        <v>0</v>
      </c>
      <c r="BG90" s="287"/>
      <c r="BH90" s="171">
        <v>98189</v>
      </c>
      <c r="BJ90" s="165"/>
      <c r="BR90" s="156">
        <f t="shared" si="1"/>
        <v>98189</v>
      </c>
    </row>
    <row r="91" spans="1:70" ht="14.45" hidden="1">
      <c r="A91" t="s">
        <v>2659</v>
      </c>
      <c r="B91" s="3" t="s">
        <v>29</v>
      </c>
      <c r="C91" s="3"/>
      <c r="D91" s="3">
        <v>4400843868</v>
      </c>
      <c r="E91" s="3"/>
      <c r="F91" s="3" t="s">
        <v>2549</v>
      </c>
      <c r="G91" s="3"/>
      <c r="H91" s="3" t="s">
        <v>17</v>
      </c>
      <c r="I91" s="3" t="s">
        <v>2714</v>
      </c>
      <c r="J91" s="163" t="s">
        <v>2715</v>
      </c>
      <c r="K91" s="164"/>
      <c r="L91" s="3">
        <v>1</v>
      </c>
      <c r="N91" s="148">
        <v>98189</v>
      </c>
      <c r="R91" s="148">
        <f>Table242[[#This Row],[Material Unit Price]]+Table242[[#This Row],[Labor Unit Price]]+Table242[[#This Row],[GC + Manage+ Insur]]</f>
        <v>98189</v>
      </c>
      <c r="S91" s="148">
        <f>Table242[[#This Row],[Total Per Tool]]*Table242[[#This Row],[Tool QTY]]</f>
        <v>98189</v>
      </c>
      <c r="U91" s="149" t="s">
        <v>2716</v>
      </c>
      <c r="X9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98189</v>
      </c>
      <c r="Y91" s="150">
        <f>Table242[[#This Row],[Total AR (Received)]]/Table242[[#This Row],[PO Amount]]</f>
        <v>1</v>
      </c>
      <c r="Z91" s="151">
        <f>Table242[[#This Row],[PO Amount]]-Table242[[#This Row],[Total AR (Received)]]</f>
        <v>0</v>
      </c>
      <c r="AA91" s="3"/>
      <c r="AF91" s="3"/>
      <c r="BD91" s="154" t="s">
        <v>550</v>
      </c>
      <c r="BF91" s="171">
        <v>98189</v>
      </c>
      <c r="BG91" s="287"/>
      <c r="BJ91" s="165"/>
      <c r="BR91" s="156">
        <f t="shared" si="1"/>
        <v>98189</v>
      </c>
    </row>
    <row r="92" spans="1:70" ht="14.45" hidden="1">
      <c r="A92" t="s">
        <v>2659</v>
      </c>
      <c r="B92" s="3" t="s">
        <v>29</v>
      </c>
      <c r="C92" s="3"/>
      <c r="D92" s="3">
        <v>4400843869</v>
      </c>
      <c r="E92" s="3"/>
      <c r="F92" s="3" t="s">
        <v>2549</v>
      </c>
      <c r="G92" s="3"/>
      <c r="H92" s="3" t="s">
        <v>17</v>
      </c>
      <c r="I92" s="3" t="s">
        <v>2717</v>
      </c>
      <c r="J92" s="163" t="s">
        <v>2718</v>
      </c>
      <c r="K92" s="164"/>
      <c r="L92" s="3">
        <v>1</v>
      </c>
      <c r="N92" s="148">
        <v>69307</v>
      </c>
      <c r="R92" s="148">
        <f>Table242[[#This Row],[Material Unit Price]]+Table242[[#This Row],[Labor Unit Price]]+Table242[[#This Row],[GC + Manage+ Insur]]</f>
        <v>69307</v>
      </c>
      <c r="S92" s="148">
        <f>Table242[[#This Row],[Total Per Tool]]*Table242[[#This Row],[Tool QTY]]</f>
        <v>69307</v>
      </c>
      <c r="U92" s="149" t="s">
        <v>2716</v>
      </c>
      <c r="X9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69307</v>
      </c>
      <c r="Y92" s="150">
        <f>Table242[[#This Row],[Total AR (Received)]]/Table242[[#This Row],[PO Amount]]</f>
        <v>1</v>
      </c>
      <c r="Z92" s="151">
        <f>Table242[[#This Row],[PO Amount]]-Table242[[#This Row],[Total AR (Received)]]</f>
        <v>0</v>
      </c>
      <c r="AA92" s="3"/>
      <c r="AF92" s="3"/>
      <c r="BD92" s="154" t="s">
        <v>550</v>
      </c>
      <c r="BF92" s="165">
        <v>0</v>
      </c>
      <c r="BG92" s="287"/>
      <c r="BJ92" s="165"/>
      <c r="BL92" s="165">
        <v>69307</v>
      </c>
      <c r="BR92" s="156">
        <f t="shared" si="1"/>
        <v>0</v>
      </c>
    </row>
    <row r="93" spans="1:70" ht="14.45" hidden="1">
      <c r="A93" t="s">
        <v>2659</v>
      </c>
      <c r="B93" s="3" t="s">
        <v>29</v>
      </c>
      <c r="C93" s="3"/>
      <c r="D93" s="3">
        <v>4400843881</v>
      </c>
      <c r="E93" s="3"/>
      <c r="F93" s="3" t="s">
        <v>2549</v>
      </c>
      <c r="G93" s="3"/>
      <c r="H93" s="3" t="s">
        <v>17</v>
      </c>
      <c r="I93" s="3" t="s">
        <v>2719</v>
      </c>
      <c r="J93" s="163" t="s">
        <v>2720</v>
      </c>
      <c r="K93" s="164"/>
      <c r="L93" s="3">
        <v>1</v>
      </c>
      <c r="N93" s="148">
        <v>69307</v>
      </c>
      <c r="R93" s="148">
        <f>Table242[[#This Row],[Material Unit Price]]+Table242[[#This Row],[Labor Unit Price]]+Table242[[#This Row],[GC + Manage+ Insur]]</f>
        <v>69307</v>
      </c>
      <c r="S93" s="148">
        <f>Table242[[#This Row],[Total Per Tool]]*Table242[[#This Row],[Tool QTY]]</f>
        <v>69307</v>
      </c>
      <c r="U93" s="149" t="s">
        <v>2716</v>
      </c>
      <c r="X9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69307</v>
      </c>
      <c r="Y93" s="150">
        <f>Table242[[#This Row],[Total AR (Received)]]/Table242[[#This Row],[PO Amount]]</f>
        <v>1</v>
      </c>
      <c r="Z93" s="151">
        <f>Table242[[#This Row],[PO Amount]]-Table242[[#This Row],[Total AR (Received)]]</f>
        <v>0</v>
      </c>
      <c r="AA93" s="3"/>
      <c r="AF93" s="3"/>
      <c r="BD93" s="154" t="s">
        <v>550</v>
      </c>
      <c r="BF93" s="171">
        <v>69307</v>
      </c>
      <c r="BG93" s="287"/>
      <c r="BJ93" s="165"/>
      <c r="BR93" s="156">
        <f t="shared" si="1"/>
        <v>69307</v>
      </c>
    </row>
    <row r="94" spans="1:70" ht="14.45" hidden="1">
      <c r="A94" t="s">
        <v>2659</v>
      </c>
      <c r="B94" s="3" t="s">
        <v>29</v>
      </c>
      <c r="C94" s="3"/>
      <c r="D94" s="3">
        <v>4400843882</v>
      </c>
      <c r="E94" s="3"/>
      <c r="F94" s="3" t="s">
        <v>2549</v>
      </c>
      <c r="G94" s="3"/>
      <c r="H94" s="3" t="s">
        <v>17</v>
      </c>
      <c r="I94" s="3" t="s">
        <v>2721</v>
      </c>
      <c r="J94" s="163" t="s">
        <v>2722</v>
      </c>
      <c r="K94" s="164"/>
      <c r="L94" s="3">
        <v>1</v>
      </c>
      <c r="N94" s="148">
        <v>69307</v>
      </c>
      <c r="R94" s="148">
        <f>Table242[[#This Row],[Material Unit Price]]+Table242[[#This Row],[Labor Unit Price]]+Table242[[#This Row],[GC + Manage+ Insur]]</f>
        <v>69307</v>
      </c>
      <c r="S94" s="148">
        <f>Table242[[#This Row],[Total Per Tool]]*Table242[[#This Row],[Tool QTY]]</f>
        <v>69307</v>
      </c>
      <c r="U94" s="149" t="s">
        <v>2716</v>
      </c>
      <c r="X9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69307</v>
      </c>
      <c r="Y94" s="150">
        <f>Table242[[#This Row],[Total AR (Received)]]/Table242[[#This Row],[PO Amount]]</f>
        <v>1</v>
      </c>
      <c r="Z94" s="151">
        <f>Table242[[#This Row],[PO Amount]]-Table242[[#This Row],[Total AR (Received)]]</f>
        <v>0</v>
      </c>
      <c r="AA94" s="3"/>
      <c r="AF94" s="3"/>
      <c r="BD94" s="154" t="s">
        <v>550</v>
      </c>
      <c r="BF94" s="171">
        <v>69307</v>
      </c>
      <c r="BG94" s="287"/>
      <c r="BJ94" s="165"/>
      <c r="BR94" s="156">
        <f t="shared" si="1"/>
        <v>69307</v>
      </c>
    </row>
    <row r="95" spans="1:70" ht="14.45" hidden="1">
      <c r="A95" t="s">
        <v>2659</v>
      </c>
      <c r="B95" s="3" t="s">
        <v>29</v>
      </c>
      <c r="C95" s="3"/>
      <c r="D95" s="3">
        <v>4400843883</v>
      </c>
      <c r="E95" s="3"/>
      <c r="F95" s="3" t="s">
        <v>2549</v>
      </c>
      <c r="G95" s="3"/>
      <c r="H95" s="3" t="s">
        <v>17</v>
      </c>
      <c r="I95" s="3" t="s">
        <v>2723</v>
      </c>
      <c r="J95" s="163" t="s">
        <v>2724</v>
      </c>
      <c r="K95" s="164"/>
      <c r="L95" s="3">
        <v>1</v>
      </c>
      <c r="N95" s="148">
        <v>69307</v>
      </c>
      <c r="R95" s="148">
        <f>Table242[[#This Row],[Material Unit Price]]+Table242[[#This Row],[Labor Unit Price]]+Table242[[#This Row],[GC + Manage+ Insur]]</f>
        <v>69307</v>
      </c>
      <c r="S95" s="148">
        <f>Table242[[#This Row],[Total Per Tool]]*Table242[[#This Row],[Tool QTY]]</f>
        <v>69307</v>
      </c>
      <c r="U95" s="149" t="s">
        <v>2716</v>
      </c>
      <c r="X9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69307</v>
      </c>
      <c r="Y95" s="150">
        <f>Table242[[#This Row],[Total AR (Received)]]/Table242[[#This Row],[PO Amount]]</f>
        <v>1</v>
      </c>
      <c r="Z95" s="151">
        <f>Table242[[#This Row],[PO Amount]]-Table242[[#This Row],[Total AR (Received)]]</f>
        <v>0</v>
      </c>
      <c r="AA95" s="3"/>
      <c r="AF95" s="3"/>
      <c r="BD95" s="154" t="s">
        <v>550</v>
      </c>
      <c r="BF95" s="171">
        <v>69307</v>
      </c>
      <c r="BG95" s="287"/>
      <c r="BJ95" s="165"/>
      <c r="BR95" s="156">
        <f t="shared" si="1"/>
        <v>69307</v>
      </c>
    </row>
    <row r="96" spans="1:70" ht="14.45" hidden="1">
      <c r="A96" t="s">
        <v>2659</v>
      </c>
      <c r="B96" s="3" t="s">
        <v>29</v>
      </c>
      <c r="C96" s="3"/>
      <c r="D96" s="3">
        <v>4400843902</v>
      </c>
      <c r="E96" s="3"/>
      <c r="F96" s="3" t="s">
        <v>2549</v>
      </c>
      <c r="G96" s="3"/>
      <c r="H96" s="3" t="s">
        <v>17</v>
      </c>
      <c r="I96" s="3" t="s">
        <v>2725</v>
      </c>
      <c r="J96" s="163" t="s">
        <v>2726</v>
      </c>
      <c r="K96" s="164"/>
      <c r="L96" s="3">
        <v>1</v>
      </c>
      <c r="N96" s="148">
        <v>97054</v>
      </c>
      <c r="R96" s="148">
        <f>Table242[[#This Row],[Material Unit Price]]+Table242[[#This Row],[Labor Unit Price]]+Table242[[#This Row],[GC + Manage+ Insur]]</f>
        <v>97054</v>
      </c>
      <c r="S96" s="148">
        <f>Table242[[#This Row],[Total Per Tool]]*Table242[[#This Row],[Tool QTY]]</f>
        <v>97054</v>
      </c>
      <c r="U96" s="149" t="s">
        <v>2716</v>
      </c>
      <c r="X9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97054</v>
      </c>
      <c r="Y96" s="150">
        <f>Table242[[#This Row],[Total AR (Received)]]/Table242[[#This Row],[PO Amount]]</f>
        <v>1</v>
      </c>
      <c r="Z96" s="151">
        <f>Table242[[#This Row],[PO Amount]]-Table242[[#This Row],[Total AR (Received)]]</f>
        <v>0</v>
      </c>
      <c r="AA96" s="3"/>
      <c r="AF96" s="3"/>
      <c r="BD96" s="154" t="s">
        <v>550</v>
      </c>
      <c r="BF96" s="165">
        <v>0</v>
      </c>
      <c r="BG96" s="287"/>
      <c r="BJ96" s="357">
        <v>97054</v>
      </c>
      <c r="BR96" s="156">
        <f t="shared" si="1"/>
        <v>0</v>
      </c>
    </row>
    <row r="97" spans="1:70" ht="14.45" hidden="1">
      <c r="A97" t="s">
        <v>2659</v>
      </c>
      <c r="B97" s="3" t="s">
        <v>29</v>
      </c>
      <c r="C97" s="3"/>
      <c r="D97" s="3">
        <v>4400843953</v>
      </c>
      <c r="E97" s="3"/>
      <c r="F97" s="3" t="s">
        <v>2549</v>
      </c>
      <c r="G97" s="3"/>
      <c r="H97" s="3" t="s">
        <v>17</v>
      </c>
      <c r="I97" s="3" t="s">
        <v>2727</v>
      </c>
      <c r="J97" s="163" t="s">
        <v>2728</v>
      </c>
      <c r="K97" s="164"/>
      <c r="L97" s="3">
        <v>1</v>
      </c>
      <c r="N97" s="148">
        <v>98189</v>
      </c>
      <c r="R97" s="148">
        <f>Table242[[#This Row],[Material Unit Price]]+Table242[[#This Row],[Labor Unit Price]]+Table242[[#This Row],[GC + Manage+ Insur]]</f>
        <v>98189</v>
      </c>
      <c r="S97" s="148">
        <f>Table242[[#This Row],[Total Per Tool]]*Table242[[#This Row],[Tool QTY]]</f>
        <v>98189</v>
      </c>
      <c r="U97" s="149" t="s">
        <v>2716</v>
      </c>
      <c r="X9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98189</v>
      </c>
      <c r="Y97" s="150">
        <f>Table242[[#This Row],[Total AR (Received)]]/Table242[[#This Row],[PO Amount]]</f>
        <v>1</v>
      </c>
      <c r="Z97" s="151">
        <f>Table242[[#This Row],[PO Amount]]-Table242[[#This Row],[Total AR (Received)]]</f>
        <v>0</v>
      </c>
      <c r="AA97" s="3"/>
      <c r="AF97" s="3"/>
      <c r="BD97" s="154" t="s">
        <v>550</v>
      </c>
      <c r="BF97" s="165">
        <v>0</v>
      </c>
      <c r="BG97" s="287"/>
      <c r="BH97" s="171">
        <v>98189</v>
      </c>
      <c r="BJ97" s="165"/>
      <c r="BR97" s="156">
        <f t="shared" si="1"/>
        <v>98189</v>
      </c>
    </row>
    <row r="98" spans="1:70" ht="14.45" hidden="1">
      <c r="A98" t="s">
        <v>2659</v>
      </c>
      <c r="B98" s="3" t="s">
        <v>29</v>
      </c>
      <c r="C98" s="3"/>
      <c r="D98" s="3">
        <v>4400844277</v>
      </c>
      <c r="E98" s="3"/>
      <c r="F98" s="3" t="s">
        <v>2549</v>
      </c>
      <c r="G98" s="3"/>
      <c r="H98" s="3" t="s">
        <v>17</v>
      </c>
      <c r="I98" s="3" t="s">
        <v>2729</v>
      </c>
      <c r="J98" s="163" t="s">
        <v>2730</v>
      </c>
      <c r="K98" s="164"/>
      <c r="L98" s="3">
        <v>1</v>
      </c>
      <c r="N98" s="148">
        <v>38469</v>
      </c>
      <c r="R98" s="148">
        <f>Table242[[#This Row],[Material Unit Price]]+Table242[[#This Row],[Labor Unit Price]]+Table242[[#This Row],[GC + Manage+ Insur]]</f>
        <v>38469</v>
      </c>
      <c r="S98" s="148">
        <f>Table242[[#This Row],[Total Per Tool]]*Table242[[#This Row],[Tool QTY]]</f>
        <v>38469</v>
      </c>
      <c r="U98" s="149" t="s">
        <v>2731</v>
      </c>
      <c r="X9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38469</v>
      </c>
      <c r="Y98" s="150">
        <f>Table242[[#This Row],[Total AR (Received)]]/Table242[[#This Row],[PO Amount]]</f>
        <v>1</v>
      </c>
      <c r="Z98" s="151">
        <f>Table242[[#This Row],[PO Amount]]-Table242[[#This Row],[Total AR (Received)]]</f>
        <v>0</v>
      </c>
      <c r="AA98" s="3"/>
      <c r="AF98" s="3"/>
      <c r="BD98" s="172">
        <v>38469</v>
      </c>
      <c r="BF98" s="165">
        <v>0</v>
      </c>
      <c r="BG98" s="287"/>
      <c r="BJ98" s="165"/>
      <c r="BR98" s="156">
        <f t="shared" si="1"/>
        <v>38469</v>
      </c>
    </row>
    <row r="99" spans="1:70" ht="14.45" hidden="1">
      <c r="A99" t="s">
        <v>2659</v>
      </c>
      <c r="B99" s="3" t="s">
        <v>29</v>
      </c>
      <c r="C99" s="3"/>
      <c r="D99" s="3">
        <v>4400844859</v>
      </c>
      <c r="E99" s="3">
        <v>1</v>
      </c>
      <c r="F99" s="3" t="s">
        <v>2549</v>
      </c>
      <c r="G99" s="3"/>
      <c r="H99" s="3" t="s">
        <v>17</v>
      </c>
      <c r="I99" s="3" t="s">
        <v>2585</v>
      </c>
      <c r="J99" s="163" t="s">
        <v>2732</v>
      </c>
      <c r="K99" s="164"/>
      <c r="L99" s="3">
        <v>1</v>
      </c>
      <c r="N99" s="148">
        <v>3800</v>
      </c>
      <c r="R99" s="148">
        <f>Table242[[#This Row],[Material Unit Price]]+Table242[[#This Row],[Labor Unit Price]]+Table242[[#This Row],[GC + Manage+ Insur]]</f>
        <v>3800</v>
      </c>
      <c r="S99" s="148">
        <f>Table242[[#This Row],[Total Per Tool]]*Table242[[#This Row],[Tool QTY]]</f>
        <v>3800</v>
      </c>
      <c r="U99" s="149" t="s">
        <v>2733</v>
      </c>
      <c r="W99" s="148" t="s">
        <v>2551</v>
      </c>
      <c r="X9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3800</v>
      </c>
      <c r="Y99" s="150">
        <f>Table242[[#This Row],[Total AR (Received)]]/Table242[[#This Row],[PO Amount]]</f>
        <v>1</v>
      </c>
      <c r="Z99" s="151">
        <f>Table242[[#This Row],[PO Amount]]-Table242[[#This Row],[Total AR (Received)]]</f>
        <v>0</v>
      </c>
      <c r="AA99" s="3"/>
      <c r="AF99" s="3"/>
      <c r="BD99" s="172">
        <v>3800</v>
      </c>
      <c r="BF99" s="165">
        <v>0</v>
      </c>
      <c r="BG99" s="287"/>
      <c r="BJ99" s="165"/>
      <c r="BR99" s="156">
        <f t="shared" si="1"/>
        <v>3800</v>
      </c>
    </row>
    <row r="100" spans="1:70" ht="14.45" hidden="1">
      <c r="A100" t="s">
        <v>2659</v>
      </c>
      <c r="B100" s="3" t="s">
        <v>29</v>
      </c>
      <c r="C100" s="3"/>
      <c r="D100" s="3">
        <v>4400845491</v>
      </c>
      <c r="E100" s="3"/>
      <c r="F100" s="3" t="s">
        <v>2549</v>
      </c>
      <c r="G100" s="3"/>
      <c r="H100" s="3" t="s">
        <v>17</v>
      </c>
      <c r="I100" s="3" t="s">
        <v>2725</v>
      </c>
      <c r="J100" s="163" t="s">
        <v>2734</v>
      </c>
      <c r="K100" s="164"/>
      <c r="L100" s="3">
        <v>1</v>
      </c>
      <c r="N100" s="148">
        <v>1135</v>
      </c>
      <c r="R100" s="148">
        <f>Table242[[#This Row],[Material Unit Price]]+Table242[[#This Row],[Labor Unit Price]]+Table242[[#This Row],[GC + Manage+ Insur]]</f>
        <v>1135</v>
      </c>
      <c r="S100" s="148">
        <f>Table242[[#This Row],[Total Per Tool]]*Table242[[#This Row],[Tool QTY]]</f>
        <v>1135</v>
      </c>
      <c r="U100" s="149" t="s">
        <v>2735</v>
      </c>
      <c r="X10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1135</v>
      </c>
      <c r="Y100" s="150">
        <f>Table242[[#This Row],[Total AR (Received)]]/Table242[[#This Row],[PO Amount]]</f>
        <v>1</v>
      </c>
      <c r="Z100" s="151">
        <f>Table242[[#This Row],[PO Amount]]-Table242[[#This Row],[Total AR (Received)]]</f>
        <v>0</v>
      </c>
      <c r="AA100" s="3"/>
      <c r="AD100" s="148">
        <v>1135</v>
      </c>
      <c r="AF100" s="3"/>
      <c r="BD100" s="154" t="s">
        <v>550</v>
      </c>
      <c r="BF100" s="165">
        <v>0</v>
      </c>
      <c r="BG100" s="287"/>
      <c r="BJ100" s="165"/>
      <c r="BR100" s="156">
        <f t="shared" si="1"/>
        <v>1135</v>
      </c>
    </row>
    <row r="101" spans="1:70" ht="14.45" hidden="1">
      <c r="A101" t="s">
        <v>2659</v>
      </c>
      <c r="B101" s="3" t="s">
        <v>29</v>
      </c>
      <c r="C101" s="3"/>
      <c r="D101" s="3">
        <v>4400847883</v>
      </c>
      <c r="E101" s="3"/>
      <c r="F101" s="3" t="s">
        <v>2549</v>
      </c>
      <c r="G101" s="3"/>
      <c r="H101" s="3" t="s">
        <v>17</v>
      </c>
      <c r="I101" s="3" t="s">
        <v>2637</v>
      </c>
      <c r="J101" s="163" t="s">
        <v>2736</v>
      </c>
      <c r="K101" s="164"/>
      <c r="L101" s="3">
        <v>1</v>
      </c>
      <c r="N101" s="148">
        <v>78412</v>
      </c>
      <c r="R101" s="148">
        <f>Table242[[#This Row],[Material Unit Price]]+Table242[[#This Row],[Labor Unit Price]]+Table242[[#This Row],[GC + Manage+ Insur]]</f>
        <v>78412</v>
      </c>
      <c r="S101" s="148">
        <f>Table242[[#This Row],[Total Per Tool]]*Table242[[#This Row],[Tool QTY]]</f>
        <v>78412</v>
      </c>
      <c r="U101" s="149" t="s">
        <v>2242</v>
      </c>
      <c r="W101" s="148" t="s">
        <v>2551</v>
      </c>
      <c r="X10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78412</v>
      </c>
      <c r="Y101" s="150">
        <f>Table242[[#This Row],[Total AR (Received)]]/Table242[[#This Row],[PO Amount]]</f>
        <v>1</v>
      </c>
      <c r="Z101" s="151">
        <f>Table242[[#This Row],[PO Amount]]-Table242[[#This Row],[Total AR (Received)]]</f>
        <v>0</v>
      </c>
      <c r="AA101" s="3"/>
      <c r="AF101" s="3"/>
      <c r="BD101" s="154" t="s">
        <v>550</v>
      </c>
      <c r="BF101" s="171">
        <v>78412</v>
      </c>
      <c r="BG101" s="287"/>
      <c r="BJ101" s="165"/>
      <c r="BR101" s="156">
        <f t="shared" si="1"/>
        <v>78412</v>
      </c>
    </row>
    <row r="102" spans="1:70" ht="14.45" hidden="1">
      <c r="A102" t="s">
        <v>2659</v>
      </c>
      <c r="B102" s="3" t="s">
        <v>29</v>
      </c>
      <c r="C102" s="3"/>
      <c r="D102" s="3">
        <v>4400847885</v>
      </c>
      <c r="E102" s="3"/>
      <c r="F102" s="3" t="s">
        <v>2549</v>
      </c>
      <c r="G102" s="3"/>
      <c r="H102" s="3" t="s">
        <v>17</v>
      </c>
      <c r="I102" s="3" t="s">
        <v>2737</v>
      </c>
      <c r="J102" s="163" t="s">
        <v>2738</v>
      </c>
      <c r="K102" s="164"/>
      <c r="L102" s="3">
        <v>1</v>
      </c>
      <c r="N102" s="148">
        <v>76550</v>
      </c>
      <c r="R102" s="148">
        <f>Table242[[#This Row],[Material Unit Price]]+Table242[[#This Row],[Labor Unit Price]]+Table242[[#This Row],[GC + Manage+ Insur]]</f>
        <v>76550</v>
      </c>
      <c r="S102" s="148">
        <f>Table242[[#This Row],[Total Per Tool]]*Table242[[#This Row],[Tool QTY]]</f>
        <v>76550</v>
      </c>
      <c r="U102" s="149" t="s">
        <v>2242</v>
      </c>
      <c r="W102" s="148" t="s">
        <v>2551</v>
      </c>
      <c r="X10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76550</v>
      </c>
      <c r="Y102" s="150">
        <f>Table242[[#This Row],[Total AR (Received)]]/Table242[[#This Row],[PO Amount]]</f>
        <v>1</v>
      </c>
      <c r="Z102" s="151">
        <f>Table242[[#This Row],[PO Amount]]-Table242[[#This Row],[Total AR (Received)]]</f>
        <v>0</v>
      </c>
      <c r="AA102" s="3"/>
      <c r="AF102" s="3"/>
      <c r="BD102" s="154" t="s">
        <v>550</v>
      </c>
      <c r="BF102" s="171">
        <v>76550</v>
      </c>
      <c r="BG102" s="287"/>
      <c r="BJ102" s="165"/>
      <c r="BR102" s="156">
        <f t="shared" si="1"/>
        <v>76550</v>
      </c>
    </row>
    <row r="103" spans="1:70" ht="14.45" hidden="1">
      <c r="A103" t="s">
        <v>2659</v>
      </c>
      <c r="B103" s="3" t="s">
        <v>29</v>
      </c>
      <c r="C103" s="3"/>
      <c r="D103" s="3">
        <v>4400847886</v>
      </c>
      <c r="E103" s="3"/>
      <c r="F103" s="3" t="s">
        <v>2549</v>
      </c>
      <c r="G103" s="3"/>
      <c r="H103" s="3" t="s">
        <v>17</v>
      </c>
      <c r="I103" s="3" t="s">
        <v>2739</v>
      </c>
      <c r="J103" s="163" t="s">
        <v>2740</v>
      </c>
      <c r="K103" s="164"/>
      <c r="L103" s="3">
        <v>1</v>
      </c>
      <c r="N103" s="148">
        <v>75453</v>
      </c>
      <c r="R103" s="148">
        <f>Table242[[#This Row],[Material Unit Price]]+Table242[[#This Row],[Labor Unit Price]]+Table242[[#This Row],[GC + Manage+ Insur]]</f>
        <v>75453</v>
      </c>
      <c r="S103" s="148">
        <f>Table242[[#This Row],[Total Per Tool]]*Table242[[#This Row],[Tool QTY]]</f>
        <v>75453</v>
      </c>
      <c r="U103" s="149" t="s">
        <v>2242</v>
      </c>
      <c r="W103" s="148" t="s">
        <v>2551</v>
      </c>
      <c r="X10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75453</v>
      </c>
      <c r="Y103" s="150">
        <f>Table242[[#This Row],[Total AR (Received)]]/Table242[[#This Row],[PO Amount]]</f>
        <v>1</v>
      </c>
      <c r="Z103" s="151">
        <f>Table242[[#This Row],[PO Amount]]-Table242[[#This Row],[Total AR (Received)]]</f>
        <v>0</v>
      </c>
      <c r="AA103" s="3"/>
      <c r="AF103" s="3"/>
      <c r="BD103" s="154" t="s">
        <v>550</v>
      </c>
      <c r="BF103" s="165">
        <v>0</v>
      </c>
      <c r="BG103" s="287"/>
      <c r="BH103" s="171">
        <v>75453</v>
      </c>
      <c r="BJ103" s="165"/>
      <c r="BR103" s="156">
        <f t="shared" si="1"/>
        <v>75453</v>
      </c>
    </row>
    <row r="104" spans="1:70" ht="14.45" hidden="1">
      <c r="A104" t="s">
        <v>2659</v>
      </c>
      <c r="B104" s="3" t="s">
        <v>29</v>
      </c>
      <c r="C104" s="3"/>
      <c r="D104" s="3">
        <v>4400847889</v>
      </c>
      <c r="E104" s="3">
        <v>1</v>
      </c>
      <c r="F104" s="3" t="s">
        <v>2549</v>
      </c>
      <c r="G104" s="3"/>
      <c r="H104" s="3" t="s">
        <v>17</v>
      </c>
      <c r="I104" s="3"/>
      <c r="J104" s="163" t="s">
        <v>2741</v>
      </c>
      <c r="K104" s="164"/>
      <c r="L104" s="3">
        <v>1</v>
      </c>
      <c r="N104" s="148">
        <v>76550</v>
      </c>
      <c r="R104" s="148">
        <f>Table242[[#This Row],[Material Unit Price]]+Table242[[#This Row],[Labor Unit Price]]+Table242[[#This Row],[GC + Manage+ Insur]]</f>
        <v>76550</v>
      </c>
      <c r="S104" s="148">
        <f>Table242[[#This Row],[Total Per Tool]]*Table242[[#This Row],[Tool QTY]]</f>
        <v>76550</v>
      </c>
      <c r="U104" s="149" t="s">
        <v>2742</v>
      </c>
      <c r="W104" s="148" t="s">
        <v>2551</v>
      </c>
      <c r="X10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76550</v>
      </c>
      <c r="Y104" s="150">
        <f>Table242[[#This Row],[Total AR (Received)]]/Table242[[#This Row],[PO Amount]]</f>
        <v>1</v>
      </c>
      <c r="Z104" s="151">
        <f>Table242[[#This Row],[PO Amount]]-Table242[[#This Row],[Total AR (Received)]]</f>
        <v>0</v>
      </c>
      <c r="AA104" s="3"/>
      <c r="AF104" s="3"/>
      <c r="BD104" s="172">
        <v>76550</v>
      </c>
      <c r="BF104" s="165">
        <v>0</v>
      </c>
      <c r="BG104" s="287"/>
      <c r="BJ104" s="165"/>
      <c r="BR104" s="156">
        <f t="shared" si="1"/>
        <v>76550</v>
      </c>
    </row>
    <row r="105" spans="1:70" ht="14.45" hidden="1">
      <c r="A105" t="s">
        <v>2659</v>
      </c>
      <c r="B105" s="3" t="s">
        <v>29</v>
      </c>
      <c r="C105" s="3"/>
      <c r="D105" s="3">
        <v>4400847920</v>
      </c>
      <c r="E105" s="3">
        <v>1</v>
      </c>
      <c r="F105" s="3" t="s">
        <v>2549</v>
      </c>
      <c r="G105" s="3"/>
      <c r="H105" s="3" t="s">
        <v>17</v>
      </c>
      <c r="I105" s="3"/>
      <c r="J105" s="163" t="s">
        <v>2743</v>
      </c>
      <c r="K105" s="164"/>
      <c r="L105" s="3">
        <v>1</v>
      </c>
      <c r="N105" s="148">
        <v>75453</v>
      </c>
      <c r="R105" s="148">
        <f>Table242[[#This Row],[Material Unit Price]]+Table242[[#This Row],[Labor Unit Price]]+Table242[[#This Row],[GC + Manage+ Insur]]</f>
        <v>75453</v>
      </c>
      <c r="S105" s="148">
        <f>Table242[[#This Row],[Total Per Tool]]*Table242[[#This Row],[Tool QTY]]</f>
        <v>75453</v>
      </c>
      <c r="U105" s="149" t="s">
        <v>2742</v>
      </c>
      <c r="W105" s="148" t="s">
        <v>2551</v>
      </c>
      <c r="X10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75453</v>
      </c>
      <c r="Y105" s="150">
        <f>Table242[[#This Row],[Total AR (Received)]]/Table242[[#This Row],[PO Amount]]</f>
        <v>1</v>
      </c>
      <c r="Z105" s="151">
        <f>Table242[[#This Row],[PO Amount]]-Table242[[#This Row],[Total AR (Received)]]</f>
        <v>0</v>
      </c>
      <c r="AA105" s="3"/>
      <c r="AF105" s="3"/>
      <c r="BD105" s="154" t="s">
        <v>550</v>
      </c>
      <c r="BF105" s="171">
        <v>75453</v>
      </c>
      <c r="BG105" s="287"/>
      <c r="BJ105" s="165"/>
      <c r="BR105" s="156">
        <f t="shared" si="1"/>
        <v>75453</v>
      </c>
    </row>
    <row r="106" spans="1:70" ht="14.45" hidden="1">
      <c r="A106" t="s">
        <v>2659</v>
      </c>
      <c r="B106" s="3" t="s">
        <v>29</v>
      </c>
      <c r="C106" s="3"/>
      <c r="D106" s="3">
        <v>4400847923</v>
      </c>
      <c r="E106" s="3">
        <v>1</v>
      </c>
      <c r="F106" s="3" t="s">
        <v>2549</v>
      </c>
      <c r="G106" s="3"/>
      <c r="H106" s="3" t="s">
        <v>17</v>
      </c>
      <c r="I106" s="3"/>
      <c r="J106" s="163" t="s">
        <v>2744</v>
      </c>
      <c r="K106" s="164"/>
      <c r="L106" s="3">
        <v>1</v>
      </c>
      <c r="N106" s="148">
        <v>75453</v>
      </c>
      <c r="R106" s="148">
        <f>Table242[[#This Row],[Material Unit Price]]+Table242[[#This Row],[Labor Unit Price]]+Table242[[#This Row],[GC + Manage+ Insur]]</f>
        <v>75453</v>
      </c>
      <c r="S106" s="148">
        <f>Table242[[#This Row],[Total Per Tool]]*Table242[[#This Row],[Tool QTY]]</f>
        <v>75453</v>
      </c>
      <c r="U106" s="149" t="s">
        <v>2742</v>
      </c>
      <c r="W106" s="148" t="s">
        <v>2551</v>
      </c>
      <c r="X10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75453</v>
      </c>
      <c r="Y106" s="150">
        <f>Table242[[#This Row],[Total AR (Received)]]/Table242[[#This Row],[PO Amount]]</f>
        <v>1</v>
      </c>
      <c r="Z106" s="151">
        <f>Table242[[#This Row],[PO Amount]]-Table242[[#This Row],[Total AR (Received)]]</f>
        <v>0</v>
      </c>
      <c r="AA106" s="3"/>
      <c r="AF106" s="3"/>
      <c r="BD106" s="154" t="s">
        <v>550</v>
      </c>
      <c r="BF106" s="171">
        <v>75453</v>
      </c>
      <c r="BG106" s="287"/>
      <c r="BJ106" s="165"/>
      <c r="BR106" s="156">
        <f t="shared" si="1"/>
        <v>75453</v>
      </c>
    </row>
    <row r="107" spans="1:70" ht="14.45" hidden="1">
      <c r="A107" t="s">
        <v>2659</v>
      </c>
      <c r="B107" s="3" t="s">
        <v>29</v>
      </c>
      <c r="C107" s="3"/>
      <c r="D107" s="3">
        <v>4400850638</v>
      </c>
      <c r="E107" s="3">
        <v>1</v>
      </c>
      <c r="F107" s="3" t="s">
        <v>2549</v>
      </c>
      <c r="G107" s="3"/>
      <c r="H107" s="3" t="s">
        <v>17</v>
      </c>
      <c r="I107" s="3"/>
      <c r="J107" s="163" t="s">
        <v>2745</v>
      </c>
      <c r="K107" s="164"/>
      <c r="L107" s="3">
        <v>1</v>
      </c>
      <c r="N107" s="148">
        <v>3160</v>
      </c>
      <c r="R107" s="148">
        <f>Table242[[#This Row],[Material Unit Price]]+Table242[[#This Row],[Labor Unit Price]]+Table242[[#This Row],[GC + Manage+ Insur]]</f>
        <v>3160</v>
      </c>
      <c r="S107" s="148">
        <f>Table242[[#This Row],[Total Per Tool]]*Table242[[#This Row],[Tool QTY]]</f>
        <v>3160</v>
      </c>
      <c r="U107" s="149" t="s">
        <v>2746</v>
      </c>
      <c r="W107" s="148" t="s">
        <v>2551</v>
      </c>
      <c r="X10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3160</v>
      </c>
      <c r="Y107" s="150">
        <f>Table242[[#This Row],[Total AR (Received)]]/Table242[[#This Row],[PO Amount]]</f>
        <v>1</v>
      </c>
      <c r="Z107" s="151">
        <f>Table242[[#This Row],[PO Amount]]-Table242[[#This Row],[Total AR (Received)]]</f>
        <v>0</v>
      </c>
      <c r="AA107" s="3"/>
      <c r="AF107" s="3"/>
      <c r="BD107" s="172">
        <v>3160</v>
      </c>
      <c r="BF107" s="165">
        <v>0</v>
      </c>
      <c r="BG107" s="287"/>
      <c r="BJ107" s="165"/>
      <c r="BR107" s="156">
        <f t="shared" si="1"/>
        <v>3160</v>
      </c>
    </row>
    <row r="108" spans="1:70" ht="14.45" hidden="1">
      <c r="A108" t="s">
        <v>2659</v>
      </c>
      <c r="B108" s="3" t="s">
        <v>29</v>
      </c>
      <c r="C108" s="3"/>
      <c r="D108" s="3">
        <v>4400850639</v>
      </c>
      <c r="E108" s="3">
        <v>1</v>
      </c>
      <c r="F108" s="3" t="s">
        <v>2549</v>
      </c>
      <c r="G108" s="3"/>
      <c r="H108" s="3" t="s">
        <v>17</v>
      </c>
      <c r="I108" s="3"/>
      <c r="J108" s="163" t="s">
        <v>2747</v>
      </c>
      <c r="K108" s="164"/>
      <c r="L108" s="3">
        <v>1</v>
      </c>
      <c r="N108" s="148">
        <v>3160</v>
      </c>
      <c r="R108" s="148">
        <f>Table242[[#This Row],[Material Unit Price]]+Table242[[#This Row],[Labor Unit Price]]+Table242[[#This Row],[GC + Manage+ Insur]]</f>
        <v>3160</v>
      </c>
      <c r="S108" s="148">
        <f>Table242[[#This Row],[Total Per Tool]]*Table242[[#This Row],[Tool QTY]]</f>
        <v>3160</v>
      </c>
      <c r="U108" s="149" t="s">
        <v>2746</v>
      </c>
      <c r="W108" s="148" t="s">
        <v>2551</v>
      </c>
      <c r="X10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3160</v>
      </c>
      <c r="Y108" s="150">
        <f>Table242[[#This Row],[Total AR (Received)]]/Table242[[#This Row],[PO Amount]]</f>
        <v>1</v>
      </c>
      <c r="Z108" s="151">
        <f>Table242[[#This Row],[PO Amount]]-Table242[[#This Row],[Total AR (Received)]]</f>
        <v>0</v>
      </c>
      <c r="AA108" s="3"/>
      <c r="AF108" s="3"/>
      <c r="BD108" s="154" t="s">
        <v>550</v>
      </c>
      <c r="BF108" s="171">
        <v>3160</v>
      </c>
      <c r="BG108" s="287"/>
      <c r="BJ108" s="165"/>
      <c r="BR108" s="156">
        <f t="shared" si="1"/>
        <v>3160</v>
      </c>
    </row>
    <row r="109" spans="1:70" ht="14.45" hidden="1">
      <c r="A109" t="s">
        <v>2659</v>
      </c>
      <c r="B109" s="3" t="s">
        <v>29</v>
      </c>
      <c r="C109" s="3"/>
      <c r="D109" s="3">
        <v>4400851510</v>
      </c>
      <c r="E109" s="3">
        <v>1</v>
      </c>
      <c r="F109" s="3" t="s">
        <v>2549</v>
      </c>
      <c r="G109" s="3"/>
      <c r="H109" s="3" t="s">
        <v>17</v>
      </c>
      <c r="I109" s="3"/>
      <c r="J109" s="163" t="s">
        <v>2748</v>
      </c>
      <c r="K109" s="164"/>
      <c r="L109" s="3">
        <v>1</v>
      </c>
      <c r="N109" s="148">
        <v>760</v>
      </c>
      <c r="R109" s="148">
        <f>Table242[[#This Row],[Material Unit Price]]+Table242[[#This Row],[Labor Unit Price]]+Table242[[#This Row],[GC + Manage+ Insur]]</f>
        <v>760</v>
      </c>
      <c r="S109" s="148">
        <f>Table242[[#This Row],[Total Per Tool]]*Table242[[#This Row],[Tool QTY]]</f>
        <v>760</v>
      </c>
      <c r="U109" s="149" t="s">
        <v>2749</v>
      </c>
      <c r="W109" s="148" t="s">
        <v>2551</v>
      </c>
      <c r="X10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760</v>
      </c>
      <c r="Y109" s="150">
        <f>Table242[[#This Row],[Total AR (Received)]]/Table242[[#This Row],[PO Amount]]</f>
        <v>1</v>
      </c>
      <c r="Z109" s="151">
        <f>Table242[[#This Row],[PO Amount]]-Table242[[#This Row],[Total AR (Received)]]</f>
        <v>0</v>
      </c>
      <c r="AA109" s="3"/>
      <c r="AF109" s="3"/>
      <c r="BD109" s="172">
        <v>760</v>
      </c>
      <c r="BF109" s="165">
        <v>0</v>
      </c>
      <c r="BG109" s="287"/>
      <c r="BJ109" s="165"/>
      <c r="BR109" s="156">
        <f t="shared" si="1"/>
        <v>760</v>
      </c>
    </row>
    <row r="110" spans="1:70" ht="14.45" hidden="1">
      <c r="A110" t="s">
        <v>2659</v>
      </c>
      <c r="B110" s="3" t="s">
        <v>29</v>
      </c>
      <c r="C110" s="3"/>
      <c r="D110" s="3">
        <v>4400851516</v>
      </c>
      <c r="E110" s="3">
        <v>1</v>
      </c>
      <c r="F110" s="3" t="s">
        <v>2549</v>
      </c>
      <c r="G110" s="3"/>
      <c r="H110" s="3" t="s">
        <v>17</v>
      </c>
      <c r="I110" s="3"/>
      <c r="J110" s="163" t="s">
        <v>2750</v>
      </c>
      <c r="K110" s="164"/>
      <c r="L110" s="3">
        <v>1</v>
      </c>
      <c r="N110" s="148">
        <v>760</v>
      </c>
      <c r="R110" s="148">
        <f>Table242[[#This Row],[Material Unit Price]]+Table242[[#This Row],[Labor Unit Price]]+Table242[[#This Row],[GC + Manage+ Insur]]</f>
        <v>760</v>
      </c>
      <c r="S110" s="148">
        <f>Table242[[#This Row],[Total Per Tool]]*Table242[[#This Row],[Tool QTY]]</f>
        <v>760</v>
      </c>
      <c r="U110" s="149" t="s">
        <v>2749</v>
      </c>
      <c r="W110" s="148" t="s">
        <v>2551</v>
      </c>
      <c r="X11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760</v>
      </c>
      <c r="Y110" s="150">
        <f>Table242[[#This Row],[Total AR (Received)]]/Table242[[#This Row],[PO Amount]]</f>
        <v>1</v>
      </c>
      <c r="Z110" s="151">
        <f>Table242[[#This Row],[PO Amount]]-Table242[[#This Row],[Total AR (Received)]]</f>
        <v>0</v>
      </c>
      <c r="AA110" s="3"/>
      <c r="AF110" s="3"/>
      <c r="BD110" s="154" t="s">
        <v>550</v>
      </c>
      <c r="BF110" s="171">
        <v>760</v>
      </c>
      <c r="BG110" s="287"/>
      <c r="BJ110" s="165"/>
      <c r="BR110" s="156">
        <f t="shared" si="1"/>
        <v>760</v>
      </c>
    </row>
    <row r="111" spans="1:70" ht="14.45" hidden="1">
      <c r="A111" t="s">
        <v>2659</v>
      </c>
      <c r="B111" s="3" t="s">
        <v>29</v>
      </c>
      <c r="C111" s="3"/>
      <c r="D111" s="3">
        <v>4400853946</v>
      </c>
      <c r="E111" s="3">
        <v>1</v>
      </c>
      <c r="F111" s="3" t="s">
        <v>2549</v>
      </c>
      <c r="G111" s="3"/>
      <c r="H111" s="3" t="s">
        <v>17</v>
      </c>
      <c r="I111" s="3"/>
      <c r="J111" s="163" t="s">
        <v>2751</v>
      </c>
      <c r="K111" s="164"/>
      <c r="L111" s="3">
        <v>1</v>
      </c>
      <c r="N111" s="148">
        <v>3799</v>
      </c>
      <c r="R111" s="148">
        <f>Table242[[#This Row],[Material Unit Price]]+Table242[[#This Row],[Labor Unit Price]]+Table242[[#This Row],[GC + Manage+ Insur]]</f>
        <v>3799</v>
      </c>
      <c r="S111" s="148">
        <f>Table242[[#This Row],[Total Per Tool]]*Table242[[#This Row],[Tool QTY]]</f>
        <v>3799</v>
      </c>
      <c r="U111" s="149" t="s">
        <v>2752</v>
      </c>
      <c r="W111" s="148" t="s">
        <v>2551</v>
      </c>
      <c r="X11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3799</v>
      </c>
      <c r="Y111" s="150">
        <f>Table242[[#This Row],[Total AR (Received)]]/Table242[[#This Row],[PO Amount]]</f>
        <v>1</v>
      </c>
      <c r="Z111" s="151">
        <f>Table242[[#This Row],[PO Amount]]-Table242[[#This Row],[Total AR (Received)]]</f>
        <v>0</v>
      </c>
      <c r="AA111" s="3"/>
      <c r="AF111" s="3"/>
      <c r="BD111" s="154" t="s">
        <v>550</v>
      </c>
      <c r="BF111" s="171">
        <v>3799</v>
      </c>
      <c r="BG111" s="287"/>
      <c r="BJ111" s="165"/>
      <c r="BR111" s="156">
        <f t="shared" si="1"/>
        <v>3799</v>
      </c>
    </row>
    <row r="112" spans="1:70" ht="14.45" hidden="1">
      <c r="A112" t="s">
        <v>2659</v>
      </c>
      <c r="B112" s="3" t="s">
        <v>29</v>
      </c>
      <c r="C112" s="3"/>
      <c r="D112" s="3">
        <v>4400853964</v>
      </c>
      <c r="E112" s="3">
        <v>1</v>
      </c>
      <c r="F112" s="3" t="s">
        <v>2549</v>
      </c>
      <c r="G112" s="3"/>
      <c r="H112" s="3" t="s">
        <v>17</v>
      </c>
      <c r="I112" s="3"/>
      <c r="J112" s="163" t="s">
        <v>2753</v>
      </c>
      <c r="K112" s="164"/>
      <c r="L112" s="3">
        <v>1</v>
      </c>
      <c r="N112" s="148">
        <v>190037</v>
      </c>
      <c r="R112" s="148">
        <f>Table242[[#This Row],[Material Unit Price]]+Table242[[#This Row],[Labor Unit Price]]+Table242[[#This Row],[GC + Manage+ Insur]]</f>
        <v>190037</v>
      </c>
      <c r="S112" s="148">
        <f>Table242[[#This Row],[Total Per Tool]]*Table242[[#This Row],[Tool QTY]]</f>
        <v>190037</v>
      </c>
      <c r="U112" s="149" t="s">
        <v>2752</v>
      </c>
      <c r="W112" s="148" t="s">
        <v>2551</v>
      </c>
      <c r="X11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190037</v>
      </c>
      <c r="Y112" s="150">
        <f>Table242[[#This Row],[Total AR (Received)]]/Table242[[#This Row],[PO Amount]]</f>
        <v>1</v>
      </c>
      <c r="Z112" s="151">
        <f>Table242[[#This Row],[PO Amount]]-Table242[[#This Row],[Total AR (Received)]]</f>
        <v>0</v>
      </c>
      <c r="AA112" s="3"/>
      <c r="AD112" s="148">
        <v>190037</v>
      </c>
      <c r="AF112" s="3"/>
      <c r="BD112" s="154" t="s">
        <v>550</v>
      </c>
      <c r="BF112" s="165">
        <v>0</v>
      </c>
      <c r="BG112" s="287"/>
      <c r="BJ112" s="165"/>
      <c r="BR112" s="156">
        <f t="shared" si="1"/>
        <v>190037</v>
      </c>
    </row>
    <row r="113" spans="1:70" ht="14.45" hidden="1">
      <c r="A113" t="s">
        <v>2659</v>
      </c>
      <c r="B113" s="3" t="s">
        <v>29</v>
      </c>
      <c r="C113" s="3"/>
      <c r="D113" s="3">
        <v>4400854059</v>
      </c>
      <c r="E113" s="3">
        <v>1</v>
      </c>
      <c r="F113" s="3" t="s">
        <v>2549</v>
      </c>
      <c r="G113" s="3"/>
      <c r="H113" s="3" t="s">
        <v>17</v>
      </c>
      <c r="I113" s="3"/>
      <c r="J113" s="163" t="s">
        <v>2754</v>
      </c>
      <c r="K113" s="164"/>
      <c r="L113" s="3">
        <v>1</v>
      </c>
      <c r="N113" s="148">
        <v>1135</v>
      </c>
      <c r="R113" s="148">
        <f>Table242[[#This Row],[Material Unit Price]]+Table242[[#This Row],[Labor Unit Price]]+Table242[[#This Row],[GC + Manage+ Insur]]</f>
        <v>1135</v>
      </c>
      <c r="S113" s="148">
        <f>Table242[[#This Row],[Total Per Tool]]*Table242[[#This Row],[Tool QTY]]</f>
        <v>1135</v>
      </c>
      <c r="U113" s="149" t="s">
        <v>2752</v>
      </c>
      <c r="W113" s="148" t="s">
        <v>2551</v>
      </c>
      <c r="X11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1135</v>
      </c>
      <c r="Y113" s="150">
        <f>Table242[[#This Row],[Total AR (Received)]]/Table242[[#This Row],[PO Amount]]</f>
        <v>1</v>
      </c>
      <c r="Z113" s="151">
        <f>Table242[[#This Row],[PO Amount]]-Table242[[#This Row],[Total AR (Received)]]</f>
        <v>0</v>
      </c>
      <c r="AA113" s="3"/>
      <c r="AF113" s="3"/>
      <c r="BD113" s="154" t="s">
        <v>550</v>
      </c>
      <c r="BF113" s="171">
        <v>1135</v>
      </c>
      <c r="BG113" s="287"/>
      <c r="BJ113" s="165"/>
      <c r="BR113" s="156">
        <f t="shared" si="1"/>
        <v>1135</v>
      </c>
    </row>
    <row r="114" spans="1:70" ht="14.45" hidden="1">
      <c r="A114" t="s">
        <v>2659</v>
      </c>
      <c r="B114" s="3" t="s">
        <v>29</v>
      </c>
      <c r="C114" s="3"/>
      <c r="D114" s="3">
        <v>4400854358</v>
      </c>
      <c r="E114" s="3">
        <v>1</v>
      </c>
      <c r="F114" s="3" t="s">
        <v>2549</v>
      </c>
      <c r="G114" s="3"/>
      <c r="H114" s="3" t="s">
        <v>17</v>
      </c>
      <c r="I114" s="3"/>
      <c r="J114" s="163" t="s">
        <v>2755</v>
      </c>
      <c r="K114" s="164"/>
      <c r="L114" s="3">
        <v>1</v>
      </c>
      <c r="N114" s="148">
        <v>29720</v>
      </c>
      <c r="R114" s="148">
        <f>Table242[[#This Row],[Material Unit Price]]+Table242[[#This Row],[Labor Unit Price]]+Table242[[#This Row],[GC + Manage+ Insur]]</f>
        <v>29720</v>
      </c>
      <c r="S114" s="148">
        <f>Table242[[#This Row],[Total Per Tool]]*Table242[[#This Row],[Tool QTY]]</f>
        <v>29720</v>
      </c>
      <c r="U114" s="149" t="s">
        <v>2756</v>
      </c>
      <c r="W114" s="148" t="s">
        <v>2551</v>
      </c>
      <c r="X11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29720</v>
      </c>
      <c r="Y114" s="150">
        <f>Table242[[#This Row],[Total AR (Received)]]/Table242[[#This Row],[PO Amount]]</f>
        <v>1</v>
      </c>
      <c r="Z114" s="151">
        <f>Table242[[#This Row],[PO Amount]]-Table242[[#This Row],[Total AR (Received)]]</f>
        <v>0</v>
      </c>
      <c r="AA114" s="3"/>
      <c r="AF114" s="3"/>
      <c r="BD114" s="154" t="s">
        <v>550</v>
      </c>
      <c r="BF114" s="171">
        <v>29720</v>
      </c>
      <c r="BG114" s="287"/>
      <c r="BJ114" s="165"/>
      <c r="BR114" s="156">
        <f t="shared" si="1"/>
        <v>29720</v>
      </c>
    </row>
    <row r="115" spans="1:70" ht="14.45" hidden="1">
      <c r="A115" t="s">
        <v>2659</v>
      </c>
      <c r="B115" s="3" t="s">
        <v>29</v>
      </c>
      <c r="C115" s="3"/>
      <c r="D115" s="3">
        <v>4400854359</v>
      </c>
      <c r="E115" s="3">
        <v>1</v>
      </c>
      <c r="F115" s="3" t="s">
        <v>2549</v>
      </c>
      <c r="G115" s="3"/>
      <c r="H115" s="3" t="s">
        <v>17</v>
      </c>
      <c r="I115" s="3"/>
      <c r="J115" s="163" t="s">
        <v>2757</v>
      </c>
      <c r="K115" s="164"/>
      <c r="L115" s="3">
        <v>1</v>
      </c>
      <c r="N115" s="148">
        <v>29941</v>
      </c>
      <c r="R115" s="148">
        <f>Table242[[#This Row],[Material Unit Price]]+Table242[[#This Row],[Labor Unit Price]]+Table242[[#This Row],[GC + Manage+ Insur]]</f>
        <v>29941</v>
      </c>
      <c r="S115" s="148">
        <f>Table242[[#This Row],[Total Per Tool]]*Table242[[#This Row],[Tool QTY]]</f>
        <v>29941</v>
      </c>
      <c r="U115" s="149" t="s">
        <v>2756</v>
      </c>
      <c r="W115" s="148" t="s">
        <v>2551</v>
      </c>
      <c r="X11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29941</v>
      </c>
      <c r="Y115" s="150">
        <f>Table242[[#This Row],[Total AR (Received)]]/Table242[[#This Row],[PO Amount]]</f>
        <v>1</v>
      </c>
      <c r="Z115" s="151">
        <f>Table242[[#This Row],[PO Amount]]-Table242[[#This Row],[Total AR (Received)]]</f>
        <v>0</v>
      </c>
      <c r="AA115" s="3"/>
      <c r="AF115" s="3"/>
      <c r="BD115" s="154" t="s">
        <v>550</v>
      </c>
      <c r="BF115" s="165">
        <v>0</v>
      </c>
      <c r="BG115" s="287"/>
      <c r="BH115" s="171">
        <v>29941</v>
      </c>
      <c r="BJ115" s="165"/>
      <c r="BR115" s="156">
        <f t="shared" si="1"/>
        <v>29941</v>
      </c>
    </row>
    <row r="116" spans="1:70" ht="14.45" hidden="1">
      <c r="A116" t="s">
        <v>2659</v>
      </c>
      <c r="B116" s="3" t="s">
        <v>29</v>
      </c>
      <c r="C116" s="3"/>
      <c r="D116" s="3">
        <v>4400854379</v>
      </c>
      <c r="E116" s="3">
        <v>1</v>
      </c>
      <c r="F116" s="3" t="s">
        <v>2549</v>
      </c>
      <c r="G116" s="3"/>
      <c r="H116" s="3" t="s">
        <v>17</v>
      </c>
      <c r="I116" s="3"/>
      <c r="J116" s="163" t="s">
        <v>2758</v>
      </c>
      <c r="K116" s="164"/>
      <c r="L116" s="3">
        <v>1</v>
      </c>
      <c r="N116" s="148">
        <v>29941</v>
      </c>
      <c r="R116" s="148">
        <f>Table242[[#This Row],[Material Unit Price]]+Table242[[#This Row],[Labor Unit Price]]+Table242[[#This Row],[GC + Manage+ Insur]]</f>
        <v>29941</v>
      </c>
      <c r="S116" s="148">
        <f>Table242[[#This Row],[Total Per Tool]]*Table242[[#This Row],[Tool QTY]]</f>
        <v>29941</v>
      </c>
      <c r="U116" s="149" t="s">
        <v>2756</v>
      </c>
      <c r="W116" s="148" t="s">
        <v>2551</v>
      </c>
      <c r="X11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29941</v>
      </c>
      <c r="Y116" s="150">
        <f>Table242[[#This Row],[Total AR (Received)]]/Table242[[#This Row],[PO Amount]]</f>
        <v>1</v>
      </c>
      <c r="Z116" s="151">
        <f>Table242[[#This Row],[PO Amount]]-Table242[[#This Row],[Total AR (Received)]]</f>
        <v>0</v>
      </c>
      <c r="AA116" s="3"/>
      <c r="AF116" s="3"/>
      <c r="BD116" s="154" t="s">
        <v>550</v>
      </c>
      <c r="BF116" s="171">
        <v>29941</v>
      </c>
      <c r="BG116" s="287"/>
      <c r="BJ116" s="165"/>
      <c r="BR116" s="156">
        <f t="shared" si="1"/>
        <v>29941</v>
      </c>
    </row>
    <row r="117" spans="1:70" ht="14.45" hidden="1">
      <c r="A117" t="s">
        <v>2659</v>
      </c>
      <c r="B117" s="3" t="s">
        <v>29</v>
      </c>
      <c r="C117" s="3"/>
      <c r="D117" s="3">
        <v>4400854401</v>
      </c>
      <c r="E117" s="3">
        <v>1</v>
      </c>
      <c r="F117" s="3" t="s">
        <v>2549</v>
      </c>
      <c r="G117" s="3"/>
      <c r="H117" s="3" t="s">
        <v>17</v>
      </c>
      <c r="I117" s="3"/>
      <c r="J117" s="163" t="s">
        <v>2759</v>
      </c>
      <c r="K117" s="164"/>
      <c r="L117" s="3">
        <v>1</v>
      </c>
      <c r="N117" s="148">
        <v>98189</v>
      </c>
      <c r="R117" s="148">
        <f>Table242[[#This Row],[Material Unit Price]]+Table242[[#This Row],[Labor Unit Price]]+Table242[[#This Row],[GC + Manage+ Insur]]</f>
        <v>98189</v>
      </c>
      <c r="S117" s="148">
        <f>Table242[[#This Row],[Total Per Tool]]*Table242[[#This Row],[Tool QTY]]</f>
        <v>98189</v>
      </c>
      <c r="U117" s="149" t="s">
        <v>2756</v>
      </c>
      <c r="W117" s="148" t="s">
        <v>2551</v>
      </c>
      <c r="X11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98189</v>
      </c>
      <c r="Y117" s="150">
        <f>Table242[[#This Row],[Total AR (Received)]]/Table242[[#This Row],[PO Amount]]</f>
        <v>1</v>
      </c>
      <c r="Z117" s="151">
        <f>Table242[[#This Row],[PO Amount]]-Table242[[#This Row],[Total AR (Received)]]</f>
        <v>0</v>
      </c>
      <c r="AA117" s="3"/>
      <c r="AF117" s="3"/>
      <c r="BD117" s="154" t="s">
        <v>550</v>
      </c>
      <c r="BF117" s="165">
        <v>0</v>
      </c>
      <c r="BG117" s="287"/>
      <c r="BJ117" s="357">
        <v>98189</v>
      </c>
      <c r="BR117" s="156">
        <f t="shared" si="1"/>
        <v>0</v>
      </c>
    </row>
    <row r="118" spans="1:70" ht="14.45" hidden="1">
      <c r="A118" t="s">
        <v>2659</v>
      </c>
      <c r="B118" s="3" t="s">
        <v>29</v>
      </c>
      <c r="C118" s="3"/>
      <c r="D118" s="3">
        <v>4400854402</v>
      </c>
      <c r="E118" s="3">
        <v>1</v>
      </c>
      <c r="F118" s="3" t="s">
        <v>2549</v>
      </c>
      <c r="G118" s="3"/>
      <c r="H118" s="3" t="s">
        <v>17</v>
      </c>
      <c r="I118" s="3"/>
      <c r="J118" s="163" t="s">
        <v>2760</v>
      </c>
      <c r="K118" s="164"/>
      <c r="L118" s="3">
        <v>1</v>
      </c>
      <c r="N118" s="148">
        <v>98189</v>
      </c>
      <c r="R118" s="148">
        <f>Table242[[#This Row],[Material Unit Price]]+Table242[[#This Row],[Labor Unit Price]]+Table242[[#This Row],[GC + Manage+ Insur]]</f>
        <v>98189</v>
      </c>
      <c r="S118" s="148">
        <f>Table242[[#This Row],[Total Per Tool]]*Table242[[#This Row],[Tool QTY]]</f>
        <v>98189</v>
      </c>
      <c r="U118" s="149" t="s">
        <v>2756</v>
      </c>
      <c r="W118" s="148" t="s">
        <v>2551</v>
      </c>
      <c r="X11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98189</v>
      </c>
      <c r="Y118" s="150">
        <f>Table242[[#This Row],[Total AR (Received)]]/Table242[[#This Row],[PO Amount]]</f>
        <v>1</v>
      </c>
      <c r="Z118" s="151">
        <f>Table242[[#This Row],[PO Amount]]-Table242[[#This Row],[Total AR (Received)]]</f>
        <v>0</v>
      </c>
      <c r="AA118" s="3"/>
      <c r="AF118" s="3"/>
      <c r="BD118" s="154" t="s">
        <v>550</v>
      </c>
      <c r="BF118" s="165">
        <v>0</v>
      </c>
      <c r="BG118" s="287"/>
      <c r="BJ118" s="357">
        <v>98189</v>
      </c>
      <c r="BR118" s="156">
        <f t="shared" si="1"/>
        <v>0</v>
      </c>
    </row>
    <row r="119" spans="1:70" ht="14.45" hidden="1">
      <c r="A119" t="s">
        <v>2659</v>
      </c>
      <c r="B119" s="3" t="s">
        <v>29</v>
      </c>
      <c r="C119" s="3"/>
      <c r="D119" s="3">
        <v>4400854404</v>
      </c>
      <c r="E119" s="3">
        <v>1</v>
      </c>
      <c r="F119" s="3" t="s">
        <v>2549</v>
      </c>
      <c r="G119" s="3"/>
      <c r="H119" s="3" t="s">
        <v>17</v>
      </c>
      <c r="I119" s="3"/>
      <c r="J119" s="163" t="s">
        <v>2761</v>
      </c>
      <c r="K119" s="164"/>
      <c r="L119" s="3">
        <v>1</v>
      </c>
      <c r="N119" s="148">
        <v>98189</v>
      </c>
      <c r="R119" s="148">
        <f>Table242[[#This Row],[Material Unit Price]]+Table242[[#This Row],[Labor Unit Price]]+Table242[[#This Row],[GC + Manage+ Insur]]</f>
        <v>98189</v>
      </c>
      <c r="S119" s="148">
        <f>Table242[[#This Row],[Total Per Tool]]*Table242[[#This Row],[Tool QTY]]</f>
        <v>98189</v>
      </c>
      <c r="U119" s="149" t="s">
        <v>2756</v>
      </c>
      <c r="W119" s="148" t="s">
        <v>2551</v>
      </c>
      <c r="X11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98189</v>
      </c>
      <c r="Y119" s="150">
        <f>Table242[[#This Row],[Total AR (Received)]]/Table242[[#This Row],[PO Amount]]</f>
        <v>1</v>
      </c>
      <c r="Z119" s="151">
        <f>Table242[[#This Row],[PO Amount]]-Table242[[#This Row],[Total AR (Received)]]</f>
        <v>0</v>
      </c>
      <c r="AA119" s="3"/>
      <c r="AF119" s="3"/>
      <c r="BD119" s="154" t="s">
        <v>550</v>
      </c>
      <c r="BF119" s="165">
        <v>0</v>
      </c>
      <c r="BG119" s="287"/>
      <c r="BJ119" s="357">
        <v>98189</v>
      </c>
      <c r="BR119" s="156">
        <f t="shared" si="1"/>
        <v>0</v>
      </c>
    </row>
    <row r="120" spans="1:70" ht="14.45" hidden="1">
      <c r="A120" t="s">
        <v>2659</v>
      </c>
      <c r="B120" s="3" t="s">
        <v>29</v>
      </c>
      <c r="C120" s="3"/>
      <c r="D120" s="3">
        <v>4400854408</v>
      </c>
      <c r="E120" s="3">
        <v>1</v>
      </c>
      <c r="F120" s="3" t="s">
        <v>2549</v>
      </c>
      <c r="G120" s="3"/>
      <c r="H120" s="3" t="s">
        <v>17</v>
      </c>
      <c r="I120" s="3"/>
      <c r="J120" s="163" t="s">
        <v>2762</v>
      </c>
      <c r="K120" s="164"/>
      <c r="L120" s="3">
        <v>1</v>
      </c>
      <c r="N120" s="148">
        <v>190037</v>
      </c>
      <c r="R120" s="148">
        <f>Table242[[#This Row],[Material Unit Price]]+Table242[[#This Row],[Labor Unit Price]]+Table242[[#This Row],[GC + Manage+ Insur]]</f>
        <v>190037</v>
      </c>
      <c r="S120" s="148">
        <f>Table242[[#This Row],[Total Per Tool]]*Table242[[#This Row],[Tool QTY]]</f>
        <v>190037</v>
      </c>
      <c r="U120" s="149" t="s">
        <v>2756</v>
      </c>
      <c r="W120" s="148" t="s">
        <v>2551</v>
      </c>
      <c r="X12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190037</v>
      </c>
      <c r="Y120" s="150">
        <f>Table242[[#This Row],[Total AR (Received)]]/Table242[[#This Row],[PO Amount]]</f>
        <v>1</v>
      </c>
      <c r="Z120" s="151">
        <f>Table242[[#This Row],[PO Amount]]-Table242[[#This Row],[Total AR (Received)]]</f>
        <v>0</v>
      </c>
      <c r="AA120" s="3"/>
      <c r="AF120" s="3"/>
      <c r="BD120" s="154" t="s">
        <v>550</v>
      </c>
      <c r="BF120" s="165">
        <v>0</v>
      </c>
      <c r="BG120" s="287"/>
      <c r="BH120" s="171">
        <v>190037</v>
      </c>
      <c r="BJ120" s="165"/>
      <c r="BR120" s="156">
        <f t="shared" si="1"/>
        <v>190037</v>
      </c>
    </row>
    <row r="121" spans="1:70" ht="14.45" hidden="1">
      <c r="A121" t="s">
        <v>2659</v>
      </c>
      <c r="B121" s="3" t="s">
        <v>29</v>
      </c>
      <c r="C121" s="3"/>
      <c r="D121" s="3">
        <v>4400854441</v>
      </c>
      <c r="E121" s="3">
        <v>1</v>
      </c>
      <c r="F121" s="3" t="s">
        <v>2549</v>
      </c>
      <c r="G121" s="3"/>
      <c r="H121" s="3" t="s">
        <v>17</v>
      </c>
      <c r="I121" s="3" t="s">
        <v>2763</v>
      </c>
      <c r="J121" s="163" t="s">
        <v>2764</v>
      </c>
      <c r="K121" s="164"/>
      <c r="L121" s="3">
        <v>1</v>
      </c>
      <c r="N121" s="148">
        <v>76550</v>
      </c>
      <c r="R121" s="148">
        <f>Table242[[#This Row],[Material Unit Price]]+Table242[[#This Row],[Labor Unit Price]]+Table242[[#This Row],[GC + Manage+ Insur]]</f>
        <v>76550</v>
      </c>
      <c r="S121" s="148">
        <f>Table242[[#This Row],[Total Per Tool]]*Table242[[#This Row],[Tool QTY]]</f>
        <v>76550</v>
      </c>
      <c r="U121" s="149" t="s">
        <v>2756</v>
      </c>
      <c r="W121" s="148" t="s">
        <v>2551</v>
      </c>
      <c r="X12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76550</v>
      </c>
      <c r="Y121" s="150">
        <f>Table242[[#This Row],[Total AR (Received)]]/Table242[[#This Row],[PO Amount]]</f>
        <v>1</v>
      </c>
      <c r="Z121" s="151">
        <f>Table242[[#This Row],[PO Amount]]-Table242[[#This Row],[Total AR (Received)]]</f>
        <v>0</v>
      </c>
      <c r="AA121" s="3"/>
      <c r="AF121" s="3"/>
      <c r="BD121" s="172">
        <v>76550</v>
      </c>
      <c r="BF121" s="165">
        <v>0</v>
      </c>
      <c r="BG121" s="287"/>
      <c r="BJ121" s="165"/>
      <c r="BR121" s="156">
        <f t="shared" si="1"/>
        <v>76550</v>
      </c>
    </row>
    <row r="122" spans="1:70" ht="14.45" hidden="1">
      <c r="A122" t="s">
        <v>2659</v>
      </c>
      <c r="B122" s="3" t="s">
        <v>29</v>
      </c>
      <c r="C122" s="3"/>
      <c r="D122" s="3">
        <v>4400854468</v>
      </c>
      <c r="E122" s="3">
        <v>1</v>
      </c>
      <c r="F122" s="3" t="s">
        <v>2549</v>
      </c>
      <c r="G122" s="3"/>
      <c r="H122" s="3" t="s">
        <v>17</v>
      </c>
      <c r="I122" s="3"/>
      <c r="J122" s="163" t="s">
        <v>2765</v>
      </c>
      <c r="K122" s="164"/>
      <c r="L122" s="3">
        <v>1</v>
      </c>
      <c r="N122" s="148">
        <v>75453</v>
      </c>
      <c r="R122" s="148">
        <f>Table242[[#This Row],[Material Unit Price]]+Table242[[#This Row],[Labor Unit Price]]+Table242[[#This Row],[GC + Manage+ Insur]]</f>
        <v>75453</v>
      </c>
      <c r="S122" s="148">
        <f>Table242[[#This Row],[Total Per Tool]]*Table242[[#This Row],[Tool QTY]]</f>
        <v>75453</v>
      </c>
      <c r="U122" s="149" t="s">
        <v>2756</v>
      </c>
      <c r="W122" s="148" t="s">
        <v>2551</v>
      </c>
      <c r="X12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75453</v>
      </c>
      <c r="Y122" s="150">
        <f>Table242[[#This Row],[Total AR (Received)]]/Table242[[#This Row],[PO Amount]]</f>
        <v>1</v>
      </c>
      <c r="Z122" s="151">
        <f>Table242[[#This Row],[PO Amount]]-Table242[[#This Row],[Total AR (Received)]]</f>
        <v>0</v>
      </c>
      <c r="AA122" s="3"/>
      <c r="AF122" s="3"/>
      <c r="BD122" s="154" t="s">
        <v>550</v>
      </c>
      <c r="BF122" s="165">
        <v>0</v>
      </c>
      <c r="BG122" s="287"/>
      <c r="BJ122" s="357">
        <v>75453</v>
      </c>
      <c r="BR122" s="156">
        <f t="shared" si="1"/>
        <v>0</v>
      </c>
    </row>
    <row r="123" spans="1:70" ht="14.45" hidden="1">
      <c r="A123" t="s">
        <v>2659</v>
      </c>
      <c r="B123" s="3" t="s">
        <v>29</v>
      </c>
      <c r="C123" s="3"/>
      <c r="D123" s="3">
        <v>4400854535</v>
      </c>
      <c r="E123" s="3">
        <v>1</v>
      </c>
      <c r="F123" s="3" t="s">
        <v>2549</v>
      </c>
      <c r="G123" s="3"/>
      <c r="H123" s="3" t="s">
        <v>17</v>
      </c>
      <c r="I123" s="3"/>
      <c r="J123" s="163" t="s">
        <v>2766</v>
      </c>
      <c r="K123" s="164"/>
      <c r="L123" s="3">
        <v>1</v>
      </c>
      <c r="N123" s="148">
        <v>98189</v>
      </c>
      <c r="R123" s="148">
        <f>Table242[[#This Row],[Material Unit Price]]+Table242[[#This Row],[Labor Unit Price]]+Table242[[#This Row],[GC + Manage+ Insur]]</f>
        <v>98189</v>
      </c>
      <c r="S123" s="148">
        <f>Table242[[#This Row],[Total Per Tool]]*Table242[[#This Row],[Tool QTY]]</f>
        <v>98189</v>
      </c>
      <c r="U123" s="149" t="s">
        <v>2767</v>
      </c>
      <c r="W123" s="148" t="s">
        <v>2551</v>
      </c>
      <c r="X12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98189</v>
      </c>
      <c r="Y123" s="150">
        <f>Table242[[#This Row],[Total AR (Received)]]/Table242[[#This Row],[PO Amount]]</f>
        <v>1</v>
      </c>
      <c r="Z123" s="151">
        <f>Table242[[#This Row],[PO Amount]]-Table242[[#This Row],[Total AR (Received)]]</f>
        <v>0</v>
      </c>
      <c r="AA123" s="3"/>
      <c r="AF123" s="3"/>
      <c r="BD123" s="154" t="s">
        <v>550</v>
      </c>
      <c r="BF123" s="165">
        <v>0</v>
      </c>
      <c r="BG123" s="287"/>
      <c r="BJ123" s="357">
        <v>98189</v>
      </c>
      <c r="BR123" s="156">
        <f t="shared" si="1"/>
        <v>0</v>
      </c>
    </row>
    <row r="124" spans="1:70" ht="14.45" hidden="1">
      <c r="A124" t="s">
        <v>2659</v>
      </c>
      <c r="B124" s="3" t="s">
        <v>29</v>
      </c>
      <c r="C124" s="3"/>
      <c r="D124" s="3">
        <v>4400854537</v>
      </c>
      <c r="E124" s="3">
        <v>1</v>
      </c>
      <c r="F124" s="3" t="s">
        <v>2549</v>
      </c>
      <c r="G124" s="3"/>
      <c r="H124" s="3" t="s">
        <v>17</v>
      </c>
      <c r="I124" s="3"/>
      <c r="J124" s="163" t="s">
        <v>2768</v>
      </c>
      <c r="K124" s="164"/>
      <c r="L124" s="3">
        <v>1</v>
      </c>
      <c r="N124" s="148">
        <v>98189</v>
      </c>
      <c r="R124" s="148">
        <f>Table242[[#This Row],[Material Unit Price]]+Table242[[#This Row],[Labor Unit Price]]+Table242[[#This Row],[GC + Manage+ Insur]]</f>
        <v>98189</v>
      </c>
      <c r="S124" s="148">
        <f>Table242[[#This Row],[Total Per Tool]]*Table242[[#This Row],[Tool QTY]]</f>
        <v>98189</v>
      </c>
      <c r="U124" s="149" t="s">
        <v>2767</v>
      </c>
      <c r="W124" s="148" t="s">
        <v>2551</v>
      </c>
      <c r="X12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98189</v>
      </c>
      <c r="Y124" s="150">
        <f>Table242[[#This Row],[Total AR (Received)]]/Table242[[#This Row],[PO Amount]]</f>
        <v>1</v>
      </c>
      <c r="Z124" s="151">
        <f>Table242[[#This Row],[PO Amount]]-Table242[[#This Row],[Total AR (Received)]]</f>
        <v>0</v>
      </c>
      <c r="AA124" s="3"/>
      <c r="AF124" s="3"/>
      <c r="BD124" s="154" t="s">
        <v>550</v>
      </c>
      <c r="BF124" s="165">
        <v>0</v>
      </c>
      <c r="BG124" s="287"/>
      <c r="BJ124" s="357">
        <v>98189</v>
      </c>
      <c r="BR124" s="156">
        <f t="shared" si="1"/>
        <v>0</v>
      </c>
    </row>
    <row r="125" spans="1:70" ht="14.45" hidden="1">
      <c r="A125" t="s">
        <v>2659</v>
      </c>
      <c r="B125" s="3" t="s">
        <v>29</v>
      </c>
      <c r="C125" s="3"/>
      <c r="D125" s="3">
        <v>4400854538</v>
      </c>
      <c r="E125" s="3">
        <v>1</v>
      </c>
      <c r="F125" s="3" t="s">
        <v>2549</v>
      </c>
      <c r="G125" s="3"/>
      <c r="H125" s="3" t="s">
        <v>17</v>
      </c>
      <c r="I125" s="3"/>
      <c r="J125" s="163" t="s">
        <v>2769</v>
      </c>
      <c r="K125" s="164"/>
      <c r="L125" s="3">
        <v>1</v>
      </c>
      <c r="N125" s="148">
        <v>98189</v>
      </c>
      <c r="R125" s="148">
        <f>Table242[[#This Row],[Material Unit Price]]+Table242[[#This Row],[Labor Unit Price]]+Table242[[#This Row],[GC + Manage+ Insur]]</f>
        <v>98189</v>
      </c>
      <c r="S125" s="148">
        <f>Table242[[#This Row],[Total Per Tool]]*Table242[[#This Row],[Tool QTY]]</f>
        <v>98189</v>
      </c>
      <c r="U125" s="149" t="s">
        <v>2767</v>
      </c>
      <c r="W125" s="148" t="s">
        <v>2551</v>
      </c>
      <c r="X12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98189</v>
      </c>
      <c r="Y125" s="150">
        <f>Table242[[#This Row],[Total AR (Received)]]/Table242[[#This Row],[PO Amount]]</f>
        <v>1</v>
      </c>
      <c r="Z125" s="151">
        <f>Table242[[#This Row],[PO Amount]]-Table242[[#This Row],[Total AR (Received)]]</f>
        <v>0</v>
      </c>
      <c r="AA125" s="3"/>
      <c r="AF125" s="3"/>
      <c r="BD125" s="154" t="s">
        <v>550</v>
      </c>
      <c r="BF125" s="165">
        <v>0</v>
      </c>
      <c r="BG125" s="287"/>
      <c r="BJ125" s="171">
        <v>98189</v>
      </c>
      <c r="BR125" s="156">
        <f t="shared" si="1"/>
        <v>0</v>
      </c>
    </row>
    <row r="126" spans="1:70" ht="14.45" hidden="1">
      <c r="A126" t="s">
        <v>2659</v>
      </c>
      <c r="B126" s="3" t="s">
        <v>29</v>
      </c>
      <c r="C126" s="3"/>
      <c r="D126" s="3">
        <v>4400854539</v>
      </c>
      <c r="E126" s="3">
        <v>1</v>
      </c>
      <c r="F126" s="3" t="s">
        <v>2549</v>
      </c>
      <c r="G126" s="3"/>
      <c r="H126" s="3" t="s">
        <v>17</v>
      </c>
      <c r="I126" s="3"/>
      <c r="J126" s="163" t="s">
        <v>2770</v>
      </c>
      <c r="K126" s="164"/>
      <c r="L126" s="3">
        <v>1</v>
      </c>
      <c r="N126" s="148">
        <v>98189</v>
      </c>
      <c r="R126" s="148">
        <f>Table242[[#This Row],[Material Unit Price]]+Table242[[#This Row],[Labor Unit Price]]+Table242[[#This Row],[GC + Manage+ Insur]]</f>
        <v>98189</v>
      </c>
      <c r="S126" s="148">
        <f>Table242[[#This Row],[Total Per Tool]]*Table242[[#This Row],[Tool QTY]]</f>
        <v>98189</v>
      </c>
      <c r="U126" s="149" t="s">
        <v>2767</v>
      </c>
      <c r="W126" s="148" t="s">
        <v>2551</v>
      </c>
      <c r="X12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98189</v>
      </c>
      <c r="Y126" s="150">
        <f>Table242[[#This Row],[Total AR (Received)]]/Table242[[#This Row],[PO Amount]]</f>
        <v>1</v>
      </c>
      <c r="Z126" s="151">
        <f>Table242[[#This Row],[PO Amount]]-Table242[[#This Row],[Total AR (Received)]]</f>
        <v>0</v>
      </c>
      <c r="AA126" s="3"/>
      <c r="AF126" s="3"/>
      <c r="BD126" s="154" t="s">
        <v>550</v>
      </c>
      <c r="BF126" s="165">
        <v>0</v>
      </c>
      <c r="BG126" s="287"/>
      <c r="BJ126" s="357">
        <v>98189</v>
      </c>
      <c r="BR126" s="156">
        <f t="shared" si="1"/>
        <v>0</v>
      </c>
    </row>
    <row r="127" spans="1:70" ht="14.45" hidden="1">
      <c r="A127" t="s">
        <v>2659</v>
      </c>
      <c r="B127" s="3" t="s">
        <v>29</v>
      </c>
      <c r="C127" s="3"/>
      <c r="D127" s="3">
        <v>4400854560</v>
      </c>
      <c r="E127" s="3">
        <v>1</v>
      </c>
      <c r="F127" s="3" t="s">
        <v>2549</v>
      </c>
      <c r="G127" s="3"/>
      <c r="H127" s="3" t="s">
        <v>17</v>
      </c>
      <c r="I127" s="3"/>
      <c r="J127" s="163" t="s">
        <v>2771</v>
      </c>
      <c r="K127" s="164"/>
      <c r="L127" s="3">
        <v>1</v>
      </c>
      <c r="N127" s="148">
        <v>75453</v>
      </c>
      <c r="R127" s="148">
        <f>Table242[[#This Row],[Material Unit Price]]+Table242[[#This Row],[Labor Unit Price]]+Table242[[#This Row],[GC + Manage+ Insur]]</f>
        <v>75453</v>
      </c>
      <c r="S127" s="148">
        <f>Table242[[#This Row],[Total Per Tool]]*Table242[[#This Row],[Tool QTY]]</f>
        <v>75453</v>
      </c>
      <c r="U127" s="149" t="s">
        <v>2767</v>
      </c>
      <c r="W127" s="148" t="s">
        <v>2551</v>
      </c>
      <c r="X12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75453</v>
      </c>
      <c r="Y127" s="150">
        <f>Table242[[#This Row],[Total AR (Received)]]/Table242[[#This Row],[PO Amount]]</f>
        <v>1</v>
      </c>
      <c r="Z127" s="151">
        <f>Table242[[#This Row],[PO Amount]]-Table242[[#This Row],[Total AR (Received)]]</f>
        <v>0</v>
      </c>
      <c r="AA127" s="3"/>
      <c r="AF127" s="3"/>
      <c r="BD127" s="154" t="s">
        <v>550</v>
      </c>
      <c r="BF127" s="165">
        <v>0</v>
      </c>
      <c r="BG127" s="287"/>
      <c r="BH127" s="357">
        <v>75453</v>
      </c>
      <c r="BJ127" s="165"/>
      <c r="BR127" s="156">
        <f t="shared" si="1"/>
        <v>75453</v>
      </c>
    </row>
    <row r="128" spans="1:70" ht="14.45" hidden="1">
      <c r="A128" t="s">
        <v>2659</v>
      </c>
      <c r="B128" s="3" t="s">
        <v>29</v>
      </c>
      <c r="C128" s="3"/>
      <c r="D128" s="3">
        <v>4400854562</v>
      </c>
      <c r="E128" s="3">
        <v>1</v>
      </c>
      <c r="F128" s="3" t="s">
        <v>2549</v>
      </c>
      <c r="G128" s="3"/>
      <c r="H128" s="3" t="s">
        <v>17</v>
      </c>
      <c r="I128" s="3"/>
      <c r="J128" s="163" t="s">
        <v>2772</v>
      </c>
      <c r="K128" s="164"/>
      <c r="L128" s="3">
        <v>1</v>
      </c>
      <c r="N128" s="148">
        <v>75453</v>
      </c>
      <c r="R128" s="148">
        <f>Table242[[#This Row],[Material Unit Price]]+Table242[[#This Row],[Labor Unit Price]]+Table242[[#This Row],[GC + Manage+ Insur]]</f>
        <v>75453</v>
      </c>
      <c r="S128" s="148">
        <f>Table242[[#This Row],[Total Per Tool]]*Table242[[#This Row],[Tool QTY]]</f>
        <v>75453</v>
      </c>
      <c r="U128" s="149" t="s">
        <v>2767</v>
      </c>
      <c r="W128" s="148" t="s">
        <v>2551</v>
      </c>
      <c r="X12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75453</v>
      </c>
      <c r="Y128" s="150">
        <f>Table242[[#This Row],[Total AR (Received)]]/Table242[[#This Row],[PO Amount]]</f>
        <v>1</v>
      </c>
      <c r="Z128" s="151">
        <f>Table242[[#This Row],[PO Amount]]-Table242[[#This Row],[Total AR (Received)]]</f>
        <v>0</v>
      </c>
      <c r="AA128" s="3"/>
      <c r="AD128" s="148">
        <v>75453</v>
      </c>
      <c r="AF128" s="3"/>
      <c r="BD128" s="154" t="s">
        <v>550</v>
      </c>
      <c r="BF128" s="165">
        <v>0</v>
      </c>
      <c r="BG128" s="287"/>
      <c r="BJ128" s="165"/>
      <c r="BR128" s="156">
        <f t="shared" si="1"/>
        <v>75453</v>
      </c>
    </row>
    <row r="129" spans="1:70" ht="14.45" hidden="1">
      <c r="A129" t="s">
        <v>2659</v>
      </c>
      <c r="B129" s="3" t="s">
        <v>29</v>
      </c>
      <c r="C129" s="3"/>
      <c r="D129" s="3">
        <v>4400854563</v>
      </c>
      <c r="E129" s="3">
        <v>1</v>
      </c>
      <c r="F129" s="3" t="s">
        <v>2549</v>
      </c>
      <c r="G129" s="3"/>
      <c r="H129" s="3" t="s">
        <v>17</v>
      </c>
      <c r="I129" s="3"/>
      <c r="J129" s="163" t="s">
        <v>2773</v>
      </c>
      <c r="K129" s="164"/>
      <c r="L129" s="3">
        <v>1</v>
      </c>
      <c r="N129" s="148">
        <v>75453</v>
      </c>
      <c r="R129" s="148">
        <f>Table242[[#This Row],[Material Unit Price]]+Table242[[#This Row],[Labor Unit Price]]+Table242[[#This Row],[GC + Manage+ Insur]]</f>
        <v>75453</v>
      </c>
      <c r="S129" s="148">
        <f>Table242[[#This Row],[Total Per Tool]]*Table242[[#This Row],[Tool QTY]]</f>
        <v>75453</v>
      </c>
      <c r="U129" s="149" t="s">
        <v>2767</v>
      </c>
      <c r="W129" s="148" t="s">
        <v>2551</v>
      </c>
      <c r="X12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75453</v>
      </c>
      <c r="Y129" s="150">
        <f>Table242[[#This Row],[Total AR (Received)]]/Table242[[#This Row],[PO Amount]]</f>
        <v>1</v>
      </c>
      <c r="Z129" s="151">
        <f>Table242[[#This Row],[PO Amount]]-Table242[[#This Row],[Total AR (Received)]]</f>
        <v>0</v>
      </c>
      <c r="AA129" s="3"/>
      <c r="AD129" s="148">
        <v>75453</v>
      </c>
      <c r="AF129" s="3"/>
      <c r="BD129" s="154" t="s">
        <v>550</v>
      </c>
      <c r="BF129" s="165">
        <v>0</v>
      </c>
      <c r="BG129" s="287"/>
      <c r="BJ129" s="165"/>
      <c r="BR129" s="156">
        <f t="shared" si="1"/>
        <v>75453</v>
      </c>
    </row>
    <row r="130" spans="1:70" ht="14.45" hidden="1">
      <c r="A130" t="s">
        <v>2659</v>
      </c>
      <c r="B130" s="3" t="s">
        <v>29</v>
      </c>
      <c r="C130" s="3"/>
      <c r="D130" s="3">
        <v>4400854565</v>
      </c>
      <c r="E130" s="3">
        <v>1</v>
      </c>
      <c r="F130" s="3" t="s">
        <v>2549</v>
      </c>
      <c r="G130" s="3"/>
      <c r="H130" s="3" t="s">
        <v>17</v>
      </c>
      <c r="I130" s="3"/>
      <c r="J130" s="163" t="s">
        <v>2774</v>
      </c>
      <c r="K130" s="164"/>
      <c r="L130" s="3">
        <v>1</v>
      </c>
      <c r="N130" s="148">
        <v>70646</v>
      </c>
      <c r="R130" s="148">
        <f>Table242[[#This Row],[Material Unit Price]]+Table242[[#This Row],[Labor Unit Price]]+Table242[[#This Row],[GC + Manage+ Insur]]</f>
        <v>70646</v>
      </c>
      <c r="S130" s="148">
        <f>Table242[[#This Row],[Total Per Tool]]*Table242[[#This Row],[Tool QTY]]</f>
        <v>70646</v>
      </c>
      <c r="U130" s="149" t="s">
        <v>2767</v>
      </c>
      <c r="W130" s="148" t="s">
        <v>2551</v>
      </c>
      <c r="X13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70646</v>
      </c>
      <c r="Y130" s="150">
        <f>Table242[[#This Row],[Total AR (Received)]]/Table242[[#This Row],[PO Amount]]</f>
        <v>1</v>
      </c>
      <c r="Z130" s="151">
        <f>Table242[[#This Row],[PO Amount]]-Table242[[#This Row],[Total AR (Received)]]</f>
        <v>0</v>
      </c>
      <c r="AA130" s="3"/>
      <c r="AF130" s="3"/>
      <c r="BD130" s="154" t="s">
        <v>550</v>
      </c>
      <c r="BF130" s="165">
        <v>0</v>
      </c>
      <c r="BG130" s="287"/>
      <c r="BH130" s="171">
        <v>70646</v>
      </c>
      <c r="BJ130" s="165"/>
      <c r="BR130" s="156">
        <f t="shared" ref="BR130:BR193" si="2">SUM(AD130:BH130)</f>
        <v>70646</v>
      </c>
    </row>
    <row r="131" spans="1:70" ht="14.45" hidden="1">
      <c r="A131" t="s">
        <v>2659</v>
      </c>
      <c r="B131" s="3" t="s">
        <v>29</v>
      </c>
      <c r="C131" s="3"/>
      <c r="D131" s="3">
        <v>4400854791</v>
      </c>
      <c r="E131" s="3">
        <v>1</v>
      </c>
      <c r="F131" s="3" t="s">
        <v>2549</v>
      </c>
      <c r="G131" s="3"/>
      <c r="H131" s="3" t="s">
        <v>17</v>
      </c>
      <c r="I131" s="3"/>
      <c r="J131" s="163" t="s">
        <v>2775</v>
      </c>
      <c r="K131" s="164"/>
      <c r="L131" s="3">
        <v>1</v>
      </c>
      <c r="N131" s="148">
        <v>190037</v>
      </c>
      <c r="R131" s="148">
        <f>Table242[[#This Row],[Material Unit Price]]+Table242[[#This Row],[Labor Unit Price]]+Table242[[#This Row],[GC + Manage+ Insur]]</f>
        <v>190037</v>
      </c>
      <c r="S131" s="148">
        <f>Table242[[#This Row],[Total Per Tool]]*Table242[[#This Row],[Tool QTY]]</f>
        <v>190037</v>
      </c>
      <c r="U131" s="149" t="s">
        <v>2767</v>
      </c>
      <c r="W131" s="148" t="s">
        <v>2551</v>
      </c>
      <c r="X13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190037</v>
      </c>
      <c r="Y131" s="150">
        <f>Table242[[#This Row],[Total AR (Received)]]/Table242[[#This Row],[PO Amount]]</f>
        <v>1</v>
      </c>
      <c r="Z131" s="151">
        <f>Table242[[#This Row],[PO Amount]]-Table242[[#This Row],[Total AR (Received)]]</f>
        <v>0</v>
      </c>
      <c r="AA131" s="3"/>
      <c r="AD131" s="182">
        <v>190037</v>
      </c>
      <c r="AF131" s="3"/>
      <c r="BD131" s="154" t="s">
        <v>550</v>
      </c>
      <c r="BF131" s="165">
        <v>0</v>
      </c>
      <c r="BG131" s="287"/>
      <c r="BJ131" s="165"/>
      <c r="BR131" s="156">
        <f t="shared" si="2"/>
        <v>190037</v>
      </c>
    </row>
    <row r="132" spans="1:70" ht="14.45" hidden="1">
      <c r="A132" t="s">
        <v>2659</v>
      </c>
      <c r="B132" s="3" t="s">
        <v>29</v>
      </c>
      <c r="C132" s="3"/>
      <c r="D132" s="3">
        <v>4400854982</v>
      </c>
      <c r="E132" s="3">
        <v>1</v>
      </c>
      <c r="F132" s="3" t="s">
        <v>2549</v>
      </c>
      <c r="G132" s="3"/>
      <c r="H132" s="3" t="s">
        <v>17</v>
      </c>
      <c r="I132" s="3"/>
      <c r="J132" s="163" t="s">
        <v>2776</v>
      </c>
      <c r="K132" s="164"/>
      <c r="L132" s="3">
        <v>1</v>
      </c>
      <c r="N132" s="148">
        <v>190037</v>
      </c>
      <c r="R132" s="148">
        <f>Table242[[#This Row],[Material Unit Price]]+Table242[[#This Row],[Labor Unit Price]]+Table242[[#This Row],[GC + Manage+ Insur]]</f>
        <v>190037</v>
      </c>
      <c r="S132" s="148">
        <f>Table242[[#This Row],[Total Per Tool]]*Table242[[#This Row],[Tool QTY]]</f>
        <v>190037</v>
      </c>
      <c r="U132" s="149" t="s">
        <v>2767</v>
      </c>
      <c r="W132" s="148" t="s">
        <v>2551</v>
      </c>
      <c r="X13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190037</v>
      </c>
      <c r="Y132" s="150">
        <f>Table242[[#This Row],[Total AR (Received)]]/Table242[[#This Row],[PO Amount]]</f>
        <v>1</v>
      </c>
      <c r="Z132" s="151">
        <f>Table242[[#This Row],[PO Amount]]-Table242[[#This Row],[Total AR (Received)]]</f>
        <v>0</v>
      </c>
      <c r="AA132" s="3"/>
      <c r="AD132" s="148">
        <v>190037</v>
      </c>
      <c r="AF132" s="3"/>
      <c r="BD132" s="154" t="s">
        <v>550</v>
      </c>
      <c r="BF132" s="165">
        <v>0</v>
      </c>
      <c r="BG132" s="287"/>
      <c r="BJ132" s="165"/>
      <c r="BR132" s="156">
        <f t="shared" si="2"/>
        <v>190037</v>
      </c>
    </row>
    <row r="133" spans="1:70" ht="14.45" hidden="1">
      <c r="A133" t="s">
        <v>2659</v>
      </c>
      <c r="B133" s="3" t="s">
        <v>29</v>
      </c>
      <c r="C133" s="3"/>
      <c r="D133" s="3">
        <v>4400855190</v>
      </c>
      <c r="E133" s="3">
        <v>1</v>
      </c>
      <c r="F133" s="3" t="s">
        <v>2549</v>
      </c>
      <c r="G133" s="3"/>
      <c r="H133" s="3" t="s">
        <v>17</v>
      </c>
      <c r="I133" s="3"/>
      <c r="J133" s="163" t="s">
        <v>2777</v>
      </c>
      <c r="K133" s="164"/>
      <c r="L133" s="3">
        <v>1</v>
      </c>
      <c r="N133" s="148">
        <v>69307</v>
      </c>
      <c r="R133" s="148">
        <f>Table242[[#This Row],[Material Unit Price]]+Table242[[#This Row],[Labor Unit Price]]+Table242[[#This Row],[GC + Manage+ Insur]]</f>
        <v>69307</v>
      </c>
      <c r="S133" s="148">
        <f>Table242[[#This Row],[Total Per Tool]]*Table242[[#This Row],[Tool QTY]]</f>
        <v>69307</v>
      </c>
      <c r="U133" s="149" t="s">
        <v>2778</v>
      </c>
      <c r="W133" s="148" t="s">
        <v>2551</v>
      </c>
      <c r="X13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69307</v>
      </c>
      <c r="Y133" s="150">
        <f>Table242[[#This Row],[Total AR (Received)]]/Table242[[#This Row],[PO Amount]]</f>
        <v>1</v>
      </c>
      <c r="Z133" s="151">
        <f>Table242[[#This Row],[PO Amount]]-Table242[[#This Row],[Total AR (Received)]]</f>
        <v>0</v>
      </c>
      <c r="AA133" s="3"/>
      <c r="AD133" s="148">
        <v>69307</v>
      </c>
      <c r="AF133" s="3"/>
      <c r="BD133" s="154" t="s">
        <v>550</v>
      </c>
      <c r="BF133" s="165">
        <v>0</v>
      </c>
      <c r="BG133" s="287"/>
      <c r="BJ133" s="165"/>
      <c r="BR133" s="156">
        <f t="shared" si="2"/>
        <v>69307</v>
      </c>
    </row>
    <row r="134" spans="1:70" ht="14.45" hidden="1">
      <c r="A134" t="s">
        <v>2659</v>
      </c>
      <c r="B134" s="3" t="s">
        <v>29</v>
      </c>
      <c r="C134" s="3"/>
      <c r="D134" s="3">
        <v>4400855192</v>
      </c>
      <c r="E134" s="3">
        <v>1</v>
      </c>
      <c r="F134" s="3" t="s">
        <v>2549</v>
      </c>
      <c r="G134" s="3"/>
      <c r="H134" s="3" t="s">
        <v>17</v>
      </c>
      <c r="I134" s="3"/>
      <c r="J134" s="163" t="s">
        <v>2779</v>
      </c>
      <c r="K134" s="164"/>
      <c r="L134" s="3">
        <v>1</v>
      </c>
      <c r="N134" s="148">
        <v>69307</v>
      </c>
      <c r="R134" s="148">
        <f>Table242[[#This Row],[Material Unit Price]]+Table242[[#This Row],[Labor Unit Price]]+Table242[[#This Row],[GC + Manage+ Insur]]</f>
        <v>69307</v>
      </c>
      <c r="S134" s="148">
        <f>Table242[[#This Row],[Total Per Tool]]*Table242[[#This Row],[Tool QTY]]</f>
        <v>69307</v>
      </c>
      <c r="U134" s="149" t="s">
        <v>2778</v>
      </c>
      <c r="W134" s="148" t="s">
        <v>2551</v>
      </c>
      <c r="X13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69307</v>
      </c>
      <c r="Y134" s="150">
        <f>Table242[[#This Row],[Total AR (Received)]]/Table242[[#This Row],[PO Amount]]</f>
        <v>1</v>
      </c>
      <c r="Z134" s="151">
        <f>Table242[[#This Row],[PO Amount]]-Table242[[#This Row],[Total AR (Received)]]</f>
        <v>0</v>
      </c>
      <c r="AA134" s="3"/>
      <c r="AD134" s="148">
        <v>69307</v>
      </c>
      <c r="AF134" s="3"/>
      <c r="BD134" s="154" t="s">
        <v>550</v>
      </c>
      <c r="BF134" s="165">
        <v>0</v>
      </c>
      <c r="BG134" s="287"/>
      <c r="BJ134" s="165"/>
      <c r="BR134" s="156">
        <f t="shared" si="2"/>
        <v>69307</v>
      </c>
    </row>
    <row r="135" spans="1:70" ht="14.45" hidden="1">
      <c r="A135" t="s">
        <v>2659</v>
      </c>
      <c r="B135" s="3" t="s">
        <v>29</v>
      </c>
      <c r="C135" s="3"/>
      <c r="D135" s="3">
        <v>4400855293</v>
      </c>
      <c r="E135" s="3">
        <v>1</v>
      </c>
      <c r="F135" s="3" t="s">
        <v>2549</v>
      </c>
      <c r="G135" s="3"/>
      <c r="H135" s="3" t="s">
        <v>17</v>
      </c>
      <c r="I135" s="3"/>
      <c r="J135" s="163" t="s">
        <v>2780</v>
      </c>
      <c r="K135" s="164"/>
      <c r="L135" s="3">
        <v>1</v>
      </c>
      <c r="N135" s="148">
        <v>69307</v>
      </c>
      <c r="R135" s="148">
        <f>Table242[[#This Row],[Material Unit Price]]+Table242[[#This Row],[Labor Unit Price]]+Table242[[#This Row],[GC + Manage+ Insur]]</f>
        <v>69307</v>
      </c>
      <c r="S135" s="148">
        <f>Table242[[#This Row],[Total Per Tool]]*Table242[[#This Row],[Tool QTY]]</f>
        <v>69307</v>
      </c>
      <c r="U135" s="149" t="s">
        <v>2778</v>
      </c>
      <c r="W135" s="148" t="s">
        <v>2551</v>
      </c>
      <c r="X13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69307</v>
      </c>
      <c r="Y135" s="150">
        <f>Table242[[#This Row],[Total AR (Received)]]/Table242[[#This Row],[PO Amount]]</f>
        <v>1</v>
      </c>
      <c r="Z135" s="151">
        <f>Table242[[#This Row],[PO Amount]]-Table242[[#This Row],[Total AR (Received)]]</f>
        <v>0</v>
      </c>
      <c r="AA135" s="3"/>
      <c r="AF135" s="3"/>
      <c r="BD135" s="154" t="s">
        <v>550</v>
      </c>
      <c r="BF135" s="165">
        <v>0</v>
      </c>
      <c r="BG135" s="287"/>
      <c r="BJ135" s="165"/>
      <c r="BL135" s="165">
        <v>69307</v>
      </c>
      <c r="BR135" s="156">
        <f t="shared" si="2"/>
        <v>0</v>
      </c>
    </row>
    <row r="136" spans="1:70" ht="14.45" hidden="1">
      <c r="B136" s="3" t="s">
        <v>29</v>
      </c>
      <c r="C136" s="3"/>
      <c r="D136" s="3">
        <v>4400855530</v>
      </c>
      <c r="E136" s="3">
        <v>1</v>
      </c>
      <c r="F136" s="3" t="s">
        <v>2549</v>
      </c>
      <c r="G136" s="3"/>
      <c r="H136" s="3" t="s">
        <v>17</v>
      </c>
      <c r="I136" s="3"/>
      <c r="J136" s="163" t="s">
        <v>2781</v>
      </c>
      <c r="K136" s="164"/>
      <c r="L136" s="3">
        <v>1</v>
      </c>
      <c r="N136" s="148">
        <v>1895</v>
      </c>
      <c r="R136" s="148">
        <f>Table242[[#This Row],[Material Unit Price]]+Table242[[#This Row],[Labor Unit Price]]+Table242[[#This Row],[GC + Manage+ Insur]]</f>
        <v>1895</v>
      </c>
      <c r="S136" s="148">
        <f>Table242[[#This Row],[Total Per Tool]]*Table242[[#This Row],[Tool QTY]]</f>
        <v>1895</v>
      </c>
      <c r="U136" s="149" t="s">
        <v>2782</v>
      </c>
      <c r="W136" s="148" t="s">
        <v>2551</v>
      </c>
      <c r="X13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1895</v>
      </c>
      <c r="Y136" s="150">
        <f>Table242[[#This Row],[Total AR (Received)]]/Table242[[#This Row],[PO Amount]]</f>
        <v>1</v>
      </c>
      <c r="Z136" s="151">
        <f>Table242[[#This Row],[PO Amount]]-Table242[[#This Row],[Total AR (Received)]]</f>
        <v>0</v>
      </c>
      <c r="AA136" s="3"/>
      <c r="AD136" s="148">
        <v>1895</v>
      </c>
      <c r="AF136" s="3"/>
      <c r="BD136" s="154" t="s">
        <v>550</v>
      </c>
      <c r="BF136" s="165">
        <v>0</v>
      </c>
      <c r="BG136" s="287"/>
      <c r="BJ136" s="165"/>
      <c r="BR136" s="156">
        <f t="shared" si="2"/>
        <v>1895</v>
      </c>
    </row>
    <row r="137" spans="1:70" ht="14.45" hidden="1">
      <c r="B137" s="3" t="s">
        <v>29</v>
      </c>
      <c r="C137" s="3"/>
      <c r="D137" s="3">
        <v>4400855532</v>
      </c>
      <c r="E137" s="3">
        <v>1</v>
      </c>
      <c r="F137" s="3" t="s">
        <v>2549</v>
      </c>
      <c r="G137" s="3"/>
      <c r="H137" s="3" t="s">
        <v>17</v>
      </c>
      <c r="I137" s="3"/>
      <c r="J137" s="163" t="s">
        <v>2783</v>
      </c>
      <c r="K137" s="164"/>
      <c r="L137" s="3">
        <v>1</v>
      </c>
      <c r="N137" s="148">
        <v>1895</v>
      </c>
      <c r="R137" s="148">
        <f>Table242[[#This Row],[Material Unit Price]]+Table242[[#This Row],[Labor Unit Price]]+Table242[[#This Row],[GC + Manage+ Insur]]</f>
        <v>1895</v>
      </c>
      <c r="S137" s="148">
        <f>Table242[[#This Row],[Total Per Tool]]*Table242[[#This Row],[Tool QTY]]</f>
        <v>1895</v>
      </c>
      <c r="U137" s="149" t="s">
        <v>2782</v>
      </c>
      <c r="W137" s="148" t="s">
        <v>2551</v>
      </c>
      <c r="X13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1895</v>
      </c>
      <c r="Y137" s="150">
        <f>Table242[[#This Row],[Total AR (Received)]]/Table242[[#This Row],[PO Amount]]</f>
        <v>1</v>
      </c>
      <c r="Z137" s="151">
        <f>Table242[[#This Row],[PO Amount]]-Table242[[#This Row],[Total AR (Received)]]</f>
        <v>0</v>
      </c>
      <c r="AA137" s="3"/>
      <c r="AF137" s="3"/>
      <c r="BD137" s="154" t="s">
        <v>550</v>
      </c>
      <c r="BF137" s="165">
        <v>0</v>
      </c>
      <c r="BG137" s="287"/>
      <c r="BH137" s="171">
        <v>1895</v>
      </c>
      <c r="BJ137" s="165"/>
      <c r="BR137" s="156">
        <f t="shared" si="2"/>
        <v>1895</v>
      </c>
    </row>
    <row r="138" spans="1:70" ht="14.45" hidden="1">
      <c r="B138" s="3" t="s">
        <v>29</v>
      </c>
      <c r="C138" s="3"/>
      <c r="D138" s="3">
        <v>4400855534</v>
      </c>
      <c r="E138" s="3">
        <v>1</v>
      </c>
      <c r="F138" s="3" t="s">
        <v>2549</v>
      </c>
      <c r="G138" s="3"/>
      <c r="H138" s="3" t="s">
        <v>17</v>
      </c>
      <c r="I138" s="3"/>
      <c r="J138" s="163" t="s">
        <v>2784</v>
      </c>
      <c r="K138" s="164"/>
      <c r="L138" s="3">
        <v>1</v>
      </c>
      <c r="N138" s="148">
        <v>1895</v>
      </c>
      <c r="R138" s="148">
        <f>Table242[[#This Row],[Material Unit Price]]+Table242[[#This Row],[Labor Unit Price]]+Table242[[#This Row],[GC + Manage+ Insur]]</f>
        <v>1895</v>
      </c>
      <c r="S138" s="148">
        <f>Table242[[#This Row],[Total Per Tool]]*Table242[[#This Row],[Tool QTY]]</f>
        <v>1895</v>
      </c>
      <c r="U138" s="149" t="s">
        <v>2782</v>
      </c>
      <c r="W138" s="148" t="s">
        <v>2551</v>
      </c>
      <c r="X13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1895</v>
      </c>
      <c r="Y138" s="150">
        <f>Table242[[#This Row],[Total AR (Received)]]/Table242[[#This Row],[PO Amount]]</f>
        <v>1</v>
      </c>
      <c r="Z138" s="151">
        <f>Table242[[#This Row],[PO Amount]]-Table242[[#This Row],[Total AR (Received)]]</f>
        <v>0</v>
      </c>
      <c r="AA138" s="3"/>
      <c r="AF138" s="3"/>
      <c r="BD138" s="154" t="s">
        <v>550</v>
      </c>
      <c r="BF138" s="171">
        <v>1895</v>
      </c>
      <c r="BG138" s="287"/>
      <c r="BJ138" s="165"/>
      <c r="BR138" s="156">
        <f t="shared" si="2"/>
        <v>1895</v>
      </c>
    </row>
    <row r="139" spans="1:70" ht="14.45" hidden="1">
      <c r="B139" s="3" t="s">
        <v>29</v>
      </c>
      <c r="C139" s="3"/>
      <c r="D139" s="3">
        <v>4400855536</v>
      </c>
      <c r="E139" s="3">
        <v>1</v>
      </c>
      <c r="F139" s="3" t="s">
        <v>2549</v>
      </c>
      <c r="G139" s="3"/>
      <c r="H139" s="3" t="s">
        <v>17</v>
      </c>
      <c r="I139" s="3"/>
      <c r="J139" s="163" t="s">
        <v>2785</v>
      </c>
      <c r="K139" s="164"/>
      <c r="L139" s="3">
        <v>1</v>
      </c>
      <c r="N139" s="148">
        <v>1895</v>
      </c>
      <c r="R139" s="148">
        <f>Table242[[#This Row],[Material Unit Price]]+Table242[[#This Row],[Labor Unit Price]]+Table242[[#This Row],[GC + Manage+ Insur]]</f>
        <v>1895</v>
      </c>
      <c r="S139" s="148">
        <f>Table242[[#This Row],[Total Per Tool]]*Table242[[#This Row],[Tool QTY]]</f>
        <v>1895</v>
      </c>
      <c r="U139" s="149" t="s">
        <v>2782</v>
      </c>
      <c r="W139" s="148" t="s">
        <v>2551</v>
      </c>
      <c r="X13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1895</v>
      </c>
      <c r="Y139" s="150">
        <f>Table242[[#This Row],[Total AR (Received)]]/Table242[[#This Row],[PO Amount]]</f>
        <v>1</v>
      </c>
      <c r="Z139" s="151">
        <f>Table242[[#This Row],[PO Amount]]-Table242[[#This Row],[Total AR (Received)]]</f>
        <v>0</v>
      </c>
      <c r="AA139" s="3"/>
      <c r="AF139" s="3"/>
      <c r="BD139" s="154" t="s">
        <v>550</v>
      </c>
      <c r="BF139" s="171">
        <v>1895</v>
      </c>
      <c r="BG139" s="287"/>
      <c r="BJ139" s="165"/>
      <c r="BR139" s="156">
        <f t="shared" si="2"/>
        <v>1895</v>
      </c>
    </row>
    <row r="140" spans="1:70" ht="14.45" hidden="1">
      <c r="B140" s="3" t="s">
        <v>29</v>
      </c>
      <c r="C140" s="3"/>
      <c r="D140" s="3">
        <v>4400855666</v>
      </c>
      <c r="E140" s="3">
        <v>1</v>
      </c>
      <c r="F140" s="3" t="s">
        <v>2549</v>
      </c>
      <c r="G140" s="3"/>
      <c r="H140" s="3" t="s">
        <v>17</v>
      </c>
      <c r="I140" s="3"/>
      <c r="J140" s="163" t="s">
        <v>2786</v>
      </c>
      <c r="K140" s="147"/>
      <c r="L140" s="3">
        <v>1</v>
      </c>
      <c r="M140" s="151"/>
      <c r="N140" s="151">
        <v>75453</v>
      </c>
      <c r="O140" s="151"/>
      <c r="P140" s="151"/>
      <c r="Q140" s="151"/>
      <c r="R140" s="151">
        <f>Table242[[#This Row],[Material Unit Price]]+Table242[[#This Row],[Labor Unit Price]]+Table242[[#This Row],[GC + Manage+ Insur]]</f>
        <v>75453</v>
      </c>
      <c r="S140" s="151">
        <f>Table242[[#This Row],[Total Per Tool]]*Table242[[#This Row],[Tool QTY]]</f>
        <v>75453</v>
      </c>
      <c r="T140" s="151"/>
      <c r="U140" s="175" t="s">
        <v>2787</v>
      </c>
      <c r="V140" s="151"/>
      <c r="W140" s="151"/>
      <c r="X140" s="151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75453</v>
      </c>
      <c r="Y140" s="152">
        <f>Table242[[#This Row],[Total AR (Received)]]/Table242[[#This Row],[PO Amount]]</f>
        <v>1</v>
      </c>
      <c r="Z140" s="151">
        <f>Table242[[#This Row],[PO Amount]]-Table242[[#This Row],[Total AR (Received)]]</f>
        <v>0</v>
      </c>
      <c r="AA140" s="3"/>
      <c r="AB140" s="151"/>
      <c r="AC140" s="151"/>
      <c r="AD140" s="151"/>
      <c r="AE140" s="151"/>
      <c r="AF140" s="3"/>
      <c r="BD140" s="154" t="s">
        <v>550</v>
      </c>
      <c r="BF140" s="171">
        <v>75453</v>
      </c>
      <c r="BG140" s="287"/>
      <c r="BJ140" s="165"/>
      <c r="BR140" s="156">
        <f t="shared" si="2"/>
        <v>75453</v>
      </c>
    </row>
    <row r="141" spans="1:70" ht="14.45" hidden="1">
      <c r="B141" s="3" t="s">
        <v>29</v>
      </c>
      <c r="C141" s="3"/>
      <c r="D141" s="3">
        <v>4400855669</v>
      </c>
      <c r="E141" s="3">
        <v>1</v>
      </c>
      <c r="F141" s="3" t="s">
        <v>2549</v>
      </c>
      <c r="G141" s="3"/>
      <c r="H141" s="3" t="s">
        <v>17</v>
      </c>
      <c r="I141" s="3"/>
      <c r="J141" s="163" t="s">
        <v>2788</v>
      </c>
      <c r="K141" s="164"/>
      <c r="L141" s="3">
        <v>1</v>
      </c>
      <c r="N141" s="148">
        <v>19457</v>
      </c>
      <c r="R141" s="148">
        <f>Table242[[#This Row],[Material Unit Price]]+Table242[[#This Row],[Labor Unit Price]]+Table242[[#This Row],[GC + Manage+ Insur]]</f>
        <v>19457</v>
      </c>
      <c r="S141" s="148">
        <f>Table242[[#This Row],[Total Per Tool]]*Table242[[#This Row],[Tool QTY]]</f>
        <v>19457</v>
      </c>
      <c r="U141" s="149" t="s">
        <v>2782</v>
      </c>
      <c r="W141" s="148" t="s">
        <v>2551</v>
      </c>
      <c r="X14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19457</v>
      </c>
      <c r="Y141" s="150">
        <f>Table242[[#This Row],[Total AR (Received)]]/Table242[[#This Row],[PO Amount]]</f>
        <v>1</v>
      </c>
      <c r="Z141" s="151">
        <f>Table242[[#This Row],[PO Amount]]-Table242[[#This Row],[Total AR (Received)]]</f>
        <v>0</v>
      </c>
      <c r="AA141" s="3"/>
      <c r="AF141" s="3"/>
      <c r="BD141" s="154" t="s">
        <v>550</v>
      </c>
      <c r="BF141" s="165">
        <v>0</v>
      </c>
      <c r="BG141" s="287"/>
      <c r="BH141" s="171">
        <v>19457</v>
      </c>
      <c r="BJ141" s="165"/>
      <c r="BR141" s="156">
        <f t="shared" si="2"/>
        <v>19457</v>
      </c>
    </row>
    <row r="142" spans="1:70" ht="14.45" hidden="1">
      <c r="B142" s="3" t="s">
        <v>29</v>
      </c>
      <c r="C142" s="3"/>
      <c r="D142" s="3">
        <v>4400855672</v>
      </c>
      <c r="E142" s="3">
        <v>1</v>
      </c>
      <c r="F142" s="3" t="s">
        <v>2549</v>
      </c>
      <c r="G142" s="3"/>
      <c r="H142" s="3" t="s">
        <v>17</v>
      </c>
      <c r="I142" s="3"/>
      <c r="J142" s="163" t="s">
        <v>2789</v>
      </c>
      <c r="K142" s="164"/>
      <c r="L142" s="3">
        <v>1</v>
      </c>
      <c r="N142" s="148">
        <v>19457</v>
      </c>
      <c r="R142" s="148">
        <f>Table242[[#This Row],[Material Unit Price]]+Table242[[#This Row],[Labor Unit Price]]+Table242[[#This Row],[GC + Manage+ Insur]]</f>
        <v>19457</v>
      </c>
      <c r="S142" s="148">
        <f>Table242[[#This Row],[Total Per Tool]]*Table242[[#This Row],[Tool QTY]]</f>
        <v>19457</v>
      </c>
      <c r="U142" s="149" t="s">
        <v>2782</v>
      </c>
      <c r="W142" s="148" t="s">
        <v>2551</v>
      </c>
      <c r="X14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19457</v>
      </c>
      <c r="Y142" s="150">
        <f>Table242[[#This Row],[Total AR (Received)]]/Table242[[#This Row],[PO Amount]]</f>
        <v>1</v>
      </c>
      <c r="Z142" s="151">
        <f>Table242[[#This Row],[PO Amount]]-Table242[[#This Row],[Total AR (Received)]]</f>
        <v>0</v>
      </c>
      <c r="AA142" s="3"/>
      <c r="AD142" s="148">
        <v>19457</v>
      </c>
      <c r="AF142" s="3"/>
      <c r="BD142" s="154" t="s">
        <v>550</v>
      </c>
      <c r="BF142" s="165">
        <v>0</v>
      </c>
      <c r="BG142" s="287"/>
      <c r="BJ142" s="165"/>
      <c r="BR142" s="156">
        <f t="shared" si="2"/>
        <v>19457</v>
      </c>
    </row>
    <row r="143" spans="1:70" ht="14.45" hidden="1">
      <c r="B143" s="3" t="s">
        <v>29</v>
      </c>
      <c r="C143" s="3"/>
      <c r="D143" s="3">
        <v>4400855674</v>
      </c>
      <c r="E143" s="3">
        <v>1</v>
      </c>
      <c r="F143" s="3" t="s">
        <v>2549</v>
      </c>
      <c r="G143" s="3"/>
      <c r="H143" s="3" t="s">
        <v>17</v>
      </c>
      <c r="I143" s="3"/>
      <c r="J143" s="163" t="s">
        <v>2790</v>
      </c>
      <c r="K143" s="164"/>
      <c r="L143" s="3">
        <v>1</v>
      </c>
      <c r="N143" s="148">
        <v>19457</v>
      </c>
      <c r="R143" s="148">
        <f>Table242[[#This Row],[Material Unit Price]]+Table242[[#This Row],[Labor Unit Price]]+Table242[[#This Row],[GC + Manage+ Insur]]</f>
        <v>19457</v>
      </c>
      <c r="S143" s="148">
        <f>Table242[[#This Row],[Total Per Tool]]*Table242[[#This Row],[Tool QTY]]</f>
        <v>19457</v>
      </c>
      <c r="U143" s="149" t="s">
        <v>2782</v>
      </c>
      <c r="W143" s="148" t="s">
        <v>2551</v>
      </c>
      <c r="X14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19457</v>
      </c>
      <c r="Y143" s="150">
        <f>Table242[[#This Row],[Total AR (Received)]]/Table242[[#This Row],[PO Amount]]</f>
        <v>1</v>
      </c>
      <c r="Z143" s="151">
        <f>Table242[[#This Row],[PO Amount]]-Table242[[#This Row],[Total AR (Received)]]</f>
        <v>0</v>
      </c>
      <c r="AA143" s="3"/>
      <c r="AF143" s="3"/>
      <c r="BD143" s="154" t="s">
        <v>550</v>
      </c>
      <c r="BF143" s="165">
        <v>0</v>
      </c>
      <c r="BG143" s="287"/>
      <c r="BH143" s="171">
        <v>19457</v>
      </c>
      <c r="BJ143" s="165"/>
      <c r="BR143" s="156">
        <f t="shared" si="2"/>
        <v>19457</v>
      </c>
    </row>
    <row r="144" spans="1:70" ht="14.45" hidden="1">
      <c r="B144" s="3" t="s">
        <v>29</v>
      </c>
      <c r="C144" s="3"/>
      <c r="D144" s="3">
        <v>4400855676</v>
      </c>
      <c r="E144" s="3">
        <v>1</v>
      </c>
      <c r="F144" s="3" t="s">
        <v>2549</v>
      </c>
      <c r="G144" s="3"/>
      <c r="H144" s="3" t="s">
        <v>17</v>
      </c>
      <c r="I144" s="3"/>
      <c r="J144" s="163" t="s">
        <v>2791</v>
      </c>
      <c r="K144" s="164"/>
      <c r="L144" s="3">
        <v>1</v>
      </c>
      <c r="N144" s="148">
        <v>19457</v>
      </c>
      <c r="R144" s="148">
        <f>Table242[[#This Row],[Material Unit Price]]+Table242[[#This Row],[Labor Unit Price]]+Table242[[#This Row],[GC + Manage+ Insur]]</f>
        <v>19457</v>
      </c>
      <c r="S144" s="148">
        <f>Table242[[#This Row],[Total Per Tool]]*Table242[[#This Row],[Tool QTY]]</f>
        <v>19457</v>
      </c>
      <c r="U144" s="149" t="s">
        <v>2782</v>
      </c>
      <c r="W144" s="148" t="s">
        <v>2551</v>
      </c>
      <c r="X14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19457</v>
      </c>
      <c r="Y144" s="150">
        <f>Table242[[#This Row],[Total AR (Received)]]/Table242[[#This Row],[PO Amount]]</f>
        <v>1</v>
      </c>
      <c r="Z144" s="151">
        <f>Table242[[#This Row],[PO Amount]]-Table242[[#This Row],[Total AR (Received)]]</f>
        <v>0</v>
      </c>
      <c r="AA144" s="3"/>
      <c r="AF144" s="3"/>
      <c r="BD144" s="154" t="s">
        <v>550</v>
      </c>
      <c r="BF144" s="165">
        <v>0</v>
      </c>
      <c r="BG144" s="287"/>
      <c r="BH144" s="171">
        <v>19457</v>
      </c>
      <c r="BJ144" s="165"/>
      <c r="BR144" s="156">
        <f t="shared" si="2"/>
        <v>19457</v>
      </c>
    </row>
    <row r="145" spans="1:73" ht="14.45" hidden="1">
      <c r="A145" t="s">
        <v>2659</v>
      </c>
      <c r="B145" s="3" t="s">
        <v>29</v>
      </c>
      <c r="C145" s="3"/>
      <c r="D145" s="3">
        <v>4400858927</v>
      </c>
      <c r="E145" s="3">
        <v>1</v>
      </c>
      <c r="F145" s="3" t="s">
        <v>2549</v>
      </c>
      <c r="G145" s="3"/>
      <c r="H145" s="3" t="s">
        <v>17</v>
      </c>
      <c r="I145" s="3"/>
      <c r="J145" s="163" t="s">
        <v>2792</v>
      </c>
      <c r="K145" s="164"/>
      <c r="L145" s="3">
        <v>1</v>
      </c>
      <c r="N145" s="148">
        <v>27216</v>
      </c>
      <c r="R145" s="148">
        <f>Table242[[#This Row],[Material Unit Price]]+Table242[[#This Row],[Labor Unit Price]]+Table242[[#This Row],[GC + Manage+ Insur]]</f>
        <v>27216</v>
      </c>
      <c r="S145" s="148">
        <f>Table242[[#This Row],[Total Per Tool]]*Table242[[#This Row],[Tool QTY]]</f>
        <v>27216</v>
      </c>
      <c r="U145" s="149" t="s">
        <v>2793</v>
      </c>
      <c r="W145" s="148" t="s">
        <v>2794</v>
      </c>
      <c r="X14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27216</v>
      </c>
      <c r="Y145" s="150">
        <f>Table242[[#This Row],[Total AR (Received)]]/Table242[[#This Row],[PO Amount]]</f>
        <v>1</v>
      </c>
      <c r="Z145" s="151">
        <f>Table242[[#This Row],[PO Amount]]-Table242[[#This Row],[Total AR (Received)]]</f>
        <v>0</v>
      </c>
      <c r="AA145" s="3"/>
      <c r="AD145" s="148">
        <v>27216</v>
      </c>
      <c r="AF145" s="3"/>
      <c r="BD145" s="154" t="s">
        <v>550</v>
      </c>
      <c r="BF145" s="165"/>
      <c r="BG145" s="287"/>
      <c r="BJ145" s="165"/>
      <c r="BR145" s="156">
        <f t="shared" si="2"/>
        <v>27216</v>
      </c>
    </row>
    <row r="146" spans="1:73" ht="14.45" hidden="1">
      <c r="A146" t="s">
        <v>2659</v>
      </c>
      <c r="B146" s="3" t="s">
        <v>29</v>
      </c>
      <c r="C146" s="3"/>
      <c r="D146" s="3">
        <v>4400859143</v>
      </c>
      <c r="E146" s="3">
        <v>1</v>
      </c>
      <c r="F146" s="3" t="s">
        <v>2549</v>
      </c>
      <c r="G146" s="3"/>
      <c r="H146" s="3" t="s">
        <v>17</v>
      </c>
      <c r="I146" s="3"/>
      <c r="J146" s="163" t="s">
        <v>1053</v>
      </c>
      <c r="K146" s="164"/>
      <c r="L146" s="3">
        <v>1</v>
      </c>
      <c r="N146" s="148">
        <v>27216</v>
      </c>
      <c r="R146" s="148">
        <f>Table242[[#This Row],[Material Unit Price]]+Table242[[#This Row],[Labor Unit Price]]+Table242[[#This Row],[GC + Manage+ Insur]]</f>
        <v>27216</v>
      </c>
      <c r="S146" s="148">
        <f>Table242[[#This Row],[Total Per Tool]]*Table242[[#This Row],[Tool QTY]]</f>
        <v>27216</v>
      </c>
      <c r="U146" s="149" t="s">
        <v>2795</v>
      </c>
      <c r="W146" s="148" t="s">
        <v>2794</v>
      </c>
      <c r="X14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27216</v>
      </c>
      <c r="Y146" s="150">
        <f>Table242[[#This Row],[Total AR (Received)]]/Table242[[#This Row],[PO Amount]]</f>
        <v>1</v>
      </c>
      <c r="Z146" s="151">
        <f>Table242[[#This Row],[PO Amount]]-Table242[[#This Row],[Total AR (Received)]]</f>
        <v>0</v>
      </c>
      <c r="AA146" s="3"/>
      <c r="AD146" s="148">
        <v>27216</v>
      </c>
      <c r="AF146" s="3"/>
      <c r="BD146" s="154" t="s">
        <v>550</v>
      </c>
      <c r="BF146" s="165"/>
      <c r="BG146" s="287"/>
      <c r="BJ146" s="165"/>
      <c r="BR146" s="156">
        <f t="shared" si="2"/>
        <v>27216</v>
      </c>
    </row>
    <row r="147" spans="1:73" ht="14.45" hidden="1">
      <c r="A147" t="s">
        <v>2659</v>
      </c>
      <c r="B147" s="3" t="s">
        <v>29</v>
      </c>
      <c r="C147" s="3"/>
      <c r="D147" s="3">
        <v>4400859144</v>
      </c>
      <c r="E147" s="3">
        <v>1</v>
      </c>
      <c r="F147" s="3" t="s">
        <v>2549</v>
      </c>
      <c r="G147" s="3"/>
      <c r="H147" s="3" t="s">
        <v>17</v>
      </c>
      <c r="I147" s="3"/>
      <c r="J147" s="163" t="s">
        <v>1055</v>
      </c>
      <c r="K147" s="164"/>
      <c r="L147" s="3">
        <v>1</v>
      </c>
      <c r="N147" s="148">
        <v>27216</v>
      </c>
      <c r="R147" s="148">
        <f>Table242[[#This Row],[Material Unit Price]]+Table242[[#This Row],[Labor Unit Price]]+Table242[[#This Row],[GC + Manage+ Insur]]</f>
        <v>27216</v>
      </c>
      <c r="S147" s="148">
        <f>Table242[[#This Row],[Total Per Tool]]*Table242[[#This Row],[Tool QTY]]</f>
        <v>27216</v>
      </c>
      <c r="U147" s="149" t="s">
        <v>2795</v>
      </c>
      <c r="W147" s="148" t="s">
        <v>2794</v>
      </c>
      <c r="X14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27216</v>
      </c>
      <c r="Y147" s="150">
        <f>Table242[[#This Row],[Total AR (Received)]]/Table242[[#This Row],[PO Amount]]</f>
        <v>1</v>
      </c>
      <c r="Z147" s="151">
        <f>Table242[[#This Row],[PO Amount]]-Table242[[#This Row],[Total AR (Received)]]</f>
        <v>0</v>
      </c>
      <c r="AA147" s="3"/>
      <c r="AD147" s="148">
        <v>27216</v>
      </c>
      <c r="AF147" s="3"/>
      <c r="BD147" s="154" t="s">
        <v>550</v>
      </c>
      <c r="BF147" s="165"/>
      <c r="BG147" s="287"/>
      <c r="BJ147" s="165"/>
      <c r="BR147" s="156">
        <f t="shared" si="2"/>
        <v>27216</v>
      </c>
    </row>
    <row r="148" spans="1:73" ht="14.45" hidden="1">
      <c r="A148" t="s">
        <v>2659</v>
      </c>
      <c r="B148" s="3" t="s">
        <v>29</v>
      </c>
      <c r="C148" s="3"/>
      <c r="D148" s="3">
        <v>4400861580</v>
      </c>
      <c r="E148" s="3"/>
      <c r="F148" s="3" t="s">
        <v>2549</v>
      </c>
      <c r="G148" s="3"/>
      <c r="H148" s="3" t="s">
        <v>17</v>
      </c>
      <c r="I148" s="3"/>
      <c r="J148" s="163" t="s">
        <v>2796</v>
      </c>
      <c r="K148" s="164"/>
      <c r="L148" s="3">
        <v>1</v>
      </c>
      <c r="N148" s="148">
        <v>1135</v>
      </c>
      <c r="R148" s="148">
        <f>Table242[[#This Row],[Material Unit Price]]+Table242[[#This Row],[Labor Unit Price]]+Table242[[#This Row],[GC + Manage+ Insur]]</f>
        <v>1135</v>
      </c>
      <c r="S148" s="148">
        <f>Table242[[#This Row],[Total Per Tool]]*Table242[[#This Row],[Tool QTY]]</f>
        <v>1135</v>
      </c>
      <c r="U148" s="149" t="s">
        <v>2797</v>
      </c>
      <c r="W148" s="148" t="s">
        <v>2794</v>
      </c>
      <c r="X14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1135</v>
      </c>
      <c r="Y148" s="150">
        <f>Table242[[#This Row],[Total AR (Received)]]/Table242[[#This Row],[PO Amount]]</f>
        <v>1</v>
      </c>
      <c r="Z148" s="151">
        <f>Table242[[#This Row],[PO Amount]]-Table242[[#This Row],[Total AR (Received)]]</f>
        <v>0</v>
      </c>
      <c r="AA148" s="3"/>
      <c r="AF148" s="3"/>
      <c r="BD148" s="154" t="s">
        <v>550</v>
      </c>
      <c r="BF148" s="171">
        <v>1135</v>
      </c>
      <c r="BG148" s="287"/>
      <c r="BJ148" s="165"/>
      <c r="BR148" s="156">
        <f t="shared" si="2"/>
        <v>1135</v>
      </c>
    </row>
    <row r="149" spans="1:73" ht="14.45" hidden="1">
      <c r="A149" t="s">
        <v>2798</v>
      </c>
      <c r="B149" s="3" t="s">
        <v>29</v>
      </c>
      <c r="C149" s="3" t="s">
        <v>2799</v>
      </c>
      <c r="D149" s="3">
        <v>4400870244</v>
      </c>
      <c r="E149" s="3">
        <v>1</v>
      </c>
      <c r="F149" s="3" t="s">
        <v>2549</v>
      </c>
      <c r="G149" s="3"/>
      <c r="H149" s="3" t="s">
        <v>17</v>
      </c>
      <c r="I149" s="3" t="s">
        <v>2634</v>
      </c>
      <c r="J149" s="163" t="s">
        <v>2800</v>
      </c>
      <c r="K149" s="164"/>
      <c r="L149" s="3">
        <v>1</v>
      </c>
      <c r="N149" s="148">
        <v>1980</v>
      </c>
      <c r="R149" s="148">
        <f>Table242[[#This Row],[Material Unit Price]]+Table242[[#This Row],[Labor Unit Price]]+Table242[[#This Row],[GC + Manage+ Insur]]</f>
        <v>1980</v>
      </c>
      <c r="S149" s="148">
        <f>Table242[[#This Row],[Total Per Tool]]*Table242[[#This Row],[Tool QTY]]</f>
        <v>1980</v>
      </c>
      <c r="U149" s="149">
        <v>45427</v>
      </c>
      <c r="W149" s="148" t="s">
        <v>2551</v>
      </c>
      <c r="X14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1980</v>
      </c>
      <c r="Y149" s="150">
        <f>Table242[[#This Row],[Total AR (Received)]]/Table242[[#This Row],[PO Amount]]</f>
        <v>1</v>
      </c>
      <c r="Z149" s="151">
        <f>Table242[[#This Row],[PO Amount]]-Table242[[#This Row],[Total AR (Received)]]</f>
        <v>0</v>
      </c>
      <c r="AA149" s="3"/>
      <c r="AF149" s="3"/>
      <c r="BG149" s="287"/>
      <c r="BJ149" s="357">
        <v>1980</v>
      </c>
      <c r="BR149" s="156">
        <f t="shared" si="2"/>
        <v>0</v>
      </c>
    </row>
    <row r="150" spans="1:73" ht="14.45" hidden="1">
      <c r="B150" s="3" t="s">
        <v>29</v>
      </c>
      <c r="C150" s="3"/>
      <c r="D150" s="3">
        <v>4400871904</v>
      </c>
      <c r="E150" s="3">
        <v>1</v>
      </c>
      <c r="F150" s="3" t="s">
        <v>2549</v>
      </c>
      <c r="G150" s="3"/>
      <c r="H150" s="3" t="s">
        <v>17</v>
      </c>
      <c r="I150" s="3"/>
      <c r="J150" s="163" t="s">
        <v>2801</v>
      </c>
      <c r="K150" s="164"/>
      <c r="L150" s="3">
        <v>1</v>
      </c>
      <c r="N150" s="148">
        <v>1398428.04</v>
      </c>
      <c r="R150" s="148">
        <f>Table242[[#This Row],[Material Unit Price]]+Table242[[#This Row],[Labor Unit Price]]+Table242[[#This Row],[GC + Manage+ Insur]]</f>
        <v>1398428.04</v>
      </c>
      <c r="S150" s="148">
        <f>Table242[[#This Row],[Total Per Tool]]*Table242[[#This Row],[Tool QTY]]</f>
        <v>1398428.04</v>
      </c>
      <c r="U150" s="149" t="s">
        <v>2802</v>
      </c>
      <c r="W150" s="148" t="s">
        <v>2551</v>
      </c>
      <c r="X15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628997.56999999995</v>
      </c>
      <c r="Y150" s="150">
        <f>Table242[[#This Row],[Total AR (Received)]]/Table242[[#This Row],[PO Amount]]</f>
        <v>0.44978901452805531</v>
      </c>
      <c r="Z150" s="151">
        <f>Table242[[#This Row],[PO Amount]]-Table242[[#This Row],[Total AR (Received)]]</f>
        <v>769430.47000000009</v>
      </c>
      <c r="AA150" s="3"/>
      <c r="AF150" s="3"/>
      <c r="BG150" s="287"/>
      <c r="BJ150" s="165"/>
      <c r="BL150" s="171">
        <v>537907.96</v>
      </c>
      <c r="BP150" s="153">
        <f>42734.77+24522.32+23832.52</f>
        <v>91089.61</v>
      </c>
      <c r="BR150" s="156">
        <f t="shared" si="2"/>
        <v>0</v>
      </c>
    </row>
    <row r="151" spans="1:73" ht="14.45" hidden="1">
      <c r="A151" s="378"/>
      <c r="B151" s="379" t="s">
        <v>32</v>
      </c>
      <c r="C151" s="3" t="s">
        <v>2803</v>
      </c>
      <c r="D151" s="379">
        <v>4900167522</v>
      </c>
      <c r="E151" s="379">
        <v>1</v>
      </c>
      <c r="F151" s="379" t="s">
        <v>2804</v>
      </c>
      <c r="G151" s="3" t="s">
        <v>2805</v>
      </c>
      <c r="H151" s="3" t="s">
        <v>17</v>
      </c>
      <c r="I151" s="379" t="s">
        <v>2806</v>
      </c>
      <c r="J151" s="378" t="s">
        <v>2807</v>
      </c>
      <c r="K151" s="380"/>
      <c r="L151" s="379">
        <v>1</v>
      </c>
      <c r="R151" s="381">
        <f>Table242[[#This Row],[Material Unit Price]]+Table242[[#This Row],[Labor Unit Price]]+Table242[[#This Row],[GC + Manage+ Insur]]</f>
        <v>0</v>
      </c>
      <c r="S151" s="382">
        <f>Table242[[#This Row],[Total Per Tool]]*Table242[[#This Row],[Tool QTY]]</f>
        <v>0</v>
      </c>
      <c r="T151" s="381"/>
      <c r="U151" s="383">
        <v>44937</v>
      </c>
      <c r="V151" s="381"/>
      <c r="W151" s="381"/>
      <c r="X151" s="381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151" s="384" t="e">
        <f>Table242[[#This Row],[Total AR (Received)]]/Table242[[#This Row],[PO Amount]]</f>
        <v>#DIV/0!</v>
      </c>
      <c r="Z151" s="385">
        <f>Table242[[#This Row],[PO Amount]]-Table242[[#This Row],[Total AR (Received)]]</f>
        <v>0</v>
      </c>
      <c r="AA151" s="152"/>
      <c r="AB151" s="152"/>
      <c r="AC151" s="152" t="e">
        <f>SUM(Table242[[#This Row],[Total M%]]*Table242[[#This Row],[Material Unit Price]],Table242[[#This Row],[Total L %]]*Table242[[#This Row],[Labor Unit Price]])/SUM(Table242[[#This Row],[Material Unit Price]:[Labor Unit Price]])</f>
        <v>#DIV/0!</v>
      </c>
      <c r="AD151" s="2"/>
      <c r="AE151"/>
      <c r="AF151" s="148"/>
      <c r="AV151" s="153"/>
      <c r="AW151" s="153"/>
      <c r="AX151" s="153"/>
      <c r="AY151" s="153"/>
      <c r="AZ151" s="153"/>
      <c r="BA151" s="153"/>
      <c r="BB151" s="153"/>
      <c r="BC151" s="153"/>
      <c r="BD151" s="154" t="s">
        <v>550</v>
      </c>
      <c r="BE151" s="153"/>
      <c r="BF151" s="153"/>
      <c r="BG151" s="153"/>
      <c r="BH151" s="153"/>
      <c r="BI151" s="153"/>
      <c r="BJ151" s="153"/>
      <c r="BK151" s="153"/>
      <c r="BL151" s="153"/>
      <c r="BM151" s="153"/>
      <c r="BN151" s="153"/>
      <c r="BO151" s="153"/>
      <c r="BP151" s="153"/>
      <c r="BQ151" s="153"/>
      <c r="BR151" s="386">
        <f t="shared" si="2"/>
        <v>0</v>
      </c>
      <c r="BS151" s="378"/>
      <c r="BT151" s="378"/>
      <c r="BU151" s="378"/>
    </row>
    <row r="152" spans="1:73" s="378" customFormat="1" ht="14.45" hidden="1">
      <c r="A152"/>
      <c r="B152" s="3" t="s">
        <v>32</v>
      </c>
      <c r="C152" s="3" t="s">
        <v>2803</v>
      </c>
      <c r="D152" s="3">
        <v>4900167753</v>
      </c>
      <c r="E152" s="3">
        <v>1</v>
      </c>
      <c r="F152" s="3" t="s">
        <v>2804</v>
      </c>
      <c r="G152" s="3" t="s">
        <v>2805</v>
      </c>
      <c r="H152" s="3" t="s">
        <v>17</v>
      </c>
      <c r="I152" s="3" t="s">
        <v>2808</v>
      </c>
      <c r="J152" t="s">
        <v>2809</v>
      </c>
      <c r="K152" s="147" t="s">
        <v>2810</v>
      </c>
      <c r="L152" s="3">
        <v>1</v>
      </c>
      <c r="M152" s="148">
        <v>1363.33</v>
      </c>
      <c r="N152" s="148">
        <v>25552.079999999984</v>
      </c>
      <c r="O152" s="148"/>
      <c r="P152" s="148"/>
      <c r="Q152" s="148">
        <v>5383.0819999999967</v>
      </c>
      <c r="R152" s="148">
        <f>Table242[[#This Row],[Material Unit Price]]+Table242[[#This Row],[Labor Unit Price]]+Table242[[#This Row],[GC + Manage+ Insur]]</f>
        <v>32298.491999999977</v>
      </c>
      <c r="S152" s="148">
        <f>Table242[[#This Row],[Total Per Tool]]*Table242[[#This Row],[Tool QTY]]</f>
        <v>32298.491999999977</v>
      </c>
      <c r="T152" s="148"/>
      <c r="U152" s="149">
        <v>44939</v>
      </c>
      <c r="V152" s="148"/>
      <c r="W152" s="148"/>
      <c r="X15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32298.491999999977</v>
      </c>
      <c r="Y152" s="150">
        <f>Table242[[#This Row],[Total AR (Received)]]/Table242[[#This Row],[PO Amount]]</f>
        <v>1</v>
      </c>
      <c r="Z152" s="151">
        <f>Table242[[#This Row],[PO Amount]]-Table242[[#This Row],[Total AR (Received)]]</f>
        <v>0</v>
      </c>
      <c r="AA152" s="152"/>
      <c r="AB152" s="152"/>
      <c r="AC152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152" s="2"/>
      <c r="AE152"/>
      <c r="AF152" s="148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 s="157">
        <f>Table242[[#This Row],[Total Per Tool]]</f>
        <v>32298.491999999977</v>
      </c>
      <c r="AW152" s="159"/>
      <c r="AX152" s="159"/>
      <c r="AY152" s="159"/>
      <c r="AZ152" s="159"/>
      <c r="BA152" s="159"/>
      <c r="BB152" s="159"/>
      <c r="BC152" s="159"/>
      <c r="BD152" s="154" t="s">
        <v>550</v>
      </c>
      <c r="BE152" s="159"/>
      <c r="BF152" s="159"/>
      <c r="BG152" s="159"/>
      <c r="BH152" s="159"/>
      <c r="BI152" s="159"/>
      <c r="BJ152" s="159"/>
      <c r="BK152" s="159"/>
      <c r="BL152" s="159"/>
      <c r="BM152" s="159"/>
      <c r="BN152" s="159"/>
      <c r="BO152" s="159"/>
      <c r="BP152" s="159"/>
      <c r="BQ152" s="159"/>
      <c r="BR152" s="158">
        <f t="shared" si="2"/>
        <v>32298.491999999977</v>
      </c>
      <c r="BS152"/>
      <c r="BT152"/>
      <c r="BU152"/>
    </row>
    <row r="153" spans="1:73" ht="14.45" hidden="1">
      <c r="B153" s="3" t="s">
        <v>32</v>
      </c>
      <c r="C153" s="3" t="s">
        <v>2803</v>
      </c>
      <c r="D153" s="3">
        <v>4900167878</v>
      </c>
      <c r="E153" s="3">
        <v>1</v>
      </c>
      <c r="F153" s="3" t="s">
        <v>2804</v>
      </c>
      <c r="G153" s="3" t="s">
        <v>2805</v>
      </c>
      <c r="H153" s="3" t="s">
        <v>17</v>
      </c>
      <c r="I153" s="3" t="s">
        <v>2811</v>
      </c>
      <c r="J153" t="s">
        <v>2812</v>
      </c>
      <c r="K153" s="147"/>
      <c r="L153" s="3">
        <v>1</v>
      </c>
      <c r="N153" s="148">
        <v>15480.000000000007</v>
      </c>
      <c r="Q153" s="148">
        <v>3096.0000000000018</v>
      </c>
      <c r="R153" s="148">
        <f>Table242[[#This Row],[Material Unit Price]]+Table242[[#This Row],[Labor Unit Price]]+Table242[[#This Row],[GC + Manage+ Insur]]</f>
        <v>18576.000000000007</v>
      </c>
      <c r="S153" s="148">
        <f>Table242[[#This Row],[Total Per Tool]]*Table242[[#This Row],[Tool QTY]]</f>
        <v>18576.000000000007</v>
      </c>
      <c r="U153" s="149">
        <v>44943</v>
      </c>
      <c r="X15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153" s="150">
        <f>Table242[[#This Row],[Total AR (Received)]]/Table242[[#This Row],[PO Amount]]</f>
        <v>0</v>
      </c>
      <c r="Z153" s="151">
        <f>Table242[[#This Row],[PO Amount]]-Table242[[#This Row],[Total AR (Received)]]</f>
        <v>18576.000000000007</v>
      </c>
      <c r="AA153" s="152"/>
      <c r="AB153" s="152"/>
      <c r="AC153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153" s="2"/>
      <c r="AE153"/>
      <c r="AF153" s="148"/>
      <c r="AV153" s="153"/>
      <c r="AW153" s="153"/>
      <c r="AX153" s="153"/>
      <c r="AY153" s="153"/>
      <c r="AZ153" s="153"/>
      <c r="BA153" s="153"/>
      <c r="BB153" s="153"/>
      <c r="BC153" s="153"/>
      <c r="BD153" s="154" t="s">
        <v>550</v>
      </c>
      <c r="BE153" s="153"/>
      <c r="BF153" s="153"/>
      <c r="BG153" s="153"/>
      <c r="BH153" s="153"/>
      <c r="BI153" s="153"/>
      <c r="BJ153" s="153"/>
      <c r="BK153" s="153"/>
      <c r="BL153" s="153"/>
      <c r="BM153" s="153"/>
      <c r="BN153" s="153"/>
      <c r="BO153" s="153"/>
      <c r="BP153" s="153"/>
      <c r="BQ153" s="153"/>
      <c r="BR153" s="156">
        <f t="shared" si="2"/>
        <v>0</v>
      </c>
    </row>
    <row r="154" spans="1:73" ht="14.45" hidden="1">
      <c r="B154" s="3" t="s">
        <v>32</v>
      </c>
      <c r="C154" s="3" t="s">
        <v>2803</v>
      </c>
      <c r="D154" s="3">
        <v>4900167879</v>
      </c>
      <c r="E154" s="3">
        <v>1</v>
      </c>
      <c r="F154" s="3" t="s">
        <v>2804</v>
      </c>
      <c r="G154" s="3" t="s">
        <v>2805</v>
      </c>
      <c r="H154" s="3" t="s">
        <v>17</v>
      </c>
      <c r="I154" s="3" t="s">
        <v>2813</v>
      </c>
      <c r="J154" t="s">
        <v>2814</v>
      </c>
      <c r="K154" s="147"/>
      <c r="L154" s="3">
        <v>1</v>
      </c>
      <c r="N154" s="148">
        <v>15480.000000000007</v>
      </c>
      <c r="Q154" s="148">
        <v>3096.0000000000018</v>
      </c>
      <c r="R154" s="148">
        <f>Table242[[#This Row],[Material Unit Price]]+Table242[[#This Row],[Labor Unit Price]]+Table242[[#This Row],[GC + Manage+ Insur]]</f>
        <v>18576.000000000007</v>
      </c>
      <c r="S154" s="148">
        <f>Table242[[#This Row],[Total Per Tool]]*Table242[[#This Row],[Tool QTY]]</f>
        <v>18576.000000000007</v>
      </c>
      <c r="U154" s="149">
        <v>44943</v>
      </c>
      <c r="X15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18576</v>
      </c>
      <c r="Y154" s="150">
        <f>Table242[[#This Row],[Total AR (Received)]]/Table242[[#This Row],[PO Amount]]</f>
        <v>0.99999999999999956</v>
      </c>
      <c r="Z154" s="151">
        <f>Table242[[#This Row],[PO Amount]]-Table242[[#This Row],[Total AR (Received)]]</f>
        <v>0</v>
      </c>
      <c r="AA154" s="152"/>
      <c r="AB154" s="152"/>
      <c r="AC154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154" s="2"/>
      <c r="AE154"/>
      <c r="AF154" s="148"/>
      <c r="AV154" s="153"/>
      <c r="AW154" s="153"/>
      <c r="AX154" s="153"/>
      <c r="AY154" s="153"/>
      <c r="AZ154" s="153"/>
      <c r="BA154" s="153"/>
      <c r="BB154" s="153"/>
      <c r="BC154" s="153"/>
      <c r="BD154" s="154" t="s">
        <v>550</v>
      </c>
      <c r="BE154" s="153"/>
      <c r="BF154" s="161">
        <v>18576</v>
      </c>
      <c r="BG154" s="153"/>
      <c r="BH154" s="153"/>
      <c r="BI154" s="153"/>
      <c r="BJ154" s="153"/>
      <c r="BK154" s="153"/>
      <c r="BL154" s="153"/>
      <c r="BM154" s="153"/>
      <c r="BN154" s="153"/>
      <c r="BO154" s="153"/>
      <c r="BP154" s="153"/>
      <c r="BQ154" s="153"/>
      <c r="BR154" s="156">
        <f t="shared" si="2"/>
        <v>18576</v>
      </c>
    </row>
    <row r="155" spans="1:73" ht="14.45" hidden="1">
      <c r="B155" s="3" t="s">
        <v>32</v>
      </c>
      <c r="C155" s="3" t="s">
        <v>2803</v>
      </c>
      <c r="D155" s="3">
        <v>4900167880</v>
      </c>
      <c r="E155" s="3">
        <v>1</v>
      </c>
      <c r="F155" s="3" t="s">
        <v>2804</v>
      </c>
      <c r="G155" s="3" t="s">
        <v>2805</v>
      </c>
      <c r="H155" s="3" t="s">
        <v>17</v>
      </c>
      <c r="I155" s="3" t="s">
        <v>2815</v>
      </c>
      <c r="J155" t="s">
        <v>2816</v>
      </c>
      <c r="K155" s="147"/>
      <c r="L155" s="3">
        <v>1</v>
      </c>
      <c r="N155" s="148">
        <v>18229.500000000004</v>
      </c>
      <c r="Q155" s="148">
        <v>3645.900000000001</v>
      </c>
      <c r="R155" s="148">
        <f>Table242[[#This Row],[Material Unit Price]]+Table242[[#This Row],[Labor Unit Price]]+Table242[[#This Row],[GC + Manage+ Insur]]</f>
        <v>21875.400000000005</v>
      </c>
      <c r="S155" s="148">
        <f>Table242[[#This Row],[Total Per Tool]]*Table242[[#This Row],[Tool QTY]]</f>
        <v>21875.400000000005</v>
      </c>
      <c r="U155" s="149">
        <v>44943</v>
      </c>
      <c r="X15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21875.4</v>
      </c>
      <c r="Y155" s="150">
        <f>Table242[[#This Row],[Total AR (Received)]]/Table242[[#This Row],[PO Amount]]</f>
        <v>0.99999999999999989</v>
      </c>
      <c r="Z155" s="151">
        <f>Table242[[#This Row],[PO Amount]]-Table242[[#This Row],[Total AR (Received)]]</f>
        <v>0</v>
      </c>
      <c r="AA155" s="152"/>
      <c r="AB155" s="152"/>
      <c r="AC155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155" s="2"/>
      <c r="AE155"/>
      <c r="AF155" s="148"/>
      <c r="AV155" s="180"/>
      <c r="AW155" s="153"/>
      <c r="AX155" s="153"/>
      <c r="AY155" s="153"/>
      <c r="AZ155" s="153"/>
      <c r="BA155" s="153"/>
      <c r="BB155" s="153"/>
      <c r="BC155" s="153"/>
      <c r="BD155" s="154" t="s">
        <v>550</v>
      </c>
      <c r="BE155" s="153"/>
      <c r="BF155" s="161">
        <v>21875.4</v>
      </c>
      <c r="BG155" s="153"/>
      <c r="BH155" s="153"/>
      <c r="BI155" s="153"/>
      <c r="BJ155" s="153"/>
      <c r="BK155" s="153"/>
      <c r="BL155" s="153"/>
      <c r="BM155" s="153"/>
      <c r="BN155" s="153"/>
      <c r="BO155" s="153"/>
      <c r="BP155" s="153"/>
      <c r="BQ155" s="153"/>
      <c r="BR155" s="156">
        <f t="shared" si="2"/>
        <v>21875.4</v>
      </c>
    </row>
    <row r="156" spans="1:73" ht="14.45" hidden="1">
      <c r="B156" s="3" t="s">
        <v>32</v>
      </c>
      <c r="C156" s="3" t="s">
        <v>2803</v>
      </c>
      <c r="D156" s="3">
        <v>4900167881</v>
      </c>
      <c r="E156" s="3">
        <v>1</v>
      </c>
      <c r="F156" s="3" t="s">
        <v>2804</v>
      </c>
      <c r="G156" s="3" t="s">
        <v>2805</v>
      </c>
      <c r="H156" s="3" t="s">
        <v>17</v>
      </c>
      <c r="I156" s="3" t="s">
        <v>2817</v>
      </c>
      <c r="J156" t="s">
        <v>2818</v>
      </c>
      <c r="K156" s="147" t="s">
        <v>2819</v>
      </c>
      <c r="L156" s="3">
        <v>1</v>
      </c>
      <c r="M156" s="148">
        <v>6296.0099999999993</v>
      </c>
      <c r="N156" s="148">
        <v>7996.260000000002</v>
      </c>
      <c r="Q156" s="148">
        <v>2858.4540000000002</v>
      </c>
      <c r="R156" s="148">
        <f>Table242[[#This Row],[Material Unit Price]]+Table242[[#This Row],[Labor Unit Price]]+Table242[[#This Row],[GC + Manage+ Insur]]</f>
        <v>17150.724000000002</v>
      </c>
      <c r="S156" s="148">
        <f>Table242[[#This Row],[Total Per Tool]]*Table242[[#This Row],[Tool QTY]]</f>
        <v>17150.724000000002</v>
      </c>
      <c r="U156" s="149">
        <v>44943</v>
      </c>
      <c r="X15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17150.724000000002</v>
      </c>
      <c r="Y156" s="150">
        <f>Table242[[#This Row],[Total AR (Received)]]/Table242[[#This Row],[PO Amount]]</f>
        <v>1</v>
      </c>
      <c r="Z156" s="151">
        <f>Table242[[#This Row],[PO Amount]]-Table242[[#This Row],[Total AR (Received)]]</f>
        <v>0</v>
      </c>
      <c r="AA156" s="152"/>
      <c r="AB156" s="152"/>
      <c r="AC156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156" s="2"/>
      <c r="AE156"/>
      <c r="AF156" s="148"/>
      <c r="AV156" s="157">
        <f>Table242[[#This Row],[Total Per Tool]]</f>
        <v>17150.724000000002</v>
      </c>
      <c r="AW156" s="159"/>
      <c r="AX156" s="159"/>
      <c r="AY156" s="159"/>
      <c r="AZ156" s="159"/>
      <c r="BA156" s="159"/>
      <c r="BB156" s="159"/>
      <c r="BC156" s="159"/>
      <c r="BD156" s="154" t="s">
        <v>550</v>
      </c>
      <c r="BE156" s="159"/>
      <c r="BF156" s="159"/>
      <c r="BG156" s="159"/>
      <c r="BH156" s="159"/>
      <c r="BI156" s="159"/>
      <c r="BJ156" s="159"/>
      <c r="BK156" s="159"/>
      <c r="BL156" s="159"/>
      <c r="BM156" s="159"/>
      <c r="BN156" s="159"/>
      <c r="BO156" s="159"/>
      <c r="BP156" s="159"/>
      <c r="BQ156" s="159"/>
      <c r="BR156" s="158">
        <f t="shared" si="2"/>
        <v>17150.724000000002</v>
      </c>
    </row>
    <row r="157" spans="1:73" ht="14.45" hidden="1">
      <c r="A157" s="387"/>
      <c r="B157" s="388" t="s">
        <v>32</v>
      </c>
      <c r="C157" s="3" t="s">
        <v>2803</v>
      </c>
      <c r="D157" s="388">
        <v>4900167882</v>
      </c>
      <c r="E157" s="388">
        <v>1</v>
      </c>
      <c r="F157" s="388" t="s">
        <v>2804</v>
      </c>
      <c r="G157" s="3" t="s">
        <v>2805</v>
      </c>
      <c r="H157" s="3" t="s">
        <v>17</v>
      </c>
      <c r="I157" s="388" t="s">
        <v>2820</v>
      </c>
      <c r="J157" s="387" t="s">
        <v>2821</v>
      </c>
      <c r="K157" s="389"/>
      <c r="L157" s="388">
        <v>1</v>
      </c>
      <c r="M157" s="185"/>
      <c r="N157" s="185"/>
      <c r="O157" s="185"/>
      <c r="P157" s="185"/>
      <c r="Q157" s="185"/>
      <c r="R157" s="390">
        <f>Table242[[#This Row],[Material Unit Price]]+Table242[[#This Row],[Labor Unit Price]]+Table242[[#This Row],[GC + Manage+ Insur]]</f>
        <v>0</v>
      </c>
      <c r="S157" s="381">
        <f>Table242[[#This Row],[Total Per Tool]]*Table242[[#This Row],[Tool QTY]]</f>
        <v>0</v>
      </c>
      <c r="T157" s="381"/>
      <c r="U157" s="383">
        <v>44944</v>
      </c>
      <c r="V157" s="381"/>
      <c r="W157" s="381"/>
      <c r="X157" s="390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157" s="391" t="e">
        <f>Table242[[#This Row],[Total AR (Received)]]/Table242[[#This Row],[PO Amount]]</f>
        <v>#DIV/0!</v>
      </c>
      <c r="Z157" s="392">
        <f>Table242[[#This Row],[PO Amount]]-Table242[[#This Row],[Total AR (Received)]]</f>
        <v>0</v>
      </c>
      <c r="AA157" s="152"/>
      <c r="AB157" s="152"/>
      <c r="AC157" s="152" t="e">
        <f>SUM(Table242[[#This Row],[Total M%]]*Table242[[#This Row],[Material Unit Price]],Table242[[#This Row],[Total L %]]*Table242[[#This Row],[Labor Unit Price]])/SUM(Table242[[#This Row],[Material Unit Price]:[Labor Unit Price]])</f>
        <v>#DIV/0!</v>
      </c>
      <c r="AD157" s="181"/>
      <c r="AE157"/>
      <c r="AF157" s="185"/>
      <c r="AH157" s="5"/>
      <c r="AJ157" s="5"/>
      <c r="AL157" s="5"/>
      <c r="AN157" s="5"/>
      <c r="AP157" s="5"/>
      <c r="AR157" s="5"/>
      <c r="AT157" s="5"/>
      <c r="AU157" s="5"/>
      <c r="AV157" s="180"/>
      <c r="AW157" s="186"/>
      <c r="AX157" s="186"/>
      <c r="AY157" s="186"/>
      <c r="AZ157" s="186"/>
      <c r="BA157" s="186"/>
      <c r="BB157" s="186"/>
      <c r="BC157" s="186"/>
      <c r="BD157" s="154" t="s">
        <v>550</v>
      </c>
      <c r="BE157" s="186"/>
      <c r="BF157" s="186"/>
      <c r="BG157" s="186"/>
      <c r="BH157" s="186"/>
      <c r="BI157" s="186"/>
      <c r="BJ157" s="186"/>
      <c r="BK157" s="186"/>
      <c r="BL157" s="186"/>
      <c r="BM157" s="186"/>
      <c r="BN157" s="186"/>
      <c r="BO157" s="186"/>
      <c r="BP157" s="186"/>
      <c r="BQ157" s="186"/>
      <c r="BR157" s="393">
        <f t="shared" si="2"/>
        <v>0</v>
      </c>
      <c r="BS157" s="387"/>
      <c r="BT157" s="387"/>
      <c r="BU157" s="387"/>
    </row>
    <row r="158" spans="1:73" ht="14.45" hidden="1">
      <c r="A158" s="387"/>
      <c r="B158" s="388" t="s">
        <v>32</v>
      </c>
      <c r="C158" s="3" t="s">
        <v>2803</v>
      </c>
      <c r="D158" s="388">
        <v>4900167883</v>
      </c>
      <c r="E158" s="388">
        <v>1</v>
      </c>
      <c r="F158" s="388" t="s">
        <v>2804</v>
      </c>
      <c r="G158" s="3" t="s">
        <v>2805</v>
      </c>
      <c r="H158" s="3" t="s">
        <v>17</v>
      </c>
      <c r="I158" s="388" t="s">
        <v>2822</v>
      </c>
      <c r="J158" s="387" t="s">
        <v>2823</v>
      </c>
      <c r="K158" s="389"/>
      <c r="L158" s="388">
        <v>1</v>
      </c>
      <c r="M158" s="185"/>
      <c r="N158" s="185"/>
      <c r="O158" s="185"/>
      <c r="P158" s="185"/>
      <c r="Q158" s="185"/>
      <c r="R158" s="390">
        <f>Table242[[#This Row],[Material Unit Price]]+Table242[[#This Row],[Labor Unit Price]]+Table242[[#This Row],[GC + Manage+ Insur]]</f>
        <v>0</v>
      </c>
      <c r="S158" s="381">
        <f>Table242[[#This Row],[Total Per Tool]]*Table242[[#This Row],[Tool QTY]]</f>
        <v>0</v>
      </c>
      <c r="T158" s="381"/>
      <c r="U158" s="383">
        <v>44943</v>
      </c>
      <c r="V158" s="381"/>
      <c r="W158" s="381"/>
      <c r="X158" s="390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158" s="391" t="e">
        <f>Table242[[#This Row],[Total AR (Received)]]/Table242[[#This Row],[PO Amount]]</f>
        <v>#DIV/0!</v>
      </c>
      <c r="Z158" s="392">
        <f>Table242[[#This Row],[PO Amount]]-Table242[[#This Row],[Total AR (Received)]]</f>
        <v>0</v>
      </c>
      <c r="AA158" s="152"/>
      <c r="AB158" s="152"/>
      <c r="AC158" s="152" t="e">
        <f>SUM(Table242[[#This Row],[Total M%]]*Table242[[#This Row],[Material Unit Price]],Table242[[#This Row],[Total L %]]*Table242[[#This Row],[Labor Unit Price]])/SUM(Table242[[#This Row],[Material Unit Price]:[Labor Unit Price]])</f>
        <v>#DIV/0!</v>
      </c>
      <c r="AD158" s="181"/>
      <c r="AE158"/>
      <c r="AF158" s="185"/>
      <c r="AH158" s="5"/>
      <c r="AJ158" s="5"/>
      <c r="AL158" s="5"/>
      <c r="AN158" s="5"/>
      <c r="AP158" s="5"/>
      <c r="AR158" s="5"/>
      <c r="AT158" s="5"/>
      <c r="AU158" s="5"/>
      <c r="AV158" s="180"/>
      <c r="AW158" s="186"/>
      <c r="AX158" s="186"/>
      <c r="AY158" s="186"/>
      <c r="AZ158" s="186"/>
      <c r="BA158" s="186"/>
      <c r="BB158" s="186"/>
      <c r="BC158" s="186"/>
      <c r="BD158" s="154" t="s">
        <v>550</v>
      </c>
      <c r="BE158" s="186"/>
      <c r="BF158" s="186"/>
      <c r="BG158" s="186"/>
      <c r="BH158" s="186"/>
      <c r="BI158" s="186"/>
      <c r="BJ158" s="186"/>
      <c r="BK158" s="186"/>
      <c r="BL158" s="186"/>
      <c r="BM158" s="186"/>
      <c r="BN158" s="186"/>
      <c r="BO158" s="186"/>
      <c r="BP158" s="186"/>
      <c r="BQ158" s="186"/>
      <c r="BR158" s="393">
        <f t="shared" si="2"/>
        <v>0</v>
      </c>
      <c r="BS158" s="387"/>
      <c r="BT158" s="387"/>
      <c r="BU158" s="387"/>
    </row>
    <row r="159" spans="1:73" ht="14.45" hidden="1">
      <c r="B159" s="3" t="s">
        <v>32</v>
      </c>
      <c r="C159" s="3" t="s">
        <v>2803</v>
      </c>
      <c r="D159" s="3">
        <v>4900167884</v>
      </c>
      <c r="E159" s="3">
        <v>1</v>
      </c>
      <c r="F159" s="3" t="s">
        <v>2804</v>
      </c>
      <c r="G159" s="3" t="s">
        <v>2805</v>
      </c>
      <c r="H159" s="3" t="s">
        <v>17</v>
      </c>
      <c r="I159" s="3" t="s">
        <v>2824</v>
      </c>
      <c r="J159" t="s">
        <v>2825</v>
      </c>
      <c r="K159" s="147" t="s">
        <v>2819</v>
      </c>
      <c r="L159" s="3">
        <v>1</v>
      </c>
      <c r="M159" s="148">
        <v>6742.69</v>
      </c>
      <c r="N159" s="148">
        <v>9493.14</v>
      </c>
      <c r="Q159" s="148">
        <v>3247.1659999999997</v>
      </c>
      <c r="R159" s="148">
        <f>Table242[[#This Row],[Material Unit Price]]+Table242[[#This Row],[Labor Unit Price]]+Table242[[#This Row],[GC + Manage+ Insur]]</f>
        <v>19482.995999999999</v>
      </c>
      <c r="S159" s="148">
        <f>Table242[[#This Row],[Total Per Tool]]*Table242[[#This Row],[Tool QTY]]</f>
        <v>19482.995999999999</v>
      </c>
      <c r="U159" s="149">
        <v>44943</v>
      </c>
      <c r="X15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19482.995999999999</v>
      </c>
      <c r="Y159" s="150">
        <f>Table242[[#This Row],[Total AR (Received)]]/Table242[[#This Row],[PO Amount]]</f>
        <v>1</v>
      </c>
      <c r="Z159" s="151">
        <f>Table242[[#This Row],[PO Amount]]-Table242[[#This Row],[Total AR (Received)]]</f>
        <v>0</v>
      </c>
      <c r="AA159" s="152"/>
      <c r="AB159" s="152"/>
      <c r="AC159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159" s="2"/>
      <c r="AE159"/>
      <c r="AF159" s="148"/>
      <c r="AV159" s="157">
        <f>Table242[[#This Row],[Total Per Tool]]</f>
        <v>19482.995999999999</v>
      </c>
      <c r="AW159" s="159"/>
      <c r="AX159" s="159"/>
      <c r="AY159" s="159"/>
      <c r="AZ159" s="159"/>
      <c r="BA159" s="159"/>
      <c r="BB159" s="159"/>
      <c r="BC159" s="159"/>
      <c r="BD159" s="154" t="s">
        <v>550</v>
      </c>
      <c r="BE159" s="159"/>
      <c r="BF159" s="159"/>
      <c r="BG159" s="159"/>
      <c r="BH159" s="159"/>
      <c r="BI159" s="159"/>
      <c r="BJ159" s="159"/>
      <c r="BK159" s="159"/>
      <c r="BL159" s="159"/>
      <c r="BM159" s="159"/>
      <c r="BN159" s="159"/>
      <c r="BO159" s="159"/>
      <c r="BP159" s="159"/>
      <c r="BQ159" s="159"/>
      <c r="BR159" s="158">
        <f t="shared" si="2"/>
        <v>19482.995999999999</v>
      </c>
    </row>
    <row r="160" spans="1:73" ht="14.45" hidden="1">
      <c r="B160" s="3" t="s">
        <v>32</v>
      </c>
      <c r="C160" s="3" t="s">
        <v>2803</v>
      </c>
      <c r="D160" s="3">
        <v>4900167885</v>
      </c>
      <c r="E160" s="3">
        <v>1</v>
      </c>
      <c r="F160" s="3" t="s">
        <v>2804</v>
      </c>
      <c r="G160" s="3" t="s">
        <v>2805</v>
      </c>
      <c r="H160" s="3" t="s">
        <v>17</v>
      </c>
      <c r="I160" s="3" t="s">
        <v>2826</v>
      </c>
      <c r="J160" t="s">
        <v>2827</v>
      </c>
      <c r="K160" s="147"/>
      <c r="L160" s="3">
        <v>1</v>
      </c>
      <c r="M160" s="148">
        <v>723.69</v>
      </c>
      <c r="N160" s="148">
        <v>25775.999999999982</v>
      </c>
      <c r="Q160" s="148">
        <v>5299.9379999999965</v>
      </c>
      <c r="R160" s="148">
        <f>Table242[[#This Row],[Material Unit Price]]+Table242[[#This Row],[Labor Unit Price]]+Table242[[#This Row],[GC + Manage+ Insur]]</f>
        <v>31799.627999999975</v>
      </c>
      <c r="S160" s="148">
        <f>Table242[[#This Row],[Total Per Tool]]*Table242[[#This Row],[Tool QTY]]</f>
        <v>31799.627999999975</v>
      </c>
      <c r="U160" s="149">
        <v>44943</v>
      </c>
      <c r="X16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31799.63</v>
      </c>
      <c r="Y160" s="150">
        <f>Table242[[#This Row],[Total AR (Received)]]/Table242[[#This Row],[PO Amount]]</f>
        <v>1.0000000628938184</v>
      </c>
      <c r="Z160" s="151">
        <f>Table242[[#This Row],[PO Amount]]-Table242[[#This Row],[Total AR (Received)]]</f>
        <v>-2.0000000258733053E-3</v>
      </c>
      <c r="AA160" s="152"/>
      <c r="AB160" s="152"/>
      <c r="AC160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160" s="2"/>
      <c r="AE160"/>
      <c r="AF160" s="148"/>
      <c r="AV160" s="180"/>
      <c r="AW160" s="153"/>
      <c r="AX160" s="153"/>
      <c r="AY160" s="153"/>
      <c r="AZ160" s="153"/>
      <c r="BA160" s="153"/>
      <c r="BB160" s="153"/>
      <c r="BC160" s="153"/>
      <c r="BD160" s="154" t="s">
        <v>550</v>
      </c>
      <c r="BE160" s="153"/>
      <c r="BF160" s="153"/>
      <c r="BG160" s="153"/>
      <c r="BH160" s="359">
        <v>31799.63</v>
      </c>
      <c r="BI160" s="153"/>
      <c r="BJ160" s="153"/>
      <c r="BK160" s="153"/>
      <c r="BL160" s="153"/>
      <c r="BM160" s="153"/>
      <c r="BN160" s="153"/>
      <c r="BO160" s="153"/>
      <c r="BP160" s="153"/>
      <c r="BQ160" s="153"/>
      <c r="BR160" s="156">
        <f t="shared" si="2"/>
        <v>31799.63</v>
      </c>
    </row>
    <row r="161" spans="1:73" ht="14.45" hidden="1">
      <c r="A161" s="387"/>
      <c r="B161" s="388" t="s">
        <v>32</v>
      </c>
      <c r="C161" s="3" t="s">
        <v>2803</v>
      </c>
      <c r="D161" s="388">
        <v>4900168010</v>
      </c>
      <c r="E161" s="388">
        <v>1</v>
      </c>
      <c r="F161" s="388" t="s">
        <v>2804</v>
      </c>
      <c r="G161" s="3" t="s">
        <v>2805</v>
      </c>
      <c r="H161" s="3" t="s">
        <v>17</v>
      </c>
      <c r="I161" s="388" t="s">
        <v>2828</v>
      </c>
      <c r="J161" s="387" t="s">
        <v>2829</v>
      </c>
      <c r="K161" s="389"/>
      <c r="L161" s="388">
        <v>1</v>
      </c>
      <c r="M161" s="185"/>
      <c r="N161" s="185"/>
      <c r="O161" s="185"/>
      <c r="P161" s="185"/>
      <c r="Q161" s="185"/>
      <c r="R161" s="390">
        <f>Table242[[#This Row],[Material Unit Price]]+Table242[[#This Row],[Labor Unit Price]]+Table242[[#This Row],[GC + Manage+ Insur]]</f>
        <v>0</v>
      </c>
      <c r="S161" s="381">
        <f>Table242[[#This Row],[Total Per Tool]]*Table242[[#This Row],[Tool QTY]]</f>
        <v>0</v>
      </c>
      <c r="T161" s="381"/>
      <c r="U161" s="383">
        <v>44944</v>
      </c>
      <c r="V161" s="381"/>
      <c r="W161" s="381"/>
      <c r="X161" s="390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161" s="391" t="e">
        <f>Table242[[#This Row],[Total AR (Received)]]/Table242[[#This Row],[PO Amount]]</f>
        <v>#DIV/0!</v>
      </c>
      <c r="Z161" s="392">
        <f>Table242[[#This Row],[PO Amount]]-Table242[[#This Row],[Total AR (Received)]]</f>
        <v>0</v>
      </c>
      <c r="AA161" s="152"/>
      <c r="AB161" s="152"/>
      <c r="AC161" s="152" t="e">
        <f>SUM(Table242[[#This Row],[Total M%]]*Table242[[#This Row],[Material Unit Price]],Table242[[#This Row],[Total L %]]*Table242[[#This Row],[Labor Unit Price]])/SUM(Table242[[#This Row],[Material Unit Price]:[Labor Unit Price]])</f>
        <v>#DIV/0!</v>
      </c>
      <c r="AD161" s="181"/>
      <c r="AE161"/>
      <c r="AF161" s="185"/>
      <c r="AH161" s="5"/>
      <c r="AJ161" s="5"/>
      <c r="AL161" s="5"/>
      <c r="AN161" s="5"/>
      <c r="AP161" s="5"/>
      <c r="AR161" s="5"/>
      <c r="AT161" s="5"/>
      <c r="AU161" s="5"/>
      <c r="AV161" s="180"/>
      <c r="AW161" s="186"/>
      <c r="AX161" s="186"/>
      <c r="AY161" s="186"/>
      <c r="AZ161" s="186"/>
      <c r="BA161" s="186"/>
      <c r="BB161" s="186"/>
      <c r="BC161" s="186"/>
      <c r="BD161" s="154" t="s">
        <v>550</v>
      </c>
      <c r="BE161" s="186"/>
      <c r="BF161" s="186"/>
      <c r="BG161" s="186"/>
      <c r="BH161" s="186"/>
      <c r="BI161" s="186"/>
      <c r="BJ161" s="186"/>
      <c r="BK161" s="186"/>
      <c r="BL161" s="186"/>
      <c r="BM161" s="186"/>
      <c r="BN161" s="186"/>
      <c r="BO161" s="186"/>
      <c r="BP161" s="186"/>
      <c r="BQ161" s="186"/>
      <c r="BR161" s="393">
        <f t="shared" si="2"/>
        <v>0</v>
      </c>
      <c r="BS161" s="387"/>
      <c r="BT161" s="387"/>
      <c r="BU161" s="387"/>
    </row>
    <row r="162" spans="1:73" ht="14.45" hidden="1">
      <c r="B162" s="3" t="s">
        <v>32</v>
      </c>
      <c r="C162" s="3" t="s">
        <v>2803</v>
      </c>
      <c r="D162" s="3">
        <v>4900168011</v>
      </c>
      <c r="E162" s="3">
        <v>1</v>
      </c>
      <c r="F162" s="3" t="s">
        <v>2804</v>
      </c>
      <c r="G162" s="3" t="s">
        <v>2805</v>
      </c>
      <c r="H162" s="3" t="s">
        <v>17</v>
      </c>
      <c r="I162" s="3" t="s">
        <v>2830</v>
      </c>
      <c r="J162" t="s">
        <v>2831</v>
      </c>
      <c r="K162" s="147"/>
      <c r="L162" s="3">
        <v>1</v>
      </c>
      <c r="N162" s="148">
        <v>15480.000000000007</v>
      </c>
      <c r="Q162" s="148">
        <v>3096.0000000000018</v>
      </c>
      <c r="R162" s="148">
        <f>Table242[[#This Row],[Material Unit Price]]+Table242[[#This Row],[Labor Unit Price]]+Table242[[#This Row],[GC + Manage+ Insur]]</f>
        <v>18576.000000000007</v>
      </c>
      <c r="S162" s="148">
        <f>Table242[[#This Row],[Total Per Tool]]*Table242[[#This Row],[Tool QTY]]</f>
        <v>18576.000000000007</v>
      </c>
      <c r="U162" s="149">
        <v>44944</v>
      </c>
      <c r="X16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18576</v>
      </c>
      <c r="Y162" s="150">
        <f>Table242[[#This Row],[Total AR (Received)]]/Table242[[#This Row],[PO Amount]]</f>
        <v>0.99999999999999956</v>
      </c>
      <c r="Z162" s="151">
        <f>Table242[[#This Row],[PO Amount]]-Table242[[#This Row],[Total AR (Received)]]</f>
        <v>0</v>
      </c>
      <c r="AA162" s="152"/>
      <c r="AB162" s="152"/>
      <c r="AC162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162" s="2"/>
      <c r="AE162"/>
      <c r="AF162" s="148"/>
      <c r="AV162" s="153"/>
      <c r="AW162" s="153"/>
      <c r="AX162" s="153"/>
      <c r="AY162" s="153"/>
      <c r="AZ162" s="153"/>
      <c r="BA162" s="153"/>
      <c r="BB162" s="153"/>
      <c r="BC162" s="153"/>
      <c r="BD162" s="154" t="s">
        <v>550</v>
      </c>
      <c r="BE162" s="153"/>
      <c r="BF162" s="153"/>
      <c r="BG162" s="153"/>
      <c r="BH162" s="359">
        <v>18576</v>
      </c>
      <c r="BI162" s="153"/>
      <c r="BJ162" s="153"/>
      <c r="BK162" s="153"/>
      <c r="BL162" s="153"/>
      <c r="BM162" s="153"/>
      <c r="BN162" s="153"/>
      <c r="BO162" s="153"/>
      <c r="BP162" s="153"/>
      <c r="BQ162" s="153"/>
      <c r="BR162" s="156">
        <f t="shared" si="2"/>
        <v>18576</v>
      </c>
    </row>
    <row r="163" spans="1:73" ht="14.45" hidden="1">
      <c r="A163" s="378"/>
      <c r="B163" s="379" t="s">
        <v>32</v>
      </c>
      <c r="C163" s="3" t="s">
        <v>2803</v>
      </c>
      <c r="D163" s="379">
        <v>4900168012</v>
      </c>
      <c r="E163" s="379">
        <v>1</v>
      </c>
      <c r="F163" s="379" t="s">
        <v>2804</v>
      </c>
      <c r="G163" s="3" t="s">
        <v>2805</v>
      </c>
      <c r="H163" s="3" t="s">
        <v>17</v>
      </c>
      <c r="I163" s="379" t="s">
        <v>2832</v>
      </c>
      <c r="J163" s="378" t="s">
        <v>2833</v>
      </c>
      <c r="K163" s="380"/>
      <c r="L163" s="379">
        <v>1</v>
      </c>
      <c r="R163" s="381">
        <f>Table242[[#This Row],[Material Unit Price]]+Table242[[#This Row],[Labor Unit Price]]+Table242[[#This Row],[GC + Manage+ Insur]]</f>
        <v>0</v>
      </c>
      <c r="S163" s="381">
        <f>Table242[[#This Row],[Total Per Tool]]*Table242[[#This Row],[Tool QTY]]</f>
        <v>0</v>
      </c>
      <c r="T163" s="381"/>
      <c r="U163" s="383">
        <v>44944</v>
      </c>
      <c r="V163" s="381"/>
      <c r="W163" s="381"/>
      <c r="X163" s="381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163" s="384" t="e">
        <f>Table242[[#This Row],[Total AR (Received)]]/Table242[[#This Row],[PO Amount]]</f>
        <v>#DIV/0!</v>
      </c>
      <c r="Z163" s="385">
        <f>Table242[[#This Row],[PO Amount]]-Table242[[#This Row],[Total AR (Received)]]</f>
        <v>0</v>
      </c>
      <c r="AA163" s="152"/>
      <c r="AB163" s="152"/>
      <c r="AC163" s="152" t="e">
        <f>SUM(Table242[[#This Row],[Total M%]]*Table242[[#This Row],[Material Unit Price]],Table242[[#This Row],[Total L %]]*Table242[[#This Row],[Labor Unit Price]])/SUM(Table242[[#This Row],[Material Unit Price]:[Labor Unit Price]])</f>
        <v>#DIV/0!</v>
      </c>
      <c r="AD163" s="2"/>
      <c r="AE163"/>
      <c r="AF163" s="148"/>
      <c r="AV163" s="153"/>
      <c r="AW163" s="153"/>
      <c r="AX163" s="153"/>
      <c r="AY163" s="153"/>
      <c r="AZ163" s="153"/>
      <c r="BA163" s="153"/>
      <c r="BB163" s="153"/>
      <c r="BC163" s="153"/>
      <c r="BD163" s="154" t="s">
        <v>550</v>
      </c>
      <c r="BE163" s="153"/>
      <c r="BF163" s="153"/>
      <c r="BG163" s="153"/>
      <c r="BH163" s="153"/>
      <c r="BI163" s="153"/>
      <c r="BJ163" s="153"/>
      <c r="BK163" s="153"/>
      <c r="BL163" s="153"/>
      <c r="BM163" s="153"/>
      <c r="BN163" s="153"/>
      <c r="BO163" s="153"/>
      <c r="BP163" s="153"/>
      <c r="BQ163" s="153"/>
      <c r="BR163" s="386">
        <f t="shared" si="2"/>
        <v>0</v>
      </c>
      <c r="BS163" s="378"/>
      <c r="BT163" s="378"/>
      <c r="BU163" s="378"/>
    </row>
    <row r="164" spans="1:73" ht="14.45" hidden="1">
      <c r="A164" s="378"/>
      <c r="B164" s="379" t="s">
        <v>32</v>
      </c>
      <c r="C164" s="3" t="s">
        <v>2803</v>
      </c>
      <c r="D164" s="379">
        <v>4900168013</v>
      </c>
      <c r="E164" s="379">
        <v>1</v>
      </c>
      <c r="F164" s="379" t="s">
        <v>2804</v>
      </c>
      <c r="G164" s="3" t="s">
        <v>2805</v>
      </c>
      <c r="H164" s="3" t="s">
        <v>17</v>
      </c>
      <c r="I164" s="379" t="s">
        <v>2834</v>
      </c>
      <c r="J164" s="378" t="s">
        <v>2835</v>
      </c>
      <c r="K164" s="380"/>
      <c r="L164" s="379">
        <v>1</v>
      </c>
      <c r="R164" s="381">
        <f>Table242[[#This Row],[Material Unit Price]]+Table242[[#This Row],[Labor Unit Price]]+Table242[[#This Row],[GC + Manage+ Insur]]</f>
        <v>0</v>
      </c>
      <c r="S164" s="381">
        <f>Table242[[#This Row],[Total Per Tool]]*Table242[[#This Row],[Tool QTY]]</f>
        <v>0</v>
      </c>
      <c r="T164" s="381"/>
      <c r="U164" s="383">
        <v>44944</v>
      </c>
      <c r="V164" s="381"/>
      <c r="W164" s="381"/>
      <c r="X164" s="381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164" s="384" t="e">
        <f>Table242[[#This Row],[Total AR (Received)]]/Table242[[#This Row],[PO Amount]]</f>
        <v>#DIV/0!</v>
      </c>
      <c r="Z164" s="385">
        <f>Table242[[#This Row],[PO Amount]]-Table242[[#This Row],[Total AR (Received)]]</f>
        <v>0</v>
      </c>
      <c r="AA164" s="152"/>
      <c r="AB164" s="152"/>
      <c r="AC164" s="152" t="e">
        <f>SUM(Table242[[#This Row],[Total M%]]*Table242[[#This Row],[Material Unit Price]],Table242[[#This Row],[Total L %]]*Table242[[#This Row],[Labor Unit Price]])/SUM(Table242[[#This Row],[Material Unit Price]:[Labor Unit Price]])</f>
        <v>#DIV/0!</v>
      </c>
      <c r="AD164" s="2"/>
      <c r="AE164"/>
      <c r="AF164" s="148"/>
      <c r="AV164" s="153"/>
      <c r="AW164" s="153"/>
      <c r="AX164" s="153"/>
      <c r="AY164" s="153"/>
      <c r="AZ164" s="153"/>
      <c r="BA164" s="153"/>
      <c r="BB164" s="153"/>
      <c r="BC164" s="153"/>
      <c r="BD164" s="154" t="s">
        <v>550</v>
      </c>
      <c r="BE164" s="153"/>
      <c r="BF164" s="153"/>
      <c r="BG164" s="153"/>
      <c r="BH164" s="153"/>
      <c r="BI164" s="153"/>
      <c r="BJ164" s="153"/>
      <c r="BK164" s="153"/>
      <c r="BL164" s="153"/>
      <c r="BM164" s="153"/>
      <c r="BN164" s="153"/>
      <c r="BO164" s="153"/>
      <c r="BP164" s="153"/>
      <c r="BQ164" s="153"/>
      <c r="BR164" s="386">
        <f t="shared" si="2"/>
        <v>0</v>
      </c>
      <c r="BS164" s="378"/>
      <c r="BT164" s="378"/>
      <c r="BU164" s="378"/>
    </row>
    <row r="165" spans="1:73" ht="14.45" hidden="1">
      <c r="A165" s="378"/>
      <c r="B165" s="379" t="s">
        <v>32</v>
      </c>
      <c r="C165" s="3" t="s">
        <v>2803</v>
      </c>
      <c r="D165" s="379">
        <v>4900168014</v>
      </c>
      <c r="E165" s="379">
        <v>1</v>
      </c>
      <c r="F165" s="379" t="s">
        <v>2804</v>
      </c>
      <c r="G165" s="3" t="s">
        <v>2805</v>
      </c>
      <c r="H165" s="3" t="s">
        <v>17</v>
      </c>
      <c r="I165" s="379" t="s">
        <v>2836</v>
      </c>
      <c r="J165" s="378" t="s">
        <v>2837</v>
      </c>
      <c r="K165" s="380"/>
      <c r="L165" s="379">
        <v>1</v>
      </c>
      <c r="R165" s="381">
        <f>Table242[[#This Row],[Material Unit Price]]+Table242[[#This Row],[Labor Unit Price]]+Table242[[#This Row],[GC + Manage+ Insur]]</f>
        <v>0</v>
      </c>
      <c r="S165" s="381">
        <f>Table242[[#This Row],[Total Per Tool]]*Table242[[#This Row],[Tool QTY]]</f>
        <v>0</v>
      </c>
      <c r="T165" s="381"/>
      <c r="U165" s="383">
        <v>44944</v>
      </c>
      <c r="V165" s="381"/>
      <c r="W165" s="381"/>
      <c r="X165" s="381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165" s="384" t="e">
        <f>Table242[[#This Row],[Total AR (Received)]]/Table242[[#This Row],[PO Amount]]</f>
        <v>#DIV/0!</v>
      </c>
      <c r="Z165" s="385">
        <f>Table242[[#This Row],[PO Amount]]-Table242[[#This Row],[Total AR (Received)]]</f>
        <v>0</v>
      </c>
      <c r="AA165" s="152"/>
      <c r="AB165" s="152"/>
      <c r="AC165" s="152" t="e">
        <f>SUM(Table242[[#This Row],[Total M%]]*Table242[[#This Row],[Material Unit Price]],Table242[[#This Row],[Total L %]]*Table242[[#This Row],[Labor Unit Price]])/SUM(Table242[[#This Row],[Material Unit Price]:[Labor Unit Price]])</f>
        <v>#DIV/0!</v>
      </c>
      <c r="AD165" s="2"/>
      <c r="AE165"/>
      <c r="AF165" s="148"/>
      <c r="AV165" s="153"/>
      <c r="AW165" s="153"/>
      <c r="AX165" s="153"/>
      <c r="AY165" s="153"/>
      <c r="AZ165" s="153"/>
      <c r="BA165" s="153"/>
      <c r="BB165" s="153"/>
      <c r="BC165" s="153"/>
      <c r="BD165" s="154" t="s">
        <v>550</v>
      </c>
      <c r="BE165" s="153"/>
      <c r="BF165" s="153"/>
      <c r="BG165" s="153"/>
      <c r="BH165" s="153"/>
      <c r="BI165" s="153"/>
      <c r="BJ165" s="153"/>
      <c r="BK165" s="153"/>
      <c r="BL165" s="153"/>
      <c r="BM165" s="153"/>
      <c r="BN165" s="153"/>
      <c r="BO165" s="153"/>
      <c r="BP165" s="153"/>
      <c r="BQ165" s="153"/>
      <c r="BR165" s="386">
        <f t="shared" si="2"/>
        <v>0</v>
      </c>
      <c r="BS165" s="378"/>
      <c r="BT165" s="378"/>
      <c r="BU165" s="378"/>
    </row>
    <row r="166" spans="1:73" ht="14.45" hidden="1">
      <c r="B166" s="3" t="s">
        <v>32</v>
      </c>
      <c r="C166" s="3" t="s">
        <v>2803</v>
      </c>
      <c r="D166" s="3">
        <v>4900168015</v>
      </c>
      <c r="E166" s="3">
        <v>1</v>
      </c>
      <c r="F166" s="3" t="s">
        <v>2804</v>
      </c>
      <c r="G166" s="3" t="s">
        <v>2805</v>
      </c>
      <c r="H166" s="3" t="s">
        <v>17</v>
      </c>
      <c r="I166" s="3" t="s">
        <v>2838</v>
      </c>
      <c r="J166" t="s">
        <v>2839</v>
      </c>
      <c r="K166" s="147"/>
      <c r="L166" s="3">
        <v>1</v>
      </c>
      <c r="N166" s="148">
        <v>18576</v>
      </c>
      <c r="R166" s="148">
        <f>Table242[[#This Row],[Material Unit Price]]+Table242[[#This Row],[Labor Unit Price]]+Table242[[#This Row],[GC + Manage+ Insur]]</f>
        <v>18576</v>
      </c>
      <c r="S166" s="148">
        <f>Table242[[#This Row],[Total Per Tool]]*Table242[[#This Row],[Tool QTY]]</f>
        <v>18576</v>
      </c>
      <c r="U166" s="149">
        <v>44944</v>
      </c>
      <c r="X16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18576</v>
      </c>
      <c r="Y166" s="150">
        <f>Table242[[#This Row],[Total AR (Received)]]/Table242[[#This Row],[PO Amount]]</f>
        <v>1</v>
      </c>
      <c r="Z166" s="151">
        <f>Table242[[#This Row],[PO Amount]]-Table242[[#This Row],[Total AR (Received)]]</f>
        <v>0</v>
      </c>
      <c r="AA166" s="152"/>
      <c r="AB166" s="152"/>
      <c r="AC166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166" s="2"/>
      <c r="AE166"/>
      <c r="AF166" s="148"/>
      <c r="AV166" s="153"/>
      <c r="AW166" s="153"/>
      <c r="AX166" s="153"/>
      <c r="AY166" s="153"/>
      <c r="AZ166" s="153"/>
      <c r="BA166" s="153"/>
      <c r="BB166" s="153"/>
      <c r="BC166" s="153"/>
      <c r="BD166" s="154" t="s">
        <v>550</v>
      </c>
      <c r="BE166" s="153"/>
      <c r="BF166" s="153"/>
      <c r="BG166" s="153"/>
      <c r="BH166" s="153"/>
      <c r="BI166" s="153"/>
      <c r="BJ166" s="153"/>
      <c r="BK166" s="153"/>
      <c r="BL166" s="161">
        <v>18576</v>
      </c>
      <c r="BM166" s="153"/>
      <c r="BN166" s="153"/>
      <c r="BO166" s="153"/>
      <c r="BP166" s="153"/>
      <c r="BQ166" s="153"/>
      <c r="BR166" s="156">
        <f t="shared" si="2"/>
        <v>0</v>
      </c>
    </row>
    <row r="167" spans="1:73" ht="14.45" hidden="1">
      <c r="A167" s="387"/>
      <c r="B167" s="388" t="s">
        <v>32</v>
      </c>
      <c r="C167" s="3" t="s">
        <v>2803</v>
      </c>
      <c r="D167" s="388">
        <v>4900168023</v>
      </c>
      <c r="E167" s="388">
        <v>1</v>
      </c>
      <c r="F167" s="388" t="s">
        <v>2804</v>
      </c>
      <c r="G167" s="3" t="s">
        <v>2805</v>
      </c>
      <c r="H167" s="3" t="s">
        <v>17</v>
      </c>
      <c r="I167" s="388" t="s">
        <v>2840</v>
      </c>
      <c r="J167" s="387" t="s">
        <v>2841</v>
      </c>
      <c r="K167" s="389"/>
      <c r="L167" s="388">
        <v>1</v>
      </c>
      <c r="M167" s="185"/>
      <c r="N167" s="185"/>
      <c r="O167" s="185"/>
      <c r="P167" s="185"/>
      <c r="Q167" s="185"/>
      <c r="R167" s="390">
        <f>Table242[[#This Row],[Material Unit Price]]+Table242[[#This Row],[Labor Unit Price]]+Table242[[#This Row],[GC + Manage+ Insur]]</f>
        <v>0</v>
      </c>
      <c r="S167" s="381">
        <f>Table242[[#This Row],[Total Per Tool]]*Table242[[#This Row],[Tool QTY]]</f>
        <v>0</v>
      </c>
      <c r="T167" s="381"/>
      <c r="U167" s="383">
        <v>44944</v>
      </c>
      <c r="V167" s="381"/>
      <c r="W167" s="381"/>
      <c r="X167" s="390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167" s="391" t="e">
        <f>Table242[[#This Row],[Total AR (Received)]]/Table242[[#This Row],[PO Amount]]</f>
        <v>#DIV/0!</v>
      </c>
      <c r="Z167" s="392">
        <f>Table242[[#This Row],[PO Amount]]-Table242[[#This Row],[Total AR (Received)]]</f>
        <v>0</v>
      </c>
      <c r="AA167" s="152"/>
      <c r="AB167" s="152"/>
      <c r="AC167" s="152" t="e">
        <f>SUM(Table242[[#This Row],[Total M%]]*Table242[[#This Row],[Material Unit Price]],Table242[[#This Row],[Total L %]]*Table242[[#This Row],[Labor Unit Price]])/SUM(Table242[[#This Row],[Material Unit Price]:[Labor Unit Price]])</f>
        <v>#DIV/0!</v>
      </c>
      <c r="AD167" s="181"/>
      <c r="AE167"/>
      <c r="AF167" s="185"/>
      <c r="AH167" s="5"/>
      <c r="AJ167" s="5"/>
      <c r="AL167" s="5"/>
      <c r="AN167" s="5"/>
      <c r="AP167" s="5"/>
      <c r="AR167" s="5"/>
      <c r="AT167" s="5"/>
      <c r="AU167" s="5"/>
      <c r="AV167" s="180"/>
      <c r="AW167" s="186"/>
      <c r="AX167" s="186"/>
      <c r="AY167" s="186"/>
      <c r="AZ167" s="186"/>
      <c r="BA167" s="186"/>
      <c r="BB167" s="186"/>
      <c r="BC167" s="186"/>
      <c r="BD167" s="154" t="s">
        <v>550</v>
      </c>
      <c r="BE167" s="186"/>
      <c r="BF167" s="186"/>
      <c r="BG167" s="186"/>
      <c r="BH167" s="186"/>
      <c r="BI167" s="186"/>
      <c r="BJ167" s="186"/>
      <c r="BK167" s="186"/>
      <c r="BL167" s="186"/>
      <c r="BM167" s="186"/>
      <c r="BN167" s="186"/>
      <c r="BO167" s="186"/>
      <c r="BP167" s="186"/>
      <c r="BQ167" s="186"/>
      <c r="BR167" s="393">
        <f t="shared" si="2"/>
        <v>0</v>
      </c>
      <c r="BS167" s="387"/>
      <c r="BT167" s="387"/>
      <c r="BU167" s="387"/>
    </row>
    <row r="168" spans="1:73" ht="14.45" hidden="1">
      <c r="B168" s="3" t="s">
        <v>32</v>
      </c>
      <c r="C168" s="3" t="s">
        <v>2803</v>
      </c>
      <c r="D168" s="3">
        <v>4900168024</v>
      </c>
      <c r="E168" s="3">
        <v>1</v>
      </c>
      <c r="F168" s="3" t="s">
        <v>2804</v>
      </c>
      <c r="G168" s="3" t="s">
        <v>2805</v>
      </c>
      <c r="H168" s="3" t="s">
        <v>17</v>
      </c>
      <c r="I168" s="3" t="s">
        <v>2842</v>
      </c>
      <c r="J168" t="s">
        <v>2843</v>
      </c>
      <c r="K168" s="147"/>
      <c r="L168" s="3">
        <v>1</v>
      </c>
      <c r="N168" s="148">
        <v>15480.000000000007</v>
      </c>
      <c r="Q168" s="148">
        <v>3096.0000000000018</v>
      </c>
      <c r="R168" s="148">
        <f>Table242[[#This Row],[Material Unit Price]]+Table242[[#This Row],[Labor Unit Price]]+Table242[[#This Row],[GC + Manage+ Insur]]</f>
        <v>18576.000000000007</v>
      </c>
      <c r="S168" s="148">
        <f>Table242[[#This Row],[Total Per Tool]]*Table242[[#This Row],[Tool QTY]]</f>
        <v>18576.000000000007</v>
      </c>
      <c r="U168" s="149">
        <v>44944</v>
      </c>
      <c r="X16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18576</v>
      </c>
      <c r="Y168" s="150">
        <f>Table242[[#This Row],[Total AR (Received)]]/Table242[[#This Row],[PO Amount]]</f>
        <v>0.99999999999999956</v>
      </c>
      <c r="Z168" s="151">
        <f>Table242[[#This Row],[PO Amount]]-Table242[[#This Row],[Total AR (Received)]]</f>
        <v>0</v>
      </c>
      <c r="AA168" s="152"/>
      <c r="AB168" s="152"/>
      <c r="AC168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168" s="2"/>
      <c r="AE168"/>
      <c r="AF168" s="148"/>
      <c r="AV168" s="153"/>
      <c r="AW168" s="153"/>
      <c r="AX168" s="153"/>
      <c r="AY168" s="153"/>
      <c r="AZ168" s="153"/>
      <c r="BA168" s="153"/>
      <c r="BB168" s="153"/>
      <c r="BC168" s="153"/>
      <c r="BD168" s="154" t="s">
        <v>550</v>
      </c>
      <c r="BE168" s="153"/>
      <c r="BF168" s="161">
        <v>18576</v>
      </c>
      <c r="BG168" s="153"/>
      <c r="BH168" s="153"/>
      <c r="BI168" s="153"/>
      <c r="BJ168" s="153"/>
      <c r="BK168" s="153"/>
      <c r="BL168" s="153"/>
      <c r="BM168" s="153"/>
      <c r="BN168" s="153"/>
      <c r="BO168" s="153"/>
      <c r="BP168" s="153"/>
      <c r="BQ168" s="153"/>
      <c r="BR168" s="156">
        <f t="shared" si="2"/>
        <v>18576</v>
      </c>
    </row>
    <row r="169" spans="1:73" ht="14.45" hidden="1">
      <c r="B169" s="3" t="s">
        <v>32</v>
      </c>
      <c r="C169" s="3" t="s">
        <v>2803</v>
      </c>
      <c r="D169" s="3">
        <v>4900168025</v>
      </c>
      <c r="E169" s="3">
        <v>1</v>
      </c>
      <c r="F169" s="3" t="s">
        <v>2804</v>
      </c>
      <c r="G169" s="3" t="s">
        <v>2805</v>
      </c>
      <c r="H169" s="3" t="s">
        <v>17</v>
      </c>
      <c r="I169" s="3" t="s">
        <v>2844</v>
      </c>
      <c r="J169" t="s">
        <v>2845</v>
      </c>
      <c r="K169" s="147"/>
      <c r="L169" s="3">
        <v>1</v>
      </c>
      <c r="N169" s="148">
        <v>15480.000000000007</v>
      </c>
      <c r="Q169" s="148">
        <v>3096.0000000000018</v>
      </c>
      <c r="R169" s="148">
        <f>Table242[[#This Row],[Material Unit Price]]+Table242[[#This Row],[Labor Unit Price]]+Table242[[#This Row],[GC + Manage+ Insur]]</f>
        <v>18576.000000000007</v>
      </c>
      <c r="S169" s="148">
        <f>Table242[[#This Row],[Total Per Tool]]*Table242[[#This Row],[Tool QTY]]</f>
        <v>18576.000000000007</v>
      </c>
      <c r="U169" s="149">
        <v>44944</v>
      </c>
      <c r="X16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18576</v>
      </c>
      <c r="Y169" s="150">
        <f>Table242[[#This Row],[Total AR (Received)]]/Table242[[#This Row],[PO Amount]]</f>
        <v>0.99999999999999956</v>
      </c>
      <c r="Z169" s="151">
        <f>Table242[[#This Row],[PO Amount]]-Table242[[#This Row],[Total AR (Received)]]</f>
        <v>0</v>
      </c>
      <c r="AA169" s="152"/>
      <c r="AB169" s="152"/>
      <c r="AC169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169" s="2"/>
      <c r="AE169"/>
      <c r="AF169" s="148"/>
      <c r="AV169" s="153"/>
      <c r="AW169" s="153"/>
      <c r="AX169" s="153"/>
      <c r="AY169" s="153"/>
      <c r="AZ169" s="153"/>
      <c r="BA169" s="153"/>
      <c r="BB169" s="153"/>
      <c r="BC169" s="153"/>
      <c r="BD169" s="154" t="s">
        <v>550</v>
      </c>
      <c r="BE169" s="153"/>
      <c r="BF169" s="153"/>
      <c r="BG169" s="153"/>
      <c r="BH169" s="359">
        <v>18576</v>
      </c>
      <c r="BI169" s="153"/>
      <c r="BJ169" s="153"/>
      <c r="BK169" s="153"/>
      <c r="BL169" s="153"/>
      <c r="BM169" s="153"/>
      <c r="BN169" s="153"/>
      <c r="BO169" s="153"/>
      <c r="BP169" s="153"/>
      <c r="BQ169" s="153"/>
      <c r="BR169" s="156">
        <f t="shared" si="2"/>
        <v>18576</v>
      </c>
    </row>
    <row r="170" spans="1:73" ht="14.45" hidden="1">
      <c r="B170" s="3" t="s">
        <v>32</v>
      </c>
      <c r="C170" s="3" t="s">
        <v>2803</v>
      </c>
      <c r="D170" s="3">
        <v>4900168026</v>
      </c>
      <c r="E170" s="3">
        <v>1</v>
      </c>
      <c r="F170" s="3" t="s">
        <v>2804</v>
      </c>
      <c r="G170" s="3" t="s">
        <v>2805</v>
      </c>
      <c r="H170" s="3" t="s">
        <v>17</v>
      </c>
      <c r="I170" s="3" t="s">
        <v>2846</v>
      </c>
      <c r="J170" t="s">
        <v>2847</v>
      </c>
      <c r="K170" s="147"/>
      <c r="L170" s="3">
        <v>1</v>
      </c>
      <c r="N170" s="148">
        <v>15480.000000000007</v>
      </c>
      <c r="Q170" s="148">
        <v>3096.0000000000018</v>
      </c>
      <c r="R170" s="148">
        <f>Table242[[#This Row],[Material Unit Price]]+Table242[[#This Row],[Labor Unit Price]]+Table242[[#This Row],[GC + Manage+ Insur]]</f>
        <v>18576.000000000007</v>
      </c>
      <c r="S170" s="148">
        <f>Table242[[#This Row],[Total Per Tool]]*Table242[[#This Row],[Tool QTY]]</f>
        <v>18576.000000000007</v>
      </c>
      <c r="U170" s="149">
        <v>44944</v>
      </c>
      <c r="X17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18576</v>
      </c>
      <c r="Y170" s="150">
        <f>Table242[[#This Row],[Total AR (Received)]]/Table242[[#This Row],[PO Amount]]</f>
        <v>0.99999999999999956</v>
      </c>
      <c r="Z170" s="151">
        <f>Table242[[#This Row],[PO Amount]]-Table242[[#This Row],[Total AR (Received)]]</f>
        <v>0</v>
      </c>
      <c r="AA170" s="152"/>
      <c r="AB170" s="152"/>
      <c r="AC170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170" s="2"/>
      <c r="AE170"/>
      <c r="AF170" s="148"/>
      <c r="AV170" s="153"/>
      <c r="AW170" s="153"/>
      <c r="AX170" s="153"/>
      <c r="AY170" s="153"/>
      <c r="AZ170" s="153"/>
      <c r="BA170" s="153"/>
      <c r="BB170" s="153"/>
      <c r="BC170" s="153"/>
      <c r="BD170" s="154" t="s">
        <v>550</v>
      </c>
      <c r="BE170" s="153"/>
      <c r="BF170" s="153"/>
      <c r="BG170" s="153"/>
      <c r="BH170" s="359">
        <v>18576</v>
      </c>
      <c r="BI170" s="153"/>
      <c r="BJ170" s="153"/>
      <c r="BK170" s="153"/>
      <c r="BL170" s="153"/>
      <c r="BM170" s="153"/>
      <c r="BN170" s="153"/>
      <c r="BO170" s="153"/>
      <c r="BP170" s="153"/>
      <c r="BQ170" s="153"/>
      <c r="BR170" s="156">
        <f t="shared" si="2"/>
        <v>18576</v>
      </c>
    </row>
    <row r="171" spans="1:73" ht="14.45" hidden="1">
      <c r="B171" s="3" t="s">
        <v>32</v>
      </c>
      <c r="C171" s="3" t="s">
        <v>2803</v>
      </c>
      <c r="D171" s="3">
        <v>4900168027</v>
      </c>
      <c r="E171" s="3">
        <v>1</v>
      </c>
      <c r="F171" s="3" t="s">
        <v>2804</v>
      </c>
      <c r="G171" s="3" t="s">
        <v>2805</v>
      </c>
      <c r="H171" s="3" t="s">
        <v>17</v>
      </c>
      <c r="I171" s="3" t="s">
        <v>2848</v>
      </c>
      <c r="J171" t="s">
        <v>2849</v>
      </c>
      <c r="K171" s="147"/>
      <c r="L171" s="3">
        <v>1</v>
      </c>
      <c r="N171" s="148">
        <v>15480.000000000007</v>
      </c>
      <c r="Q171" s="148">
        <v>3096.0000000000018</v>
      </c>
      <c r="R171" s="148">
        <f>Table242[[#This Row],[Material Unit Price]]+Table242[[#This Row],[Labor Unit Price]]+Table242[[#This Row],[GC + Manage+ Insur]]</f>
        <v>18576.000000000007</v>
      </c>
      <c r="S171" s="148">
        <f>Table242[[#This Row],[Total Per Tool]]*Table242[[#This Row],[Tool QTY]]</f>
        <v>18576.000000000007</v>
      </c>
      <c r="U171" s="149">
        <v>44944</v>
      </c>
      <c r="X17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18576</v>
      </c>
      <c r="Y171" s="150">
        <f>Table242[[#This Row],[Total AR (Received)]]/Table242[[#This Row],[PO Amount]]</f>
        <v>0.99999999999999956</v>
      </c>
      <c r="Z171" s="151">
        <f>Table242[[#This Row],[PO Amount]]-Table242[[#This Row],[Total AR (Received)]]</f>
        <v>0</v>
      </c>
      <c r="AA171" s="152"/>
      <c r="AB171" s="152"/>
      <c r="AC171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171" s="2"/>
      <c r="AE171"/>
      <c r="AF171" s="148"/>
      <c r="AV171" s="153"/>
      <c r="AW171" s="153"/>
      <c r="AX171" s="153"/>
      <c r="AY171" s="153"/>
      <c r="AZ171" s="153"/>
      <c r="BA171" s="153"/>
      <c r="BB171" s="153"/>
      <c r="BC171" s="153"/>
      <c r="BD171" s="154" t="s">
        <v>550</v>
      </c>
      <c r="BE171" s="153"/>
      <c r="BF171" s="153"/>
      <c r="BG171" s="153"/>
      <c r="BH171" s="153"/>
      <c r="BI171" s="153"/>
      <c r="BJ171" s="153"/>
      <c r="BK171" s="153"/>
      <c r="BL171" s="161">
        <v>18576</v>
      </c>
      <c r="BM171" s="153"/>
      <c r="BN171" s="153"/>
      <c r="BO171" s="153"/>
      <c r="BP171" s="153"/>
      <c r="BQ171" s="153"/>
      <c r="BR171" s="156">
        <f t="shared" si="2"/>
        <v>0</v>
      </c>
    </row>
    <row r="172" spans="1:73" ht="14.45" hidden="1">
      <c r="B172" s="3" t="s">
        <v>32</v>
      </c>
      <c r="C172" s="3" t="s">
        <v>2803</v>
      </c>
      <c r="D172" s="3">
        <v>4900168028</v>
      </c>
      <c r="E172" s="3">
        <v>1</v>
      </c>
      <c r="F172" s="3" t="s">
        <v>2804</v>
      </c>
      <c r="G172" s="3" t="s">
        <v>2805</v>
      </c>
      <c r="H172" s="3" t="s">
        <v>17</v>
      </c>
      <c r="I172" s="3" t="s">
        <v>2850</v>
      </c>
      <c r="J172" t="s">
        <v>2851</v>
      </c>
      <c r="K172" s="147"/>
      <c r="L172" s="3">
        <v>1</v>
      </c>
      <c r="N172" s="148">
        <v>15480.000000000007</v>
      </c>
      <c r="Q172" s="148">
        <v>3096.0000000000018</v>
      </c>
      <c r="R172" s="148">
        <f>Table242[[#This Row],[Material Unit Price]]+Table242[[#This Row],[Labor Unit Price]]+Table242[[#This Row],[GC + Manage+ Insur]]</f>
        <v>18576.000000000007</v>
      </c>
      <c r="S172" s="148">
        <f>Table242[[#This Row],[Total Per Tool]]*Table242[[#This Row],[Tool QTY]]</f>
        <v>18576.000000000007</v>
      </c>
      <c r="U172" s="149">
        <v>44944</v>
      </c>
      <c r="X17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172" s="150">
        <f>Table242[[#This Row],[Total AR (Received)]]/Table242[[#This Row],[PO Amount]]</f>
        <v>0</v>
      </c>
      <c r="Z172" s="151">
        <f>Table242[[#This Row],[PO Amount]]-Table242[[#This Row],[Total AR (Received)]]</f>
        <v>18576.000000000007</v>
      </c>
      <c r="AA172" s="152"/>
      <c r="AB172" s="152"/>
      <c r="AC172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172" s="2"/>
      <c r="AE172"/>
      <c r="AF172" s="148"/>
      <c r="AV172" s="153"/>
      <c r="AW172" s="153"/>
      <c r="AX172" s="153"/>
      <c r="AY172" s="153"/>
      <c r="AZ172" s="153"/>
      <c r="BA172" s="153"/>
      <c r="BB172" s="153"/>
      <c r="BC172" s="153"/>
      <c r="BD172" s="154" t="s">
        <v>550</v>
      </c>
      <c r="BE172" s="153"/>
      <c r="BF172" s="153"/>
      <c r="BG172" s="153"/>
      <c r="BH172" s="153"/>
      <c r="BI172" s="153"/>
      <c r="BJ172" s="153"/>
      <c r="BK172" s="153"/>
      <c r="BL172" s="153"/>
      <c r="BM172" s="153"/>
      <c r="BN172" s="153"/>
      <c r="BO172" s="153"/>
      <c r="BP172" s="153"/>
      <c r="BQ172" s="153"/>
      <c r="BR172" s="156">
        <f t="shared" si="2"/>
        <v>0</v>
      </c>
    </row>
    <row r="173" spans="1:73" ht="14.45" hidden="1">
      <c r="B173" s="3" t="s">
        <v>32</v>
      </c>
      <c r="C173" s="3" t="s">
        <v>2803</v>
      </c>
      <c r="D173" s="3">
        <v>4900168030</v>
      </c>
      <c r="E173" s="3">
        <v>1</v>
      </c>
      <c r="F173" s="3" t="s">
        <v>2804</v>
      </c>
      <c r="G173" s="3" t="s">
        <v>2805</v>
      </c>
      <c r="H173" s="3" t="s">
        <v>17</v>
      </c>
      <c r="I173" s="3" t="s">
        <v>2852</v>
      </c>
      <c r="J173" t="s">
        <v>2853</v>
      </c>
      <c r="K173" s="147"/>
      <c r="L173" s="3">
        <v>1</v>
      </c>
      <c r="N173" s="148">
        <v>15480.000000000007</v>
      </c>
      <c r="Q173" s="148">
        <v>3096.0000000000018</v>
      </c>
      <c r="R173" s="148">
        <f>Table242[[#This Row],[Material Unit Price]]+Table242[[#This Row],[Labor Unit Price]]+Table242[[#This Row],[GC + Manage+ Insur]]</f>
        <v>18576.000000000007</v>
      </c>
      <c r="S173" s="148">
        <f>Table242[[#This Row],[Total Per Tool]]*Table242[[#This Row],[Tool QTY]]</f>
        <v>18576.000000000007</v>
      </c>
      <c r="U173" s="149">
        <v>44944</v>
      </c>
      <c r="X17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173" s="150">
        <f>Table242[[#This Row],[Total AR (Received)]]/Table242[[#This Row],[PO Amount]]</f>
        <v>0</v>
      </c>
      <c r="Z173" s="151">
        <f>Table242[[#This Row],[PO Amount]]-Table242[[#This Row],[Total AR (Received)]]</f>
        <v>18576.000000000007</v>
      </c>
      <c r="AA173" s="152"/>
      <c r="AB173" s="152"/>
      <c r="AC173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173" s="2"/>
      <c r="AE173"/>
      <c r="AF173" s="148"/>
      <c r="AV173" s="153"/>
      <c r="AW173" s="153"/>
      <c r="AX173" s="153"/>
      <c r="AY173" s="153"/>
      <c r="AZ173" s="153"/>
      <c r="BA173" s="153"/>
      <c r="BB173" s="153"/>
      <c r="BC173" s="153"/>
      <c r="BD173" s="154" t="s">
        <v>550</v>
      </c>
      <c r="BE173" s="153"/>
      <c r="BF173" s="153"/>
      <c r="BG173" s="153"/>
      <c r="BH173" s="153"/>
      <c r="BI173" s="153"/>
      <c r="BJ173" s="153"/>
      <c r="BK173" s="153"/>
      <c r="BL173" s="153"/>
      <c r="BM173" s="153"/>
      <c r="BN173" s="153"/>
      <c r="BO173" s="153"/>
      <c r="BP173" s="153"/>
      <c r="BQ173" s="153"/>
      <c r="BR173" s="156">
        <f t="shared" si="2"/>
        <v>0</v>
      </c>
    </row>
    <row r="174" spans="1:73" ht="14.45" hidden="1">
      <c r="B174" s="3" t="s">
        <v>32</v>
      </c>
      <c r="C174" s="3" t="s">
        <v>2803</v>
      </c>
      <c r="D174" s="3">
        <v>4900168031</v>
      </c>
      <c r="E174" s="3">
        <v>1</v>
      </c>
      <c r="F174" s="3" t="s">
        <v>2804</v>
      </c>
      <c r="G174" s="3" t="s">
        <v>2805</v>
      </c>
      <c r="H174" s="3" t="s">
        <v>17</v>
      </c>
      <c r="I174" s="3" t="s">
        <v>2854</v>
      </c>
      <c r="J174" t="s">
        <v>2855</v>
      </c>
      <c r="K174" s="147"/>
      <c r="L174" s="3">
        <v>1</v>
      </c>
      <c r="N174" s="148">
        <v>15480.000000000007</v>
      </c>
      <c r="Q174" s="148">
        <v>3096.0000000000018</v>
      </c>
      <c r="R174" s="148">
        <f>Table242[[#This Row],[Material Unit Price]]+Table242[[#This Row],[Labor Unit Price]]+Table242[[#This Row],[GC + Manage+ Insur]]</f>
        <v>18576.000000000007</v>
      </c>
      <c r="S174" s="148">
        <f>Table242[[#This Row],[Total Per Tool]]*Table242[[#This Row],[Tool QTY]]</f>
        <v>18576.000000000007</v>
      </c>
      <c r="U174" s="149">
        <v>44944</v>
      </c>
      <c r="X17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174" s="150">
        <f>Table242[[#This Row],[Total AR (Received)]]/Table242[[#This Row],[PO Amount]]</f>
        <v>0</v>
      </c>
      <c r="Z174" s="151">
        <f>Table242[[#This Row],[PO Amount]]-Table242[[#This Row],[Total AR (Received)]]</f>
        <v>18576.000000000007</v>
      </c>
      <c r="AA174" s="152"/>
      <c r="AB174" s="152"/>
      <c r="AC174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174" s="2"/>
      <c r="AE174"/>
      <c r="AF174" s="148"/>
      <c r="AV174" s="153"/>
      <c r="AW174" s="153"/>
      <c r="AX174" s="153"/>
      <c r="AY174" s="153"/>
      <c r="AZ174" s="153"/>
      <c r="BA174" s="153"/>
      <c r="BB174" s="153"/>
      <c r="BC174" s="153"/>
      <c r="BD174" s="154" t="s">
        <v>550</v>
      </c>
      <c r="BE174" s="153"/>
      <c r="BF174" s="153"/>
      <c r="BG174" s="153"/>
      <c r="BH174" s="153"/>
      <c r="BI174" s="153"/>
      <c r="BJ174" s="153"/>
      <c r="BK174" s="153"/>
      <c r="BL174" s="153"/>
      <c r="BM174" s="153"/>
      <c r="BN174" s="153"/>
      <c r="BO174" s="153"/>
      <c r="BP174" s="153"/>
      <c r="BQ174" s="153"/>
      <c r="BR174" s="156">
        <f t="shared" si="2"/>
        <v>0</v>
      </c>
    </row>
    <row r="175" spans="1:73" ht="14.45" hidden="1">
      <c r="B175" s="3" t="s">
        <v>32</v>
      </c>
      <c r="C175" s="3" t="s">
        <v>2803</v>
      </c>
      <c r="D175" s="3">
        <v>4900168034</v>
      </c>
      <c r="E175" s="3">
        <v>1</v>
      </c>
      <c r="F175" s="3" t="s">
        <v>2804</v>
      </c>
      <c r="G175" s="3" t="s">
        <v>2805</v>
      </c>
      <c r="H175" s="3" t="s">
        <v>17</v>
      </c>
      <c r="I175" s="3" t="s">
        <v>2856</v>
      </c>
      <c r="J175" t="s">
        <v>2857</v>
      </c>
      <c r="K175" s="147"/>
      <c r="L175" s="3">
        <v>1</v>
      </c>
      <c r="N175" s="148">
        <v>15480.000000000007</v>
      </c>
      <c r="Q175" s="148">
        <v>3096.0000000000018</v>
      </c>
      <c r="R175" s="148">
        <f>Table242[[#This Row],[Material Unit Price]]+Table242[[#This Row],[Labor Unit Price]]+Table242[[#This Row],[GC + Manage+ Insur]]</f>
        <v>18576.000000000007</v>
      </c>
      <c r="S175" s="148">
        <f>Table242[[#This Row],[Total Per Tool]]*Table242[[#This Row],[Tool QTY]]</f>
        <v>18576.000000000007</v>
      </c>
      <c r="U175" s="149">
        <v>44944</v>
      </c>
      <c r="X17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175" s="150">
        <f>Table242[[#This Row],[Total AR (Received)]]/Table242[[#This Row],[PO Amount]]</f>
        <v>0</v>
      </c>
      <c r="Z175" s="151">
        <f>Table242[[#This Row],[PO Amount]]-Table242[[#This Row],[Total AR (Received)]]</f>
        <v>18576.000000000007</v>
      </c>
      <c r="AA175" s="152"/>
      <c r="AB175" s="152"/>
      <c r="AC175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175" s="2"/>
      <c r="AE175"/>
      <c r="AF175" s="148"/>
      <c r="AV175" s="153"/>
      <c r="AW175" s="153"/>
      <c r="AX175" s="153"/>
      <c r="AY175" s="153"/>
      <c r="AZ175" s="153"/>
      <c r="BA175" s="153"/>
      <c r="BB175" s="153"/>
      <c r="BC175" s="153"/>
      <c r="BD175" s="154" t="s">
        <v>550</v>
      </c>
      <c r="BE175" s="153"/>
      <c r="BF175" s="153"/>
      <c r="BG175" s="153"/>
      <c r="BH175" s="153"/>
      <c r="BI175" s="153"/>
      <c r="BJ175" s="153"/>
      <c r="BK175" s="153"/>
      <c r="BL175" s="153"/>
      <c r="BM175" s="153"/>
      <c r="BN175" s="153"/>
      <c r="BO175" s="153"/>
      <c r="BP175" s="153"/>
      <c r="BQ175" s="153"/>
      <c r="BR175" s="156">
        <f t="shared" si="2"/>
        <v>0</v>
      </c>
    </row>
    <row r="176" spans="1:73" ht="14.45" hidden="1">
      <c r="B176" s="3" t="s">
        <v>32</v>
      </c>
      <c r="C176" s="3" t="s">
        <v>2803</v>
      </c>
      <c r="D176" s="3">
        <v>4900168036</v>
      </c>
      <c r="E176" s="3">
        <v>1</v>
      </c>
      <c r="F176" s="3" t="s">
        <v>2804</v>
      </c>
      <c r="G176" s="3" t="s">
        <v>2805</v>
      </c>
      <c r="H176" s="3" t="s">
        <v>17</v>
      </c>
      <c r="I176" s="3" t="s">
        <v>2858</v>
      </c>
      <c r="J176" t="s">
        <v>2859</v>
      </c>
      <c r="K176" s="147"/>
      <c r="L176" s="3">
        <v>1</v>
      </c>
      <c r="N176" s="148">
        <v>15480.000000000007</v>
      </c>
      <c r="Q176" s="148">
        <v>3096.0000000000018</v>
      </c>
      <c r="R176" s="148">
        <f>Table242[[#This Row],[Material Unit Price]]+Table242[[#This Row],[Labor Unit Price]]+Table242[[#This Row],[GC + Manage+ Insur]]</f>
        <v>18576.000000000007</v>
      </c>
      <c r="S176" s="148">
        <f>Table242[[#This Row],[Total Per Tool]]*Table242[[#This Row],[Tool QTY]]</f>
        <v>18576.000000000007</v>
      </c>
      <c r="U176" s="149">
        <v>44944</v>
      </c>
      <c r="X17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176" s="150">
        <f>Table242[[#This Row],[Total AR (Received)]]/Table242[[#This Row],[PO Amount]]</f>
        <v>0</v>
      </c>
      <c r="Z176" s="151">
        <f>Table242[[#This Row],[PO Amount]]-Table242[[#This Row],[Total AR (Received)]]</f>
        <v>18576.000000000007</v>
      </c>
      <c r="AA176" s="152"/>
      <c r="AB176" s="152"/>
      <c r="AC176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176" s="2"/>
      <c r="AE176"/>
      <c r="AF176" s="148"/>
      <c r="AV176" s="153"/>
      <c r="AW176" s="153"/>
      <c r="AX176" s="153"/>
      <c r="AY176" s="153"/>
      <c r="AZ176" s="153"/>
      <c r="BA176" s="153"/>
      <c r="BB176" s="153"/>
      <c r="BC176" s="153"/>
      <c r="BD176" s="154" t="s">
        <v>550</v>
      </c>
      <c r="BE176" s="153"/>
      <c r="BF176" s="153"/>
      <c r="BG176" s="153"/>
      <c r="BH176" s="153"/>
      <c r="BI176" s="153"/>
      <c r="BJ176" s="153"/>
      <c r="BK176" s="153"/>
      <c r="BL176" s="153"/>
      <c r="BM176" s="153"/>
      <c r="BN176" s="153"/>
      <c r="BO176" s="153"/>
      <c r="BP176" s="153"/>
      <c r="BQ176" s="153"/>
      <c r="BR176" s="156">
        <f t="shared" si="2"/>
        <v>0</v>
      </c>
    </row>
    <row r="177" spans="1:73" ht="14.45" hidden="1">
      <c r="B177" s="3" t="s">
        <v>32</v>
      </c>
      <c r="C177" s="3" t="s">
        <v>2803</v>
      </c>
      <c r="D177" s="3">
        <v>4900168038</v>
      </c>
      <c r="E177" s="3">
        <v>1</v>
      </c>
      <c r="F177" s="3" t="s">
        <v>2804</v>
      </c>
      <c r="G177" s="3" t="s">
        <v>2805</v>
      </c>
      <c r="H177" s="3" t="s">
        <v>17</v>
      </c>
      <c r="I177" s="3" t="s">
        <v>2860</v>
      </c>
      <c r="J177" t="s">
        <v>2861</v>
      </c>
      <c r="K177" s="147"/>
      <c r="L177" s="3">
        <v>1</v>
      </c>
      <c r="N177" s="148">
        <v>15480.000000000007</v>
      </c>
      <c r="Q177" s="148">
        <v>3096.0000000000018</v>
      </c>
      <c r="R177" s="148">
        <f>Table242[[#This Row],[Material Unit Price]]+Table242[[#This Row],[Labor Unit Price]]+Table242[[#This Row],[GC + Manage+ Insur]]</f>
        <v>18576.000000000007</v>
      </c>
      <c r="S177" s="148">
        <f>Table242[[#This Row],[Total Per Tool]]*Table242[[#This Row],[Tool QTY]]</f>
        <v>18576.000000000007</v>
      </c>
      <c r="U177" s="149">
        <v>44944</v>
      </c>
      <c r="X17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177" s="150">
        <f>Table242[[#This Row],[Total AR (Received)]]/Table242[[#This Row],[PO Amount]]</f>
        <v>0</v>
      </c>
      <c r="Z177" s="151">
        <f>Table242[[#This Row],[PO Amount]]-Table242[[#This Row],[Total AR (Received)]]</f>
        <v>18576.000000000007</v>
      </c>
      <c r="AA177" s="152"/>
      <c r="AB177" s="152"/>
      <c r="AC177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177" s="2"/>
      <c r="AE177"/>
      <c r="AF177" s="148"/>
      <c r="AV177" s="153"/>
      <c r="AW177" s="153"/>
      <c r="AX177" s="153"/>
      <c r="AY177" s="153"/>
      <c r="AZ177" s="153"/>
      <c r="BA177" s="153"/>
      <c r="BB177" s="153"/>
      <c r="BC177" s="153"/>
      <c r="BD177" s="154" t="s">
        <v>550</v>
      </c>
      <c r="BE177" s="153"/>
      <c r="BF177" s="153"/>
      <c r="BG177" s="153"/>
      <c r="BH177" s="153"/>
      <c r="BI177" s="153"/>
      <c r="BJ177" s="153"/>
      <c r="BK177" s="153"/>
      <c r="BL177" s="153"/>
      <c r="BM177" s="153"/>
      <c r="BN177" s="153"/>
      <c r="BO177" s="153"/>
      <c r="BP177" s="153"/>
      <c r="BQ177" s="153"/>
      <c r="BR177" s="156">
        <f t="shared" si="2"/>
        <v>0</v>
      </c>
    </row>
    <row r="178" spans="1:73" ht="14.45" hidden="1">
      <c r="B178" s="3" t="s">
        <v>32</v>
      </c>
      <c r="C178" s="3" t="s">
        <v>2803</v>
      </c>
      <c r="D178" s="3">
        <v>4900168040</v>
      </c>
      <c r="E178" s="3">
        <v>1</v>
      </c>
      <c r="F178" s="3" t="s">
        <v>2804</v>
      </c>
      <c r="G178" s="3" t="s">
        <v>2805</v>
      </c>
      <c r="H178" s="3" t="s">
        <v>17</v>
      </c>
      <c r="I178" s="3" t="s">
        <v>2862</v>
      </c>
      <c r="J178" t="s">
        <v>2863</v>
      </c>
      <c r="K178" s="147"/>
      <c r="L178" s="3">
        <v>1</v>
      </c>
      <c r="N178" s="148">
        <v>18229.500000000004</v>
      </c>
      <c r="Q178" s="148">
        <v>3645.900000000001</v>
      </c>
      <c r="R178" s="148">
        <f>Table242[[#This Row],[Material Unit Price]]+Table242[[#This Row],[Labor Unit Price]]+Table242[[#This Row],[GC + Manage+ Insur]]</f>
        <v>21875.400000000005</v>
      </c>
      <c r="S178" s="148">
        <f>Table242[[#This Row],[Total Per Tool]]*Table242[[#This Row],[Tool QTY]]</f>
        <v>21875.400000000005</v>
      </c>
      <c r="U178" s="149">
        <v>44944</v>
      </c>
      <c r="X17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178" s="150">
        <f>Table242[[#This Row],[Total AR (Received)]]/Table242[[#This Row],[PO Amount]]</f>
        <v>0</v>
      </c>
      <c r="Z178" s="151">
        <f>Table242[[#This Row],[PO Amount]]-Table242[[#This Row],[Total AR (Received)]]</f>
        <v>21875.400000000005</v>
      </c>
      <c r="AA178" s="152"/>
      <c r="AB178" s="152"/>
      <c r="AC178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178" s="2"/>
      <c r="AE178"/>
      <c r="AF178" s="148"/>
      <c r="AV178" s="180"/>
      <c r="AW178" s="153"/>
      <c r="AX178" s="153"/>
      <c r="AY178" s="153"/>
      <c r="AZ178" s="153"/>
      <c r="BA178" s="153"/>
      <c r="BB178" s="153"/>
      <c r="BC178" s="153"/>
      <c r="BD178" s="154" t="s">
        <v>550</v>
      </c>
      <c r="BE178" s="153"/>
      <c r="BF178" s="153"/>
      <c r="BG178" s="153"/>
      <c r="BH178" s="153"/>
      <c r="BI178" s="153"/>
      <c r="BJ178" s="153"/>
      <c r="BK178" s="153"/>
      <c r="BL178" s="153"/>
      <c r="BM178" s="153"/>
      <c r="BN178" s="153"/>
      <c r="BO178" s="153"/>
      <c r="BP178" s="153"/>
      <c r="BQ178" s="153"/>
      <c r="BR178" s="156">
        <f t="shared" si="2"/>
        <v>0</v>
      </c>
    </row>
    <row r="179" spans="1:73" ht="14.45" hidden="1">
      <c r="A179" s="378"/>
      <c r="B179" s="379" t="s">
        <v>32</v>
      </c>
      <c r="C179" s="3" t="s">
        <v>2803</v>
      </c>
      <c r="D179" s="379">
        <v>4900168138</v>
      </c>
      <c r="E179" s="379">
        <v>1</v>
      </c>
      <c r="F179" s="379" t="s">
        <v>2804</v>
      </c>
      <c r="G179" s="3" t="s">
        <v>2805</v>
      </c>
      <c r="H179" s="3" t="s">
        <v>17</v>
      </c>
      <c r="I179" s="379" t="s">
        <v>2864</v>
      </c>
      <c r="J179" s="378" t="s">
        <v>2865</v>
      </c>
      <c r="K179" s="380"/>
      <c r="L179" s="379">
        <v>1</v>
      </c>
      <c r="R179" s="381">
        <f>Table242[[#This Row],[Material Unit Price]]+Table242[[#This Row],[Labor Unit Price]]+Table242[[#This Row],[GC + Manage+ Insur]]</f>
        <v>0</v>
      </c>
      <c r="S179" s="381">
        <f>Table242[[#This Row],[Total Per Tool]]*Table242[[#This Row],[Tool QTY]]</f>
        <v>0</v>
      </c>
      <c r="T179" s="381"/>
      <c r="U179" s="383">
        <v>44945</v>
      </c>
      <c r="V179" s="381"/>
      <c r="W179" s="381"/>
      <c r="X179" s="381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179" s="384" t="e">
        <f>Table242[[#This Row],[Total AR (Received)]]/Table242[[#This Row],[PO Amount]]</f>
        <v>#DIV/0!</v>
      </c>
      <c r="Z179" s="385">
        <f>Table242[[#This Row],[PO Amount]]-Table242[[#This Row],[Total AR (Received)]]</f>
        <v>0</v>
      </c>
      <c r="AA179" s="152"/>
      <c r="AB179" s="152"/>
      <c r="AC179" s="152" t="e">
        <f>SUM(Table242[[#This Row],[Total M%]]*Table242[[#This Row],[Material Unit Price]],Table242[[#This Row],[Total L %]]*Table242[[#This Row],[Labor Unit Price]])/SUM(Table242[[#This Row],[Material Unit Price]:[Labor Unit Price]])</f>
        <v>#DIV/0!</v>
      </c>
      <c r="AD179" s="2"/>
      <c r="AE179"/>
      <c r="AF179" s="148"/>
      <c r="AV179" s="153"/>
      <c r="AW179" s="153"/>
      <c r="AX179" s="153"/>
      <c r="AY179" s="153"/>
      <c r="AZ179" s="153"/>
      <c r="BA179" s="153"/>
      <c r="BB179" s="153"/>
      <c r="BC179" s="153"/>
      <c r="BD179" s="154" t="s">
        <v>550</v>
      </c>
      <c r="BE179" s="153"/>
      <c r="BF179" s="153"/>
      <c r="BG179" s="153"/>
      <c r="BH179" s="153"/>
      <c r="BI179" s="153"/>
      <c r="BJ179" s="153"/>
      <c r="BK179" s="153"/>
      <c r="BL179" s="153"/>
      <c r="BM179" s="153"/>
      <c r="BN179" s="153"/>
      <c r="BO179" s="153"/>
      <c r="BP179" s="153"/>
      <c r="BQ179" s="153"/>
      <c r="BR179" s="386">
        <f t="shared" si="2"/>
        <v>0</v>
      </c>
      <c r="BS179" s="378"/>
      <c r="BT179" s="378"/>
      <c r="BU179" s="378"/>
    </row>
    <row r="180" spans="1:73" ht="14.45" hidden="1">
      <c r="B180" s="3" t="s">
        <v>32</v>
      </c>
      <c r="C180" s="3" t="s">
        <v>2803</v>
      </c>
      <c r="D180" s="3">
        <v>4900168139</v>
      </c>
      <c r="E180" s="3">
        <v>1</v>
      </c>
      <c r="F180" s="3" t="s">
        <v>2804</v>
      </c>
      <c r="G180" s="3" t="s">
        <v>2805</v>
      </c>
      <c r="H180" s="3" t="s">
        <v>17</v>
      </c>
      <c r="I180" s="3" t="s">
        <v>2866</v>
      </c>
      <c r="J180" t="s">
        <v>2867</v>
      </c>
      <c r="K180" s="147"/>
      <c r="L180" s="3">
        <v>1</v>
      </c>
      <c r="N180" s="148">
        <v>18229.500000000004</v>
      </c>
      <c r="Q180" s="148">
        <v>3645.900000000001</v>
      </c>
      <c r="R180" s="148">
        <f>Table242[[#This Row],[Material Unit Price]]+Table242[[#This Row],[Labor Unit Price]]+Table242[[#This Row],[GC + Manage+ Insur]]</f>
        <v>21875.400000000005</v>
      </c>
      <c r="S180" s="148">
        <f>Table242[[#This Row],[Total Per Tool]]*Table242[[#This Row],[Tool QTY]]</f>
        <v>21875.400000000005</v>
      </c>
      <c r="U180" s="149">
        <v>44945</v>
      </c>
      <c r="X18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180" s="150">
        <f>Table242[[#This Row],[Total AR (Received)]]/Table242[[#This Row],[PO Amount]]</f>
        <v>0</v>
      </c>
      <c r="Z180" s="151">
        <f>Table242[[#This Row],[PO Amount]]-Table242[[#This Row],[Total AR (Received)]]</f>
        <v>21875.400000000005</v>
      </c>
      <c r="AA180" s="152"/>
      <c r="AB180" s="152"/>
      <c r="AC180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180" s="2"/>
      <c r="AE180"/>
      <c r="AF180" s="148"/>
      <c r="AV180" s="180"/>
      <c r="AW180" s="153"/>
      <c r="AX180" s="153"/>
      <c r="AY180" s="153"/>
      <c r="AZ180" s="153"/>
      <c r="BA180" s="153"/>
      <c r="BB180" s="153"/>
      <c r="BC180" s="153"/>
      <c r="BD180" s="154" t="s">
        <v>550</v>
      </c>
      <c r="BE180" s="153"/>
      <c r="BF180" s="153"/>
      <c r="BG180" s="153"/>
      <c r="BH180" s="153"/>
      <c r="BI180" s="153"/>
      <c r="BJ180" s="153"/>
      <c r="BK180" s="153"/>
      <c r="BL180" s="153"/>
      <c r="BM180" s="153"/>
      <c r="BN180" s="153"/>
      <c r="BO180" s="153"/>
      <c r="BP180" s="153"/>
      <c r="BQ180" s="153"/>
      <c r="BR180" s="156">
        <f t="shared" si="2"/>
        <v>0</v>
      </c>
    </row>
    <row r="181" spans="1:73" ht="14.45" hidden="1">
      <c r="B181" s="3" t="s">
        <v>32</v>
      </c>
      <c r="C181" s="3" t="s">
        <v>2803</v>
      </c>
      <c r="D181" s="3">
        <v>4900168141</v>
      </c>
      <c r="E181" s="3">
        <v>1</v>
      </c>
      <c r="F181" s="3" t="s">
        <v>2804</v>
      </c>
      <c r="G181" s="3" t="s">
        <v>2805</v>
      </c>
      <c r="H181" s="3" t="s">
        <v>17</v>
      </c>
      <c r="I181" s="3" t="s">
        <v>2868</v>
      </c>
      <c r="J181" t="s">
        <v>2869</v>
      </c>
      <c r="K181" s="147"/>
      <c r="L181" s="3">
        <v>1</v>
      </c>
      <c r="N181" s="148">
        <v>18229.500000000004</v>
      </c>
      <c r="Q181" s="148">
        <v>3645.5000000000009</v>
      </c>
      <c r="R181" s="148">
        <f>Table242[[#This Row],[Material Unit Price]]+Table242[[#This Row],[Labor Unit Price]]+Table242[[#This Row],[GC + Manage+ Insur]]</f>
        <v>21875.000000000004</v>
      </c>
      <c r="S181" s="184">
        <f>Table242[[#This Row],[Total Per Tool]]*Table242[[#This Row],[Tool QTY]]</f>
        <v>21875.000000000004</v>
      </c>
      <c r="U181" s="149">
        <v>44945</v>
      </c>
      <c r="X18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181" s="150">
        <f>Table242[[#This Row],[Total AR (Received)]]/Table242[[#This Row],[PO Amount]]</f>
        <v>0</v>
      </c>
      <c r="Z181" s="151">
        <f>Table242[[#This Row],[PO Amount]]-Table242[[#This Row],[Total AR (Received)]]</f>
        <v>21875.000000000004</v>
      </c>
      <c r="AA181" s="152"/>
      <c r="AB181" s="152"/>
      <c r="AC181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181" s="2"/>
      <c r="AE181"/>
      <c r="AF181" s="148"/>
      <c r="AV181" s="180"/>
      <c r="AW181" s="153"/>
      <c r="AX181" s="153"/>
      <c r="AY181" s="153"/>
      <c r="AZ181" s="153"/>
      <c r="BA181" s="153"/>
      <c r="BB181" s="153"/>
      <c r="BC181" s="153"/>
      <c r="BD181" s="154" t="s">
        <v>550</v>
      </c>
      <c r="BE181" s="153"/>
      <c r="BF181" s="153"/>
      <c r="BG181" s="153"/>
      <c r="BH181" s="153"/>
      <c r="BI181" s="153"/>
      <c r="BJ181" s="153"/>
      <c r="BK181" s="153"/>
      <c r="BL181" s="153"/>
      <c r="BM181" s="153"/>
      <c r="BN181" s="153"/>
      <c r="BO181" s="153"/>
      <c r="BP181" s="153"/>
      <c r="BQ181" s="153"/>
      <c r="BR181" s="156">
        <f t="shared" si="2"/>
        <v>0</v>
      </c>
    </row>
    <row r="182" spans="1:73" ht="14.45" hidden="1">
      <c r="A182" s="378"/>
      <c r="B182" s="379" t="s">
        <v>32</v>
      </c>
      <c r="C182" s="3" t="s">
        <v>2803</v>
      </c>
      <c r="D182" s="379">
        <v>4900168142</v>
      </c>
      <c r="E182" s="379">
        <v>1</v>
      </c>
      <c r="F182" s="379" t="s">
        <v>2804</v>
      </c>
      <c r="G182" s="3" t="s">
        <v>2805</v>
      </c>
      <c r="H182" s="3" t="s">
        <v>17</v>
      </c>
      <c r="I182" s="379" t="s">
        <v>2870</v>
      </c>
      <c r="J182" s="378" t="s">
        <v>2871</v>
      </c>
      <c r="K182" s="380"/>
      <c r="L182" s="379">
        <v>1</v>
      </c>
      <c r="R182" s="381">
        <f>Table242[[#This Row],[Material Unit Price]]+Table242[[#This Row],[Labor Unit Price]]+Table242[[#This Row],[GC + Manage+ Insur]]</f>
        <v>0</v>
      </c>
      <c r="S182" s="381">
        <f>Table242[[#This Row],[Total Per Tool]]*Table242[[#This Row],[Tool QTY]]</f>
        <v>0</v>
      </c>
      <c r="T182" s="381"/>
      <c r="U182" s="383">
        <v>44945</v>
      </c>
      <c r="V182" s="381"/>
      <c r="W182" s="381"/>
      <c r="X182" s="381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182" s="384" t="e">
        <f>Table242[[#This Row],[Total AR (Received)]]/Table242[[#This Row],[PO Amount]]</f>
        <v>#DIV/0!</v>
      </c>
      <c r="Z182" s="385">
        <f>Table242[[#This Row],[PO Amount]]-Table242[[#This Row],[Total AR (Received)]]</f>
        <v>0</v>
      </c>
      <c r="AA182" s="152"/>
      <c r="AB182" s="152"/>
      <c r="AC182" s="152" t="e">
        <f>SUM(Table242[[#This Row],[Total M%]]*Table242[[#This Row],[Material Unit Price]],Table242[[#This Row],[Total L %]]*Table242[[#This Row],[Labor Unit Price]])/SUM(Table242[[#This Row],[Material Unit Price]:[Labor Unit Price]])</f>
        <v>#DIV/0!</v>
      </c>
      <c r="AD182" s="2"/>
      <c r="AE182"/>
      <c r="AF182" s="148"/>
      <c r="AV182" s="180"/>
      <c r="AW182" s="153"/>
      <c r="AX182" s="153"/>
      <c r="AY182" s="153"/>
      <c r="AZ182" s="153"/>
      <c r="BA182" s="153"/>
      <c r="BB182" s="153"/>
      <c r="BC182" s="153"/>
      <c r="BD182" s="154" t="s">
        <v>550</v>
      </c>
      <c r="BE182" s="153"/>
      <c r="BF182" s="153"/>
      <c r="BG182" s="153"/>
      <c r="BH182" s="153"/>
      <c r="BI182" s="153"/>
      <c r="BJ182" s="153"/>
      <c r="BK182" s="153"/>
      <c r="BL182" s="153"/>
      <c r="BM182" s="153"/>
      <c r="BN182" s="153"/>
      <c r="BO182" s="153"/>
      <c r="BP182" s="153"/>
      <c r="BQ182" s="153"/>
      <c r="BR182" s="386">
        <f t="shared" si="2"/>
        <v>0</v>
      </c>
      <c r="BS182" s="378"/>
      <c r="BT182" s="378"/>
      <c r="BU182" s="378"/>
    </row>
    <row r="183" spans="1:73" ht="14.45" hidden="1">
      <c r="A183" s="378"/>
      <c r="B183" s="379" t="s">
        <v>32</v>
      </c>
      <c r="C183" s="3" t="s">
        <v>2803</v>
      </c>
      <c r="D183" s="379">
        <v>4900168143</v>
      </c>
      <c r="E183" s="379">
        <v>1</v>
      </c>
      <c r="F183" s="379" t="s">
        <v>2804</v>
      </c>
      <c r="G183" s="3" t="s">
        <v>2805</v>
      </c>
      <c r="H183" s="3" t="s">
        <v>17</v>
      </c>
      <c r="I183" s="379" t="s">
        <v>2872</v>
      </c>
      <c r="J183" s="378" t="s">
        <v>2873</v>
      </c>
      <c r="K183" s="380"/>
      <c r="L183" s="379">
        <v>1</v>
      </c>
      <c r="R183" s="381">
        <f>Table242[[#This Row],[Material Unit Price]]+Table242[[#This Row],[Labor Unit Price]]+Table242[[#This Row],[GC + Manage+ Insur]]</f>
        <v>0</v>
      </c>
      <c r="S183" s="381">
        <f>Table242[[#This Row],[Total Per Tool]]*Table242[[#This Row],[Tool QTY]]</f>
        <v>0</v>
      </c>
      <c r="T183" s="381"/>
      <c r="U183" s="383">
        <v>44945</v>
      </c>
      <c r="V183" s="381"/>
      <c r="W183" s="381"/>
      <c r="X183" s="381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183" s="384" t="e">
        <f>Table242[[#This Row],[Total AR (Received)]]/Table242[[#This Row],[PO Amount]]</f>
        <v>#DIV/0!</v>
      </c>
      <c r="Z183" s="385">
        <f>Table242[[#This Row],[PO Amount]]-Table242[[#This Row],[Total AR (Received)]]</f>
        <v>0</v>
      </c>
      <c r="AA183" s="152"/>
      <c r="AB183" s="152"/>
      <c r="AC183" s="152" t="e">
        <f>SUM(Table242[[#This Row],[Total M%]]*Table242[[#This Row],[Material Unit Price]],Table242[[#This Row],[Total L %]]*Table242[[#This Row],[Labor Unit Price]])/SUM(Table242[[#This Row],[Material Unit Price]:[Labor Unit Price]])</f>
        <v>#DIV/0!</v>
      </c>
      <c r="AD183" s="2"/>
      <c r="AE183"/>
      <c r="AF183" s="148"/>
      <c r="AV183" s="180"/>
      <c r="AW183" s="153"/>
      <c r="AX183" s="153"/>
      <c r="AY183" s="153"/>
      <c r="AZ183" s="153"/>
      <c r="BA183" s="153"/>
      <c r="BB183" s="153"/>
      <c r="BC183" s="153"/>
      <c r="BD183" s="154" t="s">
        <v>550</v>
      </c>
      <c r="BE183" s="153"/>
      <c r="BF183" s="153"/>
      <c r="BG183" s="153"/>
      <c r="BH183" s="153"/>
      <c r="BI183" s="153"/>
      <c r="BJ183" s="153"/>
      <c r="BK183" s="153"/>
      <c r="BL183" s="153"/>
      <c r="BM183" s="153"/>
      <c r="BN183" s="153"/>
      <c r="BO183" s="153"/>
      <c r="BP183" s="153"/>
      <c r="BQ183" s="153"/>
      <c r="BR183" s="386">
        <f t="shared" si="2"/>
        <v>0</v>
      </c>
      <c r="BS183" s="378"/>
      <c r="BT183" s="378"/>
      <c r="BU183" s="378"/>
    </row>
    <row r="184" spans="1:73" ht="14.45" hidden="1">
      <c r="A184" s="378"/>
      <c r="B184" s="379" t="s">
        <v>32</v>
      </c>
      <c r="C184" s="3" t="s">
        <v>2803</v>
      </c>
      <c r="D184" s="379">
        <v>4900168144</v>
      </c>
      <c r="E184" s="379">
        <v>1</v>
      </c>
      <c r="F184" s="379" t="s">
        <v>2804</v>
      </c>
      <c r="G184" s="3" t="s">
        <v>2805</v>
      </c>
      <c r="H184" s="3" t="s">
        <v>17</v>
      </c>
      <c r="I184" s="379" t="s">
        <v>2874</v>
      </c>
      <c r="J184" s="378" t="s">
        <v>2875</v>
      </c>
      <c r="K184" s="380"/>
      <c r="L184" s="379">
        <v>1</v>
      </c>
      <c r="R184" s="381">
        <f>Table242[[#This Row],[Material Unit Price]]+Table242[[#This Row],[Labor Unit Price]]+Table242[[#This Row],[GC + Manage+ Insur]]</f>
        <v>0</v>
      </c>
      <c r="S184" s="381">
        <f>Table242[[#This Row],[Total Per Tool]]*Table242[[#This Row],[Tool QTY]]</f>
        <v>0</v>
      </c>
      <c r="T184" s="381"/>
      <c r="U184" s="383">
        <v>44945</v>
      </c>
      <c r="V184" s="381"/>
      <c r="W184" s="381"/>
      <c r="X184" s="381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184" s="384" t="e">
        <f>Table242[[#This Row],[Total AR (Received)]]/Table242[[#This Row],[PO Amount]]</f>
        <v>#DIV/0!</v>
      </c>
      <c r="Z184" s="385">
        <f>Table242[[#This Row],[PO Amount]]-Table242[[#This Row],[Total AR (Received)]]</f>
        <v>0</v>
      </c>
      <c r="AA184" s="152"/>
      <c r="AB184" s="152"/>
      <c r="AC184" s="152" t="e">
        <f>SUM(Table242[[#This Row],[Total M%]]*Table242[[#This Row],[Material Unit Price]],Table242[[#This Row],[Total L %]]*Table242[[#This Row],[Labor Unit Price]])/SUM(Table242[[#This Row],[Material Unit Price]:[Labor Unit Price]])</f>
        <v>#DIV/0!</v>
      </c>
      <c r="AD184" s="2"/>
      <c r="AE184"/>
      <c r="AF184" s="148"/>
      <c r="AV184" s="180"/>
      <c r="AW184" s="153"/>
      <c r="AX184" s="153"/>
      <c r="AY184" s="153"/>
      <c r="AZ184" s="153"/>
      <c r="BA184" s="153"/>
      <c r="BB184" s="153"/>
      <c r="BC184" s="153"/>
      <c r="BD184" s="154" t="s">
        <v>550</v>
      </c>
      <c r="BE184" s="153"/>
      <c r="BF184" s="153"/>
      <c r="BG184" s="153"/>
      <c r="BH184" s="153"/>
      <c r="BI184" s="153"/>
      <c r="BJ184" s="153"/>
      <c r="BK184" s="153"/>
      <c r="BL184" s="153"/>
      <c r="BM184" s="153"/>
      <c r="BN184" s="153"/>
      <c r="BO184" s="153"/>
      <c r="BP184" s="153"/>
      <c r="BQ184" s="153"/>
      <c r="BR184" s="386">
        <f t="shared" si="2"/>
        <v>0</v>
      </c>
      <c r="BS184" s="378"/>
      <c r="BT184" s="378"/>
      <c r="BU184" s="378"/>
    </row>
    <row r="185" spans="1:73" ht="14.45" hidden="1">
      <c r="A185" s="378"/>
      <c r="B185" s="379" t="s">
        <v>32</v>
      </c>
      <c r="C185" s="3" t="s">
        <v>2803</v>
      </c>
      <c r="D185" s="379">
        <v>4900168145</v>
      </c>
      <c r="E185" s="379">
        <v>1</v>
      </c>
      <c r="F185" s="379" t="s">
        <v>2804</v>
      </c>
      <c r="G185" s="3" t="s">
        <v>2805</v>
      </c>
      <c r="H185" s="3" t="s">
        <v>17</v>
      </c>
      <c r="I185" s="379" t="s">
        <v>2876</v>
      </c>
      <c r="J185" s="378" t="s">
        <v>2877</v>
      </c>
      <c r="K185" s="380"/>
      <c r="L185" s="379">
        <v>1</v>
      </c>
      <c r="R185" s="381">
        <f>Table242[[#This Row],[Material Unit Price]]+Table242[[#This Row],[Labor Unit Price]]+Table242[[#This Row],[GC + Manage+ Insur]]</f>
        <v>0</v>
      </c>
      <c r="S185" s="381">
        <f>Table242[[#This Row],[Total Per Tool]]*Table242[[#This Row],[Tool QTY]]</f>
        <v>0</v>
      </c>
      <c r="T185" s="381"/>
      <c r="U185" s="383">
        <v>44945</v>
      </c>
      <c r="V185" s="381"/>
      <c r="W185" s="381"/>
      <c r="X185" s="381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185" s="384" t="e">
        <f>Table242[[#This Row],[Total AR (Received)]]/Table242[[#This Row],[PO Amount]]</f>
        <v>#DIV/0!</v>
      </c>
      <c r="Z185" s="385">
        <f>Table242[[#This Row],[PO Amount]]-Table242[[#This Row],[Total AR (Received)]]</f>
        <v>0</v>
      </c>
      <c r="AA185" s="152"/>
      <c r="AB185" s="152"/>
      <c r="AC185" s="152" t="e">
        <f>SUM(Table242[[#This Row],[Total M%]]*Table242[[#This Row],[Material Unit Price]],Table242[[#This Row],[Total L %]]*Table242[[#This Row],[Labor Unit Price]])/SUM(Table242[[#This Row],[Material Unit Price]:[Labor Unit Price]])</f>
        <v>#DIV/0!</v>
      </c>
      <c r="AD185" s="2"/>
      <c r="AE185"/>
      <c r="AF185" s="148"/>
      <c r="AV185" s="180"/>
      <c r="AW185" s="153"/>
      <c r="AX185" s="153"/>
      <c r="AY185" s="153"/>
      <c r="AZ185" s="153"/>
      <c r="BA185" s="153"/>
      <c r="BB185" s="153"/>
      <c r="BC185" s="153"/>
      <c r="BD185" s="154" t="s">
        <v>550</v>
      </c>
      <c r="BE185" s="153"/>
      <c r="BF185" s="153"/>
      <c r="BG185" s="153"/>
      <c r="BH185" s="153"/>
      <c r="BI185" s="153"/>
      <c r="BJ185" s="153"/>
      <c r="BK185" s="153"/>
      <c r="BL185" s="153"/>
      <c r="BM185" s="153"/>
      <c r="BN185" s="153"/>
      <c r="BO185" s="153"/>
      <c r="BP185" s="153"/>
      <c r="BQ185" s="153"/>
      <c r="BR185" s="386">
        <f t="shared" si="2"/>
        <v>0</v>
      </c>
      <c r="BS185" s="378"/>
      <c r="BT185" s="378"/>
      <c r="BU185" s="378"/>
    </row>
    <row r="186" spans="1:73" ht="14.45" hidden="1">
      <c r="A186" s="378"/>
      <c r="B186" s="379" t="s">
        <v>32</v>
      </c>
      <c r="C186" s="3" t="s">
        <v>2803</v>
      </c>
      <c r="D186" s="379">
        <v>4900168146</v>
      </c>
      <c r="E186" s="379">
        <v>1</v>
      </c>
      <c r="F186" s="379" t="s">
        <v>2804</v>
      </c>
      <c r="G186" s="3" t="s">
        <v>2805</v>
      </c>
      <c r="H186" s="3" t="s">
        <v>17</v>
      </c>
      <c r="I186" s="379" t="s">
        <v>2878</v>
      </c>
      <c r="J186" s="378" t="s">
        <v>2879</v>
      </c>
      <c r="K186" s="380"/>
      <c r="L186" s="379">
        <v>1</v>
      </c>
      <c r="R186" s="381">
        <f>Table242[[#This Row],[Material Unit Price]]+Table242[[#This Row],[Labor Unit Price]]+Table242[[#This Row],[GC + Manage+ Insur]]</f>
        <v>0</v>
      </c>
      <c r="S186" s="381">
        <f>Table242[[#This Row],[Total Per Tool]]*Table242[[#This Row],[Tool QTY]]</f>
        <v>0</v>
      </c>
      <c r="T186" s="381"/>
      <c r="U186" s="383">
        <v>44945</v>
      </c>
      <c r="V186" s="381"/>
      <c r="W186" s="381"/>
      <c r="X186" s="381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186" s="384" t="e">
        <f>Table242[[#This Row],[Total AR (Received)]]/Table242[[#This Row],[PO Amount]]</f>
        <v>#DIV/0!</v>
      </c>
      <c r="Z186" s="385">
        <f>Table242[[#This Row],[PO Amount]]-Table242[[#This Row],[Total AR (Received)]]</f>
        <v>0</v>
      </c>
      <c r="AA186" s="152"/>
      <c r="AB186" s="152"/>
      <c r="AC186" s="152" t="e">
        <f>SUM(Table242[[#This Row],[Total M%]]*Table242[[#This Row],[Material Unit Price]],Table242[[#This Row],[Total L %]]*Table242[[#This Row],[Labor Unit Price]])/SUM(Table242[[#This Row],[Material Unit Price]:[Labor Unit Price]])</f>
        <v>#DIV/0!</v>
      </c>
      <c r="AD186" s="2"/>
      <c r="AE186"/>
      <c r="AF186" s="148"/>
      <c r="AV186" s="180"/>
      <c r="AW186" s="153"/>
      <c r="AX186" s="153"/>
      <c r="AY186" s="153"/>
      <c r="AZ186" s="153"/>
      <c r="BA186" s="153"/>
      <c r="BB186" s="153"/>
      <c r="BC186" s="153"/>
      <c r="BD186" s="154" t="s">
        <v>550</v>
      </c>
      <c r="BE186" s="153"/>
      <c r="BF186" s="153"/>
      <c r="BG186" s="153"/>
      <c r="BH186" s="153"/>
      <c r="BI186" s="153"/>
      <c r="BJ186" s="153"/>
      <c r="BK186" s="153"/>
      <c r="BL186" s="153"/>
      <c r="BM186" s="153"/>
      <c r="BN186" s="153"/>
      <c r="BO186" s="153"/>
      <c r="BP186" s="153"/>
      <c r="BQ186" s="153"/>
      <c r="BR186" s="386">
        <f t="shared" si="2"/>
        <v>0</v>
      </c>
      <c r="BS186" s="378"/>
      <c r="BT186" s="378"/>
      <c r="BU186" s="378"/>
    </row>
    <row r="187" spans="1:73" ht="14.45" hidden="1">
      <c r="A187" s="378"/>
      <c r="B187" s="379" t="s">
        <v>32</v>
      </c>
      <c r="C187" s="3" t="s">
        <v>2803</v>
      </c>
      <c r="D187" s="379">
        <v>4900168147</v>
      </c>
      <c r="E187" s="379">
        <v>1</v>
      </c>
      <c r="F187" s="379" t="s">
        <v>2804</v>
      </c>
      <c r="G187" s="3" t="s">
        <v>2805</v>
      </c>
      <c r="H187" s="3" t="s">
        <v>17</v>
      </c>
      <c r="I187" s="379" t="s">
        <v>2880</v>
      </c>
      <c r="J187" s="378" t="s">
        <v>2881</v>
      </c>
      <c r="K187" s="380"/>
      <c r="L187" s="379">
        <v>1</v>
      </c>
      <c r="R187" s="381">
        <f>Table242[[#This Row],[Material Unit Price]]+Table242[[#This Row],[Labor Unit Price]]+Table242[[#This Row],[GC + Manage+ Insur]]</f>
        <v>0</v>
      </c>
      <c r="S187" s="381">
        <f>Table242[[#This Row],[Total Per Tool]]*Table242[[#This Row],[Tool QTY]]</f>
        <v>0</v>
      </c>
      <c r="T187" s="381"/>
      <c r="U187" s="383">
        <v>44945</v>
      </c>
      <c r="V187" s="381"/>
      <c r="W187" s="381"/>
      <c r="X187" s="381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187" s="384" t="e">
        <f>Table242[[#This Row],[Total AR (Received)]]/Table242[[#This Row],[PO Amount]]</f>
        <v>#DIV/0!</v>
      </c>
      <c r="Z187" s="385">
        <f>Table242[[#This Row],[PO Amount]]-Table242[[#This Row],[Total AR (Received)]]</f>
        <v>0</v>
      </c>
      <c r="AA187" s="152"/>
      <c r="AB187" s="152"/>
      <c r="AC187" s="152" t="e">
        <f>SUM(Table242[[#This Row],[Total M%]]*Table242[[#This Row],[Material Unit Price]],Table242[[#This Row],[Total L %]]*Table242[[#This Row],[Labor Unit Price]])/SUM(Table242[[#This Row],[Material Unit Price]:[Labor Unit Price]])</f>
        <v>#DIV/0!</v>
      </c>
      <c r="AD187" s="2"/>
      <c r="AE187"/>
      <c r="AF187" s="148"/>
      <c r="AV187" s="180"/>
      <c r="AW187" s="153"/>
      <c r="AX187" s="153"/>
      <c r="AY187" s="153"/>
      <c r="AZ187" s="153"/>
      <c r="BA187" s="153"/>
      <c r="BB187" s="153"/>
      <c r="BC187" s="153"/>
      <c r="BD187" s="154" t="s">
        <v>550</v>
      </c>
      <c r="BE187" s="153"/>
      <c r="BF187" s="153"/>
      <c r="BG187" s="153"/>
      <c r="BH187" s="153"/>
      <c r="BI187" s="153"/>
      <c r="BJ187" s="153"/>
      <c r="BK187" s="153"/>
      <c r="BL187" s="153"/>
      <c r="BM187" s="153"/>
      <c r="BN187" s="153"/>
      <c r="BO187" s="153"/>
      <c r="BP187" s="153"/>
      <c r="BQ187" s="153"/>
      <c r="BR187" s="386">
        <f t="shared" si="2"/>
        <v>0</v>
      </c>
      <c r="BS187" s="378"/>
      <c r="BT187" s="378"/>
      <c r="BU187" s="378"/>
    </row>
    <row r="188" spans="1:73" ht="14.45" hidden="1">
      <c r="A188" t="s">
        <v>2882</v>
      </c>
      <c r="B188" s="3" t="s">
        <v>33</v>
      </c>
      <c r="C188" s="3"/>
      <c r="D188" s="3">
        <v>2310543888</v>
      </c>
      <c r="E188" s="3">
        <v>1</v>
      </c>
      <c r="F188" s="3" t="s">
        <v>2883</v>
      </c>
      <c r="G188" s="3" t="s">
        <v>2884</v>
      </c>
      <c r="H188" s="3" t="s">
        <v>17</v>
      </c>
      <c r="I188" s="3" t="s">
        <v>2885</v>
      </c>
      <c r="J188" t="s">
        <v>2886</v>
      </c>
      <c r="K188" s="147"/>
      <c r="L188" s="3">
        <v>1</v>
      </c>
      <c r="N188" s="148">
        <v>4786.5599999999995</v>
      </c>
      <c r="R188" s="148">
        <f>Table242[[#This Row],[Material Unit Price]]+Table242[[#This Row],[Labor Unit Price]]+Table242[[#This Row],[GC + Manage+ Insur]]</f>
        <v>4786.5599999999995</v>
      </c>
      <c r="S188" s="148">
        <f>Table242[[#This Row],[Total Per Tool]]*Table242[[#This Row],[Tool QTY]]</f>
        <v>4786.5599999999995</v>
      </c>
      <c r="U188" s="149"/>
      <c r="X18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4786.5599999999995</v>
      </c>
      <c r="Y188" s="150">
        <f>Table242[[#This Row],[Total AR (Received)]]/Table242[[#This Row],[PO Amount]]</f>
        <v>1</v>
      </c>
      <c r="Z188" s="151">
        <f>Table242[[#This Row],[PO Amount]]-Table242[[#This Row],[Total AR (Received)]]</f>
        <v>0</v>
      </c>
      <c r="AA188" s="151"/>
      <c r="AB188" s="151"/>
      <c r="AC188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188"/>
      <c r="AE188"/>
      <c r="AF188" s="3"/>
      <c r="BB188"/>
      <c r="BC188"/>
      <c r="BD188" s="154" t="s">
        <v>550</v>
      </c>
      <c r="BE188" s="2"/>
      <c r="BF188"/>
      <c r="BG188"/>
      <c r="BH188" s="319">
        <v>4786.5599999999995</v>
      </c>
      <c r="BI188"/>
      <c r="BJ188"/>
      <c r="BK188"/>
      <c r="BL188"/>
      <c r="BM188"/>
      <c r="BN188"/>
      <c r="BO188"/>
      <c r="BP188"/>
      <c r="BQ188"/>
      <c r="BR188" s="158">
        <f t="shared" si="2"/>
        <v>4786.5599999999995</v>
      </c>
    </row>
    <row r="189" spans="1:73" ht="14.45" hidden="1">
      <c r="A189" t="s">
        <v>2882</v>
      </c>
      <c r="B189" s="3" t="s">
        <v>33</v>
      </c>
      <c r="C189" s="3"/>
      <c r="D189" s="3">
        <v>2310543888</v>
      </c>
      <c r="E189" s="3">
        <v>2</v>
      </c>
      <c r="F189" s="3" t="s">
        <v>2883</v>
      </c>
      <c r="G189" s="3" t="s">
        <v>2884</v>
      </c>
      <c r="H189" s="3" t="s">
        <v>17</v>
      </c>
      <c r="I189" s="3" t="s">
        <v>2887</v>
      </c>
      <c r="J189" t="s">
        <v>2886</v>
      </c>
      <c r="K189" s="147"/>
      <c r="L189" s="3">
        <v>1</v>
      </c>
      <c r="N189" s="148">
        <v>4786.5599999999995</v>
      </c>
      <c r="R189" s="148">
        <f>Table242[[#This Row],[Material Unit Price]]+Table242[[#This Row],[Labor Unit Price]]+Table242[[#This Row],[GC + Manage+ Insur]]</f>
        <v>4786.5599999999995</v>
      </c>
      <c r="S189" s="148">
        <f>Table242[[#This Row],[Total Per Tool]]*Table242[[#This Row],[Tool QTY]]</f>
        <v>4786.5599999999995</v>
      </c>
      <c r="U189" s="149"/>
      <c r="X18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4786.5599999999995</v>
      </c>
      <c r="Y189" s="150">
        <f>Table242[[#This Row],[Total AR (Received)]]/Table242[[#This Row],[PO Amount]]</f>
        <v>1</v>
      </c>
      <c r="Z189" s="151">
        <f>Table242[[#This Row],[PO Amount]]-Table242[[#This Row],[Total AR (Received)]]</f>
        <v>0</v>
      </c>
      <c r="AA189" s="151"/>
      <c r="AB189" s="151"/>
      <c r="AC189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189"/>
      <c r="AE189"/>
      <c r="AF189" s="3"/>
      <c r="BB189"/>
      <c r="BC189"/>
      <c r="BD189" s="154" t="s">
        <v>550</v>
      </c>
      <c r="BE189" s="2"/>
      <c r="BF189"/>
      <c r="BG189"/>
      <c r="BH189" s="319">
        <v>4786.5599999999995</v>
      </c>
      <c r="BI189"/>
      <c r="BJ189"/>
      <c r="BK189"/>
      <c r="BL189"/>
      <c r="BM189"/>
      <c r="BN189"/>
      <c r="BO189"/>
      <c r="BP189"/>
      <c r="BQ189"/>
      <c r="BR189" s="158">
        <f t="shared" si="2"/>
        <v>4786.5599999999995</v>
      </c>
    </row>
    <row r="190" spans="1:73" ht="14.45" hidden="1">
      <c r="A190" t="s">
        <v>2888</v>
      </c>
      <c r="B190" s="3" t="s">
        <v>33</v>
      </c>
      <c r="C190" s="3" t="s">
        <v>2889</v>
      </c>
      <c r="D190" s="3" t="s">
        <v>2890</v>
      </c>
      <c r="E190" s="3">
        <v>1</v>
      </c>
      <c r="F190" s="3" t="s">
        <v>2883</v>
      </c>
      <c r="G190" s="3" t="s">
        <v>2884</v>
      </c>
      <c r="H190" s="3" t="s">
        <v>17</v>
      </c>
      <c r="I190" s="3"/>
      <c r="J190" s="163" t="s">
        <v>2886</v>
      </c>
      <c r="K190" s="164"/>
      <c r="L190" s="3">
        <v>1</v>
      </c>
      <c r="N190" s="148">
        <v>4786.5600000000004</v>
      </c>
      <c r="R190" s="148">
        <f>Table242[[#This Row],[Material Unit Price]]+Table242[[#This Row],[Labor Unit Price]]+Table242[[#This Row],[GC + Manage+ Insur]]</f>
        <v>4786.5600000000004</v>
      </c>
      <c r="S190" s="148">
        <f>Table242[[#This Row],[Total Per Tool]]*Table242[[#This Row],[Tool QTY]]</f>
        <v>4786.5600000000004</v>
      </c>
      <c r="U190" s="149" t="s">
        <v>2891</v>
      </c>
      <c r="W190" s="148" t="s">
        <v>2892</v>
      </c>
      <c r="X19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190" s="150">
        <f>Table242[[#This Row],[Total AR (Received)]]/Table242[[#This Row],[PO Amount]]</f>
        <v>0</v>
      </c>
      <c r="Z190" s="151">
        <f>Table242[[#This Row],[PO Amount]]-Table242[[#This Row],[Total AR (Received)]]</f>
        <v>4786.5600000000004</v>
      </c>
      <c r="AA190" s="3"/>
      <c r="AF190" s="3"/>
      <c r="BG190" s="287"/>
      <c r="BJ190" s="165"/>
      <c r="BR190" s="156">
        <f t="shared" si="2"/>
        <v>0</v>
      </c>
    </row>
    <row r="191" spans="1:73" ht="14.45" hidden="1">
      <c r="A191" t="s">
        <v>2888</v>
      </c>
      <c r="B191" s="3" t="s">
        <v>33</v>
      </c>
      <c r="C191" s="3" t="s">
        <v>2889</v>
      </c>
      <c r="D191" s="3" t="s">
        <v>2893</v>
      </c>
      <c r="E191" s="3">
        <v>2</v>
      </c>
      <c r="F191" s="3" t="s">
        <v>2883</v>
      </c>
      <c r="G191" s="3" t="s">
        <v>2884</v>
      </c>
      <c r="H191" s="3" t="s">
        <v>17</v>
      </c>
      <c r="I191" s="3"/>
      <c r="J191" s="163" t="s">
        <v>2886</v>
      </c>
      <c r="K191" s="164"/>
      <c r="L191" s="3">
        <v>1</v>
      </c>
      <c r="N191" s="148">
        <v>4786.5600000000004</v>
      </c>
      <c r="R191" s="148">
        <f>Table242[[#This Row],[Material Unit Price]]+Table242[[#This Row],[Labor Unit Price]]+Table242[[#This Row],[GC + Manage+ Insur]]</f>
        <v>4786.5600000000004</v>
      </c>
      <c r="S191" s="148">
        <f>Table242[[#This Row],[Total Per Tool]]*Table242[[#This Row],[Tool QTY]]</f>
        <v>4786.5600000000004</v>
      </c>
      <c r="U191" s="149" t="s">
        <v>2891</v>
      </c>
      <c r="W191" s="148" t="s">
        <v>2892</v>
      </c>
      <c r="X19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191" s="150">
        <f>Table242[[#This Row],[Total AR (Received)]]/Table242[[#This Row],[PO Amount]]</f>
        <v>0</v>
      </c>
      <c r="Z191" s="151">
        <f>Table242[[#This Row],[PO Amount]]-Table242[[#This Row],[Total AR (Received)]]</f>
        <v>4786.5600000000004</v>
      </c>
      <c r="AA191" s="3"/>
      <c r="AF191" s="3"/>
      <c r="BG191" s="287"/>
      <c r="BJ191" s="165"/>
      <c r="BR191" s="156">
        <f t="shared" si="2"/>
        <v>0</v>
      </c>
    </row>
    <row r="192" spans="1:73" ht="14.45" hidden="1">
      <c r="B192" s="3" t="s">
        <v>34</v>
      </c>
      <c r="C192" s="3"/>
      <c r="D192" s="3">
        <v>2919921</v>
      </c>
      <c r="E192" s="3">
        <v>1</v>
      </c>
      <c r="F192" s="3" t="s">
        <v>2894</v>
      </c>
      <c r="G192" s="3"/>
      <c r="H192" s="3" t="s">
        <v>17</v>
      </c>
      <c r="I192" s="3"/>
      <c r="J192" t="s">
        <v>2895</v>
      </c>
      <c r="K192" s="147"/>
      <c r="L192" s="3">
        <v>1</v>
      </c>
      <c r="N192" s="148">
        <v>1039907.48</v>
      </c>
      <c r="R192" s="148">
        <v>501072</v>
      </c>
      <c r="S192" s="148">
        <f>Table242[[#This Row],[Total Per Tool]]*Table242[[#This Row],[Tool QTY]]</f>
        <v>501072</v>
      </c>
      <c r="U192" s="149">
        <v>45063</v>
      </c>
      <c r="W192" s="148" t="s">
        <v>2896</v>
      </c>
      <c r="X19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250536</v>
      </c>
      <c r="Y192" s="150">
        <f>Table242[[#This Row],[Total AR (Received)]]/Table242[[#This Row],[PO Amount]]</f>
        <v>0.5</v>
      </c>
      <c r="Z192" s="151">
        <f>Table242[[#This Row],[PO Amount]]-Table242[[#This Row],[Total AR (Received)]]</f>
        <v>250536</v>
      </c>
      <c r="AA192" s="152"/>
      <c r="AB192" s="152"/>
      <c r="AC192" s="152"/>
      <c r="AD192"/>
      <c r="AE192"/>
      <c r="AF192" s="3"/>
      <c r="AH192" s="153"/>
      <c r="AI192" s="2"/>
      <c r="AJ192" s="154"/>
      <c r="BB192"/>
      <c r="BC192"/>
      <c r="BD192" s="154" t="s">
        <v>550</v>
      </c>
      <c r="BE192" s="2"/>
      <c r="BF192"/>
      <c r="BG192"/>
      <c r="BH192"/>
      <c r="BI192"/>
      <c r="BJ192" s="360">
        <v>250536</v>
      </c>
      <c r="BK192"/>
      <c r="BL192"/>
      <c r="BM192"/>
      <c r="BN192"/>
      <c r="BO192"/>
      <c r="BP192"/>
      <c r="BQ192"/>
      <c r="BR192" s="156">
        <f t="shared" si="2"/>
        <v>0</v>
      </c>
    </row>
    <row r="193" spans="1:73" ht="14.45" hidden="1">
      <c r="A193" t="s">
        <v>2897</v>
      </c>
      <c r="B193" s="3" t="s">
        <v>35</v>
      </c>
      <c r="C193" s="3" t="s">
        <v>2898</v>
      </c>
      <c r="D193" s="3">
        <v>16865</v>
      </c>
      <c r="E193" s="3">
        <v>1</v>
      </c>
      <c r="F193" s="3" t="s">
        <v>2899</v>
      </c>
      <c r="G193" s="3"/>
      <c r="H193" s="3" t="s">
        <v>17</v>
      </c>
      <c r="I193" s="3"/>
      <c r="J193" s="163" t="s">
        <v>2900</v>
      </c>
      <c r="K193" s="147"/>
      <c r="L193" s="3">
        <v>1</v>
      </c>
      <c r="N193" s="148">
        <v>85459</v>
      </c>
      <c r="R193" s="148">
        <f>Table242[[#This Row],[Material Unit Price]]+Table242[[#This Row],[Labor Unit Price]]+Table242[[#This Row],[GC + Manage+ Insur]]</f>
        <v>85459</v>
      </c>
      <c r="S193" s="148">
        <f>Table242[[#This Row],[Total Per Tool]]*Table242[[#This Row],[Tool QTY]]</f>
        <v>85459</v>
      </c>
      <c r="U193" s="149">
        <v>45139</v>
      </c>
      <c r="W193" s="164" t="s">
        <v>2901</v>
      </c>
      <c r="X19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85459</v>
      </c>
      <c r="Y193" s="150">
        <f>Table242[[#This Row],[Total AR (Received)]]/Table242[[#This Row],[PO Amount]]</f>
        <v>1</v>
      </c>
      <c r="Z193" s="151">
        <f>Table242[[#This Row],[PO Amount]]-Table242[[#This Row],[Total AR (Received)]]</f>
        <v>0</v>
      </c>
      <c r="AA193" s="148"/>
      <c r="AE193"/>
      <c r="AF193" s="3"/>
      <c r="BB193"/>
      <c r="BC193"/>
      <c r="BD193" s="154" t="s">
        <v>550</v>
      </c>
      <c r="BE193" s="2"/>
      <c r="BF193" s="169">
        <v>85459</v>
      </c>
      <c r="BG193"/>
      <c r="BH193"/>
      <c r="BI193"/>
      <c r="BJ193"/>
      <c r="BK193"/>
      <c r="BL193"/>
      <c r="BM193"/>
      <c r="BN193"/>
      <c r="BO193"/>
      <c r="BP193"/>
      <c r="BQ193"/>
      <c r="BR193" s="156">
        <f t="shared" si="2"/>
        <v>85459</v>
      </c>
    </row>
    <row r="194" spans="1:73" ht="14.45" hidden="1">
      <c r="A194" t="s">
        <v>2888</v>
      </c>
      <c r="B194" s="3" t="s">
        <v>35</v>
      </c>
      <c r="C194" s="3" t="s">
        <v>2898</v>
      </c>
      <c r="D194" s="3" t="s">
        <v>2902</v>
      </c>
      <c r="E194" s="3"/>
      <c r="F194" s="3" t="s">
        <v>2899</v>
      </c>
      <c r="G194" s="3"/>
      <c r="H194" s="3" t="s">
        <v>17</v>
      </c>
      <c r="I194" s="3"/>
      <c r="J194" s="163" t="s">
        <v>2903</v>
      </c>
      <c r="K194" s="164"/>
      <c r="L194" s="3">
        <v>1</v>
      </c>
      <c r="N194" s="148">
        <v>59478</v>
      </c>
      <c r="R194" s="148">
        <f>Table242[[#This Row],[Material Unit Price]]+Table242[[#This Row],[Labor Unit Price]]+Table242[[#This Row],[GC + Manage+ Insur]]</f>
        <v>59478</v>
      </c>
      <c r="S194" s="148">
        <f>Table242[[#This Row],[Total Per Tool]]*Table242[[#This Row],[Tool QTY]]</f>
        <v>59478</v>
      </c>
      <c r="U194" s="149" t="s">
        <v>2904</v>
      </c>
      <c r="W194" s="148" t="s">
        <v>2905</v>
      </c>
      <c r="X19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59478</v>
      </c>
      <c r="Y194" s="150">
        <f>Table242[[#This Row],[Total AR (Received)]]/Table242[[#This Row],[PO Amount]]</f>
        <v>1</v>
      </c>
      <c r="Z194" s="151">
        <f>Table242[[#This Row],[PO Amount]]-Table242[[#This Row],[Total AR (Received)]]</f>
        <v>0</v>
      </c>
      <c r="AA194" s="3"/>
      <c r="AF194" s="3"/>
      <c r="BF194" s="455">
        <v>59478</v>
      </c>
      <c r="BG194" s="287"/>
      <c r="BJ194" s="165"/>
      <c r="BR194" s="156">
        <f t="shared" ref="BR194:BR246" si="3">SUM(AD194:BH194)</f>
        <v>59478</v>
      </c>
    </row>
    <row r="195" spans="1:73" ht="14.45">
      <c r="B195" s="191" t="s">
        <v>36</v>
      </c>
      <c r="C195" s="3"/>
      <c r="D195" s="3" t="s">
        <v>2906</v>
      </c>
      <c r="E195" s="3">
        <v>1</v>
      </c>
      <c r="F195" s="3" t="s">
        <v>2907</v>
      </c>
      <c r="G195" s="3"/>
      <c r="H195" s="3" t="s">
        <v>17</v>
      </c>
      <c r="I195" s="3"/>
      <c r="J195" t="s">
        <v>2908</v>
      </c>
      <c r="K195" s="147"/>
      <c r="L195" s="3">
        <v>1000</v>
      </c>
      <c r="N195" s="148">
        <v>355</v>
      </c>
      <c r="R195" s="148">
        <f>Table242[[#This Row],[Material Unit Price]]+Table242[[#This Row],[Labor Unit Price]]+Table242[[#This Row],[GC + Manage+ Insur]]</f>
        <v>355</v>
      </c>
      <c r="S195" s="148">
        <f>Table242[[#This Row],[Total Per Tool]]*Table242[[#This Row],[Tool QTY]]</f>
        <v>355000</v>
      </c>
      <c r="U195" s="149"/>
      <c r="X19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149100</v>
      </c>
      <c r="Y195" s="150">
        <f>Table242[[#This Row],[Total AR (Received)]]/Table242[[#This Row],[PO Amount]]</f>
        <v>0.42</v>
      </c>
      <c r="Z195" s="151">
        <f>Table242[[#This Row],[PO Amount]]-Table242[[#This Row],[Total AR (Received)]]</f>
        <v>205900</v>
      </c>
      <c r="AA195" s="151"/>
      <c r="AB195" s="151"/>
      <c r="AC195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195"/>
      <c r="AE195"/>
      <c r="AF195" s="3"/>
      <c r="BB195" s="176"/>
      <c r="BC195"/>
      <c r="BD195" s="154" t="s">
        <v>550</v>
      </c>
      <c r="BE195" s="2"/>
      <c r="BF195"/>
      <c r="BG195"/>
      <c r="BH195" s="169">
        <v>22720</v>
      </c>
      <c r="BI195"/>
      <c r="BJ195"/>
      <c r="BK195"/>
      <c r="BL195" s="173">
        <v>15265</v>
      </c>
      <c r="BM195"/>
      <c r="BN195"/>
      <c r="BO195"/>
      <c r="BP195" s="169">
        <v>111115</v>
      </c>
      <c r="BQ195"/>
      <c r="BR195" s="156">
        <f t="shared" si="3"/>
        <v>22720</v>
      </c>
    </row>
    <row r="196" spans="1:73" ht="14.45" hidden="1">
      <c r="B196" s="3" t="s">
        <v>37</v>
      </c>
      <c r="C196" s="3"/>
      <c r="D196" s="3">
        <v>7018590319</v>
      </c>
      <c r="E196" s="3">
        <v>1</v>
      </c>
      <c r="F196" s="3" t="s">
        <v>2907</v>
      </c>
      <c r="G196" s="3"/>
      <c r="H196" s="3" t="s">
        <v>17</v>
      </c>
      <c r="I196" s="3"/>
      <c r="J196" t="s">
        <v>2909</v>
      </c>
      <c r="K196" s="147"/>
      <c r="L196" s="3">
        <v>1</v>
      </c>
      <c r="N196" s="148">
        <v>180504</v>
      </c>
      <c r="R196" s="148">
        <f>Table242[[#This Row],[Material Unit Price]]+Table242[[#This Row],[Labor Unit Price]]+Table242[[#This Row],[GC + Manage+ Insur]]</f>
        <v>180504</v>
      </c>
      <c r="S196" s="148">
        <f>Table242[[#This Row],[Total Per Tool]]*Table242[[#This Row],[Tool QTY]]</f>
        <v>180504</v>
      </c>
      <c r="U196" s="149"/>
      <c r="X19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196" s="150">
        <f>Table242[[#This Row],[Total AR (Received)]]/Table242[[#This Row],[PO Amount]]</f>
        <v>0</v>
      </c>
      <c r="Z196" s="151">
        <f>Table242[[#This Row],[PO Amount]]-Table242[[#This Row],[Total AR (Received)]]</f>
        <v>180504</v>
      </c>
      <c r="AA196" s="151"/>
      <c r="AB196" s="151"/>
      <c r="AC196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196"/>
      <c r="AE196"/>
      <c r="AF196" s="3"/>
      <c r="BB196"/>
      <c r="BC196"/>
      <c r="BD196" s="154" t="s">
        <v>550</v>
      </c>
      <c r="BE196" s="2"/>
      <c r="BF196"/>
      <c r="BG196"/>
      <c r="BH196"/>
      <c r="BI196"/>
      <c r="BJ196"/>
      <c r="BK196"/>
      <c r="BL196"/>
      <c r="BM196"/>
      <c r="BN196"/>
      <c r="BO196"/>
      <c r="BP196"/>
      <c r="BQ196"/>
      <c r="BR196" s="156">
        <f t="shared" si="3"/>
        <v>0</v>
      </c>
    </row>
    <row r="197" spans="1:73" ht="14.45" hidden="1">
      <c r="A197" s="378"/>
      <c r="B197" s="379" t="s">
        <v>38</v>
      </c>
      <c r="C197" s="3"/>
      <c r="D197" s="379" t="s">
        <v>2910</v>
      </c>
      <c r="E197" s="379">
        <v>1</v>
      </c>
      <c r="F197" s="3"/>
      <c r="G197" s="3"/>
      <c r="H197" s="3" t="s">
        <v>17</v>
      </c>
      <c r="I197" s="379"/>
      <c r="J197" s="378" t="s">
        <v>2911</v>
      </c>
      <c r="K197" s="394"/>
      <c r="L197" s="379">
        <v>1</v>
      </c>
      <c r="M197" s="381"/>
      <c r="N197" s="381"/>
      <c r="O197" s="381"/>
      <c r="P197" s="381"/>
      <c r="Q197" s="381"/>
      <c r="R197" s="381">
        <f>Table242[[#This Row],[Material Unit Price]]+Table242[[#This Row],[Labor Unit Price]]+Table242[[#This Row],[GC + Manage+ Insur]]</f>
        <v>0</v>
      </c>
      <c r="S197" s="381">
        <f>Table242[[#This Row],[Total Per Tool]]*Table242[[#This Row],[Tool QTY]]</f>
        <v>0</v>
      </c>
      <c r="T197" s="381"/>
      <c r="U197" s="383"/>
      <c r="V197" s="381"/>
      <c r="W197" s="381" t="s">
        <v>2912</v>
      </c>
      <c r="X197" s="381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197" s="384" t="e">
        <f>Table242[[#This Row],[Total AR (Received)]]/Table242[[#This Row],[PO Amount]]</f>
        <v>#DIV/0!</v>
      </c>
      <c r="Z197" s="385">
        <f>Table242[[#This Row],[PO Amount]]-Table242[[#This Row],[Total AR (Received)]]</f>
        <v>0</v>
      </c>
      <c r="AA197" s="148"/>
      <c r="AE197"/>
      <c r="AF197" s="3"/>
      <c r="BB197"/>
      <c r="BC197"/>
      <c r="BD197" s="154" t="s">
        <v>550</v>
      </c>
      <c r="BE197" s="2"/>
      <c r="BF197"/>
      <c r="BG197"/>
      <c r="BH197"/>
      <c r="BI197"/>
      <c r="BJ197"/>
      <c r="BK197"/>
      <c r="BL197"/>
      <c r="BM197"/>
      <c r="BN197"/>
      <c r="BO197"/>
      <c r="BP197"/>
      <c r="BQ197"/>
      <c r="BR197" s="386">
        <f t="shared" si="3"/>
        <v>0</v>
      </c>
      <c r="BS197" s="378"/>
      <c r="BT197" s="378"/>
      <c r="BU197" s="378"/>
    </row>
    <row r="198" spans="1:73" ht="14.45" hidden="1">
      <c r="B198" s="3" t="s">
        <v>39</v>
      </c>
      <c r="C198" s="3"/>
      <c r="D198" s="3">
        <v>4600000721</v>
      </c>
      <c r="E198" s="3">
        <v>2</v>
      </c>
      <c r="F198" s="3" t="s">
        <v>2913</v>
      </c>
      <c r="G198" s="3" t="s">
        <v>2914</v>
      </c>
      <c r="H198" s="3" t="s">
        <v>17</v>
      </c>
      <c r="I198" s="3" t="s">
        <v>2915</v>
      </c>
      <c r="J198" t="s">
        <v>2916</v>
      </c>
      <c r="K198" s="147"/>
      <c r="L198" s="3">
        <v>1</v>
      </c>
      <c r="N198" s="148">
        <v>36547.199999999997</v>
      </c>
      <c r="Q198" s="148">
        <v>7309.44</v>
      </c>
      <c r="R198" s="148">
        <f>Table242[[#This Row],[Material Unit Price]]+Table242[[#This Row],[Labor Unit Price]]+Table242[[#This Row],[GC + Manage+ Insur]]</f>
        <v>43856.639999999999</v>
      </c>
      <c r="S198" s="148">
        <f>Table242[[#This Row],[Total Per Tool]]*Table242[[#This Row],[Tool QTY]]</f>
        <v>43856.639999999999</v>
      </c>
      <c r="U198" s="149"/>
      <c r="X19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43856.644</v>
      </c>
      <c r="Y198" s="150">
        <f>Table242[[#This Row],[Total AR (Received)]]/Table242[[#This Row],[PO Amount]]</f>
        <v>1.0000000912062574</v>
      </c>
      <c r="Z198" s="151">
        <f>Table242[[#This Row],[PO Amount]]-Table242[[#This Row],[Total AR (Received)]]</f>
        <v>-4.0000000008149073E-3</v>
      </c>
      <c r="AA198" s="152">
        <v>0.3</v>
      </c>
      <c r="AB198" s="152">
        <v>0.1</v>
      </c>
      <c r="AC198" s="152">
        <f>SUM(Table242[[#This Row],[Total M%]]*Table242[[#This Row],[Material Unit Price]],Table242[[#This Row],[Total L %]]*Table242[[#This Row],[Labor Unit Price]])/SUM(Table242[[#This Row],[Material Unit Price]:[Labor Unit Price]])</f>
        <v>0.1</v>
      </c>
      <c r="AD198" s="168">
        <v>4385.6639999999998</v>
      </c>
      <c r="AE198"/>
      <c r="AF198" s="148"/>
      <c r="BB198"/>
      <c r="BC198"/>
      <c r="BD198" s="154" t="s">
        <v>550</v>
      </c>
      <c r="BE198" s="2"/>
      <c r="BF198" s="174">
        <v>39470.980000000003</v>
      </c>
      <c r="BG198"/>
      <c r="BH198"/>
      <c r="BI198"/>
      <c r="BJ198"/>
      <c r="BK198"/>
      <c r="BL198"/>
      <c r="BM198"/>
      <c r="BN198"/>
      <c r="BO198"/>
      <c r="BP198"/>
      <c r="BQ198"/>
      <c r="BR198" s="170">
        <f t="shared" si="3"/>
        <v>43856.644</v>
      </c>
      <c r="BU198" s="159">
        <f>Table242[[#This Row],[Total]]</f>
        <v>43856.644</v>
      </c>
    </row>
    <row r="199" spans="1:73" ht="14.45" hidden="1">
      <c r="B199" s="3" t="s">
        <v>39</v>
      </c>
      <c r="C199" s="3"/>
      <c r="D199" s="3">
        <v>4600000721</v>
      </c>
      <c r="E199" s="3">
        <v>1</v>
      </c>
      <c r="F199" s="3" t="s">
        <v>2913</v>
      </c>
      <c r="G199" s="3" t="s">
        <v>2914</v>
      </c>
      <c r="H199" s="3" t="s">
        <v>17</v>
      </c>
      <c r="I199" s="3" t="s">
        <v>2917</v>
      </c>
      <c r="J199" t="s">
        <v>2918</v>
      </c>
      <c r="K199" s="147"/>
      <c r="L199" s="3">
        <v>1</v>
      </c>
      <c r="N199" s="148">
        <v>36547.199999999997</v>
      </c>
      <c r="Q199" s="148">
        <v>7309.44</v>
      </c>
      <c r="R199" s="148">
        <f>Table242[[#This Row],[Material Unit Price]]+Table242[[#This Row],[Labor Unit Price]]+Table242[[#This Row],[GC + Manage+ Insur]]</f>
        <v>43856.639999999999</v>
      </c>
      <c r="S199" s="148">
        <f>Table242[[#This Row],[Total Per Tool]]*Table242[[#This Row],[Tool QTY]]</f>
        <v>43856.639999999999</v>
      </c>
      <c r="U199" s="149"/>
      <c r="X19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43856.639999999999</v>
      </c>
      <c r="Y199" s="150">
        <f>Table242[[#This Row],[Total AR (Received)]]/Table242[[#This Row],[PO Amount]]</f>
        <v>1</v>
      </c>
      <c r="Z199" s="151">
        <f>Table242[[#This Row],[PO Amount]]-Table242[[#This Row],[Total AR (Received)]]</f>
        <v>0</v>
      </c>
      <c r="AA199" s="152">
        <v>0.3</v>
      </c>
      <c r="AB199" s="152">
        <v>0.1</v>
      </c>
      <c r="AC199" s="152">
        <f>SUM(Table242[[#This Row],[Total M%]]*Table242[[#This Row],[Material Unit Price]],Table242[[#This Row],[Total L %]]*Table242[[#This Row],[Labor Unit Price]])/SUM(Table242[[#This Row],[Material Unit Price]:[Labor Unit Price]])</f>
        <v>0.1</v>
      </c>
      <c r="AD199" s="168">
        <v>4385.6639999999998</v>
      </c>
      <c r="AE199"/>
      <c r="AF199" s="148"/>
      <c r="BB199"/>
      <c r="BC199"/>
      <c r="BD199" s="154" t="s">
        <v>550</v>
      </c>
      <c r="BE199" s="2"/>
      <c r="BF199" s="13"/>
      <c r="BG199"/>
      <c r="BH199"/>
      <c r="BI199"/>
      <c r="BJ199">
        <v>39470.976000000002</v>
      </c>
      <c r="BK199"/>
      <c r="BL199"/>
      <c r="BM199"/>
      <c r="BN199"/>
      <c r="BO199"/>
      <c r="BP199"/>
      <c r="BQ199"/>
      <c r="BR199" s="170">
        <f t="shared" si="3"/>
        <v>4385.6639999999998</v>
      </c>
      <c r="BU199" s="159">
        <f>Table242[[#This Row],[Total]]</f>
        <v>4385.6639999999998</v>
      </c>
    </row>
    <row r="200" spans="1:73" ht="14.45" hidden="1">
      <c r="B200" s="3" t="s">
        <v>39</v>
      </c>
      <c r="C200" s="3"/>
      <c r="D200" s="3">
        <v>4600000721</v>
      </c>
      <c r="E200" s="3">
        <v>4</v>
      </c>
      <c r="F200" s="3" t="s">
        <v>2913</v>
      </c>
      <c r="G200" s="3" t="s">
        <v>2914</v>
      </c>
      <c r="H200" s="3" t="s">
        <v>17</v>
      </c>
      <c r="I200" s="3" t="s">
        <v>2919</v>
      </c>
      <c r="J200" t="s">
        <v>2920</v>
      </c>
      <c r="K200" s="147"/>
      <c r="L200" s="3">
        <v>1</v>
      </c>
      <c r="N200" s="148">
        <v>36702.720000000001</v>
      </c>
      <c r="Q200" s="148">
        <v>7340.55</v>
      </c>
      <c r="R200" s="148">
        <f>Table242[[#This Row],[Material Unit Price]]+Table242[[#This Row],[Labor Unit Price]]+Table242[[#This Row],[GC + Manage+ Insur]]</f>
        <v>44043.270000000004</v>
      </c>
      <c r="S200" s="148">
        <f>Table242[[#This Row],[Total Per Tool]]*Table242[[#This Row],[Tool QTY]]</f>
        <v>44043.270000000004</v>
      </c>
      <c r="U200" s="149"/>
      <c r="X20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44043.2664</v>
      </c>
      <c r="Y200" s="150">
        <f>Table242[[#This Row],[Total AR (Received)]]/Table242[[#This Row],[PO Amount]]</f>
        <v>0.99999991826219981</v>
      </c>
      <c r="Z200" s="151">
        <f>Table242[[#This Row],[PO Amount]]-Table242[[#This Row],[Total AR (Received)]]</f>
        <v>3.6000000036437996E-3</v>
      </c>
      <c r="AA200" s="152">
        <v>0.3</v>
      </c>
      <c r="AB200" s="152">
        <v>0.1</v>
      </c>
      <c r="AC200" s="152">
        <f>SUM(Table242[[#This Row],[Total M%]]*Table242[[#This Row],[Material Unit Price]],Table242[[#This Row],[Total L %]]*Table242[[#This Row],[Labor Unit Price]])/SUM(Table242[[#This Row],[Material Unit Price]:[Labor Unit Price]])</f>
        <v>0.1</v>
      </c>
      <c r="AD200" s="168">
        <v>4404.3264000000008</v>
      </c>
      <c r="AE200"/>
      <c r="AF200" s="148"/>
      <c r="BB200"/>
      <c r="BC200"/>
      <c r="BD200" s="154" t="s">
        <v>550</v>
      </c>
      <c r="BE200" s="2"/>
      <c r="BF200" s="13"/>
      <c r="BG200"/>
      <c r="BH200"/>
      <c r="BI200"/>
      <c r="BJ200" s="176">
        <v>39638.94</v>
      </c>
      <c r="BK200"/>
      <c r="BL200"/>
      <c r="BM200"/>
      <c r="BN200"/>
      <c r="BO200"/>
      <c r="BP200"/>
      <c r="BQ200"/>
      <c r="BR200" s="170">
        <f t="shared" si="3"/>
        <v>4404.3264000000008</v>
      </c>
      <c r="BU200" s="159">
        <f>Table242[[#This Row],[Total]]</f>
        <v>4404.3264000000008</v>
      </c>
    </row>
    <row r="201" spans="1:73" ht="14.45" hidden="1">
      <c r="B201" s="3" t="s">
        <v>39</v>
      </c>
      <c r="C201" s="3"/>
      <c r="D201" s="3">
        <v>4600000721</v>
      </c>
      <c r="E201" s="3">
        <v>3</v>
      </c>
      <c r="F201" s="3" t="s">
        <v>2913</v>
      </c>
      <c r="G201" s="3" t="s">
        <v>2914</v>
      </c>
      <c r="H201" s="3" t="s">
        <v>17</v>
      </c>
      <c r="I201" s="3" t="s">
        <v>2921</v>
      </c>
      <c r="J201" t="s">
        <v>2922</v>
      </c>
      <c r="K201" s="147"/>
      <c r="L201" s="3">
        <v>1</v>
      </c>
      <c r="N201" s="148">
        <v>36702.720000000001</v>
      </c>
      <c r="Q201" s="148">
        <v>7340.55</v>
      </c>
      <c r="R201" s="148">
        <f>Table242[[#This Row],[Material Unit Price]]+Table242[[#This Row],[Labor Unit Price]]+Table242[[#This Row],[GC + Manage+ Insur]]</f>
        <v>44043.270000000004</v>
      </c>
      <c r="S201" s="148">
        <f>Table242[[#This Row],[Total Per Tool]]*Table242[[#This Row],[Tool QTY]]</f>
        <v>44043.270000000004</v>
      </c>
      <c r="U201" s="149"/>
      <c r="X20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44043.2664</v>
      </c>
      <c r="Y201" s="150">
        <f>Table242[[#This Row],[Total AR (Received)]]/Table242[[#This Row],[PO Amount]]</f>
        <v>0.99999991826219981</v>
      </c>
      <c r="Z201" s="151">
        <f>Table242[[#This Row],[PO Amount]]-Table242[[#This Row],[Total AR (Received)]]</f>
        <v>3.6000000036437996E-3</v>
      </c>
      <c r="AA201" s="152">
        <v>0.3</v>
      </c>
      <c r="AB201" s="152">
        <v>0.1</v>
      </c>
      <c r="AC201" s="152">
        <f>SUM(Table242[[#This Row],[Total M%]]*Table242[[#This Row],[Material Unit Price]],Table242[[#This Row],[Total L %]]*Table242[[#This Row],[Labor Unit Price]])/SUM(Table242[[#This Row],[Material Unit Price]:[Labor Unit Price]])</f>
        <v>0.1</v>
      </c>
      <c r="AD201" s="168">
        <v>4404.3264000000008</v>
      </c>
      <c r="AE201"/>
      <c r="AF201" s="148"/>
      <c r="BB201"/>
      <c r="BC201"/>
      <c r="BD201" s="154" t="s">
        <v>550</v>
      </c>
      <c r="BE201" s="2"/>
      <c r="BF201" s="174">
        <v>39638.94</v>
      </c>
      <c r="BG201"/>
      <c r="BH201"/>
      <c r="BI201"/>
      <c r="BJ201"/>
      <c r="BK201"/>
      <c r="BL201"/>
      <c r="BM201"/>
      <c r="BN201"/>
      <c r="BO201"/>
      <c r="BP201"/>
      <c r="BQ201"/>
      <c r="BR201" s="170">
        <f t="shared" si="3"/>
        <v>44043.2664</v>
      </c>
      <c r="BU201" s="159">
        <f>Table242[[#This Row],[Total]]</f>
        <v>44043.2664</v>
      </c>
    </row>
    <row r="202" spans="1:73" ht="14.45" hidden="1">
      <c r="B202" s="3" t="s">
        <v>39</v>
      </c>
      <c r="C202" s="3"/>
      <c r="D202" s="3">
        <v>4600000757</v>
      </c>
      <c r="E202" s="3">
        <v>1</v>
      </c>
      <c r="F202" s="3" t="s">
        <v>2913</v>
      </c>
      <c r="G202" s="3" t="s">
        <v>2914</v>
      </c>
      <c r="H202" s="3" t="s">
        <v>17</v>
      </c>
      <c r="I202" s="3" t="s">
        <v>2923</v>
      </c>
      <c r="J202" t="s">
        <v>2924</v>
      </c>
      <c r="K202" s="147"/>
      <c r="L202" s="3">
        <v>1</v>
      </c>
      <c r="M202" s="148">
        <v>909.10999999999967</v>
      </c>
      <c r="N202" s="148">
        <v>4253.58</v>
      </c>
      <c r="Q202" s="148">
        <v>1032.538</v>
      </c>
      <c r="R202" s="148">
        <f>Table242[[#This Row],[Material Unit Price]]+Table242[[#This Row],[Labor Unit Price]]+Table242[[#This Row],[GC + Manage+ Insur]]</f>
        <v>6195.2279999999992</v>
      </c>
      <c r="S202" s="148">
        <f>Table242[[#This Row],[Total Per Tool]]*Table242[[#This Row],[Tool QTY]]</f>
        <v>6195.2279999999992</v>
      </c>
      <c r="U202" s="149"/>
      <c r="X20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6195.2292000000007</v>
      </c>
      <c r="Y202" s="150">
        <f>Table242[[#This Row],[Total AR (Received)]]/Table242[[#This Row],[PO Amount]]</f>
        <v>1.0000001936974718</v>
      </c>
      <c r="Z202" s="151">
        <f>Table242[[#This Row],[PO Amount]]-Table242[[#This Row],[Total AR (Received)]]</f>
        <v>-1.2000000015177648E-3</v>
      </c>
      <c r="AA202" s="152">
        <v>0.3</v>
      </c>
      <c r="AB202" s="152">
        <v>0.1</v>
      </c>
      <c r="AC202" s="152">
        <f>SUM(Table242[[#This Row],[Total M%]]*Table242[[#This Row],[Material Unit Price]],Table242[[#This Row],[Total L %]]*Table242[[#This Row],[Labor Unit Price]])/SUM(Table242[[#This Row],[Material Unit Price]:[Labor Unit Price]])</f>
        <v>0.1352184616934195</v>
      </c>
      <c r="AD202" s="168">
        <v>837.7091999999999</v>
      </c>
      <c r="AE202"/>
      <c r="AF202" s="148"/>
      <c r="BB202"/>
      <c r="BC202"/>
      <c r="BD202" s="154" t="s">
        <v>550</v>
      </c>
      <c r="BE202" s="2"/>
      <c r="BF202" s="13"/>
      <c r="BG202"/>
      <c r="BH202" s="360">
        <v>5357.52</v>
      </c>
      <c r="BI202"/>
      <c r="BJ202"/>
      <c r="BK202"/>
      <c r="BL202"/>
      <c r="BM202"/>
      <c r="BN202"/>
      <c r="BO202"/>
      <c r="BP202"/>
      <c r="BQ202"/>
      <c r="BR202" s="170">
        <f t="shared" si="3"/>
        <v>6195.2292000000007</v>
      </c>
      <c r="BU202" s="159">
        <f>Table242[[#This Row],[Total]]</f>
        <v>6195.2292000000007</v>
      </c>
    </row>
    <row r="203" spans="1:73" ht="14.45" hidden="1">
      <c r="B203" s="3" t="s">
        <v>39</v>
      </c>
      <c r="C203" s="3"/>
      <c r="D203" s="3">
        <v>4600000757</v>
      </c>
      <c r="E203" s="3">
        <v>2</v>
      </c>
      <c r="F203" s="3" t="s">
        <v>2913</v>
      </c>
      <c r="G203" s="3" t="s">
        <v>2914</v>
      </c>
      <c r="H203" s="3" t="s">
        <v>17</v>
      </c>
      <c r="I203" s="3" t="s">
        <v>2925</v>
      </c>
      <c r="J203" t="s">
        <v>2926</v>
      </c>
      <c r="K203" s="147"/>
      <c r="L203" s="3">
        <v>1</v>
      </c>
      <c r="M203" s="148">
        <v>909.10999999999967</v>
      </c>
      <c r="N203" s="148">
        <v>4253.58</v>
      </c>
      <c r="Q203" s="148">
        <v>1032.538</v>
      </c>
      <c r="R203" s="148">
        <f>Table242[[#This Row],[Material Unit Price]]+Table242[[#This Row],[Labor Unit Price]]+Table242[[#This Row],[GC + Manage+ Insur]]</f>
        <v>6195.2279999999992</v>
      </c>
      <c r="S203" s="148">
        <f>Table242[[#This Row],[Total Per Tool]]*Table242[[#This Row],[Tool QTY]]</f>
        <v>6195.2279999999992</v>
      </c>
      <c r="U203" s="149"/>
      <c r="X20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6195.2292000000007</v>
      </c>
      <c r="Y203" s="150">
        <f>Table242[[#This Row],[Total AR (Received)]]/Table242[[#This Row],[PO Amount]]</f>
        <v>1.0000001936974718</v>
      </c>
      <c r="Z203" s="151">
        <f>Table242[[#This Row],[PO Amount]]-Table242[[#This Row],[Total AR (Received)]]</f>
        <v>-1.2000000015177648E-3</v>
      </c>
      <c r="AA203" s="152">
        <v>0.3</v>
      </c>
      <c r="AB203" s="152">
        <v>0.1</v>
      </c>
      <c r="AC203" s="152">
        <f>SUM(Table242[[#This Row],[Total M%]]*Table242[[#This Row],[Material Unit Price]],Table242[[#This Row],[Total L %]]*Table242[[#This Row],[Labor Unit Price]])/SUM(Table242[[#This Row],[Material Unit Price]:[Labor Unit Price]])</f>
        <v>0.1352184616934195</v>
      </c>
      <c r="AD203" s="168">
        <v>837.7091999999999</v>
      </c>
      <c r="AE203"/>
      <c r="AF203" s="148"/>
      <c r="BB203"/>
      <c r="BC203"/>
      <c r="BD203" s="154" t="s">
        <v>550</v>
      </c>
      <c r="BE203" s="2"/>
      <c r="BF203" s="13"/>
      <c r="BG203"/>
      <c r="BH203" s="319">
        <v>5357.52</v>
      </c>
      <c r="BI203"/>
      <c r="BJ203"/>
      <c r="BK203"/>
      <c r="BL203"/>
      <c r="BM203"/>
      <c r="BN203"/>
      <c r="BO203"/>
      <c r="BP203"/>
      <c r="BQ203"/>
      <c r="BR203" s="170">
        <f t="shared" si="3"/>
        <v>6195.2292000000007</v>
      </c>
      <c r="BU203" s="159">
        <f>Table242[[#This Row],[Total]]</f>
        <v>6195.2292000000007</v>
      </c>
    </row>
    <row r="204" spans="1:73" ht="14.45" hidden="1">
      <c r="B204" s="3" t="s">
        <v>39</v>
      </c>
      <c r="C204" s="3"/>
      <c r="D204" s="3">
        <v>4600000757</v>
      </c>
      <c r="E204" s="3">
        <v>3</v>
      </c>
      <c r="F204" s="3" t="s">
        <v>2913</v>
      </c>
      <c r="G204" s="3" t="s">
        <v>2914</v>
      </c>
      <c r="H204" s="3" t="s">
        <v>17</v>
      </c>
      <c r="I204" s="3" t="s">
        <v>2927</v>
      </c>
      <c r="J204" t="s">
        <v>2928</v>
      </c>
      <c r="K204" s="147"/>
      <c r="L204" s="3">
        <v>1</v>
      </c>
      <c r="M204" s="148">
        <v>909.10999999999967</v>
      </c>
      <c r="N204" s="148">
        <v>4253.58</v>
      </c>
      <c r="Q204" s="148">
        <v>1032.538</v>
      </c>
      <c r="R204" s="148">
        <f>Table242[[#This Row],[Material Unit Price]]+Table242[[#This Row],[Labor Unit Price]]+Table242[[#This Row],[GC + Manage+ Insur]]</f>
        <v>6195.2279999999992</v>
      </c>
      <c r="S204" s="148">
        <f>Table242[[#This Row],[Total Per Tool]]*Table242[[#This Row],[Tool QTY]]</f>
        <v>6195.2279999999992</v>
      </c>
      <c r="U204" s="149"/>
      <c r="X20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6195.2292000000007</v>
      </c>
      <c r="Y204" s="150">
        <f>Table242[[#This Row],[Total AR (Received)]]/Table242[[#This Row],[PO Amount]]</f>
        <v>1.0000001936974718</v>
      </c>
      <c r="Z204" s="151">
        <f>Table242[[#This Row],[PO Amount]]-Table242[[#This Row],[Total AR (Received)]]</f>
        <v>-1.2000000015177648E-3</v>
      </c>
      <c r="AA204" s="152">
        <v>0.3</v>
      </c>
      <c r="AB204" s="152">
        <v>0.1</v>
      </c>
      <c r="AC204" s="152">
        <f>SUM(Table242[[#This Row],[Total M%]]*Table242[[#This Row],[Material Unit Price]],Table242[[#This Row],[Total L %]]*Table242[[#This Row],[Labor Unit Price]])/SUM(Table242[[#This Row],[Material Unit Price]:[Labor Unit Price]])</f>
        <v>0.1352184616934195</v>
      </c>
      <c r="AD204" s="168">
        <v>837.7091999999999</v>
      </c>
      <c r="AE204"/>
      <c r="AF204" s="148"/>
      <c r="BB204"/>
      <c r="BC204"/>
      <c r="BD204" s="154" t="s">
        <v>550</v>
      </c>
      <c r="BE204" s="2"/>
      <c r="BF204" s="13"/>
      <c r="BG204"/>
      <c r="BH204" s="169">
        <v>5357.52</v>
      </c>
      <c r="BI204"/>
      <c r="BJ204"/>
      <c r="BK204"/>
      <c r="BL204"/>
      <c r="BM204"/>
      <c r="BN204"/>
      <c r="BO204"/>
      <c r="BP204"/>
      <c r="BQ204"/>
      <c r="BR204" s="170">
        <f t="shared" si="3"/>
        <v>6195.2292000000007</v>
      </c>
      <c r="BU204" s="159">
        <f>Table242[[#This Row],[Total]]</f>
        <v>6195.2292000000007</v>
      </c>
    </row>
    <row r="205" spans="1:73" ht="14.45" hidden="1">
      <c r="B205" s="3" t="s">
        <v>39</v>
      </c>
      <c r="C205" s="3"/>
      <c r="D205" s="3">
        <v>4600000757</v>
      </c>
      <c r="E205" s="3">
        <v>4</v>
      </c>
      <c r="F205" s="3" t="s">
        <v>2913</v>
      </c>
      <c r="G205" s="3" t="s">
        <v>2914</v>
      </c>
      <c r="H205" s="3" t="s">
        <v>17</v>
      </c>
      <c r="I205" s="3" t="s">
        <v>2929</v>
      </c>
      <c r="J205" t="s">
        <v>2930</v>
      </c>
      <c r="K205" s="147"/>
      <c r="L205" s="3">
        <v>1</v>
      </c>
      <c r="M205" s="148">
        <v>909.10999999999967</v>
      </c>
      <c r="N205" s="148">
        <v>4253.58</v>
      </c>
      <c r="Q205" s="148">
        <v>1032.538</v>
      </c>
      <c r="R205" s="148">
        <f>Table242[[#This Row],[Material Unit Price]]+Table242[[#This Row],[Labor Unit Price]]+Table242[[#This Row],[GC + Manage+ Insur]]</f>
        <v>6195.2279999999992</v>
      </c>
      <c r="S205" s="148">
        <f>Table242[[#This Row],[Total Per Tool]]*Table242[[#This Row],[Tool QTY]]</f>
        <v>6195.2279999999992</v>
      </c>
      <c r="U205" s="149"/>
      <c r="X20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6195.2292000000007</v>
      </c>
      <c r="Y205" s="150">
        <f>Table242[[#This Row],[Total AR (Received)]]/Table242[[#This Row],[PO Amount]]</f>
        <v>1.0000001936974718</v>
      </c>
      <c r="Z205" s="151">
        <f>Table242[[#This Row],[PO Amount]]-Table242[[#This Row],[Total AR (Received)]]</f>
        <v>-1.2000000015177648E-3</v>
      </c>
      <c r="AA205" s="152">
        <v>0.3</v>
      </c>
      <c r="AB205" s="152">
        <v>0.1</v>
      </c>
      <c r="AC205" s="152">
        <f>SUM(Table242[[#This Row],[Total M%]]*Table242[[#This Row],[Material Unit Price]],Table242[[#This Row],[Total L %]]*Table242[[#This Row],[Labor Unit Price]])/SUM(Table242[[#This Row],[Material Unit Price]:[Labor Unit Price]])</f>
        <v>0.1352184616934195</v>
      </c>
      <c r="AD205" s="168">
        <v>837.7091999999999</v>
      </c>
      <c r="AE205"/>
      <c r="AF205" s="148"/>
      <c r="BB205"/>
      <c r="BC205"/>
      <c r="BD205" s="154" t="s">
        <v>550</v>
      </c>
      <c r="BE205" s="2"/>
      <c r="BF205" s="13"/>
      <c r="BG205"/>
      <c r="BH205" s="360">
        <v>5357.52</v>
      </c>
      <c r="BI205"/>
      <c r="BJ205"/>
      <c r="BK205"/>
      <c r="BL205"/>
      <c r="BM205"/>
      <c r="BN205"/>
      <c r="BO205"/>
      <c r="BP205"/>
      <c r="BQ205"/>
      <c r="BR205" s="170">
        <f t="shared" si="3"/>
        <v>6195.2292000000007</v>
      </c>
      <c r="BU205" s="159">
        <f>Table242[[#This Row],[Total]]</f>
        <v>6195.2292000000007</v>
      </c>
    </row>
    <row r="206" spans="1:73" ht="14.45" hidden="1">
      <c r="B206" s="3" t="s">
        <v>39</v>
      </c>
      <c r="C206" s="3"/>
      <c r="D206" s="3">
        <v>4600000757</v>
      </c>
      <c r="E206" s="3">
        <v>5</v>
      </c>
      <c r="F206" s="3" t="s">
        <v>2913</v>
      </c>
      <c r="G206" s="3" t="s">
        <v>2914</v>
      </c>
      <c r="H206" s="3" t="s">
        <v>17</v>
      </c>
      <c r="I206" s="3" t="s">
        <v>2931</v>
      </c>
      <c r="J206" t="s">
        <v>2932</v>
      </c>
      <c r="K206" s="147"/>
      <c r="L206" s="3">
        <v>1</v>
      </c>
      <c r="M206" s="148">
        <v>909.10999999999967</v>
      </c>
      <c r="N206" s="148">
        <v>4253.58</v>
      </c>
      <c r="Q206" s="148">
        <v>1032.538</v>
      </c>
      <c r="R206" s="148">
        <f>Table242[[#This Row],[Material Unit Price]]+Table242[[#This Row],[Labor Unit Price]]+Table242[[#This Row],[GC + Manage+ Insur]]</f>
        <v>6195.2279999999992</v>
      </c>
      <c r="S206" s="148">
        <f>Table242[[#This Row],[Total Per Tool]]*Table242[[#This Row],[Tool QTY]]</f>
        <v>6195.2279999999992</v>
      </c>
      <c r="U206" s="149"/>
      <c r="X20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6195.2292000000007</v>
      </c>
      <c r="Y206" s="150">
        <f>Table242[[#This Row],[Total AR (Received)]]/Table242[[#This Row],[PO Amount]]</f>
        <v>1.0000001936974718</v>
      </c>
      <c r="Z206" s="151">
        <f>Table242[[#This Row],[PO Amount]]-Table242[[#This Row],[Total AR (Received)]]</f>
        <v>-1.2000000015177648E-3</v>
      </c>
      <c r="AA206" s="152">
        <v>0.3</v>
      </c>
      <c r="AB206" s="152">
        <v>0.1</v>
      </c>
      <c r="AC206" s="152">
        <f>SUM(Table242[[#This Row],[Total M%]]*Table242[[#This Row],[Material Unit Price]],Table242[[#This Row],[Total L %]]*Table242[[#This Row],[Labor Unit Price]])/SUM(Table242[[#This Row],[Material Unit Price]:[Labor Unit Price]])</f>
        <v>0.1352184616934195</v>
      </c>
      <c r="AD206" s="168">
        <v>837.7091999999999</v>
      </c>
      <c r="AE206"/>
      <c r="AF206" s="148"/>
      <c r="BB206"/>
      <c r="BC206"/>
      <c r="BD206" s="154" t="s">
        <v>550</v>
      </c>
      <c r="BE206" s="2"/>
      <c r="BF206" s="13"/>
      <c r="BG206"/>
      <c r="BH206" s="360">
        <v>5357.52</v>
      </c>
      <c r="BI206"/>
      <c r="BJ206"/>
      <c r="BK206"/>
      <c r="BL206"/>
      <c r="BM206"/>
      <c r="BN206"/>
      <c r="BO206"/>
      <c r="BP206"/>
      <c r="BQ206"/>
      <c r="BR206" s="170">
        <f t="shared" si="3"/>
        <v>6195.2292000000007</v>
      </c>
      <c r="BU206" s="159">
        <f>Table242[[#This Row],[Total]]</f>
        <v>6195.2292000000007</v>
      </c>
    </row>
    <row r="207" spans="1:73" ht="14.45" hidden="1">
      <c r="B207" s="3" t="s">
        <v>39</v>
      </c>
      <c r="C207" s="3"/>
      <c r="D207" s="3">
        <v>4600000757</v>
      </c>
      <c r="E207" s="3">
        <v>6</v>
      </c>
      <c r="F207" s="3" t="s">
        <v>2913</v>
      </c>
      <c r="G207" s="3" t="s">
        <v>2914</v>
      </c>
      <c r="H207" s="3" t="s">
        <v>17</v>
      </c>
      <c r="I207" s="3" t="s">
        <v>2933</v>
      </c>
      <c r="J207" t="s">
        <v>2934</v>
      </c>
      <c r="K207" s="147"/>
      <c r="L207" s="3">
        <v>1</v>
      </c>
      <c r="M207" s="148">
        <v>909.10999999999967</v>
      </c>
      <c r="N207" s="148">
        <v>4253.58</v>
      </c>
      <c r="Q207" s="148">
        <v>1032.538</v>
      </c>
      <c r="R207" s="148">
        <f>Table242[[#This Row],[Material Unit Price]]+Table242[[#This Row],[Labor Unit Price]]+Table242[[#This Row],[GC + Manage+ Insur]]</f>
        <v>6195.2279999999992</v>
      </c>
      <c r="S207" s="148">
        <f>Table242[[#This Row],[Total Per Tool]]*Table242[[#This Row],[Tool QTY]]</f>
        <v>6195.2279999999992</v>
      </c>
      <c r="U207" s="149"/>
      <c r="X20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837.7091999999999</v>
      </c>
      <c r="Y207" s="150">
        <f>Table242[[#This Row],[Total AR (Received)]]/Table242[[#This Row],[PO Amount]]</f>
        <v>0.13521846169341953</v>
      </c>
      <c r="Z207" s="151">
        <f>Table242[[#This Row],[PO Amount]]-Table242[[#This Row],[Total AR (Received)]]</f>
        <v>5357.5187999999989</v>
      </c>
      <c r="AA207" s="152">
        <v>0.3</v>
      </c>
      <c r="AB207" s="152">
        <v>0.1</v>
      </c>
      <c r="AC207" s="152">
        <f>SUM(Table242[[#This Row],[Total M%]]*Table242[[#This Row],[Material Unit Price]],Table242[[#This Row],[Total L %]]*Table242[[#This Row],[Labor Unit Price]])/SUM(Table242[[#This Row],[Material Unit Price]:[Labor Unit Price]])</f>
        <v>0.1352184616934195</v>
      </c>
      <c r="AD207" s="168">
        <v>837.7091999999999</v>
      </c>
      <c r="AE207"/>
      <c r="AF207" s="148"/>
      <c r="BB207"/>
      <c r="BC207"/>
      <c r="BD207" s="154" t="s">
        <v>550</v>
      </c>
      <c r="BE207" s="2"/>
      <c r="BF207" s="13"/>
      <c r="BG207"/>
      <c r="BH207"/>
      <c r="BI207"/>
      <c r="BJ207"/>
      <c r="BK207"/>
      <c r="BL207"/>
      <c r="BM207"/>
      <c r="BN207"/>
      <c r="BO207"/>
      <c r="BP207"/>
      <c r="BQ207"/>
      <c r="BR207" s="170">
        <f t="shared" si="3"/>
        <v>837.7091999999999</v>
      </c>
      <c r="BU207" s="159">
        <f>Table242[[#This Row],[Total]]</f>
        <v>837.7091999999999</v>
      </c>
    </row>
    <row r="208" spans="1:73" ht="14.45" hidden="1">
      <c r="B208" s="3" t="s">
        <v>39</v>
      </c>
      <c r="C208" s="3"/>
      <c r="D208" s="3">
        <v>4600000810</v>
      </c>
      <c r="E208" s="3">
        <v>15</v>
      </c>
      <c r="F208" s="3" t="s">
        <v>2913</v>
      </c>
      <c r="G208" s="3" t="s">
        <v>2914</v>
      </c>
      <c r="H208" s="3" t="s">
        <v>17</v>
      </c>
      <c r="I208" s="3" t="s">
        <v>2935</v>
      </c>
      <c r="J208" t="s">
        <v>2936</v>
      </c>
      <c r="K208" s="147"/>
      <c r="L208" s="3">
        <v>1</v>
      </c>
      <c r="M208" s="148">
        <v>2638.5730359712243</v>
      </c>
      <c r="N208" s="148">
        <v>7623.1800000000021</v>
      </c>
      <c r="Q208" s="148">
        <v>2052.3506071942452</v>
      </c>
      <c r="R208" s="148">
        <f>Table242[[#This Row],[Material Unit Price]]+Table242[[#This Row],[Labor Unit Price]]+Table242[[#This Row],[GC + Manage+ Insur]]</f>
        <v>12314.10364316547</v>
      </c>
      <c r="S208" s="148">
        <f>Table242[[#This Row],[Total Per Tool]]*Table242[[#This Row],[Tool QTY]]</f>
        <v>12314.10364316547</v>
      </c>
      <c r="U208" s="149"/>
      <c r="X20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12314.097892949641</v>
      </c>
      <c r="Y208" s="150">
        <f>Table242[[#This Row],[Total AR (Received)]]/Table242[[#This Row],[PO Amount]]</f>
        <v>0.99999953303821409</v>
      </c>
      <c r="Z208" s="151">
        <f>Table242[[#This Row],[PO Amount]]-Table242[[#This Row],[Total AR (Received)]]</f>
        <v>5.7502158288116334E-3</v>
      </c>
      <c r="AA208" s="152">
        <v>0.3</v>
      </c>
      <c r="AB208" s="152">
        <v>0.1</v>
      </c>
      <c r="AC208" s="152">
        <f>SUM(Table242[[#This Row],[Total M%]]*Table242[[#This Row],[Material Unit Price]],Table242[[#This Row],[Total L %]]*Table242[[#This Row],[Labor Unit Price]])/SUM(Table242[[#This Row],[Material Unit Price]:[Labor Unit Price]])</f>
        <v>0.15142538563775709</v>
      </c>
      <c r="AD208" s="168">
        <v>1864.6678929496411</v>
      </c>
      <c r="AE208"/>
      <c r="AF208" s="148"/>
      <c r="BB208"/>
      <c r="BC208"/>
      <c r="BD208" s="154" t="s">
        <v>550</v>
      </c>
      <c r="BE208" s="2"/>
      <c r="BF208" s="13"/>
      <c r="BG208"/>
      <c r="BH208" s="319">
        <v>10449.43</v>
      </c>
      <c r="BI208"/>
      <c r="BJ208"/>
      <c r="BK208"/>
      <c r="BL208"/>
      <c r="BM208"/>
      <c r="BN208"/>
      <c r="BO208"/>
      <c r="BP208"/>
      <c r="BQ208"/>
      <c r="BR208" s="170">
        <f t="shared" si="3"/>
        <v>12314.097892949641</v>
      </c>
      <c r="BU208" s="159">
        <f>Table242[[#This Row],[Total]]</f>
        <v>12314.097892949641</v>
      </c>
    </row>
    <row r="209" spans="2:73" ht="14.45" hidden="1">
      <c r="B209" s="3" t="s">
        <v>39</v>
      </c>
      <c r="C209" s="3"/>
      <c r="D209" s="3">
        <v>4600000810</v>
      </c>
      <c r="E209" s="3">
        <v>7</v>
      </c>
      <c r="F209" s="3" t="s">
        <v>2913</v>
      </c>
      <c r="G209" s="3" t="s">
        <v>2914</v>
      </c>
      <c r="H209" s="3" t="s">
        <v>17</v>
      </c>
      <c r="I209" s="3" t="s">
        <v>2937</v>
      </c>
      <c r="J209" t="s">
        <v>2938</v>
      </c>
      <c r="K209" s="147"/>
      <c r="L209" s="3">
        <v>1</v>
      </c>
      <c r="N209" s="148">
        <v>9588.7800000000007</v>
      </c>
      <c r="Q209" s="148">
        <v>1917.7560000000003</v>
      </c>
      <c r="R209" s="148">
        <f>Table242[[#This Row],[Material Unit Price]]+Table242[[#This Row],[Labor Unit Price]]+Table242[[#This Row],[GC + Manage+ Insur]]</f>
        <v>11506.536</v>
      </c>
      <c r="S209" s="148">
        <f>Table242[[#This Row],[Total Per Tool]]*Table242[[#This Row],[Tool QTY]]</f>
        <v>11506.536</v>
      </c>
      <c r="U209" s="149"/>
      <c r="X20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11506.543599999999</v>
      </c>
      <c r="Y209" s="150">
        <f>Table242[[#This Row],[Total AR (Received)]]/Table242[[#This Row],[PO Amount]]</f>
        <v>1.0000006604941747</v>
      </c>
      <c r="Z209" s="151">
        <f>Table242[[#This Row],[PO Amount]]-Table242[[#This Row],[Total AR (Received)]]</f>
        <v>-7.5999999990017386E-3</v>
      </c>
      <c r="AA209" s="152">
        <v>0.3</v>
      </c>
      <c r="AB209" s="152">
        <v>0.1</v>
      </c>
      <c r="AC209" s="152">
        <f>SUM(Table242[[#This Row],[Total M%]]*Table242[[#This Row],[Material Unit Price]],Table242[[#This Row],[Total L %]]*Table242[[#This Row],[Labor Unit Price]])/SUM(Table242[[#This Row],[Material Unit Price]:[Labor Unit Price]])</f>
        <v>0.1</v>
      </c>
      <c r="AD209" s="168">
        <v>1150.6536000000001</v>
      </c>
      <c r="AE209"/>
      <c r="AF209" s="148"/>
      <c r="BB209"/>
      <c r="BC209"/>
      <c r="BD209" s="154" t="s">
        <v>550</v>
      </c>
      <c r="BE209" s="2"/>
      <c r="BF209" s="13"/>
      <c r="BG209"/>
      <c r="BH209" s="319">
        <v>10355.89</v>
      </c>
      <c r="BI209"/>
      <c r="BJ209"/>
      <c r="BK209"/>
      <c r="BL209"/>
      <c r="BM209"/>
      <c r="BN209"/>
      <c r="BO209"/>
      <c r="BP209"/>
      <c r="BQ209"/>
      <c r="BR209" s="170">
        <f t="shared" si="3"/>
        <v>11506.543599999999</v>
      </c>
      <c r="BU209" s="159">
        <f>Table242[[#This Row],[Total]]</f>
        <v>11506.543599999999</v>
      </c>
    </row>
    <row r="210" spans="2:73" ht="14.45" hidden="1">
      <c r="B210" s="3" t="s">
        <v>39</v>
      </c>
      <c r="C210" s="3"/>
      <c r="D210" s="3">
        <v>4600000810</v>
      </c>
      <c r="E210" s="3">
        <v>2</v>
      </c>
      <c r="F210" s="3" t="s">
        <v>2913</v>
      </c>
      <c r="G210" s="3" t="s">
        <v>2914</v>
      </c>
      <c r="H210" s="3" t="s">
        <v>17</v>
      </c>
      <c r="I210" s="3" t="s">
        <v>2939</v>
      </c>
      <c r="J210" t="s">
        <v>2940</v>
      </c>
      <c r="K210" s="147"/>
      <c r="L210" s="3">
        <v>1</v>
      </c>
      <c r="N210" s="148">
        <v>9588.7800000000007</v>
      </c>
      <c r="Q210" s="148">
        <v>1917.7560000000003</v>
      </c>
      <c r="R210" s="148">
        <f>Table242[[#This Row],[Material Unit Price]]+Table242[[#This Row],[Labor Unit Price]]+Table242[[#This Row],[GC + Manage+ Insur]]</f>
        <v>11506.536</v>
      </c>
      <c r="S210" s="148">
        <f>Table242[[#This Row],[Total Per Tool]]*Table242[[#This Row],[Tool QTY]]</f>
        <v>11506.536</v>
      </c>
      <c r="U210" s="149"/>
      <c r="X21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11506.543599999999</v>
      </c>
      <c r="Y210" s="150">
        <f>Table242[[#This Row],[Total AR (Received)]]/Table242[[#This Row],[PO Amount]]</f>
        <v>1.0000006604941747</v>
      </c>
      <c r="Z210" s="151">
        <f>Table242[[#This Row],[PO Amount]]-Table242[[#This Row],[Total AR (Received)]]</f>
        <v>-7.5999999990017386E-3</v>
      </c>
      <c r="AA210" s="152">
        <v>0.3</v>
      </c>
      <c r="AB210" s="152">
        <v>0.1</v>
      </c>
      <c r="AC210" s="152">
        <f>SUM(Table242[[#This Row],[Total M%]]*Table242[[#This Row],[Material Unit Price]],Table242[[#This Row],[Total L %]]*Table242[[#This Row],[Labor Unit Price]])/SUM(Table242[[#This Row],[Material Unit Price]:[Labor Unit Price]])</f>
        <v>0.1</v>
      </c>
      <c r="AD210" s="168">
        <v>1150.6536000000001</v>
      </c>
      <c r="AE210"/>
      <c r="AF210" s="148"/>
      <c r="BB210"/>
      <c r="BC210"/>
      <c r="BD210" s="154" t="s">
        <v>550</v>
      </c>
      <c r="BE210" s="2"/>
      <c r="BF210" s="174">
        <v>10355.89</v>
      </c>
      <c r="BG210"/>
      <c r="BH210"/>
      <c r="BI210"/>
      <c r="BJ210"/>
      <c r="BK210"/>
      <c r="BL210"/>
      <c r="BM210"/>
      <c r="BN210"/>
      <c r="BO210"/>
      <c r="BP210"/>
      <c r="BQ210"/>
      <c r="BR210" s="170">
        <f t="shared" si="3"/>
        <v>11506.543599999999</v>
      </c>
      <c r="BU210" s="159">
        <f>Table242[[#This Row],[Total]]</f>
        <v>11506.543599999999</v>
      </c>
    </row>
    <row r="211" spans="2:73" ht="14.45" hidden="1">
      <c r="B211" s="3" t="s">
        <v>39</v>
      </c>
      <c r="C211" s="3"/>
      <c r="D211" s="3">
        <v>4600000810</v>
      </c>
      <c r="E211" s="3">
        <v>1</v>
      </c>
      <c r="F211" s="3" t="s">
        <v>2913</v>
      </c>
      <c r="G211" s="3" t="s">
        <v>2914</v>
      </c>
      <c r="H211" s="3" t="s">
        <v>17</v>
      </c>
      <c r="I211" s="3" t="s">
        <v>2941</v>
      </c>
      <c r="J211" t="s">
        <v>2942</v>
      </c>
      <c r="K211" s="147"/>
      <c r="L211" s="3">
        <v>1</v>
      </c>
      <c r="N211" s="148">
        <v>9588.7800000000007</v>
      </c>
      <c r="Q211" s="148">
        <v>1917.7560000000003</v>
      </c>
      <c r="R211" s="148">
        <f>Table242[[#This Row],[Material Unit Price]]+Table242[[#This Row],[Labor Unit Price]]+Table242[[#This Row],[GC + Manage+ Insur]]</f>
        <v>11506.536</v>
      </c>
      <c r="S211" s="148">
        <f>Table242[[#This Row],[Total Per Tool]]*Table242[[#This Row],[Tool QTY]]</f>
        <v>11506.536</v>
      </c>
      <c r="U211" s="149"/>
      <c r="X21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11506.543599999999</v>
      </c>
      <c r="Y211" s="150">
        <f>Table242[[#This Row],[Total AR (Received)]]/Table242[[#This Row],[PO Amount]]</f>
        <v>1.0000006604941747</v>
      </c>
      <c r="Z211" s="151">
        <f>Table242[[#This Row],[PO Amount]]-Table242[[#This Row],[Total AR (Received)]]</f>
        <v>-7.5999999990017386E-3</v>
      </c>
      <c r="AA211" s="152">
        <v>0.3</v>
      </c>
      <c r="AB211" s="152">
        <v>0.1</v>
      </c>
      <c r="AC211" s="152">
        <f>SUM(Table242[[#This Row],[Total M%]]*Table242[[#This Row],[Material Unit Price]],Table242[[#This Row],[Total L %]]*Table242[[#This Row],[Labor Unit Price]])/SUM(Table242[[#This Row],[Material Unit Price]:[Labor Unit Price]])</f>
        <v>0.1</v>
      </c>
      <c r="AD211" s="168">
        <v>1150.6536000000001</v>
      </c>
      <c r="AE211"/>
      <c r="AF211" s="148"/>
      <c r="BB211"/>
      <c r="BC211"/>
      <c r="BD211" s="154" t="s">
        <v>550</v>
      </c>
      <c r="BE211" s="2"/>
      <c r="BF211" s="13"/>
      <c r="BG211"/>
      <c r="BH211" s="169">
        <v>10355.89</v>
      </c>
      <c r="BI211"/>
      <c r="BJ211"/>
      <c r="BK211"/>
      <c r="BL211"/>
      <c r="BM211"/>
      <c r="BN211"/>
      <c r="BO211"/>
      <c r="BP211"/>
      <c r="BQ211"/>
      <c r="BR211" s="170">
        <f t="shared" si="3"/>
        <v>11506.543599999999</v>
      </c>
      <c r="BU211" s="159">
        <f>Table242[[#This Row],[Total]]</f>
        <v>11506.543599999999</v>
      </c>
    </row>
    <row r="212" spans="2:73" ht="14.45" hidden="1">
      <c r="B212" s="3" t="s">
        <v>39</v>
      </c>
      <c r="C212" s="3"/>
      <c r="D212" s="3">
        <v>4600000810</v>
      </c>
      <c r="E212" s="3">
        <v>16</v>
      </c>
      <c r="F212" s="3" t="s">
        <v>2913</v>
      </c>
      <c r="G212" s="3" t="s">
        <v>2914</v>
      </c>
      <c r="H212" s="3" t="s">
        <v>17</v>
      </c>
      <c r="I212" s="3" t="s">
        <v>2943</v>
      </c>
      <c r="J212" t="s">
        <v>2944</v>
      </c>
      <c r="K212" s="147"/>
      <c r="L212" s="3">
        <v>1</v>
      </c>
      <c r="M212" s="148">
        <v>2638.5730359712243</v>
      </c>
      <c r="N212" s="148">
        <v>7623.1800000000021</v>
      </c>
      <c r="Q212" s="148">
        <v>2052.3506071942452</v>
      </c>
      <c r="R212" s="148">
        <f>Table242[[#This Row],[Material Unit Price]]+Table242[[#This Row],[Labor Unit Price]]+Table242[[#This Row],[GC + Manage+ Insur]]</f>
        <v>12314.10364316547</v>
      </c>
      <c r="S212" s="148">
        <f>Table242[[#This Row],[Total Per Tool]]*Table242[[#This Row],[Tool QTY]]</f>
        <v>12314.10364316547</v>
      </c>
      <c r="U212" s="149"/>
      <c r="X21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12314.097892949641</v>
      </c>
      <c r="Y212" s="150">
        <f>Table242[[#This Row],[Total AR (Received)]]/Table242[[#This Row],[PO Amount]]</f>
        <v>0.99999953303821409</v>
      </c>
      <c r="Z212" s="151">
        <f>Table242[[#This Row],[PO Amount]]-Table242[[#This Row],[Total AR (Received)]]</f>
        <v>5.7502158288116334E-3</v>
      </c>
      <c r="AA212" s="152">
        <v>0.3</v>
      </c>
      <c r="AB212" s="152">
        <v>0.1</v>
      </c>
      <c r="AC212" s="152">
        <f>SUM(Table242[[#This Row],[Total M%]]*Table242[[#This Row],[Material Unit Price]],Table242[[#This Row],[Total L %]]*Table242[[#This Row],[Labor Unit Price]])/SUM(Table242[[#This Row],[Material Unit Price]:[Labor Unit Price]])</f>
        <v>0.15142538563775709</v>
      </c>
      <c r="AD212" s="168">
        <v>1864.6678929496411</v>
      </c>
      <c r="AE212"/>
      <c r="AF212" s="148"/>
      <c r="BB212"/>
      <c r="BC212"/>
      <c r="BD212" s="154" t="s">
        <v>550</v>
      </c>
      <c r="BE212" s="2"/>
      <c r="BF212" s="13"/>
      <c r="BG212"/>
      <c r="BH212" s="319">
        <v>10449.43</v>
      </c>
      <c r="BI212"/>
      <c r="BJ212"/>
      <c r="BK212"/>
      <c r="BL212"/>
      <c r="BM212"/>
      <c r="BN212"/>
      <c r="BO212"/>
      <c r="BP212"/>
      <c r="BQ212"/>
      <c r="BR212" s="170">
        <f t="shared" si="3"/>
        <v>12314.097892949641</v>
      </c>
      <c r="BU212" s="159">
        <f>Table242[[#This Row],[Total]]</f>
        <v>12314.097892949641</v>
      </c>
    </row>
    <row r="213" spans="2:73" ht="14.45" hidden="1">
      <c r="B213" s="3" t="s">
        <v>39</v>
      </c>
      <c r="C213" s="3"/>
      <c r="D213" s="3">
        <v>4600000810</v>
      </c>
      <c r="E213" s="3">
        <v>5</v>
      </c>
      <c r="F213" s="3" t="s">
        <v>2913</v>
      </c>
      <c r="G213" s="3" t="s">
        <v>2914</v>
      </c>
      <c r="H213" s="3" t="s">
        <v>17</v>
      </c>
      <c r="I213" s="3" t="s">
        <v>2945</v>
      </c>
      <c r="J213" t="s">
        <v>2946</v>
      </c>
      <c r="K213" s="147"/>
      <c r="L213" s="3">
        <v>1</v>
      </c>
      <c r="N213" s="148">
        <v>9588.7800000000007</v>
      </c>
      <c r="Q213" s="148">
        <v>1917.7560000000003</v>
      </c>
      <c r="R213" s="148">
        <f>Table242[[#This Row],[Material Unit Price]]+Table242[[#This Row],[Labor Unit Price]]+Table242[[#This Row],[GC + Manage+ Insur]]</f>
        <v>11506.536</v>
      </c>
      <c r="S213" s="148">
        <f>Table242[[#This Row],[Total Per Tool]]*Table242[[#This Row],[Tool QTY]]</f>
        <v>11506.536</v>
      </c>
      <c r="U213" s="149"/>
      <c r="X21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11506.543599999999</v>
      </c>
      <c r="Y213" s="150">
        <f>Table242[[#This Row],[Total AR (Received)]]/Table242[[#This Row],[PO Amount]]</f>
        <v>1.0000006604941747</v>
      </c>
      <c r="Z213" s="151">
        <f>Table242[[#This Row],[PO Amount]]-Table242[[#This Row],[Total AR (Received)]]</f>
        <v>-7.5999999990017386E-3</v>
      </c>
      <c r="AA213" s="152">
        <v>0.3</v>
      </c>
      <c r="AB213" s="152">
        <v>0.1</v>
      </c>
      <c r="AC213" s="152">
        <f>SUM(Table242[[#This Row],[Total M%]]*Table242[[#This Row],[Material Unit Price]],Table242[[#This Row],[Total L %]]*Table242[[#This Row],[Labor Unit Price]])/SUM(Table242[[#This Row],[Material Unit Price]:[Labor Unit Price]])</f>
        <v>0.1</v>
      </c>
      <c r="AD213" s="168">
        <v>1150.6536000000001</v>
      </c>
      <c r="AE213"/>
      <c r="AF213" s="148"/>
      <c r="BB213"/>
      <c r="BC213"/>
      <c r="BD213" s="154" t="s">
        <v>550</v>
      </c>
      <c r="BE213" s="2"/>
      <c r="BF213" s="13"/>
      <c r="BG213"/>
      <c r="BH213" s="360">
        <v>10355.89</v>
      </c>
      <c r="BI213"/>
      <c r="BJ213"/>
      <c r="BK213"/>
      <c r="BL213"/>
      <c r="BM213"/>
      <c r="BN213"/>
      <c r="BO213"/>
      <c r="BP213"/>
      <c r="BQ213"/>
      <c r="BR213" s="170">
        <f t="shared" si="3"/>
        <v>11506.543599999999</v>
      </c>
      <c r="BU213" s="159">
        <f>Table242[[#This Row],[Total]]</f>
        <v>11506.543599999999</v>
      </c>
    </row>
    <row r="214" spans="2:73" ht="14.45" hidden="1">
      <c r="B214" s="3" t="s">
        <v>39</v>
      </c>
      <c r="C214" s="3"/>
      <c r="D214" s="3">
        <v>4600000810</v>
      </c>
      <c r="E214" s="3">
        <v>3</v>
      </c>
      <c r="F214" s="3" t="s">
        <v>2913</v>
      </c>
      <c r="G214" s="3" t="s">
        <v>2914</v>
      </c>
      <c r="H214" s="3" t="s">
        <v>17</v>
      </c>
      <c r="I214" s="3" t="s">
        <v>2947</v>
      </c>
      <c r="J214" t="s">
        <v>2948</v>
      </c>
      <c r="K214" s="147"/>
      <c r="L214" s="3">
        <v>1</v>
      </c>
      <c r="N214" s="148">
        <v>9588.7800000000007</v>
      </c>
      <c r="Q214" s="148">
        <v>1917.7560000000003</v>
      </c>
      <c r="R214" s="148">
        <f>Table242[[#This Row],[Material Unit Price]]+Table242[[#This Row],[Labor Unit Price]]+Table242[[#This Row],[GC + Manage+ Insur]]</f>
        <v>11506.536</v>
      </c>
      <c r="S214" s="148">
        <f>Table242[[#This Row],[Total Per Tool]]*Table242[[#This Row],[Tool QTY]]</f>
        <v>11506.536</v>
      </c>
      <c r="U214" s="149"/>
      <c r="X21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11506.543599999999</v>
      </c>
      <c r="Y214" s="150">
        <f>Table242[[#This Row],[Total AR (Received)]]/Table242[[#This Row],[PO Amount]]</f>
        <v>1.0000006604941747</v>
      </c>
      <c r="Z214" s="151">
        <f>Table242[[#This Row],[PO Amount]]-Table242[[#This Row],[Total AR (Received)]]</f>
        <v>-7.5999999990017386E-3</v>
      </c>
      <c r="AA214" s="152">
        <v>0.3</v>
      </c>
      <c r="AB214" s="152">
        <v>0.1</v>
      </c>
      <c r="AC214" s="152">
        <f>SUM(Table242[[#This Row],[Total M%]]*Table242[[#This Row],[Material Unit Price]],Table242[[#This Row],[Total L %]]*Table242[[#This Row],[Labor Unit Price]])/SUM(Table242[[#This Row],[Material Unit Price]:[Labor Unit Price]])</f>
        <v>0.1</v>
      </c>
      <c r="AD214" s="168">
        <v>1150.6536000000001</v>
      </c>
      <c r="AE214"/>
      <c r="AF214" s="148"/>
      <c r="BB214"/>
      <c r="BC214"/>
      <c r="BD214" s="154" t="s">
        <v>550</v>
      </c>
      <c r="BE214" s="2"/>
      <c r="BF214" s="13"/>
      <c r="BG214"/>
      <c r="BH214" s="319">
        <v>10355.89</v>
      </c>
      <c r="BI214"/>
      <c r="BJ214"/>
      <c r="BK214"/>
      <c r="BL214"/>
      <c r="BM214"/>
      <c r="BN214"/>
      <c r="BO214"/>
      <c r="BP214"/>
      <c r="BQ214"/>
      <c r="BR214" s="170">
        <f t="shared" si="3"/>
        <v>11506.543599999999</v>
      </c>
      <c r="BU214" s="159">
        <f>Table242[[#This Row],[Total]]</f>
        <v>11506.543599999999</v>
      </c>
    </row>
    <row r="215" spans="2:73" ht="14.45" hidden="1">
      <c r="B215" s="3" t="s">
        <v>39</v>
      </c>
      <c r="C215" s="3"/>
      <c r="D215" s="3">
        <v>4600000810</v>
      </c>
      <c r="E215" s="3">
        <v>4</v>
      </c>
      <c r="F215" s="3" t="s">
        <v>2913</v>
      </c>
      <c r="G215" s="3" t="s">
        <v>2914</v>
      </c>
      <c r="H215" s="3" t="s">
        <v>17</v>
      </c>
      <c r="I215" s="3" t="s">
        <v>2949</v>
      </c>
      <c r="J215" t="s">
        <v>2950</v>
      </c>
      <c r="K215" s="147"/>
      <c r="L215" s="3">
        <v>1</v>
      </c>
      <c r="N215" s="148">
        <v>9588.7800000000007</v>
      </c>
      <c r="Q215" s="148">
        <v>1917.7560000000003</v>
      </c>
      <c r="R215" s="148">
        <f>Table242[[#This Row],[Material Unit Price]]+Table242[[#This Row],[Labor Unit Price]]+Table242[[#This Row],[GC + Manage+ Insur]]</f>
        <v>11506.536</v>
      </c>
      <c r="S215" s="148">
        <f>Table242[[#This Row],[Total Per Tool]]*Table242[[#This Row],[Tool QTY]]</f>
        <v>11506.536</v>
      </c>
      <c r="U215" s="149"/>
      <c r="X21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11506.543599999999</v>
      </c>
      <c r="Y215" s="150">
        <f>Table242[[#This Row],[Total AR (Received)]]/Table242[[#This Row],[PO Amount]]</f>
        <v>1.0000006604941747</v>
      </c>
      <c r="Z215" s="151">
        <f>Table242[[#This Row],[PO Amount]]-Table242[[#This Row],[Total AR (Received)]]</f>
        <v>-7.5999999990017386E-3</v>
      </c>
      <c r="AA215" s="152">
        <v>0.3</v>
      </c>
      <c r="AB215" s="152">
        <v>0.1</v>
      </c>
      <c r="AC215" s="152">
        <f>SUM(Table242[[#This Row],[Total M%]]*Table242[[#This Row],[Material Unit Price]],Table242[[#This Row],[Total L %]]*Table242[[#This Row],[Labor Unit Price]])/SUM(Table242[[#This Row],[Material Unit Price]:[Labor Unit Price]])</f>
        <v>0.1</v>
      </c>
      <c r="AD215" s="168">
        <v>1150.6536000000001</v>
      </c>
      <c r="AE215"/>
      <c r="AF215" s="148"/>
      <c r="BB215"/>
      <c r="BC215"/>
      <c r="BD215" s="154" t="s">
        <v>550</v>
      </c>
      <c r="BE215" s="2"/>
      <c r="BF215" s="13"/>
      <c r="BG215"/>
      <c r="BH215" s="169">
        <v>10355.89</v>
      </c>
      <c r="BI215"/>
      <c r="BJ215"/>
      <c r="BK215"/>
      <c r="BL215"/>
      <c r="BM215"/>
      <c r="BN215"/>
      <c r="BO215"/>
      <c r="BP215"/>
      <c r="BQ215"/>
      <c r="BR215" s="170">
        <f t="shared" si="3"/>
        <v>11506.543599999999</v>
      </c>
      <c r="BU215" s="159">
        <f>Table242[[#This Row],[Total]]</f>
        <v>11506.543599999999</v>
      </c>
    </row>
    <row r="216" spans="2:73" ht="14.45" hidden="1">
      <c r="B216" s="3" t="s">
        <v>39</v>
      </c>
      <c r="C216" s="3"/>
      <c r="D216" s="3">
        <v>4600000810</v>
      </c>
      <c r="E216" s="3">
        <v>6</v>
      </c>
      <c r="F216" s="3" t="s">
        <v>2913</v>
      </c>
      <c r="G216" s="3" t="s">
        <v>2914</v>
      </c>
      <c r="H216" s="3" t="s">
        <v>17</v>
      </c>
      <c r="I216" s="3" t="s">
        <v>2951</v>
      </c>
      <c r="J216" t="s">
        <v>2952</v>
      </c>
      <c r="K216" s="147"/>
      <c r="L216" s="3">
        <v>1</v>
      </c>
      <c r="N216" s="148">
        <v>9588.7800000000007</v>
      </c>
      <c r="Q216" s="148">
        <v>1917.7560000000003</v>
      </c>
      <c r="R216" s="148">
        <f>Table242[[#This Row],[Material Unit Price]]+Table242[[#This Row],[Labor Unit Price]]+Table242[[#This Row],[GC + Manage+ Insur]]</f>
        <v>11506.536</v>
      </c>
      <c r="S216" s="148">
        <f>Table242[[#This Row],[Total Per Tool]]*Table242[[#This Row],[Tool QTY]]</f>
        <v>11506.536</v>
      </c>
      <c r="U216" s="149"/>
      <c r="X21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11506.543599999999</v>
      </c>
      <c r="Y216" s="150">
        <f>Table242[[#This Row],[Total AR (Received)]]/Table242[[#This Row],[PO Amount]]</f>
        <v>1.0000006604941747</v>
      </c>
      <c r="Z216" s="151">
        <f>Table242[[#This Row],[PO Amount]]-Table242[[#This Row],[Total AR (Received)]]</f>
        <v>-7.5999999990017386E-3</v>
      </c>
      <c r="AA216" s="152">
        <v>0.3</v>
      </c>
      <c r="AB216" s="152">
        <v>0.1</v>
      </c>
      <c r="AC216" s="152">
        <f>SUM(Table242[[#This Row],[Total M%]]*Table242[[#This Row],[Material Unit Price]],Table242[[#This Row],[Total L %]]*Table242[[#This Row],[Labor Unit Price]])/SUM(Table242[[#This Row],[Material Unit Price]:[Labor Unit Price]])</f>
        <v>0.1</v>
      </c>
      <c r="AD216" s="168">
        <v>1150.6536000000001</v>
      </c>
      <c r="AE216"/>
      <c r="AF216" s="148"/>
      <c r="BB216"/>
      <c r="BC216"/>
      <c r="BD216" s="154" t="s">
        <v>550</v>
      </c>
      <c r="BE216" s="2"/>
      <c r="BF216" s="13"/>
      <c r="BG216"/>
      <c r="BH216" s="360">
        <v>10355.89</v>
      </c>
      <c r="BI216"/>
      <c r="BJ216"/>
      <c r="BK216"/>
      <c r="BL216"/>
      <c r="BM216"/>
      <c r="BN216"/>
      <c r="BO216"/>
      <c r="BP216"/>
      <c r="BQ216"/>
      <c r="BR216" s="170">
        <f t="shared" si="3"/>
        <v>11506.543599999999</v>
      </c>
      <c r="BU216" s="159">
        <f>Table242[[#This Row],[Total]]</f>
        <v>11506.543599999999</v>
      </c>
    </row>
    <row r="217" spans="2:73" ht="14.45" hidden="1">
      <c r="B217" s="3" t="s">
        <v>39</v>
      </c>
      <c r="C217" s="3"/>
      <c r="D217" s="3">
        <v>4600000810</v>
      </c>
      <c r="E217" s="3">
        <v>18</v>
      </c>
      <c r="F217" s="3" t="s">
        <v>2913</v>
      </c>
      <c r="G217" s="3" t="s">
        <v>2914</v>
      </c>
      <c r="H217" s="3" t="s">
        <v>17</v>
      </c>
      <c r="I217" s="3" t="s">
        <v>2953</v>
      </c>
      <c r="J217" t="s">
        <v>2954</v>
      </c>
      <c r="K217" s="147"/>
      <c r="L217" s="3">
        <v>1</v>
      </c>
      <c r="M217" s="148">
        <v>2638.5730359712243</v>
      </c>
      <c r="N217" s="148">
        <v>7623.1800000000021</v>
      </c>
      <c r="Q217" s="148">
        <v>2052.3506071942452</v>
      </c>
      <c r="R217" s="148">
        <f>Table242[[#This Row],[Material Unit Price]]+Table242[[#This Row],[Labor Unit Price]]+Table242[[#This Row],[GC + Manage+ Insur]]</f>
        <v>12314.10364316547</v>
      </c>
      <c r="S217" s="148">
        <f>Table242[[#This Row],[Total Per Tool]]*Table242[[#This Row],[Tool QTY]]</f>
        <v>12314.10364316547</v>
      </c>
      <c r="U217" s="149"/>
      <c r="X21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1864.6678929496411</v>
      </c>
      <c r="Y217" s="150">
        <f>Table242[[#This Row],[Total AR (Received)]]/Table242[[#This Row],[PO Amount]]</f>
        <v>0.15142538563775712</v>
      </c>
      <c r="Z217" s="151">
        <f>Table242[[#This Row],[PO Amount]]-Table242[[#This Row],[Total AR (Received)]]</f>
        <v>10449.435750215829</v>
      </c>
      <c r="AA217" s="152">
        <v>0.3</v>
      </c>
      <c r="AB217" s="152">
        <v>0.1</v>
      </c>
      <c r="AC217" s="152">
        <f>SUM(Table242[[#This Row],[Total M%]]*Table242[[#This Row],[Material Unit Price]],Table242[[#This Row],[Total L %]]*Table242[[#This Row],[Labor Unit Price]])/SUM(Table242[[#This Row],[Material Unit Price]:[Labor Unit Price]])</f>
        <v>0.15142538563775709</v>
      </c>
      <c r="AD217" s="168">
        <v>1864.6678929496411</v>
      </c>
      <c r="AE217"/>
      <c r="AF217" s="148"/>
      <c r="BB217"/>
      <c r="BC217"/>
      <c r="BD217" s="154" t="s">
        <v>550</v>
      </c>
      <c r="BE217" s="2"/>
      <c r="BF217" s="13"/>
      <c r="BG217"/>
      <c r="BH217"/>
      <c r="BI217"/>
      <c r="BJ217"/>
      <c r="BK217"/>
      <c r="BL217"/>
      <c r="BM217"/>
      <c r="BN217"/>
      <c r="BO217"/>
      <c r="BP217"/>
      <c r="BQ217"/>
      <c r="BR217" s="170">
        <f t="shared" si="3"/>
        <v>1864.6678929496411</v>
      </c>
      <c r="BU217" s="159">
        <f>Table242[[#This Row],[Total]]</f>
        <v>1864.6678929496411</v>
      </c>
    </row>
    <row r="218" spans="2:73" ht="14.45" hidden="1">
      <c r="B218" s="3" t="s">
        <v>39</v>
      </c>
      <c r="C218" s="3"/>
      <c r="D218" s="3">
        <v>4600000810</v>
      </c>
      <c r="E218" s="3">
        <v>19</v>
      </c>
      <c r="F218" s="3" t="s">
        <v>2913</v>
      </c>
      <c r="G218" s="3" t="s">
        <v>2914</v>
      </c>
      <c r="H218" s="3" t="s">
        <v>17</v>
      </c>
      <c r="I218" s="3" t="s">
        <v>2955</v>
      </c>
      <c r="J218" t="s">
        <v>2956</v>
      </c>
      <c r="K218" s="147"/>
      <c r="L218" s="3">
        <v>1</v>
      </c>
      <c r="M218" s="148">
        <v>2638.5730359712243</v>
      </c>
      <c r="N218" s="148">
        <v>7623.1800000000021</v>
      </c>
      <c r="Q218" s="148">
        <v>2052.3506071942452</v>
      </c>
      <c r="R218" s="148">
        <f>Table242[[#This Row],[Material Unit Price]]+Table242[[#This Row],[Labor Unit Price]]+Table242[[#This Row],[GC + Manage+ Insur]]</f>
        <v>12314.10364316547</v>
      </c>
      <c r="S218" s="148">
        <f>Table242[[#This Row],[Total Per Tool]]*Table242[[#This Row],[Tool QTY]]</f>
        <v>12314.10364316547</v>
      </c>
      <c r="U218" s="149"/>
      <c r="X21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12314.097892949641</v>
      </c>
      <c r="Y218" s="150">
        <f>Table242[[#This Row],[Total AR (Received)]]/Table242[[#This Row],[PO Amount]]</f>
        <v>0.99999953303821409</v>
      </c>
      <c r="Z218" s="151">
        <f>Table242[[#This Row],[PO Amount]]-Table242[[#This Row],[Total AR (Received)]]</f>
        <v>5.7502158288116334E-3</v>
      </c>
      <c r="AA218" s="152">
        <v>0.3</v>
      </c>
      <c r="AB218" s="152">
        <v>0.1</v>
      </c>
      <c r="AC218" s="152">
        <f>SUM(Table242[[#This Row],[Total M%]]*Table242[[#This Row],[Material Unit Price]],Table242[[#This Row],[Total L %]]*Table242[[#This Row],[Labor Unit Price]])/SUM(Table242[[#This Row],[Material Unit Price]:[Labor Unit Price]])</f>
        <v>0.15142538563775709</v>
      </c>
      <c r="AD218" s="168">
        <v>1864.6678929496411</v>
      </c>
      <c r="AE218"/>
      <c r="AF218" s="148"/>
      <c r="BB218"/>
      <c r="BC218"/>
      <c r="BD218" s="154" t="s">
        <v>550</v>
      </c>
      <c r="BE218" s="2"/>
      <c r="BF218" s="13"/>
      <c r="BG218"/>
      <c r="BH218" s="360">
        <v>10449.43</v>
      </c>
      <c r="BI218"/>
      <c r="BJ218"/>
      <c r="BK218"/>
      <c r="BL218"/>
      <c r="BM218"/>
      <c r="BN218"/>
      <c r="BO218"/>
      <c r="BP218"/>
      <c r="BQ218"/>
      <c r="BR218" s="170">
        <f t="shared" si="3"/>
        <v>12314.097892949641</v>
      </c>
      <c r="BU218" s="159">
        <f>Table242[[#This Row],[Total]]</f>
        <v>12314.097892949641</v>
      </c>
    </row>
    <row r="219" spans="2:73" ht="14.45" hidden="1">
      <c r="B219" s="3" t="s">
        <v>39</v>
      </c>
      <c r="C219" s="3"/>
      <c r="D219" s="3">
        <v>4600000810</v>
      </c>
      <c r="E219" s="3">
        <v>8</v>
      </c>
      <c r="F219" s="3" t="s">
        <v>2913</v>
      </c>
      <c r="G219" s="3" t="s">
        <v>2914</v>
      </c>
      <c r="H219" s="3" t="s">
        <v>17</v>
      </c>
      <c r="I219" s="3" t="s">
        <v>2957</v>
      </c>
      <c r="J219" t="s">
        <v>2958</v>
      </c>
      <c r="K219" s="147"/>
      <c r="L219" s="3">
        <v>1</v>
      </c>
      <c r="N219" s="148">
        <v>9588.7800000000007</v>
      </c>
      <c r="Q219" s="148">
        <v>1917.7560000000003</v>
      </c>
      <c r="R219" s="148">
        <f>Table242[[#This Row],[Material Unit Price]]+Table242[[#This Row],[Labor Unit Price]]+Table242[[#This Row],[GC + Manage+ Insur]]</f>
        <v>11506.536</v>
      </c>
      <c r="S219" s="148">
        <f>Table242[[#This Row],[Total Per Tool]]*Table242[[#This Row],[Tool QTY]]</f>
        <v>11506.536</v>
      </c>
      <c r="U219" s="149"/>
      <c r="X21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11506.543599999999</v>
      </c>
      <c r="Y219" s="150">
        <f>Table242[[#This Row],[Total AR (Received)]]/Table242[[#This Row],[PO Amount]]</f>
        <v>1.0000006604941747</v>
      </c>
      <c r="Z219" s="151">
        <f>Table242[[#This Row],[PO Amount]]-Table242[[#This Row],[Total AR (Received)]]</f>
        <v>-7.5999999990017386E-3</v>
      </c>
      <c r="AA219" s="152">
        <v>0.3</v>
      </c>
      <c r="AB219" s="152">
        <v>0.1</v>
      </c>
      <c r="AC219" s="152">
        <f>SUM(Table242[[#This Row],[Total M%]]*Table242[[#This Row],[Material Unit Price]],Table242[[#This Row],[Total L %]]*Table242[[#This Row],[Labor Unit Price]])/SUM(Table242[[#This Row],[Material Unit Price]:[Labor Unit Price]])</f>
        <v>0.1</v>
      </c>
      <c r="AD219" s="168">
        <v>1150.6536000000001</v>
      </c>
      <c r="AE219"/>
      <c r="AF219" s="148"/>
      <c r="BB219"/>
      <c r="BC219"/>
      <c r="BD219" s="154" t="s">
        <v>550</v>
      </c>
      <c r="BE219" s="2"/>
      <c r="BF219" s="13"/>
      <c r="BG219"/>
      <c r="BH219" s="360">
        <v>10355.89</v>
      </c>
      <c r="BI219"/>
      <c r="BJ219"/>
      <c r="BK219"/>
      <c r="BL219"/>
      <c r="BM219"/>
      <c r="BN219"/>
      <c r="BO219"/>
      <c r="BP219"/>
      <c r="BQ219"/>
      <c r="BR219" s="170">
        <f t="shared" si="3"/>
        <v>11506.543599999999</v>
      </c>
      <c r="BU219" s="159">
        <f>Table242[[#This Row],[Total]]</f>
        <v>11506.543599999999</v>
      </c>
    </row>
    <row r="220" spans="2:73" ht="14.45" hidden="1">
      <c r="B220" s="3" t="s">
        <v>39</v>
      </c>
      <c r="C220" s="3"/>
      <c r="D220" s="3">
        <v>4600000810</v>
      </c>
      <c r="E220" s="3">
        <v>9</v>
      </c>
      <c r="F220" s="3" t="s">
        <v>2913</v>
      </c>
      <c r="G220" s="3" t="s">
        <v>2914</v>
      </c>
      <c r="H220" s="3" t="s">
        <v>17</v>
      </c>
      <c r="I220" s="3" t="s">
        <v>2959</v>
      </c>
      <c r="J220" t="s">
        <v>2960</v>
      </c>
      <c r="K220" s="147"/>
      <c r="L220" s="3">
        <v>1</v>
      </c>
      <c r="N220" s="148">
        <v>9588.7800000000007</v>
      </c>
      <c r="Q220" s="148">
        <v>1917.7560000000003</v>
      </c>
      <c r="R220" s="148">
        <f>Table242[[#This Row],[Material Unit Price]]+Table242[[#This Row],[Labor Unit Price]]+Table242[[#This Row],[GC + Manage+ Insur]]</f>
        <v>11506.536</v>
      </c>
      <c r="S220" s="148">
        <f>Table242[[#This Row],[Total Per Tool]]*Table242[[#This Row],[Tool QTY]]</f>
        <v>11506.536</v>
      </c>
      <c r="U220" s="149"/>
      <c r="X22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11506.543599999999</v>
      </c>
      <c r="Y220" s="150">
        <f>Table242[[#This Row],[Total AR (Received)]]/Table242[[#This Row],[PO Amount]]</f>
        <v>1.0000006604941747</v>
      </c>
      <c r="Z220" s="151">
        <f>Table242[[#This Row],[PO Amount]]-Table242[[#This Row],[Total AR (Received)]]</f>
        <v>-7.5999999990017386E-3</v>
      </c>
      <c r="AA220" s="152">
        <v>0.3</v>
      </c>
      <c r="AB220" s="152">
        <v>0.1</v>
      </c>
      <c r="AC220" s="152">
        <f>SUM(Table242[[#This Row],[Total M%]]*Table242[[#This Row],[Material Unit Price]],Table242[[#This Row],[Total L %]]*Table242[[#This Row],[Labor Unit Price]])/SUM(Table242[[#This Row],[Material Unit Price]:[Labor Unit Price]])</f>
        <v>0.1</v>
      </c>
      <c r="AD220" s="168">
        <v>1150.6536000000001</v>
      </c>
      <c r="AE220"/>
      <c r="AF220" s="148"/>
      <c r="BB220"/>
      <c r="BC220"/>
      <c r="BD220" s="154" t="s">
        <v>550</v>
      </c>
      <c r="BE220" s="2"/>
      <c r="BF220" s="13"/>
      <c r="BG220"/>
      <c r="BH220" s="360">
        <v>10355.89</v>
      </c>
      <c r="BI220"/>
      <c r="BJ220"/>
      <c r="BK220"/>
      <c r="BL220"/>
      <c r="BM220"/>
      <c r="BN220"/>
      <c r="BO220"/>
      <c r="BP220"/>
      <c r="BQ220"/>
      <c r="BR220" s="170">
        <f t="shared" si="3"/>
        <v>11506.543599999999</v>
      </c>
      <c r="BU220" s="159">
        <f>Table242[[#This Row],[Total]]</f>
        <v>11506.543599999999</v>
      </c>
    </row>
    <row r="221" spans="2:73" ht="14.45" hidden="1">
      <c r="B221" s="3" t="s">
        <v>39</v>
      </c>
      <c r="C221" s="3"/>
      <c r="D221" s="3">
        <v>4600000810</v>
      </c>
      <c r="E221" s="3">
        <v>17</v>
      </c>
      <c r="F221" s="3" t="s">
        <v>2913</v>
      </c>
      <c r="G221" s="3" t="s">
        <v>2914</v>
      </c>
      <c r="H221" s="3" t="s">
        <v>17</v>
      </c>
      <c r="I221" s="3" t="s">
        <v>2961</v>
      </c>
      <c r="J221" t="s">
        <v>2962</v>
      </c>
      <c r="K221" s="147"/>
      <c r="L221" s="3">
        <v>1</v>
      </c>
      <c r="M221" s="148">
        <v>2638.5730359712243</v>
      </c>
      <c r="N221" s="148">
        <v>7623.1800000000021</v>
      </c>
      <c r="Q221" s="148">
        <v>2052.3506071942452</v>
      </c>
      <c r="R221" s="148">
        <f>Table242[[#This Row],[Material Unit Price]]+Table242[[#This Row],[Labor Unit Price]]+Table242[[#This Row],[GC + Manage+ Insur]]</f>
        <v>12314.10364316547</v>
      </c>
      <c r="S221" s="148">
        <f>Table242[[#This Row],[Total Per Tool]]*Table242[[#This Row],[Tool QTY]]</f>
        <v>12314.10364316547</v>
      </c>
      <c r="U221" s="149"/>
      <c r="X22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12314.097892949641</v>
      </c>
      <c r="Y221" s="150">
        <f>Table242[[#This Row],[Total AR (Received)]]/Table242[[#This Row],[PO Amount]]</f>
        <v>0.99999953303821409</v>
      </c>
      <c r="Z221" s="151">
        <f>Table242[[#This Row],[PO Amount]]-Table242[[#This Row],[Total AR (Received)]]</f>
        <v>5.7502158288116334E-3</v>
      </c>
      <c r="AA221" s="152">
        <v>0.3</v>
      </c>
      <c r="AB221" s="152">
        <v>0.1</v>
      </c>
      <c r="AC221" s="152">
        <f>SUM(Table242[[#This Row],[Total M%]]*Table242[[#This Row],[Material Unit Price]],Table242[[#This Row],[Total L %]]*Table242[[#This Row],[Labor Unit Price]])/SUM(Table242[[#This Row],[Material Unit Price]:[Labor Unit Price]])</f>
        <v>0.15142538563775709</v>
      </c>
      <c r="AD221" s="168">
        <v>1864.6678929496411</v>
      </c>
      <c r="AE221"/>
      <c r="AF221" s="148"/>
      <c r="BB221"/>
      <c r="BC221"/>
      <c r="BD221" s="154" t="s">
        <v>550</v>
      </c>
      <c r="BE221" s="2"/>
      <c r="BF221" s="13"/>
      <c r="BG221"/>
      <c r="BH221" s="360">
        <v>10449.43</v>
      </c>
      <c r="BI221"/>
      <c r="BJ221"/>
      <c r="BK221"/>
      <c r="BL221"/>
      <c r="BM221"/>
      <c r="BN221"/>
      <c r="BO221"/>
      <c r="BP221"/>
      <c r="BQ221"/>
      <c r="BR221" s="170">
        <f t="shared" si="3"/>
        <v>12314.097892949641</v>
      </c>
      <c r="BU221" s="159">
        <f>Table242[[#This Row],[Total]]</f>
        <v>12314.097892949641</v>
      </c>
    </row>
    <row r="222" spans="2:73" ht="14.45" hidden="1">
      <c r="B222" s="3" t="s">
        <v>39</v>
      </c>
      <c r="C222" s="3"/>
      <c r="D222" s="3">
        <v>4600000810</v>
      </c>
      <c r="E222" s="3">
        <v>14</v>
      </c>
      <c r="F222" s="3" t="s">
        <v>2913</v>
      </c>
      <c r="G222" s="3" t="s">
        <v>2914</v>
      </c>
      <c r="H222" s="3" t="s">
        <v>17</v>
      </c>
      <c r="I222" s="3" t="s">
        <v>2963</v>
      </c>
      <c r="J222" t="s">
        <v>2964</v>
      </c>
      <c r="K222" s="147"/>
      <c r="L222" s="3">
        <v>1</v>
      </c>
      <c r="M222" s="148">
        <v>2638.5730359712243</v>
      </c>
      <c r="N222" s="148">
        <v>7623.1800000000021</v>
      </c>
      <c r="Q222" s="148">
        <v>2052.3506071942452</v>
      </c>
      <c r="R222" s="148">
        <f>Table242[[#This Row],[Material Unit Price]]+Table242[[#This Row],[Labor Unit Price]]+Table242[[#This Row],[GC + Manage+ Insur]]</f>
        <v>12314.10364316547</v>
      </c>
      <c r="S222" s="148">
        <f>Table242[[#This Row],[Total Per Tool]]*Table242[[#This Row],[Tool QTY]]</f>
        <v>12314.10364316547</v>
      </c>
      <c r="U222" s="149"/>
      <c r="X22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12314.097892949641</v>
      </c>
      <c r="Y222" s="150">
        <f>Table242[[#This Row],[Total AR (Received)]]/Table242[[#This Row],[PO Amount]]</f>
        <v>0.99999953303821409</v>
      </c>
      <c r="Z222" s="151">
        <f>Table242[[#This Row],[PO Amount]]-Table242[[#This Row],[Total AR (Received)]]</f>
        <v>5.7502158288116334E-3</v>
      </c>
      <c r="AA222" s="152">
        <v>0.3</v>
      </c>
      <c r="AB222" s="152">
        <v>0.1</v>
      </c>
      <c r="AC222" s="152">
        <f>SUM(Table242[[#This Row],[Total M%]]*Table242[[#This Row],[Material Unit Price]],Table242[[#This Row],[Total L %]]*Table242[[#This Row],[Labor Unit Price]])/SUM(Table242[[#This Row],[Material Unit Price]:[Labor Unit Price]])</f>
        <v>0.15142538563775709</v>
      </c>
      <c r="AD222" s="168">
        <v>1864.6678929496411</v>
      </c>
      <c r="AE222"/>
      <c r="AF222" s="148"/>
      <c r="BB222"/>
      <c r="BC222"/>
      <c r="BD222" s="154" t="s">
        <v>550</v>
      </c>
      <c r="BE222" s="2"/>
      <c r="BF222" s="174">
        <v>10449.43</v>
      </c>
      <c r="BG222"/>
      <c r="BH222"/>
      <c r="BI222"/>
      <c r="BJ222"/>
      <c r="BK222"/>
      <c r="BL222"/>
      <c r="BM222"/>
      <c r="BN222"/>
      <c r="BO222"/>
      <c r="BP222"/>
      <c r="BQ222"/>
      <c r="BR222" s="170">
        <f t="shared" si="3"/>
        <v>12314.097892949641</v>
      </c>
      <c r="BU222" s="159">
        <f>Table242[[#This Row],[Total]]</f>
        <v>12314.097892949641</v>
      </c>
    </row>
    <row r="223" spans="2:73" ht="14.45" hidden="1">
      <c r="B223" s="3" t="s">
        <v>39</v>
      </c>
      <c r="C223" s="3"/>
      <c r="D223" s="3">
        <v>4600000810</v>
      </c>
      <c r="E223" s="3">
        <v>21</v>
      </c>
      <c r="F223" s="3" t="s">
        <v>2913</v>
      </c>
      <c r="G223" s="3" t="s">
        <v>2914</v>
      </c>
      <c r="H223" s="3" t="s">
        <v>17</v>
      </c>
      <c r="I223" s="3" t="s">
        <v>2965</v>
      </c>
      <c r="J223" t="s">
        <v>2966</v>
      </c>
      <c r="K223" s="147"/>
      <c r="L223" s="3">
        <v>1</v>
      </c>
      <c r="M223" s="148">
        <v>2638.5730359712243</v>
      </c>
      <c r="N223" s="148">
        <v>7623.1800000000021</v>
      </c>
      <c r="Q223" s="148">
        <v>2052.3506071942452</v>
      </c>
      <c r="R223" s="148">
        <f>Table242[[#This Row],[Material Unit Price]]+Table242[[#This Row],[Labor Unit Price]]+Table242[[#This Row],[GC + Manage+ Insur]]</f>
        <v>12314.10364316547</v>
      </c>
      <c r="S223" s="148">
        <f>Table242[[#This Row],[Total Per Tool]]*Table242[[#This Row],[Tool QTY]]</f>
        <v>12314.10364316547</v>
      </c>
      <c r="U223" s="149"/>
      <c r="X22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1864.6678929496411</v>
      </c>
      <c r="Y223" s="150">
        <f>Table242[[#This Row],[Total AR (Received)]]/Table242[[#This Row],[PO Amount]]</f>
        <v>0.15142538563775712</v>
      </c>
      <c r="Z223" s="151">
        <f>Table242[[#This Row],[PO Amount]]-Table242[[#This Row],[Total AR (Received)]]</f>
        <v>10449.435750215829</v>
      </c>
      <c r="AA223" s="152">
        <v>0.3</v>
      </c>
      <c r="AB223" s="152">
        <v>0.1</v>
      </c>
      <c r="AC223" s="152">
        <f>SUM(Table242[[#This Row],[Total M%]]*Table242[[#This Row],[Material Unit Price]],Table242[[#This Row],[Total L %]]*Table242[[#This Row],[Labor Unit Price]])/SUM(Table242[[#This Row],[Material Unit Price]:[Labor Unit Price]])</f>
        <v>0.15142538563775709</v>
      </c>
      <c r="AD223" s="168">
        <v>1864.6678929496411</v>
      </c>
      <c r="AE223"/>
      <c r="AF223" s="148"/>
      <c r="BB223"/>
      <c r="BC223"/>
      <c r="BD223" s="154" t="s">
        <v>550</v>
      </c>
      <c r="BE223" s="2"/>
      <c r="BF223" s="13"/>
      <c r="BG223"/>
      <c r="BH223"/>
      <c r="BI223"/>
      <c r="BJ223"/>
      <c r="BK223"/>
      <c r="BL223"/>
      <c r="BM223"/>
      <c r="BN223"/>
      <c r="BO223"/>
      <c r="BP223"/>
      <c r="BQ223"/>
      <c r="BR223" s="170">
        <f t="shared" si="3"/>
        <v>1864.6678929496411</v>
      </c>
      <c r="BU223" s="159">
        <f>Table242[[#This Row],[Total]]</f>
        <v>1864.6678929496411</v>
      </c>
    </row>
    <row r="224" spans="2:73" ht="14.45" hidden="1">
      <c r="B224" s="3" t="s">
        <v>39</v>
      </c>
      <c r="C224" s="3"/>
      <c r="D224" s="3">
        <v>4600000810</v>
      </c>
      <c r="E224" s="3">
        <v>12</v>
      </c>
      <c r="F224" s="3" t="s">
        <v>2913</v>
      </c>
      <c r="G224" s="3" t="s">
        <v>2914</v>
      </c>
      <c r="H224" s="3" t="s">
        <v>17</v>
      </c>
      <c r="I224" s="3" t="s">
        <v>2967</v>
      </c>
      <c r="J224" t="s">
        <v>2968</v>
      </c>
      <c r="K224" s="147"/>
      <c r="L224" s="3">
        <v>1</v>
      </c>
      <c r="N224" s="148">
        <v>9588.7800000000007</v>
      </c>
      <c r="Q224" s="148">
        <v>1917.7560000000003</v>
      </c>
      <c r="R224" s="148">
        <f>Table242[[#This Row],[Material Unit Price]]+Table242[[#This Row],[Labor Unit Price]]+Table242[[#This Row],[GC + Manage+ Insur]]</f>
        <v>11506.536</v>
      </c>
      <c r="S224" s="148">
        <f>Table242[[#This Row],[Total Per Tool]]*Table242[[#This Row],[Tool QTY]]</f>
        <v>11506.536</v>
      </c>
      <c r="U224" s="149"/>
      <c r="X22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1150.6536000000001</v>
      </c>
      <c r="Y224" s="150">
        <f>Table242[[#This Row],[Total AR (Received)]]/Table242[[#This Row],[PO Amount]]</f>
        <v>0.1</v>
      </c>
      <c r="Z224" s="151">
        <f>Table242[[#This Row],[PO Amount]]-Table242[[#This Row],[Total AR (Received)]]</f>
        <v>10355.8824</v>
      </c>
      <c r="AA224" s="152">
        <v>0.3</v>
      </c>
      <c r="AB224" s="152">
        <v>0.1</v>
      </c>
      <c r="AC224" s="152">
        <f>SUM(Table242[[#This Row],[Total M%]]*Table242[[#This Row],[Material Unit Price]],Table242[[#This Row],[Total L %]]*Table242[[#This Row],[Labor Unit Price]])/SUM(Table242[[#This Row],[Material Unit Price]:[Labor Unit Price]])</f>
        <v>0.1</v>
      </c>
      <c r="AD224" s="168">
        <v>1150.6536000000001</v>
      </c>
      <c r="AE224"/>
      <c r="AF224" s="148"/>
      <c r="BB224"/>
      <c r="BC224"/>
      <c r="BD224" s="154" t="s">
        <v>550</v>
      </c>
      <c r="BE224" s="2"/>
      <c r="BF224" s="13"/>
      <c r="BG224"/>
      <c r="BH224"/>
      <c r="BI224"/>
      <c r="BJ224"/>
      <c r="BK224"/>
      <c r="BL224"/>
      <c r="BM224"/>
      <c r="BN224"/>
      <c r="BO224"/>
      <c r="BP224"/>
      <c r="BQ224"/>
      <c r="BR224" s="170">
        <f t="shared" si="3"/>
        <v>1150.6536000000001</v>
      </c>
      <c r="BU224" s="159">
        <f>Table242[[#This Row],[Total]]</f>
        <v>1150.6536000000001</v>
      </c>
    </row>
    <row r="225" spans="1:73" ht="14.45" hidden="1">
      <c r="B225" s="3" t="s">
        <v>39</v>
      </c>
      <c r="C225" s="3"/>
      <c r="D225" s="3">
        <v>4600000810</v>
      </c>
      <c r="E225" s="3">
        <v>20</v>
      </c>
      <c r="F225" s="3" t="s">
        <v>2913</v>
      </c>
      <c r="G225" s="3" t="s">
        <v>2914</v>
      </c>
      <c r="H225" s="3" t="s">
        <v>17</v>
      </c>
      <c r="I225" s="3" t="s">
        <v>2969</v>
      </c>
      <c r="J225" t="s">
        <v>2970</v>
      </c>
      <c r="K225" s="147"/>
      <c r="L225" s="3">
        <v>1</v>
      </c>
      <c r="M225" s="148">
        <v>2638.5730359712243</v>
      </c>
      <c r="N225" s="148">
        <v>7623.1800000000021</v>
      </c>
      <c r="Q225" s="148">
        <v>2052.3506071942452</v>
      </c>
      <c r="R225" s="148">
        <f>Table242[[#This Row],[Material Unit Price]]+Table242[[#This Row],[Labor Unit Price]]+Table242[[#This Row],[GC + Manage+ Insur]]</f>
        <v>12314.10364316547</v>
      </c>
      <c r="S225" s="148">
        <f>Table242[[#This Row],[Total Per Tool]]*Table242[[#This Row],[Tool QTY]]</f>
        <v>12314.10364316547</v>
      </c>
      <c r="U225" s="149"/>
      <c r="X22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1864.6678929496411</v>
      </c>
      <c r="Y225" s="150">
        <f>Table242[[#This Row],[Total AR (Received)]]/Table242[[#This Row],[PO Amount]]</f>
        <v>0.15142538563775712</v>
      </c>
      <c r="Z225" s="151">
        <f>Table242[[#This Row],[PO Amount]]-Table242[[#This Row],[Total AR (Received)]]</f>
        <v>10449.435750215829</v>
      </c>
      <c r="AA225" s="152">
        <v>0.3</v>
      </c>
      <c r="AB225" s="152">
        <v>0.1</v>
      </c>
      <c r="AC225" s="152">
        <f>SUM(Table242[[#This Row],[Total M%]]*Table242[[#This Row],[Material Unit Price]],Table242[[#This Row],[Total L %]]*Table242[[#This Row],[Labor Unit Price]])/SUM(Table242[[#This Row],[Material Unit Price]:[Labor Unit Price]])</f>
        <v>0.15142538563775709</v>
      </c>
      <c r="AD225" s="168">
        <v>1864.6678929496411</v>
      </c>
      <c r="AE225"/>
      <c r="AF225" s="148"/>
      <c r="BB225"/>
      <c r="BC225"/>
      <c r="BD225" s="154" t="s">
        <v>550</v>
      </c>
      <c r="BE225" s="2"/>
      <c r="BF225" s="13"/>
      <c r="BG225"/>
      <c r="BH225"/>
      <c r="BI225"/>
      <c r="BJ225"/>
      <c r="BK225"/>
      <c r="BL225"/>
      <c r="BM225"/>
      <c r="BN225"/>
      <c r="BO225"/>
      <c r="BP225"/>
      <c r="BQ225"/>
      <c r="BR225" s="170">
        <f t="shared" si="3"/>
        <v>1864.6678929496411</v>
      </c>
      <c r="BU225" s="159">
        <f>Table242[[#This Row],[Total]]</f>
        <v>1864.6678929496411</v>
      </c>
    </row>
    <row r="226" spans="1:73" ht="14.45" hidden="1">
      <c r="B226" s="3" t="s">
        <v>39</v>
      </c>
      <c r="C226" s="3"/>
      <c r="D226" s="3">
        <v>4600000810</v>
      </c>
      <c r="E226" s="3">
        <v>10</v>
      </c>
      <c r="F226" s="3" t="s">
        <v>2913</v>
      </c>
      <c r="G226" s="3" t="s">
        <v>2914</v>
      </c>
      <c r="H226" s="3" t="s">
        <v>17</v>
      </c>
      <c r="I226" s="3" t="s">
        <v>2971</v>
      </c>
      <c r="J226" t="s">
        <v>2972</v>
      </c>
      <c r="K226" s="147"/>
      <c r="L226" s="3">
        <v>1</v>
      </c>
      <c r="N226" s="148">
        <v>9588.7800000000007</v>
      </c>
      <c r="Q226" s="148">
        <v>1917.7560000000003</v>
      </c>
      <c r="R226" s="148">
        <f>Table242[[#This Row],[Material Unit Price]]+Table242[[#This Row],[Labor Unit Price]]+Table242[[#This Row],[GC + Manage+ Insur]]</f>
        <v>11506.536</v>
      </c>
      <c r="S226" s="148">
        <f>Table242[[#This Row],[Total Per Tool]]*Table242[[#This Row],[Tool QTY]]</f>
        <v>11506.536</v>
      </c>
      <c r="U226" s="149"/>
      <c r="X22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1150.6536000000001</v>
      </c>
      <c r="Y226" s="150">
        <f>Table242[[#This Row],[Total AR (Received)]]/Table242[[#This Row],[PO Amount]]</f>
        <v>0.1</v>
      </c>
      <c r="Z226" s="151">
        <f>Table242[[#This Row],[PO Amount]]-Table242[[#This Row],[Total AR (Received)]]</f>
        <v>10355.8824</v>
      </c>
      <c r="AA226" s="152">
        <v>0.3</v>
      </c>
      <c r="AB226" s="152">
        <v>0.1</v>
      </c>
      <c r="AC226" s="152">
        <f>SUM(Table242[[#This Row],[Total M%]]*Table242[[#This Row],[Material Unit Price]],Table242[[#This Row],[Total L %]]*Table242[[#This Row],[Labor Unit Price]])/SUM(Table242[[#This Row],[Material Unit Price]:[Labor Unit Price]])</f>
        <v>0.1</v>
      </c>
      <c r="AD226" s="168">
        <v>1150.6536000000001</v>
      </c>
      <c r="AE226"/>
      <c r="AF226" s="148"/>
      <c r="BB226"/>
      <c r="BC226"/>
      <c r="BD226" s="154" t="s">
        <v>550</v>
      </c>
      <c r="BE226" s="2"/>
      <c r="BF226" s="13"/>
      <c r="BG226"/>
      <c r="BH226"/>
      <c r="BI226"/>
      <c r="BJ226"/>
      <c r="BK226"/>
      <c r="BL226"/>
      <c r="BM226"/>
      <c r="BN226"/>
      <c r="BO226"/>
      <c r="BP226"/>
      <c r="BQ226"/>
      <c r="BR226" s="170">
        <f t="shared" si="3"/>
        <v>1150.6536000000001</v>
      </c>
      <c r="BU226" s="159">
        <f>Table242[[#This Row],[Total]]</f>
        <v>1150.6536000000001</v>
      </c>
    </row>
    <row r="227" spans="1:73" ht="14.45" hidden="1">
      <c r="B227" s="3" t="s">
        <v>39</v>
      </c>
      <c r="C227" s="3"/>
      <c r="D227" s="3">
        <v>4600000810</v>
      </c>
      <c r="E227" s="3">
        <v>11</v>
      </c>
      <c r="F227" s="3" t="s">
        <v>2913</v>
      </c>
      <c r="G227" s="3" t="s">
        <v>2914</v>
      </c>
      <c r="H227" s="3" t="s">
        <v>17</v>
      </c>
      <c r="I227" s="3" t="s">
        <v>2973</v>
      </c>
      <c r="J227" t="s">
        <v>2974</v>
      </c>
      <c r="K227" s="147"/>
      <c r="L227" s="3">
        <v>1</v>
      </c>
      <c r="N227" s="148">
        <v>9588.7800000000007</v>
      </c>
      <c r="Q227" s="148">
        <v>1917.7560000000003</v>
      </c>
      <c r="R227" s="148">
        <f>Table242[[#This Row],[Material Unit Price]]+Table242[[#This Row],[Labor Unit Price]]+Table242[[#This Row],[GC + Manage+ Insur]]</f>
        <v>11506.536</v>
      </c>
      <c r="S227" s="148">
        <f>Table242[[#This Row],[Total Per Tool]]*Table242[[#This Row],[Tool QTY]]</f>
        <v>11506.536</v>
      </c>
      <c r="U227" s="149"/>
      <c r="X22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1150.6536000000001</v>
      </c>
      <c r="Y227" s="150">
        <f>Table242[[#This Row],[Total AR (Received)]]/Table242[[#This Row],[PO Amount]]</f>
        <v>0.1</v>
      </c>
      <c r="Z227" s="151">
        <f>Table242[[#This Row],[PO Amount]]-Table242[[#This Row],[Total AR (Received)]]</f>
        <v>10355.8824</v>
      </c>
      <c r="AA227" s="152">
        <v>0.3</v>
      </c>
      <c r="AB227" s="152">
        <v>0.1</v>
      </c>
      <c r="AC227" s="152">
        <f>SUM(Table242[[#This Row],[Total M%]]*Table242[[#This Row],[Material Unit Price]],Table242[[#This Row],[Total L %]]*Table242[[#This Row],[Labor Unit Price]])/SUM(Table242[[#This Row],[Material Unit Price]:[Labor Unit Price]])</f>
        <v>0.1</v>
      </c>
      <c r="AD227" s="168">
        <v>1150.6536000000001</v>
      </c>
      <c r="AE227"/>
      <c r="AF227" s="148"/>
      <c r="BB227"/>
      <c r="BC227"/>
      <c r="BD227" s="154" t="s">
        <v>550</v>
      </c>
      <c r="BE227" s="2"/>
      <c r="BF227" s="13"/>
      <c r="BG227"/>
      <c r="BH227"/>
      <c r="BI227"/>
      <c r="BJ227"/>
      <c r="BK227"/>
      <c r="BL227"/>
      <c r="BM227"/>
      <c r="BN227"/>
      <c r="BO227"/>
      <c r="BP227"/>
      <c r="BQ227"/>
      <c r="BR227" s="170">
        <f t="shared" si="3"/>
        <v>1150.6536000000001</v>
      </c>
      <c r="BU227" s="159">
        <f>Table242[[#This Row],[Total]]</f>
        <v>1150.6536000000001</v>
      </c>
    </row>
    <row r="228" spans="1:73" ht="14.45" hidden="1">
      <c r="B228" s="3" t="s">
        <v>39</v>
      </c>
      <c r="C228" s="3"/>
      <c r="D228" s="3">
        <v>4600000810</v>
      </c>
      <c r="E228" s="3">
        <v>22</v>
      </c>
      <c r="F228" s="3" t="s">
        <v>2913</v>
      </c>
      <c r="G228" s="3" t="s">
        <v>2914</v>
      </c>
      <c r="H228" s="3" t="s">
        <v>17</v>
      </c>
      <c r="I228" s="3" t="s">
        <v>2975</v>
      </c>
      <c r="J228" t="s">
        <v>2976</v>
      </c>
      <c r="K228" s="147"/>
      <c r="L228" s="3">
        <v>1</v>
      </c>
      <c r="M228" s="148">
        <v>2638.5730359712243</v>
      </c>
      <c r="N228" s="148">
        <v>7623.1800000000021</v>
      </c>
      <c r="Q228" s="148">
        <v>2052.3506071942452</v>
      </c>
      <c r="R228" s="148">
        <f>Table242[[#This Row],[Material Unit Price]]+Table242[[#This Row],[Labor Unit Price]]+Table242[[#This Row],[GC + Manage+ Insur]]</f>
        <v>12314.10364316547</v>
      </c>
      <c r="S228" s="148">
        <f>Table242[[#This Row],[Total Per Tool]]*Table242[[#This Row],[Tool QTY]]</f>
        <v>12314.10364316547</v>
      </c>
      <c r="U228" s="149"/>
      <c r="X22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1864.6678929496411</v>
      </c>
      <c r="Y228" s="150">
        <f>Table242[[#This Row],[Total AR (Received)]]/Table242[[#This Row],[PO Amount]]</f>
        <v>0.15142538563775712</v>
      </c>
      <c r="Z228" s="151">
        <f>Table242[[#This Row],[PO Amount]]-Table242[[#This Row],[Total AR (Received)]]</f>
        <v>10449.435750215829</v>
      </c>
      <c r="AA228" s="152">
        <v>0.3</v>
      </c>
      <c r="AB228" s="152">
        <v>0.1</v>
      </c>
      <c r="AC228" s="152">
        <f>SUM(Table242[[#This Row],[Total M%]]*Table242[[#This Row],[Material Unit Price]],Table242[[#This Row],[Total L %]]*Table242[[#This Row],[Labor Unit Price]])/SUM(Table242[[#This Row],[Material Unit Price]:[Labor Unit Price]])</f>
        <v>0.15142538563775709</v>
      </c>
      <c r="AD228" s="168">
        <v>1864.6678929496411</v>
      </c>
      <c r="AE228"/>
      <c r="AF228" s="148"/>
      <c r="BB228"/>
      <c r="BC228"/>
      <c r="BD228" s="154" t="s">
        <v>550</v>
      </c>
      <c r="BE228" s="2"/>
      <c r="BF228" s="13"/>
      <c r="BG228"/>
      <c r="BH228"/>
      <c r="BI228"/>
      <c r="BJ228"/>
      <c r="BK228"/>
      <c r="BL228"/>
      <c r="BM228"/>
      <c r="BN228"/>
      <c r="BO228"/>
      <c r="BP228"/>
      <c r="BQ228"/>
      <c r="BR228" s="170">
        <f t="shared" si="3"/>
        <v>1864.6678929496411</v>
      </c>
      <c r="BU228" s="159">
        <f>Table242[[#This Row],[Total]]</f>
        <v>1864.6678929496411</v>
      </c>
    </row>
    <row r="229" spans="1:73" ht="14.45" hidden="1">
      <c r="B229" s="3" t="s">
        <v>39</v>
      </c>
      <c r="C229" s="3"/>
      <c r="D229" s="3">
        <v>4600000810</v>
      </c>
      <c r="E229" s="3">
        <v>13</v>
      </c>
      <c r="F229" s="3" t="s">
        <v>2913</v>
      </c>
      <c r="G229" s="3" t="s">
        <v>2914</v>
      </c>
      <c r="H229" s="3" t="s">
        <v>17</v>
      </c>
      <c r="I229" s="3" t="s">
        <v>2977</v>
      </c>
      <c r="J229" t="s">
        <v>2978</v>
      </c>
      <c r="K229" s="147"/>
      <c r="L229" s="3">
        <v>1</v>
      </c>
      <c r="N229" s="148">
        <v>9588.7800000000007</v>
      </c>
      <c r="Q229" s="148">
        <v>1917.7560000000003</v>
      </c>
      <c r="R229" s="148">
        <f>Table242[[#This Row],[Material Unit Price]]+Table242[[#This Row],[Labor Unit Price]]+Table242[[#This Row],[GC + Manage+ Insur]]</f>
        <v>11506.536</v>
      </c>
      <c r="S229" s="148">
        <f>Table242[[#This Row],[Total Per Tool]]*Table242[[#This Row],[Tool QTY]]</f>
        <v>11506.536</v>
      </c>
      <c r="U229" s="149"/>
      <c r="X22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229" s="150">
        <f>Table242[[#This Row],[Total AR (Received)]]/Table242[[#This Row],[PO Amount]]</f>
        <v>0</v>
      </c>
      <c r="Z229" s="151">
        <f>Table242[[#This Row],[PO Amount]]-Table242[[#This Row],[Total AR (Received)]]</f>
        <v>11506.536</v>
      </c>
      <c r="AA229" s="152"/>
      <c r="AB229" s="152"/>
      <c r="AC229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29" s="2"/>
      <c r="AE229"/>
      <c r="AF229" s="148"/>
      <c r="BB229"/>
      <c r="BC229"/>
      <c r="BD229" s="154" t="s">
        <v>550</v>
      </c>
      <c r="BE229" s="2"/>
      <c r="BF229" s="13"/>
      <c r="BG229"/>
      <c r="BH229"/>
      <c r="BI229"/>
      <c r="BJ229"/>
      <c r="BK229"/>
      <c r="BL229"/>
      <c r="BM229"/>
      <c r="BN229"/>
      <c r="BO229"/>
      <c r="BP229"/>
      <c r="BQ229"/>
      <c r="BR229" s="170">
        <f t="shared" si="3"/>
        <v>0</v>
      </c>
      <c r="BU229" s="159">
        <f>Table242[[#This Row],[Total]]</f>
        <v>0</v>
      </c>
    </row>
    <row r="230" spans="1:73" ht="14.45" hidden="1">
      <c r="B230" s="3" t="s">
        <v>39</v>
      </c>
      <c r="C230" s="3"/>
      <c r="D230" s="3">
        <v>4600000810</v>
      </c>
      <c r="E230" s="3">
        <v>23</v>
      </c>
      <c r="F230" s="3" t="s">
        <v>2913</v>
      </c>
      <c r="G230" s="3" t="s">
        <v>2914</v>
      </c>
      <c r="H230" s="3" t="s">
        <v>17</v>
      </c>
      <c r="I230" s="3" t="s">
        <v>2979</v>
      </c>
      <c r="J230" t="s">
        <v>2980</v>
      </c>
      <c r="K230" s="147"/>
      <c r="L230" s="3">
        <v>1</v>
      </c>
      <c r="M230" s="148">
        <v>2638.5730359712243</v>
      </c>
      <c r="N230" s="148">
        <v>7623.1800000000021</v>
      </c>
      <c r="Q230" s="148">
        <v>2052.3506071942452</v>
      </c>
      <c r="R230" s="148">
        <f>Table242[[#This Row],[Material Unit Price]]+Table242[[#This Row],[Labor Unit Price]]+Table242[[#This Row],[GC + Manage+ Insur]]</f>
        <v>12314.10364316547</v>
      </c>
      <c r="S230" s="148">
        <f>Table242[[#This Row],[Total Per Tool]]*Table242[[#This Row],[Tool QTY]]</f>
        <v>12314.10364316547</v>
      </c>
      <c r="U230" s="149"/>
      <c r="X23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230" s="150">
        <f>Table242[[#This Row],[Total AR (Received)]]/Table242[[#This Row],[PO Amount]]</f>
        <v>0</v>
      </c>
      <c r="Z230" s="151">
        <f>Table242[[#This Row],[PO Amount]]-Table242[[#This Row],[Total AR (Received)]]</f>
        <v>12314.10364316547</v>
      </c>
      <c r="AA230" s="152"/>
      <c r="AB230" s="152"/>
      <c r="AC230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30" s="2"/>
      <c r="AE230"/>
      <c r="AF230" s="148"/>
      <c r="BB230"/>
      <c r="BC230"/>
      <c r="BD230" s="154" t="s">
        <v>550</v>
      </c>
      <c r="BE230" s="2"/>
      <c r="BF230" s="13"/>
      <c r="BG230"/>
      <c r="BH230"/>
      <c r="BI230"/>
      <c r="BJ230"/>
      <c r="BK230"/>
      <c r="BL230"/>
      <c r="BM230"/>
      <c r="BN230"/>
      <c r="BO230"/>
      <c r="BP230"/>
      <c r="BQ230"/>
      <c r="BR230" s="156">
        <f t="shared" si="3"/>
        <v>0</v>
      </c>
    </row>
    <row r="231" spans="1:73" ht="14.45" hidden="1">
      <c r="B231" s="3" t="s">
        <v>39</v>
      </c>
      <c r="C231" s="3"/>
      <c r="D231" s="3">
        <v>4600000853</v>
      </c>
      <c r="E231" s="3">
        <v>1</v>
      </c>
      <c r="F231" s="3" t="s">
        <v>2913</v>
      </c>
      <c r="G231" s="3" t="s">
        <v>2914</v>
      </c>
      <c r="H231" s="3" t="s">
        <v>17</v>
      </c>
      <c r="I231" s="3" t="s">
        <v>2981</v>
      </c>
      <c r="J231" t="s">
        <v>2982</v>
      </c>
      <c r="K231" s="147"/>
      <c r="L231" s="3">
        <v>1</v>
      </c>
      <c r="N231" s="148">
        <v>29484.720000000001</v>
      </c>
      <c r="Q231" s="148">
        <v>5896.95</v>
      </c>
      <c r="R231" s="148">
        <f>Table242[[#This Row],[Material Unit Price]]+Table242[[#This Row],[Labor Unit Price]]+Table242[[#This Row],[GC + Manage+ Insur]]</f>
        <v>35381.67</v>
      </c>
      <c r="S231" s="148">
        <f>Table242[[#This Row],[Total Per Tool]]*Table242[[#This Row],[Tool QTY]]</f>
        <v>35381.67</v>
      </c>
      <c r="U231" s="149"/>
      <c r="X23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231" s="150">
        <f>Table242[[#This Row],[Total AR (Received)]]/Table242[[#This Row],[PO Amount]]</f>
        <v>0</v>
      </c>
      <c r="Z231" s="151">
        <f>Table242[[#This Row],[PO Amount]]-Table242[[#This Row],[Total AR (Received)]]</f>
        <v>35381.67</v>
      </c>
      <c r="AA231" s="152"/>
      <c r="AB231" s="152"/>
      <c r="AC231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31" s="2"/>
      <c r="AE231"/>
      <c r="AF231" s="148"/>
      <c r="BB231"/>
      <c r="BC231"/>
      <c r="BD231" s="154" t="s">
        <v>550</v>
      </c>
      <c r="BE231" s="2"/>
      <c r="BF231" s="13"/>
      <c r="BG231"/>
      <c r="BH231"/>
      <c r="BI231"/>
      <c r="BJ231"/>
      <c r="BK231"/>
      <c r="BL231"/>
      <c r="BM231"/>
      <c r="BN231"/>
      <c r="BO231"/>
      <c r="BP231"/>
      <c r="BQ231"/>
      <c r="BR231" s="156">
        <f t="shared" si="3"/>
        <v>0</v>
      </c>
    </row>
    <row r="232" spans="1:73" ht="14.45" hidden="1">
      <c r="B232" s="3" t="s">
        <v>39</v>
      </c>
      <c r="C232" s="3"/>
      <c r="D232" s="3">
        <v>4600000853</v>
      </c>
      <c r="E232" s="3">
        <v>2</v>
      </c>
      <c r="F232" s="3" t="s">
        <v>2913</v>
      </c>
      <c r="G232" s="3" t="s">
        <v>2914</v>
      </c>
      <c r="H232" s="3" t="s">
        <v>17</v>
      </c>
      <c r="I232" s="3" t="s">
        <v>2983</v>
      </c>
      <c r="J232" t="s">
        <v>2984</v>
      </c>
      <c r="K232" s="147"/>
      <c r="L232" s="3">
        <v>1</v>
      </c>
      <c r="N232" s="148">
        <v>29484.720000000001</v>
      </c>
      <c r="Q232" s="148">
        <v>5896.95</v>
      </c>
      <c r="R232" s="148">
        <f>Table242[[#This Row],[Material Unit Price]]+Table242[[#This Row],[Labor Unit Price]]+Table242[[#This Row],[GC + Manage+ Insur]]</f>
        <v>35381.67</v>
      </c>
      <c r="S232" s="148">
        <f>Table242[[#This Row],[Total Per Tool]]*Table242[[#This Row],[Tool QTY]]</f>
        <v>35381.67</v>
      </c>
      <c r="U232" s="149"/>
      <c r="X23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232" s="150">
        <f>Table242[[#This Row],[Total AR (Received)]]/Table242[[#This Row],[PO Amount]]</f>
        <v>0</v>
      </c>
      <c r="Z232" s="151">
        <f>Table242[[#This Row],[PO Amount]]-Table242[[#This Row],[Total AR (Received)]]</f>
        <v>35381.67</v>
      </c>
      <c r="AA232" s="152"/>
      <c r="AB232" s="152"/>
      <c r="AC232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32" s="2"/>
      <c r="AE232"/>
      <c r="AF232" s="148"/>
      <c r="BB232"/>
      <c r="BC232"/>
      <c r="BD232" s="154" t="s">
        <v>550</v>
      </c>
      <c r="BE232" s="2"/>
      <c r="BF232" s="13"/>
      <c r="BG232"/>
      <c r="BH232"/>
      <c r="BI232"/>
      <c r="BJ232"/>
      <c r="BK232"/>
      <c r="BL232"/>
      <c r="BM232"/>
      <c r="BN232"/>
      <c r="BO232"/>
      <c r="BP232"/>
      <c r="BQ232"/>
      <c r="BR232" s="156">
        <f t="shared" si="3"/>
        <v>0</v>
      </c>
    </row>
    <row r="233" spans="1:73" ht="14.45" hidden="1">
      <c r="B233" s="3" t="s">
        <v>39</v>
      </c>
      <c r="C233" s="3"/>
      <c r="D233" s="3">
        <v>4600000853</v>
      </c>
      <c r="E233" s="3">
        <v>3</v>
      </c>
      <c r="F233" s="3" t="s">
        <v>2913</v>
      </c>
      <c r="G233" s="3" t="s">
        <v>2914</v>
      </c>
      <c r="H233" s="3" t="s">
        <v>17</v>
      </c>
      <c r="I233" s="3" t="s">
        <v>2985</v>
      </c>
      <c r="J233" t="s">
        <v>2986</v>
      </c>
      <c r="K233" s="147"/>
      <c r="L233" s="3">
        <v>1</v>
      </c>
      <c r="N233" s="148">
        <v>29484.720000000001</v>
      </c>
      <c r="Q233" s="148">
        <v>5896.95</v>
      </c>
      <c r="R233" s="148">
        <f>Table242[[#This Row],[Material Unit Price]]+Table242[[#This Row],[Labor Unit Price]]+Table242[[#This Row],[GC + Manage+ Insur]]</f>
        <v>35381.67</v>
      </c>
      <c r="S233" s="148">
        <f>Table242[[#This Row],[Total Per Tool]]*Table242[[#This Row],[Tool QTY]]</f>
        <v>35381.67</v>
      </c>
      <c r="U233" s="149"/>
      <c r="X23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233" s="150">
        <f>Table242[[#This Row],[Total AR (Received)]]/Table242[[#This Row],[PO Amount]]</f>
        <v>0</v>
      </c>
      <c r="Z233" s="151">
        <f>Table242[[#This Row],[PO Amount]]-Table242[[#This Row],[Total AR (Received)]]</f>
        <v>35381.67</v>
      </c>
      <c r="AA233" s="152"/>
      <c r="AB233" s="152"/>
      <c r="AC233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33" s="2"/>
      <c r="AE233"/>
      <c r="AF233" s="148"/>
      <c r="BB233"/>
      <c r="BC233"/>
      <c r="BD233" s="154" t="s">
        <v>550</v>
      </c>
      <c r="BE233" s="2"/>
      <c r="BF233" s="13"/>
      <c r="BG233"/>
      <c r="BH233"/>
      <c r="BI233"/>
      <c r="BJ233"/>
      <c r="BK233"/>
      <c r="BL233"/>
      <c r="BM233"/>
      <c r="BN233"/>
      <c r="BO233"/>
      <c r="BP233"/>
      <c r="BQ233"/>
      <c r="BR233" s="156">
        <f t="shared" si="3"/>
        <v>0</v>
      </c>
    </row>
    <row r="234" spans="1:73" ht="14.45" hidden="1">
      <c r="B234" s="3" t="s">
        <v>39</v>
      </c>
      <c r="C234" s="3"/>
      <c r="D234" s="3">
        <v>4600000853</v>
      </c>
      <c r="E234" s="3">
        <v>4</v>
      </c>
      <c r="F234" s="3" t="s">
        <v>2913</v>
      </c>
      <c r="G234" s="3" t="s">
        <v>2914</v>
      </c>
      <c r="H234" s="3" t="s">
        <v>17</v>
      </c>
      <c r="I234" s="3" t="s">
        <v>2987</v>
      </c>
      <c r="J234" t="s">
        <v>2988</v>
      </c>
      <c r="K234" s="147"/>
      <c r="L234" s="3">
        <v>1</v>
      </c>
      <c r="N234" s="148">
        <v>29556.720000000001</v>
      </c>
      <c r="Q234" s="148">
        <v>5911.35</v>
      </c>
      <c r="R234" s="148">
        <f>Table242[[#This Row],[Material Unit Price]]+Table242[[#This Row],[Labor Unit Price]]+Table242[[#This Row],[GC + Manage+ Insur]]</f>
        <v>35468.07</v>
      </c>
      <c r="S234" s="148">
        <f>Table242[[#This Row],[Total Per Tool]]*Table242[[#This Row],[Tool QTY]]</f>
        <v>35468.07</v>
      </c>
      <c r="U234" s="149"/>
      <c r="X23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234" s="150">
        <f>Table242[[#This Row],[Total AR (Received)]]/Table242[[#This Row],[PO Amount]]</f>
        <v>0</v>
      </c>
      <c r="Z234" s="151">
        <f>Table242[[#This Row],[PO Amount]]-Table242[[#This Row],[Total AR (Received)]]</f>
        <v>35468.07</v>
      </c>
      <c r="AA234" s="152"/>
      <c r="AB234" s="152"/>
      <c r="AC234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34" s="2"/>
      <c r="AE234"/>
      <c r="AF234" s="148"/>
      <c r="BB234"/>
      <c r="BC234"/>
      <c r="BD234" s="154" t="s">
        <v>550</v>
      </c>
      <c r="BE234" s="2"/>
      <c r="BF234" s="13"/>
      <c r="BG234"/>
      <c r="BH234"/>
      <c r="BI234"/>
      <c r="BJ234"/>
      <c r="BK234"/>
      <c r="BL234"/>
      <c r="BM234"/>
      <c r="BN234"/>
      <c r="BO234"/>
      <c r="BP234"/>
      <c r="BQ234"/>
      <c r="BR234" s="156">
        <f t="shared" si="3"/>
        <v>0</v>
      </c>
    </row>
    <row r="235" spans="1:73" ht="14.45" hidden="1">
      <c r="B235" s="3" t="s">
        <v>39</v>
      </c>
      <c r="C235" s="3"/>
      <c r="D235" s="3">
        <v>4600000853</v>
      </c>
      <c r="E235" s="3">
        <v>5</v>
      </c>
      <c r="F235" s="3" t="s">
        <v>2913</v>
      </c>
      <c r="G235" s="3" t="s">
        <v>2914</v>
      </c>
      <c r="H235" s="3" t="s">
        <v>17</v>
      </c>
      <c r="I235" s="3" t="s">
        <v>2989</v>
      </c>
      <c r="J235" t="s">
        <v>2990</v>
      </c>
      <c r="K235" s="147"/>
      <c r="L235" s="3">
        <v>1</v>
      </c>
      <c r="N235" s="148">
        <v>29556.720000000001</v>
      </c>
      <c r="Q235" s="148">
        <v>5911.35</v>
      </c>
      <c r="R235" s="148">
        <f>Table242[[#This Row],[Material Unit Price]]+Table242[[#This Row],[Labor Unit Price]]+Table242[[#This Row],[GC + Manage+ Insur]]</f>
        <v>35468.07</v>
      </c>
      <c r="S235" s="148">
        <f>Table242[[#This Row],[Total Per Tool]]*Table242[[#This Row],[Tool QTY]]</f>
        <v>35468.07</v>
      </c>
      <c r="U235" s="149"/>
      <c r="X23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235" s="150">
        <f>Table242[[#This Row],[Total AR (Received)]]/Table242[[#This Row],[PO Amount]]</f>
        <v>0</v>
      </c>
      <c r="Z235" s="151">
        <f>Table242[[#This Row],[PO Amount]]-Table242[[#This Row],[Total AR (Received)]]</f>
        <v>35468.07</v>
      </c>
      <c r="AA235" s="152"/>
      <c r="AB235" s="152"/>
      <c r="AC235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35" s="2"/>
      <c r="AE235"/>
      <c r="AF235" s="148"/>
      <c r="BB235"/>
      <c r="BC235"/>
      <c r="BD235" s="154" t="s">
        <v>550</v>
      </c>
      <c r="BE235" s="2"/>
      <c r="BF235" s="13"/>
      <c r="BG235"/>
      <c r="BH235"/>
      <c r="BI235"/>
      <c r="BJ235"/>
      <c r="BK235"/>
      <c r="BL235"/>
      <c r="BM235"/>
      <c r="BN235"/>
      <c r="BO235"/>
      <c r="BP235"/>
      <c r="BQ235"/>
      <c r="BR235" s="156">
        <f t="shared" si="3"/>
        <v>0</v>
      </c>
    </row>
    <row r="236" spans="1:73" ht="14.45" hidden="1">
      <c r="B236" s="3" t="s">
        <v>39</v>
      </c>
      <c r="C236" s="3"/>
      <c r="D236" s="3">
        <v>4600000853</v>
      </c>
      <c r="E236" s="3">
        <v>6</v>
      </c>
      <c r="F236" s="3" t="s">
        <v>2913</v>
      </c>
      <c r="G236" s="3" t="s">
        <v>2914</v>
      </c>
      <c r="H236" s="3" t="s">
        <v>17</v>
      </c>
      <c r="I236" s="3" t="s">
        <v>2991</v>
      </c>
      <c r="J236" t="s">
        <v>2992</v>
      </c>
      <c r="K236" s="147"/>
      <c r="L236" s="3">
        <v>1</v>
      </c>
      <c r="N236" s="148">
        <v>29556.720000000001</v>
      </c>
      <c r="Q236" s="148">
        <v>5911.35</v>
      </c>
      <c r="R236" s="148">
        <f>Table242[[#This Row],[Material Unit Price]]+Table242[[#This Row],[Labor Unit Price]]+Table242[[#This Row],[GC + Manage+ Insur]]</f>
        <v>35468.07</v>
      </c>
      <c r="S236" s="148">
        <f>Table242[[#This Row],[Total Per Tool]]*Table242[[#This Row],[Tool QTY]]</f>
        <v>35468.07</v>
      </c>
      <c r="U236" s="149"/>
      <c r="X23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236" s="150">
        <f>Table242[[#This Row],[Total AR (Received)]]/Table242[[#This Row],[PO Amount]]</f>
        <v>0</v>
      </c>
      <c r="Z236" s="151">
        <f>Table242[[#This Row],[PO Amount]]-Table242[[#This Row],[Total AR (Received)]]</f>
        <v>35468.07</v>
      </c>
      <c r="AA236" s="152"/>
      <c r="AB236" s="152"/>
      <c r="AC236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36" s="2"/>
      <c r="AE236"/>
      <c r="AF236" s="148"/>
      <c r="BB236"/>
      <c r="BC236"/>
      <c r="BD236" s="154" t="s">
        <v>550</v>
      </c>
      <c r="BE236" s="2"/>
      <c r="BF236" s="13"/>
      <c r="BG236"/>
      <c r="BH236"/>
      <c r="BI236"/>
      <c r="BJ236"/>
      <c r="BK236"/>
      <c r="BL236"/>
      <c r="BM236"/>
      <c r="BN236"/>
      <c r="BO236"/>
      <c r="BP236"/>
      <c r="BQ236"/>
      <c r="BR236" s="156">
        <f t="shared" si="3"/>
        <v>0</v>
      </c>
    </row>
    <row r="237" spans="1:73" ht="14.45" hidden="1">
      <c r="B237" s="3" t="s">
        <v>39</v>
      </c>
      <c r="C237" s="3"/>
      <c r="D237" s="3">
        <v>4600000853</v>
      </c>
      <c r="E237" s="3">
        <v>7</v>
      </c>
      <c r="F237" s="3" t="s">
        <v>2913</v>
      </c>
      <c r="G237" s="3" t="s">
        <v>2914</v>
      </c>
      <c r="H237" s="3" t="s">
        <v>17</v>
      </c>
      <c r="I237" s="3" t="s">
        <v>2993</v>
      </c>
      <c r="J237" t="s">
        <v>2994</v>
      </c>
      <c r="K237" s="147"/>
      <c r="L237" s="3">
        <v>1</v>
      </c>
      <c r="N237" s="148">
        <v>29556.720000000001</v>
      </c>
      <c r="Q237" s="148">
        <v>5911.35</v>
      </c>
      <c r="R237" s="148">
        <f>Table242[[#This Row],[Material Unit Price]]+Table242[[#This Row],[Labor Unit Price]]+Table242[[#This Row],[GC + Manage+ Insur]]</f>
        <v>35468.07</v>
      </c>
      <c r="S237" s="148">
        <f>Table242[[#This Row],[Total Per Tool]]*Table242[[#This Row],[Tool QTY]]</f>
        <v>35468.07</v>
      </c>
      <c r="U237" s="149"/>
      <c r="X23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237" s="150">
        <f>Table242[[#This Row],[Total AR (Received)]]/Table242[[#This Row],[PO Amount]]</f>
        <v>0</v>
      </c>
      <c r="Z237" s="151">
        <f>Table242[[#This Row],[PO Amount]]-Table242[[#This Row],[Total AR (Received)]]</f>
        <v>35468.07</v>
      </c>
      <c r="AA237" s="152"/>
      <c r="AB237" s="152"/>
      <c r="AC237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37" s="2"/>
      <c r="AE237"/>
      <c r="AF237" s="148"/>
      <c r="BB237"/>
      <c r="BC237"/>
      <c r="BD237" s="154" t="s">
        <v>550</v>
      </c>
      <c r="BE237" s="2"/>
      <c r="BF237" s="13"/>
      <c r="BG237"/>
      <c r="BH237"/>
      <c r="BI237"/>
      <c r="BJ237"/>
      <c r="BK237"/>
      <c r="BL237"/>
      <c r="BM237"/>
      <c r="BN237"/>
      <c r="BO237"/>
      <c r="BP237"/>
      <c r="BQ237"/>
      <c r="BR237" s="156">
        <f t="shared" si="3"/>
        <v>0</v>
      </c>
    </row>
    <row r="238" spans="1:73" ht="14.45" hidden="1">
      <c r="B238" s="3" t="s">
        <v>2995</v>
      </c>
      <c r="C238" s="3"/>
      <c r="D238" s="3">
        <v>4600000939</v>
      </c>
      <c r="E238" s="3">
        <v>1</v>
      </c>
      <c r="F238" s="3" t="s">
        <v>2913</v>
      </c>
      <c r="G238" s="3"/>
      <c r="H238" s="3" t="s">
        <v>17</v>
      </c>
      <c r="I238" s="3" t="s">
        <v>2996</v>
      </c>
      <c r="J238" t="s">
        <v>2997</v>
      </c>
      <c r="K238" s="147"/>
      <c r="L238" s="3">
        <v>1</v>
      </c>
      <c r="N238" s="148">
        <v>16309</v>
      </c>
      <c r="R238" s="148">
        <f>Table242[[#This Row],[Material Unit Price]]+Table242[[#This Row],[Labor Unit Price]]+Table242[[#This Row],[GC + Manage+ Insur]]</f>
        <v>16309</v>
      </c>
      <c r="S238" s="148">
        <f>Table242[[#This Row],[Total Per Tool]]*Table242[[#This Row],[Tool QTY]]</f>
        <v>16309</v>
      </c>
      <c r="U238" s="149"/>
      <c r="W238" s="148" t="s">
        <v>2998</v>
      </c>
      <c r="X23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11901</v>
      </c>
      <c r="Y238" s="150">
        <f>Table242[[#This Row],[Total AR (Received)]]/Table242[[#This Row],[PO Amount]]</f>
        <v>0.72971978662088421</v>
      </c>
      <c r="Z238" s="151">
        <f>Table242[[#This Row],[PO Amount]]-Table242[[#This Row],[Total AR (Received)]]</f>
        <v>4408</v>
      </c>
      <c r="AA238" s="152"/>
      <c r="AB238" s="152"/>
      <c r="AC238" s="152"/>
      <c r="AD238"/>
      <c r="AE238"/>
      <c r="AF238" s="3"/>
      <c r="AH238" s="153"/>
      <c r="AI238" s="2"/>
      <c r="AJ238" s="154"/>
      <c r="BB238"/>
      <c r="BC238"/>
      <c r="BD238" s="154" t="s">
        <v>550</v>
      </c>
      <c r="BE238" s="2"/>
      <c r="BF238" s="13"/>
      <c r="BG238"/>
      <c r="BH238" s="360">
        <v>11901</v>
      </c>
      <c r="BI238"/>
      <c r="BJ238"/>
      <c r="BK238"/>
      <c r="BL238"/>
      <c r="BM238"/>
      <c r="BN238"/>
      <c r="BO238"/>
      <c r="BP238"/>
      <c r="BQ238"/>
      <c r="BR238" s="156">
        <f t="shared" si="3"/>
        <v>11901</v>
      </c>
    </row>
    <row r="239" spans="1:73" ht="14.45" hidden="1">
      <c r="A239" t="s">
        <v>2999</v>
      </c>
      <c r="B239" s="3" t="s">
        <v>41</v>
      </c>
      <c r="C239" s="3"/>
      <c r="D239" s="3" t="s">
        <v>3000</v>
      </c>
      <c r="E239" s="3">
        <v>1</v>
      </c>
      <c r="F239" s="3" t="s">
        <v>3001</v>
      </c>
      <c r="G239" s="3"/>
      <c r="H239" s="3" t="s">
        <v>17</v>
      </c>
      <c r="I239" s="3"/>
      <c r="J239" t="s">
        <v>3002</v>
      </c>
      <c r="K239" s="147"/>
      <c r="L239" s="3">
        <v>1</v>
      </c>
      <c r="N239" s="148">
        <v>14004</v>
      </c>
      <c r="R239" s="148">
        <f>Table242[[#This Row],[Material Unit Price]]+Table242[[#This Row],[Labor Unit Price]]+Table242[[#This Row],[GC + Manage+ Insur]]</f>
        <v>14004</v>
      </c>
      <c r="S239" s="148">
        <f>Table242[[#This Row],[Total Per Tool]]*Table242[[#This Row],[Tool QTY]]</f>
        <v>14004</v>
      </c>
      <c r="U239" s="149"/>
      <c r="X23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239" s="150">
        <f>Table242[[#This Row],[Total AR (Received)]]/Table242[[#This Row],[PO Amount]]</f>
        <v>0</v>
      </c>
      <c r="Z239" s="151">
        <f>Table242[[#This Row],[PO Amount]]-Table242[[#This Row],[Total AR (Received)]]</f>
        <v>14004</v>
      </c>
      <c r="AA239" s="151"/>
      <c r="AB239" s="151"/>
      <c r="AC239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39"/>
      <c r="AE239"/>
      <c r="AF239" s="3"/>
      <c r="BB239"/>
      <c r="BC239"/>
      <c r="BD239" s="154" t="s">
        <v>550</v>
      </c>
      <c r="BE239" s="2"/>
      <c r="BF239"/>
      <c r="BG239"/>
      <c r="BH239"/>
      <c r="BI239"/>
      <c r="BJ239"/>
      <c r="BK239"/>
      <c r="BL239"/>
      <c r="BM239"/>
      <c r="BN239"/>
      <c r="BO239"/>
      <c r="BP239"/>
      <c r="BQ239"/>
      <c r="BR239" s="156">
        <f t="shared" si="3"/>
        <v>0</v>
      </c>
    </row>
    <row r="240" spans="1:73" ht="14.45" hidden="1">
      <c r="A240" t="s">
        <v>2999</v>
      </c>
      <c r="B240" s="3" t="s">
        <v>41</v>
      </c>
      <c r="C240" s="3"/>
      <c r="D240" s="3" t="s">
        <v>3003</v>
      </c>
      <c r="E240" s="3">
        <v>1</v>
      </c>
      <c r="F240" s="3" t="s">
        <v>3001</v>
      </c>
      <c r="G240" s="3"/>
      <c r="H240" s="3" t="s">
        <v>17</v>
      </c>
      <c r="I240" s="3"/>
      <c r="J240" t="s">
        <v>3004</v>
      </c>
      <c r="K240" s="147"/>
      <c r="L240" s="3">
        <v>1</v>
      </c>
      <c r="N240" s="148">
        <v>14522.4</v>
      </c>
      <c r="R240" s="148">
        <f>Table242[[#This Row],[Material Unit Price]]+Table242[[#This Row],[Labor Unit Price]]+Table242[[#This Row],[GC + Manage+ Insur]]</f>
        <v>14522.4</v>
      </c>
      <c r="S240" s="148">
        <f>Table242[[#This Row],[Total Per Tool]]*Table242[[#This Row],[Tool QTY]]</f>
        <v>14522.4</v>
      </c>
      <c r="U240" s="149"/>
      <c r="X24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240" s="150">
        <f>Table242[[#This Row],[Total AR (Received)]]/Table242[[#This Row],[PO Amount]]</f>
        <v>0</v>
      </c>
      <c r="Z240" s="151">
        <f>Table242[[#This Row],[PO Amount]]-Table242[[#This Row],[Total AR (Received)]]</f>
        <v>14522.4</v>
      </c>
      <c r="AA240" s="151"/>
      <c r="AB240" s="151"/>
      <c r="AC240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40"/>
      <c r="AE240"/>
      <c r="AF240" s="3"/>
      <c r="BB240"/>
      <c r="BC240"/>
      <c r="BD240" s="154" t="s">
        <v>550</v>
      </c>
      <c r="BE240" s="2"/>
      <c r="BF240"/>
      <c r="BG240"/>
      <c r="BH240"/>
      <c r="BI240"/>
      <c r="BJ240"/>
      <c r="BK240"/>
      <c r="BL240"/>
      <c r="BM240"/>
      <c r="BN240"/>
      <c r="BO240"/>
      <c r="BP240"/>
      <c r="BQ240"/>
      <c r="BR240" s="156">
        <f t="shared" si="3"/>
        <v>0</v>
      </c>
    </row>
    <row r="241" spans="1:73" ht="14.45" hidden="1">
      <c r="A241" t="s">
        <v>2888</v>
      </c>
      <c r="B241" s="3" t="s">
        <v>41</v>
      </c>
      <c r="C241" s="3"/>
      <c r="D241" s="3">
        <v>6291501</v>
      </c>
      <c r="E241" s="3">
        <v>1</v>
      </c>
      <c r="F241" s="3" t="s">
        <v>3005</v>
      </c>
      <c r="G241" s="3"/>
      <c r="H241" s="3" t="s">
        <v>17</v>
      </c>
      <c r="I241" s="3"/>
      <c r="J241" s="163" t="s">
        <v>3006</v>
      </c>
      <c r="K241" s="164"/>
      <c r="L241" s="3">
        <v>1</v>
      </c>
      <c r="N241" s="148">
        <v>8635.9</v>
      </c>
      <c r="R241" s="148">
        <f>Table242[[#This Row],[Material Unit Price]]+Table242[[#This Row],[Labor Unit Price]]+Table242[[#This Row],[GC + Manage+ Insur]]</f>
        <v>8635.9</v>
      </c>
      <c r="S241" s="148">
        <f>Table242[[#This Row],[Total Per Tool]]*Table242[[#This Row],[Tool QTY]]</f>
        <v>8635.9</v>
      </c>
      <c r="U241" s="149" t="s">
        <v>3007</v>
      </c>
      <c r="W241" s="148" t="s">
        <v>3008</v>
      </c>
      <c r="X24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241" s="150">
        <f>Table242[[#This Row],[Total AR (Received)]]/Table242[[#This Row],[PO Amount]]</f>
        <v>0</v>
      </c>
      <c r="Z241" s="151">
        <f>Table242[[#This Row],[PO Amount]]-Table242[[#This Row],[Total AR (Received)]]</f>
        <v>8635.9</v>
      </c>
      <c r="AA241" s="3"/>
      <c r="AF241" s="3"/>
      <c r="BG241" s="287"/>
      <c r="BJ241" s="165"/>
      <c r="BR241" s="156">
        <f t="shared" si="3"/>
        <v>0</v>
      </c>
    </row>
    <row r="242" spans="1:73" ht="14.45" hidden="1">
      <c r="B242" s="3" t="s">
        <v>43</v>
      </c>
      <c r="C242" s="3"/>
      <c r="D242" s="3">
        <v>6530</v>
      </c>
      <c r="E242" s="3">
        <v>1</v>
      </c>
      <c r="F242" s="3" t="s">
        <v>3009</v>
      </c>
      <c r="G242" s="3"/>
      <c r="H242" s="3" t="s">
        <v>17</v>
      </c>
      <c r="I242" s="3"/>
      <c r="J242" t="s">
        <v>3010</v>
      </c>
      <c r="K242" s="147"/>
      <c r="L242" s="3">
        <v>1</v>
      </c>
      <c r="N242" s="148">
        <v>17984.580000000002</v>
      </c>
      <c r="R242" s="148">
        <f>Table242[[#This Row],[Material Unit Price]]+Table242[[#This Row],[Labor Unit Price]]+Table242[[#This Row],[GC + Manage+ Insur]]</f>
        <v>17984.580000000002</v>
      </c>
      <c r="S242" s="148">
        <f>Table242[[#This Row],[Total Per Tool]]*Table242[[#This Row],[Tool QTY]]</f>
        <v>17984.580000000002</v>
      </c>
      <c r="U242" s="149">
        <v>45070</v>
      </c>
      <c r="W242" s="148" t="s">
        <v>2998</v>
      </c>
      <c r="X24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242" s="150">
        <f>Table242[[#This Row],[Total AR (Received)]]/Table242[[#This Row],[PO Amount]]</f>
        <v>0</v>
      </c>
      <c r="Z242" s="151">
        <f>Table242[[#This Row],[PO Amount]]-Table242[[#This Row],[Total AR (Received)]]</f>
        <v>17984.580000000002</v>
      </c>
      <c r="AA242" s="152"/>
      <c r="AB242" s="152"/>
      <c r="AC242" s="152"/>
      <c r="AD242"/>
      <c r="AE242"/>
      <c r="AF242" s="3"/>
      <c r="AH242" s="153"/>
      <c r="AI242" s="2"/>
      <c r="AJ242" s="154"/>
      <c r="BB242"/>
      <c r="BC242"/>
      <c r="BD242" s="154" t="s">
        <v>550</v>
      </c>
      <c r="BE242" s="2"/>
      <c r="BF242"/>
      <c r="BG242"/>
      <c r="BH242"/>
      <c r="BI242"/>
      <c r="BJ242" s="13"/>
      <c r="BK242"/>
      <c r="BL242"/>
      <c r="BM242"/>
      <c r="BN242"/>
      <c r="BO242"/>
      <c r="BP242"/>
      <c r="BQ242"/>
      <c r="BR242" s="156">
        <f t="shared" si="3"/>
        <v>0</v>
      </c>
    </row>
    <row r="243" spans="1:73" ht="14.45" hidden="1">
      <c r="B243" s="3" t="s">
        <v>44</v>
      </c>
      <c r="C243" s="3" t="s">
        <v>3011</v>
      </c>
      <c r="D243" s="3">
        <v>6369</v>
      </c>
      <c r="E243" s="3">
        <v>1</v>
      </c>
      <c r="F243" s="3" t="s">
        <v>3009</v>
      </c>
      <c r="G243" s="3" t="s">
        <v>3012</v>
      </c>
      <c r="H243" s="3" t="s">
        <v>17</v>
      </c>
      <c r="I243" s="3" t="s">
        <v>3013</v>
      </c>
      <c r="J243" t="s">
        <v>3014</v>
      </c>
      <c r="K243" s="147"/>
      <c r="L243" s="3">
        <v>1</v>
      </c>
      <c r="N243" s="148">
        <v>7416.96</v>
      </c>
      <c r="Q243" s="148">
        <v>1038.3800000000001</v>
      </c>
      <c r="R243" s="148">
        <f>Table242[[#This Row],[Material Unit Price]]+Table242[[#This Row],[Labor Unit Price]]+Table242[[#This Row],[GC + Manage+ Insur]]</f>
        <v>8455.34</v>
      </c>
      <c r="S243" s="148">
        <f>Table242[[#This Row],[Total Per Tool]]*Table242[[#This Row],[Tool QTY]]</f>
        <v>8455.34</v>
      </c>
      <c r="U243" s="149">
        <v>44897</v>
      </c>
      <c r="X24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8455.34</v>
      </c>
      <c r="Y243" s="150">
        <f>Table242[[#This Row],[Total AR (Received)]]/Table242[[#This Row],[PO Amount]]</f>
        <v>1</v>
      </c>
      <c r="Z243" s="151">
        <f>Table242[[#This Row],[PO Amount]]-Table242[[#This Row],[Total AR (Received)]]</f>
        <v>0</v>
      </c>
      <c r="AA243" s="151"/>
      <c r="AB243" s="151"/>
      <c r="AC243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43"/>
      <c r="AE243"/>
      <c r="AF243" s="148"/>
      <c r="BB243"/>
      <c r="BC243"/>
      <c r="BD243" s="154" t="s">
        <v>550</v>
      </c>
      <c r="BE243" s="2"/>
      <c r="BF243"/>
      <c r="BG243"/>
      <c r="BH243"/>
      <c r="BI243"/>
      <c r="BJ243" s="174">
        <v>8455.34</v>
      </c>
      <c r="BK243"/>
      <c r="BL243"/>
      <c r="BM243"/>
      <c r="BN243"/>
      <c r="BO243"/>
      <c r="BP243"/>
      <c r="BQ243"/>
      <c r="BR243" s="156">
        <f t="shared" si="3"/>
        <v>0</v>
      </c>
    </row>
    <row r="244" spans="1:73" ht="14.45" hidden="1">
      <c r="B244" s="3" t="s">
        <v>44</v>
      </c>
      <c r="C244" s="3" t="s">
        <v>3011</v>
      </c>
      <c r="D244" s="3">
        <v>6369</v>
      </c>
      <c r="E244" s="3">
        <v>2</v>
      </c>
      <c r="F244" s="3" t="s">
        <v>3009</v>
      </c>
      <c r="G244" s="3" t="s">
        <v>3012</v>
      </c>
      <c r="H244" s="3" t="s">
        <v>17</v>
      </c>
      <c r="I244" s="3" t="s">
        <v>3015</v>
      </c>
      <c r="J244" t="s">
        <v>3014</v>
      </c>
      <c r="K244" s="147"/>
      <c r="L244" s="3">
        <v>1</v>
      </c>
      <c r="N244" s="148">
        <v>7416.96</v>
      </c>
      <c r="Q244" s="148">
        <v>1038.3800000000001</v>
      </c>
      <c r="R244" s="148">
        <f>Table242[[#This Row],[Material Unit Price]]+Table242[[#This Row],[Labor Unit Price]]+Table242[[#This Row],[GC + Manage+ Insur]]</f>
        <v>8455.34</v>
      </c>
      <c r="S244" s="148">
        <f>Table242[[#This Row],[Total Per Tool]]*Table242[[#This Row],[Tool QTY]]</f>
        <v>8455.34</v>
      </c>
      <c r="U244" s="149">
        <v>44897</v>
      </c>
      <c r="X24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8455.34</v>
      </c>
      <c r="Y244" s="150">
        <f>Table242[[#This Row],[Total AR (Received)]]/Table242[[#This Row],[PO Amount]]</f>
        <v>1</v>
      </c>
      <c r="Z244" s="151">
        <f>Table242[[#This Row],[PO Amount]]-Table242[[#This Row],[Total AR (Received)]]</f>
        <v>0</v>
      </c>
      <c r="AA244" s="151"/>
      <c r="AB244" s="151"/>
      <c r="AC244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44"/>
      <c r="AE244"/>
      <c r="AF244" s="148"/>
      <c r="BB244"/>
      <c r="BC244"/>
      <c r="BD244" s="154" t="s">
        <v>550</v>
      </c>
      <c r="BE244" s="2"/>
      <c r="BF244"/>
      <c r="BG244"/>
      <c r="BH244"/>
      <c r="BI244"/>
      <c r="BJ244" s="174">
        <v>8455.34</v>
      </c>
      <c r="BK244"/>
      <c r="BL244"/>
      <c r="BM244"/>
      <c r="BN244"/>
      <c r="BO244"/>
      <c r="BP244"/>
      <c r="BQ244"/>
      <c r="BR244" s="156">
        <f t="shared" si="3"/>
        <v>0</v>
      </c>
    </row>
    <row r="245" spans="1:73" ht="14.45" hidden="1">
      <c r="A245" s="378" t="s">
        <v>2897</v>
      </c>
      <c r="B245" s="379" t="s">
        <v>45</v>
      </c>
      <c r="C245" s="3"/>
      <c r="D245" s="379">
        <v>20230712101</v>
      </c>
      <c r="E245" s="379">
        <v>1</v>
      </c>
      <c r="F245" s="3"/>
      <c r="G245" s="3"/>
      <c r="H245" s="3" t="s">
        <v>17</v>
      </c>
      <c r="I245" s="379"/>
      <c r="J245" s="395" t="s">
        <v>3016</v>
      </c>
      <c r="K245" s="380"/>
      <c r="L245" s="379">
        <v>1</v>
      </c>
      <c r="M245" s="381"/>
      <c r="N245" s="381"/>
      <c r="O245" s="381"/>
      <c r="P245" s="381"/>
      <c r="Q245" s="381"/>
      <c r="R245" s="381">
        <f>Table242[[#This Row],[Material Unit Price]]+Table242[[#This Row],[Labor Unit Price]]+Table242[[#This Row],[GC + Manage+ Insur]]</f>
        <v>0</v>
      </c>
      <c r="S245" s="381">
        <f>Table242[[#This Row],[Total Per Tool]]*Table242[[#This Row],[Tool QTY]]</f>
        <v>0</v>
      </c>
      <c r="T245" s="381"/>
      <c r="U245" s="383">
        <v>45112</v>
      </c>
      <c r="V245" s="381"/>
      <c r="W245" s="394" t="s">
        <v>3017</v>
      </c>
      <c r="X245" s="381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245" s="384" t="e">
        <f>Table242[[#This Row],[Total AR (Received)]]/Table242[[#This Row],[PO Amount]]</f>
        <v>#DIV/0!</v>
      </c>
      <c r="Z245" s="385">
        <f>Table242[[#This Row],[PO Amount]]-Table242[[#This Row],[Total AR (Received)]]</f>
        <v>0</v>
      </c>
      <c r="AA245" s="148"/>
      <c r="AE245"/>
      <c r="AF245" s="3"/>
      <c r="BB245"/>
      <c r="BC245"/>
      <c r="BD245" s="154" t="s">
        <v>550</v>
      </c>
      <c r="BE245" s="2"/>
      <c r="BF245"/>
      <c r="BG245"/>
      <c r="BH245"/>
      <c r="BI245"/>
      <c r="BJ245"/>
      <c r="BK245"/>
      <c r="BL245"/>
      <c r="BM245"/>
      <c r="BN245"/>
      <c r="BO245"/>
      <c r="BP245"/>
      <c r="BQ245"/>
      <c r="BR245" s="386">
        <f t="shared" si="3"/>
        <v>0</v>
      </c>
      <c r="BS245" s="378"/>
      <c r="BT245" s="378"/>
      <c r="BU245" s="378"/>
    </row>
    <row r="246" spans="1:73" ht="14.45" hidden="1">
      <c r="A246" t="s">
        <v>3018</v>
      </c>
      <c r="B246" s="3" t="s">
        <v>46</v>
      </c>
      <c r="C246" s="3"/>
      <c r="D246" s="3" t="s">
        <v>3019</v>
      </c>
      <c r="E246" s="3">
        <v>1</v>
      </c>
      <c r="F246" s="3" t="s">
        <v>3020</v>
      </c>
      <c r="G246" s="3"/>
      <c r="H246" s="3" t="s">
        <v>17</v>
      </c>
      <c r="I246" s="3"/>
      <c r="J246" t="s">
        <v>3021</v>
      </c>
      <c r="K246" s="147"/>
      <c r="L246" s="3">
        <v>1</v>
      </c>
      <c r="N246" s="148">
        <v>58878.189599999998</v>
      </c>
      <c r="Q246" s="148">
        <v>8797.8904000000002</v>
      </c>
      <c r="R246" s="148">
        <f>Table242[[#This Row],[Material Unit Price]]+Table242[[#This Row],[Labor Unit Price]]+Table242[[#This Row],[GC + Manage+ Insur]]</f>
        <v>67676.08</v>
      </c>
      <c r="S246" s="148">
        <f>Table242[[#This Row],[Total Per Tool]]*Table242[[#This Row],[Tool QTY]]</f>
        <v>67676.08</v>
      </c>
      <c r="T246" s="148">
        <v>3588.88</v>
      </c>
      <c r="U246" s="149">
        <v>45117</v>
      </c>
      <c r="X24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64087.199999999997</v>
      </c>
      <c r="Y246" s="150">
        <f>Table242[[#This Row],[Total AR (Received)]]/Table242[[#This Row],[PO Amount]]</f>
        <v>0.94696974174627124</v>
      </c>
      <c r="Z246" s="151">
        <f>Table242[[#This Row],[PO Amount]]-Table242[[#This Row],[Total AR (Received)]]</f>
        <v>3588.8800000000047</v>
      </c>
      <c r="AA246" s="152"/>
      <c r="AB246" s="152"/>
      <c r="AC246" s="152"/>
      <c r="AD246"/>
      <c r="AE246"/>
      <c r="AF246" s="3"/>
      <c r="AH246" s="153"/>
      <c r="AI246" s="2"/>
      <c r="AJ246" s="154"/>
      <c r="AL246" s="190">
        <v>64087.199999999997</v>
      </c>
      <c r="AM246" s="9">
        <v>3589</v>
      </c>
      <c r="BB246"/>
      <c r="BC246"/>
      <c r="BD246" s="154" t="s">
        <v>550</v>
      </c>
      <c r="BE246" s="2"/>
      <c r="BF246"/>
      <c r="BG246"/>
      <c r="BH246"/>
      <c r="BI246"/>
      <c r="BJ246"/>
      <c r="BK246"/>
      <c r="BL246"/>
      <c r="BM246"/>
      <c r="BN246"/>
      <c r="BO246"/>
      <c r="BP246"/>
      <c r="BQ246"/>
      <c r="BR246" s="158">
        <f t="shared" si="3"/>
        <v>67676.2</v>
      </c>
    </row>
    <row r="247" spans="1:73" ht="14.45" hidden="1">
      <c r="B247" s="166" t="s">
        <v>47</v>
      </c>
      <c r="C247" s="3" t="s">
        <v>3022</v>
      </c>
      <c r="D247" s="3">
        <v>21740541</v>
      </c>
      <c r="E247" s="3">
        <v>1</v>
      </c>
      <c r="F247" s="3" t="s">
        <v>3023</v>
      </c>
      <c r="G247" s="3" t="s">
        <v>3024</v>
      </c>
      <c r="H247" s="3" t="s">
        <v>17</v>
      </c>
      <c r="I247" s="3" t="s">
        <v>3025</v>
      </c>
      <c r="J247" t="s">
        <v>3026</v>
      </c>
      <c r="K247" s="147"/>
      <c r="L247" s="3">
        <v>1</v>
      </c>
      <c r="M247" s="148">
        <v>1386.0990000000002</v>
      </c>
      <c r="N247" s="148">
        <v>5382.7544999999991</v>
      </c>
      <c r="Q247" s="148">
        <f>0.75+1353.7707</f>
        <v>1354.5207</v>
      </c>
      <c r="R247" s="148">
        <f>Table242[[#This Row],[Material Unit Price]]+Table242[[#This Row],[Labor Unit Price]]+Table242[[#This Row],[GC + Manage+ Insur]]</f>
        <v>8123.3741999999993</v>
      </c>
      <c r="S247" s="148">
        <v>8123</v>
      </c>
      <c r="U247" s="149">
        <v>44903</v>
      </c>
      <c r="X24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8122.9970999999996</v>
      </c>
      <c r="Y247" s="150">
        <f>Table242[[#This Row],[Total AR (Received)]]/Table242[[#This Row],[PO Amount]]</f>
        <v>0.99999964298904342</v>
      </c>
      <c r="Z247" s="151">
        <f>Table242[[#This Row],[PO Amount]]-Table242[[#This Row],[Total AR (Received)]]</f>
        <v>2.9000000004089088E-3</v>
      </c>
      <c r="AA247" s="152">
        <v>1</v>
      </c>
      <c r="AB247" s="152">
        <v>0</v>
      </c>
      <c r="AC247" s="152">
        <f>SUM(Table242[[#This Row],[Total M%]]*Table242[[#This Row],[Material Unit Price]],Table242[[#This Row],[Total L %]]*Table242[[#This Row],[Labor Unit Price]])/SUM(Table242[[#This Row],[Material Unit Price]:[Labor Unit Price]])</f>
        <v>0.20477603777360529</v>
      </c>
      <c r="AD247"/>
      <c r="AE247"/>
      <c r="AF247" s="148"/>
      <c r="AH247" s="2"/>
      <c r="AI247" s="2"/>
      <c r="AN247" s="167"/>
      <c r="AR247" s="168">
        <f>50%*Table242[[#This Row],[Total Per Tool]]</f>
        <v>4061.6870999999996</v>
      </c>
      <c r="BB247"/>
      <c r="BC247"/>
      <c r="BD247" s="154" t="s">
        <v>550</v>
      </c>
      <c r="BE247" s="2"/>
      <c r="BF247"/>
      <c r="BG247"/>
      <c r="BH247" s="319">
        <v>4061.31</v>
      </c>
      <c r="BI247"/>
      <c r="BJ247"/>
      <c r="BK247"/>
      <c r="BL247"/>
      <c r="BM247"/>
      <c r="BN247"/>
      <c r="BO247"/>
      <c r="BP247"/>
      <c r="BQ247"/>
      <c r="BR247" s="170">
        <f t="shared" ref="BR247:BR310" si="4">SUM(AD247:BH247)</f>
        <v>8122.9970999999996</v>
      </c>
    </row>
    <row r="248" spans="1:73" ht="14.45" hidden="1">
      <c r="B248" s="166" t="s">
        <v>47</v>
      </c>
      <c r="C248" s="3" t="s">
        <v>3022</v>
      </c>
      <c r="D248" s="3">
        <v>21740541</v>
      </c>
      <c r="E248" s="3">
        <v>2</v>
      </c>
      <c r="F248" s="3" t="s">
        <v>3023</v>
      </c>
      <c r="G248" s="3" t="s">
        <v>3024</v>
      </c>
      <c r="H248" s="3" t="s">
        <v>17</v>
      </c>
      <c r="I248" s="3" t="s">
        <v>3027</v>
      </c>
      <c r="J248" t="s">
        <v>3026</v>
      </c>
      <c r="K248" s="147"/>
      <c r="L248" s="3">
        <v>1</v>
      </c>
      <c r="M248" s="148">
        <v>1386.0990000000002</v>
      </c>
      <c r="N248" s="148">
        <v>5382.7544999999991</v>
      </c>
      <c r="Q248" s="148">
        <v>1353.7707</v>
      </c>
      <c r="R248" s="148">
        <f>Table242[[#This Row],[Material Unit Price]]+Table242[[#This Row],[Labor Unit Price]]+Table242[[#This Row],[GC + Manage+ Insur]]</f>
        <v>8122.6241999999993</v>
      </c>
      <c r="S248" s="148">
        <v>8123</v>
      </c>
      <c r="U248" s="149"/>
      <c r="X24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4061.3120999999996</v>
      </c>
      <c r="Y248" s="150">
        <f>Table242[[#This Row],[Total AR (Received)]]/Table242[[#This Row],[PO Amount]]</f>
        <v>0.49997686815216047</v>
      </c>
      <c r="Z248" s="151">
        <f>Table242[[#This Row],[PO Amount]]-Table242[[#This Row],[Total AR (Received)]]</f>
        <v>4061.6879000000004</v>
      </c>
      <c r="AA248" s="152">
        <v>1</v>
      </c>
      <c r="AB248" s="152">
        <v>0</v>
      </c>
      <c r="AC248" s="152">
        <f>SUM(Table242[[#This Row],[Total M%]]*Table242[[#This Row],[Material Unit Price]],Table242[[#This Row],[Total L %]]*Table242[[#This Row],[Labor Unit Price]])/SUM(Table242[[#This Row],[Material Unit Price]:[Labor Unit Price]])</f>
        <v>0.20477603777360529</v>
      </c>
      <c r="AD248"/>
      <c r="AE248"/>
      <c r="AF248" s="148"/>
      <c r="AH248" s="2"/>
      <c r="AI248" s="2"/>
      <c r="AN248" s="167"/>
      <c r="AR248" s="168">
        <f>50%*Table242[[#This Row],[Total Per Tool]]</f>
        <v>4061.3120999999996</v>
      </c>
      <c r="BB248"/>
      <c r="BC248"/>
      <c r="BD248" s="154" t="s">
        <v>550</v>
      </c>
      <c r="BE248" s="2"/>
      <c r="BF248"/>
      <c r="BG248"/>
      <c r="BH248"/>
      <c r="BI248"/>
      <c r="BJ248"/>
      <c r="BK248"/>
      <c r="BL248"/>
      <c r="BM248"/>
      <c r="BN248"/>
      <c r="BO248"/>
      <c r="BP248"/>
      <c r="BQ248"/>
      <c r="BR248" s="170">
        <f t="shared" si="4"/>
        <v>4061.3120999999996</v>
      </c>
    </row>
    <row r="249" spans="1:73" ht="14.45" hidden="1">
      <c r="A249" s="378"/>
      <c r="B249" s="396" t="s">
        <v>47</v>
      </c>
      <c r="C249" s="3" t="s">
        <v>3022</v>
      </c>
      <c r="D249" s="379">
        <v>21740542</v>
      </c>
      <c r="E249" s="379">
        <v>1</v>
      </c>
      <c r="F249" s="379" t="s">
        <v>3023</v>
      </c>
      <c r="G249" s="3" t="s">
        <v>3024</v>
      </c>
      <c r="H249" s="3" t="s">
        <v>17</v>
      </c>
      <c r="I249" s="379"/>
      <c r="J249" s="378" t="s">
        <v>3028</v>
      </c>
      <c r="K249" s="380"/>
      <c r="L249" s="379">
        <v>1</v>
      </c>
      <c r="M249" s="381"/>
      <c r="N249" s="381"/>
      <c r="O249" s="381"/>
      <c r="P249" s="381"/>
      <c r="Q249" s="381"/>
      <c r="R249" s="381">
        <f>Table242[[#This Row],[Material Unit Price]]+Table242[[#This Row],[Labor Unit Price]]+Table242[[#This Row],[GC + Manage+ Insur]]</f>
        <v>0</v>
      </c>
      <c r="S249" s="381">
        <f>Table242[[#This Row],[Total Per Tool]]*Table242[[#This Row],[Tool QTY]]</f>
        <v>0</v>
      </c>
      <c r="T249" s="381"/>
      <c r="U249" s="383">
        <v>44903</v>
      </c>
      <c r="V249" s="381"/>
      <c r="W249" s="381"/>
      <c r="X249" s="381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249" s="384" t="e">
        <f>Table242[[#This Row],[Total AR (Received)]]/Table242[[#This Row],[PO Amount]]</f>
        <v>#DIV/0!</v>
      </c>
      <c r="Z249" s="385">
        <f>Table242[[#This Row],[PO Amount]]-Table242[[#This Row],[Total AR (Received)]]</f>
        <v>0</v>
      </c>
      <c r="AA249" s="152"/>
      <c r="AB249" s="152"/>
      <c r="AC249" s="152" t="e">
        <f>SUM(Table242[[#This Row],[Total M%]]*Table242[[#This Row],[Material Unit Price]],Table242[[#This Row],[Total L %]]*Table242[[#This Row],[Labor Unit Price]])/SUM(Table242[[#This Row],[Material Unit Price]:[Labor Unit Price]])</f>
        <v>#DIV/0!</v>
      </c>
      <c r="AD249"/>
      <c r="AE249"/>
      <c r="AF249" s="148"/>
      <c r="AH249" s="2"/>
      <c r="AI249" s="2"/>
      <c r="AN249" s="167"/>
      <c r="BB249"/>
      <c r="BC249"/>
      <c r="BD249" s="154" t="s">
        <v>550</v>
      </c>
      <c r="BE249" s="2"/>
      <c r="BF249"/>
      <c r="BG249"/>
      <c r="BH249"/>
      <c r="BI249"/>
      <c r="BJ249"/>
      <c r="BK249"/>
      <c r="BL249"/>
      <c r="BM249"/>
      <c r="BN249"/>
      <c r="BO249"/>
      <c r="BP249"/>
      <c r="BQ249"/>
      <c r="BR249" s="397">
        <f t="shared" si="4"/>
        <v>0</v>
      </c>
      <c r="BS249" s="378"/>
      <c r="BT249" s="378"/>
      <c r="BU249" s="378"/>
    </row>
    <row r="250" spans="1:73" ht="14.45" hidden="1">
      <c r="A250" s="378"/>
      <c r="B250" s="396" t="s">
        <v>47</v>
      </c>
      <c r="C250" s="3" t="s">
        <v>3022</v>
      </c>
      <c r="D250" s="379">
        <v>21740542</v>
      </c>
      <c r="E250" s="379">
        <v>4</v>
      </c>
      <c r="F250" s="379" t="s">
        <v>3023</v>
      </c>
      <c r="G250" s="3" t="s">
        <v>3024</v>
      </c>
      <c r="H250" s="3" t="s">
        <v>17</v>
      </c>
      <c r="I250" s="379"/>
      <c r="J250" s="378" t="s">
        <v>3029</v>
      </c>
      <c r="K250" s="380"/>
      <c r="L250" s="379">
        <v>1</v>
      </c>
      <c r="M250" s="381"/>
      <c r="N250" s="381"/>
      <c r="O250" s="381"/>
      <c r="P250" s="381"/>
      <c r="Q250" s="381"/>
      <c r="R250" s="381">
        <f>Table242[[#This Row],[Material Unit Price]]+Table242[[#This Row],[Labor Unit Price]]+Table242[[#This Row],[GC + Manage+ Insur]]</f>
        <v>0</v>
      </c>
      <c r="S250" s="381">
        <f>Table242[[#This Row],[Total Per Tool]]*Table242[[#This Row],[Tool QTY]]</f>
        <v>0</v>
      </c>
      <c r="T250" s="381"/>
      <c r="U250" s="383">
        <v>44903</v>
      </c>
      <c r="V250" s="381"/>
      <c r="W250" s="381"/>
      <c r="X250" s="381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250" s="384" t="e">
        <f>Table242[[#This Row],[Total AR (Received)]]/Table242[[#This Row],[PO Amount]]</f>
        <v>#DIV/0!</v>
      </c>
      <c r="Z250" s="385">
        <f>Table242[[#This Row],[PO Amount]]-Table242[[#This Row],[Total AR (Received)]]</f>
        <v>0</v>
      </c>
      <c r="AA250" s="152"/>
      <c r="AB250" s="152"/>
      <c r="AC250" s="152" t="e">
        <f>SUM(Table242[[#This Row],[Total M%]]*Table242[[#This Row],[Material Unit Price]],Table242[[#This Row],[Total L %]]*Table242[[#This Row],[Labor Unit Price]])/SUM(Table242[[#This Row],[Material Unit Price]:[Labor Unit Price]])</f>
        <v>#DIV/0!</v>
      </c>
      <c r="AD250"/>
      <c r="AE250"/>
      <c r="AF250" s="148"/>
      <c r="AH250" s="2"/>
      <c r="AI250" s="2"/>
      <c r="AN250" s="167"/>
      <c r="BB250"/>
      <c r="BC250"/>
      <c r="BD250" s="154" t="s">
        <v>550</v>
      </c>
      <c r="BE250" s="2"/>
      <c r="BF250"/>
      <c r="BG250"/>
      <c r="BH250"/>
      <c r="BI250"/>
      <c r="BJ250"/>
      <c r="BK250"/>
      <c r="BL250"/>
      <c r="BM250"/>
      <c r="BN250"/>
      <c r="BO250"/>
      <c r="BP250"/>
      <c r="BQ250"/>
      <c r="BR250" s="397">
        <f t="shared" si="4"/>
        <v>0</v>
      </c>
      <c r="BS250" s="378"/>
      <c r="BT250" s="378"/>
      <c r="BU250" s="378"/>
    </row>
    <row r="251" spans="1:73" ht="14.45" hidden="1">
      <c r="A251" s="378"/>
      <c r="B251" s="396" t="s">
        <v>47</v>
      </c>
      <c r="C251" s="3" t="s">
        <v>3022</v>
      </c>
      <c r="D251" s="379">
        <v>21740542</v>
      </c>
      <c r="E251" s="379">
        <v>5</v>
      </c>
      <c r="F251" s="379" t="s">
        <v>3023</v>
      </c>
      <c r="G251" s="3" t="s">
        <v>3024</v>
      </c>
      <c r="H251" s="3" t="s">
        <v>17</v>
      </c>
      <c r="I251" s="379" t="s">
        <v>3030</v>
      </c>
      <c r="J251" s="378" t="s">
        <v>3029</v>
      </c>
      <c r="K251" s="380"/>
      <c r="L251" s="379">
        <v>1</v>
      </c>
      <c r="M251" s="381"/>
      <c r="N251" s="381"/>
      <c r="O251" s="381"/>
      <c r="P251" s="381"/>
      <c r="Q251" s="381"/>
      <c r="R251" s="381">
        <f>Table242[[#This Row],[Material Unit Price]]+Table242[[#This Row],[Labor Unit Price]]+Table242[[#This Row],[GC + Manage+ Insur]]</f>
        <v>0</v>
      </c>
      <c r="S251" s="381">
        <f>Table242[[#This Row],[Total Per Tool]]*Table242[[#This Row],[Tool QTY]]</f>
        <v>0</v>
      </c>
      <c r="T251" s="381"/>
      <c r="U251" s="383"/>
      <c r="V251" s="381"/>
      <c r="W251" s="381"/>
      <c r="X251" s="381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251" s="384" t="e">
        <f>Table242[[#This Row],[Total AR (Received)]]/Table242[[#This Row],[PO Amount]]</f>
        <v>#DIV/0!</v>
      </c>
      <c r="Z251" s="385">
        <f>Table242[[#This Row],[PO Amount]]-Table242[[#This Row],[Total AR (Received)]]</f>
        <v>0</v>
      </c>
      <c r="AA251" s="152"/>
      <c r="AB251" s="152"/>
      <c r="AC251" s="152" t="e">
        <f>SUM(Table242[[#This Row],[Total M%]]*Table242[[#This Row],[Material Unit Price]],Table242[[#This Row],[Total L %]]*Table242[[#This Row],[Labor Unit Price]])/SUM(Table242[[#This Row],[Material Unit Price]:[Labor Unit Price]])</f>
        <v>#DIV/0!</v>
      </c>
      <c r="AD251"/>
      <c r="AE251"/>
      <c r="AF251" s="148"/>
      <c r="AH251" s="2"/>
      <c r="AI251" s="2"/>
      <c r="AN251" s="167"/>
      <c r="BB251"/>
      <c r="BC251"/>
      <c r="BD251" s="154" t="s">
        <v>550</v>
      </c>
      <c r="BE251" s="2"/>
      <c r="BF251"/>
      <c r="BG251"/>
      <c r="BH251"/>
      <c r="BI251"/>
      <c r="BJ251"/>
      <c r="BK251"/>
      <c r="BL251"/>
      <c r="BM251"/>
      <c r="BN251"/>
      <c r="BO251"/>
      <c r="BP251"/>
      <c r="BQ251"/>
      <c r="BR251" s="397">
        <f t="shared" si="4"/>
        <v>0</v>
      </c>
      <c r="BS251" s="378"/>
      <c r="BT251" s="378"/>
      <c r="BU251" s="378"/>
    </row>
    <row r="252" spans="1:73" ht="14.45" hidden="1">
      <c r="A252" s="378"/>
      <c r="B252" s="396" t="s">
        <v>47</v>
      </c>
      <c r="C252" s="3" t="s">
        <v>3022</v>
      </c>
      <c r="D252" s="379">
        <v>21740542</v>
      </c>
      <c r="E252" s="379">
        <v>6</v>
      </c>
      <c r="F252" s="379" t="s">
        <v>3023</v>
      </c>
      <c r="G252" s="3" t="s">
        <v>3024</v>
      </c>
      <c r="H252" s="3" t="s">
        <v>17</v>
      </c>
      <c r="I252" s="379" t="s">
        <v>3031</v>
      </c>
      <c r="J252" s="378" t="s">
        <v>3032</v>
      </c>
      <c r="K252" s="380"/>
      <c r="L252" s="379">
        <v>1</v>
      </c>
      <c r="M252" s="381"/>
      <c r="N252" s="381"/>
      <c r="O252" s="381"/>
      <c r="P252" s="381"/>
      <c r="Q252" s="381"/>
      <c r="R252" s="381">
        <f>Table242[[#This Row],[Material Unit Price]]+Table242[[#This Row],[Labor Unit Price]]+Table242[[#This Row],[GC + Manage+ Insur]]</f>
        <v>0</v>
      </c>
      <c r="S252" s="381">
        <f>Table242[[#This Row],[Total Per Tool]]*Table242[[#This Row],[Tool QTY]]</f>
        <v>0</v>
      </c>
      <c r="T252" s="381"/>
      <c r="U252" s="383">
        <v>44903</v>
      </c>
      <c r="V252" s="381"/>
      <c r="W252" s="381"/>
      <c r="X252" s="381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252" s="384" t="e">
        <f>Table242[[#This Row],[Total AR (Received)]]/Table242[[#This Row],[PO Amount]]</f>
        <v>#DIV/0!</v>
      </c>
      <c r="Z252" s="385">
        <f>Table242[[#This Row],[PO Amount]]-Table242[[#This Row],[Total AR (Received)]]</f>
        <v>0</v>
      </c>
      <c r="AA252" s="152"/>
      <c r="AB252" s="152"/>
      <c r="AC252" s="152" t="e">
        <f>SUM(Table242[[#This Row],[Total M%]]*Table242[[#This Row],[Material Unit Price]],Table242[[#This Row],[Total L %]]*Table242[[#This Row],[Labor Unit Price]])/SUM(Table242[[#This Row],[Material Unit Price]:[Labor Unit Price]])</f>
        <v>#DIV/0!</v>
      </c>
      <c r="AD252"/>
      <c r="AE252"/>
      <c r="AF252" s="148"/>
      <c r="AH252" s="2"/>
      <c r="AI252" s="2"/>
      <c r="AN252" s="167"/>
      <c r="BB252"/>
      <c r="BC252"/>
      <c r="BD252" s="154" t="s">
        <v>550</v>
      </c>
      <c r="BE252" s="2"/>
      <c r="BF252"/>
      <c r="BG252"/>
      <c r="BH252"/>
      <c r="BI252"/>
      <c r="BJ252"/>
      <c r="BK252"/>
      <c r="BL252"/>
      <c r="BM252"/>
      <c r="BN252"/>
      <c r="BO252"/>
      <c r="BP252"/>
      <c r="BQ252"/>
      <c r="BR252" s="397">
        <f t="shared" si="4"/>
        <v>0</v>
      </c>
      <c r="BS252" s="378"/>
      <c r="BT252" s="378"/>
      <c r="BU252" s="378"/>
    </row>
    <row r="253" spans="1:73" ht="14.45" hidden="1">
      <c r="A253" s="378"/>
      <c r="B253" s="396" t="s">
        <v>47</v>
      </c>
      <c r="C253" s="3" t="s">
        <v>3022</v>
      </c>
      <c r="D253" s="379">
        <v>21740542</v>
      </c>
      <c r="E253" s="379">
        <v>8</v>
      </c>
      <c r="F253" s="379" t="s">
        <v>3023</v>
      </c>
      <c r="G253" s="3" t="s">
        <v>3024</v>
      </c>
      <c r="H253" s="3" t="s">
        <v>17</v>
      </c>
      <c r="I253" s="379"/>
      <c r="J253" s="378" t="s">
        <v>3033</v>
      </c>
      <c r="K253" s="380"/>
      <c r="L253" s="379">
        <v>1</v>
      </c>
      <c r="M253" s="381"/>
      <c r="N253" s="381"/>
      <c r="O253" s="381"/>
      <c r="P253" s="381"/>
      <c r="Q253" s="381"/>
      <c r="R253" s="381">
        <f>Table242[[#This Row],[Material Unit Price]]+Table242[[#This Row],[Labor Unit Price]]+Table242[[#This Row],[GC + Manage+ Insur]]</f>
        <v>0</v>
      </c>
      <c r="S253" s="381">
        <f>Table242[[#This Row],[Total Per Tool]]*Table242[[#This Row],[Tool QTY]]</f>
        <v>0</v>
      </c>
      <c r="T253" s="381"/>
      <c r="U253" s="383"/>
      <c r="V253" s="381"/>
      <c r="W253" s="381"/>
      <c r="X253" s="381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253" s="384" t="e">
        <f>Table242[[#This Row],[Total AR (Received)]]/Table242[[#This Row],[PO Amount]]</f>
        <v>#DIV/0!</v>
      </c>
      <c r="Z253" s="385">
        <f>Table242[[#This Row],[PO Amount]]-Table242[[#This Row],[Total AR (Received)]]</f>
        <v>0</v>
      </c>
      <c r="AA253" s="152"/>
      <c r="AB253" s="152"/>
      <c r="AC253" s="152" t="e">
        <f>SUM(Table242[[#This Row],[Total M%]]*Table242[[#This Row],[Material Unit Price]],Table242[[#This Row],[Total L %]]*Table242[[#This Row],[Labor Unit Price]])/SUM(Table242[[#This Row],[Material Unit Price]:[Labor Unit Price]])</f>
        <v>#DIV/0!</v>
      </c>
      <c r="AD253"/>
      <c r="AE253"/>
      <c r="AF253" s="148"/>
      <c r="AH253" s="2"/>
      <c r="AI253" s="2"/>
      <c r="AN253" s="167"/>
      <c r="BB253"/>
      <c r="BC253"/>
      <c r="BD253" s="154" t="s">
        <v>550</v>
      </c>
      <c r="BE253" s="2"/>
      <c r="BF253"/>
      <c r="BG253"/>
      <c r="BH253"/>
      <c r="BI253"/>
      <c r="BJ253"/>
      <c r="BK253"/>
      <c r="BL253"/>
      <c r="BM253"/>
      <c r="BN253"/>
      <c r="BO253"/>
      <c r="BP253"/>
      <c r="BQ253"/>
      <c r="BR253" s="397">
        <f t="shared" si="4"/>
        <v>0</v>
      </c>
      <c r="BS253" s="378"/>
      <c r="BT253" s="378"/>
      <c r="BU253" s="378"/>
    </row>
    <row r="254" spans="1:73" ht="14.45" hidden="1">
      <c r="B254" s="166" t="s">
        <v>47</v>
      </c>
      <c r="C254" s="3" t="s">
        <v>3022</v>
      </c>
      <c r="D254" s="3">
        <v>21740604</v>
      </c>
      <c r="E254" s="3">
        <v>2</v>
      </c>
      <c r="F254" s="3" t="s">
        <v>3023</v>
      </c>
      <c r="G254" s="3" t="s">
        <v>3024</v>
      </c>
      <c r="H254" s="3" t="s">
        <v>17</v>
      </c>
      <c r="I254" s="3" t="s">
        <v>3034</v>
      </c>
      <c r="J254" t="s">
        <v>3035</v>
      </c>
      <c r="K254" s="147"/>
      <c r="L254" s="3">
        <v>1</v>
      </c>
      <c r="N254" s="148">
        <v>3717</v>
      </c>
      <c r="Q254" s="148">
        <v>743.40000000000009</v>
      </c>
      <c r="R254" s="148">
        <f>Table242[[#This Row],[Material Unit Price]]+Table242[[#This Row],[Labor Unit Price]]+Table242[[#This Row],[GC + Manage+ Insur]]</f>
        <v>4460.3999999999996</v>
      </c>
      <c r="S254" s="148">
        <f>Table242[[#This Row],[Total Per Tool]]*Table242[[#This Row],[Tool QTY]]</f>
        <v>4460.3999999999996</v>
      </c>
      <c r="U254" s="149"/>
      <c r="X25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4460.3999999999996</v>
      </c>
      <c r="Y254" s="150">
        <f>Table242[[#This Row],[Total AR (Received)]]/Table242[[#This Row],[PO Amount]]</f>
        <v>1</v>
      </c>
      <c r="Z254" s="151">
        <f>Table242[[#This Row],[PO Amount]]-Table242[[#This Row],[Total AR (Received)]]</f>
        <v>0</v>
      </c>
      <c r="AA254" s="152"/>
      <c r="AB254" s="152"/>
      <c r="AC254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54"/>
      <c r="AE254"/>
      <c r="AF254" s="148"/>
      <c r="AH254" s="2"/>
      <c r="AI254" s="2"/>
      <c r="AN254" s="167"/>
      <c r="AR254" s="168">
        <f>50%*Table242[[#This Row],[Total Per Tool]]</f>
        <v>2230.1999999999998</v>
      </c>
      <c r="BB254"/>
      <c r="BC254"/>
      <c r="BD254" s="154" t="s">
        <v>550</v>
      </c>
      <c r="BE254" s="2"/>
      <c r="BF254"/>
      <c r="BG254"/>
      <c r="BH254" s="319">
        <v>2230.1999999999998</v>
      </c>
      <c r="BI254"/>
      <c r="BJ254"/>
      <c r="BK254"/>
      <c r="BL254"/>
      <c r="BM254"/>
      <c r="BN254"/>
      <c r="BO254"/>
      <c r="BP254"/>
      <c r="BQ254"/>
      <c r="BR254" s="170">
        <f t="shared" si="4"/>
        <v>4460.3999999999996</v>
      </c>
    </row>
    <row r="255" spans="1:73" ht="14.45" hidden="1">
      <c r="B255" s="166" t="s">
        <v>47</v>
      </c>
      <c r="C255" s="3" t="s">
        <v>3022</v>
      </c>
      <c r="D255" s="3">
        <v>21740604</v>
      </c>
      <c r="E255" s="3">
        <v>3</v>
      </c>
      <c r="F255" s="3" t="s">
        <v>3023</v>
      </c>
      <c r="G255" s="3" t="s">
        <v>3024</v>
      </c>
      <c r="H255" s="3" t="s">
        <v>17</v>
      </c>
      <c r="I255" s="3" t="s">
        <v>3036</v>
      </c>
      <c r="J255" t="s">
        <v>3035</v>
      </c>
      <c r="K255" s="147"/>
      <c r="L255" s="3">
        <v>1</v>
      </c>
      <c r="N255" s="148">
        <v>3717</v>
      </c>
      <c r="Q255" s="148">
        <v>743.40000000000009</v>
      </c>
      <c r="R255" s="148">
        <f>Table242[[#This Row],[Material Unit Price]]+Table242[[#This Row],[Labor Unit Price]]+Table242[[#This Row],[GC + Manage+ Insur]]</f>
        <v>4460.3999999999996</v>
      </c>
      <c r="S255" s="148">
        <f>Table242[[#This Row],[Total Per Tool]]*Table242[[#This Row],[Tool QTY]]</f>
        <v>4460.3999999999996</v>
      </c>
      <c r="U255" s="149"/>
      <c r="X25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4460.3999999999996</v>
      </c>
      <c r="Y255" s="150">
        <f>Table242[[#This Row],[Total AR (Received)]]/Table242[[#This Row],[PO Amount]]</f>
        <v>1</v>
      </c>
      <c r="Z255" s="151">
        <f>Table242[[#This Row],[PO Amount]]-Table242[[#This Row],[Total AR (Received)]]</f>
        <v>0</v>
      </c>
      <c r="AA255" s="152"/>
      <c r="AB255" s="152"/>
      <c r="AC255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55"/>
      <c r="AE255"/>
      <c r="AF255" s="148"/>
      <c r="AH255" s="2"/>
      <c r="AI255" s="2"/>
      <c r="AN255" s="167"/>
      <c r="AR255" s="168">
        <f>50%*Table242[[#This Row],[Total Per Tool]]</f>
        <v>2230.1999999999998</v>
      </c>
      <c r="BB255"/>
      <c r="BC255"/>
      <c r="BD255" s="154" t="s">
        <v>550</v>
      </c>
      <c r="BE255" s="2"/>
      <c r="BF255"/>
      <c r="BG255"/>
      <c r="BH255" s="169">
        <v>2230.1999999999998</v>
      </c>
      <c r="BI255"/>
      <c r="BJ255"/>
      <c r="BK255"/>
      <c r="BL255"/>
      <c r="BM255"/>
      <c r="BN255"/>
      <c r="BO255"/>
      <c r="BP255"/>
      <c r="BQ255"/>
      <c r="BR255" s="170">
        <f t="shared" si="4"/>
        <v>4460.3999999999996</v>
      </c>
    </row>
    <row r="256" spans="1:73" ht="14.45" hidden="1">
      <c r="B256" s="166" t="s">
        <v>47</v>
      </c>
      <c r="C256" s="3" t="s">
        <v>3022</v>
      </c>
      <c r="D256" s="3">
        <v>21740604</v>
      </c>
      <c r="E256" s="3">
        <v>4</v>
      </c>
      <c r="F256" s="3" t="s">
        <v>3023</v>
      </c>
      <c r="G256" s="3" t="s">
        <v>3024</v>
      </c>
      <c r="H256" s="3" t="s">
        <v>17</v>
      </c>
      <c r="I256" s="3" t="s">
        <v>3037</v>
      </c>
      <c r="J256" t="s">
        <v>3035</v>
      </c>
      <c r="K256" s="147"/>
      <c r="L256" s="3">
        <v>1</v>
      </c>
      <c r="N256" s="148">
        <v>3717</v>
      </c>
      <c r="Q256" s="148">
        <v>743.40000000000009</v>
      </c>
      <c r="R256" s="148">
        <f>Table242[[#This Row],[Material Unit Price]]+Table242[[#This Row],[Labor Unit Price]]+Table242[[#This Row],[GC + Manage+ Insur]]</f>
        <v>4460.3999999999996</v>
      </c>
      <c r="S256" s="148">
        <f>Table242[[#This Row],[Total Per Tool]]*Table242[[#This Row],[Tool QTY]]</f>
        <v>4460.3999999999996</v>
      </c>
      <c r="U256" s="149"/>
      <c r="X25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2230.1999999999998</v>
      </c>
      <c r="Y256" s="150">
        <f>Table242[[#This Row],[Total AR (Received)]]/Table242[[#This Row],[PO Amount]]</f>
        <v>0.5</v>
      </c>
      <c r="Z256" s="151">
        <f>Table242[[#This Row],[PO Amount]]-Table242[[#This Row],[Total AR (Received)]]</f>
        <v>2230.1999999999998</v>
      </c>
      <c r="AA256" s="152"/>
      <c r="AB256" s="152"/>
      <c r="AC256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56"/>
      <c r="AE256"/>
      <c r="AF256" s="148"/>
      <c r="AH256" s="2"/>
      <c r="AI256" s="2"/>
      <c r="AN256" s="167"/>
      <c r="AR256" s="168">
        <f>50%*Table242[[#This Row],[Total Per Tool]]</f>
        <v>2230.1999999999998</v>
      </c>
      <c r="BB256"/>
      <c r="BC256"/>
      <c r="BD256" s="154" t="s">
        <v>550</v>
      </c>
      <c r="BE256" s="2"/>
      <c r="BF256"/>
      <c r="BG256"/>
      <c r="BH256"/>
      <c r="BI256"/>
      <c r="BJ256"/>
      <c r="BK256"/>
      <c r="BL256"/>
      <c r="BM256"/>
      <c r="BN256"/>
      <c r="BO256"/>
      <c r="BP256"/>
      <c r="BQ256"/>
      <c r="BR256" s="170">
        <f t="shared" si="4"/>
        <v>2230.1999999999998</v>
      </c>
    </row>
    <row r="257" spans="2:70" ht="14.45" hidden="1">
      <c r="B257" s="166" t="s">
        <v>47</v>
      </c>
      <c r="C257" s="3" t="s">
        <v>3022</v>
      </c>
      <c r="D257" s="3">
        <v>21740604</v>
      </c>
      <c r="E257" s="3">
        <v>5</v>
      </c>
      <c r="F257" s="3" t="s">
        <v>3023</v>
      </c>
      <c r="G257" s="3" t="s">
        <v>3024</v>
      </c>
      <c r="H257" s="3" t="s">
        <v>17</v>
      </c>
      <c r="I257" s="3" t="s">
        <v>3038</v>
      </c>
      <c r="J257" t="s">
        <v>3035</v>
      </c>
      <c r="K257" s="147"/>
      <c r="L257" s="3">
        <v>1</v>
      </c>
      <c r="N257" s="148">
        <v>3717</v>
      </c>
      <c r="Q257" s="148">
        <v>743.40000000000009</v>
      </c>
      <c r="R257" s="148">
        <f>Table242[[#This Row],[Material Unit Price]]+Table242[[#This Row],[Labor Unit Price]]+Table242[[#This Row],[GC + Manage+ Insur]]</f>
        <v>4460.3999999999996</v>
      </c>
      <c r="S257" s="148">
        <f>Table242[[#This Row],[Total Per Tool]]*Table242[[#This Row],[Tool QTY]]</f>
        <v>4460.3999999999996</v>
      </c>
      <c r="U257" s="149"/>
      <c r="X25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2230.1999999999998</v>
      </c>
      <c r="Y257" s="150">
        <f>Table242[[#This Row],[Total AR (Received)]]/Table242[[#This Row],[PO Amount]]</f>
        <v>0.5</v>
      </c>
      <c r="Z257" s="151">
        <f>Table242[[#This Row],[PO Amount]]-Table242[[#This Row],[Total AR (Received)]]</f>
        <v>2230.1999999999998</v>
      </c>
      <c r="AA257" s="152"/>
      <c r="AB257" s="152"/>
      <c r="AC257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57"/>
      <c r="AE257"/>
      <c r="AF257" s="148"/>
      <c r="AH257" s="2"/>
      <c r="AI257" s="2"/>
      <c r="AN257" s="167"/>
      <c r="AR257" s="168">
        <f>50%*Table242[[#This Row],[Total Per Tool]]</f>
        <v>2230.1999999999998</v>
      </c>
      <c r="BB257"/>
      <c r="BC257"/>
      <c r="BD257" s="154" t="s">
        <v>550</v>
      </c>
      <c r="BE257" s="2"/>
      <c r="BF257"/>
      <c r="BG257"/>
      <c r="BH257"/>
      <c r="BI257"/>
      <c r="BJ257"/>
      <c r="BK257"/>
      <c r="BL257"/>
      <c r="BM257"/>
      <c r="BN257"/>
      <c r="BO257"/>
      <c r="BP257"/>
      <c r="BQ257"/>
      <c r="BR257" s="170">
        <f t="shared" si="4"/>
        <v>2230.1999999999998</v>
      </c>
    </row>
    <row r="258" spans="2:70" ht="14.45" hidden="1">
      <c r="B258" s="166" t="s">
        <v>47</v>
      </c>
      <c r="C258" s="3" t="s">
        <v>3022</v>
      </c>
      <c r="D258" s="3">
        <v>21740604</v>
      </c>
      <c r="E258" s="3">
        <v>6</v>
      </c>
      <c r="F258" s="3" t="s">
        <v>3023</v>
      </c>
      <c r="G258" s="3" t="s">
        <v>3024</v>
      </c>
      <c r="H258" s="3" t="s">
        <v>17</v>
      </c>
      <c r="I258" s="3" t="s">
        <v>3039</v>
      </c>
      <c r="J258" t="s">
        <v>3035</v>
      </c>
      <c r="K258" s="147"/>
      <c r="L258" s="3">
        <v>1</v>
      </c>
      <c r="N258" s="148">
        <v>3717</v>
      </c>
      <c r="Q258" s="148">
        <v>743.40000000000009</v>
      </c>
      <c r="R258" s="148">
        <f>Table242[[#This Row],[Material Unit Price]]+Table242[[#This Row],[Labor Unit Price]]+Table242[[#This Row],[GC + Manage+ Insur]]</f>
        <v>4460.3999999999996</v>
      </c>
      <c r="S258" s="148">
        <f>Table242[[#This Row],[Total Per Tool]]*Table242[[#This Row],[Tool QTY]]</f>
        <v>4460.3999999999996</v>
      </c>
      <c r="U258" s="149"/>
      <c r="X25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2230.1999999999998</v>
      </c>
      <c r="Y258" s="150">
        <f>Table242[[#This Row],[Total AR (Received)]]/Table242[[#This Row],[PO Amount]]</f>
        <v>0.5</v>
      </c>
      <c r="Z258" s="151">
        <f>Table242[[#This Row],[PO Amount]]-Table242[[#This Row],[Total AR (Received)]]</f>
        <v>2230.1999999999998</v>
      </c>
      <c r="AA258" s="152"/>
      <c r="AB258" s="152"/>
      <c r="AC258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58"/>
      <c r="AE258"/>
      <c r="AF258" s="148"/>
      <c r="AH258" s="2"/>
      <c r="AI258" s="2"/>
      <c r="AN258" s="167"/>
      <c r="AR258" s="168">
        <f>50%*Table242[[#This Row],[Total Per Tool]]</f>
        <v>2230.1999999999998</v>
      </c>
      <c r="BB258"/>
      <c r="BC258"/>
      <c r="BD258" s="154" t="s">
        <v>550</v>
      </c>
      <c r="BE258" s="2"/>
      <c r="BF258"/>
      <c r="BG258"/>
      <c r="BH258"/>
      <c r="BI258"/>
      <c r="BJ258"/>
      <c r="BK258"/>
      <c r="BL258"/>
      <c r="BM258"/>
      <c r="BN258"/>
      <c r="BO258"/>
      <c r="BP258"/>
      <c r="BQ258"/>
      <c r="BR258" s="170">
        <f t="shared" si="4"/>
        <v>2230.1999999999998</v>
      </c>
    </row>
    <row r="259" spans="2:70" ht="14.45" hidden="1">
      <c r="B259" s="166" t="s">
        <v>47</v>
      </c>
      <c r="C259" s="3" t="s">
        <v>3022</v>
      </c>
      <c r="D259" s="3">
        <v>21740604</v>
      </c>
      <c r="E259" s="3">
        <v>7</v>
      </c>
      <c r="F259" s="3" t="s">
        <v>3023</v>
      </c>
      <c r="G259" s="3" t="s">
        <v>3024</v>
      </c>
      <c r="H259" s="3" t="s">
        <v>17</v>
      </c>
      <c r="I259" s="3" t="s">
        <v>3040</v>
      </c>
      <c r="J259" t="s">
        <v>3035</v>
      </c>
      <c r="K259" s="147"/>
      <c r="L259" s="3">
        <v>1</v>
      </c>
      <c r="N259" s="148">
        <v>3717</v>
      </c>
      <c r="Q259" s="148">
        <v>743.40000000000009</v>
      </c>
      <c r="R259" s="148">
        <f>Table242[[#This Row],[Material Unit Price]]+Table242[[#This Row],[Labor Unit Price]]+Table242[[#This Row],[GC + Manage+ Insur]]</f>
        <v>4460.3999999999996</v>
      </c>
      <c r="S259" s="148">
        <f>Table242[[#This Row],[Total Per Tool]]*Table242[[#This Row],[Tool QTY]]</f>
        <v>4460.3999999999996</v>
      </c>
      <c r="U259" s="149"/>
      <c r="X25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2230.1999999999998</v>
      </c>
      <c r="Y259" s="150">
        <f>Table242[[#This Row],[Total AR (Received)]]/Table242[[#This Row],[PO Amount]]</f>
        <v>0.5</v>
      </c>
      <c r="Z259" s="151">
        <f>Table242[[#This Row],[PO Amount]]-Table242[[#This Row],[Total AR (Received)]]</f>
        <v>2230.1999999999998</v>
      </c>
      <c r="AA259" s="152"/>
      <c r="AB259" s="152"/>
      <c r="AC259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59"/>
      <c r="AE259"/>
      <c r="AF259" s="148"/>
      <c r="AH259" s="2"/>
      <c r="AI259" s="2"/>
      <c r="AN259" s="167"/>
      <c r="AR259" s="168">
        <f>50%*Table242[[#This Row],[Total Per Tool]]</f>
        <v>2230.1999999999998</v>
      </c>
      <c r="BB259"/>
      <c r="BC259"/>
      <c r="BD259" s="154" t="s">
        <v>550</v>
      </c>
      <c r="BE259" s="2"/>
      <c r="BF259"/>
      <c r="BG259"/>
      <c r="BH259"/>
      <c r="BI259"/>
      <c r="BJ259"/>
      <c r="BK259"/>
      <c r="BL259"/>
      <c r="BM259"/>
      <c r="BN259"/>
      <c r="BO259"/>
      <c r="BP259"/>
      <c r="BQ259"/>
      <c r="BR259" s="170">
        <f t="shared" si="4"/>
        <v>2230.1999999999998</v>
      </c>
    </row>
    <row r="260" spans="2:70" ht="14.45" hidden="1">
      <c r="B260" s="166" t="s">
        <v>47</v>
      </c>
      <c r="C260" s="3" t="s">
        <v>3022</v>
      </c>
      <c r="D260" s="3">
        <v>21740604</v>
      </c>
      <c r="E260" s="3">
        <v>1</v>
      </c>
      <c r="F260" s="3" t="s">
        <v>3023</v>
      </c>
      <c r="G260" s="3" t="s">
        <v>3024</v>
      </c>
      <c r="H260" s="3" t="s">
        <v>17</v>
      </c>
      <c r="I260" s="3" t="s">
        <v>3041</v>
      </c>
      <c r="J260" t="s">
        <v>3035</v>
      </c>
      <c r="K260" s="147"/>
      <c r="L260" s="3">
        <v>1</v>
      </c>
      <c r="N260" s="148">
        <v>3717</v>
      </c>
      <c r="Q260" s="148">
        <v>743.40000000000009</v>
      </c>
      <c r="R260" s="148">
        <f>Table242[[#This Row],[Material Unit Price]]+Table242[[#This Row],[Labor Unit Price]]+Table242[[#This Row],[GC + Manage+ Insur]]</f>
        <v>4460.3999999999996</v>
      </c>
      <c r="S260" s="148">
        <f>Table242[[#This Row],[Total Per Tool]]*Table242[[#This Row],[Tool QTY]]</f>
        <v>4460.3999999999996</v>
      </c>
      <c r="U260" s="149">
        <v>44903</v>
      </c>
      <c r="X26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4460.3999999999996</v>
      </c>
      <c r="Y260" s="150">
        <f>Table242[[#This Row],[Total AR (Received)]]/Table242[[#This Row],[PO Amount]]</f>
        <v>1</v>
      </c>
      <c r="Z260" s="151">
        <f>Table242[[#This Row],[PO Amount]]-Table242[[#This Row],[Total AR (Received)]]</f>
        <v>0</v>
      </c>
      <c r="AA260" s="152"/>
      <c r="AB260" s="152"/>
      <c r="AC260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60"/>
      <c r="AE260"/>
      <c r="AF260" s="148"/>
      <c r="AH260" s="2"/>
      <c r="AI260" s="2"/>
      <c r="AN260" s="167"/>
      <c r="AR260" s="168">
        <f>50%*Table242[[#This Row],[Total Per Tool]]</f>
        <v>2230.1999999999998</v>
      </c>
      <c r="BB260"/>
      <c r="BC260"/>
      <c r="BD260" s="154" t="s">
        <v>550</v>
      </c>
      <c r="BE260" s="2"/>
      <c r="BF260" s="169">
        <v>2230.1999999999998</v>
      </c>
      <c r="BG260"/>
      <c r="BH260"/>
      <c r="BI260"/>
      <c r="BJ260"/>
      <c r="BK260"/>
      <c r="BL260"/>
      <c r="BM260"/>
      <c r="BN260"/>
      <c r="BO260"/>
      <c r="BP260"/>
      <c r="BQ260"/>
      <c r="BR260" s="170">
        <f t="shared" si="4"/>
        <v>4460.3999999999996</v>
      </c>
    </row>
    <row r="261" spans="2:70" ht="14.45" hidden="1">
      <c r="B261" s="166" t="s">
        <v>47</v>
      </c>
      <c r="C261" s="3" t="s">
        <v>3022</v>
      </c>
      <c r="D261" s="3">
        <v>21740606</v>
      </c>
      <c r="E261" s="3">
        <v>1</v>
      </c>
      <c r="F261" s="3" t="s">
        <v>3023</v>
      </c>
      <c r="G261" s="3" t="s">
        <v>3024</v>
      </c>
      <c r="H261" s="3" t="s">
        <v>17</v>
      </c>
      <c r="I261" s="3" t="s">
        <v>3042</v>
      </c>
      <c r="J261" t="s">
        <v>3043</v>
      </c>
      <c r="K261" s="147"/>
      <c r="L261" s="3">
        <v>1</v>
      </c>
      <c r="M261" s="148">
        <v>1386.0990000000002</v>
      </c>
      <c r="N261" s="148">
        <v>17298.754499999999</v>
      </c>
      <c r="Q261" s="148">
        <f>1.1+3736.9707</f>
        <v>3738.0706999999998</v>
      </c>
      <c r="R261" s="148">
        <f>Table242[[#This Row],[Material Unit Price]]+Table242[[#This Row],[Labor Unit Price]]+Table242[[#This Row],[GC + Manage+ Insur]]</f>
        <v>22422.924199999998</v>
      </c>
      <c r="S261" s="148">
        <f>Table242[[#This Row],[Total Per Tool]]*Table242[[#This Row],[Tool QTY]]</f>
        <v>22422.924199999998</v>
      </c>
      <c r="U261" s="149">
        <v>44903</v>
      </c>
      <c r="X26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22422.922099999996</v>
      </c>
      <c r="Y261" s="150">
        <f>Table242[[#This Row],[Total AR (Received)]]/Table242[[#This Row],[PO Amount]]</f>
        <v>0.99999990634584579</v>
      </c>
      <c r="Z261" s="151">
        <f>Table242[[#This Row],[PO Amount]]-Table242[[#This Row],[Total AR (Received)]]</f>
        <v>2.1000000015192199E-3</v>
      </c>
      <c r="AA261" s="152">
        <v>1</v>
      </c>
      <c r="AB261" s="152">
        <v>0</v>
      </c>
      <c r="AC261" s="152">
        <f>SUM(Table242[[#This Row],[Total M%]]*Table242[[#This Row],[Material Unit Price]],Table242[[#This Row],[Total L %]]*Table242[[#This Row],[Labor Unit Price]])/SUM(Table242[[#This Row],[Material Unit Price]:[Labor Unit Price]])</f>
        <v>7.4183027445197808E-2</v>
      </c>
      <c r="AD261"/>
      <c r="AE261"/>
      <c r="AF261" s="148"/>
      <c r="AH261" s="2"/>
      <c r="AI261" s="2"/>
      <c r="AN261" s="167"/>
      <c r="AR261" s="168">
        <f>50%*Table242[[#This Row],[Total Per Tool]]</f>
        <v>11211.462099999999</v>
      </c>
      <c r="BB261"/>
      <c r="BC261"/>
      <c r="BD261" s="154" t="s">
        <v>550</v>
      </c>
      <c r="BE261" s="2"/>
      <c r="BF261"/>
      <c r="BG261"/>
      <c r="BH261" s="319">
        <v>11211.46</v>
      </c>
      <c r="BI261"/>
      <c r="BJ261"/>
      <c r="BK261"/>
      <c r="BL261"/>
      <c r="BM261"/>
      <c r="BN261"/>
      <c r="BO261"/>
      <c r="BP261"/>
      <c r="BQ261"/>
      <c r="BR261" s="170">
        <f t="shared" si="4"/>
        <v>22422.922099999996</v>
      </c>
    </row>
    <row r="262" spans="2:70" ht="14.45" hidden="1">
      <c r="B262" s="166" t="s">
        <v>47</v>
      </c>
      <c r="C262" s="3" t="s">
        <v>3022</v>
      </c>
      <c r="D262" s="3">
        <v>21740606</v>
      </c>
      <c r="E262" s="3">
        <v>2</v>
      </c>
      <c r="F262" s="3" t="s">
        <v>3023</v>
      </c>
      <c r="G262" s="3" t="s">
        <v>3024</v>
      </c>
      <c r="H262" s="3" t="s">
        <v>17</v>
      </c>
      <c r="I262" s="3" t="s">
        <v>3044</v>
      </c>
      <c r="J262" t="s">
        <v>3043</v>
      </c>
      <c r="K262" s="147"/>
      <c r="L262" s="3">
        <v>1</v>
      </c>
      <c r="M262" s="148">
        <v>1386.0990000000002</v>
      </c>
      <c r="N262" s="148">
        <v>17298.754499999999</v>
      </c>
      <c r="Q262" s="148">
        <v>3736.9706999999999</v>
      </c>
      <c r="R262" s="148">
        <f>Table242[[#This Row],[Material Unit Price]]+Table242[[#This Row],[Labor Unit Price]]+Table242[[#This Row],[GC + Manage+ Insur]]</f>
        <v>22421.824199999995</v>
      </c>
      <c r="S262" s="148">
        <f>Table242[[#This Row],[Total Per Tool]]*Table242[[#This Row],[Tool QTY]]</f>
        <v>22421.824199999995</v>
      </c>
      <c r="U262" s="149"/>
      <c r="X26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22421.822099999998</v>
      </c>
      <c r="Y262" s="150">
        <f>Table242[[#This Row],[Total AR (Received)]]/Table242[[#This Row],[PO Amount]]</f>
        <v>0.99999990634125135</v>
      </c>
      <c r="Z262" s="151">
        <f>Table242[[#This Row],[PO Amount]]-Table242[[#This Row],[Total AR (Received)]]</f>
        <v>2.0999999978812411E-3</v>
      </c>
      <c r="AA262" s="152">
        <v>1</v>
      </c>
      <c r="AB262" s="152">
        <v>0</v>
      </c>
      <c r="AC262" s="152">
        <f>SUM(Table242[[#This Row],[Total M%]]*Table242[[#This Row],[Material Unit Price]],Table242[[#This Row],[Total L %]]*Table242[[#This Row],[Labor Unit Price]])/SUM(Table242[[#This Row],[Material Unit Price]:[Labor Unit Price]])</f>
        <v>7.4183027445197808E-2</v>
      </c>
      <c r="AD262"/>
      <c r="AE262"/>
      <c r="AF262" s="148"/>
      <c r="AH262" s="2"/>
      <c r="AI262" s="2"/>
      <c r="AN262" s="167"/>
      <c r="AR262" s="168">
        <f>50%*Table242[[#This Row],[Total Per Tool]]</f>
        <v>11210.912099999998</v>
      </c>
      <c r="BB262"/>
      <c r="BC262"/>
      <c r="BD262" s="154" t="s">
        <v>550</v>
      </c>
      <c r="BE262" s="2"/>
      <c r="BF262"/>
      <c r="BG262"/>
      <c r="BH262" s="319">
        <v>11210.91</v>
      </c>
      <c r="BI262"/>
      <c r="BJ262"/>
      <c r="BK262"/>
      <c r="BL262"/>
      <c r="BM262"/>
      <c r="BN262"/>
      <c r="BO262"/>
      <c r="BP262"/>
      <c r="BQ262"/>
      <c r="BR262" s="170">
        <f t="shared" si="4"/>
        <v>22421.822099999998</v>
      </c>
    </row>
    <row r="263" spans="2:70" ht="14.45" hidden="1">
      <c r="B263" s="166" t="s">
        <v>47</v>
      </c>
      <c r="C263" s="3" t="s">
        <v>3022</v>
      </c>
      <c r="D263" s="3">
        <v>21740606</v>
      </c>
      <c r="E263" s="3">
        <v>3</v>
      </c>
      <c r="F263" s="3" t="s">
        <v>3023</v>
      </c>
      <c r="G263" s="3" t="s">
        <v>3024</v>
      </c>
      <c r="H263" s="3" t="s">
        <v>17</v>
      </c>
      <c r="I263" s="3" t="s">
        <v>3045</v>
      </c>
      <c r="J263" t="s">
        <v>3046</v>
      </c>
      <c r="K263" s="147"/>
      <c r="L263" s="3">
        <v>1</v>
      </c>
      <c r="M263" s="148">
        <v>1386.0990000000002</v>
      </c>
      <c r="N263" s="148">
        <v>20502.754499999999</v>
      </c>
      <c r="Q263" s="148">
        <v>4377.7707</v>
      </c>
      <c r="R263" s="148">
        <f>Table242[[#This Row],[Material Unit Price]]+Table242[[#This Row],[Labor Unit Price]]+Table242[[#This Row],[GC + Manage+ Insur]]</f>
        <v>26266.624199999998</v>
      </c>
      <c r="S263" s="148">
        <f>Table242[[#This Row],[Total Per Tool]]*Table242[[#This Row],[Tool QTY]]</f>
        <v>26266.624199999998</v>
      </c>
      <c r="U263" s="149">
        <v>44903</v>
      </c>
      <c r="X26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26266.622100000001</v>
      </c>
      <c r="Y263" s="150">
        <f>Table242[[#This Row],[Total AR (Received)]]/Table242[[#This Row],[PO Amount]]</f>
        <v>0.99999992005063221</v>
      </c>
      <c r="Z263" s="151">
        <f>Table242[[#This Row],[PO Amount]]-Table242[[#This Row],[Total AR (Received)]]</f>
        <v>2.0999999978812411E-3</v>
      </c>
      <c r="AA263" s="152">
        <v>1</v>
      </c>
      <c r="AB263" s="152">
        <v>0</v>
      </c>
      <c r="AC263" s="152">
        <f>SUM(Table242[[#This Row],[Total M%]]*Table242[[#This Row],[Material Unit Price]],Table242[[#This Row],[Total L %]]*Table242[[#This Row],[Labor Unit Price]])/SUM(Table242[[#This Row],[Material Unit Price]:[Labor Unit Price]])</f>
        <v>6.3324422176794251E-2</v>
      </c>
      <c r="AD263"/>
      <c r="AE263"/>
      <c r="AF263" s="148"/>
      <c r="AH263" s="2"/>
      <c r="AI263" s="2"/>
      <c r="AN263" s="167"/>
      <c r="AR263" s="168">
        <f>50%*Table242[[#This Row],[Total Per Tool]]</f>
        <v>13133.312099999999</v>
      </c>
      <c r="BB263"/>
      <c r="BC263"/>
      <c r="BD263" s="154" t="s">
        <v>550</v>
      </c>
      <c r="BE263" s="2"/>
      <c r="BF263"/>
      <c r="BG263"/>
      <c r="BH263" s="319">
        <v>13133.31</v>
      </c>
      <c r="BI263"/>
      <c r="BJ263"/>
      <c r="BK263"/>
      <c r="BL263"/>
      <c r="BM263"/>
      <c r="BN263"/>
      <c r="BO263"/>
      <c r="BP263"/>
      <c r="BQ263"/>
      <c r="BR263" s="170">
        <f t="shared" si="4"/>
        <v>26266.622100000001</v>
      </c>
    </row>
    <row r="264" spans="2:70" ht="14.45" hidden="1">
      <c r="B264" s="166" t="s">
        <v>47</v>
      </c>
      <c r="C264" s="3" t="s">
        <v>3022</v>
      </c>
      <c r="D264" s="3">
        <v>21740606</v>
      </c>
      <c r="E264" s="3">
        <v>4</v>
      </c>
      <c r="F264" s="3" t="s">
        <v>3023</v>
      </c>
      <c r="G264" s="3" t="s">
        <v>3024</v>
      </c>
      <c r="H264" s="3" t="s">
        <v>17</v>
      </c>
      <c r="I264" s="3" t="s">
        <v>3047</v>
      </c>
      <c r="J264" t="s">
        <v>3046</v>
      </c>
      <c r="K264" s="147"/>
      <c r="L264" s="3">
        <v>1</v>
      </c>
      <c r="M264" s="148">
        <v>1386.0990000000002</v>
      </c>
      <c r="N264" s="148">
        <v>20502.754499999999</v>
      </c>
      <c r="Q264" s="148">
        <v>4377.7707</v>
      </c>
      <c r="R264" s="148">
        <f>Table242[[#This Row],[Material Unit Price]]+Table242[[#This Row],[Labor Unit Price]]+Table242[[#This Row],[GC + Manage+ Insur]]</f>
        <v>26266.624199999998</v>
      </c>
      <c r="S264" s="148">
        <f>Table242[[#This Row],[Total Per Tool]]*Table242[[#This Row],[Tool QTY]]</f>
        <v>26266.624199999998</v>
      </c>
      <c r="U264" s="149"/>
      <c r="X26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26266.622100000001</v>
      </c>
      <c r="Y264" s="150">
        <f>Table242[[#This Row],[Total AR (Received)]]/Table242[[#This Row],[PO Amount]]</f>
        <v>0.99999992005063221</v>
      </c>
      <c r="Z264" s="151">
        <f>Table242[[#This Row],[PO Amount]]-Table242[[#This Row],[Total AR (Received)]]</f>
        <v>2.0999999978812411E-3</v>
      </c>
      <c r="AA264" s="152">
        <v>1</v>
      </c>
      <c r="AB264" s="152">
        <v>0</v>
      </c>
      <c r="AC264" s="152">
        <f>SUM(Table242[[#This Row],[Total M%]]*Table242[[#This Row],[Material Unit Price]],Table242[[#This Row],[Total L %]]*Table242[[#This Row],[Labor Unit Price]])/SUM(Table242[[#This Row],[Material Unit Price]:[Labor Unit Price]])</f>
        <v>6.3324422176794251E-2</v>
      </c>
      <c r="AD264"/>
      <c r="AE264"/>
      <c r="AF264" s="148"/>
      <c r="AH264" s="2"/>
      <c r="AI264" s="2"/>
      <c r="AN264" s="167"/>
      <c r="AR264" s="168">
        <f>50%*Table242[[#This Row],[Total Per Tool]]</f>
        <v>13133.312099999999</v>
      </c>
      <c r="BB264"/>
      <c r="BC264"/>
      <c r="BD264" s="154" t="s">
        <v>550</v>
      </c>
      <c r="BE264" s="2"/>
      <c r="BF264"/>
      <c r="BG264"/>
      <c r="BH264" s="319">
        <v>13133.31</v>
      </c>
      <c r="BI264"/>
      <c r="BJ264"/>
      <c r="BK264"/>
      <c r="BL264"/>
      <c r="BM264"/>
      <c r="BN264"/>
      <c r="BO264"/>
      <c r="BP264"/>
      <c r="BQ264"/>
      <c r="BR264" s="170">
        <f t="shared" si="4"/>
        <v>26266.622100000001</v>
      </c>
    </row>
    <row r="265" spans="2:70" ht="14.45" hidden="1">
      <c r="B265" s="166" t="s">
        <v>47</v>
      </c>
      <c r="C265" s="3" t="s">
        <v>3022</v>
      </c>
      <c r="D265" s="3">
        <v>21740607</v>
      </c>
      <c r="E265" s="3">
        <v>9</v>
      </c>
      <c r="F265" s="3" t="s">
        <v>3023</v>
      </c>
      <c r="G265" s="3" t="s">
        <v>3024</v>
      </c>
      <c r="H265" s="3" t="s">
        <v>17</v>
      </c>
      <c r="I265" s="3" t="s">
        <v>3048</v>
      </c>
      <c r="J265" t="s">
        <v>3049</v>
      </c>
      <c r="K265" s="147"/>
      <c r="L265" s="3">
        <v>1</v>
      </c>
      <c r="M265" s="148">
        <v>2483.7800000000002</v>
      </c>
      <c r="N265" s="148">
        <v>12071.189999999999</v>
      </c>
      <c r="Q265" s="148">
        <v>2910.9940000000001</v>
      </c>
      <c r="R265" s="148">
        <f>Table242[[#This Row],[Material Unit Price]]+Table242[[#This Row],[Labor Unit Price]]+Table242[[#This Row],[GC + Manage+ Insur]]</f>
        <v>17465.964</v>
      </c>
      <c r="S265" s="148">
        <f>Table242[[#This Row],[Total Per Tool]]*Table242[[#This Row],[Tool QTY]]</f>
        <v>17465.964</v>
      </c>
      <c r="U265" s="149"/>
      <c r="X26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17465.962</v>
      </c>
      <c r="Y265" s="150">
        <f>Table242[[#This Row],[Total AR (Received)]]/Table242[[#This Row],[PO Amount]]</f>
        <v>0.99999988549157659</v>
      </c>
      <c r="Z265" s="151">
        <f>Table242[[#This Row],[PO Amount]]-Table242[[#This Row],[Total AR (Received)]]</f>
        <v>2.0000000004074536E-3</v>
      </c>
      <c r="AA265" s="152">
        <v>1</v>
      </c>
      <c r="AB265" s="152">
        <v>0</v>
      </c>
      <c r="AC265" s="152">
        <f>SUM(Table242[[#This Row],[Total M%]]*Table242[[#This Row],[Material Unit Price]],Table242[[#This Row],[Total L %]]*Table242[[#This Row],[Labor Unit Price]])/SUM(Table242[[#This Row],[Material Unit Price]:[Labor Unit Price]])</f>
        <v>0.17064823905511314</v>
      </c>
      <c r="AD265"/>
      <c r="AE265"/>
      <c r="AF265" s="148"/>
      <c r="AH265" s="2"/>
      <c r="AI265" s="2"/>
      <c r="AN265" s="167"/>
      <c r="AP265" s="2"/>
      <c r="AR265" s="168">
        <f>50%*Table242[[#This Row],[Total Per Tool]]</f>
        <v>8732.982</v>
      </c>
      <c r="BB265" s="2"/>
      <c r="BC265"/>
      <c r="BD265" s="154" t="s">
        <v>550</v>
      </c>
      <c r="BE265" s="2"/>
      <c r="BF265" s="169">
        <v>8732.98</v>
      </c>
      <c r="BG265"/>
      <c r="BH265"/>
      <c r="BI265"/>
      <c r="BJ265"/>
      <c r="BK265"/>
      <c r="BL265"/>
      <c r="BM265"/>
      <c r="BN265"/>
      <c r="BO265"/>
      <c r="BP265"/>
      <c r="BQ265"/>
      <c r="BR265" s="170">
        <f t="shared" si="4"/>
        <v>17465.962</v>
      </c>
    </row>
    <row r="266" spans="2:70" ht="14.45" hidden="1">
      <c r="B266" s="166" t="s">
        <v>47</v>
      </c>
      <c r="C266" s="3" t="s">
        <v>3022</v>
      </c>
      <c r="D266" s="3">
        <v>21740607</v>
      </c>
      <c r="E266" s="3">
        <v>1</v>
      </c>
      <c r="F266" s="3" t="s">
        <v>3023</v>
      </c>
      <c r="G266" s="3" t="s">
        <v>3024</v>
      </c>
      <c r="H266" s="3" t="s">
        <v>17</v>
      </c>
      <c r="I266" s="3" t="s">
        <v>3050</v>
      </c>
      <c r="J266" t="s">
        <v>3051</v>
      </c>
      <c r="K266" s="147" t="s">
        <v>3052</v>
      </c>
      <c r="L266" s="3">
        <v>1</v>
      </c>
      <c r="M266" s="148">
        <v>1568.5800000000002</v>
      </c>
      <c r="N266" s="148">
        <v>6253.46</v>
      </c>
      <c r="Q266" s="148">
        <v>1564.4080000000001</v>
      </c>
      <c r="R266" s="148">
        <f>Table242[[#This Row],[Material Unit Price]]+Table242[[#This Row],[Labor Unit Price]]+Table242[[#This Row],[GC + Manage+ Insur]]</f>
        <v>9386.4480000000003</v>
      </c>
      <c r="S266" s="148">
        <f>Table242[[#This Row],[Total Per Tool]]*Table242[[#This Row],[Tool QTY]]</f>
        <v>9386.4480000000003</v>
      </c>
      <c r="U266" s="149">
        <v>44903</v>
      </c>
      <c r="X26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9386.4480000000003</v>
      </c>
      <c r="Y266" s="150">
        <f>Table242[[#This Row],[Total AR (Received)]]/Table242[[#This Row],[PO Amount]]</f>
        <v>1</v>
      </c>
      <c r="Z266" s="151">
        <f>Table242[[#This Row],[PO Amount]]-Table242[[#This Row],[Total AR (Received)]]</f>
        <v>0</v>
      </c>
      <c r="AA266" s="152">
        <v>1</v>
      </c>
      <c r="AB266" s="152">
        <v>0</v>
      </c>
      <c r="AC266" s="152">
        <f>SUM(Table242[[#This Row],[Total M%]]*Table242[[#This Row],[Material Unit Price]],Table242[[#This Row],[Total L %]]*Table242[[#This Row],[Labor Unit Price]])/SUM(Table242[[#This Row],[Material Unit Price]:[Labor Unit Price]])</f>
        <v>0.20053336469770036</v>
      </c>
      <c r="AD266"/>
      <c r="AE266"/>
      <c r="AF266" s="148"/>
      <c r="AH266" s="2"/>
      <c r="AI266" s="2"/>
      <c r="AN266" s="167"/>
      <c r="AP266" s="2"/>
      <c r="AR266" s="168">
        <f>Table242[[#This Row],[Total Per Tool]]</f>
        <v>9386.4480000000003</v>
      </c>
      <c r="BB266"/>
      <c r="BC266"/>
      <c r="BD266" s="154" t="s">
        <v>550</v>
      </c>
      <c r="BE266" s="2"/>
      <c r="BF266"/>
      <c r="BG266"/>
      <c r="BH266"/>
      <c r="BI266"/>
      <c r="BJ266"/>
      <c r="BK266"/>
      <c r="BL266"/>
      <c r="BM266"/>
      <c r="BN266"/>
      <c r="BO266"/>
      <c r="BP266"/>
      <c r="BQ266"/>
      <c r="BR266" s="170">
        <f t="shared" si="4"/>
        <v>9386.4480000000003</v>
      </c>
    </row>
    <row r="267" spans="2:70" ht="14.45" hidden="1">
      <c r="B267" s="166" t="s">
        <v>47</v>
      </c>
      <c r="C267" s="3" t="s">
        <v>3022</v>
      </c>
      <c r="D267" s="3">
        <v>21740607</v>
      </c>
      <c r="E267" s="3">
        <v>3</v>
      </c>
      <c r="F267" s="3" t="s">
        <v>3023</v>
      </c>
      <c r="G267" s="3" t="s">
        <v>3024</v>
      </c>
      <c r="H267" s="3" t="s">
        <v>17</v>
      </c>
      <c r="I267" s="3" t="s">
        <v>3053</v>
      </c>
      <c r="J267" t="s">
        <v>3054</v>
      </c>
      <c r="K267" s="147" t="s">
        <v>3052</v>
      </c>
      <c r="L267" s="3">
        <v>1</v>
      </c>
      <c r="M267" s="148">
        <v>1568.5800000000002</v>
      </c>
      <c r="N267" s="148">
        <v>6253.46</v>
      </c>
      <c r="Q267" s="148">
        <v>1564.4080000000001</v>
      </c>
      <c r="R267" s="148">
        <f>Table242[[#This Row],[Material Unit Price]]+Table242[[#This Row],[Labor Unit Price]]+Table242[[#This Row],[GC + Manage+ Insur]]</f>
        <v>9386.4480000000003</v>
      </c>
      <c r="S267" s="148">
        <f>Table242[[#This Row],[Total Per Tool]]*Table242[[#This Row],[Tool QTY]]</f>
        <v>9386.4480000000003</v>
      </c>
      <c r="U267" s="149">
        <v>44903</v>
      </c>
      <c r="X26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9386.4480000000003</v>
      </c>
      <c r="Y267" s="150">
        <f>Table242[[#This Row],[Total AR (Received)]]/Table242[[#This Row],[PO Amount]]</f>
        <v>1</v>
      </c>
      <c r="Z267" s="151">
        <f>Table242[[#This Row],[PO Amount]]-Table242[[#This Row],[Total AR (Received)]]</f>
        <v>0</v>
      </c>
      <c r="AA267" s="152">
        <v>1</v>
      </c>
      <c r="AB267" s="152">
        <v>0</v>
      </c>
      <c r="AC267" s="152">
        <f>SUM(Table242[[#This Row],[Total M%]]*Table242[[#This Row],[Material Unit Price]],Table242[[#This Row],[Total L %]]*Table242[[#This Row],[Labor Unit Price]])/SUM(Table242[[#This Row],[Material Unit Price]:[Labor Unit Price]])</f>
        <v>0.20053336469770036</v>
      </c>
      <c r="AD267"/>
      <c r="AE267"/>
      <c r="AF267" s="148"/>
      <c r="AH267" s="2"/>
      <c r="AI267" s="2"/>
      <c r="AN267" s="167"/>
      <c r="AP267" s="2"/>
      <c r="AR267" s="168">
        <f>Table242[[#This Row],[Total Per Tool]]</f>
        <v>9386.4480000000003</v>
      </c>
      <c r="BB267"/>
      <c r="BC267"/>
      <c r="BD267" s="154" t="s">
        <v>550</v>
      </c>
      <c r="BE267" s="2"/>
      <c r="BF267"/>
      <c r="BG267"/>
      <c r="BH267"/>
      <c r="BI267"/>
      <c r="BJ267"/>
      <c r="BK267"/>
      <c r="BL267"/>
      <c r="BM267"/>
      <c r="BN267"/>
      <c r="BO267"/>
      <c r="BP267"/>
      <c r="BQ267"/>
      <c r="BR267" s="170">
        <f t="shared" si="4"/>
        <v>9386.4480000000003</v>
      </c>
    </row>
    <row r="268" spans="2:70" ht="14.45" hidden="1">
      <c r="B268" s="166" t="s">
        <v>47</v>
      </c>
      <c r="C268" s="3" t="s">
        <v>3022</v>
      </c>
      <c r="D268" s="3">
        <v>21740607</v>
      </c>
      <c r="E268" s="3">
        <v>4</v>
      </c>
      <c r="F268" s="3" t="s">
        <v>3023</v>
      </c>
      <c r="G268" s="3" t="s">
        <v>3024</v>
      </c>
      <c r="H268" s="3" t="s">
        <v>17</v>
      </c>
      <c r="I268" s="3" t="s">
        <v>3055</v>
      </c>
      <c r="J268" t="s">
        <v>3054</v>
      </c>
      <c r="K268" s="147" t="s">
        <v>3052</v>
      </c>
      <c r="L268" s="3">
        <v>1</v>
      </c>
      <c r="M268" s="148">
        <v>1568.5800000000002</v>
      </c>
      <c r="N268" s="148">
        <v>6253.46</v>
      </c>
      <c r="Q268" s="148">
        <v>1564.4080000000001</v>
      </c>
      <c r="R268" s="148">
        <f>Table242[[#This Row],[Material Unit Price]]+Table242[[#This Row],[Labor Unit Price]]+Table242[[#This Row],[GC + Manage+ Insur]]</f>
        <v>9386.4480000000003</v>
      </c>
      <c r="S268" s="148">
        <f>Table242[[#This Row],[Total Per Tool]]*Table242[[#This Row],[Tool QTY]]</f>
        <v>9386.4480000000003</v>
      </c>
      <c r="U268" s="149"/>
      <c r="X26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9386.4480000000003</v>
      </c>
      <c r="Y268" s="150">
        <f>Table242[[#This Row],[Total AR (Received)]]/Table242[[#This Row],[PO Amount]]</f>
        <v>1</v>
      </c>
      <c r="Z268" s="151">
        <f>Table242[[#This Row],[PO Amount]]-Table242[[#This Row],[Total AR (Received)]]</f>
        <v>0</v>
      </c>
      <c r="AA268" s="152">
        <v>1</v>
      </c>
      <c r="AB268" s="152">
        <v>0</v>
      </c>
      <c r="AC268" s="152">
        <f>SUM(Table242[[#This Row],[Total M%]]*Table242[[#This Row],[Material Unit Price]],Table242[[#This Row],[Total L %]]*Table242[[#This Row],[Labor Unit Price]])/SUM(Table242[[#This Row],[Material Unit Price]:[Labor Unit Price]])</f>
        <v>0.20053336469770036</v>
      </c>
      <c r="AD268"/>
      <c r="AE268"/>
      <c r="AF268" s="148"/>
      <c r="AH268" s="2"/>
      <c r="AI268" s="2"/>
      <c r="AN268" s="167"/>
      <c r="AP268" s="2"/>
      <c r="AR268" s="168">
        <f>Table242[[#This Row],[Total Per Tool]]</f>
        <v>9386.4480000000003</v>
      </c>
      <c r="BB268"/>
      <c r="BC268"/>
      <c r="BD268" s="154" t="s">
        <v>550</v>
      </c>
      <c r="BE268" s="2"/>
      <c r="BF268"/>
      <c r="BG268"/>
      <c r="BH268"/>
      <c r="BI268"/>
      <c r="BJ268"/>
      <c r="BK268"/>
      <c r="BL268"/>
      <c r="BM268"/>
      <c r="BN268"/>
      <c r="BO268"/>
      <c r="BP268"/>
      <c r="BQ268"/>
      <c r="BR268" s="170">
        <f t="shared" si="4"/>
        <v>9386.4480000000003</v>
      </c>
    </row>
    <row r="269" spans="2:70" ht="14.45" hidden="1">
      <c r="B269" s="166" t="s">
        <v>47</v>
      </c>
      <c r="C269" s="3" t="s">
        <v>3022</v>
      </c>
      <c r="D269" s="3">
        <v>21740607</v>
      </c>
      <c r="E269" s="3">
        <v>5</v>
      </c>
      <c r="F269" s="3" t="s">
        <v>3023</v>
      </c>
      <c r="G269" s="3" t="s">
        <v>3024</v>
      </c>
      <c r="H269" s="3" t="s">
        <v>17</v>
      </c>
      <c r="I269" s="3" t="s">
        <v>3056</v>
      </c>
      <c r="J269" t="s">
        <v>3054</v>
      </c>
      <c r="K269" s="147"/>
      <c r="L269" s="3">
        <v>1</v>
      </c>
      <c r="M269" s="148">
        <v>1568.5800000000002</v>
      </c>
      <c r="N269" s="148">
        <v>6253.46</v>
      </c>
      <c r="Q269" s="148">
        <v>1564.4080000000001</v>
      </c>
      <c r="R269" s="148">
        <f>Table242[[#This Row],[Material Unit Price]]+Table242[[#This Row],[Labor Unit Price]]+Table242[[#This Row],[GC + Manage+ Insur]]</f>
        <v>9386.4480000000003</v>
      </c>
      <c r="S269" s="148">
        <f>Table242[[#This Row],[Total Per Tool]]*Table242[[#This Row],[Tool QTY]]</f>
        <v>9386.4480000000003</v>
      </c>
      <c r="U269" s="149"/>
      <c r="X26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9386.4539999999997</v>
      </c>
      <c r="Y269" s="150">
        <f>Table242[[#This Row],[Total AR (Received)]]/Table242[[#This Row],[PO Amount]]</f>
        <v>1.0000006392194363</v>
      </c>
      <c r="Z269" s="151">
        <f>Table242[[#This Row],[PO Amount]]-Table242[[#This Row],[Total AR (Received)]]</f>
        <v>-5.9999999994033715E-3</v>
      </c>
      <c r="AA269" s="152">
        <v>1</v>
      </c>
      <c r="AB269" s="152">
        <v>0</v>
      </c>
      <c r="AC269" s="152">
        <f>SUM(Table242[[#This Row],[Total M%]]*Table242[[#This Row],[Material Unit Price]],Table242[[#This Row],[Total L %]]*Table242[[#This Row],[Labor Unit Price]])/SUM(Table242[[#This Row],[Material Unit Price]:[Labor Unit Price]])</f>
        <v>0.20053336469770036</v>
      </c>
      <c r="AD269"/>
      <c r="AE269"/>
      <c r="AF269" s="148"/>
      <c r="AH269" s="2"/>
      <c r="AI269" s="2"/>
      <c r="AN269" s="167"/>
      <c r="AR269" s="168">
        <f>50%*Table242[[#This Row],[Total Per Tool]]</f>
        <v>4693.2240000000002</v>
      </c>
      <c r="BB269"/>
      <c r="BC269"/>
      <c r="BD269" s="154" t="s">
        <v>550</v>
      </c>
      <c r="BE269" s="2"/>
      <c r="BF269"/>
      <c r="BG269"/>
      <c r="BH269" s="319">
        <v>4693.2299999999996</v>
      </c>
      <c r="BI269"/>
      <c r="BJ269"/>
      <c r="BK269"/>
      <c r="BL269"/>
      <c r="BM269"/>
      <c r="BN269"/>
      <c r="BO269"/>
      <c r="BP269"/>
      <c r="BQ269"/>
      <c r="BR269" s="170">
        <f t="shared" si="4"/>
        <v>9386.4539999999997</v>
      </c>
    </row>
    <row r="270" spans="2:70" ht="14.45" hidden="1">
      <c r="B270" s="166" t="s">
        <v>47</v>
      </c>
      <c r="C270" s="3" t="s">
        <v>3022</v>
      </c>
      <c r="D270" s="3">
        <v>21740607</v>
      </c>
      <c r="E270" s="3">
        <v>6</v>
      </c>
      <c r="F270" s="3" t="s">
        <v>3023</v>
      </c>
      <c r="G270" s="3" t="s">
        <v>3024</v>
      </c>
      <c r="H270" s="3" t="s">
        <v>17</v>
      </c>
      <c r="I270" s="3" t="s">
        <v>3057</v>
      </c>
      <c r="J270" t="s">
        <v>3054</v>
      </c>
      <c r="K270" s="147"/>
      <c r="L270" s="3">
        <v>1</v>
      </c>
      <c r="M270" s="148">
        <v>1568.5800000000002</v>
      </c>
      <c r="N270" s="148">
        <v>6253.46</v>
      </c>
      <c r="Q270" s="148">
        <v>1564.4080000000001</v>
      </c>
      <c r="R270" s="148">
        <f>Table242[[#This Row],[Material Unit Price]]+Table242[[#This Row],[Labor Unit Price]]+Table242[[#This Row],[GC + Manage+ Insur]]</f>
        <v>9386.4480000000003</v>
      </c>
      <c r="S270" s="148">
        <f>Table242[[#This Row],[Total Per Tool]]*Table242[[#This Row],[Tool QTY]]</f>
        <v>9386.4480000000003</v>
      </c>
      <c r="U270" s="149"/>
      <c r="X27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9386.4539999999997</v>
      </c>
      <c r="Y270" s="150">
        <f>Table242[[#This Row],[Total AR (Received)]]/Table242[[#This Row],[PO Amount]]</f>
        <v>1.0000006392194363</v>
      </c>
      <c r="Z270" s="151">
        <f>Table242[[#This Row],[PO Amount]]-Table242[[#This Row],[Total AR (Received)]]</f>
        <v>-5.9999999994033715E-3</v>
      </c>
      <c r="AA270" s="152">
        <v>1</v>
      </c>
      <c r="AB270" s="152">
        <v>0</v>
      </c>
      <c r="AC270" s="152">
        <f>SUM(Table242[[#This Row],[Total M%]]*Table242[[#This Row],[Material Unit Price]],Table242[[#This Row],[Total L %]]*Table242[[#This Row],[Labor Unit Price]])/SUM(Table242[[#This Row],[Material Unit Price]:[Labor Unit Price]])</f>
        <v>0.20053336469770036</v>
      </c>
      <c r="AD270"/>
      <c r="AE270"/>
      <c r="AF270" s="148"/>
      <c r="AH270" s="2"/>
      <c r="AI270" s="2"/>
      <c r="AN270" s="167"/>
      <c r="AR270" s="168">
        <f>50%*Table242[[#This Row],[Total Per Tool]]</f>
        <v>4693.2240000000002</v>
      </c>
      <c r="BB270"/>
      <c r="BC270"/>
      <c r="BD270" s="154" t="s">
        <v>550</v>
      </c>
      <c r="BE270" s="2"/>
      <c r="BF270"/>
      <c r="BG270"/>
      <c r="BH270" s="319">
        <v>4693.2299999999996</v>
      </c>
      <c r="BI270"/>
      <c r="BJ270"/>
      <c r="BK270"/>
      <c r="BL270"/>
      <c r="BM270"/>
      <c r="BN270"/>
      <c r="BO270"/>
      <c r="BP270"/>
      <c r="BQ270"/>
      <c r="BR270" s="170">
        <f t="shared" si="4"/>
        <v>9386.4539999999997</v>
      </c>
    </row>
    <row r="271" spans="2:70" ht="14.45" hidden="1">
      <c r="B271" s="166" t="s">
        <v>47</v>
      </c>
      <c r="C271" s="3" t="s">
        <v>3022</v>
      </c>
      <c r="D271" s="3">
        <v>21740607</v>
      </c>
      <c r="E271" s="3">
        <v>7</v>
      </c>
      <c r="F271" s="3" t="s">
        <v>3023</v>
      </c>
      <c r="G271" s="3" t="s">
        <v>3024</v>
      </c>
      <c r="H271" s="3" t="s">
        <v>17</v>
      </c>
      <c r="I271" s="3" t="s">
        <v>3058</v>
      </c>
      <c r="J271" t="s">
        <v>3059</v>
      </c>
      <c r="K271" s="147" t="s">
        <v>3052</v>
      </c>
      <c r="L271" s="3">
        <v>1</v>
      </c>
      <c r="M271" s="148">
        <v>2483.7800000000002</v>
      </c>
      <c r="N271" s="148">
        <v>12071.189999999999</v>
      </c>
      <c r="Q271" s="148">
        <f>2910.994-0.51</f>
        <v>2910.4839999999999</v>
      </c>
      <c r="R271" s="148">
        <f>Table242[[#This Row],[Material Unit Price]]+Table242[[#This Row],[Labor Unit Price]]+Table242[[#This Row],[GC + Manage+ Insur]]</f>
        <v>17465.453999999998</v>
      </c>
      <c r="S271" s="148">
        <f>Table242[[#This Row],[Total Per Tool]]*Table242[[#This Row],[Tool QTY]]</f>
        <v>17465.453999999998</v>
      </c>
      <c r="U271" s="149">
        <v>44903</v>
      </c>
      <c r="X27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17465.453999999998</v>
      </c>
      <c r="Y271" s="150">
        <f>Table242[[#This Row],[Total AR (Received)]]/Table242[[#This Row],[PO Amount]]</f>
        <v>1</v>
      </c>
      <c r="Z271" s="151">
        <f>Table242[[#This Row],[PO Amount]]-Table242[[#This Row],[Total AR (Received)]]</f>
        <v>0</v>
      </c>
      <c r="AA271" s="152">
        <v>1</v>
      </c>
      <c r="AB271" s="152">
        <v>0</v>
      </c>
      <c r="AC271" s="152">
        <f>SUM(Table242[[#This Row],[Total M%]]*Table242[[#This Row],[Material Unit Price]],Table242[[#This Row],[Total L %]]*Table242[[#This Row],[Labor Unit Price]])/SUM(Table242[[#This Row],[Material Unit Price]:[Labor Unit Price]])</f>
        <v>0.17064823905511314</v>
      </c>
      <c r="AD271"/>
      <c r="AE271"/>
      <c r="AF271" s="148"/>
      <c r="AH271" s="2"/>
      <c r="AI271" s="2"/>
      <c r="AN271" s="167"/>
      <c r="AP271" s="2"/>
      <c r="AR271" s="168">
        <f>Table242[[#This Row],[Total Per Tool]]</f>
        <v>17465.453999999998</v>
      </c>
      <c r="BB271"/>
      <c r="BC271"/>
      <c r="BD271" s="154" t="s">
        <v>550</v>
      </c>
      <c r="BE271" s="2"/>
      <c r="BF271"/>
      <c r="BG271"/>
      <c r="BH271"/>
      <c r="BI271"/>
      <c r="BJ271"/>
      <c r="BK271"/>
      <c r="BL271"/>
      <c r="BM271"/>
      <c r="BN271"/>
      <c r="BO271"/>
      <c r="BP271"/>
      <c r="BQ271"/>
      <c r="BR271" s="170">
        <f t="shared" si="4"/>
        <v>17465.453999999998</v>
      </c>
    </row>
    <row r="272" spans="2:70" ht="14.45" hidden="1">
      <c r="B272" s="166" t="s">
        <v>47</v>
      </c>
      <c r="C272" s="3" t="s">
        <v>3022</v>
      </c>
      <c r="D272" s="3">
        <v>21740607</v>
      </c>
      <c r="E272" s="3">
        <v>8</v>
      </c>
      <c r="F272" s="3" t="s">
        <v>3023</v>
      </c>
      <c r="G272" s="3" t="s">
        <v>3024</v>
      </c>
      <c r="H272" s="3" t="s">
        <v>17</v>
      </c>
      <c r="I272" s="3" t="s">
        <v>3060</v>
      </c>
      <c r="J272" t="s">
        <v>3049</v>
      </c>
      <c r="K272" s="147" t="s">
        <v>3052</v>
      </c>
      <c r="L272" s="3">
        <v>1</v>
      </c>
      <c r="M272" s="148">
        <v>2483.7800000000002</v>
      </c>
      <c r="N272" s="148">
        <v>12071.189999999999</v>
      </c>
      <c r="Q272" s="148">
        <v>2910.9940000000001</v>
      </c>
      <c r="R272" s="148">
        <f>Table242[[#This Row],[Material Unit Price]]+Table242[[#This Row],[Labor Unit Price]]+Table242[[#This Row],[GC + Manage+ Insur]]</f>
        <v>17465.964</v>
      </c>
      <c r="S272" s="148">
        <f>Table242[[#This Row],[Total Per Tool]]*Table242[[#This Row],[Tool QTY]]</f>
        <v>17465.964</v>
      </c>
      <c r="U272" s="149">
        <v>44903</v>
      </c>
      <c r="X27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17465.964</v>
      </c>
      <c r="Y272" s="150">
        <f>Table242[[#This Row],[Total AR (Received)]]/Table242[[#This Row],[PO Amount]]</f>
        <v>1</v>
      </c>
      <c r="Z272" s="151">
        <f>Table242[[#This Row],[PO Amount]]-Table242[[#This Row],[Total AR (Received)]]</f>
        <v>0</v>
      </c>
      <c r="AA272" s="152">
        <v>1</v>
      </c>
      <c r="AB272" s="152">
        <v>0</v>
      </c>
      <c r="AC272" s="152">
        <f>SUM(Table242[[#This Row],[Total M%]]*Table242[[#This Row],[Material Unit Price]],Table242[[#This Row],[Total L %]]*Table242[[#This Row],[Labor Unit Price]])/SUM(Table242[[#This Row],[Material Unit Price]:[Labor Unit Price]])</f>
        <v>0.17064823905511314</v>
      </c>
      <c r="AD272"/>
      <c r="AE272"/>
      <c r="AF272" s="148"/>
      <c r="AH272" s="2"/>
      <c r="AI272" s="2"/>
      <c r="AN272" s="167"/>
      <c r="AP272" s="2"/>
      <c r="AR272" s="168">
        <f>Table242[[#This Row],[Total Per Tool]]</f>
        <v>17465.964</v>
      </c>
      <c r="BB272"/>
      <c r="BC272"/>
      <c r="BD272" s="154" t="s">
        <v>550</v>
      </c>
      <c r="BE272" s="2"/>
      <c r="BF272"/>
      <c r="BG272"/>
      <c r="BH272"/>
      <c r="BI272"/>
      <c r="BJ272"/>
      <c r="BK272"/>
      <c r="BL272"/>
      <c r="BM272"/>
      <c r="BN272"/>
      <c r="BO272"/>
      <c r="BP272"/>
      <c r="BQ272"/>
      <c r="BR272" s="170">
        <f t="shared" si="4"/>
        <v>17465.964</v>
      </c>
    </row>
    <row r="273" spans="2:70" ht="14.45" hidden="1">
      <c r="B273" s="166" t="s">
        <v>47</v>
      </c>
      <c r="C273" s="3" t="s">
        <v>3022</v>
      </c>
      <c r="D273" s="3">
        <v>21740607</v>
      </c>
      <c r="E273" s="3">
        <v>10</v>
      </c>
      <c r="F273" s="3" t="s">
        <v>3023</v>
      </c>
      <c r="G273" s="3" t="s">
        <v>3024</v>
      </c>
      <c r="H273" s="3" t="s">
        <v>17</v>
      </c>
      <c r="I273" s="3" t="s">
        <v>3061</v>
      </c>
      <c r="J273" t="s">
        <v>3062</v>
      </c>
      <c r="K273" s="147"/>
      <c r="L273" s="3">
        <v>1</v>
      </c>
      <c r="M273" s="148">
        <v>2483.7800000000002</v>
      </c>
      <c r="N273" s="148">
        <v>12071.189999999999</v>
      </c>
      <c r="Q273" s="148">
        <v>2910.9940000000001</v>
      </c>
      <c r="R273" s="148">
        <f>Table242[[#This Row],[Material Unit Price]]+Table242[[#This Row],[Labor Unit Price]]+Table242[[#This Row],[GC + Manage+ Insur]]</f>
        <v>17465.964</v>
      </c>
      <c r="S273" s="148">
        <f>Table242[[#This Row],[Total Per Tool]]*Table242[[#This Row],[Tool QTY]]</f>
        <v>17465.964</v>
      </c>
      <c r="U273" s="149">
        <v>44903</v>
      </c>
      <c r="X27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8732.982</v>
      </c>
      <c r="Y273" s="150">
        <f>Table242[[#This Row],[Total AR (Received)]]/Table242[[#This Row],[PO Amount]]</f>
        <v>0.5</v>
      </c>
      <c r="Z273" s="151">
        <f>Table242[[#This Row],[PO Amount]]-Table242[[#This Row],[Total AR (Received)]]</f>
        <v>8732.982</v>
      </c>
      <c r="AA273" s="152">
        <v>1</v>
      </c>
      <c r="AB273" s="152">
        <v>0</v>
      </c>
      <c r="AC273" s="152">
        <f>SUM(Table242[[#This Row],[Total M%]]*Table242[[#This Row],[Material Unit Price]],Table242[[#This Row],[Total L %]]*Table242[[#This Row],[Labor Unit Price]])/SUM(Table242[[#This Row],[Material Unit Price]:[Labor Unit Price]])</f>
        <v>0.17064823905511314</v>
      </c>
      <c r="AD273"/>
      <c r="AE273"/>
      <c r="AF273" s="148"/>
      <c r="AH273" s="2"/>
      <c r="AI273" s="2"/>
      <c r="AN273" s="167"/>
      <c r="AR273" s="168">
        <f>50%*Table242[[#This Row],[Total Per Tool]]</f>
        <v>8732.982</v>
      </c>
      <c r="BB273"/>
      <c r="BC273"/>
      <c r="BD273" s="154" t="s">
        <v>550</v>
      </c>
      <c r="BE273" s="2"/>
      <c r="BF273"/>
      <c r="BG273"/>
      <c r="BH273"/>
      <c r="BI273"/>
      <c r="BJ273"/>
      <c r="BK273"/>
      <c r="BL273"/>
      <c r="BM273"/>
      <c r="BN273"/>
      <c r="BO273"/>
      <c r="BP273"/>
      <c r="BQ273"/>
      <c r="BR273" s="170">
        <f t="shared" si="4"/>
        <v>8732.982</v>
      </c>
    </row>
    <row r="274" spans="2:70" ht="14.45" hidden="1">
      <c r="B274" s="166" t="s">
        <v>47</v>
      </c>
      <c r="C274" s="3" t="s">
        <v>3022</v>
      </c>
      <c r="D274" s="3">
        <v>21740607</v>
      </c>
      <c r="E274" s="3">
        <v>11</v>
      </c>
      <c r="F274" s="3" t="s">
        <v>3023</v>
      </c>
      <c r="G274" s="3" t="s">
        <v>3024</v>
      </c>
      <c r="H274" s="3" t="s">
        <v>17</v>
      </c>
      <c r="I274" s="3" t="s">
        <v>3063</v>
      </c>
      <c r="J274" t="s">
        <v>3062</v>
      </c>
      <c r="K274" s="147"/>
      <c r="L274" s="3">
        <v>1</v>
      </c>
      <c r="M274" s="148">
        <v>2483.7800000000002</v>
      </c>
      <c r="N274" s="148">
        <v>12071.189999999999</v>
      </c>
      <c r="Q274" s="148">
        <v>2910.9940000000001</v>
      </c>
      <c r="R274" s="148">
        <f>Table242[[#This Row],[Material Unit Price]]+Table242[[#This Row],[Labor Unit Price]]+Table242[[#This Row],[GC + Manage+ Insur]]</f>
        <v>17465.964</v>
      </c>
      <c r="S274" s="148">
        <f>Table242[[#This Row],[Total Per Tool]]*Table242[[#This Row],[Tool QTY]]</f>
        <v>17465.964</v>
      </c>
      <c r="U274" s="149"/>
      <c r="X27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8732.982</v>
      </c>
      <c r="Y274" s="150">
        <f>Table242[[#This Row],[Total AR (Received)]]/Table242[[#This Row],[PO Amount]]</f>
        <v>0.5</v>
      </c>
      <c r="Z274" s="151">
        <f>Table242[[#This Row],[PO Amount]]-Table242[[#This Row],[Total AR (Received)]]</f>
        <v>8732.982</v>
      </c>
      <c r="AA274" s="152">
        <v>1</v>
      </c>
      <c r="AB274" s="152">
        <v>0</v>
      </c>
      <c r="AC274" s="152">
        <f>SUM(Table242[[#This Row],[Total M%]]*Table242[[#This Row],[Material Unit Price]],Table242[[#This Row],[Total L %]]*Table242[[#This Row],[Labor Unit Price]])/SUM(Table242[[#This Row],[Material Unit Price]:[Labor Unit Price]])</f>
        <v>0.17064823905511314</v>
      </c>
      <c r="AD274"/>
      <c r="AE274"/>
      <c r="AF274" s="148"/>
      <c r="AH274" s="2"/>
      <c r="AI274" s="2"/>
      <c r="AN274" s="167"/>
      <c r="AR274" s="168">
        <f>50%*Table242[[#This Row],[Total Per Tool]]</f>
        <v>8732.982</v>
      </c>
      <c r="BB274"/>
      <c r="BC274"/>
      <c r="BD274" s="154" t="s">
        <v>550</v>
      </c>
      <c r="BE274" s="2"/>
      <c r="BF274"/>
      <c r="BG274"/>
      <c r="BH274"/>
      <c r="BI274"/>
      <c r="BJ274"/>
      <c r="BK274"/>
      <c r="BL274"/>
      <c r="BM274"/>
      <c r="BN274"/>
      <c r="BO274"/>
      <c r="BP274"/>
      <c r="BQ274"/>
      <c r="BR274" s="170">
        <f t="shared" si="4"/>
        <v>8732.982</v>
      </c>
    </row>
    <row r="275" spans="2:70" ht="14.45" hidden="1">
      <c r="B275" s="166" t="s">
        <v>47</v>
      </c>
      <c r="C275" s="3" t="s">
        <v>3022</v>
      </c>
      <c r="D275" s="3">
        <v>21740607</v>
      </c>
      <c r="E275" s="3">
        <v>2</v>
      </c>
      <c r="F275" s="3" t="s">
        <v>3023</v>
      </c>
      <c r="G275" s="3" t="s">
        <v>3024</v>
      </c>
      <c r="H275" s="3" t="s">
        <v>17</v>
      </c>
      <c r="I275" s="3" t="s">
        <v>3064</v>
      </c>
      <c r="J275" t="s">
        <v>3051</v>
      </c>
      <c r="K275" s="147" t="s">
        <v>3065</v>
      </c>
      <c r="L275" s="3">
        <v>1</v>
      </c>
      <c r="M275" s="148">
        <v>1568.5800000000002</v>
      </c>
      <c r="N275" s="148">
        <v>6253.46</v>
      </c>
      <c r="Q275" s="148">
        <v>1564.4080000000001</v>
      </c>
      <c r="R275" s="148">
        <f>Table242[[#This Row],[Material Unit Price]]+Table242[[#This Row],[Labor Unit Price]]+Table242[[#This Row],[GC + Manage+ Insur]]</f>
        <v>9386.4480000000003</v>
      </c>
      <c r="S275" s="148">
        <f>Table242[[#This Row],[Total Per Tool]]*Table242[[#This Row],[Tool QTY]]</f>
        <v>9386.4480000000003</v>
      </c>
      <c r="U275" s="149"/>
      <c r="X27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9386.4539999999997</v>
      </c>
      <c r="Y275" s="150">
        <f>Table242[[#This Row],[Total AR (Received)]]/Table242[[#This Row],[PO Amount]]</f>
        <v>1.0000006392194363</v>
      </c>
      <c r="Z275" s="151">
        <f>Table242[[#This Row],[PO Amount]]-Table242[[#This Row],[Total AR (Received)]]</f>
        <v>-5.9999999994033715E-3</v>
      </c>
      <c r="AA275" s="152">
        <v>1</v>
      </c>
      <c r="AB275" s="152">
        <v>0</v>
      </c>
      <c r="AC275" s="152">
        <f>SUM(Table242[[#This Row],[Total M%]]*Table242[[#This Row],[Material Unit Price]],Table242[[#This Row],[Total L %]]*Table242[[#This Row],[Labor Unit Price]])/SUM(Table242[[#This Row],[Material Unit Price]:[Labor Unit Price]])</f>
        <v>0.20053336469770036</v>
      </c>
      <c r="AD275"/>
      <c r="AE275"/>
      <c r="AF275" s="148"/>
      <c r="AH275" s="2"/>
      <c r="AI275" s="2"/>
      <c r="AN275" s="167"/>
      <c r="AP275" s="2"/>
      <c r="AR275" s="168">
        <f>50%*Table242[[#This Row],[Total Per Tool]]</f>
        <v>4693.2240000000002</v>
      </c>
      <c r="BB275" s="2"/>
      <c r="BC275"/>
      <c r="BD275" s="154" t="s">
        <v>550</v>
      </c>
      <c r="BE275" s="2"/>
      <c r="BF275"/>
      <c r="BG275"/>
      <c r="BH275" s="319">
        <v>4693.2299999999996</v>
      </c>
      <c r="BI275"/>
      <c r="BJ275"/>
      <c r="BK275"/>
      <c r="BL275"/>
      <c r="BM275"/>
      <c r="BN275"/>
      <c r="BO275"/>
      <c r="BP275"/>
      <c r="BQ275"/>
      <c r="BR275" s="170">
        <f t="shared" si="4"/>
        <v>9386.4539999999997</v>
      </c>
    </row>
    <row r="276" spans="2:70" ht="14.45" hidden="1">
      <c r="B276" s="166" t="s">
        <v>47</v>
      </c>
      <c r="C276" s="3" t="s">
        <v>3022</v>
      </c>
      <c r="D276" s="3">
        <v>21740610</v>
      </c>
      <c r="E276" s="3">
        <v>1</v>
      </c>
      <c r="F276" s="3" t="s">
        <v>3023</v>
      </c>
      <c r="G276" s="3" t="s">
        <v>3024</v>
      </c>
      <c r="H276" s="3" t="s">
        <v>17</v>
      </c>
      <c r="I276" s="3" t="s">
        <v>3066</v>
      </c>
      <c r="J276" t="s">
        <v>3067</v>
      </c>
      <c r="K276" s="147"/>
      <c r="L276" s="3">
        <v>1</v>
      </c>
      <c r="M276" s="148">
        <v>1510.0800000000002</v>
      </c>
      <c r="N276" s="148">
        <v>14184.754499999999</v>
      </c>
      <c r="Q276" s="148">
        <f>0.79+3138.9669</f>
        <v>3139.7568999999999</v>
      </c>
      <c r="R276" s="148">
        <f>Table242[[#This Row],[Material Unit Price]]+Table242[[#This Row],[Labor Unit Price]]+Table242[[#This Row],[GC + Manage+ Insur]]</f>
        <v>18834.591399999998</v>
      </c>
      <c r="S276" s="148">
        <f>Table242[[#This Row],[Total Per Tool]]*Table242[[#This Row],[Tool QTY]]</f>
        <v>18834.591399999998</v>
      </c>
      <c r="U276" s="149">
        <v>44903</v>
      </c>
      <c r="X27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18834.5857</v>
      </c>
      <c r="Y276" s="150">
        <f>Table242[[#This Row],[Total AR (Received)]]/Table242[[#This Row],[PO Amount]]</f>
        <v>0.99999969736534888</v>
      </c>
      <c r="Z276" s="151">
        <f>Table242[[#This Row],[PO Amount]]-Table242[[#This Row],[Total AR (Received)]]</f>
        <v>5.6999999978870619E-3</v>
      </c>
      <c r="AA276" s="152">
        <v>1</v>
      </c>
      <c r="AB276" s="152">
        <v>0</v>
      </c>
      <c r="AC276" s="152">
        <f>SUM(Table242[[#This Row],[Total M%]]*Table242[[#This Row],[Material Unit Price]],Table242[[#This Row],[Total L %]]*Table242[[#This Row],[Labor Unit Price]])/SUM(Table242[[#This Row],[Material Unit Price]:[Labor Unit Price]])</f>
        <v>9.6215095482529628E-2</v>
      </c>
      <c r="AD276"/>
      <c r="AE276"/>
      <c r="AF276" s="148"/>
      <c r="AH276" s="2"/>
      <c r="AI276" s="2"/>
      <c r="AN276" s="167"/>
      <c r="AR276" s="168">
        <f>50%*Table242[[#This Row],[Total Per Tool]]</f>
        <v>9417.2956999999988</v>
      </c>
      <c r="BB276"/>
      <c r="BC276"/>
      <c r="BD276" s="154" t="s">
        <v>550</v>
      </c>
      <c r="BE276" s="2"/>
      <c r="BF276"/>
      <c r="BG276"/>
      <c r="BH276" s="173">
        <v>9417.2900000000009</v>
      </c>
      <c r="BI276"/>
      <c r="BJ276"/>
      <c r="BK276"/>
      <c r="BL276"/>
      <c r="BM276"/>
      <c r="BN276"/>
      <c r="BO276"/>
      <c r="BP276"/>
      <c r="BQ276"/>
      <c r="BR276" s="170">
        <f t="shared" si="4"/>
        <v>18834.5857</v>
      </c>
    </row>
    <row r="277" spans="2:70" ht="14.45" hidden="1">
      <c r="B277" s="166" t="str">
        <f>B276</f>
        <v>KLA</v>
      </c>
      <c r="C277" s="3" t="str">
        <f>C276</f>
        <v>Chen, Frady (Wen-Ching) &lt;Wen.Ching.Chen@kla.com&gt;</v>
      </c>
      <c r="D277" s="3">
        <f>D276</f>
        <v>21740610</v>
      </c>
      <c r="E277" s="3">
        <v>2</v>
      </c>
      <c r="F277" s="3" t="s">
        <v>3023</v>
      </c>
      <c r="G277" s="3" t="str">
        <f>G276</f>
        <v>F21P1 KLA Interconnection</v>
      </c>
      <c r="H277" s="3" t="s">
        <v>17</v>
      </c>
      <c r="I277" s="3" t="s">
        <v>3068</v>
      </c>
      <c r="J277" t="s">
        <v>3067</v>
      </c>
      <c r="K277" s="147"/>
      <c r="L277" s="3">
        <v>1</v>
      </c>
      <c r="M277" s="148">
        <v>1510.0800000000002</v>
      </c>
      <c r="N277" s="148">
        <v>14184.754499999999</v>
      </c>
      <c r="Q277" s="148">
        <v>3138.9668999999999</v>
      </c>
      <c r="R277" s="148">
        <f>Table242[[#This Row],[Material Unit Price]]+Table242[[#This Row],[Labor Unit Price]]+Table242[[#This Row],[GC + Manage+ Insur]]</f>
        <v>18833.8014</v>
      </c>
      <c r="S277" s="148">
        <f>Table242[[#This Row],[Total Per Tool]]*Table242[[#This Row],[Tool QTY]]</f>
        <v>18833.8014</v>
      </c>
      <c r="U277" s="149"/>
      <c r="X27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9416.9007000000001</v>
      </c>
      <c r="Y277" s="150">
        <f>Table242[[#This Row],[Total AR (Received)]]/Table242[[#This Row],[PO Amount]]</f>
        <v>0.5</v>
      </c>
      <c r="Z277" s="151">
        <f>Table242[[#This Row],[PO Amount]]-Table242[[#This Row],[Total AR (Received)]]</f>
        <v>9416.9007000000001</v>
      </c>
      <c r="AA277" s="152">
        <v>1</v>
      </c>
      <c r="AB277" s="152">
        <v>0</v>
      </c>
      <c r="AC277" s="152">
        <f>SUM(Table242[[#This Row],[Total M%]]*Table242[[#This Row],[Material Unit Price]],Table242[[#This Row],[Total L %]]*Table242[[#This Row],[Labor Unit Price]])/SUM(Table242[[#This Row],[Material Unit Price]:[Labor Unit Price]])</f>
        <v>9.6215095482529628E-2</v>
      </c>
      <c r="AD277"/>
      <c r="AE277"/>
      <c r="AF277" s="148"/>
      <c r="AH277" s="2"/>
      <c r="AI277" s="2"/>
      <c r="AN277" s="167"/>
      <c r="AR277" s="168">
        <f>50%*Table242[[#This Row],[Total Per Tool]]</f>
        <v>9416.9007000000001</v>
      </c>
      <c r="BB277"/>
      <c r="BC277"/>
      <c r="BD277" s="154" t="s">
        <v>550</v>
      </c>
      <c r="BE277" s="2"/>
      <c r="BF277"/>
      <c r="BG277"/>
      <c r="BH277"/>
      <c r="BI277"/>
      <c r="BJ277"/>
      <c r="BK277"/>
      <c r="BL277"/>
      <c r="BM277"/>
      <c r="BN277"/>
      <c r="BO277"/>
      <c r="BP277"/>
      <c r="BQ277"/>
      <c r="BR277" s="170">
        <f t="shared" si="4"/>
        <v>9416.9007000000001</v>
      </c>
    </row>
    <row r="278" spans="2:70" ht="14.45" hidden="1">
      <c r="B278" s="166" t="s">
        <v>47</v>
      </c>
      <c r="C278" s="3" t="s">
        <v>3022</v>
      </c>
      <c r="D278" s="3">
        <v>21740610</v>
      </c>
      <c r="E278" s="3">
        <v>3</v>
      </c>
      <c r="F278" s="3" t="s">
        <v>3023</v>
      </c>
      <c r="G278" s="3" t="s">
        <v>3024</v>
      </c>
      <c r="H278" s="3" t="s">
        <v>17</v>
      </c>
      <c r="I278" s="3" t="s">
        <v>3069</v>
      </c>
      <c r="J278" t="s">
        <v>3070</v>
      </c>
      <c r="K278" s="147"/>
      <c r="L278" s="3">
        <v>1</v>
      </c>
      <c r="M278" s="148">
        <v>1510.0800000000002</v>
      </c>
      <c r="N278" s="148">
        <v>14184.754499999999</v>
      </c>
      <c r="Q278" s="148">
        <v>3138.9668999999999</v>
      </c>
      <c r="R278" s="148">
        <f>Table242[[#This Row],[Material Unit Price]]+Table242[[#This Row],[Labor Unit Price]]+Table242[[#This Row],[GC + Manage+ Insur]]</f>
        <v>18833.8014</v>
      </c>
      <c r="S278" s="148">
        <f>Table242[[#This Row],[Total Per Tool]]*Table242[[#This Row],[Tool QTY]]</f>
        <v>18833.8014</v>
      </c>
      <c r="U278" s="149">
        <v>44903</v>
      </c>
      <c r="X27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18833.8007</v>
      </c>
      <c r="Y278" s="150">
        <f>Table242[[#This Row],[Total AR (Received)]]/Table242[[#This Row],[PO Amount]]</f>
        <v>0.99999996283278214</v>
      </c>
      <c r="Z278" s="151">
        <f>Table242[[#This Row],[PO Amount]]-Table242[[#This Row],[Total AR (Received)]]</f>
        <v>7.0000000050640665E-4</v>
      </c>
      <c r="AA278" s="152">
        <v>1</v>
      </c>
      <c r="AB278" s="152">
        <v>0</v>
      </c>
      <c r="AC278" s="152">
        <f>SUM(Table242[[#This Row],[Total M%]]*Table242[[#This Row],[Material Unit Price]],Table242[[#This Row],[Total L %]]*Table242[[#This Row],[Labor Unit Price]])/SUM(Table242[[#This Row],[Material Unit Price]:[Labor Unit Price]])</f>
        <v>9.6215095482529628E-2</v>
      </c>
      <c r="AD278"/>
      <c r="AE278"/>
      <c r="AF278" s="148"/>
      <c r="AH278" s="2"/>
      <c r="AI278" s="2"/>
      <c r="AN278" s="167"/>
      <c r="AR278" s="168">
        <f>50%*Table242[[#This Row],[Total Per Tool]]</f>
        <v>9416.9007000000001</v>
      </c>
      <c r="BB278"/>
      <c r="BC278"/>
      <c r="BD278" s="154" t="s">
        <v>550</v>
      </c>
      <c r="BE278" s="2"/>
      <c r="BF278"/>
      <c r="BG278"/>
      <c r="BH278" s="173">
        <v>9416.9</v>
      </c>
      <c r="BI278"/>
      <c r="BJ278"/>
      <c r="BK278"/>
      <c r="BL278"/>
      <c r="BM278"/>
      <c r="BN278"/>
      <c r="BO278"/>
      <c r="BP278"/>
      <c r="BQ278"/>
      <c r="BR278" s="170">
        <f t="shared" si="4"/>
        <v>18833.8007</v>
      </c>
    </row>
    <row r="279" spans="2:70" ht="14.45" hidden="1">
      <c r="B279" s="166" t="s">
        <v>47</v>
      </c>
      <c r="C279" s="3" t="str">
        <f>C278</f>
        <v>Chen, Frady (Wen-Ching) &lt;Wen.Ching.Chen@kla.com&gt;</v>
      </c>
      <c r="D279" s="3">
        <v>21740610</v>
      </c>
      <c r="E279" s="3">
        <v>4</v>
      </c>
      <c r="F279" s="3" t="s">
        <v>3023</v>
      </c>
      <c r="G279" s="3" t="str">
        <f>G278</f>
        <v>F21P1 KLA Interconnection</v>
      </c>
      <c r="H279" s="3" t="s">
        <v>17</v>
      </c>
      <c r="I279" s="3" t="s">
        <v>3071</v>
      </c>
      <c r="J279" t="s">
        <v>3070</v>
      </c>
      <c r="K279" s="147"/>
      <c r="L279" s="3">
        <v>1</v>
      </c>
      <c r="M279" s="148">
        <v>1510.0800000000002</v>
      </c>
      <c r="N279" s="148">
        <v>14184.754499999999</v>
      </c>
      <c r="Q279" s="148">
        <v>3138.9668999999999</v>
      </c>
      <c r="R279" s="148">
        <f>Table242[[#This Row],[Material Unit Price]]+Table242[[#This Row],[Labor Unit Price]]+Table242[[#This Row],[GC + Manage+ Insur]]</f>
        <v>18833.8014</v>
      </c>
      <c r="S279" s="148">
        <f>Table242[[#This Row],[Total Per Tool]]*Table242[[#This Row],[Tool QTY]]</f>
        <v>18833.8014</v>
      </c>
      <c r="U279" s="149"/>
      <c r="X27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9416.9007000000001</v>
      </c>
      <c r="Y279" s="150">
        <f>Table242[[#This Row],[Total AR (Received)]]/Table242[[#This Row],[PO Amount]]</f>
        <v>0.5</v>
      </c>
      <c r="Z279" s="151">
        <f>Table242[[#This Row],[PO Amount]]-Table242[[#This Row],[Total AR (Received)]]</f>
        <v>9416.9007000000001</v>
      </c>
      <c r="AA279" s="152">
        <v>1</v>
      </c>
      <c r="AB279" s="152">
        <v>0</v>
      </c>
      <c r="AC279" s="152">
        <f>SUM(Table242[[#This Row],[Total M%]]*Table242[[#This Row],[Material Unit Price]],Table242[[#This Row],[Total L %]]*Table242[[#This Row],[Labor Unit Price]])/SUM(Table242[[#This Row],[Material Unit Price]:[Labor Unit Price]])</f>
        <v>9.6215095482529628E-2</v>
      </c>
      <c r="AD279"/>
      <c r="AE279"/>
      <c r="AF279" s="148"/>
      <c r="AH279" s="2"/>
      <c r="AI279" s="2"/>
      <c r="AN279" s="167"/>
      <c r="AR279" s="168">
        <f>50%*Table242[[#This Row],[Total Per Tool]]</f>
        <v>9416.9007000000001</v>
      </c>
      <c r="BB279"/>
      <c r="BC279"/>
      <c r="BD279" s="154" t="s">
        <v>550</v>
      </c>
      <c r="BE279" s="2"/>
      <c r="BF279"/>
      <c r="BG279"/>
      <c r="BH279"/>
      <c r="BI279"/>
      <c r="BJ279"/>
      <c r="BK279"/>
      <c r="BL279"/>
      <c r="BM279"/>
      <c r="BN279"/>
      <c r="BO279"/>
      <c r="BP279"/>
      <c r="BQ279"/>
      <c r="BR279" s="170">
        <f t="shared" si="4"/>
        <v>9416.9007000000001</v>
      </c>
    </row>
    <row r="280" spans="2:70" ht="14.45" hidden="1">
      <c r="B280" s="166" t="s">
        <v>47</v>
      </c>
      <c r="C280" s="3"/>
      <c r="D280" s="3">
        <v>21772870</v>
      </c>
      <c r="E280" s="3">
        <v>1</v>
      </c>
      <c r="F280" s="3" t="s">
        <v>3023</v>
      </c>
      <c r="G280" s="3" t="s">
        <v>3024</v>
      </c>
      <c r="H280" s="3" t="s">
        <v>17</v>
      </c>
      <c r="I280" s="3" t="s">
        <v>3072</v>
      </c>
      <c r="J280" t="s">
        <v>3073</v>
      </c>
      <c r="K280" s="147"/>
      <c r="L280" s="3">
        <v>1</v>
      </c>
      <c r="N280" s="148">
        <v>7336</v>
      </c>
      <c r="Q280" s="148">
        <v>1522</v>
      </c>
      <c r="R280" s="148">
        <f>Table242[[#This Row],[Material Unit Price]]+Table242[[#This Row],[Labor Unit Price]]+Table242[[#This Row],[GC + Manage+ Insur]]</f>
        <v>8858</v>
      </c>
      <c r="S280" s="148">
        <f>Table242[[#This Row],[Total Per Tool]]*Table242[[#This Row],[Tool QTY]]</f>
        <v>8858</v>
      </c>
      <c r="U280" s="149"/>
      <c r="X28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8858</v>
      </c>
      <c r="Y280" s="150">
        <f>Table242[[#This Row],[Total AR (Received)]]/Table242[[#This Row],[PO Amount]]</f>
        <v>1</v>
      </c>
      <c r="Z280" s="151">
        <f>Table242[[#This Row],[PO Amount]]-Table242[[#This Row],[Total AR (Received)]]</f>
        <v>0</v>
      </c>
      <c r="AA280" s="152"/>
      <c r="AB280" s="152"/>
      <c r="AC280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80"/>
      <c r="AE280"/>
      <c r="AF280" s="148"/>
      <c r="AI280" s="2"/>
      <c r="AN280" s="167"/>
      <c r="AR280" s="168">
        <f>50%*Table242[[#This Row],[Total Per Tool]]</f>
        <v>4429</v>
      </c>
      <c r="BB280" s="2"/>
      <c r="BC280"/>
      <c r="BD280" s="154" t="s">
        <v>550</v>
      </c>
      <c r="BE280" s="2"/>
      <c r="BF280" s="173">
        <v>4429</v>
      </c>
      <c r="BG280"/>
      <c r="BH280"/>
      <c r="BI280"/>
      <c r="BJ280"/>
      <c r="BK280"/>
      <c r="BL280"/>
      <c r="BM280"/>
      <c r="BN280"/>
      <c r="BO280"/>
      <c r="BP280"/>
      <c r="BQ280"/>
      <c r="BR280" s="170">
        <f t="shared" si="4"/>
        <v>8858</v>
      </c>
    </row>
    <row r="281" spans="2:70" ht="14.45" hidden="1">
      <c r="B281" s="166" t="s">
        <v>47</v>
      </c>
      <c r="C281" s="3"/>
      <c r="D281" s="3">
        <v>21784625</v>
      </c>
      <c r="E281" s="3">
        <v>1</v>
      </c>
      <c r="F281" s="3" t="s">
        <v>3023</v>
      </c>
      <c r="G281" s="3" t="s">
        <v>3024</v>
      </c>
      <c r="H281" s="3" t="s">
        <v>17</v>
      </c>
      <c r="I281" s="3" t="s">
        <v>3074</v>
      </c>
      <c r="J281" t="s">
        <v>3075</v>
      </c>
      <c r="K281" s="147"/>
      <c r="L281" s="3">
        <v>1</v>
      </c>
      <c r="N281" s="148">
        <v>3717</v>
      </c>
      <c r="Q281" s="148">
        <v>743.4</v>
      </c>
      <c r="R281" s="148">
        <f>Table242[[#This Row],[Material Unit Price]]+Table242[[#This Row],[Labor Unit Price]]+Table242[[#This Row],[GC + Manage+ Insur]]</f>
        <v>4460.3999999999996</v>
      </c>
      <c r="S281" s="148">
        <f>Table242[[#This Row],[Total Per Tool]]*Table242[[#This Row],[Tool QTY]]</f>
        <v>4460.3999999999996</v>
      </c>
      <c r="U281" s="149"/>
      <c r="X28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4460.3999999999996</v>
      </c>
      <c r="Y281" s="150">
        <f>Table242[[#This Row],[Total AR (Received)]]/Table242[[#This Row],[PO Amount]]</f>
        <v>1</v>
      </c>
      <c r="Z281" s="151">
        <f>Table242[[#This Row],[PO Amount]]-Table242[[#This Row],[Total AR (Received)]]</f>
        <v>0</v>
      </c>
      <c r="AA281" s="152"/>
      <c r="AB281" s="152"/>
      <c r="AC281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81"/>
      <c r="AE281"/>
      <c r="AF281" s="148"/>
      <c r="AH281" s="2"/>
      <c r="AI281" s="2"/>
      <c r="AN281" s="167"/>
      <c r="AR281" s="168">
        <f>50%*Table242[[#This Row],[Total Per Tool]]</f>
        <v>2230.1999999999998</v>
      </c>
      <c r="BB281"/>
      <c r="BC281"/>
      <c r="BD281" s="154" t="s">
        <v>550</v>
      </c>
      <c r="BE281" s="2"/>
      <c r="BF281" s="169">
        <v>2230.1999999999998</v>
      </c>
      <c r="BG281"/>
      <c r="BH281"/>
      <c r="BI281"/>
      <c r="BJ281"/>
      <c r="BK281"/>
      <c r="BL281"/>
      <c r="BM281"/>
      <c r="BN281"/>
      <c r="BO281"/>
      <c r="BP281"/>
      <c r="BQ281"/>
      <c r="BR281" s="170">
        <f t="shared" si="4"/>
        <v>4460.3999999999996</v>
      </c>
    </row>
    <row r="282" spans="2:70" ht="14.45" hidden="1">
      <c r="B282" s="3" t="s">
        <v>47</v>
      </c>
      <c r="C282" s="3"/>
      <c r="D282" s="3">
        <v>21883931</v>
      </c>
      <c r="E282" s="3">
        <v>1</v>
      </c>
      <c r="F282" s="3" t="s">
        <v>3023</v>
      </c>
      <c r="G282" s="3" t="s">
        <v>3024</v>
      </c>
      <c r="H282" s="3" t="s">
        <v>17</v>
      </c>
      <c r="I282" s="3" t="s">
        <v>3076</v>
      </c>
      <c r="J282" s="163" t="s">
        <v>3077</v>
      </c>
      <c r="K282" s="164"/>
      <c r="L282" s="3">
        <v>1</v>
      </c>
      <c r="N282" s="148">
        <v>18212</v>
      </c>
      <c r="R282" s="148">
        <f>Table242[[#This Row],[Material Unit Price]]+Table242[[#This Row],[Labor Unit Price]]+Table242[[#This Row],[GC + Manage+ Insur]]</f>
        <v>18212</v>
      </c>
      <c r="S282" s="148">
        <f>Table242[[#This Row],[Total Per Tool]]*Table242[[#This Row],[Tool QTY]]</f>
        <v>18212</v>
      </c>
      <c r="U282" s="149"/>
      <c r="X28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18212</v>
      </c>
      <c r="Y282" s="150">
        <f>Table242[[#This Row],[Total AR (Received)]]/Table242[[#This Row],[PO Amount]]</f>
        <v>1</v>
      </c>
      <c r="Z282" s="148">
        <f>Table242[[#This Row],[PO Amount]]-Table242[[#This Row],[Total AR (Received)]]</f>
        <v>0</v>
      </c>
      <c r="AA282" s="3"/>
      <c r="AF282" s="3"/>
      <c r="BB282" s="154"/>
      <c r="BC282" s="154"/>
      <c r="BD282" s="154" t="s">
        <v>550</v>
      </c>
      <c r="BE282" s="154"/>
      <c r="BF282" s="154"/>
      <c r="BG282" s="320"/>
      <c r="BH282" s="172">
        <v>18212</v>
      </c>
      <c r="BI282" s="154"/>
      <c r="BJ282" s="154"/>
      <c r="BK282" s="154"/>
      <c r="BL282" s="154"/>
      <c r="BM282" s="154"/>
      <c r="BN282" s="154"/>
      <c r="BO282" s="154"/>
      <c r="BP282" s="154"/>
      <c r="BQ282" s="154"/>
      <c r="BR282" s="156">
        <f t="shared" si="4"/>
        <v>18212</v>
      </c>
    </row>
    <row r="283" spans="2:70" ht="14.45" hidden="1">
      <c r="B283" s="166" t="s">
        <v>48</v>
      </c>
      <c r="C283" s="3" t="s">
        <v>3078</v>
      </c>
      <c r="D283" s="3">
        <v>18612</v>
      </c>
      <c r="E283" s="3">
        <v>1</v>
      </c>
      <c r="F283" s="3" t="s">
        <v>3079</v>
      </c>
      <c r="G283" s="3" t="s">
        <v>3080</v>
      </c>
      <c r="H283" s="3" t="s">
        <v>17</v>
      </c>
      <c r="I283" s="3" t="s">
        <v>3081</v>
      </c>
      <c r="J283" t="s">
        <v>3082</v>
      </c>
      <c r="K283" s="147" t="s">
        <v>3052</v>
      </c>
      <c r="L283" s="3">
        <v>1</v>
      </c>
      <c r="M283" s="148">
        <v>2500.6999999999998</v>
      </c>
      <c r="N283" s="148">
        <v>9753.06</v>
      </c>
      <c r="Q283" s="148">
        <v>2450.75</v>
      </c>
      <c r="R283" s="148">
        <f>Table242[[#This Row],[Material Unit Price]]+Table242[[#This Row],[Labor Unit Price]]+Table242[[#This Row],[GC + Manage+ Insur]]</f>
        <v>14704.509999999998</v>
      </c>
      <c r="S283" s="148">
        <f>Table242[[#This Row],[Total Per Tool]]*Table242[[#This Row],[Tool QTY]]</f>
        <v>14704.509999999998</v>
      </c>
      <c r="U283" s="149">
        <v>44915</v>
      </c>
      <c r="W283" s="3" t="s">
        <v>3083</v>
      </c>
      <c r="X28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14704.509999999998</v>
      </c>
      <c r="Y283" s="150">
        <f>Table242[[#This Row],[Total AR (Received)]]/Table242[[#This Row],[PO Amount]]</f>
        <v>1</v>
      </c>
      <c r="Z283" s="151">
        <f>Table242[[#This Row],[PO Amount]]-Table242[[#This Row],[Total AR (Received)]]</f>
        <v>0</v>
      </c>
      <c r="AA283" s="151"/>
      <c r="AB283" s="151"/>
      <c r="AC283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83"/>
      <c r="AE283"/>
      <c r="AF283" s="148"/>
      <c r="AP283" s="169">
        <v>14704.509999999998</v>
      </c>
      <c r="BB283"/>
      <c r="BC283"/>
      <c r="BD283" s="154" t="s">
        <v>550</v>
      </c>
      <c r="BE283" s="2"/>
      <c r="BF283"/>
      <c r="BG283"/>
      <c r="BH283"/>
      <c r="BI283"/>
      <c r="BJ283" s="13"/>
      <c r="BK283"/>
      <c r="BL283"/>
      <c r="BM283"/>
      <c r="BN283"/>
      <c r="BO283"/>
      <c r="BP283"/>
      <c r="BQ283"/>
      <c r="BR283" s="156">
        <f t="shared" si="4"/>
        <v>14704.509999999998</v>
      </c>
    </row>
    <row r="284" spans="2:70" ht="14.45" hidden="1">
      <c r="B284" s="166" t="s">
        <v>48</v>
      </c>
      <c r="C284" s="3" t="s">
        <v>3078</v>
      </c>
      <c r="D284" s="3">
        <v>18612</v>
      </c>
      <c r="E284" s="3">
        <v>2</v>
      </c>
      <c r="F284" s="3" t="s">
        <v>3079</v>
      </c>
      <c r="G284" s="3" t="s">
        <v>3080</v>
      </c>
      <c r="H284" s="3" t="s">
        <v>17</v>
      </c>
      <c r="I284" s="3" t="s">
        <v>3084</v>
      </c>
      <c r="J284" t="s">
        <v>3082</v>
      </c>
      <c r="K284" s="147"/>
      <c r="L284" s="3">
        <v>1</v>
      </c>
      <c r="M284" s="148">
        <v>2500.6999999999998</v>
      </c>
      <c r="N284" s="148">
        <v>9753.06</v>
      </c>
      <c r="Q284" s="148">
        <v>2450.75</v>
      </c>
      <c r="R284" s="148">
        <f>Table242[[#This Row],[Material Unit Price]]+Table242[[#This Row],[Labor Unit Price]]+Table242[[#This Row],[GC + Manage+ Insur]]</f>
        <v>14704.509999999998</v>
      </c>
      <c r="S284" s="148">
        <f>Table242[[#This Row],[Total Per Tool]]*Table242[[#This Row],[Tool QTY]]</f>
        <v>14704.509999999998</v>
      </c>
      <c r="U284" s="149"/>
      <c r="W284" s="3"/>
      <c r="X28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14704.51</v>
      </c>
      <c r="Y284" s="150">
        <f>Table242[[#This Row],[Total AR (Received)]]/Table242[[#This Row],[PO Amount]]</f>
        <v>1.0000000000000002</v>
      </c>
      <c r="Z284" s="151">
        <f>Table242[[#This Row],[PO Amount]]-Table242[[#This Row],[Total AR (Received)]]</f>
        <v>0</v>
      </c>
      <c r="AA284" s="151"/>
      <c r="AB284" s="151"/>
      <c r="AC284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84"/>
      <c r="AE284"/>
      <c r="AF284" s="148"/>
      <c r="BB284"/>
      <c r="BC284"/>
      <c r="BD284" s="154" t="s">
        <v>550</v>
      </c>
      <c r="BE284" s="2"/>
      <c r="BF284" s="169">
        <v>14704.51</v>
      </c>
      <c r="BG284"/>
      <c r="BH284"/>
      <c r="BI284"/>
      <c r="BJ284" s="13"/>
      <c r="BK284"/>
      <c r="BL284"/>
      <c r="BM284"/>
      <c r="BN284"/>
      <c r="BO284"/>
      <c r="BP284"/>
      <c r="BQ284"/>
      <c r="BR284" s="156">
        <f t="shared" si="4"/>
        <v>14704.51</v>
      </c>
    </row>
    <row r="285" spans="2:70" ht="14.45" hidden="1">
      <c r="B285" s="166" t="s">
        <v>48</v>
      </c>
      <c r="C285" s="3" t="s">
        <v>3078</v>
      </c>
      <c r="D285" s="3">
        <v>18612</v>
      </c>
      <c r="E285" s="3">
        <v>3</v>
      </c>
      <c r="F285" s="3" t="s">
        <v>3079</v>
      </c>
      <c r="G285" s="3" t="s">
        <v>3080</v>
      </c>
      <c r="H285" s="3" t="s">
        <v>17</v>
      </c>
      <c r="I285" s="3" t="s">
        <v>3085</v>
      </c>
      <c r="J285" t="s">
        <v>3082</v>
      </c>
      <c r="K285" s="147" t="s">
        <v>3052</v>
      </c>
      <c r="L285" s="3">
        <v>1</v>
      </c>
      <c r="M285" s="148">
        <v>2500.6999999999998</v>
      </c>
      <c r="N285" s="148">
        <v>9753.06</v>
      </c>
      <c r="Q285" s="148">
        <v>2450.75</v>
      </c>
      <c r="R285" s="148">
        <f>Table242[[#This Row],[Material Unit Price]]+Table242[[#This Row],[Labor Unit Price]]+Table242[[#This Row],[GC + Manage+ Insur]]</f>
        <v>14704.509999999998</v>
      </c>
      <c r="S285" s="148">
        <f>Table242[[#This Row],[Total Per Tool]]*Table242[[#This Row],[Tool QTY]]</f>
        <v>14704.509999999998</v>
      </c>
      <c r="U285" s="149"/>
      <c r="W285" s="3"/>
      <c r="X28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14704.509999999998</v>
      </c>
      <c r="Y285" s="150">
        <f>Table242[[#This Row],[Total AR (Received)]]/Table242[[#This Row],[PO Amount]]</f>
        <v>1</v>
      </c>
      <c r="Z285" s="151">
        <f>Table242[[#This Row],[PO Amount]]-Table242[[#This Row],[Total AR (Received)]]</f>
        <v>0</v>
      </c>
      <c r="AA285" s="151"/>
      <c r="AB285" s="151"/>
      <c r="AC285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85"/>
      <c r="AE285"/>
      <c r="AF285" s="148"/>
      <c r="AP285" s="169">
        <v>14704.509999999998</v>
      </c>
      <c r="BB285"/>
      <c r="BC285"/>
      <c r="BD285" s="154" t="s">
        <v>550</v>
      </c>
      <c r="BE285" s="2"/>
      <c r="BF285"/>
      <c r="BG285"/>
      <c r="BH285"/>
      <c r="BI285"/>
      <c r="BJ285" s="13"/>
      <c r="BK285"/>
      <c r="BL285"/>
      <c r="BM285"/>
      <c r="BN285"/>
      <c r="BO285"/>
      <c r="BP285"/>
      <c r="BQ285"/>
      <c r="BR285" s="156">
        <f t="shared" si="4"/>
        <v>14704.509999999998</v>
      </c>
    </row>
    <row r="286" spans="2:70" ht="14.45" hidden="1">
      <c r="B286" s="166" t="s">
        <v>48</v>
      </c>
      <c r="C286" s="3" t="s">
        <v>3078</v>
      </c>
      <c r="D286" s="3">
        <v>18612</v>
      </c>
      <c r="E286" s="3">
        <v>4</v>
      </c>
      <c r="F286" s="3" t="s">
        <v>3079</v>
      </c>
      <c r="G286" s="3" t="s">
        <v>3080</v>
      </c>
      <c r="H286" s="3" t="s">
        <v>17</v>
      </c>
      <c r="I286" s="3" t="s">
        <v>3086</v>
      </c>
      <c r="J286" t="s">
        <v>3082</v>
      </c>
      <c r="K286" s="147" t="s">
        <v>3052</v>
      </c>
      <c r="L286" s="3">
        <v>1</v>
      </c>
      <c r="M286" s="148">
        <v>2500.6999999999998</v>
      </c>
      <c r="N286" s="148">
        <v>9753.06</v>
      </c>
      <c r="Q286" s="148">
        <v>2450.75</v>
      </c>
      <c r="R286" s="148">
        <f>Table242[[#This Row],[Material Unit Price]]+Table242[[#This Row],[Labor Unit Price]]+Table242[[#This Row],[GC + Manage+ Insur]]</f>
        <v>14704.509999999998</v>
      </c>
      <c r="S286" s="148">
        <f>Table242[[#This Row],[Total Per Tool]]*Table242[[#This Row],[Tool QTY]]</f>
        <v>14704.509999999998</v>
      </c>
      <c r="U286" s="149"/>
      <c r="W286" s="3"/>
      <c r="X28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14704.509999999998</v>
      </c>
      <c r="Y286" s="150">
        <f>Table242[[#This Row],[Total AR (Received)]]/Table242[[#This Row],[PO Amount]]</f>
        <v>1</v>
      </c>
      <c r="Z286" s="151">
        <f>Table242[[#This Row],[PO Amount]]-Table242[[#This Row],[Total AR (Received)]]</f>
        <v>0</v>
      </c>
      <c r="AA286" s="151"/>
      <c r="AB286" s="151"/>
      <c r="AC286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86"/>
      <c r="AE286"/>
      <c r="AF286" s="148"/>
      <c r="AP286" s="169">
        <v>14704.509999999998</v>
      </c>
      <c r="BB286"/>
      <c r="BC286"/>
      <c r="BD286" s="154" t="s">
        <v>550</v>
      </c>
      <c r="BE286" s="2"/>
      <c r="BF286"/>
      <c r="BG286"/>
      <c r="BH286"/>
      <c r="BI286"/>
      <c r="BJ286" s="13"/>
      <c r="BK286"/>
      <c r="BL286"/>
      <c r="BM286"/>
      <c r="BN286"/>
      <c r="BO286"/>
      <c r="BP286"/>
      <c r="BQ286"/>
      <c r="BR286" s="156">
        <f t="shared" si="4"/>
        <v>14704.509999999998</v>
      </c>
    </row>
    <row r="287" spans="2:70" ht="14.45" hidden="1">
      <c r="B287" s="166" t="s">
        <v>48</v>
      </c>
      <c r="C287" s="3" t="s">
        <v>3078</v>
      </c>
      <c r="D287" s="3">
        <v>18612</v>
      </c>
      <c r="E287" s="3">
        <v>5</v>
      </c>
      <c r="F287" s="3" t="s">
        <v>3079</v>
      </c>
      <c r="G287" s="3" t="s">
        <v>3080</v>
      </c>
      <c r="H287" s="3" t="s">
        <v>17</v>
      </c>
      <c r="I287" s="3" t="s">
        <v>3087</v>
      </c>
      <c r="J287" t="s">
        <v>3082</v>
      </c>
      <c r="K287" s="147"/>
      <c r="L287" s="3">
        <v>1</v>
      </c>
      <c r="M287" s="148">
        <v>2500.6999999999998</v>
      </c>
      <c r="N287" s="148">
        <v>9753.06</v>
      </c>
      <c r="Q287" s="148">
        <v>2450.75</v>
      </c>
      <c r="R287" s="148">
        <f>Table242[[#This Row],[Material Unit Price]]+Table242[[#This Row],[Labor Unit Price]]+Table242[[#This Row],[GC + Manage+ Insur]]</f>
        <v>14704.509999999998</v>
      </c>
      <c r="S287" s="148">
        <f>Table242[[#This Row],[Total Per Tool]]*Table242[[#This Row],[Tool QTY]]</f>
        <v>14704.509999999998</v>
      </c>
      <c r="U287" s="149"/>
      <c r="W287" s="3"/>
      <c r="X28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14704.51</v>
      </c>
      <c r="Y287" s="150">
        <f>Table242[[#This Row],[Total AR (Received)]]/Table242[[#This Row],[PO Amount]]</f>
        <v>1.0000000000000002</v>
      </c>
      <c r="Z287" s="151">
        <f>Table242[[#This Row],[PO Amount]]-Table242[[#This Row],[Total AR (Received)]]</f>
        <v>0</v>
      </c>
      <c r="AA287" s="151"/>
      <c r="AB287" s="151"/>
      <c r="AC287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87"/>
      <c r="AE287"/>
      <c r="AF287" s="148"/>
      <c r="BB287"/>
      <c r="BC287"/>
      <c r="BD287" s="154" t="s">
        <v>550</v>
      </c>
      <c r="BE287" s="2"/>
      <c r="BF287" s="169">
        <v>14704.51</v>
      </c>
      <c r="BG287"/>
      <c r="BH287"/>
      <c r="BI287"/>
      <c r="BJ287" s="13"/>
      <c r="BK287"/>
      <c r="BL287"/>
      <c r="BM287"/>
      <c r="BN287"/>
      <c r="BO287"/>
      <c r="BP287"/>
      <c r="BQ287"/>
      <c r="BR287" s="156">
        <f t="shared" si="4"/>
        <v>14704.51</v>
      </c>
    </row>
    <row r="288" spans="2:70" ht="14.45" hidden="1">
      <c r="B288" s="166" t="s">
        <v>48</v>
      </c>
      <c r="C288" s="3" t="s">
        <v>3078</v>
      </c>
      <c r="D288" s="3">
        <v>18612</v>
      </c>
      <c r="E288" s="3">
        <v>6</v>
      </c>
      <c r="F288" s="3" t="s">
        <v>3079</v>
      </c>
      <c r="G288" s="3" t="s">
        <v>3080</v>
      </c>
      <c r="H288" s="3" t="s">
        <v>17</v>
      </c>
      <c r="I288" s="3" t="s">
        <v>3088</v>
      </c>
      <c r="J288" t="s">
        <v>3082</v>
      </c>
      <c r="K288" s="147"/>
      <c r="L288" s="3">
        <v>1</v>
      </c>
      <c r="M288" s="148">
        <v>2500.6999999999998</v>
      </c>
      <c r="N288" s="148">
        <v>9753.06</v>
      </c>
      <c r="Q288" s="148">
        <v>2450.75</v>
      </c>
      <c r="R288" s="148">
        <f>Table242[[#This Row],[Material Unit Price]]+Table242[[#This Row],[Labor Unit Price]]+Table242[[#This Row],[GC + Manage+ Insur]]</f>
        <v>14704.509999999998</v>
      </c>
      <c r="S288" s="148">
        <f>Table242[[#This Row],[Total Per Tool]]*Table242[[#This Row],[Tool QTY]]</f>
        <v>14704.509999999998</v>
      </c>
      <c r="U288" s="149"/>
      <c r="W288" s="3"/>
      <c r="X28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14704.51</v>
      </c>
      <c r="Y288" s="150">
        <f>Table242[[#This Row],[Total AR (Received)]]/Table242[[#This Row],[PO Amount]]</f>
        <v>1.0000000000000002</v>
      </c>
      <c r="Z288" s="151">
        <f>Table242[[#This Row],[PO Amount]]-Table242[[#This Row],[Total AR (Received)]]</f>
        <v>0</v>
      </c>
      <c r="AA288" s="151"/>
      <c r="AB288" s="151"/>
      <c r="AC288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88"/>
      <c r="AE288"/>
      <c r="AF288" s="148"/>
      <c r="BB288"/>
      <c r="BC288"/>
      <c r="BD288" s="154" t="s">
        <v>550</v>
      </c>
      <c r="BE288" s="2"/>
      <c r="BF288" s="169">
        <v>14704.51</v>
      </c>
      <c r="BG288"/>
      <c r="BH288"/>
      <c r="BI288"/>
      <c r="BJ288" s="13"/>
      <c r="BK288"/>
      <c r="BL288"/>
      <c r="BM288"/>
      <c r="BN288"/>
      <c r="BO288"/>
      <c r="BP288"/>
      <c r="BQ288"/>
      <c r="BR288" s="156">
        <f t="shared" si="4"/>
        <v>14704.51</v>
      </c>
    </row>
    <row r="289" spans="2:70" ht="14.45" hidden="1">
      <c r="B289" s="166" t="s">
        <v>48</v>
      </c>
      <c r="C289" s="3" t="s">
        <v>3078</v>
      </c>
      <c r="D289" s="3">
        <v>18612</v>
      </c>
      <c r="E289" s="3">
        <v>7</v>
      </c>
      <c r="F289" s="3" t="s">
        <v>3079</v>
      </c>
      <c r="G289" s="3" t="s">
        <v>3080</v>
      </c>
      <c r="H289" s="3" t="s">
        <v>17</v>
      </c>
      <c r="I289" s="3" t="s">
        <v>3089</v>
      </c>
      <c r="J289" t="s">
        <v>3082</v>
      </c>
      <c r="K289" s="147"/>
      <c r="L289" s="3">
        <v>1</v>
      </c>
      <c r="M289" s="148">
        <v>2500.6999999999998</v>
      </c>
      <c r="N289" s="148">
        <v>9753.06</v>
      </c>
      <c r="Q289" s="148">
        <v>2450.75</v>
      </c>
      <c r="R289" s="148">
        <f>Table242[[#This Row],[Material Unit Price]]+Table242[[#This Row],[Labor Unit Price]]+Table242[[#This Row],[GC + Manage+ Insur]]</f>
        <v>14704.509999999998</v>
      </c>
      <c r="S289" s="148">
        <f>Table242[[#This Row],[Total Per Tool]]*Table242[[#This Row],[Tool QTY]]</f>
        <v>14704.509999999998</v>
      </c>
      <c r="U289" s="149"/>
      <c r="W289" s="3"/>
      <c r="X28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14704.51</v>
      </c>
      <c r="Y289" s="150">
        <f>Table242[[#This Row],[Total AR (Received)]]/Table242[[#This Row],[PO Amount]]</f>
        <v>1.0000000000000002</v>
      </c>
      <c r="Z289" s="151">
        <f>Table242[[#This Row],[PO Amount]]-Table242[[#This Row],[Total AR (Received)]]</f>
        <v>0</v>
      </c>
      <c r="AA289" s="151"/>
      <c r="AB289" s="151"/>
      <c r="AC289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89"/>
      <c r="AE289"/>
      <c r="AF289" s="148"/>
      <c r="BB289"/>
      <c r="BC289"/>
      <c r="BD289" s="154" t="s">
        <v>550</v>
      </c>
      <c r="BE289" s="2"/>
      <c r="BF289" s="169">
        <v>14704.51</v>
      </c>
      <c r="BG289"/>
      <c r="BH289"/>
      <c r="BI289"/>
      <c r="BJ289" s="13"/>
      <c r="BK289"/>
      <c r="BL289"/>
      <c r="BM289"/>
      <c r="BN289"/>
      <c r="BO289"/>
      <c r="BP289"/>
      <c r="BQ289"/>
      <c r="BR289" s="156">
        <f t="shared" si="4"/>
        <v>14704.51</v>
      </c>
    </row>
    <row r="290" spans="2:70" ht="14.45" hidden="1">
      <c r="B290" s="166" t="s">
        <v>48</v>
      </c>
      <c r="C290" s="3" t="s">
        <v>3078</v>
      </c>
      <c r="D290" s="3">
        <v>18612</v>
      </c>
      <c r="E290" s="3">
        <v>8</v>
      </c>
      <c r="F290" s="3" t="s">
        <v>3079</v>
      </c>
      <c r="G290" s="3" t="s">
        <v>3080</v>
      </c>
      <c r="H290" s="3" t="s">
        <v>17</v>
      </c>
      <c r="I290" s="3" t="s">
        <v>3090</v>
      </c>
      <c r="J290" t="s">
        <v>3082</v>
      </c>
      <c r="K290" s="147"/>
      <c r="L290" s="3">
        <v>1</v>
      </c>
      <c r="M290" s="148">
        <v>2500.6999999999998</v>
      </c>
      <c r="N290" s="148">
        <v>9753.06</v>
      </c>
      <c r="Q290" s="148">
        <v>2450.75</v>
      </c>
      <c r="R290" s="148">
        <f>Table242[[#This Row],[Material Unit Price]]+Table242[[#This Row],[Labor Unit Price]]+Table242[[#This Row],[GC + Manage+ Insur]]</f>
        <v>14704.509999999998</v>
      </c>
      <c r="S290" s="148">
        <f>Table242[[#This Row],[Total Per Tool]]*Table242[[#This Row],[Tool QTY]]</f>
        <v>14704.509999999998</v>
      </c>
      <c r="U290" s="149"/>
      <c r="W290" s="3"/>
      <c r="X29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290" s="150">
        <f>Table242[[#This Row],[Total AR (Received)]]/Table242[[#This Row],[PO Amount]]</f>
        <v>0</v>
      </c>
      <c r="Z290" s="151">
        <f>Table242[[#This Row],[PO Amount]]-Table242[[#This Row],[Total AR (Received)]]</f>
        <v>14704.509999999998</v>
      </c>
      <c r="AA290" s="151"/>
      <c r="AB290" s="151"/>
      <c r="AC290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90"/>
      <c r="AE290"/>
      <c r="AF290" s="148"/>
      <c r="BB290"/>
      <c r="BC290"/>
      <c r="BD290" s="154" t="s">
        <v>550</v>
      </c>
      <c r="BE290" s="2"/>
      <c r="BF290"/>
      <c r="BG290"/>
      <c r="BH290"/>
      <c r="BI290"/>
      <c r="BJ290" s="13"/>
      <c r="BK290"/>
      <c r="BL290"/>
      <c r="BM290"/>
      <c r="BN290"/>
      <c r="BO290"/>
      <c r="BP290"/>
      <c r="BQ290"/>
      <c r="BR290" s="156">
        <f t="shared" si="4"/>
        <v>0</v>
      </c>
    </row>
    <row r="291" spans="2:70" ht="14.45" hidden="1">
      <c r="B291" s="166" t="s">
        <v>48</v>
      </c>
      <c r="C291" s="3" t="s">
        <v>3078</v>
      </c>
      <c r="D291" s="3">
        <v>18612</v>
      </c>
      <c r="E291" s="3">
        <v>9</v>
      </c>
      <c r="F291" s="3" t="s">
        <v>3079</v>
      </c>
      <c r="G291" s="3" t="s">
        <v>3080</v>
      </c>
      <c r="H291" s="3" t="s">
        <v>17</v>
      </c>
      <c r="I291" s="3" t="s">
        <v>3091</v>
      </c>
      <c r="J291" t="s">
        <v>3082</v>
      </c>
      <c r="K291" s="147"/>
      <c r="L291" s="3">
        <v>1</v>
      </c>
      <c r="M291" s="148">
        <v>2500.6999999999998</v>
      </c>
      <c r="N291" s="148">
        <v>9753.06</v>
      </c>
      <c r="Q291" s="148">
        <v>2450.75</v>
      </c>
      <c r="R291" s="148">
        <f>Table242[[#This Row],[Material Unit Price]]+Table242[[#This Row],[Labor Unit Price]]+Table242[[#This Row],[GC + Manage+ Insur]]</f>
        <v>14704.509999999998</v>
      </c>
      <c r="S291" s="148">
        <f>Table242[[#This Row],[Total Per Tool]]*Table242[[#This Row],[Tool QTY]]</f>
        <v>14704.509999999998</v>
      </c>
      <c r="U291" s="149"/>
      <c r="W291" s="3"/>
      <c r="X29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291" s="150">
        <f>Table242[[#This Row],[Total AR (Received)]]/Table242[[#This Row],[PO Amount]]</f>
        <v>0</v>
      </c>
      <c r="Z291" s="151">
        <f>Table242[[#This Row],[PO Amount]]-Table242[[#This Row],[Total AR (Received)]]</f>
        <v>14704.509999999998</v>
      </c>
      <c r="AA291" s="151"/>
      <c r="AB291" s="151"/>
      <c r="AC291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91"/>
      <c r="AE291"/>
      <c r="AF291" s="148"/>
      <c r="BB291"/>
      <c r="BC291"/>
      <c r="BD291" s="154" t="s">
        <v>550</v>
      </c>
      <c r="BE291" s="2"/>
      <c r="BF291"/>
      <c r="BG291"/>
      <c r="BH291"/>
      <c r="BI291"/>
      <c r="BJ291" s="13"/>
      <c r="BK291"/>
      <c r="BL291"/>
      <c r="BM291"/>
      <c r="BN291"/>
      <c r="BO291"/>
      <c r="BP291"/>
      <c r="BQ291"/>
      <c r="BR291" s="156">
        <f t="shared" si="4"/>
        <v>0</v>
      </c>
    </row>
    <row r="292" spans="2:70" ht="14.45" hidden="1">
      <c r="B292" s="166" t="s">
        <v>48</v>
      </c>
      <c r="C292" s="3" t="s">
        <v>3078</v>
      </c>
      <c r="D292" s="3">
        <v>18612</v>
      </c>
      <c r="E292" s="3">
        <v>10</v>
      </c>
      <c r="F292" s="3" t="s">
        <v>3079</v>
      </c>
      <c r="G292" s="3" t="s">
        <v>3080</v>
      </c>
      <c r="H292" s="3" t="s">
        <v>17</v>
      </c>
      <c r="I292" s="3" t="s">
        <v>3092</v>
      </c>
      <c r="J292" t="s">
        <v>3082</v>
      </c>
      <c r="K292" s="147"/>
      <c r="L292" s="3">
        <v>1</v>
      </c>
      <c r="M292" s="148">
        <v>2500.6999999999998</v>
      </c>
      <c r="N292" s="148">
        <v>9753.06</v>
      </c>
      <c r="Q292" s="148">
        <v>2450.75</v>
      </c>
      <c r="R292" s="148">
        <f>Table242[[#This Row],[Material Unit Price]]+Table242[[#This Row],[Labor Unit Price]]+Table242[[#This Row],[GC + Manage+ Insur]]</f>
        <v>14704.509999999998</v>
      </c>
      <c r="S292" s="148">
        <f>Table242[[#This Row],[Total Per Tool]]*Table242[[#This Row],[Tool QTY]]</f>
        <v>14704.509999999998</v>
      </c>
      <c r="U292" s="149"/>
      <c r="W292" s="3"/>
      <c r="X29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14704.51</v>
      </c>
      <c r="Y292" s="150">
        <f>Table242[[#This Row],[Total AR (Received)]]/Table242[[#This Row],[PO Amount]]</f>
        <v>1.0000000000000002</v>
      </c>
      <c r="Z292" s="151">
        <f>Table242[[#This Row],[PO Amount]]-Table242[[#This Row],[Total AR (Received)]]</f>
        <v>0</v>
      </c>
      <c r="AA292" s="151"/>
      <c r="AB292" s="151"/>
      <c r="AC292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92"/>
      <c r="AE292"/>
      <c r="AF292" s="148"/>
      <c r="BB292"/>
      <c r="BC292"/>
      <c r="BD292" s="154" t="s">
        <v>550</v>
      </c>
      <c r="BE292" s="2"/>
      <c r="BF292"/>
      <c r="BG292"/>
      <c r="BH292"/>
      <c r="BI292"/>
      <c r="BJ292" s="13">
        <v>14704.51</v>
      </c>
      <c r="BK292"/>
      <c r="BL292"/>
      <c r="BM292"/>
      <c r="BN292"/>
      <c r="BO292"/>
      <c r="BP292"/>
      <c r="BQ292"/>
      <c r="BR292" s="156">
        <f t="shared" si="4"/>
        <v>0</v>
      </c>
    </row>
    <row r="293" spans="2:70" ht="14.45" hidden="1">
      <c r="B293" s="166" t="s">
        <v>48</v>
      </c>
      <c r="C293" s="3" t="s">
        <v>3078</v>
      </c>
      <c r="D293" s="3">
        <v>18612</v>
      </c>
      <c r="E293" s="3">
        <v>11</v>
      </c>
      <c r="F293" s="3" t="s">
        <v>3079</v>
      </c>
      <c r="G293" s="3" t="s">
        <v>3080</v>
      </c>
      <c r="H293" s="3" t="s">
        <v>17</v>
      </c>
      <c r="I293" s="3" t="s">
        <v>3093</v>
      </c>
      <c r="J293" t="s">
        <v>3082</v>
      </c>
      <c r="K293" s="147"/>
      <c r="L293" s="3">
        <v>1</v>
      </c>
      <c r="M293" s="148">
        <v>2500.6999999999998</v>
      </c>
      <c r="N293" s="148">
        <v>9753.06</v>
      </c>
      <c r="Q293" s="148">
        <v>2450.75</v>
      </c>
      <c r="R293" s="148">
        <f>Table242[[#This Row],[Material Unit Price]]+Table242[[#This Row],[Labor Unit Price]]+Table242[[#This Row],[GC + Manage+ Insur]]</f>
        <v>14704.509999999998</v>
      </c>
      <c r="S293" s="148">
        <f>Table242[[#This Row],[Total Per Tool]]*Table242[[#This Row],[Tool QTY]]</f>
        <v>14704.509999999998</v>
      </c>
      <c r="U293" s="149"/>
      <c r="W293" s="3"/>
      <c r="X29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293" s="150">
        <f>Table242[[#This Row],[Total AR (Received)]]/Table242[[#This Row],[PO Amount]]</f>
        <v>0</v>
      </c>
      <c r="Z293" s="151">
        <f>Table242[[#This Row],[PO Amount]]-Table242[[#This Row],[Total AR (Received)]]</f>
        <v>14704.509999999998</v>
      </c>
      <c r="AA293" s="151"/>
      <c r="AB293" s="151"/>
      <c r="AC293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93"/>
      <c r="AE293"/>
      <c r="AF293" s="148"/>
      <c r="BB293"/>
      <c r="BC293"/>
      <c r="BD293" s="154" t="s">
        <v>550</v>
      </c>
      <c r="BE293" s="2"/>
      <c r="BF293"/>
      <c r="BG293"/>
      <c r="BH293"/>
      <c r="BI293"/>
      <c r="BJ293" s="13"/>
      <c r="BK293"/>
      <c r="BL293"/>
      <c r="BM293"/>
      <c r="BN293"/>
      <c r="BO293"/>
      <c r="BP293"/>
      <c r="BQ293"/>
      <c r="BR293" s="156">
        <f t="shared" si="4"/>
        <v>0</v>
      </c>
    </row>
    <row r="294" spans="2:70" ht="14.45" hidden="1">
      <c r="B294" s="166" t="s">
        <v>48</v>
      </c>
      <c r="C294" s="3" t="s">
        <v>3078</v>
      </c>
      <c r="D294" s="3">
        <v>18612</v>
      </c>
      <c r="E294" s="3">
        <v>12</v>
      </c>
      <c r="F294" s="3" t="s">
        <v>3079</v>
      </c>
      <c r="G294" s="3" t="s">
        <v>3080</v>
      </c>
      <c r="H294" s="3" t="s">
        <v>17</v>
      </c>
      <c r="I294" s="3" t="s">
        <v>3094</v>
      </c>
      <c r="J294" t="s">
        <v>3082</v>
      </c>
      <c r="K294" s="147"/>
      <c r="L294" s="3">
        <v>1</v>
      </c>
      <c r="M294" s="148">
        <v>2500.6999999999998</v>
      </c>
      <c r="N294" s="148">
        <v>9753.06</v>
      </c>
      <c r="Q294" s="148">
        <v>2450.75</v>
      </c>
      <c r="R294" s="148">
        <f>Table242[[#This Row],[Material Unit Price]]+Table242[[#This Row],[Labor Unit Price]]+Table242[[#This Row],[GC + Manage+ Insur]]</f>
        <v>14704.509999999998</v>
      </c>
      <c r="S294" s="148">
        <f>Table242[[#This Row],[Total Per Tool]]*Table242[[#This Row],[Tool QTY]]</f>
        <v>14704.509999999998</v>
      </c>
      <c r="U294" s="149"/>
      <c r="W294" s="3"/>
      <c r="X29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294" s="150">
        <f>Table242[[#This Row],[Total AR (Received)]]/Table242[[#This Row],[PO Amount]]</f>
        <v>0</v>
      </c>
      <c r="Z294" s="151">
        <f>Table242[[#This Row],[PO Amount]]-Table242[[#This Row],[Total AR (Received)]]</f>
        <v>14704.509999999998</v>
      </c>
      <c r="AA294" s="151"/>
      <c r="AB294" s="151"/>
      <c r="AC294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94"/>
      <c r="AE294"/>
      <c r="AF294" s="148"/>
      <c r="BB294"/>
      <c r="BC294"/>
      <c r="BD294" s="154" t="s">
        <v>550</v>
      </c>
      <c r="BE294" s="2"/>
      <c r="BF294"/>
      <c r="BG294"/>
      <c r="BH294"/>
      <c r="BI294"/>
      <c r="BJ294" s="13"/>
      <c r="BK294"/>
      <c r="BL294"/>
      <c r="BM294"/>
      <c r="BN294"/>
      <c r="BO294"/>
      <c r="BP294"/>
      <c r="BQ294"/>
      <c r="BR294" s="156">
        <f t="shared" si="4"/>
        <v>0</v>
      </c>
    </row>
    <row r="295" spans="2:70" ht="14.45" hidden="1">
      <c r="B295" s="166" t="s">
        <v>48</v>
      </c>
      <c r="C295" s="3" t="s">
        <v>3078</v>
      </c>
      <c r="D295" s="3">
        <v>18613</v>
      </c>
      <c r="E295" s="3">
        <v>1</v>
      </c>
      <c r="F295" s="3" t="s">
        <v>3079</v>
      </c>
      <c r="G295" s="3" t="s">
        <v>3080</v>
      </c>
      <c r="H295" s="3" t="s">
        <v>17</v>
      </c>
      <c r="I295" s="3" t="s">
        <v>3095</v>
      </c>
      <c r="J295" t="s">
        <v>3096</v>
      </c>
      <c r="K295" s="147"/>
      <c r="L295" s="3">
        <v>1</v>
      </c>
      <c r="M295" s="148">
        <v>2261.6999999999998</v>
      </c>
      <c r="N295" s="148">
        <v>8337.06</v>
      </c>
      <c r="Q295" s="148">
        <v>2119.75</v>
      </c>
      <c r="R295" s="148">
        <f>Table242[[#This Row],[Material Unit Price]]+Table242[[#This Row],[Labor Unit Price]]+Table242[[#This Row],[GC + Manage+ Insur]]</f>
        <v>12718.509999999998</v>
      </c>
      <c r="S295" s="148">
        <f>Table242[[#This Row],[Total Per Tool]]*Table242[[#This Row],[Tool QTY]]</f>
        <v>12718.509999999998</v>
      </c>
      <c r="U295" s="149">
        <v>44915</v>
      </c>
      <c r="W295" s="3" t="s">
        <v>3083</v>
      </c>
      <c r="X29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12718.51</v>
      </c>
      <c r="Y295" s="150">
        <f>Table242[[#This Row],[Total AR (Received)]]/Table242[[#This Row],[PO Amount]]</f>
        <v>1.0000000000000002</v>
      </c>
      <c r="Z295" s="151">
        <f>Table242[[#This Row],[PO Amount]]-Table242[[#This Row],[Total AR (Received)]]</f>
        <v>0</v>
      </c>
      <c r="AA295" s="151"/>
      <c r="AB295" s="151"/>
      <c r="AC295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95"/>
      <c r="AE295"/>
      <c r="AF295" s="148"/>
      <c r="BB295"/>
      <c r="BC295"/>
      <c r="BD295" s="154" t="s">
        <v>550</v>
      </c>
      <c r="BE295" s="2"/>
      <c r="BF295"/>
      <c r="BG295"/>
      <c r="BH295"/>
      <c r="BI295"/>
      <c r="BJ295" s="13">
        <v>12718.51</v>
      </c>
      <c r="BK295"/>
      <c r="BL295"/>
      <c r="BM295"/>
      <c r="BN295"/>
      <c r="BO295"/>
      <c r="BP295"/>
      <c r="BQ295"/>
      <c r="BR295" s="156">
        <f t="shared" si="4"/>
        <v>0</v>
      </c>
    </row>
    <row r="296" spans="2:70" ht="14.45" hidden="1">
      <c r="B296" s="166" t="s">
        <v>48</v>
      </c>
      <c r="C296" s="3"/>
      <c r="D296" s="3">
        <v>18613</v>
      </c>
      <c r="E296" s="3">
        <v>2</v>
      </c>
      <c r="F296" s="3" t="s">
        <v>3079</v>
      </c>
      <c r="G296" s="3" t="s">
        <v>3080</v>
      </c>
      <c r="H296" s="3" t="s">
        <v>17</v>
      </c>
      <c r="I296" s="3" t="s">
        <v>3097</v>
      </c>
      <c r="J296" t="s">
        <v>3096</v>
      </c>
      <c r="K296" s="147"/>
      <c r="L296" s="3">
        <v>1</v>
      </c>
      <c r="M296" s="148">
        <v>2261.6999999999998</v>
      </c>
      <c r="N296" s="148">
        <v>8337.06</v>
      </c>
      <c r="Q296" s="148">
        <v>2119.75</v>
      </c>
      <c r="R296" s="148">
        <f>Table242[[#This Row],[Material Unit Price]]+Table242[[#This Row],[Labor Unit Price]]+Table242[[#This Row],[GC + Manage+ Insur]]</f>
        <v>12718.509999999998</v>
      </c>
      <c r="S296" s="148">
        <f>Table242[[#This Row],[Total Per Tool]]*Table242[[#This Row],[Tool QTY]]</f>
        <v>12718.509999999998</v>
      </c>
      <c r="U296" s="149"/>
      <c r="W296" s="3"/>
      <c r="X29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12718.51</v>
      </c>
      <c r="Y296" s="150">
        <f>Table242[[#This Row],[Total AR (Received)]]/Table242[[#This Row],[PO Amount]]</f>
        <v>1.0000000000000002</v>
      </c>
      <c r="Z296" s="151">
        <f>Table242[[#This Row],[PO Amount]]-Table242[[#This Row],[Total AR (Received)]]</f>
        <v>0</v>
      </c>
      <c r="AA296" s="151"/>
      <c r="AB296" s="151"/>
      <c r="AC296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96"/>
      <c r="AE296"/>
      <c r="AF296" s="148"/>
      <c r="BB296"/>
      <c r="BC296"/>
      <c r="BD296" s="154" t="s">
        <v>550</v>
      </c>
      <c r="BE296" s="2"/>
      <c r="BF296"/>
      <c r="BG296"/>
      <c r="BH296"/>
      <c r="BI296"/>
      <c r="BJ296" s="13"/>
      <c r="BK296"/>
      <c r="BL296" s="169">
        <v>12718.51</v>
      </c>
      <c r="BM296"/>
      <c r="BN296"/>
      <c r="BO296"/>
      <c r="BP296"/>
      <c r="BQ296"/>
      <c r="BR296" s="156">
        <f t="shared" si="4"/>
        <v>0</v>
      </c>
    </row>
    <row r="297" spans="2:70" ht="14.45" hidden="1">
      <c r="B297" s="166" t="s">
        <v>48</v>
      </c>
      <c r="C297" s="3"/>
      <c r="D297" s="3">
        <v>18613</v>
      </c>
      <c r="E297" s="3">
        <v>3</v>
      </c>
      <c r="F297" s="3" t="s">
        <v>3079</v>
      </c>
      <c r="G297" s="3" t="s">
        <v>3080</v>
      </c>
      <c r="H297" s="3" t="s">
        <v>17</v>
      </c>
      <c r="I297" s="3" t="s">
        <v>3098</v>
      </c>
      <c r="J297" t="s">
        <v>3096</v>
      </c>
      <c r="K297" s="147"/>
      <c r="L297" s="3">
        <v>1</v>
      </c>
      <c r="M297" s="148">
        <v>2261.6999999999998</v>
      </c>
      <c r="N297" s="148">
        <v>8337.06</v>
      </c>
      <c r="Q297" s="148">
        <v>2119.75</v>
      </c>
      <c r="R297" s="148">
        <f>Table242[[#This Row],[Material Unit Price]]+Table242[[#This Row],[Labor Unit Price]]+Table242[[#This Row],[GC + Manage+ Insur]]</f>
        <v>12718.509999999998</v>
      </c>
      <c r="S297" s="148">
        <f>Table242[[#This Row],[Total Per Tool]]*Table242[[#This Row],[Tool QTY]]</f>
        <v>12718.509999999998</v>
      </c>
      <c r="U297" s="149"/>
      <c r="W297" s="3"/>
      <c r="X29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12718.51</v>
      </c>
      <c r="Y297" s="150">
        <f>Table242[[#This Row],[Total AR (Received)]]/Table242[[#This Row],[PO Amount]]</f>
        <v>1.0000000000000002</v>
      </c>
      <c r="Z297" s="151">
        <f>Table242[[#This Row],[PO Amount]]-Table242[[#This Row],[Total AR (Received)]]</f>
        <v>0</v>
      </c>
      <c r="AA297" s="151"/>
      <c r="AB297" s="151"/>
      <c r="AC297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97"/>
      <c r="AE297"/>
      <c r="AF297" s="148"/>
      <c r="BB297"/>
      <c r="BC297"/>
      <c r="BD297" s="154" t="s">
        <v>550</v>
      </c>
      <c r="BE297" s="2"/>
      <c r="BF297"/>
      <c r="BG297"/>
      <c r="BH297"/>
      <c r="BI297"/>
      <c r="BJ297" s="13"/>
      <c r="BK297"/>
      <c r="BL297" s="173">
        <v>12718.51</v>
      </c>
      <c r="BM297"/>
      <c r="BN297"/>
      <c r="BO297"/>
      <c r="BP297"/>
      <c r="BQ297"/>
      <c r="BR297" s="156">
        <f t="shared" si="4"/>
        <v>0</v>
      </c>
    </row>
    <row r="298" spans="2:70" ht="14.45" hidden="1">
      <c r="B298" s="166" t="s">
        <v>48</v>
      </c>
      <c r="C298" s="3"/>
      <c r="D298" s="3">
        <v>18613</v>
      </c>
      <c r="E298" s="3">
        <v>4</v>
      </c>
      <c r="F298" s="3" t="s">
        <v>3079</v>
      </c>
      <c r="G298" s="3" t="s">
        <v>3080</v>
      </c>
      <c r="H298" s="3" t="s">
        <v>17</v>
      </c>
      <c r="I298" s="3" t="s">
        <v>3099</v>
      </c>
      <c r="J298" t="s">
        <v>3096</v>
      </c>
      <c r="K298" s="147"/>
      <c r="L298" s="3">
        <v>1</v>
      </c>
      <c r="M298" s="148">
        <v>2261.6999999999998</v>
      </c>
      <c r="N298" s="148">
        <v>8337.06</v>
      </c>
      <c r="Q298" s="148">
        <v>2119.75</v>
      </c>
      <c r="R298" s="148">
        <f>Table242[[#This Row],[Material Unit Price]]+Table242[[#This Row],[Labor Unit Price]]+Table242[[#This Row],[GC + Manage+ Insur]]</f>
        <v>12718.509999999998</v>
      </c>
      <c r="S298" s="148">
        <f>Table242[[#This Row],[Total Per Tool]]*Table242[[#This Row],[Tool QTY]]</f>
        <v>12718.509999999998</v>
      </c>
      <c r="U298" s="149"/>
      <c r="W298" s="3"/>
      <c r="X29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298" s="150">
        <f>Table242[[#This Row],[Total AR (Received)]]/Table242[[#This Row],[PO Amount]]</f>
        <v>0</v>
      </c>
      <c r="Z298" s="151">
        <f>Table242[[#This Row],[PO Amount]]-Table242[[#This Row],[Total AR (Received)]]</f>
        <v>12718.509999999998</v>
      </c>
      <c r="AA298" s="151"/>
      <c r="AB298" s="151"/>
      <c r="AC298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98"/>
      <c r="AE298"/>
      <c r="AF298" s="148"/>
      <c r="BB298"/>
      <c r="BC298"/>
      <c r="BD298" s="154" t="s">
        <v>550</v>
      </c>
      <c r="BE298" s="2"/>
      <c r="BF298"/>
      <c r="BG298"/>
      <c r="BH298"/>
      <c r="BI298"/>
      <c r="BJ298" s="13"/>
      <c r="BK298"/>
      <c r="BL298"/>
      <c r="BM298"/>
      <c r="BN298"/>
      <c r="BO298"/>
      <c r="BP298"/>
      <c r="BQ298"/>
      <c r="BR298" s="156">
        <f t="shared" si="4"/>
        <v>0</v>
      </c>
    </row>
    <row r="299" spans="2:70" ht="14.45" hidden="1">
      <c r="B299" s="166" t="s">
        <v>48</v>
      </c>
      <c r="C299" s="3" t="s">
        <v>3078</v>
      </c>
      <c r="D299" s="3">
        <v>18614</v>
      </c>
      <c r="E299" s="3">
        <v>2</v>
      </c>
      <c r="F299" s="3" t="s">
        <v>3079</v>
      </c>
      <c r="G299" s="3" t="s">
        <v>3080</v>
      </c>
      <c r="H299" s="3" t="s">
        <v>17</v>
      </c>
      <c r="I299" s="3" t="s">
        <v>3100</v>
      </c>
      <c r="J299" t="s">
        <v>3101</v>
      </c>
      <c r="K299" s="147"/>
      <c r="L299" s="3">
        <v>1</v>
      </c>
      <c r="M299" s="148">
        <v>7131.44</v>
      </c>
      <c r="N299" s="148">
        <v>26046.720000000001</v>
      </c>
      <c r="Q299" s="148">
        <v>6635.63</v>
      </c>
      <c r="R299" s="148">
        <f>Table242[[#This Row],[Material Unit Price]]+Table242[[#This Row],[Labor Unit Price]]+Table242[[#This Row],[GC + Manage+ Insur]]</f>
        <v>39813.79</v>
      </c>
      <c r="S299" s="148">
        <f>Table242[[#This Row],[Total Per Tool]]*Table242[[#This Row],[Tool QTY]]</f>
        <v>39813.79</v>
      </c>
      <c r="U299" s="149"/>
      <c r="W299" s="3"/>
      <c r="X29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39813.79</v>
      </c>
      <c r="Y299" s="150">
        <f>Table242[[#This Row],[Total AR (Received)]]/Table242[[#This Row],[PO Amount]]</f>
        <v>1</v>
      </c>
      <c r="Z299" s="151">
        <f>Table242[[#This Row],[PO Amount]]-Table242[[#This Row],[Total AR (Received)]]</f>
        <v>0</v>
      </c>
      <c r="AA299" s="151"/>
      <c r="AB299" s="151"/>
      <c r="AC299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299"/>
      <c r="AE299"/>
      <c r="AF299" s="148"/>
      <c r="BB299"/>
      <c r="BC299"/>
      <c r="BD299" s="154" t="s">
        <v>550</v>
      </c>
      <c r="BE299" s="2"/>
      <c r="BF299"/>
      <c r="BG299"/>
      <c r="BH299"/>
      <c r="BI299"/>
      <c r="BJ299" s="13">
        <v>39813.79</v>
      </c>
      <c r="BK299"/>
      <c r="BL299"/>
      <c r="BM299"/>
      <c r="BN299"/>
      <c r="BO299"/>
      <c r="BP299"/>
      <c r="BQ299"/>
      <c r="BR299" s="156">
        <f t="shared" si="4"/>
        <v>0</v>
      </c>
    </row>
    <row r="300" spans="2:70" ht="14.45" hidden="1">
      <c r="B300" s="166" t="s">
        <v>48</v>
      </c>
      <c r="C300" s="3" t="s">
        <v>3078</v>
      </c>
      <c r="D300" s="3">
        <v>18614</v>
      </c>
      <c r="E300" s="3">
        <v>4</v>
      </c>
      <c r="F300" s="3" t="s">
        <v>3079</v>
      </c>
      <c r="G300" s="3" t="s">
        <v>3080</v>
      </c>
      <c r="H300" s="3" t="s">
        <v>17</v>
      </c>
      <c r="I300" s="3" t="s">
        <v>3102</v>
      </c>
      <c r="J300" t="s">
        <v>3101</v>
      </c>
      <c r="K300" s="147"/>
      <c r="L300" s="3">
        <v>1</v>
      </c>
      <c r="M300" s="148">
        <v>7131.44</v>
      </c>
      <c r="N300" s="148">
        <v>26046.720000000001</v>
      </c>
      <c r="Q300" s="148">
        <v>6635.63</v>
      </c>
      <c r="R300" s="148">
        <f>Table242[[#This Row],[Material Unit Price]]+Table242[[#This Row],[Labor Unit Price]]+Table242[[#This Row],[GC + Manage+ Insur]]</f>
        <v>39813.79</v>
      </c>
      <c r="S300" s="148">
        <f>Table242[[#This Row],[Total Per Tool]]*Table242[[#This Row],[Tool QTY]]</f>
        <v>39813.79</v>
      </c>
      <c r="U300" s="149"/>
      <c r="W300" s="3"/>
      <c r="X30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39813.79</v>
      </c>
      <c r="Y300" s="150">
        <f>Table242[[#This Row],[Total AR (Received)]]/Table242[[#This Row],[PO Amount]]</f>
        <v>1</v>
      </c>
      <c r="Z300" s="151">
        <f>Table242[[#This Row],[PO Amount]]-Table242[[#This Row],[Total AR (Received)]]</f>
        <v>0</v>
      </c>
      <c r="AA300" s="151"/>
      <c r="AB300" s="151"/>
      <c r="AC300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00"/>
      <c r="AE300"/>
      <c r="AF300" s="148"/>
      <c r="BB300"/>
      <c r="BC300"/>
      <c r="BD300" s="154" t="s">
        <v>550</v>
      </c>
      <c r="BE300" s="2"/>
      <c r="BF300"/>
      <c r="BG300"/>
      <c r="BH300"/>
      <c r="BI300"/>
      <c r="BJ300" s="13">
        <v>39813.79</v>
      </c>
      <c r="BK300"/>
      <c r="BL300"/>
      <c r="BM300"/>
      <c r="BN300"/>
      <c r="BO300"/>
      <c r="BP300"/>
      <c r="BQ300"/>
      <c r="BR300" s="156">
        <f t="shared" si="4"/>
        <v>0</v>
      </c>
    </row>
    <row r="301" spans="2:70" ht="14.45" hidden="1">
      <c r="B301" s="166" t="s">
        <v>48</v>
      </c>
      <c r="C301" s="3" t="s">
        <v>3078</v>
      </c>
      <c r="D301" s="3">
        <v>18614</v>
      </c>
      <c r="E301" s="3">
        <v>6</v>
      </c>
      <c r="F301" s="3" t="s">
        <v>3079</v>
      </c>
      <c r="G301" s="3" t="s">
        <v>3080</v>
      </c>
      <c r="H301" s="3" t="s">
        <v>17</v>
      </c>
      <c r="I301" s="3" t="s">
        <v>3103</v>
      </c>
      <c r="J301" t="s">
        <v>3101</v>
      </c>
      <c r="K301" s="147"/>
      <c r="L301" s="3">
        <v>1</v>
      </c>
      <c r="M301" s="148">
        <v>7131.44</v>
      </c>
      <c r="N301" s="148">
        <v>26046.720000000001</v>
      </c>
      <c r="Q301" s="148">
        <v>6635.63</v>
      </c>
      <c r="R301" s="148">
        <f>Table242[[#This Row],[Material Unit Price]]+Table242[[#This Row],[Labor Unit Price]]+Table242[[#This Row],[GC + Manage+ Insur]]</f>
        <v>39813.79</v>
      </c>
      <c r="S301" s="148">
        <f>Table242[[#This Row],[Total Per Tool]]*Table242[[#This Row],[Tool QTY]]</f>
        <v>39813.79</v>
      </c>
      <c r="U301" s="149"/>
      <c r="W301" s="3"/>
      <c r="X30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39813.79</v>
      </c>
      <c r="Y301" s="150">
        <f>Table242[[#This Row],[Total AR (Received)]]/Table242[[#This Row],[PO Amount]]</f>
        <v>1</v>
      </c>
      <c r="Z301" s="151">
        <f>Table242[[#This Row],[PO Amount]]-Table242[[#This Row],[Total AR (Received)]]</f>
        <v>0</v>
      </c>
      <c r="AA301" s="151"/>
      <c r="AB301" s="151"/>
      <c r="AC301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01"/>
      <c r="AE301"/>
      <c r="AF301" s="148"/>
      <c r="BB301"/>
      <c r="BC301"/>
      <c r="BD301" s="154" t="s">
        <v>550</v>
      </c>
      <c r="BE301" s="2"/>
      <c r="BF301"/>
      <c r="BG301"/>
      <c r="BH301"/>
      <c r="BI301"/>
      <c r="BJ301" s="13">
        <v>39813.79</v>
      </c>
      <c r="BK301"/>
      <c r="BL301"/>
      <c r="BM301"/>
      <c r="BN301"/>
      <c r="BO301"/>
      <c r="BP301"/>
      <c r="BQ301"/>
      <c r="BR301" s="156">
        <f t="shared" si="4"/>
        <v>0</v>
      </c>
    </row>
    <row r="302" spans="2:70" ht="14.45" hidden="1">
      <c r="B302" s="166" t="s">
        <v>48</v>
      </c>
      <c r="C302" s="3" t="s">
        <v>3078</v>
      </c>
      <c r="D302" s="3">
        <v>18614</v>
      </c>
      <c r="E302" s="3">
        <v>7</v>
      </c>
      <c r="F302" s="3" t="s">
        <v>3079</v>
      </c>
      <c r="G302" s="3" t="s">
        <v>3080</v>
      </c>
      <c r="H302" s="3" t="s">
        <v>17</v>
      </c>
      <c r="I302" s="3"/>
      <c r="J302" t="s">
        <v>3101</v>
      </c>
      <c r="K302" s="147"/>
      <c r="L302" s="3">
        <v>1</v>
      </c>
      <c r="M302" s="148">
        <v>7131.44</v>
      </c>
      <c r="N302" s="148">
        <v>26046.720000000001</v>
      </c>
      <c r="Q302" s="148">
        <v>6635.63</v>
      </c>
      <c r="R302" s="148">
        <f>Table242[[#This Row],[Material Unit Price]]+Table242[[#This Row],[Labor Unit Price]]+Table242[[#This Row],[GC + Manage+ Insur]]</f>
        <v>39813.79</v>
      </c>
      <c r="S302" s="148">
        <f>Table242[[#This Row],[Total Per Tool]]*Table242[[#This Row],[Tool QTY]]</f>
        <v>39813.79</v>
      </c>
      <c r="U302" s="149"/>
      <c r="W302" s="3"/>
      <c r="X30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02" s="150">
        <f>Table242[[#This Row],[Total AR (Received)]]/Table242[[#This Row],[PO Amount]]</f>
        <v>0</v>
      </c>
      <c r="Z302" s="151">
        <f>Table242[[#This Row],[PO Amount]]-Table242[[#This Row],[Total AR (Received)]]</f>
        <v>39813.79</v>
      </c>
      <c r="AA302" s="151"/>
      <c r="AB302" s="151"/>
      <c r="AC302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02"/>
      <c r="AE302"/>
      <c r="AF302" s="148"/>
      <c r="BB302"/>
      <c r="BC302"/>
      <c r="BD302" s="154" t="s">
        <v>550</v>
      </c>
      <c r="BE302" s="2"/>
      <c r="BF302"/>
      <c r="BG302"/>
      <c r="BH302"/>
      <c r="BI302"/>
      <c r="BJ302" s="13"/>
      <c r="BK302"/>
      <c r="BL302"/>
      <c r="BM302"/>
      <c r="BN302"/>
      <c r="BO302"/>
      <c r="BP302"/>
      <c r="BQ302"/>
      <c r="BR302" s="156">
        <f t="shared" si="4"/>
        <v>0</v>
      </c>
    </row>
    <row r="303" spans="2:70" ht="14.45" hidden="1">
      <c r="B303" s="166" t="s">
        <v>48</v>
      </c>
      <c r="C303" s="3" t="s">
        <v>3078</v>
      </c>
      <c r="D303" s="3">
        <v>18614</v>
      </c>
      <c r="E303" s="3">
        <v>8</v>
      </c>
      <c r="F303" s="3" t="s">
        <v>3079</v>
      </c>
      <c r="G303" s="3" t="s">
        <v>3080</v>
      </c>
      <c r="H303" s="3" t="s">
        <v>17</v>
      </c>
      <c r="I303" s="3"/>
      <c r="J303" t="s">
        <v>3101</v>
      </c>
      <c r="K303" s="147"/>
      <c r="L303" s="3">
        <v>1</v>
      </c>
      <c r="M303" s="148">
        <v>7131.44</v>
      </c>
      <c r="N303" s="148">
        <v>26046.720000000001</v>
      </c>
      <c r="Q303" s="148">
        <v>6635.63</v>
      </c>
      <c r="R303" s="148">
        <f>Table242[[#This Row],[Material Unit Price]]+Table242[[#This Row],[Labor Unit Price]]+Table242[[#This Row],[GC + Manage+ Insur]]</f>
        <v>39813.79</v>
      </c>
      <c r="S303" s="148">
        <f>Table242[[#This Row],[Total Per Tool]]*Table242[[#This Row],[Tool QTY]]</f>
        <v>39813.79</v>
      </c>
      <c r="U303" s="149"/>
      <c r="W303" s="3"/>
      <c r="X30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03" s="150">
        <f>Table242[[#This Row],[Total AR (Received)]]/Table242[[#This Row],[PO Amount]]</f>
        <v>0</v>
      </c>
      <c r="Z303" s="151">
        <f>Table242[[#This Row],[PO Amount]]-Table242[[#This Row],[Total AR (Received)]]</f>
        <v>39813.79</v>
      </c>
      <c r="AA303" s="151"/>
      <c r="AB303" s="151"/>
      <c r="AC303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03"/>
      <c r="AE303"/>
      <c r="AF303" s="148"/>
      <c r="BB303"/>
      <c r="BC303"/>
      <c r="BD303" s="154" t="s">
        <v>550</v>
      </c>
      <c r="BE303" s="2"/>
      <c r="BF303"/>
      <c r="BG303"/>
      <c r="BH303"/>
      <c r="BI303"/>
      <c r="BJ303" s="13"/>
      <c r="BK303"/>
      <c r="BL303"/>
      <c r="BM303"/>
      <c r="BN303"/>
      <c r="BO303"/>
      <c r="BP303"/>
      <c r="BQ303"/>
      <c r="BR303" s="156">
        <f t="shared" si="4"/>
        <v>0</v>
      </c>
    </row>
    <row r="304" spans="2:70" ht="14.45" hidden="1">
      <c r="B304" s="166" t="s">
        <v>48</v>
      </c>
      <c r="C304" s="3" t="s">
        <v>3078</v>
      </c>
      <c r="D304" s="3">
        <v>18614</v>
      </c>
      <c r="E304" s="3">
        <v>9</v>
      </c>
      <c r="F304" s="3" t="s">
        <v>3079</v>
      </c>
      <c r="G304" s="3" t="s">
        <v>3080</v>
      </c>
      <c r="H304" s="3" t="s">
        <v>17</v>
      </c>
      <c r="I304" s="3"/>
      <c r="J304" t="s">
        <v>3101</v>
      </c>
      <c r="K304" s="147"/>
      <c r="L304" s="3">
        <v>1</v>
      </c>
      <c r="M304" s="148">
        <v>7131.44</v>
      </c>
      <c r="N304" s="148">
        <v>26046.720000000001</v>
      </c>
      <c r="Q304" s="148">
        <v>6635.63</v>
      </c>
      <c r="R304" s="148">
        <f>Table242[[#This Row],[Material Unit Price]]+Table242[[#This Row],[Labor Unit Price]]+Table242[[#This Row],[GC + Manage+ Insur]]</f>
        <v>39813.79</v>
      </c>
      <c r="S304" s="148">
        <f>Table242[[#This Row],[Total Per Tool]]*Table242[[#This Row],[Tool QTY]]</f>
        <v>39813.79</v>
      </c>
      <c r="U304" s="149"/>
      <c r="W304" s="3"/>
      <c r="X30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04" s="150">
        <f>Table242[[#This Row],[Total AR (Received)]]/Table242[[#This Row],[PO Amount]]</f>
        <v>0</v>
      </c>
      <c r="Z304" s="151">
        <f>Table242[[#This Row],[PO Amount]]-Table242[[#This Row],[Total AR (Received)]]</f>
        <v>39813.79</v>
      </c>
      <c r="AA304" s="151"/>
      <c r="AB304" s="151"/>
      <c r="AC304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04"/>
      <c r="AE304"/>
      <c r="AF304" s="148"/>
      <c r="BB304"/>
      <c r="BC304"/>
      <c r="BD304" s="154" t="s">
        <v>550</v>
      </c>
      <c r="BE304" s="2"/>
      <c r="BF304"/>
      <c r="BG304"/>
      <c r="BH304"/>
      <c r="BI304"/>
      <c r="BJ304" s="13"/>
      <c r="BK304"/>
      <c r="BL304"/>
      <c r="BM304"/>
      <c r="BN304"/>
      <c r="BO304"/>
      <c r="BP304"/>
      <c r="BQ304"/>
      <c r="BR304" s="156">
        <f t="shared" si="4"/>
        <v>0</v>
      </c>
    </row>
    <row r="305" spans="2:70" ht="14.45" hidden="1">
      <c r="B305" s="166" t="s">
        <v>48</v>
      </c>
      <c r="C305" s="3" t="s">
        <v>3078</v>
      </c>
      <c r="D305" s="3">
        <v>18614</v>
      </c>
      <c r="E305" s="3">
        <v>10</v>
      </c>
      <c r="F305" s="3" t="s">
        <v>3079</v>
      </c>
      <c r="G305" s="3" t="s">
        <v>3080</v>
      </c>
      <c r="H305" s="3" t="s">
        <v>17</v>
      </c>
      <c r="I305" s="3"/>
      <c r="J305" t="s">
        <v>3101</v>
      </c>
      <c r="K305" s="147"/>
      <c r="L305" s="3">
        <v>1</v>
      </c>
      <c r="M305" s="148">
        <v>7131.44</v>
      </c>
      <c r="N305" s="148">
        <v>26046.720000000001</v>
      </c>
      <c r="Q305" s="148">
        <v>6635.63</v>
      </c>
      <c r="R305" s="148">
        <f>Table242[[#This Row],[Material Unit Price]]+Table242[[#This Row],[Labor Unit Price]]+Table242[[#This Row],[GC + Manage+ Insur]]</f>
        <v>39813.79</v>
      </c>
      <c r="S305" s="148">
        <f>Table242[[#This Row],[Total Per Tool]]*Table242[[#This Row],[Tool QTY]]</f>
        <v>39813.79</v>
      </c>
      <c r="U305" s="149"/>
      <c r="W305" s="3"/>
      <c r="X30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05" s="150">
        <f>Table242[[#This Row],[Total AR (Received)]]/Table242[[#This Row],[PO Amount]]</f>
        <v>0</v>
      </c>
      <c r="Z305" s="151">
        <f>Table242[[#This Row],[PO Amount]]-Table242[[#This Row],[Total AR (Received)]]</f>
        <v>39813.79</v>
      </c>
      <c r="AA305" s="151"/>
      <c r="AB305" s="151"/>
      <c r="AC305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05"/>
      <c r="AE305"/>
      <c r="AF305" s="148"/>
      <c r="BB305"/>
      <c r="BC305"/>
      <c r="BD305" s="154" t="s">
        <v>550</v>
      </c>
      <c r="BE305" s="2"/>
      <c r="BF305"/>
      <c r="BG305"/>
      <c r="BH305"/>
      <c r="BI305"/>
      <c r="BJ305" s="13"/>
      <c r="BK305"/>
      <c r="BL305"/>
      <c r="BM305"/>
      <c r="BN305"/>
      <c r="BO305"/>
      <c r="BP305"/>
      <c r="BQ305"/>
      <c r="BR305" s="156">
        <f t="shared" si="4"/>
        <v>0</v>
      </c>
    </row>
    <row r="306" spans="2:70" ht="14.45" hidden="1">
      <c r="B306" s="166" t="s">
        <v>48</v>
      </c>
      <c r="C306" s="3" t="s">
        <v>3078</v>
      </c>
      <c r="D306" s="3">
        <v>18614</v>
      </c>
      <c r="E306" s="3">
        <v>11</v>
      </c>
      <c r="F306" s="3" t="s">
        <v>3079</v>
      </c>
      <c r="G306" s="3" t="s">
        <v>3080</v>
      </c>
      <c r="H306" s="3" t="s">
        <v>17</v>
      </c>
      <c r="I306" s="3"/>
      <c r="J306" t="s">
        <v>3101</v>
      </c>
      <c r="K306" s="147"/>
      <c r="L306" s="3">
        <v>1</v>
      </c>
      <c r="M306" s="148">
        <v>7131.44</v>
      </c>
      <c r="N306" s="148">
        <v>26046.720000000001</v>
      </c>
      <c r="Q306" s="148">
        <v>6635.63</v>
      </c>
      <c r="R306" s="148">
        <f>Table242[[#This Row],[Material Unit Price]]+Table242[[#This Row],[Labor Unit Price]]+Table242[[#This Row],[GC + Manage+ Insur]]</f>
        <v>39813.79</v>
      </c>
      <c r="S306" s="148">
        <f>Table242[[#This Row],[Total Per Tool]]*Table242[[#This Row],[Tool QTY]]</f>
        <v>39813.79</v>
      </c>
      <c r="U306" s="149"/>
      <c r="W306" s="3"/>
      <c r="X30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06" s="150">
        <f>Table242[[#This Row],[Total AR (Received)]]/Table242[[#This Row],[PO Amount]]</f>
        <v>0</v>
      </c>
      <c r="Z306" s="151">
        <f>Table242[[#This Row],[PO Amount]]-Table242[[#This Row],[Total AR (Received)]]</f>
        <v>39813.79</v>
      </c>
      <c r="AA306" s="151"/>
      <c r="AB306" s="151"/>
      <c r="AC306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06"/>
      <c r="AE306"/>
      <c r="AF306" s="148"/>
      <c r="BB306"/>
      <c r="BC306"/>
      <c r="BD306" s="154" t="s">
        <v>550</v>
      </c>
      <c r="BE306" s="2"/>
      <c r="BF306"/>
      <c r="BG306"/>
      <c r="BH306"/>
      <c r="BI306"/>
      <c r="BJ306" s="13"/>
      <c r="BK306"/>
      <c r="BL306"/>
      <c r="BM306"/>
      <c r="BN306"/>
      <c r="BO306"/>
      <c r="BP306"/>
      <c r="BQ306"/>
      <c r="BR306" s="156">
        <f t="shared" si="4"/>
        <v>0</v>
      </c>
    </row>
    <row r="307" spans="2:70" ht="14.45" hidden="1">
      <c r="B307" s="166" t="s">
        <v>48</v>
      </c>
      <c r="C307" s="3" t="s">
        <v>3078</v>
      </c>
      <c r="D307" s="3">
        <v>18614</v>
      </c>
      <c r="E307" s="3">
        <v>12</v>
      </c>
      <c r="F307" s="3" t="s">
        <v>3079</v>
      </c>
      <c r="G307" s="3" t="s">
        <v>3080</v>
      </c>
      <c r="H307" s="3" t="s">
        <v>17</v>
      </c>
      <c r="I307" s="3"/>
      <c r="J307" t="s">
        <v>3101</v>
      </c>
      <c r="K307" s="147"/>
      <c r="L307" s="3">
        <v>1</v>
      </c>
      <c r="M307" s="148">
        <v>7131.44</v>
      </c>
      <c r="N307" s="148">
        <v>26046.720000000001</v>
      </c>
      <c r="Q307" s="148">
        <v>6635.63</v>
      </c>
      <c r="R307" s="148">
        <f>Table242[[#This Row],[Material Unit Price]]+Table242[[#This Row],[Labor Unit Price]]+Table242[[#This Row],[GC + Manage+ Insur]]</f>
        <v>39813.79</v>
      </c>
      <c r="S307" s="148">
        <f>Table242[[#This Row],[Total Per Tool]]*Table242[[#This Row],[Tool QTY]]</f>
        <v>39813.79</v>
      </c>
      <c r="U307" s="149"/>
      <c r="W307" s="3"/>
      <c r="X30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07" s="150">
        <f>Table242[[#This Row],[Total AR (Received)]]/Table242[[#This Row],[PO Amount]]</f>
        <v>0</v>
      </c>
      <c r="Z307" s="151">
        <f>Table242[[#This Row],[PO Amount]]-Table242[[#This Row],[Total AR (Received)]]</f>
        <v>39813.79</v>
      </c>
      <c r="AA307" s="151"/>
      <c r="AB307" s="151"/>
      <c r="AC307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07"/>
      <c r="AE307"/>
      <c r="AF307" s="148"/>
      <c r="BB307"/>
      <c r="BC307"/>
      <c r="BD307" s="154" t="s">
        <v>550</v>
      </c>
      <c r="BE307" s="2"/>
      <c r="BF307"/>
      <c r="BG307"/>
      <c r="BH307"/>
      <c r="BI307"/>
      <c r="BJ307" s="13"/>
      <c r="BK307"/>
      <c r="BL307"/>
      <c r="BM307"/>
      <c r="BN307"/>
      <c r="BO307"/>
      <c r="BP307"/>
      <c r="BQ307"/>
      <c r="BR307" s="156">
        <f t="shared" si="4"/>
        <v>0</v>
      </c>
    </row>
    <row r="308" spans="2:70" ht="14.45" hidden="1">
      <c r="B308" s="166" t="s">
        <v>48</v>
      </c>
      <c r="C308" s="3" t="s">
        <v>3078</v>
      </c>
      <c r="D308" s="3">
        <v>18614</v>
      </c>
      <c r="E308" s="3">
        <v>13</v>
      </c>
      <c r="F308" s="3" t="s">
        <v>3079</v>
      </c>
      <c r="G308" s="3" t="s">
        <v>3080</v>
      </c>
      <c r="H308" s="3" t="s">
        <v>17</v>
      </c>
      <c r="I308" s="3"/>
      <c r="J308" t="s">
        <v>3101</v>
      </c>
      <c r="K308" s="147"/>
      <c r="L308" s="3">
        <v>1</v>
      </c>
      <c r="M308" s="148">
        <v>7131.44</v>
      </c>
      <c r="N308" s="148">
        <v>26046.720000000001</v>
      </c>
      <c r="Q308" s="148">
        <v>6635.63</v>
      </c>
      <c r="R308" s="148">
        <f>Table242[[#This Row],[Material Unit Price]]+Table242[[#This Row],[Labor Unit Price]]+Table242[[#This Row],[GC + Manage+ Insur]]</f>
        <v>39813.79</v>
      </c>
      <c r="S308" s="148">
        <f>Table242[[#This Row],[Total Per Tool]]*Table242[[#This Row],[Tool QTY]]</f>
        <v>39813.79</v>
      </c>
      <c r="U308" s="149"/>
      <c r="W308" s="3"/>
      <c r="X30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08" s="150">
        <f>Table242[[#This Row],[Total AR (Received)]]/Table242[[#This Row],[PO Amount]]</f>
        <v>0</v>
      </c>
      <c r="Z308" s="151">
        <f>Table242[[#This Row],[PO Amount]]-Table242[[#This Row],[Total AR (Received)]]</f>
        <v>39813.79</v>
      </c>
      <c r="AA308" s="151"/>
      <c r="AB308" s="151"/>
      <c r="AC308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08"/>
      <c r="AE308"/>
      <c r="AF308" s="148"/>
      <c r="BB308"/>
      <c r="BC308"/>
      <c r="BD308" s="154" t="s">
        <v>550</v>
      </c>
      <c r="BE308" s="2"/>
      <c r="BF308"/>
      <c r="BG308"/>
      <c r="BH308"/>
      <c r="BI308"/>
      <c r="BJ308" s="13"/>
      <c r="BK308"/>
      <c r="BL308"/>
      <c r="BM308"/>
      <c r="BN308"/>
      <c r="BO308"/>
      <c r="BP308"/>
      <c r="BQ308"/>
      <c r="BR308" s="156">
        <f t="shared" si="4"/>
        <v>0</v>
      </c>
    </row>
    <row r="309" spans="2:70" ht="14.45" hidden="1">
      <c r="B309" s="166" t="s">
        <v>48</v>
      </c>
      <c r="C309" s="3" t="s">
        <v>3078</v>
      </c>
      <c r="D309" s="3">
        <v>18615</v>
      </c>
      <c r="E309" s="3">
        <v>2</v>
      </c>
      <c r="F309" s="3" t="s">
        <v>3079</v>
      </c>
      <c r="G309" s="3" t="s">
        <v>3080</v>
      </c>
      <c r="H309" s="3" t="s">
        <v>17</v>
      </c>
      <c r="I309" s="3" t="s">
        <v>3104</v>
      </c>
      <c r="J309" t="s">
        <v>3105</v>
      </c>
      <c r="K309" s="147"/>
      <c r="L309" s="3">
        <v>1</v>
      </c>
      <c r="M309" s="148">
        <v>7131.44</v>
      </c>
      <c r="N309" s="148">
        <v>25326.720000000001</v>
      </c>
      <c r="Q309" s="148">
        <v>6491.63</v>
      </c>
      <c r="R309" s="148">
        <f>Table242[[#This Row],[Material Unit Price]]+Table242[[#This Row],[Labor Unit Price]]+Table242[[#This Row],[GC + Manage+ Insur]]</f>
        <v>38949.79</v>
      </c>
      <c r="S309" s="148">
        <f>Table242[[#This Row],[Total Per Tool]]*Table242[[#This Row],[Tool QTY]]</f>
        <v>38949.79</v>
      </c>
      <c r="U309" s="149"/>
      <c r="W309" s="3"/>
      <c r="X30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09" s="150">
        <f>Table242[[#This Row],[Total AR (Received)]]/Table242[[#This Row],[PO Amount]]</f>
        <v>0</v>
      </c>
      <c r="Z309" s="151">
        <f>Table242[[#This Row],[PO Amount]]-Table242[[#This Row],[Total AR (Received)]]</f>
        <v>38949.79</v>
      </c>
      <c r="AA309" s="151"/>
      <c r="AB309" s="151"/>
      <c r="AC309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09"/>
      <c r="AE309"/>
      <c r="AF309" s="148"/>
      <c r="BB309"/>
      <c r="BC309"/>
      <c r="BD309" s="154" t="s">
        <v>550</v>
      </c>
      <c r="BE309" s="2"/>
      <c r="BF309"/>
      <c r="BG309"/>
      <c r="BH309"/>
      <c r="BI309"/>
      <c r="BJ309" s="13"/>
      <c r="BK309"/>
      <c r="BL309"/>
      <c r="BM309"/>
      <c r="BN309"/>
      <c r="BO309"/>
      <c r="BP309"/>
      <c r="BQ309"/>
      <c r="BR309" s="156">
        <f t="shared" si="4"/>
        <v>0</v>
      </c>
    </row>
    <row r="310" spans="2:70" ht="14.45" hidden="1">
      <c r="B310" s="166" t="s">
        <v>48</v>
      </c>
      <c r="C310" s="3" t="s">
        <v>3078</v>
      </c>
      <c r="D310" s="3">
        <v>18615</v>
      </c>
      <c r="E310" s="3">
        <v>3</v>
      </c>
      <c r="F310" s="3" t="s">
        <v>3079</v>
      </c>
      <c r="G310" s="3" t="s">
        <v>3080</v>
      </c>
      <c r="H310" s="3" t="s">
        <v>17</v>
      </c>
      <c r="I310" s="3" t="s">
        <v>3106</v>
      </c>
      <c r="J310" t="s">
        <v>3105</v>
      </c>
      <c r="K310" s="147"/>
      <c r="L310" s="3">
        <v>1</v>
      </c>
      <c r="M310" s="148">
        <v>7131.44</v>
      </c>
      <c r="N310" s="148">
        <v>25326.720000000001</v>
      </c>
      <c r="Q310" s="148">
        <v>6491.63</v>
      </c>
      <c r="R310" s="148">
        <f>Table242[[#This Row],[Material Unit Price]]+Table242[[#This Row],[Labor Unit Price]]+Table242[[#This Row],[GC + Manage+ Insur]]</f>
        <v>38949.79</v>
      </c>
      <c r="S310" s="148">
        <f>Table242[[#This Row],[Total Per Tool]]*Table242[[#This Row],[Tool QTY]]</f>
        <v>38949.79</v>
      </c>
      <c r="U310" s="149"/>
      <c r="W310" s="3"/>
      <c r="X31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38949.79</v>
      </c>
      <c r="Y310" s="150">
        <f>Table242[[#This Row],[Total AR (Received)]]/Table242[[#This Row],[PO Amount]]</f>
        <v>1</v>
      </c>
      <c r="Z310" s="151">
        <f>Table242[[#This Row],[PO Amount]]-Table242[[#This Row],[Total AR (Received)]]</f>
        <v>0</v>
      </c>
      <c r="AA310" s="151"/>
      <c r="AB310" s="151"/>
      <c r="AC310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10"/>
      <c r="AE310"/>
      <c r="AF310" s="148"/>
      <c r="BB310"/>
      <c r="BC310"/>
      <c r="BD310" s="154" t="s">
        <v>550</v>
      </c>
      <c r="BE310" s="2"/>
      <c r="BF310"/>
      <c r="BG310"/>
      <c r="BH310"/>
      <c r="BI310"/>
      <c r="BJ310" s="13"/>
      <c r="BK310"/>
      <c r="BL310" s="173">
        <v>38949.79</v>
      </c>
      <c r="BM310"/>
      <c r="BN310"/>
      <c r="BO310"/>
      <c r="BP310"/>
      <c r="BQ310"/>
      <c r="BR310" s="156">
        <f t="shared" si="4"/>
        <v>0</v>
      </c>
    </row>
    <row r="311" spans="2:70" ht="14.45" hidden="1">
      <c r="B311" s="166" t="s">
        <v>48</v>
      </c>
      <c r="C311" s="3" t="s">
        <v>3078</v>
      </c>
      <c r="D311" s="3">
        <v>18616</v>
      </c>
      <c r="E311" s="3">
        <v>2</v>
      </c>
      <c r="F311" s="3" t="s">
        <v>3079</v>
      </c>
      <c r="G311" s="3" t="s">
        <v>3080</v>
      </c>
      <c r="H311" s="3" t="s">
        <v>17</v>
      </c>
      <c r="I311" s="3" t="s">
        <v>3107</v>
      </c>
      <c r="J311" t="s">
        <v>3108</v>
      </c>
      <c r="K311" s="147"/>
      <c r="L311" s="3">
        <v>1</v>
      </c>
      <c r="M311" s="148">
        <v>7131.44</v>
      </c>
      <c r="N311" s="148">
        <v>25623.72</v>
      </c>
      <c r="Q311" s="148">
        <v>6551.03</v>
      </c>
      <c r="R311" s="148">
        <f>Table242[[#This Row],[Material Unit Price]]+Table242[[#This Row],[Labor Unit Price]]+Table242[[#This Row],[GC + Manage+ Insur]]</f>
        <v>39306.19</v>
      </c>
      <c r="S311" s="148">
        <f>Table242[[#This Row],[Total Per Tool]]*Table242[[#This Row],[Tool QTY]]</f>
        <v>39306.19</v>
      </c>
      <c r="U311" s="149"/>
      <c r="W311" s="3"/>
      <c r="X31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39306.19</v>
      </c>
      <c r="Y311" s="150">
        <f>Table242[[#This Row],[Total AR (Received)]]/Table242[[#This Row],[PO Amount]]</f>
        <v>1</v>
      </c>
      <c r="Z311" s="151">
        <f>Table242[[#This Row],[PO Amount]]-Table242[[#This Row],[Total AR (Received)]]</f>
        <v>0</v>
      </c>
      <c r="AA311" s="151"/>
      <c r="AB311" s="151"/>
      <c r="AC311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11"/>
      <c r="AE311"/>
      <c r="AF311" s="148"/>
      <c r="BB311"/>
      <c r="BC311"/>
      <c r="BD311" s="154" t="s">
        <v>550</v>
      </c>
      <c r="BE311" s="2"/>
      <c r="BF311"/>
      <c r="BG311"/>
      <c r="BH311"/>
      <c r="BI311"/>
      <c r="BJ311" s="13"/>
      <c r="BK311"/>
      <c r="BL311" s="169">
        <v>39306.19</v>
      </c>
      <c r="BM311"/>
      <c r="BN311"/>
      <c r="BO311"/>
      <c r="BP311"/>
      <c r="BQ311"/>
      <c r="BR311" s="156">
        <f t="shared" ref="BR311:BR374" si="5">SUM(AD311:BH311)</f>
        <v>0</v>
      </c>
    </row>
    <row r="312" spans="2:70" ht="14.45" hidden="1">
      <c r="B312" s="166" t="s">
        <v>48</v>
      </c>
      <c r="C312" s="3" t="s">
        <v>3078</v>
      </c>
      <c r="D312" s="3">
        <v>18616</v>
      </c>
      <c r="E312" s="3">
        <v>3</v>
      </c>
      <c r="F312" s="3" t="s">
        <v>3079</v>
      </c>
      <c r="G312" s="3" t="s">
        <v>3080</v>
      </c>
      <c r="H312" s="3" t="s">
        <v>17</v>
      </c>
      <c r="I312" s="3" t="s">
        <v>3109</v>
      </c>
      <c r="J312" t="s">
        <v>3108</v>
      </c>
      <c r="K312" s="147"/>
      <c r="L312" s="3">
        <v>1</v>
      </c>
      <c r="M312" s="148">
        <v>7131.44</v>
      </c>
      <c r="N312" s="148">
        <v>25623.72</v>
      </c>
      <c r="Q312" s="148">
        <v>6551.03</v>
      </c>
      <c r="R312" s="148">
        <f>Table242[[#This Row],[Material Unit Price]]+Table242[[#This Row],[Labor Unit Price]]+Table242[[#This Row],[GC + Manage+ Insur]]</f>
        <v>39306.19</v>
      </c>
      <c r="S312" s="148">
        <f>Table242[[#This Row],[Total Per Tool]]*Table242[[#This Row],[Tool QTY]]</f>
        <v>39306.19</v>
      </c>
      <c r="U312" s="149"/>
      <c r="W312" s="3"/>
      <c r="X31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12" s="150">
        <f>Table242[[#This Row],[Total AR (Received)]]/Table242[[#This Row],[PO Amount]]</f>
        <v>0</v>
      </c>
      <c r="Z312" s="151">
        <f>Table242[[#This Row],[PO Amount]]-Table242[[#This Row],[Total AR (Received)]]</f>
        <v>39306.19</v>
      </c>
      <c r="AA312" s="151"/>
      <c r="AB312" s="151"/>
      <c r="AC312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12"/>
      <c r="AE312"/>
      <c r="AF312" s="148"/>
      <c r="BB312"/>
      <c r="BC312"/>
      <c r="BD312" s="154" t="s">
        <v>550</v>
      </c>
      <c r="BE312" s="2"/>
      <c r="BF312"/>
      <c r="BG312"/>
      <c r="BH312"/>
      <c r="BI312"/>
      <c r="BJ312" s="13"/>
      <c r="BK312"/>
      <c r="BL312"/>
      <c r="BM312"/>
      <c r="BN312"/>
      <c r="BO312"/>
      <c r="BP312"/>
      <c r="BQ312"/>
      <c r="BR312" s="156">
        <f t="shared" si="5"/>
        <v>0</v>
      </c>
    </row>
    <row r="313" spans="2:70" ht="14.45" hidden="1">
      <c r="B313" s="166" t="s">
        <v>48</v>
      </c>
      <c r="C313" s="3" t="s">
        <v>3078</v>
      </c>
      <c r="D313" s="3">
        <v>18616</v>
      </c>
      <c r="E313" s="3">
        <v>4</v>
      </c>
      <c r="F313" s="3" t="s">
        <v>3079</v>
      </c>
      <c r="G313" s="3" t="s">
        <v>3080</v>
      </c>
      <c r="H313" s="3" t="s">
        <v>17</v>
      </c>
      <c r="I313" s="3" t="s">
        <v>3110</v>
      </c>
      <c r="J313" t="s">
        <v>3108</v>
      </c>
      <c r="K313" s="147"/>
      <c r="L313" s="3">
        <v>1</v>
      </c>
      <c r="M313" s="148">
        <v>7131.44</v>
      </c>
      <c r="N313" s="148">
        <v>25623.72</v>
      </c>
      <c r="Q313" s="148">
        <v>6551.03</v>
      </c>
      <c r="R313" s="148">
        <f>Table242[[#This Row],[Material Unit Price]]+Table242[[#This Row],[Labor Unit Price]]+Table242[[#This Row],[GC + Manage+ Insur]]</f>
        <v>39306.19</v>
      </c>
      <c r="S313" s="148">
        <f>Table242[[#This Row],[Total Per Tool]]*Table242[[#This Row],[Tool QTY]]</f>
        <v>39306.19</v>
      </c>
      <c r="U313" s="149"/>
      <c r="W313" s="3"/>
      <c r="X31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13" s="150">
        <f>Table242[[#This Row],[Total AR (Received)]]/Table242[[#This Row],[PO Amount]]</f>
        <v>0</v>
      </c>
      <c r="Z313" s="151">
        <f>Table242[[#This Row],[PO Amount]]-Table242[[#This Row],[Total AR (Received)]]</f>
        <v>39306.19</v>
      </c>
      <c r="AA313" s="151"/>
      <c r="AB313" s="151"/>
      <c r="AC313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13"/>
      <c r="AE313"/>
      <c r="AF313" s="148"/>
      <c r="BB313"/>
      <c r="BC313"/>
      <c r="BD313" s="154" t="s">
        <v>550</v>
      </c>
      <c r="BE313" s="2"/>
      <c r="BF313"/>
      <c r="BG313"/>
      <c r="BH313"/>
      <c r="BI313"/>
      <c r="BJ313" s="13"/>
      <c r="BK313"/>
      <c r="BL313"/>
      <c r="BM313"/>
      <c r="BN313"/>
      <c r="BO313"/>
      <c r="BP313"/>
      <c r="BQ313"/>
      <c r="BR313" s="156">
        <f t="shared" si="5"/>
        <v>0</v>
      </c>
    </row>
    <row r="314" spans="2:70" ht="14.45" hidden="1">
      <c r="B314" s="166" t="s">
        <v>48</v>
      </c>
      <c r="C314" s="3" t="s">
        <v>3078</v>
      </c>
      <c r="D314" s="3">
        <v>18616</v>
      </c>
      <c r="E314" s="3">
        <v>5</v>
      </c>
      <c r="F314" s="3" t="s">
        <v>3079</v>
      </c>
      <c r="G314" s="3" t="s">
        <v>3080</v>
      </c>
      <c r="H314" s="3" t="s">
        <v>17</v>
      </c>
      <c r="I314" s="3" t="s">
        <v>3111</v>
      </c>
      <c r="J314" t="s">
        <v>3108</v>
      </c>
      <c r="K314" s="147"/>
      <c r="L314" s="3">
        <v>1</v>
      </c>
      <c r="M314" s="148">
        <v>7131.44</v>
      </c>
      <c r="N314" s="148">
        <v>25623.72</v>
      </c>
      <c r="Q314" s="148">
        <v>6551.03</v>
      </c>
      <c r="R314" s="148">
        <f>Table242[[#This Row],[Material Unit Price]]+Table242[[#This Row],[Labor Unit Price]]+Table242[[#This Row],[GC + Manage+ Insur]]</f>
        <v>39306.19</v>
      </c>
      <c r="S314" s="148">
        <f>Table242[[#This Row],[Total Per Tool]]*Table242[[#This Row],[Tool QTY]]</f>
        <v>39306.19</v>
      </c>
      <c r="U314" s="149"/>
      <c r="W314" s="3"/>
      <c r="X31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14" s="150">
        <f>Table242[[#This Row],[Total AR (Received)]]/Table242[[#This Row],[PO Amount]]</f>
        <v>0</v>
      </c>
      <c r="Z314" s="151">
        <f>Table242[[#This Row],[PO Amount]]-Table242[[#This Row],[Total AR (Received)]]</f>
        <v>39306.19</v>
      </c>
      <c r="AA314" s="151"/>
      <c r="AB314" s="151"/>
      <c r="AC314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14"/>
      <c r="AE314"/>
      <c r="AF314" s="148"/>
      <c r="BB314"/>
      <c r="BC314"/>
      <c r="BD314" s="154" t="s">
        <v>550</v>
      </c>
      <c r="BE314" s="2"/>
      <c r="BF314"/>
      <c r="BG314"/>
      <c r="BH314"/>
      <c r="BI314"/>
      <c r="BJ314" s="13"/>
      <c r="BK314"/>
      <c r="BL314"/>
      <c r="BM314"/>
      <c r="BN314"/>
      <c r="BO314"/>
      <c r="BP314"/>
      <c r="BQ314"/>
      <c r="BR314" s="156">
        <f t="shared" si="5"/>
        <v>0</v>
      </c>
    </row>
    <row r="315" spans="2:70" ht="14.45" hidden="1">
      <c r="B315" s="166" t="s">
        <v>48</v>
      </c>
      <c r="C315" s="3" t="s">
        <v>3078</v>
      </c>
      <c r="D315" s="3">
        <v>18617</v>
      </c>
      <c r="E315" s="3">
        <v>1</v>
      </c>
      <c r="F315" s="3" t="s">
        <v>3079</v>
      </c>
      <c r="G315" s="3" t="s">
        <v>3080</v>
      </c>
      <c r="H315" s="3" t="s">
        <v>17</v>
      </c>
      <c r="I315" s="3" t="s">
        <v>3112</v>
      </c>
      <c r="J315" t="s">
        <v>3113</v>
      </c>
      <c r="K315" s="147"/>
      <c r="L315" s="3">
        <v>1</v>
      </c>
      <c r="N315" s="148">
        <v>6460.4400000000005</v>
      </c>
      <c r="Q315" s="148">
        <v>1292.0899999999999</v>
      </c>
      <c r="R315" s="148">
        <f>Table242[[#This Row],[Material Unit Price]]+Table242[[#This Row],[Labor Unit Price]]+Table242[[#This Row],[GC + Manage+ Insur]]</f>
        <v>7752.5300000000007</v>
      </c>
      <c r="S315" s="148">
        <f>Table242[[#This Row],[Total Per Tool]]*Table242[[#This Row],[Tool QTY]]</f>
        <v>7752.5300000000007</v>
      </c>
      <c r="U315" s="149">
        <v>44875</v>
      </c>
      <c r="W315" s="3" t="s">
        <v>3083</v>
      </c>
      <c r="X31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15" s="150">
        <f>Table242[[#This Row],[Total AR (Received)]]/Table242[[#This Row],[PO Amount]]</f>
        <v>0</v>
      </c>
      <c r="Z315" s="151">
        <f>Table242[[#This Row],[PO Amount]]-Table242[[#This Row],[Total AR (Received)]]</f>
        <v>7752.5300000000007</v>
      </c>
      <c r="AA315" s="151"/>
      <c r="AB315" s="151"/>
      <c r="AC315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15"/>
      <c r="AE315"/>
      <c r="AF315" s="148"/>
      <c r="BB315"/>
      <c r="BC315"/>
      <c r="BD315" s="154" t="s">
        <v>550</v>
      </c>
      <c r="BE315" s="2"/>
      <c r="BF315"/>
      <c r="BG315"/>
      <c r="BH315"/>
      <c r="BI315"/>
      <c r="BJ315" s="13"/>
      <c r="BK315"/>
      <c r="BL315"/>
      <c r="BM315"/>
      <c r="BN315"/>
      <c r="BO315"/>
      <c r="BP315"/>
      <c r="BQ315"/>
      <c r="BR315" s="156">
        <f t="shared" si="5"/>
        <v>0</v>
      </c>
    </row>
    <row r="316" spans="2:70" ht="14.45" hidden="1">
      <c r="B316" s="166" t="s">
        <v>48</v>
      </c>
      <c r="C316" s="3" t="s">
        <v>3078</v>
      </c>
      <c r="D316" s="3">
        <v>18617</v>
      </c>
      <c r="E316" s="3">
        <v>2</v>
      </c>
      <c r="F316" s="3" t="s">
        <v>3079</v>
      </c>
      <c r="G316" s="3" t="s">
        <v>3080</v>
      </c>
      <c r="H316" s="3" t="s">
        <v>17</v>
      </c>
      <c r="I316" s="3" t="s">
        <v>3114</v>
      </c>
      <c r="J316" t="s">
        <v>3113</v>
      </c>
      <c r="K316" s="147"/>
      <c r="L316" s="3">
        <v>1</v>
      </c>
      <c r="N316" s="148">
        <v>6460.4400000000005</v>
      </c>
      <c r="Q316" s="148">
        <v>1292.0899999999999</v>
      </c>
      <c r="R316" s="148">
        <f>Table242[[#This Row],[Material Unit Price]]+Table242[[#This Row],[Labor Unit Price]]+Table242[[#This Row],[GC + Manage+ Insur]]</f>
        <v>7752.5300000000007</v>
      </c>
      <c r="S316" s="148">
        <f>Table242[[#This Row],[Total Per Tool]]*Table242[[#This Row],[Tool QTY]]</f>
        <v>7752.5300000000007</v>
      </c>
      <c r="U316" s="149"/>
      <c r="W316" s="3"/>
      <c r="X31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16" s="150">
        <f>Table242[[#This Row],[Total AR (Received)]]/Table242[[#This Row],[PO Amount]]</f>
        <v>0</v>
      </c>
      <c r="Z316" s="151">
        <f>Table242[[#This Row],[PO Amount]]-Table242[[#This Row],[Total AR (Received)]]</f>
        <v>7752.5300000000007</v>
      </c>
      <c r="AA316" s="151"/>
      <c r="AB316" s="151"/>
      <c r="AC316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16"/>
      <c r="AE316"/>
      <c r="AF316" s="148"/>
      <c r="BB316"/>
      <c r="BC316"/>
      <c r="BD316" s="154" t="s">
        <v>550</v>
      </c>
      <c r="BE316" s="2"/>
      <c r="BF316"/>
      <c r="BG316"/>
      <c r="BH316"/>
      <c r="BI316"/>
      <c r="BJ316" s="13"/>
      <c r="BK316"/>
      <c r="BL316"/>
      <c r="BM316"/>
      <c r="BN316"/>
      <c r="BO316"/>
      <c r="BP316"/>
      <c r="BQ316"/>
      <c r="BR316" s="156">
        <f t="shared" si="5"/>
        <v>0</v>
      </c>
    </row>
    <row r="317" spans="2:70" ht="14.45" hidden="1">
      <c r="B317" s="166" t="s">
        <v>48</v>
      </c>
      <c r="C317" s="3" t="s">
        <v>3078</v>
      </c>
      <c r="D317" s="3">
        <v>18617</v>
      </c>
      <c r="E317" s="3">
        <v>3</v>
      </c>
      <c r="F317" s="3" t="s">
        <v>3079</v>
      </c>
      <c r="G317" s="3" t="s">
        <v>3080</v>
      </c>
      <c r="H317" s="3" t="s">
        <v>17</v>
      </c>
      <c r="I317" s="3" t="s">
        <v>3115</v>
      </c>
      <c r="J317" t="s">
        <v>3113</v>
      </c>
      <c r="K317" s="147"/>
      <c r="L317" s="3">
        <v>1</v>
      </c>
      <c r="N317" s="148">
        <v>6460.4400000000005</v>
      </c>
      <c r="Q317" s="148">
        <v>1292.0899999999999</v>
      </c>
      <c r="R317" s="148">
        <f>Table242[[#This Row],[Material Unit Price]]+Table242[[#This Row],[Labor Unit Price]]+Table242[[#This Row],[GC + Manage+ Insur]]</f>
        <v>7752.5300000000007</v>
      </c>
      <c r="S317" s="148">
        <f>Table242[[#This Row],[Total Per Tool]]*Table242[[#This Row],[Tool QTY]]</f>
        <v>7752.5300000000007</v>
      </c>
      <c r="U317" s="149"/>
      <c r="W317" s="3"/>
      <c r="X31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17" s="150">
        <f>Table242[[#This Row],[Total AR (Received)]]/Table242[[#This Row],[PO Amount]]</f>
        <v>0</v>
      </c>
      <c r="Z317" s="151">
        <f>Table242[[#This Row],[PO Amount]]-Table242[[#This Row],[Total AR (Received)]]</f>
        <v>7752.5300000000007</v>
      </c>
      <c r="AA317" s="151"/>
      <c r="AB317" s="151"/>
      <c r="AC317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17"/>
      <c r="AE317"/>
      <c r="AF317" s="148"/>
      <c r="BB317"/>
      <c r="BC317"/>
      <c r="BD317" s="154" t="s">
        <v>550</v>
      </c>
      <c r="BE317" s="2"/>
      <c r="BF317"/>
      <c r="BG317"/>
      <c r="BH317"/>
      <c r="BI317"/>
      <c r="BJ317" s="13"/>
      <c r="BK317"/>
      <c r="BL317"/>
      <c r="BM317"/>
      <c r="BN317"/>
      <c r="BO317"/>
      <c r="BP317"/>
      <c r="BQ317"/>
      <c r="BR317" s="156">
        <f t="shared" si="5"/>
        <v>0</v>
      </c>
    </row>
    <row r="318" spans="2:70" ht="14.45" hidden="1">
      <c r="B318" s="166" t="s">
        <v>48</v>
      </c>
      <c r="C318" s="3" t="s">
        <v>3078</v>
      </c>
      <c r="D318" s="3">
        <v>18617</v>
      </c>
      <c r="E318" s="3">
        <v>4</v>
      </c>
      <c r="F318" s="3" t="s">
        <v>3079</v>
      </c>
      <c r="G318" s="3" t="s">
        <v>3080</v>
      </c>
      <c r="H318" s="3" t="s">
        <v>17</v>
      </c>
      <c r="I318" s="3" t="s">
        <v>3116</v>
      </c>
      <c r="J318" t="s">
        <v>3113</v>
      </c>
      <c r="K318" s="147"/>
      <c r="L318" s="3">
        <v>1</v>
      </c>
      <c r="N318" s="148">
        <v>6460.4400000000005</v>
      </c>
      <c r="Q318" s="148">
        <v>1292.0899999999999</v>
      </c>
      <c r="R318" s="148">
        <f>Table242[[#This Row],[Material Unit Price]]+Table242[[#This Row],[Labor Unit Price]]+Table242[[#This Row],[GC + Manage+ Insur]]</f>
        <v>7752.5300000000007</v>
      </c>
      <c r="S318" s="148">
        <f>Table242[[#This Row],[Total Per Tool]]*Table242[[#This Row],[Tool QTY]]</f>
        <v>7752.5300000000007</v>
      </c>
      <c r="U318" s="149"/>
      <c r="W318" s="3"/>
      <c r="X31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18" s="150">
        <f>Table242[[#This Row],[Total AR (Received)]]/Table242[[#This Row],[PO Amount]]</f>
        <v>0</v>
      </c>
      <c r="Z318" s="151">
        <f>Table242[[#This Row],[PO Amount]]-Table242[[#This Row],[Total AR (Received)]]</f>
        <v>7752.5300000000007</v>
      </c>
      <c r="AA318" s="151"/>
      <c r="AB318" s="151"/>
      <c r="AC318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18"/>
      <c r="AE318"/>
      <c r="AF318" s="148"/>
      <c r="BB318"/>
      <c r="BC318"/>
      <c r="BD318" s="154" t="s">
        <v>550</v>
      </c>
      <c r="BE318" s="2"/>
      <c r="BF318"/>
      <c r="BG318"/>
      <c r="BH318"/>
      <c r="BI318"/>
      <c r="BJ318" s="13"/>
      <c r="BK318"/>
      <c r="BL318"/>
      <c r="BM318"/>
      <c r="BN318"/>
      <c r="BO318"/>
      <c r="BP318"/>
      <c r="BQ318"/>
      <c r="BR318" s="156">
        <f t="shared" si="5"/>
        <v>0</v>
      </c>
    </row>
    <row r="319" spans="2:70" ht="14.45" hidden="1">
      <c r="B319" s="166" t="s">
        <v>48</v>
      </c>
      <c r="C319" s="3" t="s">
        <v>3078</v>
      </c>
      <c r="D319" s="3">
        <v>18617</v>
      </c>
      <c r="E319" s="3">
        <v>5</v>
      </c>
      <c r="F319" s="3" t="s">
        <v>3079</v>
      </c>
      <c r="G319" s="3" t="s">
        <v>3080</v>
      </c>
      <c r="H319" s="3" t="s">
        <v>17</v>
      </c>
      <c r="I319" s="3" t="s">
        <v>3117</v>
      </c>
      <c r="J319" t="s">
        <v>3113</v>
      </c>
      <c r="K319" s="147"/>
      <c r="L319" s="3">
        <v>1</v>
      </c>
      <c r="N319" s="148">
        <v>6460.4400000000005</v>
      </c>
      <c r="Q319" s="148">
        <v>1292.0899999999999</v>
      </c>
      <c r="R319" s="148">
        <f>Table242[[#This Row],[Material Unit Price]]+Table242[[#This Row],[Labor Unit Price]]+Table242[[#This Row],[GC + Manage+ Insur]]</f>
        <v>7752.5300000000007</v>
      </c>
      <c r="S319" s="148">
        <f>Table242[[#This Row],[Total Per Tool]]*Table242[[#This Row],[Tool QTY]]</f>
        <v>7752.5300000000007</v>
      </c>
      <c r="U319" s="149"/>
      <c r="W319" s="3"/>
      <c r="X31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19" s="150">
        <f>Table242[[#This Row],[Total AR (Received)]]/Table242[[#This Row],[PO Amount]]</f>
        <v>0</v>
      </c>
      <c r="Z319" s="151">
        <f>Table242[[#This Row],[PO Amount]]-Table242[[#This Row],[Total AR (Received)]]</f>
        <v>7752.5300000000007</v>
      </c>
      <c r="AA319" s="151"/>
      <c r="AB319" s="151"/>
      <c r="AC319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19"/>
      <c r="AE319"/>
      <c r="AF319" s="148"/>
      <c r="BB319"/>
      <c r="BC319"/>
      <c r="BD319" s="154" t="s">
        <v>550</v>
      </c>
      <c r="BE319" s="2"/>
      <c r="BF319"/>
      <c r="BG319"/>
      <c r="BH319"/>
      <c r="BI319"/>
      <c r="BJ319" s="13"/>
      <c r="BK319"/>
      <c r="BL319"/>
      <c r="BM319"/>
      <c r="BN319"/>
      <c r="BO319"/>
      <c r="BP319"/>
      <c r="BQ319"/>
      <c r="BR319" s="156">
        <f t="shared" si="5"/>
        <v>0</v>
      </c>
    </row>
    <row r="320" spans="2:70" ht="14.45" hidden="1">
      <c r="B320" s="166" t="s">
        <v>48</v>
      </c>
      <c r="C320" s="3"/>
      <c r="D320" s="3">
        <v>18617</v>
      </c>
      <c r="E320" s="3">
        <v>7</v>
      </c>
      <c r="F320" s="3" t="s">
        <v>3079</v>
      </c>
      <c r="G320" s="3" t="s">
        <v>3080</v>
      </c>
      <c r="H320" s="3" t="s">
        <v>17</v>
      </c>
      <c r="I320" s="3" t="s">
        <v>3118</v>
      </c>
      <c r="J320" t="s">
        <v>3113</v>
      </c>
      <c r="K320" s="147"/>
      <c r="L320" s="3">
        <v>1</v>
      </c>
      <c r="N320" s="148">
        <v>6460.4400000000005</v>
      </c>
      <c r="Q320" s="148">
        <v>1292.0899999999999</v>
      </c>
      <c r="R320" s="148">
        <f>Table242[[#This Row],[Material Unit Price]]+Table242[[#This Row],[Labor Unit Price]]+Table242[[#This Row],[GC + Manage+ Insur]]</f>
        <v>7752.5300000000007</v>
      </c>
      <c r="S320" s="148">
        <f>Table242[[#This Row],[Total Per Tool]]*Table242[[#This Row],[Tool QTY]]</f>
        <v>7752.5300000000007</v>
      </c>
      <c r="U320" s="149"/>
      <c r="W320" s="3"/>
      <c r="X32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7752.53</v>
      </c>
      <c r="Y320" s="150">
        <f>Table242[[#This Row],[Total AR (Received)]]/Table242[[#This Row],[PO Amount]]</f>
        <v>0.99999999999999989</v>
      </c>
      <c r="Z320" s="151">
        <f>Table242[[#This Row],[PO Amount]]-Table242[[#This Row],[Total AR (Received)]]</f>
        <v>0</v>
      </c>
      <c r="AA320" s="151"/>
      <c r="AB320" s="151"/>
      <c r="AC320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20"/>
      <c r="AE320"/>
      <c r="AF320" s="148"/>
      <c r="BB320"/>
      <c r="BC320"/>
      <c r="BD320" s="154" t="s">
        <v>550</v>
      </c>
      <c r="BE320" s="2"/>
      <c r="BF320"/>
      <c r="BG320"/>
      <c r="BH320"/>
      <c r="BI320"/>
      <c r="BJ320" s="13"/>
      <c r="BK320"/>
      <c r="BL320" s="319">
        <v>7752.53</v>
      </c>
      <c r="BM320"/>
      <c r="BN320"/>
      <c r="BO320"/>
      <c r="BP320"/>
      <c r="BQ320"/>
      <c r="BR320" s="156">
        <f t="shared" si="5"/>
        <v>0</v>
      </c>
    </row>
    <row r="321" spans="2:70" ht="14.45" hidden="1">
      <c r="B321" s="166" t="s">
        <v>48</v>
      </c>
      <c r="C321" s="3"/>
      <c r="D321" s="3">
        <v>18617</v>
      </c>
      <c r="E321" s="3">
        <v>8</v>
      </c>
      <c r="F321" s="3" t="s">
        <v>3079</v>
      </c>
      <c r="G321" s="3" t="s">
        <v>3080</v>
      </c>
      <c r="H321" s="3" t="s">
        <v>17</v>
      </c>
      <c r="I321" s="3" t="s">
        <v>3119</v>
      </c>
      <c r="J321" t="s">
        <v>3113</v>
      </c>
      <c r="K321" s="147"/>
      <c r="L321" s="3">
        <v>1</v>
      </c>
      <c r="N321" s="148">
        <v>6460.4400000000005</v>
      </c>
      <c r="Q321" s="148">
        <v>1292.0899999999999</v>
      </c>
      <c r="R321" s="148">
        <f>Table242[[#This Row],[Material Unit Price]]+Table242[[#This Row],[Labor Unit Price]]+Table242[[#This Row],[GC + Manage+ Insur]]</f>
        <v>7752.5300000000007</v>
      </c>
      <c r="S321" s="148">
        <f>Table242[[#This Row],[Total Per Tool]]*Table242[[#This Row],[Tool QTY]]</f>
        <v>7752.5300000000007</v>
      </c>
      <c r="U321" s="149"/>
      <c r="W321" s="3"/>
      <c r="X32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7752.53</v>
      </c>
      <c r="Y321" s="150">
        <f>Table242[[#This Row],[Total AR (Received)]]/Table242[[#This Row],[PO Amount]]</f>
        <v>0.99999999999999989</v>
      </c>
      <c r="Z321" s="151">
        <f>Table242[[#This Row],[PO Amount]]-Table242[[#This Row],[Total AR (Received)]]</f>
        <v>0</v>
      </c>
      <c r="AA321" s="151"/>
      <c r="AB321" s="151"/>
      <c r="AC321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21"/>
      <c r="AE321"/>
      <c r="AF321" s="148"/>
      <c r="BB321"/>
      <c r="BC321"/>
      <c r="BD321" s="154" t="s">
        <v>550</v>
      </c>
      <c r="BE321" s="2"/>
      <c r="BF321"/>
      <c r="BG321"/>
      <c r="BH321"/>
      <c r="BI321"/>
      <c r="BJ321" s="13"/>
      <c r="BK321"/>
      <c r="BL321" s="169">
        <v>7752.53</v>
      </c>
      <c r="BM321"/>
      <c r="BN321"/>
      <c r="BO321"/>
      <c r="BP321"/>
      <c r="BQ321"/>
      <c r="BR321" s="156">
        <f t="shared" si="5"/>
        <v>0</v>
      </c>
    </row>
    <row r="322" spans="2:70" ht="14.45" hidden="1">
      <c r="B322" s="166" t="s">
        <v>48</v>
      </c>
      <c r="C322" s="3"/>
      <c r="D322" s="3">
        <v>18617</v>
      </c>
      <c r="E322" s="3">
        <v>9</v>
      </c>
      <c r="F322" s="3" t="s">
        <v>3079</v>
      </c>
      <c r="G322" s="3" t="s">
        <v>3080</v>
      </c>
      <c r="H322" s="3" t="s">
        <v>17</v>
      </c>
      <c r="I322" s="3" t="s">
        <v>3120</v>
      </c>
      <c r="J322" t="s">
        <v>3113</v>
      </c>
      <c r="K322" s="147"/>
      <c r="L322" s="3">
        <v>1</v>
      </c>
      <c r="N322" s="148">
        <v>6460.4400000000005</v>
      </c>
      <c r="Q322" s="148">
        <v>1292.0899999999999</v>
      </c>
      <c r="R322" s="148">
        <f>Table242[[#This Row],[Material Unit Price]]+Table242[[#This Row],[Labor Unit Price]]+Table242[[#This Row],[GC + Manage+ Insur]]</f>
        <v>7752.5300000000007</v>
      </c>
      <c r="S322" s="148">
        <f>Table242[[#This Row],[Total Per Tool]]*Table242[[#This Row],[Tool QTY]]</f>
        <v>7752.5300000000007</v>
      </c>
      <c r="U322" s="149"/>
      <c r="W322" s="3"/>
      <c r="X32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7752.53</v>
      </c>
      <c r="Y322" s="150">
        <f>Table242[[#This Row],[Total AR (Received)]]/Table242[[#This Row],[PO Amount]]</f>
        <v>0.99999999999999989</v>
      </c>
      <c r="Z322" s="151">
        <f>Table242[[#This Row],[PO Amount]]-Table242[[#This Row],[Total AR (Received)]]</f>
        <v>0</v>
      </c>
      <c r="AA322" s="151"/>
      <c r="AB322" s="151"/>
      <c r="AC322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22"/>
      <c r="AE322"/>
      <c r="AF322" s="148"/>
      <c r="BB322"/>
      <c r="BC322"/>
      <c r="BD322" s="154" t="s">
        <v>550</v>
      </c>
      <c r="BE322" s="2"/>
      <c r="BF322"/>
      <c r="BG322"/>
      <c r="BH322"/>
      <c r="BI322"/>
      <c r="BJ322" s="13"/>
      <c r="BK322"/>
      <c r="BL322" s="169">
        <v>7752.53</v>
      </c>
      <c r="BM322"/>
      <c r="BN322"/>
      <c r="BO322"/>
      <c r="BP322"/>
      <c r="BQ322"/>
      <c r="BR322" s="156">
        <f t="shared" si="5"/>
        <v>0</v>
      </c>
    </row>
    <row r="323" spans="2:70" ht="14.45" hidden="1">
      <c r="B323" s="166" t="s">
        <v>48</v>
      </c>
      <c r="C323" s="3"/>
      <c r="D323" s="3">
        <v>18617</v>
      </c>
      <c r="E323" s="3">
        <v>10</v>
      </c>
      <c r="F323" s="3" t="s">
        <v>3079</v>
      </c>
      <c r="G323" s="3" t="s">
        <v>3080</v>
      </c>
      <c r="H323" s="3" t="s">
        <v>17</v>
      </c>
      <c r="I323" s="3" t="s">
        <v>3121</v>
      </c>
      <c r="J323" t="s">
        <v>3113</v>
      </c>
      <c r="K323" s="147"/>
      <c r="L323" s="3">
        <v>1</v>
      </c>
      <c r="N323" s="148">
        <v>6460.4400000000005</v>
      </c>
      <c r="Q323" s="148">
        <v>1292.0899999999999</v>
      </c>
      <c r="R323" s="148">
        <f>Table242[[#This Row],[Material Unit Price]]+Table242[[#This Row],[Labor Unit Price]]+Table242[[#This Row],[GC + Manage+ Insur]]</f>
        <v>7752.5300000000007</v>
      </c>
      <c r="S323" s="148">
        <f>Table242[[#This Row],[Total Per Tool]]*Table242[[#This Row],[Tool QTY]]</f>
        <v>7752.5300000000007</v>
      </c>
      <c r="U323" s="149"/>
      <c r="W323" s="3"/>
      <c r="X32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7752.53</v>
      </c>
      <c r="Y323" s="150">
        <f>Table242[[#This Row],[Total AR (Received)]]/Table242[[#This Row],[PO Amount]]</f>
        <v>0.99999999999999989</v>
      </c>
      <c r="Z323" s="151">
        <f>Table242[[#This Row],[PO Amount]]-Table242[[#This Row],[Total AR (Received)]]</f>
        <v>0</v>
      </c>
      <c r="AA323" s="151"/>
      <c r="AB323" s="151"/>
      <c r="AC323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23"/>
      <c r="AE323"/>
      <c r="AF323" s="148"/>
      <c r="BB323"/>
      <c r="BC323"/>
      <c r="BD323" s="154" t="s">
        <v>550</v>
      </c>
      <c r="BE323" s="2"/>
      <c r="BF323"/>
      <c r="BG323"/>
      <c r="BH323"/>
      <c r="BI323"/>
      <c r="BJ323" s="13"/>
      <c r="BK323"/>
      <c r="BL323" s="169">
        <v>7752.53</v>
      </c>
      <c r="BM323"/>
      <c r="BN323"/>
      <c r="BO323"/>
      <c r="BP323"/>
      <c r="BQ323"/>
      <c r="BR323" s="156">
        <f t="shared" si="5"/>
        <v>0</v>
      </c>
    </row>
    <row r="324" spans="2:70" ht="14.45" hidden="1">
      <c r="B324" s="166" t="s">
        <v>48</v>
      </c>
      <c r="C324" s="3"/>
      <c r="D324" s="3">
        <v>18617</v>
      </c>
      <c r="E324" s="3">
        <v>11</v>
      </c>
      <c r="F324" s="3" t="s">
        <v>3079</v>
      </c>
      <c r="G324" s="3" t="s">
        <v>3080</v>
      </c>
      <c r="H324" s="3" t="s">
        <v>17</v>
      </c>
      <c r="I324" s="3" t="s">
        <v>3122</v>
      </c>
      <c r="J324" t="s">
        <v>3113</v>
      </c>
      <c r="K324" s="147"/>
      <c r="L324" s="3">
        <v>1</v>
      </c>
      <c r="N324" s="148">
        <v>6460.4400000000005</v>
      </c>
      <c r="Q324" s="148">
        <v>1292.0899999999999</v>
      </c>
      <c r="R324" s="148">
        <f>Table242[[#This Row],[Material Unit Price]]+Table242[[#This Row],[Labor Unit Price]]+Table242[[#This Row],[GC + Manage+ Insur]]</f>
        <v>7752.5300000000007</v>
      </c>
      <c r="S324" s="148">
        <f>Table242[[#This Row],[Total Per Tool]]*Table242[[#This Row],[Tool QTY]]</f>
        <v>7752.5300000000007</v>
      </c>
      <c r="U324" s="149"/>
      <c r="W324" s="3"/>
      <c r="X32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24" s="150">
        <f>Table242[[#This Row],[Total AR (Received)]]/Table242[[#This Row],[PO Amount]]</f>
        <v>0</v>
      </c>
      <c r="Z324" s="151">
        <f>Table242[[#This Row],[PO Amount]]-Table242[[#This Row],[Total AR (Received)]]</f>
        <v>7752.5300000000007</v>
      </c>
      <c r="AA324" s="151"/>
      <c r="AB324" s="151"/>
      <c r="AC324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24"/>
      <c r="AE324"/>
      <c r="AF324" s="148"/>
      <c r="BB324"/>
      <c r="BC324"/>
      <c r="BD324" s="154" t="s">
        <v>550</v>
      </c>
      <c r="BE324" s="2"/>
      <c r="BF324"/>
      <c r="BG324"/>
      <c r="BH324"/>
      <c r="BI324"/>
      <c r="BJ324" s="13"/>
      <c r="BK324"/>
      <c r="BL324"/>
      <c r="BM324"/>
      <c r="BN324"/>
      <c r="BO324"/>
      <c r="BP324"/>
      <c r="BQ324"/>
      <c r="BR324" s="156">
        <f t="shared" si="5"/>
        <v>0</v>
      </c>
    </row>
    <row r="325" spans="2:70" ht="14.45" hidden="1">
      <c r="B325" s="166" t="s">
        <v>48</v>
      </c>
      <c r="C325" s="3"/>
      <c r="D325" s="3">
        <v>18617</v>
      </c>
      <c r="E325" s="3">
        <v>12</v>
      </c>
      <c r="F325" s="3" t="s">
        <v>3079</v>
      </c>
      <c r="G325" s="3" t="s">
        <v>3080</v>
      </c>
      <c r="H325" s="3" t="s">
        <v>17</v>
      </c>
      <c r="I325" s="3" t="s">
        <v>3123</v>
      </c>
      <c r="J325" t="s">
        <v>3113</v>
      </c>
      <c r="K325" s="147"/>
      <c r="L325" s="3">
        <v>1</v>
      </c>
      <c r="N325" s="148">
        <v>6460.4400000000005</v>
      </c>
      <c r="Q325" s="148">
        <v>1292.0899999999999</v>
      </c>
      <c r="R325" s="148">
        <f>Table242[[#This Row],[Material Unit Price]]+Table242[[#This Row],[Labor Unit Price]]+Table242[[#This Row],[GC + Manage+ Insur]]</f>
        <v>7752.5300000000007</v>
      </c>
      <c r="S325" s="148">
        <f>Table242[[#This Row],[Total Per Tool]]*Table242[[#This Row],[Tool QTY]]</f>
        <v>7752.5300000000007</v>
      </c>
      <c r="U325" s="149"/>
      <c r="W325" s="3"/>
      <c r="X32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25" s="150">
        <f>Table242[[#This Row],[Total AR (Received)]]/Table242[[#This Row],[PO Amount]]</f>
        <v>0</v>
      </c>
      <c r="Z325" s="151">
        <f>Table242[[#This Row],[PO Amount]]-Table242[[#This Row],[Total AR (Received)]]</f>
        <v>7752.5300000000007</v>
      </c>
      <c r="AA325" s="151"/>
      <c r="AB325" s="151"/>
      <c r="AC325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25"/>
      <c r="AE325"/>
      <c r="AF325" s="148"/>
      <c r="BB325"/>
      <c r="BC325"/>
      <c r="BD325" s="154" t="s">
        <v>550</v>
      </c>
      <c r="BE325" s="2"/>
      <c r="BF325"/>
      <c r="BG325"/>
      <c r="BH325"/>
      <c r="BI325"/>
      <c r="BJ325" s="13"/>
      <c r="BK325"/>
      <c r="BL325"/>
      <c r="BM325"/>
      <c r="BN325"/>
      <c r="BO325"/>
      <c r="BP325"/>
      <c r="BQ325"/>
      <c r="BR325" s="156">
        <f t="shared" si="5"/>
        <v>0</v>
      </c>
    </row>
    <row r="326" spans="2:70" ht="14.45" hidden="1">
      <c r="B326" s="166" t="s">
        <v>48</v>
      </c>
      <c r="C326" s="3" t="s">
        <v>3078</v>
      </c>
      <c r="D326" s="3">
        <v>18618</v>
      </c>
      <c r="E326" s="3">
        <v>1</v>
      </c>
      <c r="F326" s="3" t="s">
        <v>3079</v>
      </c>
      <c r="G326" s="3" t="s">
        <v>3080</v>
      </c>
      <c r="H326" s="3" t="s">
        <v>17</v>
      </c>
      <c r="I326" s="3" t="s">
        <v>3124</v>
      </c>
      <c r="J326" t="s">
        <v>3125</v>
      </c>
      <c r="K326" s="147"/>
      <c r="L326" s="3">
        <v>1</v>
      </c>
      <c r="N326" s="148">
        <v>2884.44</v>
      </c>
      <c r="Q326" s="148">
        <v>576.89</v>
      </c>
      <c r="R326" s="148">
        <f>Table242[[#This Row],[Material Unit Price]]+Table242[[#This Row],[Labor Unit Price]]+Table242[[#This Row],[GC + Manage+ Insur]]</f>
        <v>3461.33</v>
      </c>
      <c r="S326" s="148">
        <f>Table242[[#This Row],[Total Per Tool]]*Table242[[#This Row],[Tool QTY]]</f>
        <v>3461.33</v>
      </c>
      <c r="U326" s="149">
        <v>44875</v>
      </c>
      <c r="W326" s="3" t="s">
        <v>3083</v>
      </c>
      <c r="X32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26" s="150">
        <f>Table242[[#This Row],[Total AR (Received)]]/Table242[[#This Row],[PO Amount]]</f>
        <v>0</v>
      </c>
      <c r="Z326" s="151">
        <f>Table242[[#This Row],[PO Amount]]-Table242[[#This Row],[Total AR (Received)]]</f>
        <v>3461.33</v>
      </c>
      <c r="AA326" s="151"/>
      <c r="AB326" s="151"/>
      <c r="AC326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26"/>
      <c r="AE326"/>
      <c r="AF326" s="148"/>
      <c r="BB326"/>
      <c r="BC326"/>
      <c r="BD326" s="154" t="s">
        <v>550</v>
      </c>
      <c r="BE326" s="2"/>
      <c r="BF326"/>
      <c r="BG326"/>
      <c r="BH326"/>
      <c r="BI326"/>
      <c r="BJ326" s="13"/>
      <c r="BK326"/>
      <c r="BL326"/>
      <c r="BM326"/>
      <c r="BN326"/>
      <c r="BO326"/>
      <c r="BP326"/>
      <c r="BQ326"/>
      <c r="BR326" s="156">
        <f t="shared" si="5"/>
        <v>0</v>
      </c>
    </row>
    <row r="327" spans="2:70" ht="14.45" hidden="1">
      <c r="B327" s="166" t="s">
        <v>48</v>
      </c>
      <c r="C327" s="3" t="s">
        <v>3078</v>
      </c>
      <c r="D327" s="3">
        <v>18618</v>
      </c>
      <c r="E327" s="3">
        <v>2</v>
      </c>
      <c r="F327" s="3" t="s">
        <v>3079</v>
      </c>
      <c r="G327" s="3" t="s">
        <v>3080</v>
      </c>
      <c r="H327" s="3" t="s">
        <v>17</v>
      </c>
      <c r="I327" s="3" t="s">
        <v>3126</v>
      </c>
      <c r="J327" t="s">
        <v>3125</v>
      </c>
      <c r="K327" s="147"/>
      <c r="L327" s="3">
        <v>1</v>
      </c>
      <c r="N327" s="148">
        <v>2884.44</v>
      </c>
      <c r="Q327" s="148">
        <v>576.89</v>
      </c>
      <c r="R327" s="148">
        <f>Table242[[#This Row],[Material Unit Price]]+Table242[[#This Row],[Labor Unit Price]]+Table242[[#This Row],[GC + Manage+ Insur]]</f>
        <v>3461.33</v>
      </c>
      <c r="S327" s="148">
        <f>Table242[[#This Row],[Total Per Tool]]*Table242[[#This Row],[Tool QTY]]</f>
        <v>3461.33</v>
      </c>
      <c r="U327" s="149"/>
      <c r="W327" s="3"/>
      <c r="X32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27" s="150">
        <f>Table242[[#This Row],[Total AR (Received)]]/Table242[[#This Row],[PO Amount]]</f>
        <v>0</v>
      </c>
      <c r="Z327" s="151">
        <f>Table242[[#This Row],[PO Amount]]-Table242[[#This Row],[Total AR (Received)]]</f>
        <v>3461.33</v>
      </c>
      <c r="AA327" s="151"/>
      <c r="AB327" s="151"/>
      <c r="AC327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27"/>
      <c r="AE327"/>
      <c r="AF327" s="148"/>
      <c r="BB327"/>
      <c r="BC327"/>
      <c r="BD327" s="154" t="s">
        <v>550</v>
      </c>
      <c r="BE327" s="2"/>
      <c r="BF327"/>
      <c r="BG327"/>
      <c r="BH327"/>
      <c r="BI327"/>
      <c r="BJ327" s="13"/>
      <c r="BK327"/>
      <c r="BL327"/>
      <c r="BM327"/>
      <c r="BN327"/>
      <c r="BO327"/>
      <c r="BP327"/>
      <c r="BQ327"/>
      <c r="BR327" s="156">
        <f t="shared" si="5"/>
        <v>0</v>
      </c>
    </row>
    <row r="328" spans="2:70" ht="14.45" hidden="1">
      <c r="B328" s="166" t="s">
        <v>48</v>
      </c>
      <c r="C328" s="3" t="s">
        <v>3078</v>
      </c>
      <c r="D328" s="3">
        <v>18618</v>
      </c>
      <c r="E328" s="3">
        <v>3</v>
      </c>
      <c r="F328" s="3" t="s">
        <v>3079</v>
      </c>
      <c r="G328" s="3" t="s">
        <v>3080</v>
      </c>
      <c r="H328" s="3" t="s">
        <v>17</v>
      </c>
      <c r="I328" s="3"/>
      <c r="J328" t="s">
        <v>3125</v>
      </c>
      <c r="K328" s="147"/>
      <c r="L328" s="3">
        <v>1</v>
      </c>
      <c r="N328" s="148">
        <v>2884.44</v>
      </c>
      <c r="Q328" s="148">
        <v>576.89</v>
      </c>
      <c r="R328" s="148">
        <f>Table242[[#This Row],[Material Unit Price]]+Table242[[#This Row],[Labor Unit Price]]+Table242[[#This Row],[GC + Manage+ Insur]]</f>
        <v>3461.33</v>
      </c>
      <c r="S328" s="148">
        <f>Table242[[#This Row],[Total Per Tool]]*Table242[[#This Row],[Tool QTY]]</f>
        <v>3461.33</v>
      </c>
      <c r="U328" s="149"/>
      <c r="W328" s="3"/>
      <c r="X32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28" s="150">
        <f>Table242[[#This Row],[Total AR (Received)]]/Table242[[#This Row],[PO Amount]]</f>
        <v>0</v>
      </c>
      <c r="Z328" s="151">
        <f>Table242[[#This Row],[PO Amount]]-Table242[[#This Row],[Total AR (Received)]]</f>
        <v>3461.33</v>
      </c>
      <c r="AA328" s="151"/>
      <c r="AB328" s="151"/>
      <c r="AC328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28"/>
      <c r="AE328"/>
      <c r="AF328" s="148"/>
      <c r="BB328"/>
      <c r="BC328"/>
      <c r="BD328" s="154" t="s">
        <v>550</v>
      </c>
      <c r="BE328" s="2"/>
      <c r="BF328"/>
      <c r="BG328"/>
      <c r="BH328"/>
      <c r="BI328"/>
      <c r="BJ328" s="13"/>
      <c r="BK328"/>
      <c r="BL328"/>
      <c r="BM328"/>
      <c r="BN328"/>
      <c r="BO328"/>
      <c r="BP328"/>
      <c r="BQ328"/>
      <c r="BR328" s="156">
        <f t="shared" si="5"/>
        <v>0</v>
      </c>
    </row>
    <row r="329" spans="2:70" ht="14.45" hidden="1">
      <c r="B329" s="166" t="s">
        <v>48</v>
      </c>
      <c r="C329" s="3"/>
      <c r="D329" s="3">
        <v>18618</v>
      </c>
      <c r="E329" s="3">
        <v>7</v>
      </c>
      <c r="F329" s="3" t="s">
        <v>3079</v>
      </c>
      <c r="G329" s="3" t="s">
        <v>3080</v>
      </c>
      <c r="H329" s="3" t="s">
        <v>17</v>
      </c>
      <c r="I329" s="3" t="s">
        <v>3127</v>
      </c>
      <c r="J329" t="s">
        <v>3125</v>
      </c>
      <c r="K329" s="147"/>
      <c r="L329" s="3">
        <v>1</v>
      </c>
      <c r="N329" s="148">
        <v>2884.44</v>
      </c>
      <c r="Q329" s="148">
        <v>576.89</v>
      </c>
      <c r="R329" s="148">
        <f>Table242[[#This Row],[Material Unit Price]]+Table242[[#This Row],[Labor Unit Price]]+Table242[[#This Row],[GC + Manage+ Insur]]</f>
        <v>3461.33</v>
      </c>
      <c r="S329" s="148">
        <f>Table242[[#This Row],[Total Per Tool]]*Table242[[#This Row],[Tool QTY]]</f>
        <v>3461.33</v>
      </c>
      <c r="U329" s="149"/>
      <c r="W329" s="3"/>
      <c r="X32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29" s="150">
        <f>Table242[[#This Row],[Total AR (Received)]]/Table242[[#This Row],[PO Amount]]</f>
        <v>0</v>
      </c>
      <c r="Z329" s="151">
        <f>Table242[[#This Row],[PO Amount]]-Table242[[#This Row],[Total AR (Received)]]</f>
        <v>3461.33</v>
      </c>
      <c r="AA329" s="151"/>
      <c r="AB329" s="151"/>
      <c r="AC329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29"/>
      <c r="AE329"/>
      <c r="AF329" s="148"/>
      <c r="BB329"/>
      <c r="BC329"/>
      <c r="BD329" s="154" t="s">
        <v>550</v>
      </c>
      <c r="BE329" s="2"/>
      <c r="BF329"/>
      <c r="BG329"/>
      <c r="BH329"/>
      <c r="BI329"/>
      <c r="BJ329" s="13"/>
      <c r="BK329"/>
      <c r="BL329"/>
      <c r="BM329"/>
      <c r="BN329"/>
      <c r="BO329"/>
      <c r="BP329"/>
      <c r="BQ329"/>
      <c r="BR329" s="156">
        <f t="shared" si="5"/>
        <v>0</v>
      </c>
    </row>
    <row r="330" spans="2:70" ht="14.45" hidden="1">
      <c r="B330" s="166" t="s">
        <v>48</v>
      </c>
      <c r="C330" s="3"/>
      <c r="D330" s="3">
        <v>18618</v>
      </c>
      <c r="E330" s="3">
        <v>8</v>
      </c>
      <c r="F330" s="3" t="s">
        <v>3079</v>
      </c>
      <c r="G330" s="3" t="s">
        <v>3080</v>
      </c>
      <c r="H330" s="3" t="s">
        <v>17</v>
      </c>
      <c r="I330" s="3" t="s">
        <v>3128</v>
      </c>
      <c r="J330" t="s">
        <v>3125</v>
      </c>
      <c r="K330" s="147"/>
      <c r="L330" s="3">
        <v>1</v>
      </c>
      <c r="N330" s="148">
        <v>2884.44</v>
      </c>
      <c r="Q330" s="148">
        <v>576.89</v>
      </c>
      <c r="R330" s="148">
        <f>Table242[[#This Row],[Material Unit Price]]+Table242[[#This Row],[Labor Unit Price]]+Table242[[#This Row],[GC + Manage+ Insur]]</f>
        <v>3461.33</v>
      </c>
      <c r="S330" s="148">
        <f>Table242[[#This Row],[Total Per Tool]]*Table242[[#This Row],[Tool QTY]]</f>
        <v>3461.33</v>
      </c>
      <c r="U330" s="149"/>
      <c r="W330" s="3"/>
      <c r="X33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30" s="150">
        <f>Table242[[#This Row],[Total AR (Received)]]/Table242[[#This Row],[PO Amount]]</f>
        <v>0</v>
      </c>
      <c r="Z330" s="151">
        <f>Table242[[#This Row],[PO Amount]]-Table242[[#This Row],[Total AR (Received)]]</f>
        <v>3461.33</v>
      </c>
      <c r="AA330" s="151"/>
      <c r="AB330" s="151"/>
      <c r="AC330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30"/>
      <c r="AE330"/>
      <c r="AF330" s="148"/>
      <c r="BB330"/>
      <c r="BC330"/>
      <c r="BD330" s="154" t="s">
        <v>550</v>
      </c>
      <c r="BE330" s="2"/>
      <c r="BF330"/>
      <c r="BG330"/>
      <c r="BH330"/>
      <c r="BI330"/>
      <c r="BJ330" s="13"/>
      <c r="BK330"/>
      <c r="BL330"/>
      <c r="BM330"/>
      <c r="BN330"/>
      <c r="BO330"/>
      <c r="BP330"/>
      <c r="BQ330"/>
      <c r="BR330" s="156">
        <f t="shared" si="5"/>
        <v>0</v>
      </c>
    </row>
    <row r="331" spans="2:70" ht="14.45" hidden="1">
      <c r="B331" s="166" t="s">
        <v>48</v>
      </c>
      <c r="C331" s="3" t="s">
        <v>3078</v>
      </c>
      <c r="D331" s="3">
        <v>18612</v>
      </c>
      <c r="E331" s="3">
        <v>13</v>
      </c>
      <c r="F331" s="3" t="s">
        <v>3079</v>
      </c>
      <c r="G331" s="3" t="s">
        <v>3080</v>
      </c>
      <c r="H331" s="3" t="s">
        <v>17</v>
      </c>
      <c r="I331" s="3" t="s">
        <v>3129</v>
      </c>
      <c r="J331" t="s">
        <v>3082</v>
      </c>
      <c r="K331" s="147"/>
      <c r="L331" s="3">
        <v>1</v>
      </c>
      <c r="M331" s="148">
        <v>2500.6999999999998</v>
      </c>
      <c r="N331" s="148">
        <v>9753.06</v>
      </c>
      <c r="Q331" s="148">
        <v>2450.75</v>
      </c>
      <c r="R331" s="148">
        <f>Table242[[#This Row],[Material Unit Price]]+Table242[[#This Row],[Labor Unit Price]]+Table242[[#This Row],[GC + Manage+ Insur]]</f>
        <v>14704.509999999998</v>
      </c>
      <c r="S331" s="148">
        <f>Table242[[#This Row],[Total Per Tool]]*Table242[[#This Row],[Tool QTY]]</f>
        <v>14704.509999999998</v>
      </c>
      <c r="U331" s="149"/>
      <c r="W331" s="3"/>
      <c r="X33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31" s="150">
        <f>Table242[[#This Row],[Total AR (Received)]]/Table242[[#This Row],[PO Amount]]</f>
        <v>0</v>
      </c>
      <c r="Z331" s="151">
        <f>Table242[[#This Row],[PO Amount]]-Table242[[#This Row],[Total AR (Received)]]</f>
        <v>14704.509999999998</v>
      </c>
      <c r="AA331" s="151"/>
      <c r="AB331" s="151"/>
      <c r="AC331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31"/>
      <c r="AE331"/>
      <c r="AF331" s="148"/>
      <c r="BB331"/>
      <c r="BC331"/>
      <c r="BD331" s="154" t="s">
        <v>550</v>
      </c>
      <c r="BE331" s="2"/>
      <c r="BF331"/>
      <c r="BG331"/>
      <c r="BH331"/>
      <c r="BI331"/>
      <c r="BJ331" s="13"/>
      <c r="BK331"/>
      <c r="BL331"/>
      <c r="BM331"/>
      <c r="BN331"/>
      <c r="BO331"/>
      <c r="BP331"/>
      <c r="BQ331"/>
      <c r="BR331" s="156">
        <f t="shared" si="5"/>
        <v>0</v>
      </c>
    </row>
    <row r="332" spans="2:70" ht="14.45" hidden="1">
      <c r="B332" s="166" t="s">
        <v>48</v>
      </c>
      <c r="C332" s="3" t="s">
        <v>3078</v>
      </c>
      <c r="D332" s="3">
        <v>18612</v>
      </c>
      <c r="E332" s="3">
        <v>14</v>
      </c>
      <c r="F332" s="3" t="s">
        <v>3079</v>
      </c>
      <c r="G332" s="3" t="s">
        <v>3080</v>
      </c>
      <c r="H332" s="3" t="s">
        <v>17</v>
      </c>
      <c r="I332" s="3" t="s">
        <v>3130</v>
      </c>
      <c r="J332" t="s">
        <v>3082</v>
      </c>
      <c r="K332" s="147"/>
      <c r="L332" s="3">
        <v>1</v>
      </c>
      <c r="M332" s="148">
        <v>2500.6999999999998</v>
      </c>
      <c r="N332" s="148">
        <v>9753.06</v>
      </c>
      <c r="Q332" s="148">
        <v>2450.75</v>
      </c>
      <c r="R332" s="148">
        <f>Table242[[#This Row],[Material Unit Price]]+Table242[[#This Row],[Labor Unit Price]]+Table242[[#This Row],[GC + Manage+ Insur]]</f>
        <v>14704.509999999998</v>
      </c>
      <c r="S332" s="148">
        <f>Table242[[#This Row],[Total Per Tool]]*Table242[[#This Row],[Tool QTY]]</f>
        <v>14704.509999999998</v>
      </c>
      <c r="U332" s="149"/>
      <c r="W332" s="3"/>
      <c r="X33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32" s="150">
        <f>Table242[[#This Row],[Total AR (Received)]]/Table242[[#This Row],[PO Amount]]</f>
        <v>0</v>
      </c>
      <c r="Z332" s="151">
        <f>Table242[[#This Row],[PO Amount]]-Table242[[#This Row],[Total AR (Received)]]</f>
        <v>14704.509999999998</v>
      </c>
      <c r="AA332" s="151"/>
      <c r="AB332" s="151"/>
      <c r="AC332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32"/>
      <c r="AE332"/>
      <c r="AF332" s="148"/>
      <c r="BB332"/>
      <c r="BC332"/>
      <c r="BD332" s="154" t="s">
        <v>550</v>
      </c>
      <c r="BE332" s="2"/>
      <c r="BF332"/>
      <c r="BG332"/>
      <c r="BH332"/>
      <c r="BI332"/>
      <c r="BJ332" s="13"/>
      <c r="BK332"/>
      <c r="BL332"/>
      <c r="BM332"/>
      <c r="BN332"/>
      <c r="BO332"/>
      <c r="BP332"/>
      <c r="BQ332"/>
      <c r="BR332" s="156">
        <f t="shared" si="5"/>
        <v>0</v>
      </c>
    </row>
    <row r="333" spans="2:70" ht="14.45" hidden="1">
      <c r="B333" s="166" t="s">
        <v>48</v>
      </c>
      <c r="C333" s="3" t="s">
        <v>3078</v>
      </c>
      <c r="D333" s="3">
        <v>18612</v>
      </c>
      <c r="E333" s="3">
        <v>15</v>
      </c>
      <c r="F333" s="3" t="s">
        <v>3079</v>
      </c>
      <c r="G333" s="3" t="s">
        <v>3080</v>
      </c>
      <c r="H333" s="3" t="s">
        <v>17</v>
      </c>
      <c r="I333" s="3" t="s">
        <v>3131</v>
      </c>
      <c r="J333" t="s">
        <v>3082</v>
      </c>
      <c r="K333" s="147"/>
      <c r="L333" s="3">
        <v>1</v>
      </c>
      <c r="M333" s="148">
        <v>2500.6999999999998</v>
      </c>
      <c r="N333" s="148">
        <v>9753.06</v>
      </c>
      <c r="Q333" s="148">
        <v>2450.75</v>
      </c>
      <c r="R333" s="148">
        <f>Table242[[#This Row],[Material Unit Price]]+Table242[[#This Row],[Labor Unit Price]]+Table242[[#This Row],[GC + Manage+ Insur]]</f>
        <v>14704.509999999998</v>
      </c>
      <c r="S333" s="148">
        <f>Table242[[#This Row],[Total Per Tool]]*Table242[[#This Row],[Tool QTY]]</f>
        <v>14704.509999999998</v>
      </c>
      <c r="U333" s="149"/>
      <c r="W333" s="3"/>
      <c r="X33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33" s="150">
        <f>Table242[[#This Row],[Total AR (Received)]]/Table242[[#This Row],[PO Amount]]</f>
        <v>0</v>
      </c>
      <c r="Z333" s="151">
        <f>Table242[[#This Row],[PO Amount]]-Table242[[#This Row],[Total AR (Received)]]</f>
        <v>14704.509999999998</v>
      </c>
      <c r="AA333" s="151"/>
      <c r="AB333" s="151"/>
      <c r="AC333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33"/>
      <c r="AE333"/>
      <c r="AF333" s="148"/>
      <c r="BB333"/>
      <c r="BC333"/>
      <c r="BD333" s="154" t="s">
        <v>550</v>
      </c>
      <c r="BE333" s="2"/>
      <c r="BF333"/>
      <c r="BG333"/>
      <c r="BH333"/>
      <c r="BI333"/>
      <c r="BJ333" s="13"/>
      <c r="BK333"/>
      <c r="BL333"/>
      <c r="BM333"/>
      <c r="BN333"/>
      <c r="BO333"/>
      <c r="BP333"/>
      <c r="BQ333"/>
      <c r="BR333" s="156">
        <f t="shared" si="5"/>
        <v>0</v>
      </c>
    </row>
    <row r="334" spans="2:70" ht="14.45" hidden="1">
      <c r="B334" s="166" t="s">
        <v>48</v>
      </c>
      <c r="C334" s="3" t="s">
        <v>3078</v>
      </c>
      <c r="D334" s="3">
        <v>18612</v>
      </c>
      <c r="E334" s="3">
        <v>16</v>
      </c>
      <c r="F334" s="3" t="s">
        <v>3079</v>
      </c>
      <c r="G334" s="3" t="s">
        <v>3080</v>
      </c>
      <c r="H334" s="3" t="s">
        <v>17</v>
      </c>
      <c r="I334" s="3" t="s">
        <v>3132</v>
      </c>
      <c r="J334" t="s">
        <v>3082</v>
      </c>
      <c r="K334" s="147"/>
      <c r="L334" s="3">
        <v>1</v>
      </c>
      <c r="M334" s="148">
        <v>2500.6999999999998</v>
      </c>
      <c r="N334" s="148">
        <v>9753.06</v>
      </c>
      <c r="Q334" s="148">
        <v>2450.75</v>
      </c>
      <c r="R334" s="148">
        <f>Table242[[#This Row],[Material Unit Price]]+Table242[[#This Row],[Labor Unit Price]]+Table242[[#This Row],[GC + Manage+ Insur]]</f>
        <v>14704.509999999998</v>
      </c>
      <c r="S334" s="148">
        <f>Table242[[#This Row],[Total Per Tool]]*Table242[[#This Row],[Tool QTY]]</f>
        <v>14704.509999999998</v>
      </c>
      <c r="U334" s="149"/>
      <c r="W334" s="3"/>
      <c r="X33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34" s="150">
        <f>Table242[[#This Row],[Total AR (Received)]]/Table242[[#This Row],[PO Amount]]</f>
        <v>0</v>
      </c>
      <c r="Z334" s="151">
        <f>Table242[[#This Row],[PO Amount]]-Table242[[#This Row],[Total AR (Received)]]</f>
        <v>14704.509999999998</v>
      </c>
      <c r="AA334" s="151"/>
      <c r="AB334" s="151"/>
      <c r="AC334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34"/>
      <c r="AE334"/>
      <c r="AF334" s="148"/>
      <c r="BB334"/>
      <c r="BC334"/>
      <c r="BD334" s="154" t="s">
        <v>550</v>
      </c>
      <c r="BE334" s="2"/>
      <c r="BF334"/>
      <c r="BG334"/>
      <c r="BH334"/>
      <c r="BI334"/>
      <c r="BJ334" s="13"/>
      <c r="BK334"/>
      <c r="BL334"/>
      <c r="BM334"/>
      <c r="BN334"/>
      <c r="BO334"/>
      <c r="BP334"/>
      <c r="BQ334"/>
      <c r="BR334" s="156">
        <f t="shared" si="5"/>
        <v>0</v>
      </c>
    </row>
    <row r="335" spans="2:70" ht="14.45" hidden="1">
      <c r="B335" s="166" t="s">
        <v>48</v>
      </c>
      <c r="C335" s="3" t="s">
        <v>3078</v>
      </c>
      <c r="D335" s="3">
        <v>18612</v>
      </c>
      <c r="E335" s="3">
        <v>17</v>
      </c>
      <c r="F335" s="3" t="s">
        <v>3079</v>
      </c>
      <c r="G335" s="3" t="s">
        <v>3080</v>
      </c>
      <c r="H335" s="3" t="s">
        <v>17</v>
      </c>
      <c r="I335" s="3" t="s">
        <v>3133</v>
      </c>
      <c r="J335" t="s">
        <v>3082</v>
      </c>
      <c r="K335" s="147"/>
      <c r="L335" s="3">
        <v>1</v>
      </c>
      <c r="M335" s="148">
        <v>2500.6999999999998</v>
      </c>
      <c r="N335" s="148">
        <v>9753.06</v>
      </c>
      <c r="Q335" s="148">
        <v>2450.75</v>
      </c>
      <c r="R335" s="148">
        <f>Table242[[#This Row],[Material Unit Price]]+Table242[[#This Row],[Labor Unit Price]]+Table242[[#This Row],[GC + Manage+ Insur]]</f>
        <v>14704.509999999998</v>
      </c>
      <c r="S335" s="148">
        <f>Table242[[#This Row],[Total Per Tool]]*Table242[[#This Row],[Tool QTY]]</f>
        <v>14704.509999999998</v>
      </c>
      <c r="U335" s="149"/>
      <c r="W335" s="3"/>
      <c r="X33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35" s="150">
        <f>Table242[[#This Row],[Total AR (Received)]]/Table242[[#This Row],[PO Amount]]</f>
        <v>0</v>
      </c>
      <c r="Z335" s="151">
        <f>Table242[[#This Row],[PO Amount]]-Table242[[#This Row],[Total AR (Received)]]</f>
        <v>14704.509999999998</v>
      </c>
      <c r="AA335" s="151"/>
      <c r="AB335" s="151"/>
      <c r="AC335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35"/>
      <c r="AE335"/>
      <c r="AF335" s="148"/>
      <c r="BB335"/>
      <c r="BC335"/>
      <c r="BD335" s="154" t="s">
        <v>550</v>
      </c>
      <c r="BE335" s="2"/>
      <c r="BF335"/>
      <c r="BG335"/>
      <c r="BH335"/>
      <c r="BI335"/>
      <c r="BJ335" s="13"/>
      <c r="BK335"/>
      <c r="BL335"/>
      <c r="BM335"/>
      <c r="BN335"/>
      <c r="BO335"/>
      <c r="BP335"/>
      <c r="BQ335"/>
      <c r="BR335" s="156">
        <f t="shared" si="5"/>
        <v>0</v>
      </c>
    </row>
    <row r="336" spans="2:70" ht="14.45" hidden="1">
      <c r="B336" s="166" t="s">
        <v>48</v>
      </c>
      <c r="C336" s="3" t="s">
        <v>3078</v>
      </c>
      <c r="D336" s="3">
        <v>18612</v>
      </c>
      <c r="E336" s="3">
        <v>18</v>
      </c>
      <c r="F336" s="3" t="s">
        <v>3079</v>
      </c>
      <c r="G336" s="3" t="s">
        <v>3080</v>
      </c>
      <c r="H336" s="3" t="s">
        <v>17</v>
      </c>
      <c r="I336" s="3" t="s">
        <v>3134</v>
      </c>
      <c r="J336" t="s">
        <v>3082</v>
      </c>
      <c r="K336" s="147"/>
      <c r="L336" s="3">
        <v>1</v>
      </c>
      <c r="M336" s="148">
        <v>2500.6999999999998</v>
      </c>
      <c r="N336" s="148">
        <v>9753.06</v>
      </c>
      <c r="Q336" s="148">
        <v>2450.75</v>
      </c>
      <c r="R336" s="148">
        <f>Table242[[#This Row],[Material Unit Price]]+Table242[[#This Row],[Labor Unit Price]]+Table242[[#This Row],[GC + Manage+ Insur]]</f>
        <v>14704.509999999998</v>
      </c>
      <c r="S336" s="148">
        <f>Table242[[#This Row],[Total Per Tool]]*Table242[[#This Row],[Tool QTY]]</f>
        <v>14704.509999999998</v>
      </c>
      <c r="U336" s="149"/>
      <c r="W336" s="3"/>
      <c r="X33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36" s="150">
        <f>Table242[[#This Row],[Total AR (Received)]]/Table242[[#This Row],[PO Amount]]</f>
        <v>0</v>
      </c>
      <c r="Z336" s="151">
        <f>Table242[[#This Row],[PO Amount]]-Table242[[#This Row],[Total AR (Received)]]</f>
        <v>14704.509999999998</v>
      </c>
      <c r="AA336" s="151"/>
      <c r="AB336" s="151"/>
      <c r="AC336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36"/>
      <c r="AE336"/>
      <c r="AF336" s="148"/>
      <c r="BB336"/>
      <c r="BC336"/>
      <c r="BD336" s="154" t="s">
        <v>550</v>
      </c>
      <c r="BE336" s="2"/>
      <c r="BF336"/>
      <c r="BG336"/>
      <c r="BH336"/>
      <c r="BI336"/>
      <c r="BJ336" s="13"/>
      <c r="BK336"/>
      <c r="BL336"/>
      <c r="BM336"/>
      <c r="BN336"/>
      <c r="BO336"/>
      <c r="BP336"/>
      <c r="BQ336"/>
      <c r="BR336" s="156">
        <f t="shared" si="5"/>
        <v>0</v>
      </c>
    </row>
    <row r="337" spans="2:73" ht="14.45" hidden="1">
      <c r="B337" s="166" t="s">
        <v>48</v>
      </c>
      <c r="C337" s="3" t="s">
        <v>3078</v>
      </c>
      <c r="D337" s="3">
        <v>18614</v>
      </c>
      <c r="E337" s="3">
        <v>1</v>
      </c>
      <c r="F337" s="3" t="s">
        <v>3079</v>
      </c>
      <c r="G337" s="3" t="s">
        <v>3080</v>
      </c>
      <c r="H337" s="3" t="s">
        <v>17</v>
      </c>
      <c r="I337" s="3" t="s">
        <v>3135</v>
      </c>
      <c r="J337" t="s">
        <v>3101</v>
      </c>
      <c r="K337" s="147"/>
      <c r="L337" s="3">
        <v>1</v>
      </c>
      <c r="M337" s="148">
        <v>7131.44</v>
      </c>
      <c r="N337" s="148">
        <v>26046.720000000001</v>
      </c>
      <c r="Q337" s="148">
        <v>6635.63</v>
      </c>
      <c r="R337" s="148">
        <f>Table242[[#This Row],[Material Unit Price]]+Table242[[#This Row],[Labor Unit Price]]+Table242[[#This Row],[GC + Manage+ Insur]]</f>
        <v>39813.79</v>
      </c>
      <c r="S337" s="148">
        <f>Table242[[#This Row],[Total Per Tool]]*Table242[[#This Row],[Tool QTY]]</f>
        <v>39813.79</v>
      </c>
      <c r="U337" s="149">
        <v>44915</v>
      </c>
      <c r="W337" s="3" t="s">
        <v>3083</v>
      </c>
      <c r="X33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39813.79</v>
      </c>
      <c r="Y337" s="150">
        <f>Table242[[#This Row],[Total AR (Received)]]/Table242[[#This Row],[PO Amount]]</f>
        <v>1</v>
      </c>
      <c r="Z337" s="151">
        <f>Table242[[#This Row],[PO Amount]]-Table242[[#This Row],[Total AR (Received)]]</f>
        <v>0</v>
      </c>
      <c r="AA337" s="151"/>
      <c r="AB337" s="151"/>
      <c r="AC337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37"/>
      <c r="AE337"/>
      <c r="AF337" s="148"/>
      <c r="BB337"/>
      <c r="BC337"/>
      <c r="BD337" s="154" t="s">
        <v>550</v>
      </c>
      <c r="BE337" s="2"/>
      <c r="BF337" s="169">
        <v>39813.79</v>
      </c>
      <c r="BG337"/>
      <c r="BH337"/>
      <c r="BI337"/>
      <c r="BJ337" s="13"/>
      <c r="BK337"/>
      <c r="BL337"/>
      <c r="BM337"/>
      <c r="BN337"/>
      <c r="BO337"/>
      <c r="BP337"/>
      <c r="BQ337"/>
      <c r="BR337" s="156">
        <f t="shared" si="5"/>
        <v>39813.79</v>
      </c>
    </row>
    <row r="338" spans="2:73" ht="14.45" hidden="1">
      <c r="B338" s="166" t="s">
        <v>48</v>
      </c>
      <c r="C338" s="3" t="s">
        <v>3078</v>
      </c>
      <c r="D338" s="3">
        <v>18614</v>
      </c>
      <c r="E338" s="3">
        <v>3</v>
      </c>
      <c r="F338" s="3" t="s">
        <v>3079</v>
      </c>
      <c r="G338" s="3" t="s">
        <v>3080</v>
      </c>
      <c r="H338" s="3" t="s">
        <v>17</v>
      </c>
      <c r="I338" s="3" t="s">
        <v>3136</v>
      </c>
      <c r="J338" t="s">
        <v>3101</v>
      </c>
      <c r="K338" s="147"/>
      <c r="L338" s="3">
        <v>1</v>
      </c>
      <c r="M338" s="148">
        <v>7131.44</v>
      </c>
      <c r="N338" s="148">
        <v>26046.720000000001</v>
      </c>
      <c r="Q338" s="148">
        <v>6635.63</v>
      </c>
      <c r="R338" s="148">
        <f>Table242[[#This Row],[Material Unit Price]]+Table242[[#This Row],[Labor Unit Price]]+Table242[[#This Row],[GC + Manage+ Insur]]</f>
        <v>39813.79</v>
      </c>
      <c r="S338" s="148">
        <f>Table242[[#This Row],[Total Per Tool]]*Table242[[#This Row],[Tool QTY]]</f>
        <v>39813.79</v>
      </c>
      <c r="U338" s="149"/>
      <c r="W338" s="3"/>
      <c r="X33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39813.79</v>
      </c>
      <c r="Y338" s="150">
        <f>Table242[[#This Row],[Total AR (Received)]]/Table242[[#This Row],[PO Amount]]</f>
        <v>1</v>
      </c>
      <c r="Z338" s="151">
        <f>Table242[[#This Row],[PO Amount]]-Table242[[#This Row],[Total AR (Received)]]</f>
        <v>0</v>
      </c>
      <c r="AA338" s="151"/>
      <c r="AB338" s="151"/>
      <c r="AC338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38"/>
      <c r="AE338"/>
      <c r="AF338" s="148"/>
      <c r="BB338"/>
      <c r="BC338"/>
      <c r="BD338" s="154" t="s">
        <v>550</v>
      </c>
      <c r="BE338" s="2"/>
      <c r="BF338" s="169">
        <v>39813.79</v>
      </c>
      <c r="BG338"/>
      <c r="BH338"/>
      <c r="BI338"/>
      <c r="BJ338" s="13"/>
      <c r="BK338"/>
      <c r="BL338"/>
      <c r="BM338"/>
      <c r="BN338"/>
      <c r="BO338"/>
      <c r="BP338"/>
      <c r="BQ338"/>
      <c r="BR338" s="156">
        <f t="shared" si="5"/>
        <v>39813.79</v>
      </c>
    </row>
    <row r="339" spans="2:73" ht="14.45" hidden="1">
      <c r="B339" s="166" t="s">
        <v>48</v>
      </c>
      <c r="C339" s="3" t="s">
        <v>3078</v>
      </c>
      <c r="D339" s="3">
        <v>18614</v>
      </c>
      <c r="E339" s="3">
        <v>5</v>
      </c>
      <c r="F339" s="3" t="s">
        <v>3079</v>
      </c>
      <c r="G339" s="3" t="s">
        <v>3080</v>
      </c>
      <c r="H339" s="3" t="s">
        <v>17</v>
      </c>
      <c r="I339" s="3" t="s">
        <v>3137</v>
      </c>
      <c r="J339" t="s">
        <v>3101</v>
      </c>
      <c r="K339" s="147"/>
      <c r="L339" s="3">
        <v>1</v>
      </c>
      <c r="M339" s="148">
        <v>7131.44</v>
      </c>
      <c r="N339" s="148">
        <v>26046.720000000001</v>
      </c>
      <c r="Q339" s="148">
        <v>6635.63</v>
      </c>
      <c r="R339" s="148">
        <f>Table242[[#This Row],[Material Unit Price]]+Table242[[#This Row],[Labor Unit Price]]+Table242[[#This Row],[GC + Manage+ Insur]]</f>
        <v>39813.79</v>
      </c>
      <c r="S339" s="148">
        <f>Table242[[#This Row],[Total Per Tool]]*Table242[[#This Row],[Tool QTY]]</f>
        <v>39813.79</v>
      </c>
      <c r="U339" s="149"/>
      <c r="W339" s="3"/>
      <c r="X33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39813.79</v>
      </c>
      <c r="Y339" s="150">
        <f>Table242[[#This Row],[Total AR (Received)]]/Table242[[#This Row],[PO Amount]]</f>
        <v>1</v>
      </c>
      <c r="Z339" s="151">
        <f>Table242[[#This Row],[PO Amount]]-Table242[[#This Row],[Total AR (Received)]]</f>
        <v>0</v>
      </c>
      <c r="AA339" s="151"/>
      <c r="AB339" s="151"/>
      <c r="AC339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39"/>
      <c r="AE339"/>
      <c r="AF339" s="148"/>
      <c r="BB339"/>
      <c r="BC339"/>
      <c r="BD339" s="154" t="s">
        <v>550</v>
      </c>
      <c r="BE339" s="2"/>
      <c r="BF339" s="169">
        <v>39813.79</v>
      </c>
      <c r="BG339"/>
      <c r="BH339"/>
      <c r="BI339"/>
      <c r="BJ339" s="13"/>
      <c r="BK339"/>
      <c r="BL339"/>
      <c r="BM339"/>
      <c r="BN339"/>
      <c r="BO339"/>
      <c r="BP339"/>
      <c r="BQ339"/>
      <c r="BR339" s="156">
        <f t="shared" si="5"/>
        <v>39813.79</v>
      </c>
    </row>
    <row r="340" spans="2:73" ht="14.45" hidden="1">
      <c r="B340" s="166" t="s">
        <v>48</v>
      </c>
      <c r="C340" s="3" t="s">
        <v>3078</v>
      </c>
      <c r="D340" s="3">
        <v>18615</v>
      </c>
      <c r="E340" s="3">
        <v>1</v>
      </c>
      <c r="F340" s="3" t="s">
        <v>3079</v>
      </c>
      <c r="G340" s="3" t="s">
        <v>3080</v>
      </c>
      <c r="H340" s="3" t="s">
        <v>17</v>
      </c>
      <c r="I340" s="3" t="s">
        <v>3138</v>
      </c>
      <c r="J340" t="s">
        <v>3105</v>
      </c>
      <c r="K340" s="147"/>
      <c r="L340" s="3">
        <v>1</v>
      </c>
      <c r="M340" s="148">
        <v>7131.44</v>
      </c>
      <c r="N340" s="148">
        <v>25326.720000000001</v>
      </c>
      <c r="Q340" s="148">
        <v>6491.63</v>
      </c>
      <c r="R340" s="148">
        <f>Table242[[#This Row],[Material Unit Price]]+Table242[[#This Row],[Labor Unit Price]]+Table242[[#This Row],[GC + Manage+ Insur]]</f>
        <v>38949.79</v>
      </c>
      <c r="S340" s="148">
        <f>Table242[[#This Row],[Total Per Tool]]*Table242[[#This Row],[Tool QTY]]</f>
        <v>38949.79</v>
      </c>
      <c r="U340" s="149">
        <v>44915</v>
      </c>
      <c r="W340" s="3" t="s">
        <v>3083</v>
      </c>
      <c r="X34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38949.79</v>
      </c>
      <c r="Y340" s="150">
        <f>Table242[[#This Row],[Total AR (Received)]]/Table242[[#This Row],[PO Amount]]</f>
        <v>1</v>
      </c>
      <c r="Z340" s="151">
        <f>Table242[[#This Row],[PO Amount]]-Table242[[#This Row],[Total AR (Received)]]</f>
        <v>0</v>
      </c>
      <c r="AA340" s="151"/>
      <c r="AB340" s="151"/>
      <c r="AC340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40"/>
      <c r="AE340"/>
      <c r="AF340" s="148"/>
      <c r="BB340"/>
      <c r="BC340"/>
      <c r="BD340" s="154" t="s">
        <v>550</v>
      </c>
      <c r="BE340" s="2"/>
      <c r="BF340" s="169">
        <v>38949.79</v>
      </c>
      <c r="BG340"/>
      <c r="BH340"/>
      <c r="BI340"/>
      <c r="BJ340" s="13"/>
      <c r="BK340"/>
      <c r="BL340"/>
      <c r="BM340"/>
      <c r="BN340"/>
      <c r="BO340"/>
      <c r="BP340"/>
      <c r="BQ340"/>
      <c r="BR340" s="156">
        <f t="shared" si="5"/>
        <v>38949.79</v>
      </c>
    </row>
    <row r="341" spans="2:73" ht="14.45" hidden="1">
      <c r="B341" s="166" t="s">
        <v>48</v>
      </c>
      <c r="C341" s="3" t="s">
        <v>3078</v>
      </c>
      <c r="D341" s="3">
        <v>18612</v>
      </c>
      <c r="E341" s="3">
        <v>19</v>
      </c>
      <c r="F341" s="3" t="s">
        <v>3079</v>
      </c>
      <c r="G341" s="3" t="s">
        <v>3080</v>
      </c>
      <c r="H341" s="3" t="s">
        <v>17</v>
      </c>
      <c r="I341" s="3" t="s">
        <v>3139</v>
      </c>
      <c r="J341" t="s">
        <v>3082</v>
      </c>
      <c r="K341" s="147"/>
      <c r="L341" s="3">
        <v>1</v>
      </c>
      <c r="M341" s="148">
        <v>2500.6999999999998</v>
      </c>
      <c r="N341" s="148">
        <v>9753.06</v>
      </c>
      <c r="Q341" s="148">
        <v>2450.75</v>
      </c>
      <c r="R341" s="148">
        <f>Table242[[#This Row],[Material Unit Price]]+Table242[[#This Row],[Labor Unit Price]]+Table242[[#This Row],[GC + Manage+ Insur]]</f>
        <v>14704.509999999998</v>
      </c>
      <c r="S341" s="148">
        <f>Table242[[#This Row],[Total Per Tool]]*Table242[[#This Row],[Tool QTY]]</f>
        <v>14704.509999999998</v>
      </c>
      <c r="U341" s="149"/>
      <c r="W341" s="3"/>
      <c r="X34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41" s="150">
        <f>Table242[[#This Row],[Total AR (Received)]]/Table242[[#This Row],[PO Amount]]</f>
        <v>0</v>
      </c>
      <c r="Z341" s="151">
        <f>Table242[[#This Row],[PO Amount]]-Table242[[#This Row],[Total AR (Received)]]</f>
        <v>14704.509999999998</v>
      </c>
      <c r="AA341" s="151"/>
      <c r="AB341" s="151"/>
      <c r="AC341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41"/>
      <c r="AE341"/>
      <c r="AF341" s="148"/>
      <c r="BB341"/>
      <c r="BC341"/>
      <c r="BD341" s="154" t="s">
        <v>550</v>
      </c>
      <c r="BE341" s="2"/>
      <c r="BF341"/>
      <c r="BG341"/>
      <c r="BH341"/>
      <c r="BI341"/>
      <c r="BJ341" s="13"/>
      <c r="BK341"/>
      <c r="BL341"/>
      <c r="BM341"/>
      <c r="BN341"/>
      <c r="BO341"/>
      <c r="BP341"/>
      <c r="BQ341"/>
      <c r="BR341" s="156">
        <f t="shared" si="5"/>
        <v>0</v>
      </c>
    </row>
    <row r="342" spans="2:73" ht="14.45" hidden="1">
      <c r="B342" s="166" t="s">
        <v>48</v>
      </c>
      <c r="C342" s="3" t="s">
        <v>3078</v>
      </c>
      <c r="D342" s="3">
        <v>18616</v>
      </c>
      <c r="E342" s="3">
        <v>1</v>
      </c>
      <c r="F342" s="3" t="s">
        <v>3079</v>
      </c>
      <c r="G342" s="3" t="s">
        <v>3080</v>
      </c>
      <c r="H342" s="3" t="s">
        <v>17</v>
      </c>
      <c r="I342" s="3" t="s">
        <v>3140</v>
      </c>
      <c r="J342" t="s">
        <v>3108</v>
      </c>
      <c r="K342" s="147"/>
      <c r="L342" s="3">
        <v>1</v>
      </c>
      <c r="M342" s="148">
        <v>7131.44</v>
      </c>
      <c r="N342" s="148">
        <v>25623.72</v>
      </c>
      <c r="Q342" s="148">
        <v>6551.03</v>
      </c>
      <c r="R342" s="148">
        <f>Table242[[#This Row],[Material Unit Price]]+Table242[[#This Row],[Labor Unit Price]]+Table242[[#This Row],[GC + Manage+ Insur]]</f>
        <v>39306.19</v>
      </c>
      <c r="S342" s="148">
        <f>Table242[[#This Row],[Total Per Tool]]*Table242[[#This Row],[Tool QTY]]</f>
        <v>39306.19</v>
      </c>
      <c r="U342" s="149">
        <v>44915</v>
      </c>
      <c r="W342" s="3" t="s">
        <v>3083</v>
      </c>
      <c r="X34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39306.19</v>
      </c>
      <c r="Y342" s="150">
        <f>Table242[[#This Row],[Total AR (Received)]]/Table242[[#This Row],[PO Amount]]</f>
        <v>1</v>
      </c>
      <c r="Z342" s="151">
        <f>Table242[[#This Row],[PO Amount]]-Table242[[#This Row],[Total AR (Received)]]</f>
        <v>0</v>
      </c>
      <c r="AA342" s="151"/>
      <c r="AB342" s="151"/>
      <c r="AC342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42"/>
      <c r="AE342"/>
      <c r="AF342" s="148"/>
      <c r="BB342"/>
      <c r="BC342"/>
      <c r="BD342" s="154" t="s">
        <v>550</v>
      </c>
      <c r="BE342" s="2"/>
      <c r="BF342" s="169">
        <v>39306.19</v>
      </c>
      <c r="BG342"/>
      <c r="BH342"/>
      <c r="BI342"/>
      <c r="BJ342" s="13"/>
      <c r="BK342"/>
      <c r="BL342"/>
      <c r="BM342"/>
      <c r="BN342"/>
      <c r="BO342"/>
      <c r="BP342"/>
      <c r="BQ342"/>
      <c r="BR342" s="156">
        <f t="shared" si="5"/>
        <v>39306.19</v>
      </c>
    </row>
    <row r="343" spans="2:73" ht="14.45" hidden="1">
      <c r="B343" s="166" t="s">
        <v>48</v>
      </c>
      <c r="C343" s="3"/>
      <c r="D343" s="3">
        <v>18617</v>
      </c>
      <c r="E343" s="3">
        <v>6</v>
      </c>
      <c r="F343" s="3" t="s">
        <v>3079</v>
      </c>
      <c r="G343" s="3" t="s">
        <v>3080</v>
      </c>
      <c r="H343" s="3" t="s">
        <v>17</v>
      </c>
      <c r="I343" s="3" t="s">
        <v>3141</v>
      </c>
      <c r="J343" t="s">
        <v>3113</v>
      </c>
      <c r="K343" s="147"/>
      <c r="L343" s="3">
        <v>1</v>
      </c>
      <c r="N343" s="148">
        <v>6460.4400000000005</v>
      </c>
      <c r="Q343" s="148">
        <v>1292.0899999999999</v>
      </c>
      <c r="R343" s="148">
        <f>Table242[[#This Row],[Material Unit Price]]+Table242[[#This Row],[Labor Unit Price]]+Table242[[#This Row],[GC + Manage+ Insur]]</f>
        <v>7752.5300000000007</v>
      </c>
      <c r="S343" s="148">
        <f>Table242[[#This Row],[Total Per Tool]]*Table242[[#This Row],[Tool QTY]]</f>
        <v>7752.5300000000007</v>
      </c>
      <c r="U343" s="149"/>
      <c r="W343" s="3"/>
      <c r="X34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7752.53</v>
      </c>
      <c r="Y343" s="150">
        <f>Table242[[#This Row],[Total AR (Received)]]/Table242[[#This Row],[PO Amount]]</f>
        <v>0.99999999999999989</v>
      </c>
      <c r="Z343" s="151">
        <f>Table242[[#This Row],[PO Amount]]-Table242[[#This Row],[Total AR (Received)]]</f>
        <v>0</v>
      </c>
      <c r="AA343" s="151"/>
      <c r="AB343" s="151"/>
      <c r="AC343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43"/>
      <c r="AE343"/>
      <c r="AF343" s="148"/>
      <c r="BB343"/>
      <c r="BC343"/>
      <c r="BD343" s="154" t="s">
        <v>550</v>
      </c>
      <c r="BE343" s="2"/>
      <c r="BF343" s="169">
        <v>7752.53</v>
      </c>
      <c r="BG343"/>
      <c r="BH343"/>
      <c r="BI343"/>
      <c r="BJ343" s="13"/>
      <c r="BK343"/>
      <c r="BL343"/>
      <c r="BM343"/>
      <c r="BN343"/>
      <c r="BO343"/>
      <c r="BP343"/>
      <c r="BQ343"/>
      <c r="BR343" s="156">
        <f t="shared" si="5"/>
        <v>7752.53</v>
      </c>
    </row>
    <row r="344" spans="2:73" ht="14.45" hidden="1">
      <c r="B344" s="166" t="s">
        <v>48</v>
      </c>
      <c r="C344" s="3">
        <v>18618</v>
      </c>
      <c r="D344" s="3">
        <v>18618</v>
      </c>
      <c r="E344" s="3">
        <v>4</v>
      </c>
      <c r="F344" s="3" t="s">
        <v>3079</v>
      </c>
      <c r="G344" s="3" t="s">
        <v>3080</v>
      </c>
      <c r="H344" s="3" t="s">
        <v>17</v>
      </c>
      <c r="I344" s="3" t="s">
        <v>3142</v>
      </c>
      <c r="J344" t="s">
        <v>3125</v>
      </c>
      <c r="K344" s="147"/>
      <c r="L344" s="3">
        <v>1</v>
      </c>
      <c r="N344" s="148">
        <v>2884.44</v>
      </c>
      <c r="Q344" s="148">
        <v>576.89</v>
      </c>
      <c r="R344" s="148">
        <f>Table242[[#This Row],[Material Unit Price]]+Table242[[#This Row],[Labor Unit Price]]+Table242[[#This Row],[GC + Manage+ Insur]]</f>
        <v>3461.33</v>
      </c>
      <c r="S344" s="148">
        <f>Table242[[#This Row],[Total Per Tool]]*Table242[[#This Row],[Tool QTY]]</f>
        <v>3461.33</v>
      </c>
      <c r="U344" s="149"/>
      <c r="W344" s="3"/>
      <c r="X34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3461.33</v>
      </c>
      <c r="Y344" s="150">
        <f>Table242[[#This Row],[Total AR (Received)]]/Table242[[#This Row],[PO Amount]]</f>
        <v>1</v>
      </c>
      <c r="Z344" s="151">
        <f>Table242[[#This Row],[PO Amount]]-Table242[[#This Row],[Total AR (Received)]]</f>
        <v>0</v>
      </c>
      <c r="AA344" s="151"/>
      <c r="AB344" s="151"/>
      <c r="AC344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44"/>
      <c r="AE344"/>
      <c r="AF344" s="148"/>
      <c r="BB344"/>
      <c r="BC344"/>
      <c r="BD344" s="154" t="s">
        <v>550</v>
      </c>
      <c r="BE344" s="2"/>
      <c r="BF344" s="169">
        <v>3461.33</v>
      </c>
      <c r="BG344"/>
      <c r="BH344"/>
      <c r="BI344"/>
      <c r="BJ344" s="13"/>
      <c r="BK344"/>
      <c r="BL344"/>
      <c r="BM344"/>
      <c r="BN344"/>
      <c r="BO344"/>
      <c r="BP344"/>
      <c r="BQ344"/>
      <c r="BR344" s="156">
        <f t="shared" si="5"/>
        <v>3461.33</v>
      </c>
    </row>
    <row r="345" spans="2:73" ht="14.45" hidden="1">
      <c r="B345" s="166" t="s">
        <v>48</v>
      </c>
      <c r="C345" s="3"/>
      <c r="D345" s="3">
        <v>18618</v>
      </c>
      <c r="E345" s="3">
        <v>5</v>
      </c>
      <c r="F345" s="3" t="s">
        <v>3079</v>
      </c>
      <c r="G345" s="3" t="s">
        <v>3080</v>
      </c>
      <c r="H345" s="3" t="s">
        <v>17</v>
      </c>
      <c r="I345" s="3" t="s">
        <v>3143</v>
      </c>
      <c r="J345" t="s">
        <v>3125</v>
      </c>
      <c r="K345" s="147"/>
      <c r="L345" s="3">
        <v>1</v>
      </c>
      <c r="N345" s="148">
        <v>2884.44</v>
      </c>
      <c r="Q345" s="148">
        <v>576.89</v>
      </c>
      <c r="R345" s="148">
        <f>Table242[[#This Row],[Material Unit Price]]+Table242[[#This Row],[Labor Unit Price]]+Table242[[#This Row],[GC + Manage+ Insur]]</f>
        <v>3461.33</v>
      </c>
      <c r="S345" s="148">
        <f>Table242[[#This Row],[Total Per Tool]]*Table242[[#This Row],[Tool QTY]]</f>
        <v>3461.33</v>
      </c>
      <c r="U345" s="149"/>
      <c r="W345" s="3"/>
      <c r="X34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3461.33</v>
      </c>
      <c r="Y345" s="150">
        <f>Table242[[#This Row],[Total AR (Received)]]/Table242[[#This Row],[PO Amount]]</f>
        <v>1</v>
      </c>
      <c r="Z345" s="151">
        <f>Table242[[#This Row],[PO Amount]]-Table242[[#This Row],[Total AR (Received)]]</f>
        <v>0</v>
      </c>
      <c r="AA345" s="151"/>
      <c r="AB345" s="151"/>
      <c r="AC345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45"/>
      <c r="AE345"/>
      <c r="AF345" s="148"/>
      <c r="BB345"/>
      <c r="BC345"/>
      <c r="BD345" s="154" t="s">
        <v>550</v>
      </c>
      <c r="BE345" s="2"/>
      <c r="BF345" s="169">
        <v>3461.33</v>
      </c>
      <c r="BG345"/>
      <c r="BH345"/>
      <c r="BI345"/>
      <c r="BJ345" s="13"/>
      <c r="BK345"/>
      <c r="BL345"/>
      <c r="BM345"/>
      <c r="BN345"/>
      <c r="BO345"/>
      <c r="BP345"/>
      <c r="BQ345"/>
      <c r="BR345" s="156">
        <f t="shared" si="5"/>
        <v>3461.33</v>
      </c>
    </row>
    <row r="346" spans="2:73" ht="14.45" hidden="1">
      <c r="B346" s="166" t="s">
        <v>48</v>
      </c>
      <c r="C346" s="3"/>
      <c r="D346" s="3">
        <v>18618</v>
      </c>
      <c r="E346" s="3">
        <v>6</v>
      </c>
      <c r="F346" s="3" t="s">
        <v>3079</v>
      </c>
      <c r="G346" s="3" t="s">
        <v>3080</v>
      </c>
      <c r="H346" s="3" t="s">
        <v>17</v>
      </c>
      <c r="I346" s="3" t="s">
        <v>3144</v>
      </c>
      <c r="J346" t="s">
        <v>3125</v>
      </c>
      <c r="K346" s="147"/>
      <c r="L346" s="3">
        <v>1</v>
      </c>
      <c r="N346" s="148">
        <v>2884.44</v>
      </c>
      <c r="Q346" s="148">
        <v>576.89</v>
      </c>
      <c r="R346" s="148">
        <f>Table242[[#This Row],[Material Unit Price]]+Table242[[#This Row],[Labor Unit Price]]+Table242[[#This Row],[GC + Manage+ Insur]]</f>
        <v>3461.33</v>
      </c>
      <c r="S346" s="148">
        <f>Table242[[#This Row],[Total Per Tool]]*Table242[[#This Row],[Tool QTY]]</f>
        <v>3461.33</v>
      </c>
      <c r="U346" s="149"/>
      <c r="W346" s="3"/>
      <c r="X34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3461.33</v>
      </c>
      <c r="Y346" s="150">
        <f>Table242[[#This Row],[Total AR (Received)]]/Table242[[#This Row],[PO Amount]]</f>
        <v>1</v>
      </c>
      <c r="Z346" s="151">
        <f>Table242[[#This Row],[PO Amount]]-Table242[[#This Row],[Total AR (Received)]]</f>
        <v>0</v>
      </c>
      <c r="AA346" s="151"/>
      <c r="AB346" s="151"/>
      <c r="AC346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46"/>
      <c r="AE346"/>
      <c r="AF346" s="148"/>
      <c r="BB346"/>
      <c r="BC346"/>
      <c r="BD346" s="154" t="s">
        <v>550</v>
      </c>
      <c r="BE346" s="2"/>
      <c r="BF346" s="169">
        <v>3461.33</v>
      </c>
      <c r="BG346"/>
      <c r="BH346"/>
      <c r="BI346"/>
      <c r="BJ346" s="13"/>
      <c r="BK346"/>
      <c r="BL346"/>
      <c r="BM346"/>
      <c r="BN346"/>
      <c r="BO346"/>
      <c r="BP346"/>
      <c r="BQ346"/>
      <c r="BR346" s="156">
        <f t="shared" si="5"/>
        <v>3461.33</v>
      </c>
    </row>
    <row r="347" spans="2:73" ht="14.45" hidden="1">
      <c r="B347" s="3" t="s">
        <v>49</v>
      </c>
      <c r="C347" s="3" t="s">
        <v>3145</v>
      </c>
      <c r="D347" s="3" t="s">
        <v>3146</v>
      </c>
      <c r="E347" s="3">
        <v>25</v>
      </c>
      <c r="F347" s="3" t="s">
        <v>3147</v>
      </c>
      <c r="G347" s="3" t="s">
        <v>3148</v>
      </c>
      <c r="H347" s="3" t="s">
        <v>17</v>
      </c>
      <c r="I347" s="3" t="s">
        <v>3149</v>
      </c>
      <c r="J347" t="s">
        <v>3150</v>
      </c>
      <c r="K347" s="147"/>
      <c r="L347" s="3">
        <v>1</v>
      </c>
      <c r="M347" s="151"/>
      <c r="N347" s="148">
        <v>3795</v>
      </c>
      <c r="Q347" s="148">
        <v>678</v>
      </c>
      <c r="R347" s="148">
        <f>Table242[[#This Row],[Material Unit Price]]+Table242[[#This Row],[Labor Unit Price]]+Table242[[#This Row],[GC + Manage+ Insur]]</f>
        <v>4473</v>
      </c>
      <c r="S347" s="148">
        <f>Table242[[#This Row],[Total Per Tool]]*Table242[[#This Row],[Tool QTY]]</f>
        <v>4473</v>
      </c>
      <c r="U347" s="149"/>
      <c r="W347" s="3"/>
      <c r="X34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4473</v>
      </c>
      <c r="Y347" s="150">
        <f>Table242[[#This Row],[Total AR (Received)]]/Table242[[#This Row],[PO Amount]]</f>
        <v>1</v>
      </c>
      <c r="Z347" s="151">
        <f>Table242[[#This Row],[PO Amount]]-Table242[[#This Row],[Total AR (Received)]]</f>
        <v>0</v>
      </c>
      <c r="AA347" s="151"/>
      <c r="AB347" s="151"/>
      <c r="AC347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47"/>
      <c r="AE347"/>
      <c r="AF347" s="148"/>
      <c r="AH347" s="2"/>
      <c r="AZ347" s="168">
        <v>4473</v>
      </c>
      <c r="BB347"/>
      <c r="BC347"/>
      <c r="BD347" s="154" t="s">
        <v>550</v>
      </c>
      <c r="BE347" s="2"/>
      <c r="BF347"/>
      <c r="BG347"/>
      <c r="BH347"/>
      <c r="BI347"/>
      <c r="BJ347"/>
      <c r="BK347"/>
      <c r="BL347"/>
      <c r="BM347"/>
      <c r="BN347"/>
      <c r="BO347"/>
      <c r="BP347"/>
      <c r="BQ347"/>
      <c r="BR347" s="158">
        <f t="shared" si="5"/>
        <v>4473</v>
      </c>
    </row>
    <row r="348" spans="2:73" ht="14.45" hidden="1">
      <c r="B348" s="3" t="s">
        <v>49</v>
      </c>
      <c r="C348" s="3" t="s">
        <v>3145</v>
      </c>
      <c r="D348" s="3" t="s">
        <v>3151</v>
      </c>
      <c r="E348" s="3">
        <v>55</v>
      </c>
      <c r="F348" s="3" t="s">
        <v>3147</v>
      </c>
      <c r="G348" s="3" t="s">
        <v>3148</v>
      </c>
      <c r="H348" s="3" t="s">
        <v>17</v>
      </c>
      <c r="I348" s="3" t="s">
        <v>3152</v>
      </c>
      <c r="J348" t="s">
        <v>3153</v>
      </c>
      <c r="K348" s="147"/>
      <c r="L348" s="3">
        <v>1</v>
      </c>
      <c r="N348" s="148">
        <v>4989</v>
      </c>
      <c r="Q348" s="148">
        <v>891</v>
      </c>
      <c r="R348" s="148">
        <f>Table242[[#This Row],[Material Unit Price]]+Table242[[#This Row],[Labor Unit Price]]+Table242[[#This Row],[GC + Manage+ Insur]]</f>
        <v>5880</v>
      </c>
      <c r="S348" s="148">
        <f>Table242[[#This Row],[Total Per Tool]]*Table242[[#This Row],[Tool QTY]]</f>
        <v>5880</v>
      </c>
      <c r="U348" s="149"/>
      <c r="W348" s="3"/>
      <c r="X34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5880</v>
      </c>
      <c r="Y348" s="150">
        <f>Table242[[#This Row],[Total AR (Received)]]/Table242[[#This Row],[PO Amount]]</f>
        <v>1</v>
      </c>
      <c r="Z348" s="151">
        <f>Table242[[#This Row],[PO Amount]]-Table242[[#This Row],[Total AR (Received)]]</f>
        <v>0</v>
      </c>
      <c r="AA348" s="151"/>
      <c r="AB348" s="151"/>
      <c r="AC348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48"/>
      <c r="AE348"/>
      <c r="AF348" s="148"/>
      <c r="AH348" s="2"/>
      <c r="AZ348" s="168">
        <v>5880</v>
      </c>
      <c r="BB348"/>
      <c r="BC348"/>
      <c r="BD348" s="154" t="s">
        <v>550</v>
      </c>
      <c r="BE348" s="2"/>
      <c r="BF348"/>
      <c r="BG348"/>
      <c r="BH348"/>
      <c r="BI348"/>
      <c r="BJ348"/>
      <c r="BK348"/>
      <c r="BL348"/>
      <c r="BM348"/>
      <c r="BN348"/>
      <c r="BO348"/>
      <c r="BP348"/>
      <c r="BQ348"/>
      <c r="BR348" s="158">
        <f t="shared" si="5"/>
        <v>5880</v>
      </c>
    </row>
    <row r="349" spans="2:73" ht="14.45" hidden="1">
      <c r="B349" s="3" t="s">
        <v>49</v>
      </c>
      <c r="C349" s="3" t="s">
        <v>3145</v>
      </c>
      <c r="D349" s="3" t="s">
        <v>3154</v>
      </c>
      <c r="E349" s="3">
        <v>65</v>
      </c>
      <c r="F349" s="3" t="s">
        <v>3147</v>
      </c>
      <c r="G349" s="3" t="s">
        <v>3148</v>
      </c>
      <c r="H349" s="3" t="s">
        <v>17</v>
      </c>
      <c r="I349" s="3" t="s">
        <v>3155</v>
      </c>
      <c r="J349" t="s">
        <v>3156</v>
      </c>
      <c r="K349" s="147"/>
      <c r="L349" s="3">
        <v>1</v>
      </c>
      <c r="N349" s="148">
        <v>9025</v>
      </c>
      <c r="Q349" s="148">
        <v>1613</v>
      </c>
      <c r="R349" s="148">
        <f>Table242[[#This Row],[Material Unit Price]]+Table242[[#This Row],[Labor Unit Price]]+Table242[[#This Row],[GC + Manage+ Insur]]</f>
        <v>10638</v>
      </c>
      <c r="S349" s="148">
        <f>Table242[[#This Row],[Total Per Tool]]*Table242[[#This Row],[Tool QTY]]</f>
        <v>10638</v>
      </c>
      <c r="U349" s="149">
        <v>44895</v>
      </c>
      <c r="W349" s="3" t="s">
        <v>3083</v>
      </c>
      <c r="X34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10638</v>
      </c>
      <c r="Y349" s="150">
        <f>Table242[[#This Row],[Total AR (Received)]]/Table242[[#This Row],[PO Amount]]</f>
        <v>1</v>
      </c>
      <c r="Z349" s="151">
        <f>Table242[[#This Row],[PO Amount]]-Table242[[#This Row],[Total AR (Received)]]</f>
        <v>0</v>
      </c>
      <c r="AA349" s="151"/>
      <c r="AB349" s="151"/>
      <c r="AC349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49"/>
      <c r="AE349"/>
      <c r="AF349" s="148"/>
      <c r="AH349" s="2"/>
      <c r="AZ349" s="168">
        <v>10638</v>
      </c>
      <c r="BB349"/>
      <c r="BC349"/>
      <c r="BD349" s="154" t="s">
        <v>550</v>
      </c>
      <c r="BE349" s="2"/>
      <c r="BF349"/>
      <c r="BG349"/>
      <c r="BH349"/>
      <c r="BI349"/>
      <c r="BJ349"/>
      <c r="BK349"/>
      <c r="BL349"/>
      <c r="BM349"/>
      <c r="BN349"/>
      <c r="BO349"/>
      <c r="BP349"/>
      <c r="BQ349"/>
      <c r="BR349" s="158">
        <f t="shared" si="5"/>
        <v>10638</v>
      </c>
    </row>
    <row r="350" spans="2:73" ht="14.45" hidden="1">
      <c r="B350" s="3" t="s">
        <v>49</v>
      </c>
      <c r="C350" s="3" t="s">
        <v>3145</v>
      </c>
      <c r="D350" s="3" t="s">
        <v>3157</v>
      </c>
      <c r="E350" s="3">
        <v>74</v>
      </c>
      <c r="F350" s="3" t="s">
        <v>3147</v>
      </c>
      <c r="G350" s="3" t="s">
        <v>3148</v>
      </c>
      <c r="H350" s="3" t="s">
        <v>17</v>
      </c>
      <c r="I350" s="3" t="s">
        <v>3158</v>
      </c>
      <c r="J350" t="s">
        <v>3159</v>
      </c>
      <c r="K350" s="147" t="s">
        <v>3052</v>
      </c>
      <c r="L350" s="3">
        <v>1</v>
      </c>
      <c r="M350" s="148">
        <v>4039</v>
      </c>
      <c r="N350" s="148">
        <v>9821</v>
      </c>
      <c r="Q350" s="148">
        <v>2477</v>
      </c>
      <c r="R350" s="148">
        <f>Table242[[#This Row],[Material Unit Price]]+Table242[[#This Row],[Labor Unit Price]]+Table242[[#This Row],[GC + Manage+ Insur]]</f>
        <v>16337</v>
      </c>
      <c r="S350" s="148">
        <f>Table242[[#This Row],[Total Per Tool]]*Table242[[#This Row],[Tool QTY]]</f>
        <v>16337</v>
      </c>
      <c r="U350" s="149">
        <v>44895</v>
      </c>
      <c r="W350" s="3" t="s">
        <v>3083</v>
      </c>
      <c r="X35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16337</v>
      </c>
      <c r="Y350" s="150">
        <f>Table242[[#This Row],[Total AR (Received)]]/Table242[[#This Row],[PO Amount]]</f>
        <v>1</v>
      </c>
      <c r="Z350" s="151">
        <f>Table242[[#This Row],[PO Amount]]-Table242[[#This Row],[Total AR (Received)]]</f>
        <v>0</v>
      </c>
      <c r="AA350" s="152">
        <v>1</v>
      </c>
      <c r="AB350" s="152">
        <v>0</v>
      </c>
      <c r="AC350" s="152">
        <f>SUM(Table242[[#This Row],[Total M%]]*Table242[[#This Row],[Material Unit Price]],Table242[[#This Row],[Total L %]]*Table242[[#This Row],[Labor Unit Price]])/SUM(Table242[[#This Row],[Material Unit Price]:[Labor Unit Price]])</f>
        <v>0.2914141414141414</v>
      </c>
      <c r="AD350"/>
      <c r="AE350"/>
      <c r="AF350" s="148"/>
      <c r="AH350" s="2"/>
      <c r="AI350" s="2"/>
      <c r="AJ350" s="182">
        <v>4760.84</v>
      </c>
      <c r="AR350" s="168">
        <f>Table242[[#This Row],[Total Per Tool]]-Table242[[#This Row],[23-May draft]]</f>
        <v>11576.16</v>
      </c>
      <c r="BB350"/>
      <c r="BC350"/>
      <c r="BD350" s="154" t="s">
        <v>550</v>
      </c>
      <c r="BE350" s="2"/>
      <c r="BF350"/>
      <c r="BG350"/>
      <c r="BH350"/>
      <c r="BI350"/>
      <c r="BJ350"/>
      <c r="BK350"/>
      <c r="BL350"/>
      <c r="BM350"/>
      <c r="BN350"/>
      <c r="BO350"/>
      <c r="BP350"/>
      <c r="BQ350"/>
      <c r="BR350" s="158">
        <f t="shared" si="5"/>
        <v>16337</v>
      </c>
      <c r="BU350" s="159">
        <f>Table242[[#This Row],[Total]]</f>
        <v>16337</v>
      </c>
    </row>
    <row r="351" spans="2:73" ht="14.45" hidden="1">
      <c r="B351" s="3" t="s">
        <v>49</v>
      </c>
      <c r="C351" s="3" t="s">
        <v>3145</v>
      </c>
      <c r="D351" s="3" t="s">
        <v>3160</v>
      </c>
      <c r="E351" s="3">
        <v>85</v>
      </c>
      <c r="F351" s="3" t="s">
        <v>3147</v>
      </c>
      <c r="G351" s="3" t="s">
        <v>3148</v>
      </c>
      <c r="H351" s="3" t="s">
        <v>17</v>
      </c>
      <c r="I351" s="3" t="s">
        <v>3161</v>
      </c>
      <c r="J351" t="s">
        <v>3162</v>
      </c>
      <c r="K351" s="147"/>
      <c r="L351" s="3">
        <v>1</v>
      </c>
      <c r="M351" s="148">
        <v>2534</v>
      </c>
      <c r="N351" s="148">
        <v>4164</v>
      </c>
      <c r="Q351" s="148">
        <v>1197</v>
      </c>
      <c r="R351" s="148">
        <f>Table242[[#This Row],[Material Unit Price]]+Table242[[#This Row],[Labor Unit Price]]+Table242[[#This Row],[GC + Manage+ Insur]]</f>
        <v>7895</v>
      </c>
      <c r="S351" s="148">
        <f>Table242[[#This Row],[Total Per Tool]]*Table242[[#This Row],[Tool QTY]]</f>
        <v>7895</v>
      </c>
      <c r="U351" s="149"/>
      <c r="W351" s="3"/>
      <c r="X35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7895</v>
      </c>
      <c r="Y351" s="150">
        <f>Table242[[#This Row],[Total AR (Received)]]/Table242[[#This Row],[PO Amount]]</f>
        <v>1</v>
      </c>
      <c r="Z351" s="151">
        <f>Table242[[#This Row],[PO Amount]]-Table242[[#This Row],[Total AR (Received)]]</f>
        <v>0</v>
      </c>
      <c r="AA351" s="152">
        <v>1</v>
      </c>
      <c r="AB351" s="152">
        <v>0</v>
      </c>
      <c r="AC351" s="152">
        <f>SUM(Table242[[#This Row],[Total M%]]*Table242[[#This Row],[Material Unit Price]],Table242[[#This Row],[Total L %]]*Table242[[#This Row],[Labor Unit Price]])/SUM(Table242[[#This Row],[Material Unit Price]:[Labor Unit Price]])</f>
        <v>0.3783218871304867</v>
      </c>
      <c r="AD351"/>
      <c r="AE351"/>
      <c r="AF351" s="148"/>
      <c r="AH351" s="2"/>
      <c r="AI351" s="2"/>
      <c r="AJ351" s="182">
        <v>2986.61</v>
      </c>
      <c r="AZ351" s="168">
        <v>4908.3899999999994</v>
      </c>
      <c r="BB351"/>
      <c r="BC351"/>
      <c r="BD351" s="154" t="s">
        <v>550</v>
      </c>
      <c r="BE351" s="2"/>
      <c r="BF351"/>
      <c r="BG351"/>
      <c r="BH351"/>
      <c r="BI351"/>
      <c r="BJ351"/>
      <c r="BK351"/>
      <c r="BL351"/>
      <c r="BM351"/>
      <c r="BN351"/>
      <c r="BO351"/>
      <c r="BP351"/>
      <c r="BQ351"/>
      <c r="BR351" s="158">
        <f t="shared" si="5"/>
        <v>7895</v>
      </c>
    </row>
    <row r="352" spans="2:73" ht="14.45" hidden="1">
      <c r="B352" s="3" t="s">
        <v>49</v>
      </c>
      <c r="C352" s="3" t="s">
        <v>3145</v>
      </c>
      <c r="D352" s="3" t="s">
        <v>3163</v>
      </c>
      <c r="E352" s="3">
        <v>88</v>
      </c>
      <c r="F352" s="3" t="s">
        <v>3147</v>
      </c>
      <c r="G352" s="3" t="s">
        <v>3148</v>
      </c>
      <c r="H352" s="3" t="s">
        <v>17</v>
      </c>
      <c r="I352" s="3" t="s">
        <v>3164</v>
      </c>
      <c r="J352" t="s">
        <v>3165</v>
      </c>
      <c r="K352" s="147" t="s">
        <v>3052</v>
      </c>
      <c r="L352" s="3">
        <v>1</v>
      </c>
      <c r="M352" s="148">
        <v>1400</v>
      </c>
      <c r="N352" s="148">
        <v>15236</v>
      </c>
      <c r="Q352" s="148">
        <v>2974</v>
      </c>
      <c r="R352" s="148">
        <f>Table242[[#This Row],[Material Unit Price]]+Table242[[#This Row],[Labor Unit Price]]+Table242[[#This Row],[GC + Manage+ Insur]]</f>
        <v>19610</v>
      </c>
      <c r="S352" s="148">
        <f>Table242[[#This Row],[Total Per Tool]]*Table242[[#This Row],[Tool QTY]]</f>
        <v>19610</v>
      </c>
      <c r="U352" s="149">
        <v>44895</v>
      </c>
      <c r="W352" s="3" t="s">
        <v>3083</v>
      </c>
      <c r="X35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19610</v>
      </c>
      <c r="Y352" s="150">
        <f>Table242[[#This Row],[Total AR (Received)]]/Table242[[#This Row],[PO Amount]]</f>
        <v>1</v>
      </c>
      <c r="Z352" s="151">
        <f>Table242[[#This Row],[PO Amount]]-Table242[[#This Row],[Total AR (Received)]]</f>
        <v>0</v>
      </c>
      <c r="AA352" s="152">
        <v>1</v>
      </c>
      <c r="AB352" s="152">
        <v>0</v>
      </c>
      <c r="AC352" s="152">
        <f>SUM(Table242[[#This Row],[Total M%]]*Table242[[#This Row],[Material Unit Price]],Table242[[#This Row],[Total L %]]*Table242[[#This Row],[Labor Unit Price]])/SUM(Table242[[#This Row],[Material Unit Price]:[Labor Unit Price]])</f>
        <v>8.4154844914642937E-2</v>
      </c>
      <c r="AD352"/>
      <c r="AE352"/>
      <c r="AF352" s="148"/>
      <c r="AH352" s="2"/>
      <c r="AI352" s="2"/>
      <c r="AJ352" s="182">
        <v>1650.25</v>
      </c>
      <c r="AR352" s="168">
        <f>Table242[[#This Row],[Total Per Tool]]-Table242[[#This Row],[23-May draft]]</f>
        <v>17959.75</v>
      </c>
      <c r="BB352"/>
      <c r="BC352"/>
      <c r="BD352" s="154" t="s">
        <v>550</v>
      </c>
      <c r="BE352" s="2"/>
      <c r="BF352"/>
      <c r="BG352"/>
      <c r="BH352"/>
      <c r="BI352"/>
      <c r="BJ352"/>
      <c r="BK352"/>
      <c r="BL352"/>
      <c r="BM352"/>
      <c r="BN352"/>
      <c r="BO352"/>
      <c r="BP352"/>
      <c r="BQ352"/>
      <c r="BR352" s="158">
        <f t="shared" si="5"/>
        <v>19610</v>
      </c>
      <c r="BU352" s="159">
        <f>Table242[[#This Row],[Total]]</f>
        <v>19610</v>
      </c>
    </row>
    <row r="353" spans="2:73" ht="14.45" hidden="1">
      <c r="B353" s="3" t="s">
        <v>49</v>
      </c>
      <c r="C353" s="3" t="s">
        <v>3145</v>
      </c>
      <c r="D353" s="3" t="s">
        <v>3166</v>
      </c>
      <c r="E353" s="3">
        <v>92</v>
      </c>
      <c r="F353" s="3" t="s">
        <v>3147</v>
      </c>
      <c r="G353" s="3" t="s">
        <v>3148</v>
      </c>
      <c r="H353" s="3" t="s">
        <v>17</v>
      </c>
      <c r="I353" s="3" t="s">
        <v>3167</v>
      </c>
      <c r="J353" t="s">
        <v>3168</v>
      </c>
      <c r="K353" s="147" t="s">
        <v>3052</v>
      </c>
      <c r="L353" s="3">
        <v>1</v>
      </c>
      <c r="M353" s="148">
        <v>6230</v>
      </c>
      <c r="N353" s="148">
        <v>10461</v>
      </c>
      <c r="Q353" s="148">
        <v>2983</v>
      </c>
      <c r="R353" s="148">
        <f>Table242[[#This Row],[Material Unit Price]]+Table242[[#This Row],[Labor Unit Price]]+Table242[[#This Row],[GC + Manage+ Insur]]</f>
        <v>19674</v>
      </c>
      <c r="S353" s="148">
        <f>Table242[[#This Row],[Total Per Tool]]*Table242[[#This Row],[Tool QTY]]</f>
        <v>19674</v>
      </c>
      <c r="U353" s="149">
        <v>44895</v>
      </c>
      <c r="W353" s="3" t="s">
        <v>3083</v>
      </c>
      <c r="X35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19674</v>
      </c>
      <c r="Y353" s="150">
        <f>Table242[[#This Row],[Total AR (Received)]]/Table242[[#This Row],[PO Amount]]</f>
        <v>1</v>
      </c>
      <c r="Z353" s="151">
        <f>Table242[[#This Row],[PO Amount]]-Table242[[#This Row],[Total AR (Received)]]</f>
        <v>0</v>
      </c>
      <c r="AA353" s="152">
        <v>1</v>
      </c>
      <c r="AB353" s="152">
        <v>0</v>
      </c>
      <c r="AC353" s="152">
        <f>SUM(Table242[[#This Row],[Total M%]]*Table242[[#This Row],[Material Unit Price]],Table242[[#This Row],[Total L %]]*Table242[[#This Row],[Labor Unit Price]])/SUM(Table242[[#This Row],[Material Unit Price]:[Labor Unit Price]])</f>
        <v>0.37325504763045952</v>
      </c>
      <c r="AD353"/>
      <c r="AE353"/>
      <c r="AF353" s="148"/>
      <c r="AH353" s="2"/>
      <c r="AI353" s="2"/>
      <c r="AJ353" s="182">
        <v>7343.42</v>
      </c>
      <c r="AR353" s="168">
        <f>Table242[[#This Row],[Total Per Tool]]-Table242[[#This Row],[23-May draft]]</f>
        <v>12330.58</v>
      </c>
      <c r="BB353"/>
      <c r="BC353"/>
      <c r="BD353" s="154" t="s">
        <v>550</v>
      </c>
      <c r="BE353" s="2"/>
      <c r="BF353"/>
      <c r="BG353"/>
      <c r="BH353"/>
      <c r="BI353"/>
      <c r="BJ353"/>
      <c r="BK353"/>
      <c r="BL353"/>
      <c r="BM353"/>
      <c r="BN353"/>
      <c r="BO353"/>
      <c r="BP353"/>
      <c r="BQ353"/>
      <c r="BR353" s="158">
        <f t="shared" si="5"/>
        <v>19674</v>
      </c>
      <c r="BU353" s="159">
        <f>Table242[[#This Row],[Total]]</f>
        <v>19674</v>
      </c>
    </row>
    <row r="354" spans="2:73" ht="14.45" hidden="1">
      <c r="B354" s="3" t="s">
        <v>49</v>
      </c>
      <c r="C354" s="3" t="s">
        <v>3145</v>
      </c>
      <c r="D354" s="3" t="s">
        <v>3169</v>
      </c>
      <c r="E354" s="3">
        <v>1</v>
      </c>
      <c r="F354" s="3" t="s">
        <v>3147</v>
      </c>
      <c r="G354" s="3" t="s">
        <v>3148</v>
      </c>
      <c r="H354" s="3" t="s">
        <v>17</v>
      </c>
      <c r="I354" s="3" t="s">
        <v>3170</v>
      </c>
      <c r="J354" t="s">
        <v>3171</v>
      </c>
      <c r="K354" s="147"/>
      <c r="L354" s="3">
        <v>1</v>
      </c>
      <c r="N354" s="148">
        <v>7376</v>
      </c>
      <c r="Q354" s="148">
        <v>1319</v>
      </c>
      <c r="R354" s="148">
        <f>Table242[[#This Row],[Material Unit Price]]+Table242[[#This Row],[Labor Unit Price]]+Table242[[#This Row],[GC + Manage+ Insur]]</f>
        <v>8695</v>
      </c>
      <c r="S354" s="148">
        <f>Table242[[#This Row],[Total Per Tool]]*Table242[[#This Row],[Tool QTY]]</f>
        <v>8695</v>
      </c>
      <c r="U354" s="149">
        <v>44895</v>
      </c>
      <c r="W354" s="3" t="s">
        <v>3083</v>
      </c>
      <c r="X35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8695</v>
      </c>
      <c r="Y354" s="150">
        <f>Table242[[#This Row],[Total AR (Received)]]/Table242[[#This Row],[PO Amount]]</f>
        <v>1</v>
      </c>
      <c r="Z354" s="151">
        <f>Table242[[#This Row],[PO Amount]]-Table242[[#This Row],[Total AR (Received)]]</f>
        <v>0</v>
      </c>
      <c r="AA354" s="152"/>
      <c r="AB354" s="152"/>
      <c r="AC354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54"/>
      <c r="AE354"/>
      <c r="AF354" s="148"/>
      <c r="AH354" s="2"/>
      <c r="BB354"/>
      <c r="BC354"/>
      <c r="BD354" s="154" t="s">
        <v>550</v>
      </c>
      <c r="BE354" s="2"/>
      <c r="BF354"/>
      <c r="BG354"/>
      <c r="BH354"/>
      <c r="BI354"/>
      <c r="BJ354" s="319">
        <v>8695</v>
      </c>
      <c r="BK354"/>
      <c r="BL354"/>
      <c r="BM354"/>
      <c r="BN354"/>
      <c r="BO354"/>
      <c r="BP354"/>
      <c r="BQ354"/>
      <c r="BR354" s="187">
        <f t="shared" si="5"/>
        <v>0</v>
      </c>
    </row>
    <row r="355" spans="2:73" ht="14.45" hidden="1">
      <c r="B355" s="3" t="s">
        <v>49</v>
      </c>
      <c r="C355" s="3" t="s">
        <v>3145</v>
      </c>
      <c r="D355" s="3" t="s">
        <v>3172</v>
      </c>
      <c r="E355" s="3">
        <v>2</v>
      </c>
      <c r="F355" s="3" t="s">
        <v>3147</v>
      </c>
      <c r="G355" s="3" t="s">
        <v>3148</v>
      </c>
      <c r="H355" s="3" t="s">
        <v>17</v>
      </c>
      <c r="I355" s="3" t="s">
        <v>3173</v>
      </c>
      <c r="J355" t="s">
        <v>3171</v>
      </c>
      <c r="K355" s="147"/>
      <c r="L355" s="3">
        <v>1</v>
      </c>
      <c r="N355" s="148">
        <v>7376</v>
      </c>
      <c r="Q355" s="148">
        <v>1319</v>
      </c>
      <c r="R355" s="148">
        <f>Table242[[#This Row],[Material Unit Price]]+Table242[[#This Row],[Labor Unit Price]]+Table242[[#This Row],[GC + Manage+ Insur]]</f>
        <v>8695</v>
      </c>
      <c r="S355" s="148">
        <f>Table242[[#This Row],[Total Per Tool]]*Table242[[#This Row],[Tool QTY]]</f>
        <v>8695</v>
      </c>
      <c r="U355" s="149"/>
      <c r="W355" s="3"/>
      <c r="X35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8695</v>
      </c>
      <c r="Y355" s="150">
        <f>Table242[[#This Row],[Total AR (Received)]]/Table242[[#This Row],[PO Amount]]</f>
        <v>1</v>
      </c>
      <c r="Z355" s="151">
        <f>Table242[[#This Row],[PO Amount]]-Table242[[#This Row],[Total AR (Received)]]</f>
        <v>0</v>
      </c>
      <c r="AA355" s="151"/>
      <c r="AB355" s="151"/>
      <c r="AC355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55"/>
      <c r="AE355"/>
      <c r="AF355" s="148"/>
      <c r="AH355" s="2"/>
      <c r="BB355"/>
      <c r="BC355"/>
      <c r="BD355" s="154" t="s">
        <v>550</v>
      </c>
      <c r="BE355" s="2"/>
      <c r="BF355"/>
      <c r="BG355"/>
      <c r="BH355"/>
      <c r="BI355"/>
      <c r="BJ355" s="169">
        <v>8695</v>
      </c>
      <c r="BK355"/>
      <c r="BL355"/>
      <c r="BM355"/>
      <c r="BN355"/>
      <c r="BO355"/>
      <c r="BP355"/>
      <c r="BQ355"/>
      <c r="BR355" s="187">
        <f t="shared" si="5"/>
        <v>0</v>
      </c>
    </row>
    <row r="356" spans="2:73" ht="14.45" hidden="1">
      <c r="B356" s="3" t="s">
        <v>49</v>
      </c>
      <c r="C356" s="3" t="s">
        <v>3145</v>
      </c>
      <c r="D356" s="3" t="s">
        <v>3174</v>
      </c>
      <c r="E356" s="3">
        <v>5</v>
      </c>
      <c r="F356" s="3" t="s">
        <v>3147</v>
      </c>
      <c r="G356" s="3" t="s">
        <v>3148</v>
      </c>
      <c r="H356" s="3" t="s">
        <v>17</v>
      </c>
      <c r="I356" s="3" t="s">
        <v>3175</v>
      </c>
      <c r="J356" t="s">
        <v>3171</v>
      </c>
      <c r="K356" s="147"/>
      <c r="L356" s="3">
        <v>1</v>
      </c>
      <c r="N356" s="148">
        <v>7376</v>
      </c>
      <c r="Q356" s="148">
        <v>1319</v>
      </c>
      <c r="R356" s="148">
        <f>Table242[[#This Row],[Material Unit Price]]+Table242[[#This Row],[Labor Unit Price]]+Table242[[#This Row],[GC + Manage+ Insur]]</f>
        <v>8695</v>
      </c>
      <c r="S356" s="148">
        <f>Table242[[#This Row],[Total Per Tool]]*Table242[[#This Row],[Tool QTY]]</f>
        <v>8695</v>
      </c>
      <c r="U356" s="149"/>
      <c r="W356" s="3"/>
      <c r="X35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8695</v>
      </c>
      <c r="Y356" s="150">
        <f>Table242[[#This Row],[Total AR (Received)]]/Table242[[#This Row],[PO Amount]]</f>
        <v>1</v>
      </c>
      <c r="Z356" s="151">
        <f>Table242[[#This Row],[PO Amount]]-Table242[[#This Row],[Total AR (Received)]]</f>
        <v>0</v>
      </c>
      <c r="AA356" s="151"/>
      <c r="AB356" s="151"/>
      <c r="AC356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56"/>
      <c r="AE356"/>
      <c r="AF356" s="148"/>
      <c r="AH356" s="2"/>
      <c r="BB356"/>
      <c r="BC356"/>
      <c r="BD356" s="154" t="s">
        <v>550</v>
      </c>
      <c r="BE356" s="2"/>
      <c r="BF356"/>
      <c r="BG356"/>
      <c r="BH356"/>
      <c r="BI356"/>
      <c r="BJ356" s="169">
        <v>8695</v>
      </c>
      <c r="BK356"/>
      <c r="BL356"/>
      <c r="BM356"/>
      <c r="BN356"/>
      <c r="BO356"/>
      <c r="BP356"/>
      <c r="BQ356"/>
      <c r="BR356" s="187">
        <f t="shared" si="5"/>
        <v>0</v>
      </c>
    </row>
    <row r="357" spans="2:73" ht="14.45" hidden="1">
      <c r="B357" s="3" t="s">
        <v>49</v>
      </c>
      <c r="C357" s="3" t="s">
        <v>3145</v>
      </c>
      <c r="D357" s="3" t="s">
        <v>3176</v>
      </c>
      <c r="E357" s="3">
        <v>6</v>
      </c>
      <c r="F357" s="3" t="s">
        <v>3147</v>
      </c>
      <c r="G357" s="3" t="s">
        <v>3148</v>
      </c>
      <c r="H357" s="3" t="s">
        <v>17</v>
      </c>
      <c r="I357" s="3" t="s">
        <v>3177</v>
      </c>
      <c r="J357" t="s">
        <v>3171</v>
      </c>
      <c r="K357" s="147"/>
      <c r="L357" s="3">
        <v>1</v>
      </c>
      <c r="N357" s="148">
        <v>7376</v>
      </c>
      <c r="Q357" s="148">
        <v>1319</v>
      </c>
      <c r="R357" s="148">
        <f>Table242[[#This Row],[Material Unit Price]]+Table242[[#This Row],[Labor Unit Price]]+Table242[[#This Row],[GC + Manage+ Insur]]</f>
        <v>8695</v>
      </c>
      <c r="S357" s="148">
        <f>Table242[[#This Row],[Total Per Tool]]*Table242[[#This Row],[Tool QTY]]</f>
        <v>8695</v>
      </c>
      <c r="U357" s="149"/>
      <c r="W357" s="3"/>
      <c r="X35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57" s="150">
        <f>Table242[[#This Row],[Total AR (Received)]]/Table242[[#This Row],[PO Amount]]</f>
        <v>0</v>
      </c>
      <c r="Z357" s="151">
        <f>Table242[[#This Row],[PO Amount]]-Table242[[#This Row],[Total AR (Received)]]</f>
        <v>8695</v>
      </c>
      <c r="AA357" s="151"/>
      <c r="AB357" s="151"/>
      <c r="AC357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57"/>
      <c r="AE357"/>
      <c r="AF357" s="148"/>
      <c r="AH357" s="2"/>
      <c r="BB357"/>
      <c r="BC357"/>
      <c r="BD357" s="154" t="s">
        <v>550</v>
      </c>
      <c r="BE357" s="2"/>
      <c r="BF357"/>
      <c r="BG357"/>
      <c r="BH357"/>
      <c r="BI357"/>
      <c r="BJ357"/>
      <c r="BK357"/>
      <c r="BL357"/>
      <c r="BM357"/>
      <c r="BN357"/>
      <c r="BO357"/>
      <c r="BP357"/>
      <c r="BQ357"/>
      <c r="BR357" s="187">
        <f t="shared" si="5"/>
        <v>0</v>
      </c>
    </row>
    <row r="358" spans="2:73" ht="14.45" hidden="1">
      <c r="B358" s="3" t="s">
        <v>49</v>
      </c>
      <c r="C358" s="3" t="s">
        <v>3145</v>
      </c>
      <c r="D358" s="3" t="s">
        <v>3178</v>
      </c>
      <c r="E358" s="3">
        <v>7</v>
      </c>
      <c r="F358" s="3" t="s">
        <v>3147</v>
      </c>
      <c r="G358" s="3" t="s">
        <v>3148</v>
      </c>
      <c r="H358" s="3" t="s">
        <v>17</v>
      </c>
      <c r="I358" s="3" t="s">
        <v>3179</v>
      </c>
      <c r="J358" t="s">
        <v>3180</v>
      </c>
      <c r="K358" s="147"/>
      <c r="L358" s="3">
        <v>1</v>
      </c>
      <c r="N358" s="148">
        <v>2601</v>
      </c>
      <c r="Q358" s="148">
        <v>465</v>
      </c>
      <c r="R358" s="148">
        <f>Table242[[#This Row],[Material Unit Price]]+Table242[[#This Row],[Labor Unit Price]]+Table242[[#This Row],[GC + Manage+ Insur]]</f>
        <v>3066</v>
      </c>
      <c r="S358" s="148">
        <f>Table242[[#This Row],[Total Per Tool]]*Table242[[#This Row],[Tool QTY]]</f>
        <v>3066</v>
      </c>
      <c r="U358" s="149"/>
      <c r="W358" s="3"/>
      <c r="X35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58" s="150">
        <f>Table242[[#This Row],[Total AR (Received)]]/Table242[[#This Row],[PO Amount]]</f>
        <v>0</v>
      </c>
      <c r="Z358" s="151">
        <f>Table242[[#This Row],[PO Amount]]-Table242[[#This Row],[Total AR (Received)]]</f>
        <v>3066</v>
      </c>
      <c r="AA358" s="151"/>
      <c r="AB358" s="151"/>
      <c r="AC358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58"/>
      <c r="AE358"/>
      <c r="AF358" s="148"/>
      <c r="AH358" s="2"/>
      <c r="BB358"/>
      <c r="BC358"/>
      <c r="BD358" s="154" t="s">
        <v>550</v>
      </c>
      <c r="BE358" s="2"/>
      <c r="BF358"/>
      <c r="BG358"/>
      <c r="BH358"/>
      <c r="BI358"/>
      <c r="BJ358"/>
      <c r="BK358"/>
      <c r="BL358"/>
      <c r="BM358"/>
      <c r="BN358"/>
      <c r="BO358"/>
      <c r="BP358"/>
      <c r="BQ358"/>
      <c r="BR358" s="156">
        <f t="shared" si="5"/>
        <v>0</v>
      </c>
    </row>
    <row r="359" spans="2:73" ht="14.45" hidden="1">
      <c r="B359" s="3" t="s">
        <v>49</v>
      </c>
      <c r="C359" s="3" t="s">
        <v>3145</v>
      </c>
      <c r="D359" s="3" t="s">
        <v>3181</v>
      </c>
      <c r="E359" s="3">
        <v>8</v>
      </c>
      <c r="F359" s="3" t="s">
        <v>3147</v>
      </c>
      <c r="G359" s="3" t="s">
        <v>3148</v>
      </c>
      <c r="H359" s="3" t="s">
        <v>17</v>
      </c>
      <c r="I359" s="3" t="s">
        <v>3182</v>
      </c>
      <c r="J359" t="s">
        <v>3183</v>
      </c>
      <c r="K359" s="147"/>
      <c r="L359" s="3">
        <v>1</v>
      </c>
      <c r="N359" s="148">
        <v>2601</v>
      </c>
      <c r="Q359" s="148">
        <v>465</v>
      </c>
      <c r="R359" s="148">
        <f>Table242[[#This Row],[Material Unit Price]]+Table242[[#This Row],[Labor Unit Price]]+Table242[[#This Row],[GC + Manage+ Insur]]</f>
        <v>3066</v>
      </c>
      <c r="S359" s="148">
        <f>Table242[[#This Row],[Total Per Tool]]*Table242[[#This Row],[Tool QTY]]</f>
        <v>3066</v>
      </c>
      <c r="U359" s="149">
        <v>44895</v>
      </c>
      <c r="W359" s="3" t="s">
        <v>3083</v>
      </c>
      <c r="X35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3066</v>
      </c>
      <c r="Y359" s="150">
        <f>Table242[[#This Row],[Total AR (Received)]]/Table242[[#This Row],[PO Amount]]</f>
        <v>1</v>
      </c>
      <c r="Z359" s="151">
        <f>Table242[[#This Row],[PO Amount]]-Table242[[#This Row],[Total AR (Received)]]</f>
        <v>0</v>
      </c>
      <c r="AA359" s="151"/>
      <c r="AB359" s="151"/>
      <c r="AC359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59"/>
      <c r="AE359"/>
      <c r="AF359" s="148"/>
      <c r="AH359" s="2"/>
      <c r="BB359"/>
      <c r="BC359"/>
      <c r="BD359" s="154" t="s">
        <v>550</v>
      </c>
      <c r="BE359" s="2"/>
      <c r="BF359"/>
      <c r="BG359"/>
      <c r="BH359"/>
      <c r="BI359"/>
      <c r="BJ359" s="319">
        <v>3066</v>
      </c>
      <c r="BK359"/>
      <c r="BL359"/>
      <c r="BM359"/>
      <c r="BN359"/>
      <c r="BO359"/>
      <c r="BP359"/>
      <c r="BQ359"/>
      <c r="BR359" s="156">
        <f t="shared" si="5"/>
        <v>0</v>
      </c>
    </row>
    <row r="360" spans="2:73" ht="14.45" hidden="1">
      <c r="B360" s="3" t="s">
        <v>49</v>
      </c>
      <c r="C360" s="3" t="s">
        <v>3145</v>
      </c>
      <c r="D360" s="3" t="s">
        <v>3184</v>
      </c>
      <c r="E360" s="3">
        <v>10</v>
      </c>
      <c r="F360" s="3" t="s">
        <v>3147</v>
      </c>
      <c r="G360" s="3" t="s">
        <v>3148</v>
      </c>
      <c r="H360" s="3" t="s">
        <v>17</v>
      </c>
      <c r="I360" s="3" t="s">
        <v>3185</v>
      </c>
      <c r="J360" t="s">
        <v>3186</v>
      </c>
      <c r="K360" s="147"/>
      <c r="L360" s="3">
        <v>1</v>
      </c>
      <c r="N360" s="148">
        <v>782</v>
      </c>
      <c r="Q360" s="148">
        <v>139</v>
      </c>
      <c r="R360" s="148">
        <f>Table242[[#This Row],[Material Unit Price]]+Table242[[#This Row],[Labor Unit Price]]+Table242[[#This Row],[GC + Manage+ Insur]]</f>
        <v>921</v>
      </c>
      <c r="S360" s="148">
        <f>Table242[[#This Row],[Total Per Tool]]*Table242[[#This Row],[Tool QTY]]</f>
        <v>921</v>
      </c>
      <c r="U360" s="149"/>
      <c r="W360" s="3"/>
      <c r="X36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921</v>
      </c>
      <c r="Y360" s="150">
        <f>Table242[[#This Row],[Total AR (Received)]]/Table242[[#This Row],[PO Amount]]</f>
        <v>1</v>
      </c>
      <c r="Z360" s="151">
        <f>Table242[[#This Row],[PO Amount]]-Table242[[#This Row],[Total AR (Received)]]</f>
        <v>0</v>
      </c>
      <c r="AA360" s="151"/>
      <c r="AB360" s="151"/>
      <c r="AC360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60"/>
      <c r="AE360"/>
      <c r="AF360" s="148"/>
      <c r="AH360" s="2"/>
      <c r="BB360"/>
      <c r="BC360"/>
      <c r="BD360" s="154" t="s">
        <v>550</v>
      </c>
      <c r="BE360" s="2"/>
      <c r="BF360"/>
      <c r="BG360"/>
      <c r="BH360"/>
      <c r="BI360"/>
      <c r="BJ360"/>
      <c r="BK360"/>
      <c r="BL360"/>
      <c r="BM360"/>
      <c r="BN360"/>
      <c r="BO360"/>
      <c r="BP360">
        <v>921</v>
      </c>
      <c r="BQ360"/>
      <c r="BR360" s="156">
        <f t="shared" si="5"/>
        <v>0</v>
      </c>
    </row>
    <row r="361" spans="2:73" ht="14.45" hidden="1">
      <c r="B361" s="3" t="s">
        <v>49</v>
      </c>
      <c r="C361" s="3" t="s">
        <v>3145</v>
      </c>
      <c r="D361" s="3" t="s">
        <v>3187</v>
      </c>
      <c r="E361" s="3">
        <v>11</v>
      </c>
      <c r="F361" s="3" t="s">
        <v>3147</v>
      </c>
      <c r="G361" s="3" t="s">
        <v>3148</v>
      </c>
      <c r="H361" s="3" t="s">
        <v>17</v>
      </c>
      <c r="I361" s="3" t="s">
        <v>3188</v>
      </c>
      <c r="J361" t="s">
        <v>3186</v>
      </c>
      <c r="K361" s="147"/>
      <c r="L361" s="3">
        <v>1</v>
      </c>
      <c r="N361" s="148">
        <v>782</v>
      </c>
      <c r="Q361" s="148">
        <v>139</v>
      </c>
      <c r="R361" s="148">
        <f>Table242[[#This Row],[Material Unit Price]]+Table242[[#This Row],[Labor Unit Price]]+Table242[[#This Row],[GC + Manage+ Insur]]</f>
        <v>921</v>
      </c>
      <c r="S361" s="148">
        <f>Table242[[#This Row],[Total Per Tool]]*Table242[[#This Row],[Tool QTY]]</f>
        <v>921</v>
      </c>
      <c r="U361" s="149"/>
      <c r="W361" s="3"/>
      <c r="X36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61" s="150">
        <f>Table242[[#This Row],[Total AR (Received)]]/Table242[[#This Row],[PO Amount]]</f>
        <v>0</v>
      </c>
      <c r="Z361" s="151">
        <f>Table242[[#This Row],[PO Amount]]-Table242[[#This Row],[Total AR (Received)]]</f>
        <v>921</v>
      </c>
      <c r="AA361" s="151"/>
      <c r="AB361" s="151"/>
      <c r="AC361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61"/>
      <c r="AE361"/>
      <c r="AF361" s="148"/>
      <c r="AH361" s="2"/>
      <c r="BB361"/>
      <c r="BC361"/>
      <c r="BD361" s="154" t="s">
        <v>550</v>
      </c>
      <c r="BE361" s="2"/>
      <c r="BF361"/>
      <c r="BG361"/>
      <c r="BH361"/>
      <c r="BI361"/>
      <c r="BJ361"/>
      <c r="BK361"/>
      <c r="BL361"/>
      <c r="BM361"/>
      <c r="BN361"/>
      <c r="BO361"/>
      <c r="BP361"/>
      <c r="BQ361"/>
      <c r="BR361" s="156">
        <f t="shared" si="5"/>
        <v>0</v>
      </c>
    </row>
    <row r="362" spans="2:73" ht="14.45" hidden="1">
      <c r="B362" s="3" t="s">
        <v>49</v>
      </c>
      <c r="C362" s="3" t="s">
        <v>3145</v>
      </c>
      <c r="D362" s="3" t="s">
        <v>3189</v>
      </c>
      <c r="E362" s="3">
        <v>12</v>
      </c>
      <c r="F362" s="3" t="s">
        <v>3147</v>
      </c>
      <c r="G362" s="3" t="s">
        <v>3148</v>
      </c>
      <c r="H362" s="3" t="s">
        <v>17</v>
      </c>
      <c r="I362" s="3" t="s">
        <v>3190</v>
      </c>
      <c r="J362" t="s">
        <v>3191</v>
      </c>
      <c r="K362" s="147"/>
      <c r="L362" s="3">
        <v>1</v>
      </c>
      <c r="N362" s="148">
        <v>1407</v>
      </c>
      <c r="Q362" s="148">
        <v>252</v>
      </c>
      <c r="R362" s="148">
        <f>Table242[[#This Row],[Material Unit Price]]+Table242[[#This Row],[Labor Unit Price]]+Table242[[#This Row],[GC + Manage+ Insur]]</f>
        <v>1659</v>
      </c>
      <c r="S362" s="148">
        <f>Table242[[#This Row],[Total Per Tool]]*Table242[[#This Row],[Tool QTY]]</f>
        <v>1659</v>
      </c>
      <c r="U362" s="149"/>
      <c r="W362" s="3"/>
      <c r="X36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62" s="150">
        <f>Table242[[#This Row],[Total AR (Received)]]/Table242[[#This Row],[PO Amount]]</f>
        <v>0</v>
      </c>
      <c r="Z362" s="151">
        <f>Table242[[#This Row],[PO Amount]]-Table242[[#This Row],[Total AR (Received)]]</f>
        <v>1659</v>
      </c>
      <c r="AA362" s="151"/>
      <c r="AB362" s="151"/>
      <c r="AC362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62"/>
      <c r="AE362"/>
      <c r="AF362" s="148"/>
      <c r="AH362" s="2"/>
      <c r="BB362"/>
      <c r="BC362"/>
      <c r="BD362" s="154" t="s">
        <v>550</v>
      </c>
      <c r="BE362" s="2"/>
      <c r="BF362"/>
      <c r="BG362"/>
      <c r="BH362"/>
      <c r="BI362"/>
      <c r="BJ362"/>
      <c r="BK362"/>
      <c r="BL362"/>
      <c r="BM362"/>
      <c r="BN362"/>
      <c r="BO362"/>
      <c r="BP362"/>
      <c r="BQ362"/>
      <c r="BR362" s="156">
        <f t="shared" si="5"/>
        <v>0</v>
      </c>
    </row>
    <row r="363" spans="2:73" ht="14.45" hidden="1">
      <c r="B363" s="3" t="s">
        <v>49</v>
      </c>
      <c r="C363" s="3" t="s">
        <v>3145</v>
      </c>
      <c r="D363" s="3" t="s">
        <v>3192</v>
      </c>
      <c r="E363" s="3">
        <v>13</v>
      </c>
      <c r="F363" s="3" t="s">
        <v>3147</v>
      </c>
      <c r="G363" s="3" t="s">
        <v>3148</v>
      </c>
      <c r="H363" s="3" t="s">
        <v>17</v>
      </c>
      <c r="I363" s="3" t="s">
        <v>3193</v>
      </c>
      <c r="J363" t="s">
        <v>3150</v>
      </c>
      <c r="K363" s="147"/>
      <c r="L363" s="3">
        <v>1</v>
      </c>
      <c r="M363" s="151"/>
      <c r="N363" s="148">
        <v>3795</v>
      </c>
      <c r="Q363" s="148">
        <v>678</v>
      </c>
      <c r="R363" s="148">
        <f>Table242[[#This Row],[Material Unit Price]]+Table242[[#This Row],[Labor Unit Price]]+Table242[[#This Row],[GC + Manage+ Insur]]</f>
        <v>4473</v>
      </c>
      <c r="S363" s="148">
        <f>Table242[[#This Row],[Total Per Tool]]*Table242[[#This Row],[Tool QTY]]</f>
        <v>4473</v>
      </c>
      <c r="U363" s="149">
        <v>44895</v>
      </c>
      <c r="W363" s="3" t="s">
        <v>3083</v>
      </c>
      <c r="X36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4473</v>
      </c>
      <c r="Y363" s="150">
        <f>Table242[[#This Row],[Total AR (Received)]]/Table242[[#This Row],[PO Amount]]</f>
        <v>1</v>
      </c>
      <c r="Z363" s="151">
        <f>Table242[[#This Row],[PO Amount]]-Table242[[#This Row],[Total AR (Received)]]</f>
        <v>0</v>
      </c>
      <c r="AA363" s="151"/>
      <c r="AB363" s="151"/>
      <c r="AC363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63"/>
      <c r="AE363"/>
      <c r="AF363" s="148"/>
      <c r="AH363" s="2"/>
      <c r="BB363"/>
      <c r="BC363"/>
      <c r="BD363" s="154" t="s">
        <v>550</v>
      </c>
      <c r="BE363" s="2"/>
      <c r="BF363" s="169">
        <v>4473</v>
      </c>
      <c r="BG363"/>
      <c r="BH363"/>
      <c r="BI363"/>
      <c r="BJ363"/>
      <c r="BK363"/>
      <c r="BL363"/>
      <c r="BM363"/>
      <c r="BN363"/>
      <c r="BO363"/>
      <c r="BP363"/>
      <c r="BQ363"/>
      <c r="BR363" s="156">
        <f t="shared" si="5"/>
        <v>4473</v>
      </c>
    </row>
    <row r="364" spans="2:73" ht="14.45" hidden="1">
      <c r="B364" s="3" t="s">
        <v>49</v>
      </c>
      <c r="C364" s="3" t="s">
        <v>3145</v>
      </c>
      <c r="D364" s="3" t="s">
        <v>3194</v>
      </c>
      <c r="E364" s="3">
        <v>16</v>
      </c>
      <c r="F364" s="3" t="s">
        <v>3147</v>
      </c>
      <c r="G364" s="3" t="s">
        <v>3148</v>
      </c>
      <c r="H364" s="3" t="s">
        <v>17</v>
      </c>
      <c r="I364" s="3" t="s">
        <v>3195</v>
      </c>
      <c r="J364" t="s">
        <v>3150</v>
      </c>
      <c r="K364" s="147"/>
      <c r="L364" s="3">
        <v>1</v>
      </c>
      <c r="N364" s="148">
        <v>3795</v>
      </c>
      <c r="Q364" s="148">
        <v>678</v>
      </c>
      <c r="R364" s="148">
        <f>Table242[[#This Row],[Material Unit Price]]+Table242[[#This Row],[Labor Unit Price]]+Table242[[#This Row],[GC + Manage+ Insur]]</f>
        <v>4473</v>
      </c>
      <c r="S364" s="148">
        <f>Table242[[#This Row],[Total Per Tool]]*Table242[[#This Row],[Tool QTY]]</f>
        <v>4473</v>
      </c>
      <c r="U364" s="149"/>
      <c r="W364" s="3"/>
      <c r="X36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4473</v>
      </c>
      <c r="Y364" s="150">
        <f>Table242[[#This Row],[Total AR (Received)]]/Table242[[#This Row],[PO Amount]]</f>
        <v>1</v>
      </c>
      <c r="Z364" s="151">
        <f>Table242[[#This Row],[PO Amount]]-Table242[[#This Row],[Total AR (Received)]]</f>
        <v>0</v>
      </c>
      <c r="AA364" s="151"/>
      <c r="AB364" s="151"/>
      <c r="AC364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64"/>
      <c r="AE364"/>
      <c r="AF364" s="148"/>
      <c r="AH364" s="2"/>
      <c r="BB364"/>
      <c r="BC364"/>
      <c r="BD364" s="154" t="s">
        <v>550</v>
      </c>
      <c r="BE364" s="2"/>
      <c r="BF364" s="169">
        <v>4473</v>
      </c>
      <c r="BG364"/>
      <c r="BH364"/>
      <c r="BI364"/>
      <c r="BJ364"/>
      <c r="BK364"/>
      <c r="BL364"/>
      <c r="BM364"/>
      <c r="BN364"/>
      <c r="BO364"/>
      <c r="BP364"/>
      <c r="BQ364"/>
      <c r="BR364" s="156">
        <f t="shared" si="5"/>
        <v>4473</v>
      </c>
    </row>
    <row r="365" spans="2:73" ht="14.45" hidden="1">
      <c r="B365" s="3" t="s">
        <v>49</v>
      </c>
      <c r="C365" s="3" t="s">
        <v>3145</v>
      </c>
      <c r="D365" s="3" t="s">
        <v>3196</v>
      </c>
      <c r="E365" s="3">
        <v>19</v>
      </c>
      <c r="F365" s="3" t="s">
        <v>3147</v>
      </c>
      <c r="G365" s="3" t="s">
        <v>3148</v>
      </c>
      <c r="H365" s="3" t="s">
        <v>17</v>
      </c>
      <c r="I365" s="3" t="s">
        <v>3197</v>
      </c>
      <c r="J365" t="s">
        <v>3150</v>
      </c>
      <c r="K365" s="147"/>
      <c r="L365" s="3">
        <v>1</v>
      </c>
      <c r="N365" s="148">
        <v>3795</v>
      </c>
      <c r="Q365" s="148">
        <v>678</v>
      </c>
      <c r="R365" s="148">
        <f>Table242[[#This Row],[Material Unit Price]]+Table242[[#This Row],[Labor Unit Price]]+Table242[[#This Row],[GC + Manage+ Insur]]</f>
        <v>4473</v>
      </c>
      <c r="S365" s="148">
        <f>Table242[[#This Row],[Total Per Tool]]*Table242[[#This Row],[Tool QTY]]</f>
        <v>4473</v>
      </c>
      <c r="U365" s="149"/>
      <c r="W365" s="3"/>
      <c r="X36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4473</v>
      </c>
      <c r="Y365" s="150">
        <f>Table242[[#This Row],[Total AR (Received)]]/Table242[[#This Row],[PO Amount]]</f>
        <v>1</v>
      </c>
      <c r="Z365" s="151">
        <f>Table242[[#This Row],[PO Amount]]-Table242[[#This Row],[Total AR (Received)]]</f>
        <v>0</v>
      </c>
      <c r="AA365" s="151"/>
      <c r="AB365" s="151"/>
      <c r="AC365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65"/>
      <c r="AE365"/>
      <c r="AF365" s="148"/>
      <c r="AH365" s="2"/>
      <c r="BB365"/>
      <c r="BC365"/>
      <c r="BD365" s="154" t="s">
        <v>550</v>
      </c>
      <c r="BE365" s="2"/>
      <c r="BF365" s="169">
        <v>4473</v>
      </c>
      <c r="BG365"/>
      <c r="BH365"/>
      <c r="BI365"/>
      <c r="BJ365"/>
      <c r="BK365"/>
      <c r="BL365"/>
      <c r="BM365"/>
      <c r="BN365"/>
      <c r="BO365"/>
      <c r="BP365"/>
      <c r="BQ365"/>
      <c r="BR365" s="156">
        <f t="shared" si="5"/>
        <v>4473</v>
      </c>
    </row>
    <row r="366" spans="2:73" ht="14.45" hidden="1">
      <c r="B366" s="3" t="s">
        <v>49</v>
      </c>
      <c r="C366" s="3" t="s">
        <v>3145</v>
      </c>
      <c r="D366" s="3" t="s">
        <v>3198</v>
      </c>
      <c r="E366" s="3">
        <v>20</v>
      </c>
      <c r="F366" s="3" t="s">
        <v>3147</v>
      </c>
      <c r="G366" s="3" t="s">
        <v>3148</v>
      </c>
      <c r="H366" s="3" t="s">
        <v>17</v>
      </c>
      <c r="I366" s="3" t="s">
        <v>3199</v>
      </c>
      <c r="J366" t="s">
        <v>3150</v>
      </c>
      <c r="K366" s="147"/>
      <c r="L366" s="3">
        <v>1</v>
      </c>
      <c r="N366" s="148">
        <v>3795</v>
      </c>
      <c r="Q366" s="148">
        <v>678</v>
      </c>
      <c r="R366" s="148">
        <f>Table242[[#This Row],[Material Unit Price]]+Table242[[#This Row],[Labor Unit Price]]+Table242[[#This Row],[GC + Manage+ Insur]]</f>
        <v>4473</v>
      </c>
      <c r="S366" s="148">
        <f>Table242[[#This Row],[Total Per Tool]]*Table242[[#This Row],[Tool QTY]]</f>
        <v>4473</v>
      </c>
      <c r="U366" s="149"/>
      <c r="W366" s="3"/>
      <c r="X36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66" s="150">
        <f>Table242[[#This Row],[Total AR (Received)]]/Table242[[#This Row],[PO Amount]]</f>
        <v>0</v>
      </c>
      <c r="Z366" s="151">
        <f>Table242[[#This Row],[PO Amount]]-Table242[[#This Row],[Total AR (Received)]]</f>
        <v>4473</v>
      </c>
      <c r="AA366" s="151"/>
      <c r="AB366" s="151"/>
      <c r="AC366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66"/>
      <c r="AE366"/>
      <c r="AF366" s="148"/>
      <c r="AH366" s="2"/>
      <c r="BB366"/>
      <c r="BC366"/>
      <c r="BD366" s="154" t="s">
        <v>550</v>
      </c>
      <c r="BE366" s="2"/>
      <c r="BF366"/>
      <c r="BG366"/>
      <c r="BH366"/>
      <c r="BI366"/>
      <c r="BJ366"/>
      <c r="BK366"/>
      <c r="BL366"/>
      <c r="BM366"/>
      <c r="BN366"/>
      <c r="BO366"/>
      <c r="BP366"/>
      <c r="BQ366"/>
      <c r="BR366" s="156">
        <f t="shared" si="5"/>
        <v>0</v>
      </c>
    </row>
    <row r="367" spans="2:73" ht="14.45" hidden="1">
      <c r="B367" s="3" t="s">
        <v>49</v>
      </c>
      <c r="C367" s="3" t="s">
        <v>3145</v>
      </c>
      <c r="D367" s="3" t="s">
        <v>3200</v>
      </c>
      <c r="E367" s="3">
        <v>134</v>
      </c>
      <c r="F367" s="3" t="s">
        <v>3147</v>
      </c>
      <c r="G367" s="3" t="s">
        <v>3148</v>
      </c>
      <c r="H367" s="3" t="s">
        <v>17</v>
      </c>
      <c r="I367" s="3" t="s">
        <v>3201</v>
      </c>
      <c r="J367" t="s">
        <v>3202</v>
      </c>
      <c r="K367" s="147"/>
      <c r="L367" s="3">
        <v>1</v>
      </c>
      <c r="M367" s="148">
        <v>6607</v>
      </c>
      <c r="N367" s="148">
        <v>10773</v>
      </c>
      <c r="Q367" s="148">
        <v>3106</v>
      </c>
      <c r="R367" s="148">
        <f>Table242[[#This Row],[Material Unit Price]]+Table242[[#This Row],[Labor Unit Price]]+Table242[[#This Row],[GC + Manage+ Insur]]</f>
        <v>20486</v>
      </c>
      <c r="S367" s="148">
        <f>Table242[[#This Row],[Total Per Tool]]*Table242[[#This Row],[Tool QTY]]</f>
        <v>20486</v>
      </c>
      <c r="U367" s="149">
        <v>44895</v>
      </c>
      <c r="W367" s="3" t="s">
        <v>3083</v>
      </c>
      <c r="X36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20486</v>
      </c>
      <c r="Y367" s="150">
        <f>Table242[[#This Row],[Total AR (Received)]]/Table242[[#This Row],[PO Amount]]</f>
        <v>1</v>
      </c>
      <c r="Z367" s="151">
        <f>Table242[[#This Row],[PO Amount]]-Table242[[#This Row],[Total AR (Received)]]</f>
        <v>0</v>
      </c>
      <c r="AA367" s="152">
        <v>1</v>
      </c>
      <c r="AB367" s="152">
        <v>0</v>
      </c>
      <c r="AC367" s="152">
        <f>SUM(Table242[[#This Row],[Total M%]]*Table242[[#This Row],[Material Unit Price]],Table242[[#This Row],[Total L %]]*Table242[[#This Row],[Labor Unit Price]])/SUM(Table242[[#This Row],[Material Unit Price]:[Labor Unit Price]])</f>
        <v>0.38014959723820485</v>
      </c>
      <c r="AD367"/>
      <c r="AE367"/>
      <c r="AF367" s="148"/>
      <c r="AH367" s="2"/>
      <c r="AI367" s="2"/>
      <c r="AJ367" s="182">
        <v>7787.75</v>
      </c>
      <c r="AZ367" s="169">
        <v>12698.25</v>
      </c>
      <c r="BB367"/>
      <c r="BC367"/>
      <c r="BD367" s="154" t="s">
        <v>550</v>
      </c>
      <c r="BE367" s="2"/>
      <c r="BF367"/>
      <c r="BG367"/>
      <c r="BH367"/>
      <c r="BI367"/>
      <c r="BJ367"/>
      <c r="BK367"/>
      <c r="BL367"/>
      <c r="BM367"/>
      <c r="BN367"/>
      <c r="BO367"/>
      <c r="BP367"/>
      <c r="BQ367"/>
      <c r="BR367" s="158">
        <f t="shared" si="5"/>
        <v>20486</v>
      </c>
    </row>
    <row r="368" spans="2:73" ht="14.45" hidden="1">
      <c r="B368" s="3" t="s">
        <v>49</v>
      </c>
      <c r="C368" s="3" t="s">
        <v>3145</v>
      </c>
      <c r="D368" s="3" t="s">
        <v>3203</v>
      </c>
      <c r="E368" s="3">
        <v>26</v>
      </c>
      <c r="F368" s="3" t="s">
        <v>3147</v>
      </c>
      <c r="G368" s="3" t="s">
        <v>3148</v>
      </c>
      <c r="H368" s="3" t="s">
        <v>17</v>
      </c>
      <c r="I368" s="3" t="s">
        <v>3204</v>
      </c>
      <c r="J368" t="s">
        <v>3150</v>
      </c>
      <c r="K368" s="147"/>
      <c r="L368" s="3">
        <v>1</v>
      </c>
      <c r="N368" s="148">
        <v>3795</v>
      </c>
      <c r="Q368" s="148">
        <v>678</v>
      </c>
      <c r="R368" s="148">
        <f>Table242[[#This Row],[Material Unit Price]]+Table242[[#This Row],[Labor Unit Price]]+Table242[[#This Row],[GC + Manage+ Insur]]</f>
        <v>4473</v>
      </c>
      <c r="S368" s="148">
        <f>Table242[[#This Row],[Total Per Tool]]*Table242[[#This Row],[Tool QTY]]</f>
        <v>4473</v>
      </c>
      <c r="U368" s="149"/>
      <c r="W368" s="3"/>
      <c r="X36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4473</v>
      </c>
      <c r="Y368" s="150">
        <f>Table242[[#This Row],[Total AR (Received)]]/Table242[[#This Row],[PO Amount]]</f>
        <v>1</v>
      </c>
      <c r="Z368" s="151">
        <f>Table242[[#This Row],[PO Amount]]-Table242[[#This Row],[Total AR (Received)]]</f>
        <v>0</v>
      </c>
      <c r="AA368" s="151"/>
      <c r="AB368" s="151"/>
      <c r="AC368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68"/>
      <c r="AE368"/>
      <c r="AF368" s="148"/>
      <c r="AH368" s="2"/>
      <c r="BB368"/>
      <c r="BC368"/>
      <c r="BD368" s="154" t="s">
        <v>550</v>
      </c>
      <c r="BE368" s="2"/>
      <c r="BF368" s="169">
        <v>4473</v>
      </c>
      <c r="BG368"/>
      <c r="BH368"/>
      <c r="BI368"/>
      <c r="BJ368"/>
      <c r="BK368"/>
      <c r="BL368"/>
      <c r="BM368"/>
      <c r="BN368"/>
      <c r="BO368"/>
      <c r="BP368"/>
      <c r="BQ368"/>
      <c r="BR368" s="156">
        <f t="shared" si="5"/>
        <v>4473</v>
      </c>
    </row>
    <row r="369" spans="2:70" ht="14.45" hidden="1">
      <c r="B369" s="3" t="s">
        <v>49</v>
      </c>
      <c r="C369" s="3" t="s">
        <v>3145</v>
      </c>
      <c r="D369" s="3" t="s">
        <v>3205</v>
      </c>
      <c r="E369" s="3">
        <v>29</v>
      </c>
      <c r="F369" s="3" t="s">
        <v>3147</v>
      </c>
      <c r="G369" s="3" t="s">
        <v>3148</v>
      </c>
      <c r="H369" s="3" t="s">
        <v>17</v>
      </c>
      <c r="I369" s="3" t="s">
        <v>3206</v>
      </c>
      <c r="J369" t="s">
        <v>3150</v>
      </c>
      <c r="K369" s="147"/>
      <c r="L369" s="3">
        <v>1</v>
      </c>
      <c r="N369" s="148">
        <v>3795</v>
      </c>
      <c r="Q369" s="148">
        <v>678</v>
      </c>
      <c r="R369" s="148">
        <f>Table242[[#This Row],[Material Unit Price]]+Table242[[#This Row],[Labor Unit Price]]+Table242[[#This Row],[GC + Manage+ Insur]]</f>
        <v>4473</v>
      </c>
      <c r="S369" s="148">
        <f>Table242[[#This Row],[Total Per Tool]]*Table242[[#This Row],[Tool QTY]]</f>
        <v>4473</v>
      </c>
      <c r="U369" s="149"/>
      <c r="W369" s="3"/>
      <c r="X36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4473</v>
      </c>
      <c r="Y369" s="150">
        <f>Table242[[#This Row],[Total AR (Received)]]/Table242[[#This Row],[PO Amount]]</f>
        <v>1</v>
      </c>
      <c r="Z369" s="151">
        <f>Table242[[#This Row],[PO Amount]]-Table242[[#This Row],[Total AR (Received)]]</f>
        <v>0</v>
      </c>
      <c r="AA369" s="151"/>
      <c r="AB369" s="151"/>
      <c r="AC369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69"/>
      <c r="AE369"/>
      <c r="AF369" s="148"/>
      <c r="AH369" s="2"/>
      <c r="BB369"/>
      <c r="BC369"/>
      <c r="BD369" s="154" t="s">
        <v>550</v>
      </c>
      <c r="BE369" s="2"/>
      <c r="BF369" s="169">
        <v>4473</v>
      </c>
      <c r="BG369"/>
      <c r="BH369"/>
      <c r="BI369"/>
      <c r="BJ369"/>
      <c r="BK369"/>
      <c r="BL369"/>
      <c r="BM369"/>
      <c r="BN369"/>
      <c r="BO369"/>
      <c r="BP369"/>
      <c r="BQ369"/>
      <c r="BR369" s="156">
        <f t="shared" si="5"/>
        <v>4473</v>
      </c>
    </row>
    <row r="370" spans="2:70" ht="14.45" hidden="1">
      <c r="B370" s="3" t="s">
        <v>49</v>
      </c>
      <c r="C370" s="3" t="s">
        <v>3145</v>
      </c>
      <c r="D370" s="3" t="s">
        <v>3207</v>
      </c>
      <c r="E370" s="3">
        <v>31</v>
      </c>
      <c r="F370" s="3" t="s">
        <v>3147</v>
      </c>
      <c r="G370" s="3" t="s">
        <v>3148</v>
      </c>
      <c r="H370" s="3" t="s">
        <v>17</v>
      </c>
      <c r="I370" s="3" t="s">
        <v>3208</v>
      </c>
      <c r="J370" t="s">
        <v>3150</v>
      </c>
      <c r="K370" s="147"/>
      <c r="L370" s="3">
        <v>1</v>
      </c>
      <c r="M370" s="151"/>
      <c r="N370" s="148">
        <v>3795</v>
      </c>
      <c r="Q370" s="148">
        <v>678</v>
      </c>
      <c r="R370" s="148">
        <f>Table242[[#This Row],[Material Unit Price]]+Table242[[#This Row],[Labor Unit Price]]+Table242[[#This Row],[GC + Manage+ Insur]]</f>
        <v>4473</v>
      </c>
      <c r="S370" s="148">
        <f>Table242[[#This Row],[Total Per Tool]]*Table242[[#This Row],[Tool QTY]]</f>
        <v>4473</v>
      </c>
      <c r="U370" s="149"/>
      <c r="W370" s="3"/>
      <c r="X37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70" s="150">
        <f>Table242[[#This Row],[Total AR (Received)]]/Table242[[#This Row],[PO Amount]]</f>
        <v>0</v>
      </c>
      <c r="Z370" s="151">
        <f>Table242[[#This Row],[PO Amount]]-Table242[[#This Row],[Total AR (Received)]]</f>
        <v>4473</v>
      </c>
      <c r="AA370" s="151"/>
      <c r="AB370" s="151"/>
      <c r="AC370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70"/>
      <c r="AE370"/>
      <c r="AF370" s="148"/>
      <c r="AH370" s="2"/>
      <c r="BB370"/>
      <c r="BC370"/>
      <c r="BD370" s="154" t="s">
        <v>550</v>
      </c>
      <c r="BE370" s="2"/>
      <c r="BF370"/>
      <c r="BG370"/>
      <c r="BH370"/>
      <c r="BI370"/>
      <c r="BJ370"/>
      <c r="BK370"/>
      <c r="BL370"/>
      <c r="BM370"/>
      <c r="BN370"/>
      <c r="BO370"/>
      <c r="BP370"/>
      <c r="BQ370"/>
      <c r="BR370" s="156">
        <f t="shared" si="5"/>
        <v>0</v>
      </c>
    </row>
    <row r="371" spans="2:70" ht="14.45" hidden="1">
      <c r="B371" s="3" t="s">
        <v>49</v>
      </c>
      <c r="C371" s="3" t="s">
        <v>3145</v>
      </c>
      <c r="D371" s="3" t="s">
        <v>3209</v>
      </c>
      <c r="E371" s="3">
        <v>32</v>
      </c>
      <c r="F371" s="3" t="s">
        <v>3147</v>
      </c>
      <c r="G371" s="3" t="s">
        <v>3148</v>
      </c>
      <c r="H371" s="3" t="s">
        <v>17</v>
      </c>
      <c r="I371" s="3" t="s">
        <v>3210</v>
      </c>
      <c r="J371" t="s">
        <v>3150</v>
      </c>
      <c r="K371" s="147"/>
      <c r="L371" s="3">
        <v>1</v>
      </c>
      <c r="M371" s="151"/>
      <c r="N371" s="148">
        <v>3795</v>
      </c>
      <c r="Q371" s="148">
        <v>678</v>
      </c>
      <c r="R371" s="148">
        <f>Table242[[#This Row],[Material Unit Price]]+Table242[[#This Row],[Labor Unit Price]]+Table242[[#This Row],[GC + Manage+ Insur]]</f>
        <v>4473</v>
      </c>
      <c r="S371" s="148">
        <f>Table242[[#This Row],[Total Per Tool]]*Table242[[#This Row],[Tool QTY]]</f>
        <v>4473</v>
      </c>
      <c r="U371" s="149"/>
      <c r="W371" s="3"/>
      <c r="X37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71" s="150">
        <f>Table242[[#This Row],[Total AR (Received)]]/Table242[[#This Row],[PO Amount]]</f>
        <v>0</v>
      </c>
      <c r="Z371" s="151">
        <f>Table242[[#This Row],[PO Amount]]-Table242[[#This Row],[Total AR (Received)]]</f>
        <v>4473</v>
      </c>
      <c r="AA371" s="151"/>
      <c r="AB371" s="151"/>
      <c r="AC371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71"/>
      <c r="AE371"/>
      <c r="AF371" s="148"/>
      <c r="AH371" s="2"/>
      <c r="BB371"/>
      <c r="BC371"/>
      <c r="BD371" s="154" t="s">
        <v>550</v>
      </c>
      <c r="BE371" s="2"/>
      <c r="BF371"/>
      <c r="BG371"/>
      <c r="BH371"/>
      <c r="BI371"/>
      <c r="BJ371"/>
      <c r="BK371"/>
      <c r="BL371"/>
      <c r="BM371"/>
      <c r="BN371"/>
      <c r="BO371"/>
      <c r="BP371"/>
      <c r="BQ371"/>
      <c r="BR371" s="156">
        <f t="shared" si="5"/>
        <v>0</v>
      </c>
    </row>
    <row r="372" spans="2:70" ht="14.45" hidden="1">
      <c r="B372" s="3" t="s">
        <v>49</v>
      </c>
      <c r="C372" s="3" t="s">
        <v>3145</v>
      </c>
      <c r="D372" s="3" t="s">
        <v>3211</v>
      </c>
      <c r="E372" s="3">
        <v>33</v>
      </c>
      <c r="F372" s="3" t="s">
        <v>3147</v>
      </c>
      <c r="G372" s="3" t="s">
        <v>3148</v>
      </c>
      <c r="H372" s="3" t="s">
        <v>17</v>
      </c>
      <c r="I372" s="3" t="s">
        <v>3212</v>
      </c>
      <c r="J372" t="s">
        <v>3150</v>
      </c>
      <c r="K372" s="147"/>
      <c r="L372" s="3">
        <v>1</v>
      </c>
      <c r="N372" s="148">
        <v>3795</v>
      </c>
      <c r="Q372" s="148">
        <v>678</v>
      </c>
      <c r="R372" s="148">
        <f>Table242[[#This Row],[Material Unit Price]]+Table242[[#This Row],[Labor Unit Price]]+Table242[[#This Row],[GC + Manage+ Insur]]</f>
        <v>4473</v>
      </c>
      <c r="S372" s="148">
        <f>Table242[[#This Row],[Total Per Tool]]*Table242[[#This Row],[Tool QTY]]</f>
        <v>4473</v>
      </c>
      <c r="U372" s="149"/>
      <c r="W372" s="3"/>
      <c r="X37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72" s="150">
        <f>Table242[[#This Row],[Total AR (Received)]]/Table242[[#This Row],[PO Amount]]</f>
        <v>0</v>
      </c>
      <c r="Z372" s="151">
        <f>Table242[[#This Row],[PO Amount]]-Table242[[#This Row],[Total AR (Received)]]</f>
        <v>4473</v>
      </c>
      <c r="AA372" s="151"/>
      <c r="AB372" s="151"/>
      <c r="AC372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72"/>
      <c r="AE372"/>
      <c r="AF372" s="148"/>
      <c r="AH372" s="2"/>
      <c r="BB372"/>
      <c r="BC372"/>
      <c r="BD372" s="154" t="s">
        <v>550</v>
      </c>
      <c r="BE372" s="2"/>
      <c r="BF372"/>
      <c r="BG372"/>
      <c r="BH372"/>
      <c r="BI372"/>
      <c r="BJ372"/>
      <c r="BK372"/>
      <c r="BL372"/>
      <c r="BM372"/>
      <c r="BN372"/>
      <c r="BO372"/>
      <c r="BP372"/>
      <c r="BQ372"/>
      <c r="BR372" s="156">
        <f t="shared" si="5"/>
        <v>0</v>
      </c>
    </row>
    <row r="373" spans="2:70" ht="14.45" hidden="1">
      <c r="B373" s="3" t="s">
        <v>49</v>
      </c>
      <c r="C373" s="3" t="s">
        <v>3145</v>
      </c>
      <c r="D373" s="3" t="s">
        <v>3213</v>
      </c>
      <c r="E373" s="3">
        <v>34</v>
      </c>
      <c r="F373" s="3" t="s">
        <v>3147</v>
      </c>
      <c r="G373" s="3" t="s">
        <v>3148</v>
      </c>
      <c r="H373" s="3" t="s">
        <v>17</v>
      </c>
      <c r="I373" s="3" t="s">
        <v>3214</v>
      </c>
      <c r="J373" t="s">
        <v>3150</v>
      </c>
      <c r="K373" s="147"/>
      <c r="L373" s="3">
        <v>1</v>
      </c>
      <c r="N373" s="148">
        <v>3795</v>
      </c>
      <c r="Q373" s="148">
        <v>678</v>
      </c>
      <c r="R373" s="148">
        <f>Table242[[#This Row],[Material Unit Price]]+Table242[[#This Row],[Labor Unit Price]]+Table242[[#This Row],[GC + Manage+ Insur]]</f>
        <v>4473</v>
      </c>
      <c r="S373" s="148">
        <f>Table242[[#This Row],[Total Per Tool]]*Table242[[#This Row],[Tool QTY]]</f>
        <v>4473</v>
      </c>
      <c r="U373" s="149"/>
      <c r="W373" s="3"/>
      <c r="X37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73" s="150">
        <f>Table242[[#This Row],[Total AR (Received)]]/Table242[[#This Row],[PO Amount]]</f>
        <v>0</v>
      </c>
      <c r="Z373" s="151">
        <f>Table242[[#This Row],[PO Amount]]-Table242[[#This Row],[Total AR (Received)]]</f>
        <v>4473</v>
      </c>
      <c r="AA373" s="151"/>
      <c r="AB373" s="151"/>
      <c r="AC373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73"/>
      <c r="AE373"/>
      <c r="AF373" s="148"/>
      <c r="AH373" s="2"/>
      <c r="BB373"/>
      <c r="BC373"/>
      <c r="BD373" s="154" t="s">
        <v>550</v>
      </c>
      <c r="BE373" s="2"/>
      <c r="BF373"/>
      <c r="BG373"/>
      <c r="BH373"/>
      <c r="BI373"/>
      <c r="BJ373"/>
      <c r="BK373"/>
      <c r="BL373"/>
      <c r="BM373"/>
      <c r="BN373"/>
      <c r="BO373"/>
      <c r="BP373"/>
      <c r="BQ373"/>
      <c r="BR373" s="156">
        <f t="shared" si="5"/>
        <v>0</v>
      </c>
    </row>
    <row r="374" spans="2:70" ht="14.45" hidden="1">
      <c r="B374" s="3" t="s">
        <v>49</v>
      </c>
      <c r="C374" s="3" t="s">
        <v>3145</v>
      </c>
      <c r="D374" s="3" t="s">
        <v>3215</v>
      </c>
      <c r="E374" s="3">
        <v>35</v>
      </c>
      <c r="F374" s="3" t="s">
        <v>3147</v>
      </c>
      <c r="G374" s="3" t="s">
        <v>3148</v>
      </c>
      <c r="H374" s="3" t="s">
        <v>17</v>
      </c>
      <c r="I374" s="3" t="s">
        <v>3216</v>
      </c>
      <c r="J374" t="s">
        <v>3150</v>
      </c>
      <c r="K374" s="147"/>
      <c r="L374" s="3">
        <v>1</v>
      </c>
      <c r="N374" s="148">
        <v>3795</v>
      </c>
      <c r="Q374" s="148">
        <v>678</v>
      </c>
      <c r="R374" s="148">
        <f>Table242[[#This Row],[Material Unit Price]]+Table242[[#This Row],[Labor Unit Price]]+Table242[[#This Row],[GC + Manage+ Insur]]</f>
        <v>4473</v>
      </c>
      <c r="S374" s="148">
        <f>Table242[[#This Row],[Total Per Tool]]*Table242[[#This Row],[Tool QTY]]</f>
        <v>4473</v>
      </c>
      <c r="U374" s="149"/>
      <c r="W374" s="3"/>
      <c r="X37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4473</v>
      </c>
      <c r="Y374" s="150">
        <f>Table242[[#This Row],[Total AR (Received)]]/Table242[[#This Row],[PO Amount]]</f>
        <v>1</v>
      </c>
      <c r="Z374" s="151">
        <f>Table242[[#This Row],[PO Amount]]-Table242[[#This Row],[Total AR (Received)]]</f>
        <v>0</v>
      </c>
      <c r="AA374" s="151"/>
      <c r="AB374" s="151"/>
      <c r="AC374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74"/>
      <c r="AE374"/>
      <c r="AF374" s="148"/>
      <c r="AH374" s="2"/>
      <c r="BB374"/>
      <c r="BC374"/>
      <c r="BD374" s="154" t="s">
        <v>550</v>
      </c>
      <c r="BE374" s="2"/>
      <c r="BF374"/>
      <c r="BG374"/>
      <c r="BH374"/>
      <c r="BI374"/>
      <c r="BJ374"/>
      <c r="BK374"/>
      <c r="BL374"/>
      <c r="BM374"/>
      <c r="BN374"/>
      <c r="BO374"/>
      <c r="BP374">
        <v>4473</v>
      </c>
      <c r="BQ374"/>
      <c r="BR374" s="156">
        <f t="shared" si="5"/>
        <v>0</v>
      </c>
    </row>
    <row r="375" spans="2:70" ht="14.45" hidden="1">
      <c r="B375" s="3" t="s">
        <v>49</v>
      </c>
      <c r="C375" s="3" t="s">
        <v>3145</v>
      </c>
      <c r="D375" s="3" t="s">
        <v>3217</v>
      </c>
      <c r="E375" s="3">
        <v>36</v>
      </c>
      <c r="F375" s="3" t="s">
        <v>3147</v>
      </c>
      <c r="G375" s="3" t="s">
        <v>3148</v>
      </c>
      <c r="H375" s="3" t="s">
        <v>17</v>
      </c>
      <c r="I375" s="3" t="s">
        <v>3218</v>
      </c>
      <c r="J375" t="s">
        <v>3150</v>
      </c>
      <c r="K375" s="147"/>
      <c r="L375" s="3">
        <v>1</v>
      </c>
      <c r="N375" s="148">
        <v>3795</v>
      </c>
      <c r="Q375" s="148">
        <v>678</v>
      </c>
      <c r="R375" s="148">
        <f>Table242[[#This Row],[Material Unit Price]]+Table242[[#This Row],[Labor Unit Price]]+Table242[[#This Row],[GC + Manage+ Insur]]</f>
        <v>4473</v>
      </c>
      <c r="S375" s="148">
        <f>Table242[[#This Row],[Total Per Tool]]*Table242[[#This Row],[Tool QTY]]</f>
        <v>4473</v>
      </c>
      <c r="U375" s="149"/>
      <c r="W375" s="3"/>
      <c r="X37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75" s="150">
        <f>Table242[[#This Row],[Total AR (Received)]]/Table242[[#This Row],[PO Amount]]</f>
        <v>0</v>
      </c>
      <c r="Z375" s="151">
        <f>Table242[[#This Row],[PO Amount]]-Table242[[#This Row],[Total AR (Received)]]</f>
        <v>4473</v>
      </c>
      <c r="AA375" s="151"/>
      <c r="AB375" s="151"/>
      <c r="AC375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75"/>
      <c r="AE375"/>
      <c r="AF375" s="148"/>
      <c r="AH375" s="2"/>
      <c r="BB375"/>
      <c r="BC375"/>
      <c r="BD375" s="154" t="s">
        <v>550</v>
      </c>
      <c r="BE375" s="2"/>
      <c r="BF375"/>
      <c r="BG375"/>
      <c r="BH375"/>
      <c r="BI375"/>
      <c r="BJ375"/>
      <c r="BK375"/>
      <c r="BL375"/>
      <c r="BM375"/>
      <c r="BN375"/>
      <c r="BO375"/>
      <c r="BP375"/>
      <c r="BQ375"/>
      <c r="BR375" s="156">
        <f t="shared" ref="BR375:BR438" si="6">SUM(AD375:BH375)</f>
        <v>0</v>
      </c>
    </row>
    <row r="376" spans="2:70" ht="14.45" hidden="1">
      <c r="B376" s="3" t="s">
        <v>49</v>
      </c>
      <c r="C376" s="3" t="s">
        <v>3145</v>
      </c>
      <c r="D376" s="3" t="s">
        <v>3219</v>
      </c>
      <c r="E376" s="3">
        <v>37</v>
      </c>
      <c r="F376" s="3" t="s">
        <v>3147</v>
      </c>
      <c r="G376" s="3" t="s">
        <v>3148</v>
      </c>
      <c r="H376" s="3" t="s">
        <v>17</v>
      </c>
      <c r="I376" s="3" t="s">
        <v>3220</v>
      </c>
      <c r="J376" t="s">
        <v>3150</v>
      </c>
      <c r="K376" s="147"/>
      <c r="L376" s="3">
        <v>1</v>
      </c>
      <c r="N376" s="148">
        <v>3795</v>
      </c>
      <c r="Q376" s="148">
        <v>678</v>
      </c>
      <c r="R376" s="148">
        <f>Table242[[#This Row],[Material Unit Price]]+Table242[[#This Row],[Labor Unit Price]]+Table242[[#This Row],[GC + Manage+ Insur]]</f>
        <v>4473</v>
      </c>
      <c r="S376" s="148">
        <f>Table242[[#This Row],[Total Per Tool]]*Table242[[#This Row],[Tool QTY]]</f>
        <v>4473</v>
      </c>
      <c r="U376" s="149"/>
      <c r="W376" s="3"/>
      <c r="X37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4473</v>
      </c>
      <c r="Y376" s="150">
        <f>Table242[[#This Row],[Total AR (Received)]]/Table242[[#This Row],[PO Amount]]</f>
        <v>1</v>
      </c>
      <c r="Z376" s="151">
        <f>Table242[[#This Row],[PO Amount]]-Table242[[#This Row],[Total AR (Received)]]</f>
        <v>0</v>
      </c>
      <c r="AA376" s="151"/>
      <c r="AB376" s="151"/>
      <c r="AC376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76"/>
      <c r="AE376"/>
      <c r="AF376" s="148"/>
      <c r="AH376" s="2"/>
      <c r="BB376"/>
      <c r="BC376"/>
      <c r="BD376" s="154" t="s">
        <v>550</v>
      </c>
      <c r="BE376" s="2"/>
      <c r="BF376"/>
      <c r="BG376"/>
      <c r="BH376"/>
      <c r="BI376"/>
      <c r="BJ376"/>
      <c r="BK376"/>
      <c r="BL376"/>
      <c r="BM376"/>
      <c r="BN376"/>
      <c r="BO376"/>
      <c r="BP376">
        <v>4473</v>
      </c>
      <c r="BQ376"/>
      <c r="BR376" s="156">
        <f t="shared" si="6"/>
        <v>0</v>
      </c>
    </row>
    <row r="377" spans="2:70" ht="14.45" hidden="1">
      <c r="B377" s="3" t="s">
        <v>49</v>
      </c>
      <c r="C377" s="3" t="s">
        <v>3145</v>
      </c>
      <c r="D377" s="3" t="s">
        <v>3221</v>
      </c>
      <c r="E377" s="3">
        <v>38</v>
      </c>
      <c r="F377" s="3" t="s">
        <v>3147</v>
      </c>
      <c r="G377" s="3" t="s">
        <v>3148</v>
      </c>
      <c r="H377" s="3" t="s">
        <v>17</v>
      </c>
      <c r="I377" s="3" t="s">
        <v>3222</v>
      </c>
      <c r="J377" t="s">
        <v>3150</v>
      </c>
      <c r="K377" s="147"/>
      <c r="L377" s="3">
        <v>1</v>
      </c>
      <c r="N377" s="148">
        <v>3795</v>
      </c>
      <c r="Q377" s="148">
        <v>678</v>
      </c>
      <c r="R377" s="148">
        <f>Table242[[#This Row],[Material Unit Price]]+Table242[[#This Row],[Labor Unit Price]]+Table242[[#This Row],[GC + Manage+ Insur]]</f>
        <v>4473</v>
      </c>
      <c r="S377" s="148">
        <f>Table242[[#This Row],[Total Per Tool]]*Table242[[#This Row],[Tool QTY]]</f>
        <v>4473</v>
      </c>
      <c r="U377" s="149"/>
      <c r="W377" s="3"/>
      <c r="X37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77" s="150">
        <f>Table242[[#This Row],[Total AR (Received)]]/Table242[[#This Row],[PO Amount]]</f>
        <v>0</v>
      </c>
      <c r="Z377" s="151">
        <f>Table242[[#This Row],[PO Amount]]-Table242[[#This Row],[Total AR (Received)]]</f>
        <v>4473</v>
      </c>
      <c r="AA377" s="151"/>
      <c r="AB377" s="151"/>
      <c r="AC377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77"/>
      <c r="AE377"/>
      <c r="AF377" s="148"/>
      <c r="AH377" s="2"/>
      <c r="BB377"/>
      <c r="BC377"/>
      <c r="BD377" s="154" t="s">
        <v>550</v>
      </c>
      <c r="BE377" s="2"/>
      <c r="BF377"/>
      <c r="BG377"/>
      <c r="BH377"/>
      <c r="BI377"/>
      <c r="BJ377"/>
      <c r="BK377"/>
      <c r="BL377"/>
      <c r="BM377"/>
      <c r="BN377"/>
      <c r="BO377"/>
      <c r="BP377"/>
      <c r="BQ377"/>
      <c r="BR377" s="156">
        <f t="shared" si="6"/>
        <v>0</v>
      </c>
    </row>
    <row r="378" spans="2:70" ht="14.45" hidden="1">
      <c r="B378" s="3" t="s">
        <v>49</v>
      </c>
      <c r="C378" s="3" t="s">
        <v>3145</v>
      </c>
      <c r="D378" s="3" t="s">
        <v>3223</v>
      </c>
      <c r="E378" s="3">
        <v>39</v>
      </c>
      <c r="F378" s="3" t="s">
        <v>3147</v>
      </c>
      <c r="G378" s="3" t="s">
        <v>3148</v>
      </c>
      <c r="H378" s="3" t="s">
        <v>17</v>
      </c>
      <c r="I378" s="3" t="s">
        <v>3224</v>
      </c>
      <c r="J378" t="s">
        <v>3150</v>
      </c>
      <c r="K378" s="147"/>
      <c r="L378" s="3">
        <v>1</v>
      </c>
      <c r="N378" s="148">
        <v>3795</v>
      </c>
      <c r="Q378" s="148">
        <v>678</v>
      </c>
      <c r="R378" s="148">
        <f>Table242[[#This Row],[Material Unit Price]]+Table242[[#This Row],[Labor Unit Price]]+Table242[[#This Row],[GC + Manage+ Insur]]</f>
        <v>4473</v>
      </c>
      <c r="S378" s="148">
        <f>Table242[[#This Row],[Total Per Tool]]*Table242[[#This Row],[Tool QTY]]</f>
        <v>4473</v>
      </c>
      <c r="U378" s="149"/>
      <c r="W378" s="3"/>
      <c r="X37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78" s="150">
        <f>Table242[[#This Row],[Total AR (Received)]]/Table242[[#This Row],[PO Amount]]</f>
        <v>0</v>
      </c>
      <c r="Z378" s="151">
        <f>Table242[[#This Row],[PO Amount]]-Table242[[#This Row],[Total AR (Received)]]</f>
        <v>4473</v>
      </c>
      <c r="AA378" s="151"/>
      <c r="AB378" s="151"/>
      <c r="AC378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78"/>
      <c r="AE378"/>
      <c r="AF378" s="148"/>
      <c r="AH378" s="2"/>
      <c r="BB378"/>
      <c r="BC378"/>
      <c r="BD378" s="154" t="s">
        <v>550</v>
      </c>
      <c r="BE378" s="2"/>
      <c r="BF378"/>
      <c r="BG378"/>
      <c r="BH378"/>
      <c r="BI378"/>
      <c r="BJ378"/>
      <c r="BK378"/>
      <c r="BL378"/>
      <c r="BM378"/>
      <c r="BN378"/>
      <c r="BO378"/>
      <c r="BP378"/>
      <c r="BQ378"/>
      <c r="BR378" s="156">
        <f t="shared" si="6"/>
        <v>0</v>
      </c>
    </row>
    <row r="379" spans="2:70" ht="14.45" hidden="1">
      <c r="B379" s="3" t="s">
        <v>49</v>
      </c>
      <c r="C379" s="3" t="s">
        <v>3145</v>
      </c>
      <c r="D379" s="3" t="s">
        <v>3225</v>
      </c>
      <c r="E379" s="3">
        <v>40</v>
      </c>
      <c r="F379" s="3" t="s">
        <v>3147</v>
      </c>
      <c r="G379" s="3" t="s">
        <v>3148</v>
      </c>
      <c r="H379" s="3" t="s">
        <v>17</v>
      </c>
      <c r="I379" s="3" t="s">
        <v>3226</v>
      </c>
      <c r="J379" t="s">
        <v>3150</v>
      </c>
      <c r="K379" s="147"/>
      <c r="L379" s="3">
        <v>1</v>
      </c>
      <c r="N379" s="148">
        <v>3795</v>
      </c>
      <c r="Q379" s="148">
        <v>678</v>
      </c>
      <c r="R379" s="148">
        <f>Table242[[#This Row],[Material Unit Price]]+Table242[[#This Row],[Labor Unit Price]]+Table242[[#This Row],[GC + Manage+ Insur]]</f>
        <v>4473</v>
      </c>
      <c r="S379" s="148">
        <f>Table242[[#This Row],[Total Per Tool]]*Table242[[#This Row],[Tool QTY]]</f>
        <v>4473</v>
      </c>
      <c r="U379" s="149"/>
      <c r="W379" s="3"/>
      <c r="X37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79" s="150">
        <f>Table242[[#This Row],[Total AR (Received)]]/Table242[[#This Row],[PO Amount]]</f>
        <v>0</v>
      </c>
      <c r="Z379" s="151">
        <f>Table242[[#This Row],[PO Amount]]-Table242[[#This Row],[Total AR (Received)]]</f>
        <v>4473</v>
      </c>
      <c r="AA379" s="151"/>
      <c r="AB379" s="151"/>
      <c r="AC379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79"/>
      <c r="AE379"/>
      <c r="AF379" s="148"/>
      <c r="AH379" s="2"/>
      <c r="BB379"/>
      <c r="BC379"/>
      <c r="BD379" s="154" t="s">
        <v>550</v>
      </c>
      <c r="BE379" s="2"/>
      <c r="BF379"/>
      <c r="BG379"/>
      <c r="BH379"/>
      <c r="BI379"/>
      <c r="BJ379"/>
      <c r="BK379"/>
      <c r="BL379"/>
      <c r="BM379"/>
      <c r="BN379"/>
      <c r="BO379"/>
      <c r="BP379"/>
      <c r="BQ379"/>
      <c r="BR379" s="156">
        <f t="shared" si="6"/>
        <v>0</v>
      </c>
    </row>
    <row r="380" spans="2:70" ht="14.45" hidden="1">
      <c r="B380" s="3" t="s">
        <v>49</v>
      </c>
      <c r="C380" s="3" t="s">
        <v>3145</v>
      </c>
      <c r="D380" s="3" t="s">
        <v>3227</v>
      </c>
      <c r="E380" s="3">
        <v>41</v>
      </c>
      <c r="F380" s="3" t="s">
        <v>3147</v>
      </c>
      <c r="G380" s="3" t="s">
        <v>3148</v>
      </c>
      <c r="H380" s="3" t="s">
        <v>17</v>
      </c>
      <c r="I380" s="3" t="s">
        <v>3228</v>
      </c>
      <c r="J380" t="s">
        <v>3150</v>
      </c>
      <c r="K380" s="147"/>
      <c r="L380" s="3">
        <v>1</v>
      </c>
      <c r="N380" s="148">
        <v>3795</v>
      </c>
      <c r="Q380" s="148">
        <v>678</v>
      </c>
      <c r="R380" s="148">
        <f>Table242[[#This Row],[Material Unit Price]]+Table242[[#This Row],[Labor Unit Price]]+Table242[[#This Row],[GC + Manage+ Insur]]</f>
        <v>4473</v>
      </c>
      <c r="S380" s="148">
        <f>Table242[[#This Row],[Total Per Tool]]*Table242[[#This Row],[Tool QTY]]</f>
        <v>4473</v>
      </c>
      <c r="U380" s="149"/>
      <c r="W380" s="3"/>
      <c r="X38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80" s="150">
        <f>Table242[[#This Row],[Total AR (Received)]]/Table242[[#This Row],[PO Amount]]</f>
        <v>0</v>
      </c>
      <c r="Z380" s="151">
        <f>Table242[[#This Row],[PO Amount]]-Table242[[#This Row],[Total AR (Received)]]</f>
        <v>4473</v>
      </c>
      <c r="AA380" s="151"/>
      <c r="AB380" s="151"/>
      <c r="AC380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80"/>
      <c r="AE380"/>
      <c r="AF380" s="148"/>
      <c r="AH380" s="2"/>
      <c r="BB380"/>
      <c r="BC380"/>
      <c r="BD380" s="154" t="s">
        <v>550</v>
      </c>
      <c r="BE380" s="2"/>
      <c r="BF380"/>
      <c r="BG380"/>
      <c r="BH380"/>
      <c r="BI380"/>
      <c r="BJ380"/>
      <c r="BK380"/>
      <c r="BL380"/>
      <c r="BM380"/>
      <c r="BN380"/>
      <c r="BO380"/>
      <c r="BP380"/>
      <c r="BQ380"/>
      <c r="BR380" s="156">
        <f t="shared" si="6"/>
        <v>0</v>
      </c>
    </row>
    <row r="381" spans="2:70" ht="14.45" hidden="1">
      <c r="B381" s="3" t="s">
        <v>49</v>
      </c>
      <c r="C381" s="3" t="s">
        <v>3145</v>
      </c>
      <c r="D381" s="3" t="s">
        <v>3229</v>
      </c>
      <c r="E381" s="3">
        <v>42</v>
      </c>
      <c r="F381" s="3" t="s">
        <v>3147</v>
      </c>
      <c r="G381" s="3" t="s">
        <v>3148</v>
      </c>
      <c r="H381" s="3" t="s">
        <v>17</v>
      </c>
      <c r="I381" s="3" t="s">
        <v>3230</v>
      </c>
      <c r="J381" t="s">
        <v>3150</v>
      </c>
      <c r="K381" s="147"/>
      <c r="L381" s="3">
        <v>1</v>
      </c>
      <c r="N381" s="148">
        <v>3795</v>
      </c>
      <c r="Q381" s="148">
        <v>678</v>
      </c>
      <c r="R381" s="148">
        <f>Table242[[#This Row],[Material Unit Price]]+Table242[[#This Row],[Labor Unit Price]]+Table242[[#This Row],[GC + Manage+ Insur]]</f>
        <v>4473</v>
      </c>
      <c r="S381" s="148">
        <f>Table242[[#This Row],[Total Per Tool]]*Table242[[#This Row],[Tool QTY]]</f>
        <v>4473</v>
      </c>
      <c r="U381" s="149"/>
      <c r="W381" s="3"/>
      <c r="X38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81" s="150">
        <f>Table242[[#This Row],[Total AR (Received)]]/Table242[[#This Row],[PO Amount]]</f>
        <v>0</v>
      </c>
      <c r="Z381" s="151">
        <f>Table242[[#This Row],[PO Amount]]-Table242[[#This Row],[Total AR (Received)]]</f>
        <v>4473</v>
      </c>
      <c r="AA381" s="151"/>
      <c r="AB381" s="151"/>
      <c r="AC381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81"/>
      <c r="AE381"/>
      <c r="AF381" s="148"/>
      <c r="AH381" s="2"/>
      <c r="BB381"/>
      <c r="BC381"/>
      <c r="BD381" s="154" t="s">
        <v>550</v>
      </c>
      <c r="BE381" s="2"/>
      <c r="BF381"/>
      <c r="BG381"/>
      <c r="BH381"/>
      <c r="BI381"/>
      <c r="BJ381"/>
      <c r="BK381"/>
      <c r="BL381"/>
      <c r="BM381"/>
      <c r="BN381"/>
      <c r="BO381"/>
      <c r="BP381"/>
      <c r="BQ381"/>
      <c r="BR381" s="156">
        <f t="shared" si="6"/>
        <v>0</v>
      </c>
    </row>
    <row r="382" spans="2:70" ht="14.45" hidden="1">
      <c r="B382" s="3" t="s">
        <v>49</v>
      </c>
      <c r="C382" s="3" t="s">
        <v>3145</v>
      </c>
      <c r="D382" s="3" t="s">
        <v>3231</v>
      </c>
      <c r="E382" s="3">
        <v>43</v>
      </c>
      <c r="F382" s="3" t="s">
        <v>3147</v>
      </c>
      <c r="G382" s="3" t="s">
        <v>3148</v>
      </c>
      <c r="H382" s="3" t="s">
        <v>17</v>
      </c>
      <c r="I382" s="3" t="s">
        <v>3232</v>
      </c>
      <c r="J382" t="s">
        <v>3233</v>
      </c>
      <c r="K382" s="147"/>
      <c r="L382" s="3">
        <v>1</v>
      </c>
      <c r="N382" s="148">
        <v>2601</v>
      </c>
      <c r="Q382" s="148">
        <v>465</v>
      </c>
      <c r="R382" s="148">
        <f>Table242[[#This Row],[Material Unit Price]]+Table242[[#This Row],[Labor Unit Price]]+Table242[[#This Row],[GC + Manage+ Insur]]</f>
        <v>3066</v>
      </c>
      <c r="S382" s="148">
        <f>Table242[[#This Row],[Total Per Tool]]*Table242[[#This Row],[Tool QTY]]</f>
        <v>3066</v>
      </c>
      <c r="U382" s="149"/>
      <c r="W382" s="3"/>
      <c r="X38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82" s="150">
        <f>Table242[[#This Row],[Total AR (Received)]]/Table242[[#This Row],[PO Amount]]</f>
        <v>0</v>
      </c>
      <c r="Z382" s="151">
        <f>Table242[[#This Row],[PO Amount]]-Table242[[#This Row],[Total AR (Received)]]</f>
        <v>3066</v>
      </c>
      <c r="AA382" s="151"/>
      <c r="AB382" s="151"/>
      <c r="AC382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82"/>
      <c r="AE382"/>
      <c r="AF382" s="148"/>
      <c r="AH382" s="2"/>
      <c r="BB382"/>
      <c r="BC382"/>
      <c r="BD382" s="154" t="s">
        <v>550</v>
      </c>
      <c r="BE382" s="2"/>
      <c r="BF382"/>
      <c r="BG382"/>
      <c r="BH382"/>
      <c r="BI382"/>
      <c r="BJ382"/>
      <c r="BK382"/>
      <c r="BL382"/>
      <c r="BM382"/>
      <c r="BN382"/>
      <c r="BO382"/>
      <c r="BP382"/>
      <c r="BQ382"/>
      <c r="BR382" s="156">
        <f t="shared" si="6"/>
        <v>0</v>
      </c>
    </row>
    <row r="383" spans="2:70" ht="14.45" hidden="1">
      <c r="B383" s="3" t="s">
        <v>49</v>
      </c>
      <c r="C383" s="3" t="s">
        <v>3145</v>
      </c>
      <c r="D383" s="3" t="s">
        <v>3234</v>
      </c>
      <c r="E383" s="3">
        <v>44</v>
      </c>
      <c r="F383" s="3" t="s">
        <v>3147</v>
      </c>
      <c r="G383" s="3" t="s">
        <v>3148</v>
      </c>
      <c r="H383" s="3" t="s">
        <v>17</v>
      </c>
      <c r="I383" s="3" t="s">
        <v>3235</v>
      </c>
      <c r="J383" t="s">
        <v>3150</v>
      </c>
      <c r="K383" s="147"/>
      <c r="L383" s="3">
        <v>1</v>
      </c>
      <c r="N383" s="148">
        <v>2601</v>
      </c>
      <c r="Q383" s="148">
        <v>465</v>
      </c>
      <c r="R383" s="148">
        <f>Table242[[#This Row],[Material Unit Price]]+Table242[[#This Row],[Labor Unit Price]]+Table242[[#This Row],[GC + Manage+ Insur]]</f>
        <v>3066</v>
      </c>
      <c r="S383" s="148">
        <f>Table242[[#This Row],[Total Per Tool]]*Table242[[#This Row],[Tool QTY]]</f>
        <v>3066</v>
      </c>
      <c r="U383" s="149"/>
      <c r="W383" s="3"/>
      <c r="X38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83" s="150">
        <f>Table242[[#This Row],[Total AR (Received)]]/Table242[[#This Row],[PO Amount]]</f>
        <v>0</v>
      </c>
      <c r="Z383" s="151">
        <f>Table242[[#This Row],[PO Amount]]-Table242[[#This Row],[Total AR (Received)]]</f>
        <v>3066</v>
      </c>
      <c r="AA383" s="151"/>
      <c r="AB383" s="151"/>
      <c r="AC383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83"/>
      <c r="AE383"/>
      <c r="AF383" s="148"/>
      <c r="AH383" s="2"/>
      <c r="BB383"/>
      <c r="BC383"/>
      <c r="BD383" s="154" t="s">
        <v>550</v>
      </c>
      <c r="BE383" s="2"/>
      <c r="BF383"/>
      <c r="BG383"/>
      <c r="BH383"/>
      <c r="BI383"/>
      <c r="BJ383"/>
      <c r="BK383"/>
      <c r="BL383"/>
      <c r="BM383"/>
      <c r="BN383"/>
      <c r="BO383"/>
      <c r="BP383"/>
      <c r="BQ383"/>
      <c r="BR383" s="156">
        <f t="shared" si="6"/>
        <v>0</v>
      </c>
    </row>
    <row r="384" spans="2:70" ht="14.45" hidden="1">
      <c r="B384" s="3" t="s">
        <v>49</v>
      </c>
      <c r="C384" s="3" t="s">
        <v>3145</v>
      </c>
      <c r="D384" s="3" t="s">
        <v>3236</v>
      </c>
      <c r="E384" s="3">
        <v>45</v>
      </c>
      <c r="F384" s="3" t="s">
        <v>3147</v>
      </c>
      <c r="G384" s="3" t="s">
        <v>3148</v>
      </c>
      <c r="H384" s="3" t="s">
        <v>17</v>
      </c>
      <c r="I384" s="3" t="s">
        <v>3237</v>
      </c>
      <c r="J384" t="s">
        <v>3150</v>
      </c>
      <c r="K384" s="147"/>
      <c r="L384" s="3">
        <v>1</v>
      </c>
      <c r="N384" s="148">
        <v>2601</v>
      </c>
      <c r="Q384" s="148">
        <v>465</v>
      </c>
      <c r="R384" s="148">
        <f>Table242[[#This Row],[Material Unit Price]]+Table242[[#This Row],[Labor Unit Price]]+Table242[[#This Row],[GC + Manage+ Insur]]</f>
        <v>3066</v>
      </c>
      <c r="S384" s="148">
        <f>Table242[[#This Row],[Total Per Tool]]*Table242[[#This Row],[Tool QTY]]</f>
        <v>3066</v>
      </c>
      <c r="U384" s="149"/>
      <c r="W384" s="3"/>
      <c r="X38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84" s="150">
        <f>Table242[[#This Row],[Total AR (Received)]]/Table242[[#This Row],[PO Amount]]</f>
        <v>0</v>
      </c>
      <c r="Z384" s="151">
        <f>Table242[[#This Row],[PO Amount]]-Table242[[#This Row],[Total AR (Received)]]</f>
        <v>3066</v>
      </c>
      <c r="AA384" s="151"/>
      <c r="AB384" s="151"/>
      <c r="AC384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84"/>
      <c r="AE384"/>
      <c r="AF384" s="148"/>
      <c r="AH384" s="2"/>
      <c r="BB384"/>
      <c r="BC384"/>
      <c r="BD384" s="154" t="s">
        <v>550</v>
      </c>
      <c r="BE384" s="2"/>
      <c r="BF384"/>
      <c r="BG384"/>
      <c r="BH384"/>
      <c r="BI384"/>
      <c r="BJ384"/>
      <c r="BK384"/>
      <c r="BL384"/>
      <c r="BM384"/>
      <c r="BN384"/>
      <c r="BO384"/>
      <c r="BP384"/>
      <c r="BQ384"/>
      <c r="BR384" s="156">
        <f t="shared" si="6"/>
        <v>0</v>
      </c>
    </row>
    <row r="385" spans="2:70" ht="14.45" hidden="1">
      <c r="B385" s="3" t="s">
        <v>49</v>
      </c>
      <c r="C385" s="3" t="s">
        <v>3145</v>
      </c>
      <c r="D385" s="3" t="s">
        <v>3238</v>
      </c>
      <c r="E385" s="3">
        <v>46</v>
      </c>
      <c r="F385" s="3" t="s">
        <v>3147</v>
      </c>
      <c r="G385" s="3" t="s">
        <v>3148</v>
      </c>
      <c r="H385" s="3" t="s">
        <v>17</v>
      </c>
      <c r="I385" s="3" t="s">
        <v>3239</v>
      </c>
      <c r="J385" t="s">
        <v>3240</v>
      </c>
      <c r="K385" s="147"/>
      <c r="L385" s="3">
        <v>1</v>
      </c>
      <c r="N385" s="148">
        <v>1407</v>
      </c>
      <c r="Q385" s="148">
        <v>252</v>
      </c>
      <c r="R385" s="148">
        <f>Table242[[#This Row],[Material Unit Price]]+Table242[[#This Row],[Labor Unit Price]]+Table242[[#This Row],[GC + Manage+ Insur]]</f>
        <v>1659</v>
      </c>
      <c r="S385" s="148">
        <f>Table242[[#This Row],[Total Per Tool]]*Table242[[#This Row],[Tool QTY]]</f>
        <v>1659</v>
      </c>
      <c r="U385" s="149"/>
      <c r="W385" s="3"/>
      <c r="X38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85" s="150">
        <f>Table242[[#This Row],[Total AR (Received)]]/Table242[[#This Row],[PO Amount]]</f>
        <v>0</v>
      </c>
      <c r="Z385" s="151">
        <f>Table242[[#This Row],[PO Amount]]-Table242[[#This Row],[Total AR (Received)]]</f>
        <v>1659</v>
      </c>
      <c r="AA385" s="151"/>
      <c r="AB385" s="151"/>
      <c r="AC385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85"/>
      <c r="AE385"/>
      <c r="AF385" s="148"/>
      <c r="AH385" s="2"/>
      <c r="BB385"/>
      <c r="BC385"/>
      <c r="BD385" s="154" t="s">
        <v>550</v>
      </c>
      <c r="BE385" s="2"/>
      <c r="BF385"/>
      <c r="BG385"/>
      <c r="BH385"/>
      <c r="BI385"/>
      <c r="BJ385"/>
      <c r="BK385"/>
      <c r="BL385"/>
      <c r="BM385"/>
      <c r="BN385"/>
      <c r="BO385"/>
      <c r="BP385"/>
      <c r="BQ385"/>
      <c r="BR385" s="156">
        <f t="shared" si="6"/>
        <v>0</v>
      </c>
    </row>
    <row r="386" spans="2:70" ht="14.45" hidden="1">
      <c r="B386" s="3" t="s">
        <v>49</v>
      </c>
      <c r="C386" s="3" t="s">
        <v>3145</v>
      </c>
      <c r="D386" s="3" t="s">
        <v>3241</v>
      </c>
      <c r="E386" s="3">
        <v>47</v>
      </c>
      <c r="F386" s="3" t="s">
        <v>3147</v>
      </c>
      <c r="G386" s="3" t="s">
        <v>3148</v>
      </c>
      <c r="H386" s="3" t="s">
        <v>17</v>
      </c>
      <c r="I386" s="3" t="s">
        <v>3242</v>
      </c>
      <c r="J386" t="s">
        <v>3153</v>
      </c>
      <c r="K386" s="147"/>
      <c r="L386" s="3">
        <v>1</v>
      </c>
      <c r="N386" s="148">
        <v>4989</v>
      </c>
      <c r="Q386" s="148">
        <v>891</v>
      </c>
      <c r="R386" s="148">
        <f>Table242[[#This Row],[Material Unit Price]]+Table242[[#This Row],[Labor Unit Price]]+Table242[[#This Row],[GC + Manage+ Insur]]</f>
        <v>5880</v>
      </c>
      <c r="S386" s="148">
        <f>Table242[[#This Row],[Total Per Tool]]*Table242[[#This Row],[Tool QTY]]</f>
        <v>5880</v>
      </c>
      <c r="U386" s="149">
        <v>44895</v>
      </c>
      <c r="W386" s="3" t="s">
        <v>3083</v>
      </c>
      <c r="X38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5880</v>
      </c>
      <c r="Y386" s="150">
        <f>Table242[[#This Row],[Total AR (Received)]]/Table242[[#This Row],[PO Amount]]</f>
        <v>1</v>
      </c>
      <c r="Z386" s="151">
        <f>Table242[[#This Row],[PO Amount]]-Table242[[#This Row],[Total AR (Received)]]</f>
        <v>0</v>
      </c>
      <c r="AA386" s="151"/>
      <c r="AB386" s="151"/>
      <c r="AC386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86"/>
      <c r="AE386"/>
      <c r="AF386" s="148"/>
      <c r="AH386" s="2"/>
      <c r="BB386"/>
      <c r="BC386"/>
      <c r="BD386" s="154" t="s">
        <v>550</v>
      </c>
      <c r="BE386" s="2"/>
      <c r="BF386"/>
      <c r="BG386"/>
      <c r="BH386"/>
      <c r="BI386"/>
      <c r="BJ386" s="169">
        <v>5880</v>
      </c>
      <c r="BK386"/>
      <c r="BL386"/>
      <c r="BM386"/>
      <c r="BN386"/>
      <c r="BO386"/>
      <c r="BP386"/>
      <c r="BQ386"/>
      <c r="BR386" s="156">
        <f t="shared" si="6"/>
        <v>0</v>
      </c>
    </row>
    <row r="387" spans="2:70" ht="14.45" hidden="1">
      <c r="B387" s="3" t="s">
        <v>49</v>
      </c>
      <c r="C387" s="3" t="s">
        <v>3145</v>
      </c>
      <c r="D387" s="3" t="s">
        <v>3243</v>
      </c>
      <c r="E387" s="3">
        <v>48</v>
      </c>
      <c r="F387" s="3" t="s">
        <v>3147</v>
      </c>
      <c r="G387" s="3" t="s">
        <v>3148</v>
      </c>
      <c r="H387" s="3" t="s">
        <v>17</v>
      </c>
      <c r="I387" s="3" t="s">
        <v>3244</v>
      </c>
      <c r="J387" t="s">
        <v>3153</v>
      </c>
      <c r="K387" s="147"/>
      <c r="L387" s="3">
        <v>1</v>
      </c>
      <c r="N387" s="148">
        <v>4989</v>
      </c>
      <c r="Q387" s="148">
        <v>891</v>
      </c>
      <c r="R387" s="148">
        <f>Table242[[#This Row],[Material Unit Price]]+Table242[[#This Row],[Labor Unit Price]]+Table242[[#This Row],[GC + Manage+ Insur]]</f>
        <v>5880</v>
      </c>
      <c r="S387" s="148">
        <f>Table242[[#This Row],[Total Per Tool]]*Table242[[#This Row],[Tool QTY]]</f>
        <v>5880</v>
      </c>
      <c r="U387" s="149"/>
      <c r="W387" s="3"/>
      <c r="X38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5880</v>
      </c>
      <c r="Y387" s="150">
        <f>Table242[[#This Row],[Total AR (Received)]]/Table242[[#This Row],[PO Amount]]</f>
        <v>1</v>
      </c>
      <c r="Z387" s="151">
        <f>Table242[[#This Row],[PO Amount]]-Table242[[#This Row],[Total AR (Received)]]</f>
        <v>0</v>
      </c>
      <c r="AA387" s="151"/>
      <c r="AB387" s="151"/>
      <c r="AC387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87"/>
      <c r="AE387"/>
      <c r="AF387" s="148"/>
      <c r="AH387" s="2"/>
      <c r="BB387"/>
      <c r="BC387"/>
      <c r="BD387" s="154" t="s">
        <v>550</v>
      </c>
      <c r="BE387" s="2"/>
      <c r="BF387"/>
      <c r="BG387"/>
      <c r="BH387"/>
      <c r="BI387"/>
      <c r="BJ387" s="169">
        <v>5880</v>
      </c>
      <c r="BK387"/>
      <c r="BL387"/>
      <c r="BM387"/>
      <c r="BN387"/>
      <c r="BO387"/>
      <c r="BP387"/>
      <c r="BQ387"/>
      <c r="BR387" s="156">
        <f t="shared" si="6"/>
        <v>0</v>
      </c>
    </row>
    <row r="388" spans="2:70" ht="14.45" hidden="1">
      <c r="B388" s="3" t="s">
        <v>49</v>
      </c>
      <c r="C388" s="3" t="s">
        <v>3145</v>
      </c>
      <c r="D388" s="3" t="s">
        <v>3245</v>
      </c>
      <c r="E388" s="3">
        <v>50</v>
      </c>
      <c r="F388" s="3" t="s">
        <v>3147</v>
      </c>
      <c r="G388" s="3" t="s">
        <v>3148</v>
      </c>
      <c r="H388" s="3" t="s">
        <v>17</v>
      </c>
      <c r="I388" s="3" t="s">
        <v>3246</v>
      </c>
      <c r="J388" t="s">
        <v>3153</v>
      </c>
      <c r="K388" s="147"/>
      <c r="L388" s="3">
        <v>1</v>
      </c>
      <c r="N388" s="148">
        <v>4989</v>
      </c>
      <c r="Q388" s="148">
        <v>891</v>
      </c>
      <c r="R388" s="148">
        <f>Table242[[#This Row],[Material Unit Price]]+Table242[[#This Row],[Labor Unit Price]]+Table242[[#This Row],[GC + Manage+ Insur]]</f>
        <v>5880</v>
      </c>
      <c r="S388" s="148">
        <f>Table242[[#This Row],[Total Per Tool]]*Table242[[#This Row],[Tool QTY]]</f>
        <v>5880</v>
      </c>
      <c r="U388" s="149"/>
      <c r="W388" s="3"/>
      <c r="X38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5880</v>
      </c>
      <c r="Y388" s="150">
        <f>Table242[[#This Row],[Total AR (Received)]]/Table242[[#This Row],[PO Amount]]</f>
        <v>1</v>
      </c>
      <c r="Z388" s="151">
        <f>Table242[[#This Row],[PO Amount]]-Table242[[#This Row],[Total AR (Received)]]</f>
        <v>0</v>
      </c>
      <c r="AA388" s="151"/>
      <c r="AB388" s="151"/>
      <c r="AC388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88"/>
      <c r="AE388"/>
      <c r="AF388" s="148"/>
      <c r="AH388" s="2"/>
      <c r="BB388"/>
      <c r="BC388"/>
      <c r="BD388" s="154" t="s">
        <v>550</v>
      </c>
      <c r="BE388" s="2"/>
      <c r="BF388" s="169">
        <v>5880</v>
      </c>
      <c r="BG388"/>
      <c r="BH388"/>
      <c r="BI388"/>
      <c r="BJ388"/>
      <c r="BK388"/>
      <c r="BL388"/>
      <c r="BM388"/>
      <c r="BN388"/>
      <c r="BO388"/>
      <c r="BP388"/>
      <c r="BQ388"/>
      <c r="BR388" s="156">
        <f t="shared" si="6"/>
        <v>5880</v>
      </c>
    </row>
    <row r="389" spans="2:70" ht="14.45" hidden="1">
      <c r="B389" s="3" t="s">
        <v>49</v>
      </c>
      <c r="C389" s="3" t="s">
        <v>3145</v>
      </c>
      <c r="D389" s="3" t="s">
        <v>3247</v>
      </c>
      <c r="E389" s="3">
        <v>51</v>
      </c>
      <c r="F389" s="3" t="s">
        <v>3147</v>
      </c>
      <c r="G389" s="3" t="s">
        <v>3148</v>
      </c>
      <c r="H389" s="3" t="s">
        <v>17</v>
      </c>
      <c r="I389" s="3" t="s">
        <v>3248</v>
      </c>
      <c r="J389" t="s">
        <v>3153</v>
      </c>
      <c r="K389" s="147"/>
      <c r="L389" s="3">
        <v>1</v>
      </c>
      <c r="N389" s="148">
        <v>4989</v>
      </c>
      <c r="Q389" s="148">
        <v>891</v>
      </c>
      <c r="R389" s="148">
        <f>Table242[[#This Row],[Material Unit Price]]+Table242[[#This Row],[Labor Unit Price]]+Table242[[#This Row],[GC + Manage+ Insur]]</f>
        <v>5880</v>
      </c>
      <c r="S389" s="148">
        <f>Table242[[#This Row],[Total Per Tool]]*Table242[[#This Row],[Tool QTY]]</f>
        <v>5880</v>
      </c>
      <c r="U389" s="149"/>
      <c r="W389" s="3"/>
      <c r="X38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89" s="150">
        <f>Table242[[#This Row],[Total AR (Received)]]/Table242[[#This Row],[PO Amount]]</f>
        <v>0</v>
      </c>
      <c r="Z389" s="151">
        <f>Table242[[#This Row],[PO Amount]]-Table242[[#This Row],[Total AR (Received)]]</f>
        <v>5880</v>
      </c>
      <c r="AA389" s="151"/>
      <c r="AB389" s="151"/>
      <c r="AC389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89"/>
      <c r="AE389"/>
      <c r="AF389" s="148"/>
      <c r="AH389" s="2"/>
      <c r="BB389"/>
      <c r="BC389"/>
      <c r="BD389" s="154" t="s">
        <v>550</v>
      </c>
      <c r="BE389" s="2"/>
      <c r="BF389"/>
      <c r="BG389"/>
      <c r="BH389"/>
      <c r="BI389"/>
      <c r="BJ389"/>
      <c r="BK389"/>
      <c r="BL389"/>
      <c r="BM389"/>
      <c r="BN389"/>
      <c r="BO389"/>
      <c r="BP389"/>
      <c r="BQ389"/>
      <c r="BR389" s="156">
        <f t="shared" si="6"/>
        <v>0</v>
      </c>
    </row>
    <row r="390" spans="2:70" ht="14.45" hidden="1">
      <c r="B390" s="3" t="s">
        <v>49</v>
      </c>
      <c r="C390" s="3" t="s">
        <v>3145</v>
      </c>
      <c r="D390" s="3" t="s">
        <v>3249</v>
      </c>
      <c r="E390" s="3">
        <v>52</v>
      </c>
      <c r="F390" s="3" t="s">
        <v>3147</v>
      </c>
      <c r="G390" s="3" t="s">
        <v>3148</v>
      </c>
      <c r="H390" s="3" t="s">
        <v>17</v>
      </c>
      <c r="I390" s="3" t="s">
        <v>3250</v>
      </c>
      <c r="J390" t="s">
        <v>3153</v>
      </c>
      <c r="K390" s="147"/>
      <c r="L390" s="3">
        <v>1</v>
      </c>
      <c r="N390" s="148">
        <v>4989</v>
      </c>
      <c r="Q390" s="148">
        <v>891</v>
      </c>
      <c r="R390" s="148">
        <f>Table242[[#This Row],[Material Unit Price]]+Table242[[#This Row],[Labor Unit Price]]+Table242[[#This Row],[GC + Manage+ Insur]]</f>
        <v>5880</v>
      </c>
      <c r="S390" s="148">
        <f>Table242[[#This Row],[Total Per Tool]]*Table242[[#This Row],[Tool QTY]]</f>
        <v>5880</v>
      </c>
      <c r="U390" s="149"/>
      <c r="W390" s="3"/>
      <c r="X39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90" s="150">
        <f>Table242[[#This Row],[Total AR (Received)]]/Table242[[#This Row],[PO Amount]]</f>
        <v>0</v>
      </c>
      <c r="Z390" s="151">
        <f>Table242[[#This Row],[PO Amount]]-Table242[[#This Row],[Total AR (Received)]]</f>
        <v>5880</v>
      </c>
      <c r="AA390" s="151"/>
      <c r="AB390" s="151"/>
      <c r="AC390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90"/>
      <c r="AE390"/>
      <c r="AF390" s="148"/>
      <c r="AH390" s="2"/>
      <c r="BB390"/>
      <c r="BC390"/>
      <c r="BD390" s="154" t="s">
        <v>550</v>
      </c>
      <c r="BE390" s="2"/>
      <c r="BF390"/>
      <c r="BG390"/>
      <c r="BH390"/>
      <c r="BI390"/>
      <c r="BJ390"/>
      <c r="BK390"/>
      <c r="BL390"/>
      <c r="BM390"/>
      <c r="BN390"/>
      <c r="BO390"/>
      <c r="BP390"/>
      <c r="BQ390"/>
      <c r="BR390" s="156">
        <f t="shared" si="6"/>
        <v>0</v>
      </c>
    </row>
    <row r="391" spans="2:70" ht="14.45" hidden="1">
      <c r="B391" s="3" t="s">
        <v>49</v>
      </c>
      <c r="C391" s="3" t="s">
        <v>3145</v>
      </c>
      <c r="D391" s="3" t="s">
        <v>3251</v>
      </c>
      <c r="E391" s="3">
        <v>53</v>
      </c>
      <c r="F391" s="3" t="s">
        <v>3147</v>
      </c>
      <c r="G391" s="3" t="s">
        <v>3148</v>
      </c>
      <c r="H391" s="3" t="s">
        <v>17</v>
      </c>
      <c r="I391" s="3" t="s">
        <v>3252</v>
      </c>
      <c r="J391" t="s">
        <v>3153</v>
      </c>
      <c r="K391" s="147"/>
      <c r="L391" s="3">
        <v>1</v>
      </c>
      <c r="N391" s="148">
        <v>4989</v>
      </c>
      <c r="Q391" s="148">
        <v>891</v>
      </c>
      <c r="R391" s="148">
        <f>Table242[[#This Row],[Material Unit Price]]+Table242[[#This Row],[Labor Unit Price]]+Table242[[#This Row],[GC + Manage+ Insur]]</f>
        <v>5880</v>
      </c>
      <c r="S391" s="148">
        <f>Table242[[#This Row],[Total Per Tool]]*Table242[[#This Row],[Tool QTY]]</f>
        <v>5880</v>
      </c>
      <c r="U391" s="149"/>
      <c r="W391" s="3"/>
      <c r="X39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91" s="150">
        <f>Table242[[#This Row],[Total AR (Received)]]/Table242[[#This Row],[PO Amount]]</f>
        <v>0</v>
      </c>
      <c r="Z391" s="151">
        <f>Table242[[#This Row],[PO Amount]]-Table242[[#This Row],[Total AR (Received)]]</f>
        <v>5880</v>
      </c>
      <c r="AA391" s="151"/>
      <c r="AB391" s="151"/>
      <c r="AC391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91"/>
      <c r="AE391"/>
      <c r="AF391" s="148"/>
      <c r="AH391" s="2"/>
      <c r="BB391"/>
      <c r="BC391"/>
      <c r="BD391" s="154" t="s">
        <v>550</v>
      </c>
      <c r="BE391" s="2"/>
      <c r="BF391"/>
      <c r="BG391"/>
      <c r="BH391"/>
      <c r="BI391"/>
      <c r="BJ391"/>
      <c r="BK391"/>
      <c r="BL391"/>
      <c r="BM391"/>
      <c r="BN391"/>
      <c r="BO391"/>
      <c r="BP391"/>
      <c r="BQ391"/>
      <c r="BR391" s="156">
        <f t="shared" si="6"/>
        <v>0</v>
      </c>
    </row>
    <row r="392" spans="2:70" ht="14.45" hidden="1">
      <c r="B392" s="3" t="s">
        <v>49</v>
      </c>
      <c r="C392" s="3" t="s">
        <v>3145</v>
      </c>
      <c r="D392" s="3" t="s">
        <v>3253</v>
      </c>
      <c r="E392" s="3">
        <v>54</v>
      </c>
      <c r="F392" s="3" t="s">
        <v>3147</v>
      </c>
      <c r="G392" s="3" t="s">
        <v>3148</v>
      </c>
      <c r="H392" s="3" t="s">
        <v>17</v>
      </c>
      <c r="I392" s="3" t="s">
        <v>3254</v>
      </c>
      <c r="J392" t="s">
        <v>3153</v>
      </c>
      <c r="K392" s="147"/>
      <c r="L392" s="3">
        <v>1</v>
      </c>
      <c r="N392" s="148">
        <v>4989</v>
      </c>
      <c r="Q392" s="148">
        <v>891</v>
      </c>
      <c r="R392" s="148">
        <f>Table242[[#This Row],[Material Unit Price]]+Table242[[#This Row],[Labor Unit Price]]+Table242[[#This Row],[GC + Manage+ Insur]]</f>
        <v>5880</v>
      </c>
      <c r="S392" s="148">
        <f>Table242[[#This Row],[Total Per Tool]]*Table242[[#This Row],[Tool QTY]]</f>
        <v>5880</v>
      </c>
      <c r="U392" s="149"/>
      <c r="W392" s="3"/>
      <c r="X39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92" s="150">
        <f>Table242[[#This Row],[Total AR (Received)]]/Table242[[#This Row],[PO Amount]]</f>
        <v>0</v>
      </c>
      <c r="Z392" s="151">
        <f>Table242[[#This Row],[PO Amount]]-Table242[[#This Row],[Total AR (Received)]]</f>
        <v>5880</v>
      </c>
      <c r="AA392" s="151"/>
      <c r="AB392" s="151"/>
      <c r="AC392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92"/>
      <c r="AE392"/>
      <c r="AF392" s="148"/>
      <c r="AH392" s="2"/>
      <c r="BB392"/>
      <c r="BC392"/>
      <c r="BD392" s="154" t="s">
        <v>550</v>
      </c>
      <c r="BE392" s="2"/>
      <c r="BF392"/>
      <c r="BG392"/>
      <c r="BH392"/>
      <c r="BI392"/>
      <c r="BJ392"/>
      <c r="BK392"/>
      <c r="BL392"/>
      <c r="BM392"/>
      <c r="BN392"/>
      <c r="BO392"/>
      <c r="BP392"/>
      <c r="BQ392"/>
      <c r="BR392" s="156">
        <f t="shared" si="6"/>
        <v>0</v>
      </c>
    </row>
    <row r="393" spans="2:70" ht="14.45" hidden="1">
      <c r="B393" s="3" t="s">
        <v>49</v>
      </c>
      <c r="C393" s="3" t="s">
        <v>3145</v>
      </c>
      <c r="D393" s="3" t="s">
        <v>3255</v>
      </c>
      <c r="E393" s="3">
        <v>3</v>
      </c>
      <c r="F393" s="3" t="s">
        <v>3147</v>
      </c>
      <c r="G393" s="3" t="s">
        <v>3148</v>
      </c>
      <c r="H393" s="3" t="s">
        <v>17</v>
      </c>
      <c r="I393" s="3" t="s">
        <v>3256</v>
      </c>
      <c r="J393" t="s">
        <v>3171</v>
      </c>
      <c r="K393" s="147"/>
      <c r="L393" s="3">
        <v>1</v>
      </c>
      <c r="N393" s="148">
        <v>7376</v>
      </c>
      <c r="Q393" s="148">
        <v>1319</v>
      </c>
      <c r="R393" s="148">
        <f>Table242[[#This Row],[Material Unit Price]]+Table242[[#This Row],[Labor Unit Price]]+Table242[[#This Row],[GC + Manage+ Insur]]</f>
        <v>8695</v>
      </c>
      <c r="S393" s="148">
        <f>Table242[[#This Row],[Total Per Tool]]*Table242[[#This Row],[Tool QTY]]</f>
        <v>8695</v>
      </c>
      <c r="U393" s="149"/>
      <c r="W393" s="3"/>
      <c r="X39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8695</v>
      </c>
      <c r="Y393" s="150">
        <f>Table242[[#This Row],[Total AR (Received)]]/Table242[[#This Row],[PO Amount]]</f>
        <v>1</v>
      </c>
      <c r="Z393" s="151">
        <f>Table242[[#This Row],[PO Amount]]-Table242[[#This Row],[Total AR (Received)]]</f>
        <v>0</v>
      </c>
      <c r="AA393" s="151"/>
      <c r="AB393" s="151"/>
      <c r="AC393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93"/>
      <c r="AE393"/>
      <c r="AF393" s="148"/>
      <c r="AH393" s="2"/>
      <c r="BB393"/>
      <c r="BC393"/>
      <c r="BD393" s="154" t="s">
        <v>550</v>
      </c>
      <c r="BE393" s="2"/>
      <c r="BF393" s="169">
        <v>8695</v>
      </c>
      <c r="BG393"/>
      <c r="BH393"/>
      <c r="BI393"/>
      <c r="BJ393"/>
      <c r="BK393"/>
      <c r="BL393"/>
      <c r="BM393"/>
      <c r="BN393"/>
      <c r="BO393"/>
      <c r="BP393"/>
      <c r="BQ393"/>
      <c r="BR393" s="187">
        <f t="shared" si="6"/>
        <v>8695</v>
      </c>
    </row>
    <row r="394" spans="2:70" ht="14.45" hidden="1">
      <c r="B394" s="3" t="s">
        <v>49</v>
      </c>
      <c r="C394" s="3" t="s">
        <v>3145</v>
      </c>
      <c r="D394" s="3" t="s">
        <v>3257</v>
      </c>
      <c r="E394" s="3">
        <v>58</v>
      </c>
      <c r="F394" s="3" t="s">
        <v>3147</v>
      </c>
      <c r="G394" s="3" t="s">
        <v>3148</v>
      </c>
      <c r="H394" s="3" t="s">
        <v>17</v>
      </c>
      <c r="I394" s="3" t="s">
        <v>3258</v>
      </c>
      <c r="J394" t="s">
        <v>3153</v>
      </c>
      <c r="K394" s="147"/>
      <c r="L394" s="3">
        <v>1</v>
      </c>
      <c r="N394" s="148">
        <v>4989</v>
      </c>
      <c r="Q394" s="148">
        <v>891</v>
      </c>
      <c r="R394" s="148">
        <f>Table242[[#This Row],[Material Unit Price]]+Table242[[#This Row],[Labor Unit Price]]+Table242[[#This Row],[GC + Manage+ Insur]]</f>
        <v>5880</v>
      </c>
      <c r="S394" s="148">
        <f>Table242[[#This Row],[Total Per Tool]]*Table242[[#This Row],[Tool QTY]]</f>
        <v>5880</v>
      </c>
      <c r="U394" s="149"/>
      <c r="W394" s="3"/>
      <c r="X39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94" s="150">
        <f>Table242[[#This Row],[Total AR (Received)]]/Table242[[#This Row],[PO Amount]]</f>
        <v>0</v>
      </c>
      <c r="Z394" s="151">
        <f>Table242[[#This Row],[PO Amount]]-Table242[[#This Row],[Total AR (Received)]]</f>
        <v>5880</v>
      </c>
      <c r="AA394" s="151"/>
      <c r="AB394" s="151"/>
      <c r="AC394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94"/>
      <c r="AE394"/>
      <c r="AF394" s="148"/>
      <c r="AH394" s="2"/>
      <c r="BB394"/>
      <c r="BC394"/>
      <c r="BD394" s="154" t="s">
        <v>550</v>
      </c>
      <c r="BE394" s="2"/>
      <c r="BF394"/>
      <c r="BG394"/>
      <c r="BH394"/>
      <c r="BI394"/>
      <c r="BJ394"/>
      <c r="BK394"/>
      <c r="BL394"/>
      <c r="BM394"/>
      <c r="BN394"/>
      <c r="BO394"/>
      <c r="BP394"/>
      <c r="BQ394"/>
      <c r="BR394" s="156">
        <f t="shared" si="6"/>
        <v>0</v>
      </c>
    </row>
    <row r="395" spans="2:70" ht="14.45" hidden="1">
      <c r="B395" s="3" t="s">
        <v>49</v>
      </c>
      <c r="C395" s="3" t="s">
        <v>3145</v>
      </c>
      <c r="D395" s="3" t="s">
        <v>3259</v>
      </c>
      <c r="E395" s="3">
        <v>59</v>
      </c>
      <c r="F395" s="3" t="s">
        <v>3147</v>
      </c>
      <c r="G395" s="3" t="s">
        <v>3148</v>
      </c>
      <c r="H395" s="3" t="s">
        <v>17</v>
      </c>
      <c r="I395" s="3" t="s">
        <v>3260</v>
      </c>
      <c r="J395" t="s">
        <v>3153</v>
      </c>
      <c r="K395" s="147"/>
      <c r="L395" s="3">
        <v>1</v>
      </c>
      <c r="N395" s="148">
        <v>4989</v>
      </c>
      <c r="Q395" s="148">
        <v>891</v>
      </c>
      <c r="R395" s="148">
        <f>Table242[[#This Row],[Material Unit Price]]+Table242[[#This Row],[Labor Unit Price]]+Table242[[#This Row],[GC + Manage+ Insur]]</f>
        <v>5880</v>
      </c>
      <c r="S395" s="148">
        <f>Table242[[#This Row],[Total Per Tool]]*Table242[[#This Row],[Tool QTY]]</f>
        <v>5880</v>
      </c>
      <c r="U395" s="149"/>
      <c r="W395" s="3"/>
      <c r="X39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95" s="150">
        <f>Table242[[#This Row],[Total AR (Received)]]/Table242[[#This Row],[PO Amount]]</f>
        <v>0</v>
      </c>
      <c r="Z395" s="151">
        <f>Table242[[#This Row],[PO Amount]]-Table242[[#This Row],[Total AR (Received)]]</f>
        <v>5880</v>
      </c>
      <c r="AA395" s="151"/>
      <c r="AB395" s="151"/>
      <c r="AC395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95"/>
      <c r="AE395"/>
      <c r="AF395" s="148"/>
      <c r="AH395" s="2"/>
      <c r="BB395"/>
      <c r="BC395"/>
      <c r="BD395" s="154" t="s">
        <v>550</v>
      </c>
      <c r="BE395" s="2"/>
      <c r="BF395"/>
      <c r="BG395"/>
      <c r="BH395"/>
      <c r="BI395"/>
      <c r="BJ395"/>
      <c r="BK395"/>
      <c r="BL395"/>
      <c r="BM395"/>
      <c r="BN395"/>
      <c r="BO395"/>
      <c r="BP395"/>
      <c r="BQ395"/>
      <c r="BR395" s="156">
        <f t="shared" si="6"/>
        <v>0</v>
      </c>
    </row>
    <row r="396" spans="2:70" ht="14.45" hidden="1">
      <c r="B396" s="3" t="s">
        <v>49</v>
      </c>
      <c r="C396" s="3" t="s">
        <v>3145</v>
      </c>
      <c r="D396" s="3" t="s">
        <v>3261</v>
      </c>
      <c r="E396" s="3">
        <v>60</v>
      </c>
      <c r="F396" s="3" t="s">
        <v>3147</v>
      </c>
      <c r="G396" s="3" t="s">
        <v>3148</v>
      </c>
      <c r="H396" s="3" t="s">
        <v>17</v>
      </c>
      <c r="I396" s="3" t="s">
        <v>3262</v>
      </c>
      <c r="J396" t="s">
        <v>3153</v>
      </c>
      <c r="K396" s="147"/>
      <c r="L396" s="3">
        <v>1</v>
      </c>
      <c r="N396" s="148">
        <v>4989</v>
      </c>
      <c r="Q396" s="148">
        <v>891</v>
      </c>
      <c r="R396" s="148">
        <f>Table242[[#This Row],[Material Unit Price]]+Table242[[#This Row],[Labor Unit Price]]+Table242[[#This Row],[GC + Manage+ Insur]]</f>
        <v>5880</v>
      </c>
      <c r="S396" s="148">
        <f>Table242[[#This Row],[Total Per Tool]]*Table242[[#This Row],[Tool QTY]]</f>
        <v>5880</v>
      </c>
      <c r="U396" s="149"/>
      <c r="W396" s="3"/>
      <c r="X39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96" s="150">
        <f>Table242[[#This Row],[Total AR (Received)]]/Table242[[#This Row],[PO Amount]]</f>
        <v>0</v>
      </c>
      <c r="Z396" s="151">
        <f>Table242[[#This Row],[PO Amount]]-Table242[[#This Row],[Total AR (Received)]]</f>
        <v>5880</v>
      </c>
      <c r="AA396" s="151"/>
      <c r="AB396" s="151"/>
      <c r="AC396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96"/>
      <c r="AE396"/>
      <c r="AF396" s="148"/>
      <c r="AH396" s="2"/>
      <c r="BB396"/>
      <c r="BC396"/>
      <c r="BD396" s="154" t="s">
        <v>550</v>
      </c>
      <c r="BE396" s="2"/>
      <c r="BF396"/>
      <c r="BG396"/>
      <c r="BH396"/>
      <c r="BI396"/>
      <c r="BJ396"/>
      <c r="BK396"/>
      <c r="BL396"/>
      <c r="BM396"/>
      <c r="BN396"/>
      <c r="BO396"/>
      <c r="BP396"/>
      <c r="BQ396"/>
      <c r="BR396" s="156">
        <f t="shared" si="6"/>
        <v>0</v>
      </c>
    </row>
    <row r="397" spans="2:70" ht="14.45" hidden="1">
      <c r="B397" s="3" t="s">
        <v>49</v>
      </c>
      <c r="C397" s="3"/>
      <c r="D397" s="3" t="s">
        <v>3263</v>
      </c>
      <c r="E397" s="3">
        <v>61</v>
      </c>
      <c r="F397" s="3" t="s">
        <v>3147</v>
      </c>
      <c r="G397" s="3"/>
      <c r="H397" s="3" t="s">
        <v>17</v>
      </c>
      <c r="I397" s="3" t="s">
        <v>3264</v>
      </c>
      <c r="J397" t="s">
        <v>3153</v>
      </c>
      <c r="K397" s="147"/>
      <c r="L397" s="3">
        <v>1</v>
      </c>
      <c r="N397" s="148">
        <v>4989</v>
      </c>
      <c r="Q397" s="148">
        <v>891</v>
      </c>
      <c r="R397" s="148">
        <f>Table242[[#This Row],[Material Unit Price]]+Table242[[#This Row],[Labor Unit Price]]+Table242[[#This Row],[GC + Manage+ Insur]]</f>
        <v>5880</v>
      </c>
      <c r="S397" s="148">
        <f>Table242[[#This Row],[Total Per Tool]]*Table242[[#This Row],[Tool QTY]]</f>
        <v>5880</v>
      </c>
      <c r="U397" s="149"/>
      <c r="W397" s="3"/>
      <c r="X39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97" s="150">
        <f>Table242[[#This Row],[Total AR (Received)]]/Table242[[#This Row],[PO Amount]]</f>
        <v>0</v>
      </c>
      <c r="Z397" s="151">
        <f>Table242[[#This Row],[PO Amount]]-Table242[[#This Row],[Total AR (Received)]]</f>
        <v>5880</v>
      </c>
      <c r="AA397" s="151"/>
      <c r="AB397" s="151"/>
      <c r="AC397" s="152"/>
      <c r="AD397"/>
      <c r="AE397"/>
      <c r="AF397" s="148"/>
      <c r="AH397" s="2"/>
      <c r="BB397"/>
      <c r="BC397"/>
      <c r="BD397" s="154" t="s">
        <v>550</v>
      </c>
      <c r="BE397" s="2"/>
      <c r="BF397"/>
      <c r="BG397"/>
      <c r="BH397"/>
      <c r="BI397"/>
      <c r="BJ397"/>
      <c r="BK397"/>
      <c r="BL397"/>
      <c r="BM397"/>
      <c r="BN397"/>
      <c r="BO397"/>
      <c r="BP397"/>
      <c r="BQ397"/>
      <c r="BR397" s="156">
        <f t="shared" si="6"/>
        <v>0</v>
      </c>
    </row>
    <row r="398" spans="2:70" ht="14.45" hidden="1">
      <c r="B398" s="3" t="s">
        <v>49</v>
      </c>
      <c r="C398" s="3"/>
      <c r="D398" s="3" t="s">
        <v>3265</v>
      </c>
      <c r="E398" s="3">
        <v>62</v>
      </c>
      <c r="F398" s="3" t="s">
        <v>3147</v>
      </c>
      <c r="G398" s="3"/>
      <c r="H398" s="3" t="s">
        <v>17</v>
      </c>
      <c r="I398" s="3" t="s">
        <v>3266</v>
      </c>
      <c r="J398" t="s">
        <v>3153</v>
      </c>
      <c r="K398" s="147"/>
      <c r="L398" s="3">
        <v>1</v>
      </c>
      <c r="N398" s="148">
        <v>4989</v>
      </c>
      <c r="Q398" s="148">
        <v>891</v>
      </c>
      <c r="R398" s="148">
        <f>Table242[[#This Row],[Material Unit Price]]+Table242[[#This Row],[Labor Unit Price]]+Table242[[#This Row],[GC + Manage+ Insur]]</f>
        <v>5880</v>
      </c>
      <c r="S398" s="148">
        <f>Table242[[#This Row],[Total Per Tool]]*Table242[[#This Row],[Tool QTY]]</f>
        <v>5880</v>
      </c>
      <c r="U398" s="149"/>
      <c r="W398" s="3"/>
      <c r="X39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398" s="150">
        <f>Table242[[#This Row],[Total AR (Received)]]/Table242[[#This Row],[PO Amount]]</f>
        <v>0</v>
      </c>
      <c r="Z398" s="151">
        <f>Table242[[#This Row],[PO Amount]]-Table242[[#This Row],[Total AR (Received)]]</f>
        <v>5880</v>
      </c>
      <c r="AA398" s="151"/>
      <c r="AB398" s="151"/>
      <c r="AC398" s="152"/>
      <c r="AD398"/>
      <c r="AE398"/>
      <c r="AF398" s="148"/>
      <c r="AH398" s="2"/>
      <c r="BB398"/>
      <c r="BC398"/>
      <c r="BD398" s="154" t="s">
        <v>550</v>
      </c>
      <c r="BE398" s="2"/>
      <c r="BF398"/>
      <c r="BG398"/>
      <c r="BH398"/>
      <c r="BI398"/>
      <c r="BJ398"/>
      <c r="BK398"/>
      <c r="BL398"/>
      <c r="BM398"/>
      <c r="BN398"/>
      <c r="BO398"/>
      <c r="BP398"/>
      <c r="BQ398"/>
      <c r="BR398" s="156">
        <f t="shared" si="6"/>
        <v>0</v>
      </c>
    </row>
    <row r="399" spans="2:70" ht="14.45" hidden="1">
      <c r="B399" s="3" t="s">
        <v>49</v>
      </c>
      <c r="C399" s="3" t="s">
        <v>3145</v>
      </c>
      <c r="D399" s="3" t="s">
        <v>3267</v>
      </c>
      <c r="E399" s="3">
        <v>63</v>
      </c>
      <c r="F399" s="3" t="s">
        <v>3147</v>
      </c>
      <c r="G399" s="3" t="s">
        <v>3148</v>
      </c>
      <c r="H399" s="3" t="s">
        <v>17</v>
      </c>
      <c r="I399" s="3" t="s">
        <v>3268</v>
      </c>
      <c r="J399" t="s">
        <v>3269</v>
      </c>
      <c r="K399" s="147"/>
      <c r="L399" s="3">
        <v>1</v>
      </c>
      <c r="N399" s="148">
        <v>9253</v>
      </c>
      <c r="Q399" s="148">
        <v>1653</v>
      </c>
      <c r="R399" s="148">
        <f>Table242[[#This Row],[Material Unit Price]]+Table242[[#This Row],[Labor Unit Price]]+Table242[[#This Row],[GC + Manage+ Insur]]</f>
        <v>10906</v>
      </c>
      <c r="S399" s="148">
        <f>Table242[[#This Row],[Total Per Tool]]*Table242[[#This Row],[Tool QTY]]</f>
        <v>10906</v>
      </c>
      <c r="U399" s="149">
        <v>44895</v>
      </c>
      <c r="W399" s="3" t="s">
        <v>3083</v>
      </c>
      <c r="X39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10906</v>
      </c>
      <c r="Y399" s="150">
        <f>Table242[[#This Row],[Total AR (Received)]]/Table242[[#This Row],[PO Amount]]</f>
        <v>1</v>
      </c>
      <c r="Z399" s="151">
        <f>Table242[[#This Row],[PO Amount]]-Table242[[#This Row],[Total AR (Received)]]</f>
        <v>0</v>
      </c>
      <c r="AA399" s="151"/>
      <c r="AB399" s="151"/>
      <c r="AC399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399"/>
      <c r="AE399"/>
      <c r="AF399" s="148"/>
      <c r="AH399" s="2"/>
      <c r="BB399"/>
      <c r="BC399"/>
      <c r="BD399" s="154" t="s">
        <v>550</v>
      </c>
      <c r="BE399" s="2"/>
      <c r="BF399"/>
      <c r="BG399"/>
      <c r="BH399"/>
      <c r="BI399"/>
      <c r="BJ399" s="319">
        <v>10906</v>
      </c>
      <c r="BK399"/>
      <c r="BL399"/>
      <c r="BM399"/>
      <c r="BN399"/>
      <c r="BO399"/>
      <c r="BP399"/>
      <c r="BQ399"/>
      <c r="BR399" s="156">
        <f t="shared" si="6"/>
        <v>0</v>
      </c>
    </row>
    <row r="400" spans="2:70" ht="14.45" hidden="1">
      <c r="B400" s="3" t="s">
        <v>49</v>
      </c>
      <c r="C400" s="3" t="s">
        <v>3145</v>
      </c>
      <c r="D400" s="3" t="s">
        <v>3270</v>
      </c>
      <c r="E400" s="3">
        <v>64</v>
      </c>
      <c r="F400" s="3" t="s">
        <v>3147</v>
      </c>
      <c r="G400" s="3" t="s">
        <v>3148</v>
      </c>
      <c r="H400" s="3" t="s">
        <v>17</v>
      </c>
      <c r="I400" s="3" t="s">
        <v>3271</v>
      </c>
      <c r="J400" t="s">
        <v>3269</v>
      </c>
      <c r="K400" s="147"/>
      <c r="L400" s="3">
        <v>1</v>
      </c>
      <c r="N400" s="148">
        <v>9253</v>
      </c>
      <c r="Q400" s="148">
        <v>1653</v>
      </c>
      <c r="R400" s="148">
        <f>Table242[[#This Row],[Material Unit Price]]+Table242[[#This Row],[Labor Unit Price]]+Table242[[#This Row],[GC + Manage+ Insur]]</f>
        <v>10906</v>
      </c>
      <c r="S400" s="148">
        <f>Table242[[#This Row],[Total Per Tool]]*Table242[[#This Row],[Tool QTY]]</f>
        <v>10906</v>
      </c>
      <c r="U400" s="149"/>
      <c r="W400" s="3"/>
      <c r="X40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400" s="150">
        <f>Table242[[#This Row],[Total AR (Received)]]/Table242[[#This Row],[PO Amount]]</f>
        <v>0</v>
      </c>
      <c r="Z400" s="151">
        <f>Table242[[#This Row],[PO Amount]]-Table242[[#This Row],[Total AR (Received)]]</f>
        <v>10906</v>
      </c>
      <c r="AA400" s="151"/>
      <c r="AB400" s="151"/>
      <c r="AC400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00"/>
      <c r="AE400"/>
      <c r="AF400" s="148"/>
      <c r="AH400" s="2"/>
      <c r="BB400"/>
      <c r="BC400"/>
      <c r="BD400" s="154" t="s">
        <v>550</v>
      </c>
      <c r="BE400" s="2"/>
      <c r="BF400"/>
      <c r="BG400"/>
      <c r="BH400"/>
      <c r="BI400"/>
      <c r="BJ400"/>
      <c r="BK400"/>
      <c r="BL400"/>
      <c r="BM400"/>
      <c r="BN400"/>
      <c r="BO400"/>
      <c r="BP400"/>
      <c r="BQ400"/>
      <c r="BR400" s="156">
        <f t="shared" si="6"/>
        <v>0</v>
      </c>
    </row>
    <row r="401" spans="2:70" ht="14.45" hidden="1">
      <c r="B401" s="3" t="s">
        <v>49</v>
      </c>
      <c r="C401" s="3" t="s">
        <v>3145</v>
      </c>
      <c r="D401" s="3" t="s">
        <v>3272</v>
      </c>
      <c r="E401" s="3">
        <v>4</v>
      </c>
      <c r="F401" s="3" t="s">
        <v>3147</v>
      </c>
      <c r="G401" s="3" t="s">
        <v>3148</v>
      </c>
      <c r="H401" s="3" t="s">
        <v>17</v>
      </c>
      <c r="I401" s="3" t="s">
        <v>3273</v>
      </c>
      <c r="J401" t="s">
        <v>3171</v>
      </c>
      <c r="K401" s="147"/>
      <c r="L401" s="3">
        <v>1</v>
      </c>
      <c r="N401" s="148">
        <v>7376</v>
      </c>
      <c r="Q401" s="148">
        <v>1319</v>
      </c>
      <c r="R401" s="148">
        <f>Table242[[#This Row],[Material Unit Price]]+Table242[[#This Row],[Labor Unit Price]]+Table242[[#This Row],[GC + Manage+ Insur]]</f>
        <v>8695</v>
      </c>
      <c r="S401" s="148">
        <f>Table242[[#This Row],[Total Per Tool]]*Table242[[#This Row],[Tool QTY]]</f>
        <v>8695</v>
      </c>
      <c r="U401" s="149"/>
      <c r="W401" s="3"/>
      <c r="X40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8695</v>
      </c>
      <c r="Y401" s="150">
        <f>Table242[[#This Row],[Total AR (Received)]]/Table242[[#This Row],[PO Amount]]</f>
        <v>1</v>
      </c>
      <c r="Z401" s="151">
        <f>Table242[[#This Row],[PO Amount]]-Table242[[#This Row],[Total AR (Received)]]</f>
        <v>0</v>
      </c>
      <c r="AA401" s="151"/>
      <c r="AB401" s="151"/>
      <c r="AC401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01"/>
      <c r="AE401"/>
      <c r="AF401" s="148"/>
      <c r="AH401" s="2"/>
      <c r="BB401"/>
      <c r="BC401"/>
      <c r="BD401" s="154" t="s">
        <v>550</v>
      </c>
      <c r="BE401" s="2"/>
      <c r="BF401" s="169">
        <v>8695</v>
      </c>
      <c r="BG401"/>
      <c r="BH401"/>
      <c r="BI401"/>
      <c r="BJ401"/>
      <c r="BK401"/>
      <c r="BL401"/>
      <c r="BM401"/>
      <c r="BN401"/>
      <c r="BO401"/>
      <c r="BP401"/>
      <c r="BQ401"/>
      <c r="BR401" s="187">
        <f t="shared" si="6"/>
        <v>8695</v>
      </c>
    </row>
    <row r="402" spans="2:70" ht="14.45" hidden="1">
      <c r="B402" s="3" t="s">
        <v>49</v>
      </c>
      <c r="C402" s="3" t="s">
        <v>3145</v>
      </c>
      <c r="D402" s="3" t="s">
        <v>3274</v>
      </c>
      <c r="E402" s="3">
        <v>9</v>
      </c>
      <c r="F402" s="3" t="s">
        <v>3147</v>
      </c>
      <c r="G402" s="3" t="s">
        <v>3148</v>
      </c>
      <c r="H402" s="3" t="s">
        <v>17</v>
      </c>
      <c r="I402" s="3" t="s">
        <v>3275</v>
      </c>
      <c r="J402" t="s">
        <v>3186</v>
      </c>
      <c r="K402" s="147"/>
      <c r="L402" s="3">
        <v>1</v>
      </c>
      <c r="N402" s="148">
        <v>782</v>
      </c>
      <c r="Q402" s="148">
        <v>139</v>
      </c>
      <c r="R402" s="148">
        <f>Table242[[#This Row],[Material Unit Price]]+Table242[[#This Row],[Labor Unit Price]]+Table242[[#This Row],[GC + Manage+ Insur]]</f>
        <v>921</v>
      </c>
      <c r="S402" s="148">
        <f>Table242[[#This Row],[Total Per Tool]]*Table242[[#This Row],[Tool QTY]]</f>
        <v>921</v>
      </c>
      <c r="U402" s="149"/>
      <c r="W402" s="3"/>
      <c r="X40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921</v>
      </c>
      <c r="Y402" s="150">
        <f>Table242[[#This Row],[Total AR (Received)]]/Table242[[#This Row],[PO Amount]]</f>
        <v>1</v>
      </c>
      <c r="Z402" s="151">
        <f>Table242[[#This Row],[PO Amount]]-Table242[[#This Row],[Total AR (Received)]]</f>
        <v>0</v>
      </c>
      <c r="AA402" s="151"/>
      <c r="AB402" s="151"/>
      <c r="AC402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02"/>
      <c r="AE402"/>
      <c r="AF402" s="148"/>
      <c r="AH402" s="2"/>
      <c r="BB402"/>
      <c r="BC402"/>
      <c r="BD402" s="154" t="s">
        <v>550</v>
      </c>
      <c r="BE402" s="2"/>
      <c r="BF402" s="169">
        <v>921</v>
      </c>
      <c r="BG402"/>
      <c r="BH402"/>
      <c r="BI402"/>
      <c r="BJ402"/>
      <c r="BK402"/>
      <c r="BL402"/>
      <c r="BM402"/>
      <c r="BN402"/>
      <c r="BO402"/>
      <c r="BP402"/>
      <c r="BQ402"/>
      <c r="BR402" s="156">
        <f t="shared" si="6"/>
        <v>921</v>
      </c>
    </row>
    <row r="403" spans="2:70" ht="14.45" hidden="1">
      <c r="B403" s="3" t="s">
        <v>49</v>
      </c>
      <c r="C403" s="3" t="s">
        <v>3145</v>
      </c>
      <c r="D403" s="3" t="s">
        <v>3276</v>
      </c>
      <c r="E403" s="3">
        <v>68</v>
      </c>
      <c r="F403" s="3" t="s">
        <v>3147</v>
      </c>
      <c r="G403" s="3" t="s">
        <v>3148</v>
      </c>
      <c r="H403" s="3" t="s">
        <v>17</v>
      </c>
      <c r="I403" s="3" t="s">
        <v>3277</v>
      </c>
      <c r="J403" t="s">
        <v>3156</v>
      </c>
      <c r="K403" s="147"/>
      <c r="L403" s="3">
        <v>1</v>
      </c>
      <c r="N403" s="148">
        <v>9025</v>
      </c>
      <c r="Q403" s="148">
        <v>1613</v>
      </c>
      <c r="R403" s="148">
        <f>Table242[[#This Row],[Material Unit Price]]+Table242[[#This Row],[Labor Unit Price]]+Table242[[#This Row],[GC + Manage+ Insur]]</f>
        <v>10638</v>
      </c>
      <c r="S403" s="148">
        <f>Table242[[#This Row],[Total Per Tool]]*Table242[[#This Row],[Tool QTY]]</f>
        <v>10638</v>
      </c>
      <c r="U403" s="149"/>
      <c r="W403" s="3"/>
      <c r="X40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403" s="150">
        <f>Table242[[#This Row],[Total AR (Received)]]/Table242[[#This Row],[PO Amount]]</f>
        <v>0</v>
      </c>
      <c r="Z403" s="151">
        <f>Table242[[#This Row],[PO Amount]]-Table242[[#This Row],[Total AR (Received)]]</f>
        <v>10638</v>
      </c>
      <c r="AA403" s="151"/>
      <c r="AB403" s="151"/>
      <c r="AC403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03"/>
      <c r="AE403"/>
      <c r="AF403" s="148"/>
      <c r="AH403" s="2"/>
      <c r="BB403"/>
      <c r="BC403"/>
      <c r="BD403" s="154" t="s">
        <v>550</v>
      </c>
      <c r="BE403" s="2"/>
      <c r="BF403"/>
      <c r="BG403"/>
      <c r="BH403"/>
      <c r="BI403"/>
      <c r="BJ403"/>
      <c r="BK403"/>
      <c r="BL403"/>
      <c r="BM403"/>
      <c r="BN403"/>
      <c r="BO403"/>
      <c r="BP403"/>
      <c r="BQ403"/>
      <c r="BR403" s="156">
        <f t="shared" si="6"/>
        <v>0</v>
      </c>
    </row>
    <row r="404" spans="2:70" ht="14.45" hidden="1">
      <c r="B404" s="3" t="s">
        <v>49</v>
      </c>
      <c r="C404" s="3" t="s">
        <v>3145</v>
      </c>
      <c r="D404" s="3" t="s">
        <v>3278</v>
      </c>
      <c r="E404" s="3">
        <v>69</v>
      </c>
      <c r="F404" s="3" t="s">
        <v>3147</v>
      </c>
      <c r="G404" s="3" t="s">
        <v>3148</v>
      </c>
      <c r="H404" s="3" t="s">
        <v>17</v>
      </c>
      <c r="I404" s="3" t="s">
        <v>3279</v>
      </c>
      <c r="J404" t="s">
        <v>3156</v>
      </c>
      <c r="K404" s="147"/>
      <c r="L404" s="3">
        <v>1</v>
      </c>
      <c r="N404" s="148">
        <v>9025</v>
      </c>
      <c r="Q404" s="148">
        <v>1613</v>
      </c>
      <c r="R404" s="148">
        <f>Table242[[#This Row],[Material Unit Price]]+Table242[[#This Row],[Labor Unit Price]]+Table242[[#This Row],[GC + Manage+ Insur]]</f>
        <v>10638</v>
      </c>
      <c r="S404" s="148">
        <f>Table242[[#This Row],[Total Per Tool]]*Table242[[#This Row],[Tool QTY]]</f>
        <v>10638</v>
      </c>
      <c r="U404" s="149"/>
      <c r="W404" s="3"/>
      <c r="X40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404" s="150">
        <f>Table242[[#This Row],[Total AR (Received)]]/Table242[[#This Row],[PO Amount]]</f>
        <v>0</v>
      </c>
      <c r="Z404" s="151">
        <f>Table242[[#This Row],[PO Amount]]-Table242[[#This Row],[Total AR (Received)]]</f>
        <v>10638</v>
      </c>
      <c r="AA404" s="151"/>
      <c r="AB404" s="151"/>
      <c r="AC404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04"/>
      <c r="AE404"/>
      <c r="AF404" s="148"/>
      <c r="AH404" s="2"/>
      <c r="BB404"/>
      <c r="BC404"/>
      <c r="BD404" s="154" t="s">
        <v>550</v>
      </c>
      <c r="BE404" s="2"/>
      <c r="BF404"/>
      <c r="BG404"/>
      <c r="BH404"/>
      <c r="BI404"/>
      <c r="BJ404"/>
      <c r="BK404"/>
      <c r="BL404"/>
      <c r="BM404"/>
      <c r="BN404"/>
      <c r="BO404"/>
      <c r="BP404"/>
      <c r="BQ404"/>
      <c r="BR404" s="156">
        <f t="shared" si="6"/>
        <v>0</v>
      </c>
    </row>
    <row r="405" spans="2:70" ht="14.45" hidden="1">
      <c r="B405" s="3" t="s">
        <v>49</v>
      </c>
      <c r="C405" s="3" t="s">
        <v>3145</v>
      </c>
      <c r="D405" s="3" t="s">
        <v>3280</v>
      </c>
      <c r="E405" s="3">
        <v>70</v>
      </c>
      <c r="F405" s="3" t="s">
        <v>3147</v>
      </c>
      <c r="G405" s="3" t="s">
        <v>3148</v>
      </c>
      <c r="H405" s="3" t="s">
        <v>17</v>
      </c>
      <c r="I405" s="3" t="s">
        <v>3281</v>
      </c>
      <c r="J405" t="s">
        <v>3156</v>
      </c>
      <c r="K405" s="147"/>
      <c r="L405" s="3">
        <v>1</v>
      </c>
      <c r="N405" s="148">
        <v>9025</v>
      </c>
      <c r="Q405" s="148">
        <v>1613</v>
      </c>
      <c r="R405" s="148">
        <f>Table242[[#This Row],[Material Unit Price]]+Table242[[#This Row],[Labor Unit Price]]+Table242[[#This Row],[GC + Manage+ Insur]]</f>
        <v>10638</v>
      </c>
      <c r="S405" s="148">
        <f>Table242[[#This Row],[Total Per Tool]]*Table242[[#This Row],[Tool QTY]]</f>
        <v>10638</v>
      </c>
      <c r="U405" s="149"/>
      <c r="W405" s="3"/>
      <c r="X40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405" s="150">
        <f>Table242[[#This Row],[Total AR (Received)]]/Table242[[#This Row],[PO Amount]]</f>
        <v>0</v>
      </c>
      <c r="Z405" s="151">
        <f>Table242[[#This Row],[PO Amount]]-Table242[[#This Row],[Total AR (Received)]]</f>
        <v>10638</v>
      </c>
      <c r="AA405" s="151"/>
      <c r="AB405" s="151"/>
      <c r="AC405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05"/>
      <c r="AE405"/>
      <c r="AF405" s="148"/>
      <c r="AH405" s="2"/>
      <c r="BB405"/>
      <c r="BC405"/>
      <c r="BD405" s="154" t="s">
        <v>550</v>
      </c>
      <c r="BE405" s="2"/>
      <c r="BF405"/>
      <c r="BG405"/>
      <c r="BH405"/>
      <c r="BI405"/>
      <c r="BJ405"/>
      <c r="BK405"/>
      <c r="BL405"/>
      <c r="BM405"/>
      <c r="BN405"/>
      <c r="BO405"/>
      <c r="BP405"/>
      <c r="BQ405"/>
      <c r="BR405" s="156">
        <f t="shared" si="6"/>
        <v>0</v>
      </c>
    </row>
    <row r="406" spans="2:70" ht="14.45" hidden="1">
      <c r="B406" s="3" t="s">
        <v>49</v>
      </c>
      <c r="C406" s="3" t="s">
        <v>3145</v>
      </c>
      <c r="D406" s="3" t="s">
        <v>3282</v>
      </c>
      <c r="E406" s="3">
        <v>71</v>
      </c>
      <c r="F406" s="3" t="s">
        <v>3147</v>
      </c>
      <c r="G406" s="3" t="s">
        <v>3148</v>
      </c>
      <c r="H406" s="3" t="s">
        <v>17</v>
      </c>
      <c r="I406" s="3" t="s">
        <v>3283</v>
      </c>
      <c r="J406" t="s">
        <v>3284</v>
      </c>
      <c r="K406" s="147"/>
      <c r="L406" s="3">
        <v>1</v>
      </c>
      <c r="N406" s="148">
        <v>3738</v>
      </c>
      <c r="Q406" s="148">
        <v>668</v>
      </c>
      <c r="R406" s="148">
        <f>Table242[[#This Row],[Material Unit Price]]+Table242[[#This Row],[Labor Unit Price]]+Table242[[#This Row],[GC + Manage+ Insur]]</f>
        <v>4406</v>
      </c>
      <c r="S406" s="148">
        <f>Table242[[#This Row],[Total Per Tool]]*Table242[[#This Row],[Tool QTY]]</f>
        <v>4406</v>
      </c>
      <c r="U406" s="149"/>
      <c r="W406" s="3"/>
      <c r="X40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406" s="150">
        <f>Table242[[#This Row],[Total AR (Received)]]/Table242[[#This Row],[PO Amount]]</f>
        <v>0</v>
      </c>
      <c r="Z406" s="151">
        <f>Table242[[#This Row],[PO Amount]]-Table242[[#This Row],[Total AR (Received)]]</f>
        <v>4406</v>
      </c>
      <c r="AA406" s="151"/>
      <c r="AB406" s="151"/>
      <c r="AC406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06"/>
      <c r="AE406"/>
      <c r="AF406" s="148"/>
      <c r="AH406" s="2"/>
      <c r="BB406"/>
      <c r="BC406"/>
      <c r="BD406" s="154" t="s">
        <v>550</v>
      </c>
      <c r="BE406" s="2"/>
      <c r="BF406"/>
      <c r="BG406"/>
      <c r="BH406"/>
      <c r="BI406"/>
      <c r="BJ406"/>
      <c r="BK406"/>
      <c r="BL406"/>
      <c r="BM406"/>
      <c r="BN406"/>
      <c r="BO406"/>
      <c r="BP406"/>
      <c r="BQ406"/>
      <c r="BR406" s="156">
        <f t="shared" si="6"/>
        <v>0</v>
      </c>
    </row>
    <row r="407" spans="2:70" ht="14.45" hidden="1">
      <c r="B407" s="3" t="s">
        <v>49</v>
      </c>
      <c r="C407" s="3" t="s">
        <v>3145</v>
      </c>
      <c r="D407" s="3" t="s">
        <v>3285</v>
      </c>
      <c r="E407" s="3">
        <v>72</v>
      </c>
      <c r="F407" s="3" t="s">
        <v>3147</v>
      </c>
      <c r="G407" s="3" t="s">
        <v>3148</v>
      </c>
      <c r="H407" s="3" t="s">
        <v>17</v>
      </c>
      <c r="I407" s="3" t="s">
        <v>3286</v>
      </c>
      <c r="J407" t="s">
        <v>3287</v>
      </c>
      <c r="K407" s="147"/>
      <c r="L407" s="3">
        <v>1</v>
      </c>
      <c r="N407" s="148">
        <v>8670</v>
      </c>
      <c r="Q407" s="148">
        <v>1549</v>
      </c>
      <c r="R407" s="148">
        <f>Table242[[#This Row],[Material Unit Price]]+Table242[[#This Row],[Labor Unit Price]]+Table242[[#This Row],[GC + Manage+ Insur]]</f>
        <v>10219</v>
      </c>
      <c r="S407" s="148">
        <f>Table242[[#This Row],[Total Per Tool]]*Table242[[#This Row],[Tool QTY]]</f>
        <v>10219</v>
      </c>
      <c r="U407" s="149">
        <v>44895</v>
      </c>
      <c r="W407" s="3" t="s">
        <v>3083</v>
      </c>
      <c r="X40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10219</v>
      </c>
      <c r="Y407" s="150">
        <f>Table242[[#This Row],[Total AR (Received)]]/Table242[[#This Row],[PO Amount]]</f>
        <v>1</v>
      </c>
      <c r="Z407" s="151">
        <f>Table242[[#This Row],[PO Amount]]-Table242[[#This Row],[Total AR (Received)]]</f>
        <v>0</v>
      </c>
      <c r="AA407" s="151"/>
      <c r="AB407" s="151"/>
      <c r="AC407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07"/>
      <c r="AE407"/>
      <c r="AF407" s="148"/>
      <c r="AH407" s="2"/>
      <c r="BB407"/>
      <c r="BC407"/>
      <c r="BD407" s="154" t="s">
        <v>550</v>
      </c>
      <c r="BE407" s="2"/>
      <c r="BF407"/>
      <c r="BG407"/>
      <c r="BH407"/>
      <c r="BI407"/>
      <c r="BJ407" s="169">
        <v>10219</v>
      </c>
      <c r="BK407"/>
      <c r="BL407"/>
      <c r="BM407"/>
      <c r="BN407"/>
      <c r="BO407"/>
      <c r="BP407"/>
      <c r="BQ407"/>
      <c r="BR407" s="156">
        <f t="shared" si="6"/>
        <v>0</v>
      </c>
    </row>
    <row r="408" spans="2:70" ht="14.45" hidden="1">
      <c r="B408" s="3" t="s">
        <v>49</v>
      </c>
      <c r="C408" s="3" t="s">
        <v>3145</v>
      </c>
      <c r="D408" s="3" t="s">
        <v>3288</v>
      </c>
      <c r="E408" s="3">
        <v>73</v>
      </c>
      <c r="F408" s="3" t="s">
        <v>3147</v>
      </c>
      <c r="G408" s="3" t="s">
        <v>3148</v>
      </c>
      <c r="H408" s="3" t="s">
        <v>17</v>
      </c>
      <c r="I408" s="3" t="s">
        <v>3289</v>
      </c>
      <c r="J408" t="s">
        <v>3287</v>
      </c>
      <c r="K408" s="147"/>
      <c r="L408" s="3">
        <v>1</v>
      </c>
      <c r="N408" s="148">
        <v>8670</v>
      </c>
      <c r="Q408" s="148">
        <v>1549</v>
      </c>
      <c r="R408" s="148">
        <f>Table242[[#This Row],[Material Unit Price]]+Table242[[#This Row],[Labor Unit Price]]+Table242[[#This Row],[GC + Manage+ Insur]]</f>
        <v>10219</v>
      </c>
      <c r="S408" s="148">
        <f>Table242[[#This Row],[Total Per Tool]]*Table242[[#This Row],[Tool QTY]]</f>
        <v>10219</v>
      </c>
      <c r="U408" s="149"/>
      <c r="W408" s="3"/>
      <c r="X40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408" s="150">
        <f>Table242[[#This Row],[Total AR (Received)]]/Table242[[#This Row],[PO Amount]]</f>
        <v>0</v>
      </c>
      <c r="Z408" s="151">
        <f>Table242[[#This Row],[PO Amount]]-Table242[[#This Row],[Total AR (Received)]]</f>
        <v>10219</v>
      </c>
      <c r="AA408" s="151"/>
      <c r="AB408" s="151"/>
      <c r="AC408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08"/>
      <c r="AE408"/>
      <c r="AF408" s="148"/>
      <c r="AH408" s="2"/>
      <c r="BB408"/>
      <c r="BC408"/>
      <c r="BD408" s="154" t="s">
        <v>550</v>
      </c>
      <c r="BE408" s="2"/>
      <c r="BF408"/>
      <c r="BG408"/>
      <c r="BH408"/>
      <c r="BI408"/>
      <c r="BJ408"/>
      <c r="BK408"/>
      <c r="BL408"/>
      <c r="BM408"/>
      <c r="BN408"/>
      <c r="BO408"/>
      <c r="BP408"/>
      <c r="BQ408"/>
      <c r="BR408" s="156">
        <f t="shared" si="6"/>
        <v>0</v>
      </c>
    </row>
    <row r="409" spans="2:70" ht="14.45" hidden="1">
      <c r="B409" s="3" t="s">
        <v>49</v>
      </c>
      <c r="C409" s="3" t="s">
        <v>3145</v>
      </c>
      <c r="D409" s="3" t="s">
        <v>3290</v>
      </c>
      <c r="E409" s="3">
        <v>14</v>
      </c>
      <c r="F409" s="3" t="s">
        <v>3147</v>
      </c>
      <c r="G409" s="3" t="s">
        <v>3148</v>
      </c>
      <c r="H409" s="3" t="s">
        <v>17</v>
      </c>
      <c r="I409" s="3" t="s">
        <v>3291</v>
      </c>
      <c r="J409" t="s">
        <v>3150</v>
      </c>
      <c r="K409" s="147"/>
      <c r="L409" s="3">
        <v>1</v>
      </c>
      <c r="M409" s="151"/>
      <c r="N409" s="148">
        <v>3795</v>
      </c>
      <c r="Q409" s="148">
        <v>678</v>
      </c>
      <c r="R409" s="148">
        <f>Table242[[#This Row],[Material Unit Price]]+Table242[[#This Row],[Labor Unit Price]]+Table242[[#This Row],[GC + Manage+ Insur]]</f>
        <v>4473</v>
      </c>
      <c r="S409" s="148">
        <f>Table242[[#This Row],[Total Per Tool]]*Table242[[#This Row],[Tool QTY]]</f>
        <v>4473</v>
      </c>
      <c r="U409" s="149"/>
      <c r="W409" s="3"/>
      <c r="X40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4473</v>
      </c>
      <c r="Y409" s="150">
        <f>Table242[[#This Row],[Total AR (Received)]]/Table242[[#This Row],[PO Amount]]</f>
        <v>1</v>
      </c>
      <c r="Z409" s="151">
        <f>Table242[[#This Row],[PO Amount]]-Table242[[#This Row],[Total AR (Received)]]</f>
        <v>0</v>
      </c>
      <c r="AA409" s="151"/>
      <c r="AB409" s="151"/>
      <c r="AC409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09"/>
      <c r="AE409"/>
      <c r="AF409" s="148"/>
      <c r="AH409" s="2"/>
      <c r="BB409"/>
      <c r="BC409"/>
      <c r="BD409" s="154" t="s">
        <v>550</v>
      </c>
      <c r="BE409" s="2"/>
      <c r="BF409" s="169">
        <v>4473</v>
      </c>
      <c r="BG409"/>
      <c r="BH409"/>
      <c r="BI409"/>
      <c r="BJ409"/>
      <c r="BK409"/>
      <c r="BL409"/>
      <c r="BM409"/>
      <c r="BN409"/>
      <c r="BO409"/>
      <c r="BP409"/>
      <c r="BQ409"/>
      <c r="BR409" s="156">
        <f t="shared" si="6"/>
        <v>4473</v>
      </c>
    </row>
    <row r="410" spans="2:70" ht="14.45" hidden="1">
      <c r="B410" s="3" t="s">
        <v>49</v>
      </c>
      <c r="C410" s="3" t="s">
        <v>3145</v>
      </c>
      <c r="D410" s="3" t="s">
        <v>3292</v>
      </c>
      <c r="E410" s="3">
        <v>15</v>
      </c>
      <c r="F410" s="3" t="s">
        <v>3147</v>
      </c>
      <c r="G410" s="3" t="s">
        <v>3148</v>
      </c>
      <c r="H410" s="3" t="s">
        <v>17</v>
      </c>
      <c r="I410" s="3" t="s">
        <v>3293</v>
      </c>
      <c r="J410" t="s">
        <v>3150</v>
      </c>
      <c r="K410" s="147"/>
      <c r="L410" s="3">
        <v>1</v>
      </c>
      <c r="M410" s="151"/>
      <c r="N410" s="148">
        <v>3795</v>
      </c>
      <c r="Q410" s="148">
        <v>678</v>
      </c>
      <c r="R410" s="148">
        <f>Table242[[#This Row],[Material Unit Price]]+Table242[[#This Row],[Labor Unit Price]]+Table242[[#This Row],[GC + Manage+ Insur]]</f>
        <v>4473</v>
      </c>
      <c r="S410" s="148">
        <f>Table242[[#This Row],[Total Per Tool]]*Table242[[#This Row],[Tool QTY]]</f>
        <v>4473</v>
      </c>
      <c r="U410" s="149"/>
      <c r="W410" s="3"/>
      <c r="X41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4473</v>
      </c>
      <c r="Y410" s="150">
        <f>Table242[[#This Row],[Total AR (Received)]]/Table242[[#This Row],[PO Amount]]</f>
        <v>1</v>
      </c>
      <c r="Z410" s="151">
        <f>Table242[[#This Row],[PO Amount]]-Table242[[#This Row],[Total AR (Received)]]</f>
        <v>0</v>
      </c>
      <c r="AA410" s="151"/>
      <c r="AB410" s="151"/>
      <c r="AC410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10"/>
      <c r="AE410"/>
      <c r="AF410" s="148"/>
      <c r="AH410" s="2"/>
      <c r="AZ410" s="2"/>
      <c r="BB410"/>
      <c r="BC410"/>
      <c r="BD410" s="154" t="s">
        <v>550</v>
      </c>
      <c r="BE410" s="2"/>
      <c r="BF410" s="169">
        <v>4473</v>
      </c>
      <c r="BG410"/>
      <c r="BH410"/>
      <c r="BI410"/>
      <c r="BJ410"/>
      <c r="BK410"/>
      <c r="BL410"/>
      <c r="BM410"/>
      <c r="BN410"/>
      <c r="BO410"/>
      <c r="BP410"/>
      <c r="BQ410"/>
      <c r="BR410" s="156">
        <f t="shared" si="6"/>
        <v>4473</v>
      </c>
    </row>
    <row r="411" spans="2:70" ht="14.45" hidden="1">
      <c r="B411" s="3" t="s">
        <v>49</v>
      </c>
      <c r="C411" s="3" t="s">
        <v>3145</v>
      </c>
      <c r="D411" s="3" t="s">
        <v>3294</v>
      </c>
      <c r="E411" s="3">
        <v>17</v>
      </c>
      <c r="F411" s="3" t="s">
        <v>3147</v>
      </c>
      <c r="G411" s="3" t="s">
        <v>3148</v>
      </c>
      <c r="H411" s="3" t="s">
        <v>17</v>
      </c>
      <c r="I411" s="3" t="s">
        <v>3295</v>
      </c>
      <c r="J411" t="s">
        <v>3150</v>
      </c>
      <c r="K411" s="147"/>
      <c r="L411" s="3">
        <v>1</v>
      </c>
      <c r="N411" s="148">
        <v>3795</v>
      </c>
      <c r="Q411" s="148">
        <v>678</v>
      </c>
      <c r="R411" s="148">
        <f>Table242[[#This Row],[Material Unit Price]]+Table242[[#This Row],[Labor Unit Price]]+Table242[[#This Row],[GC + Manage+ Insur]]</f>
        <v>4473</v>
      </c>
      <c r="S411" s="148">
        <f>Table242[[#This Row],[Total Per Tool]]*Table242[[#This Row],[Tool QTY]]</f>
        <v>4473</v>
      </c>
      <c r="U411" s="149"/>
      <c r="W411" s="3"/>
      <c r="X41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4473</v>
      </c>
      <c r="Y411" s="150">
        <f>Table242[[#This Row],[Total AR (Received)]]/Table242[[#This Row],[PO Amount]]</f>
        <v>1</v>
      </c>
      <c r="Z411" s="151">
        <f>Table242[[#This Row],[PO Amount]]-Table242[[#This Row],[Total AR (Received)]]</f>
        <v>0</v>
      </c>
      <c r="AA411" s="151"/>
      <c r="AB411" s="151"/>
      <c r="AC411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11"/>
      <c r="AE411"/>
      <c r="AF411" s="148"/>
      <c r="AH411" s="2"/>
      <c r="BB411"/>
      <c r="BC411"/>
      <c r="BD411" s="154" t="s">
        <v>550</v>
      </c>
      <c r="BE411" s="2"/>
      <c r="BF411" s="169">
        <v>4473</v>
      </c>
      <c r="BG411"/>
      <c r="BH411"/>
      <c r="BI411"/>
      <c r="BJ411"/>
      <c r="BK411"/>
      <c r="BL411"/>
      <c r="BM411"/>
      <c r="BN411"/>
      <c r="BO411"/>
      <c r="BP411"/>
      <c r="BQ411"/>
      <c r="BR411" s="156">
        <f t="shared" si="6"/>
        <v>4473</v>
      </c>
    </row>
    <row r="412" spans="2:70" ht="14.45" hidden="1">
      <c r="B412" s="3" t="s">
        <v>49</v>
      </c>
      <c r="C412" s="3" t="s">
        <v>3145</v>
      </c>
      <c r="D412" s="3" t="s">
        <v>3296</v>
      </c>
      <c r="E412" s="3">
        <v>18</v>
      </c>
      <c r="F412" s="3" t="s">
        <v>3147</v>
      </c>
      <c r="G412" s="3" t="s">
        <v>3148</v>
      </c>
      <c r="H412" s="3" t="s">
        <v>17</v>
      </c>
      <c r="I412" s="3" t="s">
        <v>3297</v>
      </c>
      <c r="J412" t="s">
        <v>3150</v>
      </c>
      <c r="K412" s="147"/>
      <c r="L412" s="3">
        <v>1</v>
      </c>
      <c r="N412" s="148">
        <v>3795</v>
      </c>
      <c r="Q412" s="148">
        <v>678</v>
      </c>
      <c r="R412" s="148">
        <f>Table242[[#This Row],[Material Unit Price]]+Table242[[#This Row],[Labor Unit Price]]+Table242[[#This Row],[GC + Manage+ Insur]]</f>
        <v>4473</v>
      </c>
      <c r="S412" s="148">
        <f>Table242[[#This Row],[Total Per Tool]]*Table242[[#This Row],[Tool QTY]]</f>
        <v>4473</v>
      </c>
      <c r="U412" s="149"/>
      <c r="W412" s="3"/>
      <c r="X41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4473</v>
      </c>
      <c r="Y412" s="150">
        <f>Table242[[#This Row],[Total AR (Received)]]/Table242[[#This Row],[PO Amount]]</f>
        <v>1</v>
      </c>
      <c r="Z412" s="151">
        <f>Table242[[#This Row],[PO Amount]]-Table242[[#This Row],[Total AR (Received)]]</f>
        <v>0</v>
      </c>
      <c r="AA412" s="151"/>
      <c r="AB412" s="151"/>
      <c r="AC412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12"/>
      <c r="AE412"/>
      <c r="AF412" s="148"/>
      <c r="AH412" s="2"/>
      <c r="BB412"/>
      <c r="BC412"/>
      <c r="BD412" s="154" t="s">
        <v>550</v>
      </c>
      <c r="BE412" s="2"/>
      <c r="BF412" s="169">
        <v>4473</v>
      </c>
      <c r="BG412"/>
      <c r="BH412"/>
      <c r="BI412"/>
      <c r="BJ412"/>
      <c r="BK412"/>
      <c r="BL412"/>
      <c r="BM412"/>
      <c r="BN412"/>
      <c r="BO412"/>
      <c r="BP412"/>
      <c r="BQ412"/>
      <c r="BR412" s="156">
        <f t="shared" si="6"/>
        <v>4473</v>
      </c>
    </row>
    <row r="413" spans="2:70" ht="14.45" hidden="1">
      <c r="B413" s="3" t="s">
        <v>49</v>
      </c>
      <c r="C413" s="3" t="s">
        <v>3145</v>
      </c>
      <c r="D413" s="3" t="s">
        <v>3298</v>
      </c>
      <c r="E413" s="3">
        <v>79</v>
      </c>
      <c r="F413" s="3" t="s">
        <v>3147</v>
      </c>
      <c r="G413" s="3" t="s">
        <v>3148</v>
      </c>
      <c r="H413" s="3" t="s">
        <v>17</v>
      </c>
      <c r="I413" s="3" t="s">
        <v>3299</v>
      </c>
      <c r="J413" t="s">
        <v>3159</v>
      </c>
      <c r="K413" s="147"/>
      <c r="L413" s="3">
        <v>1</v>
      </c>
      <c r="M413" s="148">
        <v>4039</v>
      </c>
      <c r="N413" s="148">
        <v>9821</v>
      </c>
      <c r="Q413" s="148">
        <v>2477</v>
      </c>
      <c r="R413" s="148">
        <f>Table242[[#This Row],[Material Unit Price]]+Table242[[#This Row],[Labor Unit Price]]+Table242[[#This Row],[GC + Manage+ Insur]]</f>
        <v>16337</v>
      </c>
      <c r="S413" s="148">
        <f>Table242[[#This Row],[Total Per Tool]]*Table242[[#This Row],[Tool QTY]]</f>
        <v>16337</v>
      </c>
      <c r="U413" s="149"/>
      <c r="W413" s="3"/>
      <c r="X41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16337</v>
      </c>
      <c r="Y413" s="150">
        <f>Table242[[#This Row],[Total AR (Received)]]/Table242[[#This Row],[PO Amount]]</f>
        <v>1</v>
      </c>
      <c r="Z413" s="151">
        <f>Table242[[#This Row],[PO Amount]]-Table242[[#This Row],[Total AR (Received)]]</f>
        <v>0</v>
      </c>
      <c r="AA413" s="152">
        <v>1</v>
      </c>
      <c r="AB413" s="152">
        <v>0</v>
      </c>
      <c r="AC413" s="152">
        <f>SUM(Table242[[#This Row],[Total M%]]*Table242[[#This Row],[Material Unit Price]],Table242[[#This Row],[Total L %]]*Table242[[#This Row],[Labor Unit Price]])/SUM(Table242[[#This Row],[Material Unit Price]:[Labor Unit Price]])</f>
        <v>0.2914141414141414</v>
      </c>
      <c r="AD413"/>
      <c r="AE413"/>
      <c r="AF413" s="148"/>
      <c r="AH413" s="2"/>
      <c r="AI413" s="2"/>
      <c r="AJ413" s="182">
        <v>4760.84</v>
      </c>
      <c r="BB413"/>
      <c r="BC413"/>
      <c r="BD413" s="154" t="s">
        <v>550</v>
      </c>
      <c r="BE413" s="2"/>
      <c r="BF413"/>
      <c r="BG413"/>
      <c r="BH413"/>
      <c r="BI413"/>
      <c r="BJ413"/>
      <c r="BK413"/>
      <c r="BL413"/>
      <c r="BM413"/>
      <c r="BN413"/>
      <c r="BO413"/>
      <c r="BP413">
        <v>11576.16</v>
      </c>
      <c r="BQ413"/>
      <c r="BR413" s="158">
        <f t="shared" si="6"/>
        <v>4760.84</v>
      </c>
    </row>
    <row r="414" spans="2:70" ht="14.45" hidden="1">
      <c r="B414" s="3" t="s">
        <v>49</v>
      </c>
      <c r="C414" s="3" t="s">
        <v>3145</v>
      </c>
      <c r="D414" s="3" t="s">
        <v>3300</v>
      </c>
      <c r="E414" s="3">
        <v>80</v>
      </c>
      <c r="F414" s="3" t="s">
        <v>3147</v>
      </c>
      <c r="G414" s="3" t="s">
        <v>3148</v>
      </c>
      <c r="H414" s="3" t="s">
        <v>17</v>
      </c>
      <c r="I414" s="3" t="s">
        <v>3301</v>
      </c>
      <c r="J414" t="s">
        <v>3159</v>
      </c>
      <c r="K414" s="147"/>
      <c r="L414" s="3">
        <v>1</v>
      </c>
      <c r="M414" s="148">
        <v>4039</v>
      </c>
      <c r="N414" s="148">
        <v>9821</v>
      </c>
      <c r="Q414" s="148">
        <v>2477</v>
      </c>
      <c r="R414" s="148">
        <f>Table242[[#This Row],[Material Unit Price]]+Table242[[#This Row],[Labor Unit Price]]+Table242[[#This Row],[GC + Manage+ Insur]]</f>
        <v>16337</v>
      </c>
      <c r="S414" s="148">
        <f>Table242[[#This Row],[Total Per Tool]]*Table242[[#This Row],[Tool QTY]]</f>
        <v>16337</v>
      </c>
      <c r="U414" s="149"/>
      <c r="W414" s="3"/>
      <c r="X41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4760.84</v>
      </c>
      <c r="Y414" s="150">
        <f>Table242[[#This Row],[Total AR (Received)]]/Table242[[#This Row],[PO Amount]]</f>
        <v>0.29141458040031831</v>
      </c>
      <c r="Z414" s="151">
        <f>Table242[[#This Row],[PO Amount]]-Table242[[#This Row],[Total AR (Received)]]</f>
        <v>11576.16</v>
      </c>
      <c r="AA414" s="152">
        <v>1</v>
      </c>
      <c r="AB414" s="152">
        <v>0</v>
      </c>
      <c r="AC414" s="152">
        <f>SUM(Table242[[#This Row],[Total M%]]*Table242[[#This Row],[Material Unit Price]],Table242[[#This Row],[Total L %]]*Table242[[#This Row],[Labor Unit Price]])/SUM(Table242[[#This Row],[Material Unit Price]:[Labor Unit Price]])</f>
        <v>0.2914141414141414</v>
      </c>
      <c r="AD414"/>
      <c r="AE414"/>
      <c r="AF414" s="148"/>
      <c r="AH414" s="2"/>
      <c r="AI414" s="2"/>
      <c r="AJ414" s="182">
        <v>4760.84</v>
      </c>
      <c r="BB414"/>
      <c r="BC414"/>
      <c r="BD414" s="154" t="s">
        <v>550</v>
      </c>
      <c r="BE414" s="2"/>
      <c r="BF414"/>
      <c r="BG414"/>
      <c r="BH414"/>
      <c r="BI414"/>
      <c r="BJ414"/>
      <c r="BK414"/>
      <c r="BL414"/>
      <c r="BM414"/>
      <c r="BN414"/>
      <c r="BO414"/>
      <c r="BP414"/>
      <c r="BQ414"/>
      <c r="BR414" s="158">
        <f t="shared" si="6"/>
        <v>4760.84</v>
      </c>
    </row>
    <row r="415" spans="2:70" ht="14.45" hidden="1">
      <c r="B415" s="3" t="s">
        <v>49</v>
      </c>
      <c r="C415" s="3" t="s">
        <v>3145</v>
      </c>
      <c r="D415" s="3" t="s">
        <v>3302</v>
      </c>
      <c r="E415" s="3">
        <v>81</v>
      </c>
      <c r="F415" s="3" t="s">
        <v>3147</v>
      </c>
      <c r="G415" s="3" t="s">
        <v>3148</v>
      </c>
      <c r="H415" s="3" t="s">
        <v>17</v>
      </c>
      <c r="I415" s="3" t="s">
        <v>3303</v>
      </c>
      <c r="J415" t="s">
        <v>3159</v>
      </c>
      <c r="K415" s="147"/>
      <c r="L415" s="3">
        <v>1</v>
      </c>
      <c r="M415" s="148">
        <v>4039</v>
      </c>
      <c r="N415" s="148">
        <v>9821</v>
      </c>
      <c r="Q415" s="148">
        <v>2477</v>
      </c>
      <c r="R415" s="148">
        <f>Table242[[#This Row],[Material Unit Price]]+Table242[[#This Row],[Labor Unit Price]]+Table242[[#This Row],[GC + Manage+ Insur]]</f>
        <v>16337</v>
      </c>
      <c r="S415" s="148">
        <f>Table242[[#This Row],[Total Per Tool]]*Table242[[#This Row],[Tool QTY]]</f>
        <v>16337</v>
      </c>
      <c r="U415" s="149"/>
      <c r="W415" s="3"/>
      <c r="X41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16337</v>
      </c>
      <c r="Y415" s="150">
        <f>Table242[[#This Row],[Total AR (Received)]]/Table242[[#This Row],[PO Amount]]</f>
        <v>1</v>
      </c>
      <c r="Z415" s="151">
        <f>Table242[[#This Row],[PO Amount]]-Table242[[#This Row],[Total AR (Received)]]</f>
        <v>0</v>
      </c>
      <c r="AA415" s="152">
        <v>1</v>
      </c>
      <c r="AB415" s="152">
        <v>0</v>
      </c>
      <c r="AC415" s="152">
        <f>SUM(Table242[[#This Row],[Total M%]]*Table242[[#This Row],[Material Unit Price]],Table242[[#This Row],[Total L %]]*Table242[[#This Row],[Labor Unit Price]])/SUM(Table242[[#This Row],[Material Unit Price]:[Labor Unit Price]])</f>
        <v>0.2914141414141414</v>
      </c>
      <c r="AD415"/>
      <c r="AE415"/>
      <c r="AF415" s="148"/>
      <c r="AH415" s="181"/>
      <c r="AI415" s="2"/>
      <c r="AJ415" s="189">
        <v>4760.84</v>
      </c>
      <c r="BB415"/>
      <c r="BC415"/>
      <c r="BD415" s="154" t="s">
        <v>550</v>
      </c>
      <c r="BE415" s="2"/>
      <c r="BF415"/>
      <c r="BG415"/>
      <c r="BH415"/>
      <c r="BI415"/>
      <c r="BJ415"/>
      <c r="BK415"/>
      <c r="BL415"/>
      <c r="BM415"/>
      <c r="BN415"/>
      <c r="BO415"/>
      <c r="BP415">
        <v>11576.16</v>
      </c>
      <c r="BQ415"/>
      <c r="BR415" s="158">
        <f t="shared" si="6"/>
        <v>4760.84</v>
      </c>
    </row>
    <row r="416" spans="2:70" ht="14.45" hidden="1">
      <c r="B416" s="3" t="s">
        <v>49</v>
      </c>
      <c r="C416" s="3" t="s">
        <v>3145</v>
      </c>
      <c r="D416" s="3" t="s">
        <v>3304</v>
      </c>
      <c r="E416" s="3">
        <v>82</v>
      </c>
      <c r="F416" s="3" t="s">
        <v>3147</v>
      </c>
      <c r="G416" s="3" t="s">
        <v>3148</v>
      </c>
      <c r="H416" s="3" t="s">
        <v>17</v>
      </c>
      <c r="I416" s="3" t="s">
        <v>3305</v>
      </c>
      <c r="J416" t="s">
        <v>3159</v>
      </c>
      <c r="K416" s="147"/>
      <c r="L416" s="3">
        <v>1</v>
      </c>
      <c r="M416" s="148">
        <v>4039</v>
      </c>
      <c r="N416" s="148">
        <v>9821</v>
      </c>
      <c r="Q416" s="148">
        <v>2477</v>
      </c>
      <c r="R416" s="148">
        <f>Table242[[#This Row],[Material Unit Price]]+Table242[[#This Row],[Labor Unit Price]]+Table242[[#This Row],[GC + Manage+ Insur]]</f>
        <v>16337</v>
      </c>
      <c r="S416" s="148">
        <f>Table242[[#This Row],[Total Per Tool]]*Table242[[#This Row],[Tool QTY]]</f>
        <v>16337</v>
      </c>
      <c r="U416" s="149"/>
      <c r="W416" s="3"/>
      <c r="X41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4760.84</v>
      </c>
      <c r="Y416" s="150">
        <f>Table242[[#This Row],[Total AR (Received)]]/Table242[[#This Row],[PO Amount]]</f>
        <v>0.29141458040031831</v>
      </c>
      <c r="Z416" s="151">
        <f>Table242[[#This Row],[PO Amount]]-Table242[[#This Row],[Total AR (Received)]]</f>
        <v>11576.16</v>
      </c>
      <c r="AA416" s="152">
        <v>1</v>
      </c>
      <c r="AB416" s="152">
        <v>0</v>
      </c>
      <c r="AC416" s="152">
        <f>SUM(Table242[[#This Row],[Total M%]]*Table242[[#This Row],[Material Unit Price]],Table242[[#This Row],[Total L %]]*Table242[[#This Row],[Labor Unit Price]])/SUM(Table242[[#This Row],[Material Unit Price]:[Labor Unit Price]])</f>
        <v>0.2914141414141414</v>
      </c>
      <c r="AD416"/>
      <c r="AE416"/>
      <c r="AF416" s="148"/>
      <c r="AH416" s="181"/>
      <c r="AI416" s="2"/>
      <c r="AJ416" s="189">
        <v>4760.84</v>
      </c>
      <c r="BB416"/>
      <c r="BC416"/>
      <c r="BD416" s="154" t="s">
        <v>550</v>
      </c>
      <c r="BE416" s="2"/>
      <c r="BF416"/>
      <c r="BG416"/>
      <c r="BH416"/>
      <c r="BI416"/>
      <c r="BJ416"/>
      <c r="BK416"/>
      <c r="BL416"/>
      <c r="BM416"/>
      <c r="BN416"/>
      <c r="BO416"/>
      <c r="BP416"/>
      <c r="BQ416"/>
      <c r="BR416" s="158">
        <f t="shared" si="6"/>
        <v>4760.84</v>
      </c>
    </row>
    <row r="417" spans="2:71" ht="14.45" hidden="1">
      <c r="B417" s="3" t="s">
        <v>49</v>
      </c>
      <c r="C417" s="3" t="s">
        <v>3145</v>
      </c>
      <c r="D417" s="3" t="s">
        <v>3306</v>
      </c>
      <c r="E417" s="3">
        <v>21</v>
      </c>
      <c r="F417" s="3" t="s">
        <v>3147</v>
      </c>
      <c r="G417" s="3" t="s">
        <v>3148</v>
      </c>
      <c r="H417" s="3" t="s">
        <v>17</v>
      </c>
      <c r="I417" s="3" t="s">
        <v>3307</v>
      </c>
      <c r="J417" t="s">
        <v>3150</v>
      </c>
      <c r="K417" s="147"/>
      <c r="L417" s="3">
        <v>1</v>
      </c>
      <c r="N417" s="148">
        <v>3795</v>
      </c>
      <c r="Q417" s="148">
        <v>678</v>
      </c>
      <c r="R417" s="148">
        <f>Table242[[#This Row],[Material Unit Price]]+Table242[[#This Row],[Labor Unit Price]]+Table242[[#This Row],[GC + Manage+ Insur]]</f>
        <v>4473</v>
      </c>
      <c r="S417" s="148">
        <f>Table242[[#This Row],[Total Per Tool]]*Table242[[#This Row],[Tool QTY]]</f>
        <v>4473</v>
      </c>
      <c r="U417" s="149"/>
      <c r="W417" s="3"/>
      <c r="X41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4473</v>
      </c>
      <c r="Y417" s="150">
        <f>Table242[[#This Row],[Total AR (Received)]]/Table242[[#This Row],[PO Amount]]</f>
        <v>1</v>
      </c>
      <c r="Z417" s="151">
        <f>Table242[[#This Row],[PO Amount]]-Table242[[#This Row],[Total AR (Received)]]</f>
        <v>0</v>
      </c>
      <c r="AA417" s="151"/>
      <c r="AB417" s="151"/>
      <c r="AC417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17"/>
      <c r="AE417"/>
      <c r="AF417" s="148"/>
      <c r="AH417" s="2"/>
      <c r="AZ417" s="2"/>
      <c r="BB417"/>
      <c r="BC417"/>
      <c r="BD417" s="154" t="s">
        <v>550</v>
      </c>
      <c r="BE417" s="2"/>
      <c r="BF417" s="169">
        <v>4473</v>
      </c>
      <c r="BG417"/>
      <c r="BH417"/>
      <c r="BI417"/>
      <c r="BJ417"/>
      <c r="BK417"/>
      <c r="BL417"/>
      <c r="BM417"/>
      <c r="BN417"/>
      <c r="BO417"/>
      <c r="BP417"/>
      <c r="BQ417"/>
      <c r="BR417" s="156">
        <f t="shared" si="6"/>
        <v>4473</v>
      </c>
    </row>
    <row r="418" spans="2:71" ht="14.45" hidden="1">
      <c r="B418" s="3" t="s">
        <v>49</v>
      </c>
      <c r="C418" s="3" t="s">
        <v>3145</v>
      </c>
      <c r="D418" s="3" t="s">
        <v>3308</v>
      </c>
      <c r="E418" s="3">
        <v>84</v>
      </c>
      <c r="F418" s="3" t="s">
        <v>3147</v>
      </c>
      <c r="G418" s="3" t="s">
        <v>3148</v>
      </c>
      <c r="H418" s="3" t="s">
        <v>17</v>
      </c>
      <c r="I418" s="3" t="s">
        <v>3309</v>
      </c>
      <c r="J418" t="s">
        <v>3162</v>
      </c>
      <c r="K418" s="147"/>
      <c r="L418" s="3">
        <v>1</v>
      </c>
      <c r="M418" s="148">
        <v>2534</v>
      </c>
      <c r="N418" s="148">
        <v>4164</v>
      </c>
      <c r="Q418" s="148">
        <v>1197</v>
      </c>
      <c r="R418" s="148">
        <f>Table242[[#This Row],[Material Unit Price]]+Table242[[#This Row],[Labor Unit Price]]+Table242[[#This Row],[GC + Manage+ Insur]]</f>
        <v>7895</v>
      </c>
      <c r="S418" s="148">
        <f>Table242[[#This Row],[Total Per Tool]]*Table242[[#This Row],[Tool QTY]]</f>
        <v>7895</v>
      </c>
      <c r="U418" s="149"/>
      <c r="W418" s="3"/>
      <c r="X41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2986.61</v>
      </c>
      <c r="Y418" s="150">
        <f>Table242[[#This Row],[Total AR (Received)]]/Table242[[#This Row],[PO Amount]]</f>
        <v>0.37829132362254592</v>
      </c>
      <c r="Z418" s="151">
        <f>Table242[[#This Row],[PO Amount]]-Table242[[#This Row],[Total AR (Received)]]</f>
        <v>4908.3899999999994</v>
      </c>
      <c r="AA418" s="152">
        <v>1</v>
      </c>
      <c r="AB418" s="152">
        <v>0</v>
      </c>
      <c r="AC418" s="152">
        <f>SUM(Table242[[#This Row],[Total M%]]*Table242[[#This Row],[Material Unit Price]],Table242[[#This Row],[Total L %]]*Table242[[#This Row],[Labor Unit Price]])/SUM(Table242[[#This Row],[Material Unit Price]:[Labor Unit Price]])</f>
        <v>0.3783218871304867</v>
      </c>
      <c r="AD418"/>
      <c r="AE418"/>
      <c r="AF418" s="148"/>
      <c r="AH418" s="2"/>
      <c r="AI418" s="2"/>
      <c r="AJ418" s="182">
        <v>2986.61</v>
      </c>
      <c r="BB418"/>
      <c r="BC418"/>
      <c r="BD418" s="154" t="s">
        <v>550</v>
      </c>
      <c r="BE418" s="2"/>
      <c r="BF418"/>
      <c r="BG418"/>
      <c r="BH418"/>
      <c r="BI418"/>
      <c r="BJ418"/>
      <c r="BK418"/>
      <c r="BL418"/>
      <c r="BM418"/>
      <c r="BN418"/>
      <c r="BO418"/>
      <c r="BP418"/>
      <c r="BQ418"/>
      <c r="BR418" s="158">
        <f t="shared" si="6"/>
        <v>2986.61</v>
      </c>
    </row>
    <row r="419" spans="2:71" ht="14.45" hidden="1">
      <c r="B419" s="3" t="s">
        <v>49</v>
      </c>
      <c r="C419" s="3" t="s">
        <v>3145</v>
      </c>
      <c r="D419" s="3" t="s">
        <v>3310</v>
      </c>
      <c r="E419" s="3">
        <v>86</v>
      </c>
      <c r="F419" s="3" t="s">
        <v>3147</v>
      </c>
      <c r="G419" s="3" t="s">
        <v>3148</v>
      </c>
      <c r="H419" s="3" t="s">
        <v>17</v>
      </c>
      <c r="I419" s="3" t="s">
        <v>3311</v>
      </c>
      <c r="J419" t="s">
        <v>3162</v>
      </c>
      <c r="K419" s="147"/>
      <c r="L419" s="3">
        <v>1</v>
      </c>
      <c r="M419" s="148">
        <v>2534</v>
      </c>
      <c r="N419" s="148">
        <v>4164</v>
      </c>
      <c r="Q419" s="148">
        <v>1197</v>
      </c>
      <c r="R419" s="148">
        <f>Table242[[#This Row],[Material Unit Price]]+Table242[[#This Row],[Labor Unit Price]]+Table242[[#This Row],[GC + Manage+ Insur]]</f>
        <v>7895</v>
      </c>
      <c r="S419" s="148">
        <f>Table242[[#This Row],[Total Per Tool]]*Table242[[#This Row],[Tool QTY]]</f>
        <v>7895</v>
      </c>
      <c r="U419" s="149"/>
      <c r="W419" s="3"/>
      <c r="X41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2986.61</v>
      </c>
      <c r="Y419" s="150">
        <f>Table242[[#This Row],[Total AR (Received)]]/Table242[[#This Row],[PO Amount]]</f>
        <v>0.37829132362254592</v>
      </c>
      <c r="Z419" s="151">
        <f>Table242[[#This Row],[PO Amount]]-Table242[[#This Row],[Total AR (Received)]]</f>
        <v>4908.3899999999994</v>
      </c>
      <c r="AA419" s="152">
        <v>1</v>
      </c>
      <c r="AB419" s="152">
        <v>0</v>
      </c>
      <c r="AC419" s="152">
        <f>SUM(Table242[[#This Row],[Total M%]]*Table242[[#This Row],[Material Unit Price]],Table242[[#This Row],[Total L %]]*Table242[[#This Row],[Labor Unit Price]])/SUM(Table242[[#This Row],[Material Unit Price]:[Labor Unit Price]])</f>
        <v>0.3783218871304867</v>
      </c>
      <c r="AD419"/>
      <c r="AE419"/>
      <c r="AF419" s="148"/>
      <c r="AH419" s="2"/>
      <c r="AI419" s="2"/>
      <c r="AJ419" s="182">
        <v>2986.61</v>
      </c>
      <c r="BB419"/>
      <c r="BC419"/>
      <c r="BD419" s="154" t="s">
        <v>550</v>
      </c>
      <c r="BE419" s="2"/>
      <c r="BF419"/>
      <c r="BG419"/>
      <c r="BH419"/>
      <c r="BI419"/>
      <c r="BJ419"/>
      <c r="BK419"/>
      <c r="BL419"/>
      <c r="BM419"/>
      <c r="BN419"/>
      <c r="BO419"/>
      <c r="BP419"/>
      <c r="BQ419"/>
      <c r="BR419" s="158">
        <f t="shared" si="6"/>
        <v>2986.61</v>
      </c>
    </row>
    <row r="420" spans="2:71" ht="14.45" hidden="1">
      <c r="B420" s="3" t="s">
        <v>49</v>
      </c>
      <c r="C420" s="3" t="s">
        <v>3145</v>
      </c>
      <c r="D420" s="3" t="s">
        <v>3312</v>
      </c>
      <c r="E420" s="3">
        <v>87</v>
      </c>
      <c r="F420" s="3" t="s">
        <v>3147</v>
      </c>
      <c r="G420" s="3" t="s">
        <v>3148</v>
      </c>
      <c r="H420" s="3" t="s">
        <v>17</v>
      </c>
      <c r="I420" s="3" t="s">
        <v>3313</v>
      </c>
      <c r="J420" t="s">
        <v>3314</v>
      </c>
      <c r="K420" s="147"/>
      <c r="L420" s="3">
        <v>1</v>
      </c>
      <c r="N420" s="148">
        <v>782</v>
      </c>
      <c r="Q420" s="148">
        <v>139</v>
      </c>
      <c r="R420" s="148">
        <f>Table242[[#This Row],[Material Unit Price]]+Table242[[#This Row],[Labor Unit Price]]+Table242[[#This Row],[GC + Manage+ Insur]]</f>
        <v>921</v>
      </c>
      <c r="S420" s="148">
        <f>Table242[[#This Row],[Total Per Tool]]*Table242[[#This Row],[Tool QTY]]</f>
        <v>921</v>
      </c>
      <c r="U420" s="149"/>
      <c r="W420" s="3"/>
      <c r="X42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420" s="150">
        <f>Table242[[#This Row],[Total AR (Received)]]/Table242[[#This Row],[PO Amount]]</f>
        <v>0</v>
      </c>
      <c r="Z420" s="151">
        <f>Table242[[#This Row],[PO Amount]]-Table242[[#This Row],[Total AR (Received)]]</f>
        <v>921</v>
      </c>
      <c r="AA420" s="152">
        <v>1</v>
      </c>
      <c r="AB420" s="152">
        <v>0</v>
      </c>
      <c r="AC420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20"/>
      <c r="AE420"/>
      <c r="AF420" s="148"/>
      <c r="AH420" s="2"/>
      <c r="AI420" s="2"/>
      <c r="AJ420" s="166"/>
      <c r="BB420"/>
      <c r="BC420"/>
      <c r="BD420" s="154" t="s">
        <v>550</v>
      </c>
      <c r="BE420" s="2"/>
      <c r="BF420"/>
      <c r="BG420"/>
      <c r="BH420"/>
      <c r="BI420"/>
      <c r="BJ420"/>
      <c r="BK420"/>
      <c r="BL420"/>
      <c r="BM420"/>
      <c r="BN420"/>
      <c r="BO420"/>
      <c r="BP420"/>
      <c r="BQ420"/>
      <c r="BR420" s="158">
        <f t="shared" si="6"/>
        <v>0</v>
      </c>
    </row>
    <row r="421" spans="2:71" ht="14.45" hidden="1">
      <c r="B421" s="3" t="s">
        <v>49</v>
      </c>
      <c r="C421" s="3" t="s">
        <v>3145</v>
      </c>
      <c r="D421" s="3" t="s">
        <v>3315</v>
      </c>
      <c r="E421" s="3">
        <v>22</v>
      </c>
      <c r="F421" s="3" t="s">
        <v>3147</v>
      </c>
      <c r="G421" s="3" t="s">
        <v>3148</v>
      </c>
      <c r="H421" s="3" t="s">
        <v>17</v>
      </c>
      <c r="I421" s="3" t="s">
        <v>3316</v>
      </c>
      <c r="J421" t="s">
        <v>3150</v>
      </c>
      <c r="K421" s="147"/>
      <c r="L421" s="3">
        <v>1</v>
      </c>
      <c r="N421" s="148">
        <v>3795</v>
      </c>
      <c r="Q421" s="148">
        <v>678</v>
      </c>
      <c r="R421" s="148">
        <f>Table242[[#This Row],[Material Unit Price]]+Table242[[#This Row],[Labor Unit Price]]+Table242[[#This Row],[GC + Manage+ Insur]]</f>
        <v>4473</v>
      </c>
      <c r="S421" s="148">
        <f>Table242[[#This Row],[Total Per Tool]]*Table242[[#This Row],[Tool QTY]]</f>
        <v>4473</v>
      </c>
      <c r="U421" s="149"/>
      <c r="W421" s="3"/>
      <c r="X42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4473</v>
      </c>
      <c r="Y421" s="150">
        <f>Table242[[#This Row],[Total AR (Received)]]/Table242[[#This Row],[PO Amount]]</f>
        <v>1</v>
      </c>
      <c r="Z421" s="151">
        <f>Table242[[#This Row],[PO Amount]]-Table242[[#This Row],[Total AR (Received)]]</f>
        <v>0</v>
      </c>
      <c r="AA421" s="151"/>
      <c r="AB421" s="151"/>
      <c r="AC421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21"/>
      <c r="AE421"/>
      <c r="AF421" s="148"/>
      <c r="AH421" s="2"/>
      <c r="BB421"/>
      <c r="BC421"/>
      <c r="BD421" s="154" t="s">
        <v>550</v>
      </c>
      <c r="BE421" s="2"/>
      <c r="BF421" s="169">
        <v>4473</v>
      </c>
      <c r="BG421"/>
      <c r="BH421"/>
      <c r="BI421"/>
      <c r="BJ421"/>
      <c r="BK421"/>
      <c r="BL421"/>
      <c r="BM421"/>
      <c r="BN421"/>
      <c r="BO421"/>
      <c r="BP421"/>
      <c r="BQ421"/>
      <c r="BR421" s="156">
        <f t="shared" si="6"/>
        <v>4473</v>
      </c>
    </row>
    <row r="422" spans="2:71" ht="14.45" hidden="1">
      <c r="B422" s="3" t="s">
        <v>49</v>
      </c>
      <c r="C422" s="3" t="s">
        <v>3145</v>
      </c>
      <c r="D422" s="3" t="s">
        <v>3317</v>
      </c>
      <c r="E422" s="3">
        <v>90</v>
      </c>
      <c r="F422" s="3" t="s">
        <v>3147</v>
      </c>
      <c r="G422" s="3" t="s">
        <v>3148</v>
      </c>
      <c r="H422" s="3" t="s">
        <v>17</v>
      </c>
      <c r="I422" s="3" t="s">
        <v>3318</v>
      </c>
      <c r="J422" t="s">
        <v>3165</v>
      </c>
      <c r="K422" s="147"/>
      <c r="L422" s="3">
        <v>1</v>
      </c>
      <c r="M422" s="148">
        <v>1400</v>
      </c>
      <c r="N422" s="148">
        <v>15236</v>
      </c>
      <c r="Q422" s="148">
        <v>2974</v>
      </c>
      <c r="R422" s="148">
        <f>Table242[[#This Row],[Material Unit Price]]+Table242[[#This Row],[Labor Unit Price]]+Table242[[#This Row],[GC + Manage+ Insur]]</f>
        <v>19610</v>
      </c>
      <c r="S422" s="148">
        <f>Table242[[#This Row],[Total Per Tool]]*Table242[[#This Row],[Tool QTY]]</f>
        <v>19610</v>
      </c>
      <c r="U422" s="149"/>
      <c r="W422" s="3"/>
      <c r="X42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1650.25</v>
      </c>
      <c r="Y422" s="150">
        <f>Table242[[#This Row],[Total AR (Received)]]/Table242[[#This Row],[PO Amount]]</f>
        <v>8.4153493115757261E-2</v>
      </c>
      <c r="Z422" s="151">
        <f>Table242[[#This Row],[PO Amount]]-Table242[[#This Row],[Total AR (Received)]]</f>
        <v>17959.75</v>
      </c>
      <c r="AA422" s="152">
        <v>1</v>
      </c>
      <c r="AB422" s="152">
        <v>0</v>
      </c>
      <c r="AC422" s="152">
        <f>SUM(Table242[[#This Row],[Total M%]]*Table242[[#This Row],[Material Unit Price]],Table242[[#This Row],[Total L %]]*Table242[[#This Row],[Labor Unit Price]])/SUM(Table242[[#This Row],[Material Unit Price]:[Labor Unit Price]])</f>
        <v>8.4154844914642937E-2</v>
      </c>
      <c r="AD422"/>
      <c r="AE422"/>
      <c r="AF422" s="148"/>
      <c r="AH422" s="2"/>
      <c r="AI422" s="2"/>
      <c r="AJ422" s="182">
        <v>1650.25</v>
      </c>
      <c r="BB422"/>
      <c r="BC422"/>
      <c r="BD422" s="154" t="s">
        <v>550</v>
      </c>
      <c r="BE422" s="2"/>
      <c r="BF422"/>
      <c r="BG422"/>
      <c r="BH422"/>
      <c r="BI422"/>
      <c r="BJ422"/>
      <c r="BK422"/>
      <c r="BL422"/>
      <c r="BM422"/>
      <c r="BN422"/>
      <c r="BO422"/>
      <c r="BP422"/>
      <c r="BQ422"/>
      <c r="BR422" s="158">
        <f t="shared" si="6"/>
        <v>1650.25</v>
      </c>
    </row>
    <row r="423" spans="2:71" ht="14.45" hidden="1">
      <c r="B423" s="3" t="s">
        <v>49</v>
      </c>
      <c r="C423" s="3" t="s">
        <v>3145</v>
      </c>
      <c r="D423" s="3" t="s">
        <v>3319</v>
      </c>
      <c r="E423" s="3">
        <v>91</v>
      </c>
      <c r="F423" s="3" t="s">
        <v>3147</v>
      </c>
      <c r="G423" s="3" t="s">
        <v>3148</v>
      </c>
      <c r="H423" s="3" t="s">
        <v>17</v>
      </c>
      <c r="I423" s="3" t="s">
        <v>3320</v>
      </c>
      <c r="J423" t="s">
        <v>3165</v>
      </c>
      <c r="K423" s="147"/>
      <c r="L423" s="3">
        <v>1</v>
      </c>
      <c r="M423" s="148">
        <v>1400</v>
      </c>
      <c r="N423" s="148">
        <v>15236</v>
      </c>
      <c r="Q423" s="148">
        <v>2974</v>
      </c>
      <c r="R423" s="148">
        <f>Table242[[#This Row],[Material Unit Price]]+Table242[[#This Row],[Labor Unit Price]]+Table242[[#This Row],[GC + Manage+ Insur]]</f>
        <v>19610</v>
      </c>
      <c r="S423" s="148">
        <f>Table242[[#This Row],[Total Per Tool]]*Table242[[#This Row],[Tool QTY]]</f>
        <v>19610</v>
      </c>
      <c r="U423" s="149"/>
      <c r="W423" s="3"/>
      <c r="X42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1650.25</v>
      </c>
      <c r="Y423" s="150">
        <f>Table242[[#This Row],[Total AR (Received)]]/Table242[[#This Row],[PO Amount]]</f>
        <v>8.4153493115757261E-2</v>
      </c>
      <c r="Z423" s="151">
        <f>Table242[[#This Row],[PO Amount]]-Table242[[#This Row],[Total AR (Received)]]</f>
        <v>17959.75</v>
      </c>
      <c r="AA423" s="152">
        <v>1</v>
      </c>
      <c r="AB423" s="152">
        <v>0</v>
      </c>
      <c r="AC423" s="152">
        <f>SUM(Table242[[#This Row],[Total M%]]*Table242[[#This Row],[Material Unit Price]],Table242[[#This Row],[Total L %]]*Table242[[#This Row],[Labor Unit Price]])/SUM(Table242[[#This Row],[Material Unit Price]:[Labor Unit Price]])</f>
        <v>8.4154844914642937E-2</v>
      </c>
      <c r="AD423"/>
      <c r="AE423"/>
      <c r="AF423" s="148"/>
      <c r="AH423" s="2"/>
      <c r="AI423" s="2"/>
      <c r="AJ423" s="182">
        <v>1650.25</v>
      </c>
      <c r="BB423"/>
      <c r="BC423"/>
      <c r="BD423" s="154" t="s">
        <v>550</v>
      </c>
      <c r="BE423" s="2"/>
      <c r="BF423"/>
      <c r="BG423"/>
      <c r="BH423"/>
      <c r="BI423"/>
      <c r="BJ423"/>
      <c r="BK423"/>
      <c r="BL423"/>
      <c r="BM423"/>
      <c r="BN423"/>
      <c r="BO423"/>
      <c r="BP423"/>
      <c r="BQ423"/>
      <c r="BR423" s="158">
        <f t="shared" si="6"/>
        <v>1650.25</v>
      </c>
    </row>
    <row r="424" spans="2:71" ht="14.45" hidden="1">
      <c r="B424" s="3" t="s">
        <v>49</v>
      </c>
      <c r="C424" s="3" t="s">
        <v>3145</v>
      </c>
      <c r="D424" s="3" t="s">
        <v>3321</v>
      </c>
      <c r="E424" s="3">
        <v>93</v>
      </c>
      <c r="F424" s="3" t="s">
        <v>3147</v>
      </c>
      <c r="G424" s="3" t="s">
        <v>3148</v>
      </c>
      <c r="H424" s="3" t="s">
        <v>17</v>
      </c>
      <c r="I424" s="3" t="s">
        <v>3322</v>
      </c>
      <c r="J424" t="s">
        <v>3168</v>
      </c>
      <c r="K424" s="147"/>
      <c r="L424" s="3">
        <v>1</v>
      </c>
      <c r="M424" s="148">
        <v>6230</v>
      </c>
      <c r="N424" s="148">
        <v>10461</v>
      </c>
      <c r="Q424" s="148">
        <v>2983</v>
      </c>
      <c r="R424" s="148">
        <f>Table242[[#This Row],[Material Unit Price]]+Table242[[#This Row],[Labor Unit Price]]+Table242[[#This Row],[GC + Manage+ Insur]]</f>
        <v>19674</v>
      </c>
      <c r="S424" s="148">
        <f>Table242[[#This Row],[Total Per Tool]]*Table242[[#This Row],[Tool QTY]]</f>
        <v>19674</v>
      </c>
      <c r="U424" s="149"/>
      <c r="W424" s="3"/>
      <c r="X42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7343.42</v>
      </c>
      <c r="Y424" s="150">
        <f>Table242[[#This Row],[Total AR (Received)]]/Table242[[#This Row],[PO Amount]]</f>
        <v>0.37325505743621024</v>
      </c>
      <c r="Z424" s="151">
        <f>Table242[[#This Row],[PO Amount]]-Table242[[#This Row],[Total AR (Received)]]</f>
        <v>12330.58</v>
      </c>
      <c r="AA424" s="152">
        <v>1</v>
      </c>
      <c r="AB424" s="152">
        <v>0</v>
      </c>
      <c r="AC424" s="152">
        <f>SUM(Table242[[#This Row],[Total M%]]*Table242[[#This Row],[Material Unit Price]],Table242[[#This Row],[Total L %]]*Table242[[#This Row],[Labor Unit Price]])/SUM(Table242[[#This Row],[Material Unit Price]:[Labor Unit Price]])</f>
        <v>0.37325504763045952</v>
      </c>
      <c r="AD424"/>
      <c r="AE424"/>
      <c r="AF424" s="148"/>
      <c r="AH424" s="2"/>
      <c r="AI424" s="2"/>
      <c r="AJ424" s="182">
        <v>7343.42</v>
      </c>
      <c r="BB424"/>
      <c r="BC424"/>
      <c r="BD424" s="154" t="s">
        <v>550</v>
      </c>
      <c r="BE424" s="2"/>
      <c r="BF424"/>
      <c r="BG424"/>
      <c r="BH424"/>
      <c r="BI424"/>
      <c r="BJ424"/>
      <c r="BK424"/>
      <c r="BL424"/>
      <c r="BM424"/>
      <c r="BN424"/>
      <c r="BO424"/>
      <c r="BP424"/>
      <c r="BQ424"/>
      <c r="BR424" s="158">
        <f t="shared" si="6"/>
        <v>7343.42</v>
      </c>
    </row>
    <row r="425" spans="2:71" ht="14.45" hidden="1">
      <c r="B425" s="3" t="s">
        <v>49</v>
      </c>
      <c r="C425" s="3" t="s">
        <v>3145</v>
      </c>
      <c r="D425" s="3" t="s">
        <v>3323</v>
      </c>
      <c r="E425" s="3">
        <v>94</v>
      </c>
      <c r="F425" s="3" t="s">
        <v>3147</v>
      </c>
      <c r="G425" s="3" t="s">
        <v>3148</v>
      </c>
      <c r="H425" s="3" t="s">
        <v>17</v>
      </c>
      <c r="I425" s="3" t="s">
        <v>3324</v>
      </c>
      <c r="J425" t="s">
        <v>3168</v>
      </c>
      <c r="K425" s="147"/>
      <c r="L425" s="3">
        <v>1</v>
      </c>
      <c r="M425" s="148">
        <v>6230</v>
      </c>
      <c r="N425" s="148">
        <v>10461</v>
      </c>
      <c r="Q425" s="148">
        <v>2983</v>
      </c>
      <c r="R425" s="148">
        <f>Table242[[#This Row],[Material Unit Price]]+Table242[[#This Row],[Labor Unit Price]]+Table242[[#This Row],[GC + Manage+ Insur]]</f>
        <v>19674</v>
      </c>
      <c r="S425" s="148">
        <f>Table242[[#This Row],[Total Per Tool]]*Table242[[#This Row],[Tool QTY]]</f>
        <v>19674</v>
      </c>
      <c r="U425" s="149"/>
      <c r="W425" s="3"/>
      <c r="X42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7343.42</v>
      </c>
      <c r="Y425" s="150">
        <f>Table242[[#This Row],[Total AR (Received)]]/Table242[[#This Row],[PO Amount]]</f>
        <v>0.37325505743621024</v>
      </c>
      <c r="Z425" s="151">
        <f>Table242[[#This Row],[PO Amount]]-Table242[[#This Row],[Total AR (Received)]]</f>
        <v>12330.58</v>
      </c>
      <c r="AA425" s="152">
        <v>1</v>
      </c>
      <c r="AB425" s="152">
        <v>0</v>
      </c>
      <c r="AC425" s="152">
        <f>SUM(Table242[[#This Row],[Total M%]]*Table242[[#This Row],[Material Unit Price]],Table242[[#This Row],[Total L %]]*Table242[[#This Row],[Labor Unit Price]])/SUM(Table242[[#This Row],[Material Unit Price]:[Labor Unit Price]])</f>
        <v>0.37325504763045952</v>
      </c>
      <c r="AD425"/>
      <c r="AE425"/>
      <c r="AF425" s="148"/>
      <c r="AH425" s="2"/>
      <c r="AI425" s="2"/>
      <c r="AJ425" s="182">
        <v>7343.42</v>
      </c>
      <c r="BB425"/>
      <c r="BC425"/>
      <c r="BD425" s="154" t="s">
        <v>550</v>
      </c>
      <c r="BE425" s="2"/>
      <c r="BF425"/>
      <c r="BG425"/>
      <c r="BH425"/>
      <c r="BI425"/>
      <c r="BJ425"/>
      <c r="BK425"/>
      <c r="BL425"/>
      <c r="BM425"/>
      <c r="BN425"/>
      <c r="BO425"/>
      <c r="BP425"/>
      <c r="BQ425"/>
      <c r="BR425" s="158">
        <f t="shared" si="6"/>
        <v>7343.42</v>
      </c>
    </row>
    <row r="426" spans="2:71" ht="14.45" hidden="1">
      <c r="B426" s="3" t="s">
        <v>49</v>
      </c>
      <c r="C426" s="3" t="s">
        <v>3145</v>
      </c>
      <c r="D426" s="3" t="s">
        <v>3325</v>
      </c>
      <c r="E426" s="3">
        <v>23</v>
      </c>
      <c r="F426" s="3" t="s">
        <v>3147</v>
      </c>
      <c r="G426" s="3" t="s">
        <v>3148</v>
      </c>
      <c r="H426" s="3" t="s">
        <v>17</v>
      </c>
      <c r="I426" s="3" t="s">
        <v>3326</v>
      </c>
      <c r="J426" t="s">
        <v>3150</v>
      </c>
      <c r="K426" s="147"/>
      <c r="L426" s="3">
        <v>1</v>
      </c>
      <c r="N426" s="148">
        <v>3795</v>
      </c>
      <c r="Q426" s="148">
        <v>678</v>
      </c>
      <c r="R426" s="148">
        <f>Table242[[#This Row],[Material Unit Price]]+Table242[[#This Row],[Labor Unit Price]]+Table242[[#This Row],[GC + Manage+ Insur]]</f>
        <v>4473</v>
      </c>
      <c r="S426" s="148">
        <f>Table242[[#This Row],[Total Per Tool]]*Table242[[#This Row],[Tool QTY]]</f>
        <v>4473</v>
      </c>
      <c r="U426" s="149"/>
      <c r="W426" s="3"/>
      <c r="X42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4473</v>
      </c>
      <c r="Y426" s="150">
        <f>Table242[[#This Row],[Total AR (Received)]]/Table242[[#This Row],[PO Amount]]</f>
        <v>1</v>
      </c>
      <c r="Z426" s="151">
        <f>Table242[[#This Row],[PO Amount]]-Table242[[#This Row],[Total AR (Received)]]</f>
        <v>0</v>
      </c>
      <c r="AA426" s="151"/>
      <c r="AB426" s="151"/>
      <c r="AC426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26"/>
      <c r="AE426"/>
      <c r="AF426" s="148"/>
      <c r="AH426" s="2"/>
      <c r="BB426"/>
      <c r="BC426"/>
      <c r="BD426" s="154" t="s">
        <v>550</v>
      </c>
      <c r="BE426" s="2"/>
      <c r="BF426" s="169">
        <v>4473</v>
      </c>
      <c r="BG426"/>
      <c r="BH426"/>
      <c r="BI426"/>
      <c r="BJ426"/>
      <c r="BK426"/>
      <c r="BL426"/>
      <c r="BM426"/>
      <c r="BN426"/>
      <c r="BO426"/>
      <c r="BP426"/>
      <c r="BQ426"/>
      <c r="BR426" s="156">
        <f t="shared" si="6"/>
        <v>4473</v>
      </c>
    </row>
    <row r="427" spans="2:71" ht="14.45" hidden="1">
      <c r="B427" s="3" t="s">
        <v>49</v>
      </c>
      <c r="C427" s="3" t="s">
        <v>3145</v>
      </c>
      <c r="D427" s="3" t="s">
        <v>3327</v>
      </c>
      <c r="E427" s="3">
        <v>96</v>
      </c>
      <c r="F427" s="3" t="s">
        <v>3147</v>
      </c>
      <c r="G427" s="3" t="s">
        <v>3148</v>
      </c>
      <c r="H427" s="3" t="s">
        <v>17</v>
      </c>
      <c r="I427" s="3" t="s">
        <v>3328</v>
      </c>
      <c r="J427" t="s">
        <v>3329</v>
      </c>
      <c r="K427" s="147"/>
      <c r="L427" s="3">
        <v>1</v>
      </c>
      <c r="M427" s="148">
        <v>1400</v>
      </c>
      <c r="N427" s="148">
        <v>9551</v>
      </c>
      <c r="Q427" s="148">
        <v>1957</v>
      </c>
      <c r="R427" s="148">
        <f>Table242[[#This Row],[Material Unit Price]]+Table242[[#This Row],[Labor Unit Price]]+Table242[[#This Row],[GC + Manage+ Insur]]</f>
        <v>12908</v>
      </c>
      <c r="S427" s="148">
        <f>Table242[[#This Row],[Total Per Tool]]*Table242[[#This Row],[Tool QTY]]</f>
        <v>12908</v>
      </c>
      <c r="U427" s="149"/>
      <c r="W427" s="3"/>
      <c r="X42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12908</v>
      </c>
      <c r="Y427" s="150">
        <f>Table242[[#This Row],[Total AR (Received)]]/Table242[[#This Row],[PO Amount]]</f>
        <v>1</v>
      </c>
      <c r="Z427" s="151">
        <f>Table242[[#This Row],[PO Amount]]-Table242[[#This Row],[Total AR (Received)]]</f>
        <v>0</v>
      </c>
      <c r="AA427" s="152">
        <v>1</v>
      </c>
      <c r="AB427" s="152">
        <v>0</v>
      </c>
      <c r="AC427" s="152">
        <f>SUM(Table242[[#This Row],[Total M%]]*Table242[[#This Row],[Material Unit Price]],Table242[[#This Row],[Total L %]]*Table242[[#This Row],[Labor Unit Price]])/SUM(Table242[[#This Row],[Material Unit Price]:[Labor Unit Price]])</f>
        <v>0.12784220619121542</v>
      </c>
      <c r="AD427"/>
      <c r="AE427"/>
      <c r="AF427" s="148"/>
      <c r="AH427" s="2"/>
      <c r="AI427" s="2"/>
      <c r="AJ427" s="182">
        <v>1650.19</v>
      </c>
      <c r="BB427"/>
      <c r="BC427"/>
      <c r="BD427" s="154" t="s">
        <v>550</v>
      </c>
      <c r="BE427" s="2"/>
      <c r="BF427"/>
      <c r="BG427"/>
      <c r="BH427"/>
      <c r="BI427"/>
      <c r="BJ427"/>
      <c r="BK427"/>
      <c r="BL427" s="173">
        <v>11257.81</v>
      </c>
      <c r="BM427"/>
      <c r="BN427"/>
      <c r="BO427"/>
      <c r="BP427"/>
      <c r="BQ427"/>
      <c r="BR427" s="158">
        <f t="shared" si="6"/>
        <v>1650.19</v>
      </c>
    </row>
    <row r="428" spans="2:71" ht="14.45" hidden="1">
      <c r="B428" s="3" t="s">
        <v>49</v>
      </c>
      <c r="C428" s="3" t="s">
        <v>3145</v>
      </c>
      <c r="D428" s="3" t="s">
        <v>3330</v>
      </c>
      <c r="E428" s="3">
        <v>97</v>
      </c>
      <c r="F428" s="3" t="s">
        <v>3147</v>
      </c>
      <c r="G428" s="3" t="s">
        <v>3148</v>
      </c>
      <c r="H428" s="3" t="s">
        <v>17</v>
      </c>
      <c r="I428" s="3" t="s">
        <v>3331</v>
      </c>
      <c r="J428" t="s">
        <v>3329</v>
      </c>
      <c r="K428" s="147"/>
      <c r="L428" s="3">
        <v>1</v>
      </c>
      <c r="M428" s="148">
        <v>1400</v>
      </c>
      <c r="N428" s="148">
        <v>9551</v>
      </c>
      <c r="Q428" s="148">
        <v>1957</v>
      </c>
      <c r="R428" s="148">
        <f>Table242[[#This Row],[Material Unit Price]]+Table242[[#This Row],[Labor Unit Price]]+Table242[[#This Row],[GC + Manage+ Insur]]</f>
        <v>12908</v>
      </c>
      <c r="S428" s="148">
        <f>Table242[[#This Row],[Total Per Tool]]*Table242[[#This Row],[Tool QTY]]</f>
        <v>12908</v>
      </c>
      <c r="U428" s="149"/>
      <c r="W428" s="3"/>
      <c r="X42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12908</v>
      </c>
      <c r="Y428" s="150">
        <f>Table242[[#This Row],[Total AR (Received)]]/Table242[[#This Row],[PO Amount]]</f>
        <v>1</v>
      </c>
      <c r="Z428" s="151">
        <f>Table242[[#This Row],[PO Amount]]-Table242[[#This Row],[Total AR (Received)]]</f>
        <v>0</v>
      </c>
      <c r="AA428" s="152">
        <v>1</v>
      </c>
      <c r="AB428" s="152">
        <v>0</v>
      </c>
      <c r="AC428" s="152">
        <f>SUM(Table242[[#This Row],[Total M%]]*Table242[[#This Row],[Material Unit Price]],Table242[[#This Row],[Total L %]]*Table242[[#This Row],[Labor Unit Price]])/SUM(Table242[[#This Row],[Material Unit Price]:[Labor Unit Price]])</f>
        <v>0.12784220619121542</v>
      </c>
      <c r="AD428"/>
      <c r="AE428"/>
      <c r="AF428" s="148"/>
      <c r="AH428" s="2"/>
      <c r="AI428" s="2"/>
      <c r="AJ428" s="182">
        <v>1650.19</v>
      </c>
      <c r="BB428"/>
      <c r="BC428"/>
      <c r="BD428" s="154" t="s">
        <v>550</v>
      </c>
      <c r="BE428" s="2"/>
      <c r="BF428"/>
      <c r="BG428"/>
      <c r="BH428"/>
      <c r="BI428"/>
      <c r="BJ428"/>
      <c r="BK428"/>
      <c r="BL428" s="173">
        <v>11257.81</v>
      </c>
      <c r="BM428"/>
      <c r="BN428"/>
      <c r="BO428"/>
      <c r="BP428"/>
      <c r="BQ428"/>
      <c r="BR428" s="158">
        <f t="shared" si="6"/>
        <v>1650.19</v>
      </c>
    </row>
    <row r="429" spans="2:71" ht="14.45" hidden="1">
      <c r="B429" s="3" t="s">
        <v>49</v>
      </c>
      <c r="C429" s="3" t="s">
        <v>3145</v>
      </c>
      <c r="D429" s="3" t="s">
        <v>3332</v>
      </c>
      <c r="E429" s="3">
        <v>98</v>
      </c>
      <c r="F429" s="3" t="s">
        <v>3147</v>
      </c>
      <c r="G429" s="3" t="s">
        <v>3148</v>
      </c>
      <c r="H429" s="3" t="s">
        <v>17</v>
      </c>
      <c r="I429" s="3" t="s">
        <v>3333</v>
      </c>
      <c r="J429" t="s">
        <v>3329</v>
      </c>
      <c r="K429" s="147"/>
      <c r="L429" s="3">
        <v>1</v>
      </c>
      <c r="M429" s="148">
        <v>1400</v>
      </c>
      <c r="N429" s="148">
        <v>9551</v>
      </c>
      <c r="Q429" s="148">
        <v>1957</v>
      </c>
      <c r="R429" s="148">
        <f>Table242[[#This Row],[Material Unit Price]]+Table242[[#This Row],[Labor Unit Price]]+Table242[[#This Row],[GC + Manage+ Insur]]</f>
        <v>12908</v>
      </c>
      <c r="S429" s="148">
        <f>Table242[[#This Row],[Total Per Tool]]*Table242[[#This Row],[Tool QTY]]</f>
        <v>12908</v>
      </c>
      <c r="U429" s="149"/>
      <c r="W429" s="3"/>
      <c r="X42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1650.19</v>
      </c>
      <c r="Y429" s="150">
        <f>Table242[[#This Row],[Total AR (Received)]]/Table242[[#This Row],[PO Amount]]</f>
        <v>0.12784242330337775</v>
      </c>
      <c r="Z429" s="151">
        <f>Table242[[#This Row],[PO Amount]]-Table242[[#This Row],[Total AR (Received)]]</f>
        <v>11257.81</v>
      </c>
      <c r="AA429" s="152">
        <v>1</v>
      </c>
      <c r="AB429" s="152">
        <v>0</v>
      </c>
      <c r="AC429" s="152">
        <f>SUM(Table242[[#This Row],[Total M%]]*Table242[[#This Row],[Material Unit Price]],Table242[[#This Row],[Total L %]]*Table242[[#This Row],[Labor Unit Price]])/SUM(Table242[[#This Row],[Material Unit Price]:[Labor Unit Price]])</f>
        <v>0.12784220619121542</v>
      </c>
      <c r="AD429"/>
      <c r="AE429"/>
      <c r="AF429" s="148"/>
      <c r="AH429" s="2"/>
      <c r="AI429" s="2"/>
      <c r="AJ429" s="182">
        <v>1650.19</v>
      </c>
      <c r="BB429"/>
      <c r="BC429"/>
      <c r="BD429" s="154" t="s">
        <v>550</v>
      </c>
      <c r="BE429" s="2"/>
      <c r="BF429"/>
      <c r="BG429"/>
      <c r="BH429"/>
      <c r="BI429"/>
      <c r="BJ429"/>
      <c r="BK429"/>
      <c r="BL429"/>
      <c r="BM429"/>
      <c r="BN429"/>
      <c r="BO429"/>
      <c r="BP429"/>
      <c r="BQ429"/>
      <c r="BR429" s="158">
        <f t="shared" si="6"/>
        <v>1650.19</v>
      </c>
    </row>
    <row r="430" spans="2:71" ht="14.45" hidden="1">
      <c r="B430" s="3" t="s">
        <v>49</v>
      </c>
      <c r="C430" s="3" t="s">
        <v>3145</v>
      </c>
      <c r="D430" s="3" t="s">
        <v>3334</v>
      </c>
      <c r="E430" s="3">
        <v>99</v>
      </c>
      <c r="F430" s="3" t="s">
        <v>3147</v>
      </c>
      <c r="G430" s="3" t="s">
        <v>3148</v>
      </c>
      <c r="H430" s="3" t="s">
        <v>17</v>
      </c>
      <c r="I430" s="3" t="s">
        <v>3335</v>
      </c>
      <c r="J430" t="s">
        <v>3329</v>
      </c>
      <c r="K430" s="147"/>
      <c r="L430" s="3">
        <v>1</v>
      </c>
      <c r="M430" s="148">
        <v>1400</v>
      </c>
      <c r="N430" s="148">
        <v>9551</v>
      </c>
      <c r="Q430" s="148">
        <v>1957</v>
      </c>
      <c r="R430" s="148">
        <f>Table242[[#This Row],[Material Unit Price]]+Table242[[#This Row],[Labor Unit Price]]+Table242[[#This Row],[GC + Manage+ Insur]]</f>
        <v>12908</v>
      </c>
      <c r="S430" s="148">
        <f>Table242[[#This Row],[Total Per Tool]]*Table242[[#This Row],[Tool QTY]]</f>
        <v>12908</v>
      </c>
      <c r="U430" s="149"/>
      <c r="W430" s="3"/>
      <c r="X43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1650.19</v>
      </c>
      <c r="Y430" s="150">
        <f>Table242[[#This Row],[Total AR (Received)]]/Table242[[#This Row],[PO Amount]]</f>
        <v>0.12784242330337775</v>
      </c>
      <c r="Z430" s="151">
        <f>Table242[[#This Row],[PO Amount]]-Table242[[#This Row],[Total AR (Received)]]</f>
        <v>11257.81</v>
      </c>
      <c r="AA430" s="152">
        <v>1</v>
      </c>
      <c r="AB430" s="152">
        <v>0</v>
      </c>
      <c r="AC430" s="152">
        <f>SUM(Table242[[#This Row],[Total M%]]*Table242[[#This Row],[Material Unit Price]],Table242[[#This Row],[Total L %]]*Table242[[#This Row],[Labor Unit Price]])/SUM(Table242[[#This Row],[Material Unit Price]:[Labor Unit Price]])</f>
        <v>0.12784220619121542</v>
      </c>
      <c r="AD430"/>
      <c r="AE430"/>
      <c r="AF430" s="148"/>
      <c r="AH430" s="2"/>
      <c r="AI430" s="2"/>
      <c r="AJ430" s="182">
        <v>1650.19</v>
      </c>
      <c r="BB430"/>
      <c r="BC430"/>
      <c r="BD430" s="154" t="s">
        <v>550</v>
      </c>
      <c r="BE430" s="2"/>
      <c r="BF430"/>
      <c r="BG430"/>
      <c r="BH430"/>
      <c r="BI430"/>
      <c r="BJ430"/>
      <c r="BK430"/>
      <c r="BL430"/>
      <c r="BM430"/>
      <c r="BN430"/>
      <c r="BO430"/>
      <c r="BP430"/>
      <c r="BQ430"/>
      <c r="BR430" s="158">
        <f t="shared" si="6"/>
        <v>1650.19</v>
      </c>
    </row>
    <row r="431" spans="2:71" ht="14.45" hidden="1">
      <c r="B431" s="3" t="s">
        <v>49</v>
      </c>
      <c r="C431" s="3" t="s">
        <v>3145</v>
      </c>
      <c r="D431" s="3" t="s">
        <v>3336</v>
      </c>
      <c r="E431" s="3">
        <v>100</v>
      </c>
      <c r="F431" s="3" t="s">
        <v>3147</v>
      </c>
      <c r="G431" s="3" t="s">
        <v>3148</v>
      </c>
      <c r="H431" s="3" t="s">
        <v>17</v>
      </c>
      <c r="I431" s="3" t="s">
        <v>3337</v>
      </c>
      <c r="J431" t="s">
        <v>3329</v>
      </c>
      <c r="K431" s="147"/>
      <c r="L431" s="3">
        <v>1</v>
      </c>
      <c r="M431" s="148">
        <v>1400</v>
      </c>
      <c r="N431" s="148">
        <v>9551</v>
      </c>
      <c r="Q431" s="148">
        <v>1957</v>
      </c>
      <c r="R431" s="148">
        <f>Table242[[#This Row],[Material Unit Price]]+Table242[[#This Row],[Labor Unit Price]]+Table242[[#This Row],[GC + Manage+ Insur]]</f>
        <v>12908</v>
      </c>
      <c r="S431" s="148">
        <f>Table242[[#This Row],[Total Per Tool]]*Table242[[#This Row],[Tool QTY]]</f>
        <v>12908</v>
      </c>
      <c r="U431" s="149"/>
      <c r="W431" s="3"/>
      <c r="X43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1650.19</v>
      </c>
      <c r="Y431" s="150">
        <f>Table242[[#This Row],[Total AR (Received)]]/Table242[[#This Row],[PO Amount]]</f>
        <v>0.12784242330337775</v>
      </c>
      <c r="Z431" s="151">
        <f>Table242[[#This Row],[PO Amount]]-Table242[[#This Row],[Total AR (Received)]]</f>
        <v>11257.81</v>
      </c>
      <c r="AA431" s="152">
        <v>1</v>
      </c>
      <c r="AB431" s="152">
        <v>0</v>
      </c>
      <c r="AC431" s="152">
        <f>SUM(Table242[[#This Row],[Total M%]]*Table242[[#This Row],[Material Unit Price]],Table242[[#This Row],[Total L %]]*Table242[[#This Row],[Labor Unit Price]])/SUM(Table242[[#This Row],[Material Unit Price]:[Labor Unit Price]])</f>
        <v>0.12784220619121542</v>
      </c>
      <c r="AD431"/>
      <c r="AE431"/>
      <c r="AF431" s="148"/>
      <c r="AH431" s="2"/>
      <c r="AI431" s="2"/>
      <c r="AJ431" s="182">
        <v>1650.19</v>
      </c>
      <c r="BB431"/>
      <c r="BC431"/>
      <c r="BD431" s="154" t="s">
        <v>550</v>
      </c>
      <c r="BE431" s="2"/>
      <c r="BF431"/>
      <c r="BG431"/>
      <c r="BH431"/>
      <c r="BI431"/>
      <c r="BJ431"/>
      <c r="BK431"/>
      <c r="BL431"/>
      <c r="BM431"/>
      <c r="BN431"/>
      <c r="BO431"/>
      <c r="BP431"/>
      <c r="BQ431"/>
      <c r="BR431" s="158">
        <f t="shared" si="6"/>
        <v>1650.19</v>
      </c>
    </row>
    <row r="432" spans="2:71" ht="14.45" hidden="1">
      <c r="B432" s="3" t="s">
        <v>49</v>
      </c>
      <c r="C432" s="3" t="s">
        <v>3145</v>
      </c>
      <c r="D432" s="3" t="s">
        <v>3338</v>
      </c>
      <c r="E432" s="3">
        <v>101</v>
      </c>
      <c r="F432" s="3" t="s">
        <v>3147</v>
      </c>
      <c r="G432" s="3" t="s">
        <v>3148</v>
      </c>
      <c r="H432" s="3" t="s">
        <v>17</v>
      </c>
      <c r="I432" s="3" t="s">
        <v>3339</v>
      </c>
      <c r="J432" t="s">
        <v>3329</v>
      </c>
      <c r="K432" s="147"/>
      <c r="L432" s="3">
        <v>1</v>
      </c>
      <c r="M432" s="148">
        <v>1400</v>
      </c>
      <c r="N432" s="148">
        <v>9551</v>
      </c>
      <c r="Q432" s="148">
        <v>1957</v>
      </c>
      <c r="R432" s="148">
        <f>Table242[[#This Row],[Material Unit Price]]+Table242[[#This Row],[Labor Unit Price]]+Table242[[#This Row],[GC + Manage+ Insur]]</f>
        <v>12908</v>
      </c>
      <c r="S432" s="148">
        <f>Table242[[#This Row],[Total Per Tool]]*Table242[[#This Row],[Tool QTY]]</f>
        <v>12908</v>
      </c>
      <c r="U432" s="149"/>
      <c r="W432" s="3"/>
      <c r="X43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1650.19</v>
      </c>
      <c r="Y432" s="150">
        <f>Table242[[#This Row],[Total AR (Received)]]/Table242[[#This Row],[PO Amount]]</f>
        <v>0.12784242330337775</v>
      </c>
      <c r="Z432" s="151">
        <f>Table242[[#This Row],[PO Amount]]-Table242[[#This Row],[Total AR (Received)]]</f>
        <v>11257.81</v>
      </c>
      <c r="AA432" s="152">
        <v>1</v>
      </c>
      <c r="AB432" s="152">
        <v>0</v>
      </c>
      <c r="AC432" s="152">
        <f>SUM(Table242[[#This Row],[Total M%]]*Table242[[#This Row],[Material Unit Price]],Table242[[#This Row],[Total L %]]*Table242[[#This Row],[Labor Unit Price]])/SUM(Table242[[#This Row],[Material Unit Price]:[Labor Unit Price]])</f>
        <v>0.12784220619121542</v>
      </c>
      <c r="AD432"/>
      <c r="AE432"/>
      <c r="AF432" s="148"/>
      <c r="AH432" s="2"/>
      <c r="AI432" s="2"/>
      <c r="AJ432" s="182">
        <v>1650.19</v>
      </c>
      <c r="BB432"/>
      <c r="BC432"/>
      <c r="BD432" s="154" t="s">
        <v>550</v>
      </c>
      <c r="BE432" s="2"/>
      <c r="BF432"/>
      <c r="BG432"/>
      <c r="BH432"/>
      <c r="BI432"/>
      <c r="BJ432"/>
      <c r="BK432"/>
      <c r="BL432"/>
      <c r="BM432"/>
      <c r="BN432"/>
      <c r="BO432"/>
      <c r="BP432"/>
      <c r="BQ432"/>
      <c r="BR432" s="158">
        <f t="shared" si="6"/>
        <v>1650.19</v>
      </c>
      <c r="BS432" s="377"/>
    </row>
    <row r="433" spans="2:71" ht="14.45" hidden="1">
      <c r="B433" s="3" t="s">
        <v>49</v>
      </c>
      <c r="C433" s="3" t="s">
        <v>3145</v>
      </c>
      <c r="D433" s="3" t="s">
        <v>3340</v>
      </c>
      <c r="E433" s="3">
        <v>102</v>
      </c>
      <c r="F433" s="3" t="s">
        <v>3147</v>
      </c>
      <c r="G433" s="3" t="s">
        <v>3148</v>
      </c>
      <c r="H433" s="3" t="s">
        <v>17</v>
      </c>
      <c r="I433" s="3" t="s">
        <v>3341</v>
      </c>
      <c r="J433" t="s">
        <v>3342</v>
      </c>
      <c r="K433" s="147"/>
      <c r="L433" s="3">
        <v>1</v>
      </c>
      <c r="M433" s="148">
        <v>6607</v>
      </c>
      <c r="N433" s="148">
        <v>6339</v>
      </c>
      <c r="Q433" s="148">
        <v>2314</v>
      </c>
      <c r="R433" s="148">
        <f>Table242[[#This Row],[Material Unit Price]]+Table242[[#This Row],[Labor Unit Price]]+Table242[[#This Row],[GC + Manage+ Insur]]</f>
        <v>15260</v>
      </c>
      <c r="S433" s="148">
        <f>Table242[[#This Row],[Total Per Tool]]*Table242[[#This Row],[Tool QTY]]</f>
        <v>15260</v>
      </c>
      <c r="U433" s="149">
        <v>44895</v>
      </c>
      <c r="W433" s="3" t="s">
        <v>3083</v>
      </c>
      <c r="X43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15260</v>
      </c>
      <c r="Y433" s="150">
        <f>Table242[[#This Row],[Total AR (Received)]]/Table242[[#This Row],[PO Amount]]</f>
        <v>1</v>
      </c>
      <c r="Z433" s="151">
        <f>Table242[[#This Row],[PO Amount]]-Table242[[#This Row],[Total AR (Received)]]</f>
        <v>0</v>
      </c>
      <c r="AA433" s="152">
        <v>1</v>
      </c>
      <c r="AB433" s="152">
        <v>0</v>
      </c>
      <c r="AC433" s="152">
        <f>SUM(Table242[[#This Row],[Total M%]]*Table242[[#This Row],[Material Unit Price]],Table242[[#This Row],[Total L %]]*Table242[[#This Row],[Labor Unit Price]])/SUM(Table242[[#This Row],[Material Unit Price]:[Labor Unit Price]])</f>
        <v>0.51035068747103352</v>
      </c>
      <c r="AD433"/>
      <c r="AE433"/>
      <c r="AF433" s="148"/>
      <c r="AH433" s="2"/>
      <c r="AI433" s="2"/>
      <c r="AJ433" s="182">
        <v>7787.96</v>
      </c>
      <c r="BB433"/>
      <c r="BC433"/>
      <c r="BD433" s="154" t="s">
        <v>550</v>
      </c>
      <c r="BE433" s="2"/>
      <c r="BF433"/>
      <c r="BG433"/>
      <c r="BH433"/>
      <c r="BI433"/>
      <c r="BJ433" s="173">
        <v>7472.04</v>
      </c>
      <c r="BK433"/>
      <c r="BL433"/>
      <c r="BM433"/>
      <c r="BN433"/>
      <c r="BO433"/>
      <c r="BP433"/>
      <c r="BQ433"/>
      <c r="BR433" s="158">
        <f t="shared" si="6"/>
        <v>7787.96</v>
      </c>
      <c r="BS433" s="377"/>
    </row>
    <row r="434" spans="2:71" ht="14.45" hidden="1">
      <c r="B434" s="3" t="s">
        <v>49</v>
      </c>
      <c r="C434" s="3" t="s">
        <v>3145</v>
      </c>
      <c r="D434" s="3" t="s">
        <v>3343</v>
      </c>
      <c r="E434" s="3">
        <v>103</v>
      </c>
      <c r="F434" s="3" t="s">
        <v>3147</v>
      </c>
      <c r="G434" s="3" t="s">
        <v>3148</v>
      </c>
      <c r="H434" s="3" t="s">
        <v>17</v>
      </c>
      <c r="I434" s="3" t="s">
        <v>3344</v>
      </c>
      <c r="J434" t="s">
        <v>3342</v>
      </c>
      <c r="K434" s="147"/>
      <c r="L434" s="3">
        <v>1</v>
      </c>
      <c r="M434" s="148">
        <v>6607</v>
      </c>
      <c r="N434" s="148">
        <v>6339</v>
      </c>
      <c r="Q434" s="148">
        <v>2314</v>
      </c>
      <c r="R434" s="148">
        <f>Table242[[#This Row],[Material Unit Price]]+Table242[[#This Row],[Labor Unit Price]]+Table242[[#This Row],[GC + Manage+ Insur]]</f>
        <v>15260</v>
      </c>
      <c r="S434" s="148">
        <f>Table242[[#This Row],[Total Per Tool]]*Table242[[#This Row],[Tool QTY]]</f>
        <v>15260</v>
      </c>
      <c r="U434" s="149"/>
      <c r="W434" s="3"/>
      <c r="X43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7787.96</v>
      </c>
      <c r="Y434" s="150">
        <f>Table242[[#This Row],[Total AR (Received)]]/Table242[[#This Row],[PO Amount]]</f>
        <v>0.51035124508519003</v>
      </c>
      <c r="Z434" s="151">
        <f>Table242[[#This Row],[PO Amount]]-Table242[[#This Row],[Total AR (Received)]]</f>
        <v>7472.04</v>
      </c>
      <c r="AA434" s="152">
        <v>1</v>
      </c>
      <c r="AB434" s="152">
        <v>0</v>
      </c>
      <c r="AC434" s="152">
        <f>SUM(Table242[[#This Row],[Total M%]]*Table242[[#This Row],[Material Unit Price]],Table242[[#This Row],[Total L %]]*Table242[[#This Row],[Labor Unit Price]])/SUM(Table242[[#This Row],[Material Unit Price]:[Labor Unit Price]])</f>
        <v>0.51035068747103352</v>
      </c>
      <c r="AD434"/>
      <c r="AE434"/>
      <c r="AF434" s="148"/>
      <c r="AH434" s="2"/>
      <c r="AI434" s="2"/>
      <c r="AJ434" s="182">
        <v>7787.96</v>
      </c>
      <c r="BB434"/>
      <c r="BC434"/>
      <c r="BD434" s="154" t="s">
        <v>550</v>
      </c>
      <c r="BE434" s="2"/>
      <c r="BF434"/>
      <c r="BG434"/>
      <c r="BH434"/>
      <c r="BI434"/>
      <c r="BJ434"/>
      <c r="BK434"/>
      <c r="BL434"/>
      <c r="BM434"/>
      <c r="BN434"/>
      <c r="BO434"/>
      <c r="BP434"/>
      <c r="BQ434"/>
      <c r="BR434" s="158">
        <f t="shared" si="6"/>
        <v>7787.96</v>
      </c>
    </row>
    <row r="435" spans="2:71" ht="14.45" hidden="1">
      <c r="B435" s="3" t="s">
        <v>49</v>
      </c>
      <c r="C435" s="3" t="s">
        <v>3145</v>
      </c>
      <c r="D435" s="3" t="s">
        <v>3345</v>
      </c>
      <c r="E435" s="3">
        <v>104</v>
      </c>
      <c r="F435" s="3" t="s">
        <v>3147</v>
      </c>
      <c r="G435" s="3" t="s">
        <v>3148</v>
      </c>
      <c r="H435" s="3" t="s">
        <v>17</v>
      </c>
      <c r="I435" s="3" t="s">
        <v>3346</v>
      </c>
      <c r="J435" t="s">
        <v>3342</v>
      </c>
      <c r="K435" s="147"/>
      <c r="L435" s="3">
        <v>1</v>
      </c>
      <c r="M435" s="148">
        <v>6607</v>
      </c>
      <c r="N435" s="148">
        <v>6339</v>
      </c>
      <c r="Q435" s="148">
        <v>2314</v>
      </c>
      <c r="R435" s="148">
        <f>Table242[[#This Row],[Material Unit Price]]+Table242[[#This Row],[Labor Unit Price]]+Table242[[#This Row],[GC + Manage+ Insur]]</f>
        <v>15260</v>
      </c>
      <c r="S435" s="148">
        <f>Table242[[#This Row],[Total Per Tool]]*Table242[[#This Row],[Tool QTY]]</f>
        <v>15260</v>
      </c>
      <c r="U435" s="149"/>
      <c r="W435" s="3"/>
      <c r="X43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15260</v>
      </c>
      <c r="Y435" s="150">
        <f>Table242[[#This Row],[Total AR (Received)]]/Table242[[#This Row],[PO Amount]]</f>
        <v>1</v>
      </c>
      <c r="Z435" s="151">
        <f>Table242[[#This Row],[PO Amount]]-Table242[[#This Row],[Total AR (Received)]]</f>
        <v>0</v>
      </c>
      <c r="AA435" s="152">
        <v>1</v>
      </c>
      <c r="AB435" s="152">
        <v>0</v>
      </c>
      <c r="AC435" s="152">
        <f>SUM(Table242[[#This Row],[Total M%]]*Table242[[#This Row],[Material Unit Price]],Table242[[#This Row],[Total L %]]*Table242[[#This Row],[Labor Unit Price]])/SUM(Table242[[#This Row],[Material Unit Price]:[Labor Unit Price]])</f>
        <v>0.51035068747103352</v>
      </c>
      <c r="AD435"/>
      <c r="AE435"/>
      <c r="AF435" s="148"/>
      <c r="AH435" s="2"/>
      <c r="AI435" s="2"/>
      <c r="AJ435" s="182">
        <v>7787.96</v>
      </c>
      <c r="BB435"/>
      <c r="BC435"/>
      <c r="BD435" s="154" t="s">
        <v>550</v>
      </c>
      <c r="BE435" s="2"/>
      <c r="BF435"/>
      <c r="BG435"/>
      <c r="BH435"/>
      <c r="BI435"/>
      <c r="BJ435" s="173">
        <v>7472.04</v>
      </c>
      <c r="BK435"/>
      <c r="BL435"/>
      <c r="BM435"/>
      <c r="BN435"/>
      <c r="BO435"/>
      <c r="BP435"/>
      <c r="BQ435"/>
      <c r="BR435" s="158">
        <f t="shared" si="6"/>
        <v>7787.96</v>
      </c>
      <c r="BS435" s="377"/>
    </row>
    <row r="436" spans="2:71" ht="14.45" hidden="1">
      <c r="B436" s="3" t="s">
        <v>49</v>
      </c>
      <c r="C436" s="3" t="s">
        <v>3145</v>
      </c>
      <c r="D436" s="3" t="s">
        <v>3347</v>
      </c>
      <c r="E436" s="3">
        <v>105</v>
      </c>
      <c r="F436" s="3" t="s">
        <v>3147</v>
      </c>
      <c r="G436" s="3" t="s">
        <v>3148</v>
      </c>
      <c r="H436" s="3" t="s">
        <v>17</v>
      </c>
      <c r="I436" s="3" t="s">
        <v>3348</v>
      </c>
      <c r="J436" t="s">
        <v>3342</v>
      </c>
      <c r="K436" s="147"/>
      <c r="L436" s="3">
        <v>1</v>
      </c>
      <c r="M436" s="148">
        <v>6607</v>
      </c>
      <c r="N436" s="148">
        <v>6339</v>
      </c>
      <c r="Q436" s="148">
        <v>2314</v>
      </c>
      <c r="R436" s="148">
        <f>Table242[[#This Row],[Material Unit Price]]+Table242[[#This Row],[Labor Unit Price]]+Table242[[#This Row],[GC + Manage+ Insur]]</f>
        <v>15260</v>
      </c>
      <c r="S436" s="148">
        <f>Table242[[#This Row],[Total Per Tool]]*Table242[[#This Row],[Tool QTY]]</f>
        <v>15260</v>
      </c>
      <c r="U436" s="149"/>
      <c r="W436" s="3"/>
      <c r="X43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15260</v>
      </c>
      <c r="Y436" s="150">
        <f>Table242[[#This Row],[Total AR (Received)]]/Table242[[#This Row],[PO Amount]]</f>
        <v>1</v>
      </c>
      <c r="Z436" s="151">
        <f>Table242[[#This Row],[PO Amount]]-Table242[[#This Row],[Total AR (Received)]]</f>
        <v>0</v>
      </c>
      <c r="AA436" s="152">
        <v>1</v>
      </c>
      <c r="AB436" s="152">
        <v>0</v>
      </c>
      <c r="AC436" s="152">
        <f>SUM(Table242[[#This Row],[Total M%]]*Table242[[#This Row],[Material Unit Price]],Table242[[#This Row],[Total L %]]*Table242[[#This Row],[Labor Unit Price]])/SUM(Table242[[#This Row],[Material Unit Price]:[Labor Unit Price]])</f>
        <v>0.51035068747103352</v>
      </c>
      <c r="AD436"/>
      <c r="AE436"/>
      <c r="AF436" s="148"/>
      <c r="AH436" s="2"/>
      <c r="AI436" s="2"/>
      <c r="AJ436" s="182">
        <v>7787.96</v>
      </c>
      <c r="BB436"/>
      <c r="BC436"/>
      <c r="BD436" s="154" t="s">
        <v>550</v>
      </c>
      <c r="BE436" s="2"/>
      <c r="BF436"/>
      <c r="BG436"/>
      <c r="BH436"/>
      <c r="BI436"/>
      <c r="BJ436" s="173">
        <v>7472.04</v>
      </c>
      <c r="BK436"/>
      <c r="BL436"/>
      <c r="BM436"/>
      <c r="BN436"/>
      <c r="BO436"/>
      <c r="BP436"/>
      <c r="BQ436"/>
      <c r="BR436" s="158">
        <f t="shared" si="6"/>
        <v>7787.96</v>
      </c>
      <c r="BS436" s="377"/>
    </row>
    <row r="437" spans="2:71" ht="14.45" hidden="1">
      <c r="B437" s="3" t="s">
        <v>49</v>
      </c>
      <c r="C437" s="3" t="s">
        <v>3145</v>
      </c>
      <c r="D437" s="3" t="s">
        <v>3349</v>
      </c>
      <c r="E437" s="3">
        <v>106</v>
      </c>
      <c r="F437" s="3" t="s">
        <v>3147</v>
      </c>
      <c r="G437" s="3" t="s">
        <v>3148</v>
      </c>
      <c r="H437" s="3" t="s">
        <v>17</v>
      </c>
      <c r="I437" s="3" t="s">
        <v>3350</v>
      </c>
      <c r="J437" t="s">
        <v>3342</v>
      </c>
      <c r="K437" s="147"/>
      <c r="L437" s="3">
        <v>1</v>
      </c>
      <c r="M437" s="148">
        <v>6607</v>
      </c>
      <c r="N437" s="148">
        <v>6339</v>
      </c>
      <c r="Q437" s="148">
        <v>2314</v>
      </c>
      <c r="R437" s="148">
        <f>Table242[[#This Row],[Material Unit Price]]+Table242[[#This Row],[Labor Unit Price]]+Table242[[#This Row],[GC + Manage+ Insur]]</f>
        <v>15260</v>
      </c>
      <c r="S437" s="148">
        <f>Table242[[#This Row],[Total Per Tool]]*Table242[[#This Row],[Tool QTY]]</f>
        <v>15260</v>
      </c>
      <c r="U437" s="149"/>
      <c r="W437" s="3"/>
      <c r="X43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7787.96</v>
      </c>
      <c r="Y437" s="150">
        <f>Table242[[#This Row],[Total AR (Received)]]/Table242[[#This Row],[PO Amount]]</f>
        <v>0.51035124508519003</v>
      </c>
      <c r="Z437" s="151">
        <f>Table242[[#This Row],[PO Amount]]-Table242[[#This Row],[Total AR (Received)]]</f>
        <v>7472.04</v>
      </c>
      <c r="AA437" s="152">
        <v>1</v>
      </c>
      <c r="AB437" s="152">
        <v>0</v>
      </c>
      <c r="AC437" s="152">
        <f>SUM(Table242[[#This Row],[Total M%]]*Table242[[#This Row],[Material Unit Price]],Table242[[#This Row],[Total L %]]*Table242[[#This Row],[Labor Unit Price]])/SUM(Table242[[#This Row],[Material Unit Price]:[Labor Unit Price]])</f>
        <v>0.51035068747103352</v>
      </c>
      <c r="AD437"/>
      <c r="AE437"/>
      <c r="AF437" s="148"/>
      <c r="AH437" s="2"/>
      <c r="AI437" s="2"/>
      <c r="AJ437" s="182">
        <v>7787.96</v>
      </c>
      <c r="BB437"/>
      <c r="BC437"/>
      <c r="BD437" s="154" t="s">
        <v>550</v>
      </c>
      <c r="BE437" s="2"/>
      <c r="BF437"/>
      <c r="BG437"/>
      <c r="BH437"/>
      <c r="BI437"/>
      <c r="BJ437"/>
      <c r="BK437"/>
      <c r="BL437"/>
      <c r="BM437"/>
      <c r="BN437"/>
      <c r="BO437"/>
      <c r="BP437"/>
      <c r="BQ437"/>
      <c r="BR437" s="158">
        <f t="shared" si="6"/>
        <v>7787.96</v>
      </c>
      <c r="BS437" s="377"/>
    </row>
    <row r="438" spans="2:71" ht="14.45" hidden="1">
      <c r="B438" s="3" t="s">
        <v>49</v>
      </c>
      <c r="C438" s="3" t="s">
        <v>3145</v>
      </c>
      <c r="D438" s="3" t="s">
        <v>3351</v>
      </c>
      <c r="E438" s="3">
        <v>107</v>
      </c>
      <c r="F438" s="3" t="s">
        <v>3147</v>
      </c>
      <c r="G438" s="3" t="s">
        <v>3148</v>
      </c>
      <c r="H438" s="3" t="s">
        <v>17</v>
      </c>
      <c r="I438" s="3" t="s">
        <v>3352</v>
      </c>
      <c r="J438" t="s">
        <v>3342</v>
      </c>
      <c r="K438" s="147"/>
      <c r="L438" s="3">
        <v>1</v>
      </c>
      <c r="M438" s="148">
        <v>6607</v>
      </c>
      <c r="N438" s="148">
        <v>6339</v>
      </c>
      <c r="Q438" s="148">
        <v>2314</v>
      </c>
      <c r="R438" s="148">
        <f>Table242[[#This Row],[Material Unit Price]]+Table242[[#This Row],[Labor Unit Price]]+Table242[[#This Row],[GC + Manage+ Insur]]</f>
        <v>15260</v>
      </c>
      <c r="S438" s="148">
        <f>Table242[[#This Row],[Total Per Tool]]*Table242[[#This Row],[Tool QTY]]</f>
        <v>15260</v>
      </c>
      <c r="U438" s="149"/>
      <c r="W438" s="3"/>
      <c r="X43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7787.96</v>
      </c>
      <c r="Y438" s="150">
        <f>Table242[[#This Row],[Total AR (Received)]]/Table242[[#This Row],[PO Amount]]</f>
        <v>0.51035124508519003</v>
      </c>
      <c r="Z438" s="151">
        <f>Table242[[#This Row],[PO Amount]]-Table242[[#This Row],[Total AR (Received)]]</f>
        <v>7472.04</v>
      </c>
      <c r="AA438" s="152">
        <v>1</v>
      </c>
      <c r="AB438" s="152">
        <v>0</v>
      </c>
      <c r="AC438" s="152">
        <f>SUM(Table242[[#This Row],[Total M%]]*Table242[[#This Row],[Material Unit Price]],Table242[[#This Row],[Total L %]]*Table242[[#This Row],[Labor Unit Price]])/SUM(Table242[[#This Row],[Material Unit Price]:[Labor Unit Price]])</f>
        <v>0.51035068747103352</v>
      </c>
      <c r="AD438"/>
      <c r="AE438"/>
      <c r="AF438" s="148"/>
      <c r="AH438" s="2"/>
      <c r="AI438" s="2"/>
      <c r="AJ438" s="182">
        <v>7787.96</v>
      </c>
      <c r="BB438"/>
      <c r="BC438"/>
      <c r="BD438" s="154" t="s">
        <v>550</v>
      </c>
      <c r="BE438" s="2"/>
      <c r="BF438"/>
      <c r="BG438"/>
      <c r="BH438"/>
      <c r="BI438"/>
      <c r="BJ438"/>
      <c r="BK438"/>
      <c r="BL438"/>
      <c r="BM438"/>
      <c r="BN438"/>
      <c r="BO438"/>
      <c r="BP438"/>
      <c r="BQ438"/>
      <c r="BR438" s="158">
        <f t="shared" si="6"/>
        <v>7787.96</v>
      </c>
    </row>
    <row r="439" spans="2:71" ht="14.45" hidden="1">
      <c r="B439" s="3" t="s">
        <v>49</v>
      </c>
      <c r="C439" s="3" t="s">
        <v>3145</v>
      </c>
      <c r="D439" s="3" t="s">
        <v>3353</v>
      </c>
      <c r="E439" s="3">
        <v>108</v>
      </c>
      <c r="F439" s="3" t="s">
        <v>3147</v>
      </c>
      <c r="G439" s="3" t="s">
        <v>3148</v>
      </c>
      <c r="H439" s="3" t="s">
        <v>17</v>
      </c>
      <c r="I439" s="3" t="s">
        <v>3354</v>
      </c>
      <c r="J439" t="s">
        <v>3342</v>
      </c>
      <c r="K439" s="147"/>
      <c r="L439" s="3">
        <v>1</v>
      </c>
      <c r="M439" s="148">
        <v>6607</v>
      </c>
      <c r="N439" s="148">
        <v>6339</v>
      </c>
      <c r="Q439" s="148">
        <v>2314</v>
      </c>
      <c r="R439" s="148">
        <f>Table242[[#This Row],[Material Unit Price]]+Table242[[#This Row],[Labor Unit Price]]+Table242[[#This Row],[GC + Manage+ Insur]]</f>
        <v>15260</v>
      </c>
      <c r="S439" s="148">
        <f>Table242[[#This Row],[Total Per Tool]]*Table242[[#This Row],[Tool QTY]]</f>
        <v>15260</v>
      </c>
      <c r="U439" s="149"/>
      <c r="W439" s="3"/>
      <c r="X43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7787.96</v>
      </c>
      <c r="Y439" s="150">
        <f>Table242[[#This Row],[Total AR (Received)]]/Table242[[#This Row],[PO Amount]]</f>
        <v>0.51035124508519003</v>
      </c>
      <c r="Z439" s="151">
        <f>Table242[[#This Row],[PO Amount]]-Table242[[#This Row],[Total AR (Received)]]</f>
        <v>7472.04</v>
      </c>
      <c r="AA439" s="152">
        <v>1</v>
      </c>
      <c r="AB439" s="152">
        <v>0</v>
      </c>
      <c r="AC439" s="152">
        <f>SUM(Table242[[#This Row],[Total M%]]*Table242[[#This Row],[Material Unit Price]],Table242[[#This Row],[Total L %]]*Table242[[#This Row],[Labor Unit Price]])/SUM(Table242[[#This Row],[Material Unit Price]:[Labor Unit Price]])</f>
        <v>0.51035068747103352</v>
      </c>
      <c r="AD439"/>
      <c r="AE439"/>
      <c r="AF439" s="148"/>
      <c r="AH439" s="2"/>
      <c r="AI439" s="2"/>
      <c r="AJ439" s="182">
        <v>7787.96</v>
      </c>
      <c r="BB439"/>
      <c r="BC439"/>
      <c r="BD439" s="154" t="s">
        <v>550</v>
      </c>
      <c r="BE439" s="2"/>
      <c r="BF439"/>
      <c r="BG439"/>
      <c r="BH439"/>
      <c r="BI439"/>
      <c r="BJ439"/>
      <c r="BK439"/>
      <c r="BL439"/>
      <c r="BM439"/>
      <c r="BN439"/>
      <c r="BO439"/>
      <c r="BP439"/>
      <c r="BQ439"/>
      <c r="BR439" s="158">
        <f t="shared" ref="BR439:BR502" si="7">SUM(AD439:BH439)</f>
        <v>7787.96</v>
      </c>
    </row>
    <row r="440" spans="2:71" ht="14.45" hidden="1">
      <c r="B440" s="3" t="s">
        <v>49</v>
      </c>
      <c r="C440" s="3" t="s">
        <v>3145</v>
      </c>
      <c r="D440" s="3" t="s">
        <v>3355</v>
      </c>
      <c r="E440" s="3">
        <v>109</v>
      </c>
      <c r="F440" s="3" t="s">
        <v>3147</v>
      </c>
      <c r="G440" s="3" t="s">
        <v>3148</v>
      </c>
      <c r="H440" s="3" t="s">
        <v>17</v>
      </c>
      <c r="I440" s="3" t="s">
        <v>3356</v>
      </c>
      <c r="J440" t="s">
        <v>3357</v>
      </c>
      <c r="K440" s="147"/>
      <c r="L440" s="3">
        <v>1</v>
      </c>
      <c r="M440" s="148">
        <v>6697</v>
      </c>
      <c r="N440" s="148">
        <v>8158</v>
      </c>
      <c r="Q440" s="148">
        <v>2654</v>
      </c>
      <c r="R440" s="148">
        <f>Table242[[#This Row],[Material Unit Price]]+Table242[[#This Row],[Labor Unit Price]]+Table242[[#This Row],[GC + Manage+ Insur]]</f>
        <v>17509</v>
      </c>
      <c r="S440" s="148">
        <f>Table242[[#This Row],[Total Per Tool]]*Table242[[#This Row],[Tool QTY]]</f>
        <v>17509</v>
      </c>
      <c r="U440" s="149">
        <v>44895</v>
      </c>
      <c r="W440" s="3" t="s">
        <v>3083</v>
      </c>
      <c r="X44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17509</v>
      </c>
      <c r="Y440" s="150">
        <f>Table242[[#This Row],[Total AR (Received)]]/Table242[[#This Row],[PO Amount]]</f>
        <v>1</v>
      </c>
      <c r="Z440" s="151">
        <f>Table242[[#This Row],[PO Amount]]-Table242[[#This Row],[Total AR (Received)]]</f>
        <v>0</v>
      </c>
      <c r="AA440" s="152">
        <v>1</v>
      </c>
      <c r="AB440" s="152">
        <v>0</v>
      </c>
      <c r="AC440" s="152">
        <f>SUM(Table242[[#This Row],[Total M%]]*Table242[[#This Row],[Material Unit Price]],Table242[[#This Row],[Total L %]]*Table242[[#This Row],[Labor Unit Price]])/SUM(Table242[[#This Row],[Material Unit Price]:[Labor Unit Price]])</f>
        <v>0.45082463816896667</v>
      </c>
      <c r="AD440"/>
      <c r="AE440"/>
      <c r="AF440" s="148"/>
      <c r="AH440" s="2"/>
      <c r="AI440" s="2"/>
      <c r="AJ440" s="182">
        <v>7893.49</v>
      </c>
      <c r="BB440"/>
      <c r="BC440"/>
      <c r="BD440" s="154" t="s">
        <v>550</v>
      </c>
      <c r="BE440" s="2"/>
      <c r="BF440"/>
      <c r="BG440"/>
      <c r="BH440"/>
      <c r="BI440"/>
      <c r="BJ440"/>
      <c r="BK440"/>
      <c r="BL440" s="173">
        <v>9615.51</v>
      </c>
      <c r="BM440"/>
      <c r="BN440"/>
      <c r="BO440"/>
      <c r="BP440"/>
      <c r="BQ440"/>
      <c r="BR440" s="158">
        <f t="shared" si="7"/>
        <v>7893.49</v>
      </c>
    </row>
    <row r="441" spans="2:71" ht="14.45" hidden="1">
      <c r="B441" s="3" t="s">
        <v>49</v>
      </c>
      <c r="C441" s="3" t="s">
        <v>3145</v>
      </c>
      <c r="D441" s="3" t="s">
        <v>3358</v>
      </c>
      <c r="E441" s="3">
        <v>110</v>
      </c>
      <c r="F441" s="3" t="s">
        <v>3147</v>
      </c>
      <c r="G441" s="3" t="s">
        <v>3148</v>
      </c>
      <c r="H441" s="3" t="s">
        <v>17</v>
      </c>
      <c r="I441" s="3" t="s">
        <v>3359</v>
      </c>
      <c r="J441" t="s">
        <v>3357</v>
      </c>
      <c r="K441" s="147"/>
      <c r="L441" s="3">
        <v>1</v>
      </c>
      <c r="M441" s="148">
        <v>6697</v>
      </c>
      <c r="N441" s="148">
        <v>8158</v>
      </c>
      <c r="Q441" s="148">
        <v>2654</v>
      </c>
      <c r="R441" s="148">
        <f>Table242[[#This Row],[Material Unit Price]]+Table242[[#This Row],[Labor Unit Price]]+Table242[[#This Row],[GC + Manage+ Insur]]</f>
        <v>17509</v>
      </c>
      <c r="S441" s="148">
        <f>Table242[[#This Row],[Total Per Tool]]*Table242[[#This Row],[Tool QTY]]</f>
        <v>17509</v>
      </c>
      <c r="U441" s="149"/>
      <c r="W441" s="3"/>
      <c r="X44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17509</v>
      </c>
      <c r="Y441" s="150">
        <f>Table242[[#This Row],[Total AR (Received)]]/Table242[[#This Row],[PO Amount]]</f>
        <v>1</v>
      </c>
      <c r="Z441" s="151">
        <f>Table242[[#This Row],[PO Amount]]-Table242[[#This Row],[Total AR (Received)]]</f>
        <v>0</v>
      </c>
      <c r="AA441" s="152">
        <v>1</v>
      </c>
      <c r="AB441" s="152">
        <v>0</v>
      </c>
      <c r="AC441" s="152">
        <f>SUM(Table242[[#This Row],[Total M%]]*Table242[[#This Row],[Material Unit Price]],Table242[[#This Row],[Total L %]]*Table242[[#This Row],[Labor Unit Price]])/SUM(Table242[[#This Row],[Material Unit Price]:[Labor Unit Price]])</f>
        <v>0.45082463816896667</v>
      </c>
      <c r="AD441"/>
      <c r="AE441"/>
      <c r="AF441" s="148"/>
      <c r="AH441" s="2"/>
      <c r="AI441" s="2"/>
      <c r="AJ441" s="182">
        <v>7893.49</v>
      </c>
      <c r="BB441"/>
      <c r="BC441"/>
      <c r="BD441" s="154" t="s">
        <v>550</v>
      </c>
      <c r="BE441" s="2"/>
      <c r="BF441"/>
      <c r="BG441"/>
      <c r="BH441"/>
      <c r="BI441"/>
      <c r="BJ441"/>
      <c r="BK441"/>
      <c r="BL441" s="173">
        <v>9615.51</v>
      </c>
      <c r="BM441"/>
      <c r="BN441"/>
      <c r="BO441"/>
      <c r="BP441"/>
      <c r="BQ441"/>
      <c r="BR441" s="158">
        <f t="shared" si="7"/>
        <v>7893.49</v>
      </c>
    </row>
    <row r="442" spans="2:71" ht="14.45" hidden="1">
      <c r="B442" s="3" t="s">
        <v>49</v>
      </c>
      <c r="C442" s="3" t="s">
        <v>3145</v>
      </c>
      <c r="D442" s="3" t="s">
        <v>3360</v>
      </c>
      <c r="E442" s="3">
        <v>111</v>
      </c>
      <c r="F442" s="3" t="s">
        <v>3147</v>
      </c>
      <c r="G442" s="3" t="s">
        <v>3148</v>
      </c>
      <c r="H442" s="3" t="s">
        <v>17</v>
      </c>
      <c r="I442" s="3" t="s">
        <v>3361</v>
      </c>
      <c r="J442" t="s">
        <v>3357</v>
      </c>
      <c r="K442" s="147"/>
      <c r="L442" s="3">
        <v>1</v>
      </c>
      <c r="M442" s="148">
        <v>6697</v>
      </c>
      <c r="N442" s="148">
        <v>8158</v>
      </c>
      <c r="Q442" s="148">
        <v>2654</v>
      </c>
      <c r="R442" s="148">
        <f>Table242[[#This Row],[Material Unit Price]]+Table242[[#This Row],[Labor Unit Price]]+Table242[[#This Row],[GC + Manage+ Insur]]</f>
        <v>17509</v>
      </c>
      <c r="S442" s="148">
        <f>Table242[[#This Row],[Total Per Tool]]*Table242[[#This Row],[Tool QTY]]</f>
        <v>17509</v>
      </c>
      <c r="U442" s="149"/>
      <c r="W442" s="3"/>
      <c r="X44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7893.49</v>
      </c>
      <c r="Y442" s="150">
        <f>Table242[[#This Row],[Total AR (Received)]]/Table242[[#This Row],[PO Amount]]</f>
        <v>0.45082471871608887</v>
      </c>
      <c r="Z442" s="151">
        <f>Table242[[#This Row],[PO Amount]]-Table242[[#This Row],[Total AR (Received)]]</f>
        <v>9615.51</v>
      </c>
      <c r="AA442" s="152">
        <v>1</v>
      </c>
      <c r="AB442" s="152">
        <v>0</v>
      </c>
      <c r="AC442" s="152">
        <f>SUM(Table242[[#This Row],[Total M%]]*Table242[[#This Row],[Material Unit Price]],Table242[[#This Row],[Total L %]]*Table242[[#This Row],[Labor Unit Price]])/SUM(Table242[[#This Row],[Material Unit Price]:[Labor Unit Price]])</f>
        <v>0.45082463816896667</v>
      </c>
      <c r="AD442"/>
      <c r="AE442"/>
      <c r="AF442" s="148"/>
      <c r="AH442" s="2"/>
      <c r="AI442" s="2"/>
      <c r="AJ442" s="182">
        <v>7893.49</v>
      </c>
      <c r="BB442"/>
      <c r="BC442"/>
      <c r="BD442" s="154" t="s">
        <v>550</v>
      </c>
      <c r="BE442" s="2"/>
      <c r="BF442"/>
      <c r="BG442"/>
      <c r="BH442"/>
      <c r="BI442"/>
      <c r="BJ442"/>
      <c r="BK442"/>
      <c r="BL442"/>
      <c r="BM442"/>
      <c r="BN442"/>
      <c r="BO442"/>
      <c r="BP442"/>
      <c r="BQ442"/>
      <c r="BR442" s="158">
        <f t="shared" si="7"/>
        <v>7893.49</v>
      </c>
    </row>
    <row r="443" spans="2:71" ht="14.45" hidden="1">
      <c r="B443" s="3" t="s">
        <v>49</v>
      </c>
      <c r="C443" s="3" t="s">
        <v>3145</v>
      </c>
      <c r="D443" s="3" t="s">
        <v>3362</v>
      </c>
      <c r="E443" s="3">
        <v>24</v>
      </c>
      <c r="F443" s="3" t="s">
        <v>3147</v>
      </c>
      <c r="G443" s="3" t="s">
        <v>3148</v>
      </c>
      <c r="H443" s="3" t="s">
        <v>17</v>
      </c>
      <c r="I443" s="3" t="s">
        <v>3363</v>
      </c>
      <c r="J443" t="s">
        <v>3150</v>
      </c>
      <c r="K443" s="147"/>
      <c r="L443" s="3">
        <v>1</v>
      </c>
      <c r="M443" s="151"/>
      <c r="N443" s="148">
        <v>3795</v>
      </c>
      <c r="Q443" s="148">
        <v>678</v>
      </c>
      <c r="R443" s="148">
        <f>Table242[[#This Row],[Material Unit Price]]+Table242[[#This Row],[Labor Unit Price]]+Table242[[#This Row],[GC + Manage+ Insur]]</f>
        <v>4473</v>
      </c>
      <c r="S443" s="148">
        <f>Table242[[#This Row],[Total Per Tool]]*Table242[[#This Row],[Tool QTY]]</f>
        <v>4473</v>
      </c>
      <c r="U443" s="149"/>
      <c r="W443" s="3"/>
      <c r="X44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4473</v>
      </c>
      <c r="Y443" s="150">
        <f>Table242[[#This Row],[Total AR (Received)]]/Table242[[#This Row],[PO Amount]]</f>
        <v>1</v>
      </c>
      <c r="Z443" s="151">
        <f>Table242[[#This Row],[PO Amount]]-Table242[[#This Row],[Total AR (Received)]]</f>
        <v>0</v>
      </c>
      <c r="AA443" s="151"/>
      <c r="AB443" s="151"/>
      <c r="AC443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43"/>
      <c r="AE443"/>
      <c r="AF443" s="148"/>
      <c r="AH443" s="2"/>
      <c r="BB443"/>
      <c r="BC443"/>
      <c r="BD443" s="154" t="s">
        <v>550</v>
      </c>
      <c r="BE443" s="2"/>
      <c r="BF443" s="169">
        <v>4473</v>
      </c>
      <c r="BG443"/>
      <c r="BH443"/>
      <c r="BI443"/>
      <c r="BJ443"/>
      <c r="BK443"/>
      <c r="BL443"/>
      <c r="BM443"/>
      <c r="BN443"/>
      <c r="BO443"/>
      <c r="BP443"/>
      <c r="BQ443"/>
      <c r="BR443" s="156">
        <f t="shared" si="7"/>
        <v>4473</v>
      </c>
    </row>
    <row r="444" spans="2:71" ht="14.45" hidden="1">
      <c r="B444" s="3" t="s">
        <v>49</v>
      </c>
      <c r="C444" s="3" t="s">
        <v>3145</v>
      </c>
      <c r="D444" s="3" t="s">
        <v>3364</v>
      </c>
      <c r="E444" s="3">
        <v>27</v>
      </c>
      <c r="F444" s="3" t="s">
        <v>3147</v>
      </c>
      <c r="G444" s="3" t="s">
        <v>3148</v>
      </c>
      <c r="H444" s="3" t="s">
        <v>17</v>
      </c>
      <c r="I444" s="3" t="s">
        <v>3365</v>
      </c>
      <c r="J444" t="s">
        <v>3150</v>
      </c>
      <c r="K444" s="147"/>
      <c r="L444" s="3">
        <v>1</v>
      </c>
      <c r="N444" s="148">
        <v>3795</v>
      </c>
      <c r="Q444" s="148">
        <v>678</v>
      </c>
      <c r="R444" s="148">
        <f>Table242[[#This Row],[Material Unit Price]]+Table242[[#This Row],[Labor Unit Price]]+Table242[[#This Row],[GC + Manage+ Insur]]</f>
        <v>4473</v>
      </c>
      <c r="S444" s="148">
        <f>Table242[[#This Row],[Total Per Tool]]*Table242[[#This Row],[Tool QTY]]</f>
        <v>4473</v>
      </c>
      <c r="U444" s="149"/>
      <c r="W444" s="3"/>
      <c r="X44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4473</v>
      </c>
      <c r="Y444" s="150">
        <f>Table242[[#This Row],[Total AR (Received)]]/Table242[[#This Row],[PO Amount]]</f>
        <v>1</v>
      </c>
      <c r="Z444" s="151">
        <f>Table242[[#This Row],[PO Amount]]-Table242[[#This Row],[Total AR (Received)]]</f>
        <v>0</v>
      </c>
      <c r="AA444" s="151"/>
      <c r="AB444" s="151"/>
      <c r="AC444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44"/>
      <c r="AE444"/>
      <c r="AF444" s="148"/>
      <c r="AH444" s="2"/>
      <c r="BB444"/>
      <c r="BC444"/>
      <c r="BD444" s="154" t="s">
        <v>550</v>
      </c>
      <c r="BE444" s="2"/>
      <c r="BF444" s="169">
        <v>4473</v>
      </c>
      <c r="BG444"/>
      <c r="BH444"/>
      <c r="BI444"/>
      <c r="BJ444"/>
      <c r="BK444"/>
      <c r="BL444"/>
      <c r="BM444"/>
      <c r="BN444"/>
      <c r="BO444"/>
      <c r="BP444"/>
      <c r="BQ444"/>
      <c r="BR444" s="156">
        <f t="shared" si="7"/>
        <v>4473</v>
      </c>
    </row>
    <row r="445" spans="2:71" ht="14.45" hidden="1">
      <c r="B445" s="3" t="s">
        <v>49</v>
      </c>
      <c r="C445" s="3" t="s">
        <v>3145</v>
      </c>
      <c r="D445" s="3" t="s">
        <v>3366</v>
      </c>
      <c r="E445" s="3">
        <v>114</v>
      </c>
      <c r="F445" s="3" t="s">
        <v>3147</v>
      </c>
      <c r="G445" s="3" t="s">
        <v>3148</v>
      </c>
      <c r="H445" s="3" t="s">
        <v>17</v>
      </c>
      <c r="I445" s="3" t="s">
        <v>3367</v>
      </c>
      <c r="J445" t="s">
        <v>3368</v>
      </c>
      <c r="K445" s="147"/>
      <c r="L445" s="3">
        <v>1</v>
      </c>
      <c r="N445" s="148">
        <v>569</v>
      </c>
      <c r="Q445" s="148">
        <v>101</v>
      </c>
      <c r="R445" s="148">
        <f>Table242[[#This Row],[Material Unit Price]]+Table242[[#This Row],[Labor Unit Price]]+Table242[[#This Row],[GC + Manage+ Insur]]</f>
        <v>670</v>
      </c>
      <c r="S445" s="148">
        <f>Table242[[#This Row],[Total Per Tool]]*Table242[[#This Row],[Tool QTY]]</f>
        <v>670</v>
      </c>
      <c r="U445" s="149"/>
      <c r="W445" s="3"/>
      <c r="X44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670</v>
      </c>
      <c r="Y445" s="150">
        <f>Table242[[#This Row],[Total AR (Received)]]/Table242[[#This Row],[PO Amount]]</f>
        <v>1</v>
      </c>
      <c r="Z445" s="151">
        <f>Table242[[#This Row],[PO Amount]]-Table242[[#This Row],[Total AR (Received)]]</f>
        <v>0</v>
      </c>
      <c r="AA445" s="151"/>
      <c r="AB445" s="151"/>
      <c r="AC445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45"/>
      <c r="AE445"/>
      <c r="AF445" s="148"/>
      <c r="AH445" s="2"/>
      <c r="AJ445" s="148"/>
      <c r="BB445"/>
      <c r="BC445"/>
      <c r="BD445" s="154" t="s">
        <v>550</v>
      </c>
      <c r="BE445" s="2"/>
      <c r="BF445"/>
      <c r="BG445"/>
      <c r="BH445"/>
      <c r="BI445"/>
      <c r="BJ445" s="169">
        <v>670</v>
      </c>
      <c r="BK445"/>
      <c r="BL445"/>
      <c r="BM445"/>
      <c r="BN445"/>
      <c r="BO445"/>
      <c r="BP445"/>
      <c r="BQ445"/>
      <c r="BR445" s="156">
        <f t="shared" si="7"/>
        <v>0</v>
      </c>
    </row>
    <row r="446" spans="2:71" ht="14.45" hidden="1">
      <c r="B446" s="3" t="s">
        <v>49</v>
      </c>
      <c r="C446" s="3" t="s">
        <v>3145</v>
      </c>
      <c r="D446" s="3" t="s">
        <v>3369</v>
      </c>
      <c r="E446" s="3">
        <v>115</v>
      </c>
      <c r="F446" s="3" t="s">
        <v>3147</v>
      </c>
      <c r="G446" s="3" t="s">
        <v>3148</v>
      </c>
      <c r="H446" s="3" t="s">
        <v>17</v>
      </c>
      <c r="I446" s="3" t="s">
        <v>3370</v>
      </c>
      <c r="J446" t="s">
        <v>3368</v>
      </c>
      <c r="K446" s="147"/>
      <c r="L446" s="3">
        <v>1</v>
      </c>
      <c r="N446" s="148">
        <v>569</v>
      </c>
      <c r="Q446" s="148">
        <v>101</v>
      </c>
      <c r="R446" s="148">
        <f>Table242[[#This Row],[Material Unit Price]]+Table242[[#This Row],[Labor Unit Price]]+Table242[[#This Row],[GC + Manage+ Insur]]</f>
        <v>670</v>
      </c>
      <c r="S446" s="148">
        <f>Table242[[#This Row],[Total Per Tool]]*Table242[[#This Row],[Tool QTY]]</f>
        <v>670</v>
      </c>
      <c r="U446" s="149"/>
      <c r="W446" s="3"/>
      <c r="X44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670</v>
      </c>
      <c r="Y446" s="150">
        <f>Table242[[#This Row],[Total AR (Received)]]/Table242[[#This Row],[PO Amount]]</f>
        <v>1</v>
      </c>
      <c r="Z446" s="151">
        <f>Table242[[#This Row],[PO Amount]]-Table242[[#This Row],[Total AR (Received)]]</f>
        <v>0</v>
      </c>
      <c r="AA446" s="151"/>
      <c r="AB446" s="151"/>
      <c r="AC446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46"/>
      <c r="AE446"/>
      <c r="AF446" s="148"/>
      <c r="AH446" s="2"/>
      <c r="AJ446" s="148"/>
      <c r="BB446"/>
      <c r="BC446"/>
      <c r="BD446" s="154" t="s">
        <v>550</v>
      </c>
      <c r="BE446" s="2"/>
      <c r="BF446"/>
      <c r="BG446"/>
      <c r="BH446"/>
      <c r="BI446"/>
      <c r="BJ446" s="169">
        <v>670</v>
      </c>
      <c r="BK446"/>
      <c r="BL446"/>
      <c r="BM446"/>
      <c r="BN446"/>
      <c r="BO446"/>
      <c r="BP446"/>
      <c r="BQ446"/>
      <c r="BR446" s="156">
        <f t="shared" si="7"/>
        <v>0</v>
      </c>
    </row>
    <row r="447" spans="2:71" ht="14.45" hidden="1">
      <c r="B447" s="3" t="s">
        <v>49</v>
      </c>
      <c r="C447" s="3" t="s">
        <v>3145</v>
      </c>
      <c r="D447" s="3" t="s">
        <v>3371</v>
      </c>
      <c r="E447" s="3">
        <v>116</v>
      </c>
      <c r="F447" s="3" t="s">
        <v>3147</v>
      </c>
      <c r="G447" s="3" t="s">
        <v>3148</v>
      </c>
      <c r="H447" s="3" t="s">
        <v>17</v>
      </c>
      <c r="I447" s="3" t="s">
        <v>3372</v>
      </c>
      <c r="J447" t="s">
        <v>3368</v>
      </c>
      <c r="K447" s="147"/>
      <c r="L447" s="3">
        <v>1</v>
      </c>
      <c r="N447" s="148">
        <v>569</v>
      </c>
      <c r="Q447" s="148">
        <v>101</v>
      </c>
      <c r="R447" s="148">
        <f>Table242[[#This Row],[Material Unit Price]]+Table242[[#This Row],[Labor Unit Price]]+Table242[[#This Row],[GC + Manage+ Insur]]</f>
        <v>670</v>
      </c>
      <c r="S447" s="148">
        <f>Table242[[#This Row],[Total Per Tool]]*Table242[[#This Row],[Tool QTY]]</f>
        <v>670</v>
      </c>
      <c r="U447" s="149"/>
      <c r="W447" s="3"/>
      <c r="X44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670</v>
      </c>
      <c r="Y447" s="150">
        <f>Table242[[#This Row],[Total AR (Received)]]/Table242[[#This Row],[PO Amount]]</f>
        <v>1</v>
      </c>
      <c r="Z447" s="151">
        <f>Table242[[#This Row],[PO Amount]]-Table242[[#This Row],[Total AR (Received)]]</f>
        <v>0</v>
      </c>
      <c r="AA447" s="151"/>
      <c r="AB447" s="151"/>
      <c r="AC447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47"/>
      <c r="AE447"/>
      <c r="AF447" s="148"/>
      <c r="AH447" s="2"/>
      <c r="AJ447" s="148"/>
      <c r="BB447"/>
      <c r="BC447"/>
      <c r="BD447" s="154" t="s">
        <v>550</v>
      </c>
      <c r="BE447" s="2"/>
      <c r="BF447"/>
      <c r="BG447"/>
      <c r="BH447"/>
      <c r="BI447"/>
      <c r="BJ447"/>
      <c r="BK447"/>
      <c r="BL447"/>
      <c r="BM447"/>
      <c r="BN447"/>
      <c r="BO447"/>
      <c r="BP447" s="155">
        <v>670</v>
      </c>
      <c r="BQ447"/>
      <c r="BR447" s="156">
        <f t="shared" si="7"/>
        <v>0</v>
      </c>
    </row>
    <row r="448" spans="2:71" ht="14.45" hidden="1">
      <c r="B448" s="3" t="s">
        <v>49</v>
      </c>
      <c r="C448" s="3" t="s">
        <v>3145</v>
      </c>
      <c r="D448" s="3" t="s">
        <v>3373</v>
      </c>
      <c r="E448" s="3">
        <v>117</v>
      </c>
      <c r="F448" s="3" t="s">
        <v>3147</v>
      </c>
      <c r="G448" s="3" t="s">
        <v>3148</v>
      </c>
      <c r="H448" s="3" t="s">
        <v>17</v>
      </c>
      <c r="I448" s="3" t="s">
        <v>3374</v>
      </c>
      <c r="J448" t="s">
        <v>3368</v>
      </c>
      <c r="K448" s="147"/>
      <c r="L448" s="3">
        <v>1</v>
      </c>
      <c r="N448" s="148">
        <v>569</v>
      </c>
      <c r="Q448" s="148">
        <v>101</v>
      </c>
      <c r="R448" s="148">
        <f>Table242[[#This Row],[Material Unit Price]]+Table242[[#This Row],[Labor Unit Price]]+Table242[[#This Row],[GC + Manage+ Insur]]</f>
        <v>670</v>
      </c>
      <c r="S448" s="148">
        <f>Table242[[#This Row],[Total Per Tool]]*Table242[[#This Row],[Tool QTY]]</f>
        <v>670</v>
      </c>
      <c r="U448" s="149"/>
      <c r="W448" s="3"/>
      <c r="X44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670</v>
      </c>
      <c r="Y448" s="150">
        <f>Table242[[#This Row],[Total AR (Received)]]/Table242[[#This Row],[PO Amount]]</f>
        <v>1</v>
      </c>
      <c r="Z448" s="151">
        <f>Table242[[#This Row],[PO Amount]]-Table242[[#This Row],[Total AR (Received)]]</f>
        <v>0</v>
      </c>
      <c r="AA448" s="151"/>
      <c r="AB448" s="151"/>
      <c r="AC448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48"/>
      <c r="AE448"/>
      <c r="AF448" s="148"/>
      <c r="AH448" s="2"/>
      <c r="AJ448" s="148"/>
      <c r="BB448"/>
      <c r="BC448"/>
      <c r="BD448" s="154" t="s">
        <v>550</v>
      </c>
      <c r="BE448" s="2"/>
      <c r="BF448"/>
      <c r="BG448"/>
      <c r="BH448"/>
      <c r="BI448"/>
      <c r="BJ448"/>
      <c r="BK448"/>
      <c r="BL448"/>
      <c r="BM448"/>
      <c r="BN448"/>
      <c r="BO448"/>
      <c r="BP448" s="155">
        <v>670</v>
      </c>
      <c r="BQ448"/>
      <c r="BR448" s="156">
        <f t="shared" si="7"/>
        <v>0</v>
      </c>
    </row>
    <row r="449" spans="2:70" ht="14.45" hidden="1">
      <c r="B449" s="3" t="s">
        <v>49</v>
      </c>
      <c r="C449" s="3" t="s">
        <v>3145</v>
      </c>
      <c r="D449" s="3" t="s">
        <v>3375</v>
      </c>
      <c r="E449" s="3">
        <v>118</v>
      </c>
      <c r="F449" s="3" t="s">
        <v>3147</v>
      </c>
      <c r="G449" s="3" t="s">
        <v>3148</v>
      </c>
      <c r="H449" s="3" t="s">
        <v>17</v>
      </c>
      <c r="I449" s="3" t="s">
        <v>3376</v>
      </c>
      <c r="J449" t="s">
        <v>3368</v>
      </c>
      <c r="K449" s="147"/>
      <c r="L449" s="3">
        <v>1</v>
      </c>
      <c r="N449" s="148">
        <v>569</v>
      </c>
      <c r="Q449" s="148">
        <v>101</v>
      </c>
      <c r="R449" s="148">
        <f>Table242[[#This Row],[Material Unit Price]]+Table242[[#This Row],[Labor Unit Price]]+Table242[[#This Row],[GC + Manage+ Insur]]</f>
        <v>670</v>
      </c>
      <c r="S449" s="148">
        <f>Table242[[#This Row],[Total Per Tool]]*Table242[[#This Row],[Tool QTY]]</f>
        <v>670</v>
      </c>
      <c r="U449" s="149"/>
      <c r="W449" s="3"/>
      <c r="X44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449" s="150">
        <f>Table242[[#This Row],[Total AR (Received)]]/Table242[[#This Row],[PO Amount]]</f>
        <v>0</v>
      </c>
      <c r="Z449" s="151">
        <f>Table242[[#This Row],[PO Amount]]-Table242[[#This Row],[Total AR (Received)]]</f>
        <v>670</v>
      </c>
      <c r="AA449" s="151"/>
      <c r="AB449" s="151"/>
      <c r="AC449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49"/>
      <c r="AE449"/>
      <c r="AF449" s="148"/>
      <c r="AH449" s="2"/>
      <c r="AJ449" s="148"/>
      <c r="BB449"/>
      <c r="BC449"/>
      <c r="BD449" s="154" t="s">
        <v>550</v>
      </c>
      <c r="BE449" s="2"/>
      <c r="BF449"/>
      <c r="BG449"/>
      <c r="BH449"/>
      <c r="BI449"/>
      <c r="BJ449"/>
      <c r="BK449"/>
      <c r="BL449"/>
      <c r="BM449"/>
      <c r="BN449"/>
      <c r="BO449"/>
      <c r="BP449"/>
      <c r="BQ449"/>
      <c r="BR449" s="156">
        <f t="shared" si="7"/>
        <v>0</v>
      </c>
    </row>
    <row r="450" spans="2:70" ht="14.45" hidden="1">
      <c r="B450" s="3" t="s">
        <v>49</v>
      </c>
      <c r="C450" s="3" t="s">
        <v>3145</v>
      </c>
      <c r="D450" s="3" t="s">
        <v>3377</v>
      </c>
      <c r="E450" s="3">
        <v>119</v>
      </c>
      <c r="F450" s="3" t="s">
        <v>3147</v>
      </c>
      <c r="G450" s="3" t="s">
        <v>3148</v>
      </c>
      <c r="H450" s="3" t="s">
        <v>17</v>
      </c>
      <c r="I450" s="3" t="s">
        <v>3378</v>
      </c>
      <c r="J450" t="s">
        <v>3368</v>
      </c>
      <c r="K450" s="147"/>
      <c r="L450" s="3">
        <v>1</v>
      </c>
      <c r="N450" s="148">
        <v>569</v>
      </c>
      <c r="Q450" s="148">
        <v>101</v>
      </c>
      <c r="R450" s="148">
        <f>Table242[[#This Row],[Material Unit Price]]+Table242[[#This Row],[Labor Unit Price]]+Table242[[#This Row],[GC + Manage+ Insur]]</f>
        <v>670</v>
      </c>
      <c r="S450" s="148">
        <f>Table242[[#This Row],[Total Per Tool]]*Table242[[#This Row],[Tool QTY]]</f>
        <v>670</v>
      </c>
      <c r="U450" s="149"/>
      <c r="W450" s="3"/>
      <c r="X45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450" s="150">
        <f>Table242[[#This Row],[Total AR (Received)]]/Table242[[#This Row],[PO Amount]]</f>
        <v>0</v>
      </c>
      <c r="Z450" s="151">
        <f>Table242[[#This Row],[PO Amount]]-Table242[[#This Row],[Total AR (Received)]]</f>
        <v>670</v>
      </c>
      <c r="AA450" s="151"/>
      <c r="AB450" s="151"/>
      <c r="AC450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50"/>
      <c r="AE450"/>
      <c r="AF450" s="148"/>
      <c r="AH450" s="2"/>
      <c r="AJ450" s="148"/>
      <c r="BB450"/>
      <c r="BC450"/>
      <c r="BD450" s="154" t="s">
        <v>550</v>
      </c>
      <c r="BE450" s="2"/>
      <c r="BF450"/>
      <c r="BG450"/>
      <c r="BH450"/>
      <c r="BI450"/>
      <c r="BJ450"/>
      <c r="BK450"/>
      <c r="BL450"/>
      <c r="BM450"/>
      <c r="BN450"/>
      <c r="BO450"/>
      <c r="BP450"/>
      <c r="BQ450"/>
      <c r="BR450" s="156">
        <f t="shared" si="7"/>
        <v>0</v>
      </c>
    </row>
    <row r="451" spans="2:70" ht="14.45" hidden="1">
      <c r="B451" s="3" t="s">
        <v>49</v>
      </c>
      <c r="C451" s="3" t="s">
        <v>3145</v>
      </c>
      <c r="D451" s="3" t="s">
        <v>3379</v>
      </c>
      <c r="E451" s="3">
        <v>120</v>
      </c>
      <c r="F451" s="3" t="s">
        <v>3147</v>
      </c>
      <c r="G451" s="3" t="s">
        <v>3148</v>
      </c>
      <c r="H451" s="3" t="s">
        <v>17</v>
      </c>
      <c r="I451" s="3" t="s">
        <v>3380</v>
      </c>
      <c r="J451" t="s">
        <v>3368</v>
      </c>
      <c r="K451" s="147"/>
      <c r="L451" s="3">
        <v>1</v>
      </c>
      <c r="N451" s="148">
        <v>569</v>
      </c>
      <c r="Q451" s="148">
        <v>101</v>
      </c>
      <c r="R451" s="148">
        <f>Table242[[#This Row],[Material Unit Price]]+Table242[[#This Row],[Labor Unit Price]]+Table242[[#This Row],[GC + Manage+ Insur]]</f>
        <v>670</v>
      </c>
      <c r="S451" s="148">
        <f>Table242[[#This Row],[Total Per Tool]]*Table242[[#This Row],[Tool QTY]]</f>
        <v>670</v>
      </c>
      <c r="U451" s="149"/>
      <c r="W451" s="3"/>
      <c r="X45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451" s="150">
        <f>Table242[[#This Row],[Total AR (Received)]]/Table242[[#This Row],[PO Amount]]</f>
        <v>0</v>
      </c>
      <c r="Z451" s="151">
        <f>Table242[[#This Row],[PO Amount]]-Table242[[#This Row],[Total AR (Received)]]</f>
        <v>670</v>
      </c>
      <c r="AA451" s="151"/>
      <c r="AB451" s="151"/>
      <c r="AC451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51"/>
      <c r="AE451"/>
      <c r="AF451" s="148"/>
      <c r="AH451" s="2"/>
      <c r="AJ451" s="148"/>
      <c r="BB451"/>
      <c r="BC451"/>
      <c r="BD451" s="154" t="s">
        <v>550</v>
      </c>
      <c r="BE451" s="2"/>
      <c r="BF451"/>
      <c r="BG451"/>
      <c r="BH451"/>
      <c r="BI451"/>
      <c r="BJ451"/>
      <c r="BK451"/>
      <c r="BL451"/>
      <c r="BM451"/>
      <c r="BN451"/>
      <c r="BO451"/>
      <c r="BP451"/>
      <c r="BQ451"/>
      <c r="BR451" s="156">
        <f t="shared" si="7"/>
        <v>0</v>
      </c>
    </row>
    <row r="452" spans="2:70" ht="14.45" hidden="1">
      <c r="B452" s="3" t="s">
        <v>49</v>
      </c>
      <c r="C452" s="3" t="s">
        <v>3145</v>
      </c>
      <c r="D452" s="3" t="s">
        <v>3381</v>
      </c>
      <c r="E452" s="3">
        <v>121</v>
      </c>
      <c r="F452" s="3" t="s">
        <v>3147</v>
      </c>
      <c r="G452" s="3" t="s">
        <v>3148</v>
      </c>
      <c r="H452" s="3" t="s">
        <v>17</v>
      </c>
      <c r="I452" s="3" t="s">
        <v>3382</v>
      </c>
      <c r="J452" t="s">
        <v>3368</v>
      </c>
      <c r="K452" s="147"/>
      <c r="L452" s="3">
        <v>1</v>
      </c>
      <c r="N452" s="148">
        <v>569</v>
      </c>
      <c r="Q452" s="148">
        <v>101</v>
      </c>
      <c r="R452" s="148">
        <f>Table242[[#This Row],[Material Unit Price]]+Table242[[#This Row],[Labor Unit Price]]+Table242[[#This Row],[GC + Manage+ Insur]]</f>
        <v>670</v>
      </c>
      <c r="S452" s="148">
        <f>Table242[[#This Row],[Total Per Tool]]*Table242[[#This Row],[Tool QTY]]</f>
        <v>670</v>
      </c>
      <c r="U452" s="149"/>
      <c r="W452" s="3"/>
      <c r="X45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452" s="150">
        <f>Table242[[#This Row],[Total AR (Received)]]/Table242[[#This Row],[PO Amount]]</f>
        <v>0</v>
      </c>
      <c r="Z452" s="151">
        <f>Table242[[#This Row],[PO Amount]]-Table242[[#This Row],[Total AR (Received)]]</f>
        <v>670</v>
      </c>
      <c r="AA452" s="151"/>
      <c r="AB452" s="151"/>
      <c r="AC452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52"/>
      <c r="AE452"/>
      <c r="AF452" s="148"/>
      <c r="AH452" s="2"/>
      <c r="AJ452" s="148"/>
      <c r="BB452"/>
      <c r="BC452"/>
      <c r="BD452" s="154" t="s">
        <v>550</v>
      </c>
      <c r="BE452" s="2"/>
      <c r="BF452"/>
      <c r="BG452"/>
      <c r="BH452"/>
      <c r="BI452"/>
      <c r="BJ452"/>
      <c r="BK452"/>
      <c r="BL452"/>
      <c r="BM452"/>
      <c r="BN452"/>
      <c r="BO452"/>
      <c r="BP452"/>
      <c r="BQ452"/>
      <c r="BR452" s="156">
        <f t="shared" si="7"/>
        <v>0</v>
      </c>
    </row>
    <row r="453" spans="2:70" ht="14.45" hidden="1">
      <c r="B453" s="3" t="s">
        <v>49</v>
      </c>
      <c r="C453" s="3" t="s">
        <v>3145</v>
      </c>
      <c r="D453" s="3" t="s">
        <v>3383</v>
      </c>
      <c r="E453" s="3">
        <v>122</v>
      </c>
      <c r="F453" s="3" t="s">
        <v>3147</v>
      </c>
      <c r="G453" s="3" t="s">
        <v>3148</v>
      </c>
      <c r="H453" s="3" t="s">
        <v>17</v>
      </c>
      <c r="I453" s="3" t="s">
        <v>3384</v>
      </c>
      <c r="J453" t="s">
        <v>3368</v>
      </c>
      <c r="K453" s="147"/>
      <c r="L453" s="3">
        <v>1</v>
      </c>
      <c r="N453" s="148">
        <v>569</v>
      </c>
      <c r="Q453" s="148">
        <v>101</v>
      </c>
      <c r="R453" s="148">
        <f>Table242[[#This Row],[Material Unit Price]]+Table242[[#This Row],[Labor Unit Price]]+Table242[[#This Row],[GC + Manage+ Insur]]</f>
        <v>670</v>
      </c>
      <c r="S453" s="148">
        <f>Table242[[#This Row],[Total Per Tool]]*Table242[[#This Row],[Tool QTY]]</f>
        <v>670</v>
      </c>
      <c r="U453" s="149"/>
      <c r="W453" s="3"/>
      <c r="X45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453" s="150">
        <f>Table242[[#This Row],[Total AR (Received)]]/Table242[[#This Row],[PO Amount]]</f>
        <v>0</v>
      </c>
      <c r="Z453" s="151">
        <f>Table242[[#This Row],[PO Amount]]-Table242[[#This Row],[Total AR (Received)]]</f>
        <v>670</v>
      </c>
      <c r="AA453" s="151"/>
      <c r="AB453" s="151"/>
      <c r="AC453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53"/>
      <c r="AE453"/>
      <c r="AF453" s="148"/>
      <c r="AH453" s="2"/>
      <c r="AJ453" s="148"/>
      <c r="BB453"/>
      <c r="BC453"/>
      <c r="BD453" s="154" t="s">
        <v>550</v>
      </c>
      <c r="BE453" s="2"/>
      <c r="BF453"/>
      <c r="BG453"/>
      <c r="BH453"/>
      <c r="BI453"/>
      <c r="BJ453"/>
      <c r="BK453"/>
      <c r="BL453"/>
      <c r="BM453"/>
      <c r="BN453"/>
      <c r="BO453"/>
      <c r="BP453"/>
      <c r="BQ453"/>
      <c r="BR453" s="156">
        <f t="shared" si="7"/>
        <v>0</v>
      </c>
    </row>
    <row r="454" spans="2:70" ht="14.45" hidden="1">
      <c r="B454" s="3" t="s">
        <v>49</v>
      </c>
      <c r="C454" s="3" t="s">
        <v>3145</v>
      </c>
      <c r="D454" s="3" t="s">
        <v>3385</v>
      </c>
      <c r="E454" s="3">
        <v>123</v>
      </c>
      <c r="F454" s="3" t="s">
        <v>3147</v>
      </c>
      <c r="G454" s="3" t="s">
        <v>3148</v>
      </c>
      <c r="H454" s="3" t="s">
        <v>17</v>
      </c>
      <c r="I454" s="3" t="s">
        <v>3386</v>
      </c>
      <c r="J454" t="s">
        <v>3368</v>
      </c>
      <c r="K454" s="147"/>
      <c r="L454" s="3">
        <v>1</v>
      </c>
      <c r="N454" s="148">
        <v>569</v>
      </c>
      <c r="Q454" s="148">
        <v>101</v>
      </c>
      <c r="R454" s="148">
        <f>Table242[[#This Row],[Material Unit Price]]+Table242[[#This Row],[Labor Unit Price]]+Table242[[#This Row],[GC + Manage+ Insur]]</f>
        <v>670</v>
      </c>
      <c r="S454" s="148">
        <f>Table242[[#This Row],[Total Per Tool]]*Table242[[#This Row],[Tool QTY]]</f>
        <v>670</v>
      </c>
      <c r="U454" s="149"/>
      <c r="W454" s="3"/>
      <c r="X45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454" s="150">
        <f>Table242[[#This Row],[Total AR (Received)]]/Table242[[#This Row],[PO Amount]]</f>
        <v>0</v>
      </c>
      <c r="Z454" s="151">
        <f>Table242[[#This Row],[PO Amount]]-Table242[[#This Row],[Total AR (Received)]]</f>
        <v>670</v>
      </c>
      <c r="AA454" s="151"/>
      <c r="AB454" s="151"/>
      <c r="AC454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54"/>
      <c r="AE454"/>
      <c r="AF454" s="148"/>
      <c r="AH454" s="2"/>
      <c r="AJ454" s="148"/>
      <c r="BB454"/>
      <c r="BC454"/>
      <c r="BD454" s="154" t="s">
        <v>550</v>
      </c>
      <c r="BE454" s="2"/>
      <c r="BF454"/>
      <c r="BG454"/>
      <c r="BH454"/>
      <c r="BI454"/>
      <c r="BJ454"/>
      <c r="BK454"/>
      <c r="BL454"/>
      <c r="BM454"/>
      <c r="BN454"/>
      <c r="BO454"/>
      <c r="BP454"/>
      <c r="BQ454"/>
      <c r="BR454" s="156">
        <f t="shared" si="7"/>
        <v>0</v>
      </c>
    </row>
    <row r="455" spans="2:70" ht="14.45" hidden="1">
      <c r="B455" s="3" t="s">
        <v>49</v>
      </c>
      <c r="C455" s="3" t="s">
        <v>3145</v>
      </c>
      <c r="D455" s="3" t="s">
        <v>3387</v>
      </c>
      <c r="E455" s="3">
        <v>124</v>
      </c>
      <c r="F455" s="3" t="s">
        <v>3147</v>
      </c>
      <c r="G455" s="3" t="s">
        <v>3148</v>
      </c>
      <c r="H455" s="3" t="s">
        <v>17</v>
      </c>
      <c r="I455" s="3" t="s">
        <v>3388</v>
      </c>
      <c r="J455" t="s">
        <v>3368</v>
      </c>
      <c r="K455" s="147"/>
      <c r="L455" s="3">
        <v>1</v>
      </c>
      <c r="N455" s="148">
        <v>569</v>
      </c>
      <c r="Q455" s="148">
        <v>101</v>
      </c>
      <c r="R455" s="148">
        <f>Table242[[#This Row],[Material Unit Price]]+Table242[[#This Row],[Labor Unit Price]]+Table242[[#This Row],[GC + Manage+ Insur]]</f>
        <v>670</v>
      </c>
      <c r="S455" s="148">
        <f>Table242[[#This Row],[Total Per Tool]]*Table242[[#This Row],[Tool QTY]]</f>
        <v>670</v>
      </c>
      <c r="U455" s="149"/>
      <c r="W455" s="3"/>
      <c r="X45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455" s="150">
        <f>Table242[[#This Row],[Total AR (Received)]]/Table242[[#This Row],[PO Amount]]</f>
        <v>0</v>
      </c>
      <c r="Z455" s="151">
        <f>Table242[[#This Row],[PO Amount]]-Table242[[#This Row],[Total AR (Received)]]</f>
        <v>670</v>
      </c>
      <c r="AA455" s="151"/>
      <c r="AB455" s="151"/>
      <c r="AC455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55"/>
      <c r="AE455"/>
      <c r="AF455" s="148"/>
      <c r="AH455" s="2"/>
      <c r="AJ455" s="148"/>
      <c r="BB455"/>
      <c r="BC455"/>
      <c r="BD455" s="154" t="s">
        <v>550</v>
      </c>
      <c r="BE455" s="2"/>
      <c r="BF455"/>
      <c r="BG455"/>
      <c r="BH455"/>
      <c r="BI455"/>
      <c r="BJ455"/>
      <c r="BK455"/>
      <c r="BL455"/>
      <c r="BM455"/>
      <c r="BN455"/>
      <c r="BO455"/>
      <c r="BP455"/>
      <c r="BQ455"/>
      <c r="BR455" s="156">
        <f t="shared" si="7"/>
        <v>0</v>
      </c>
    </row>
    <row r="456" spans="2:70" ht="14.45" hidden="1">
      <c r="B456" s="3" t="s">
        <v>49</v>
      </c>
      <c r="C456" s="3" t="s">
        <v>3145</v>
      </c>
      <c r="D456" s="3" t="s">
        <v>3389</v>
      </c>
      <c r="E456" s="3">
        <v>125</v>
      </c>
      <c r="F456" s="3" t="s">
        <v>3147</v>
      </c>
      <c r="G456" s="3" t="s">
        <v>3148</v>
      </c>
      <c r="H456" s="3" t="s">
        <v>17</v>
      </c>
      <c r="I456" s="3" t="s">
        <v>3390</v>
      </c>
      <c r="J456" t="s">
        <v>3368</v>
      </c>
      <c r="K456" s="147"/>
      <c r="L456" s="3">
        <v>1</v>
      </c>
      <c r="N456" s="148">
        <v>569</v>
      </c>
      <c r="Q456" s="148">
        <v>101</v>
      </c>
      <c r="R456" s="148">
        <f>Table242[[#This Row],[Material Unit Price]]+Table242[[#This Row],[Labor Unit Price]]+Table242[[#This Row],[GC + Manage+ Insur]]</f>
        <v>670</v>
      </c>
      <c r="S456" s="148">
        <f>Table242[[#This Row],[Total Per Tool]]*Table242[[#This Row],[Tool QTY]]</f>
        <v>670</v>
      </c>
      <c r="U456" s="149"/>
      <c r="W456" s="3"/>
      <c r="X45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456" s="150">
        <f>Table242[[#This Row],[Total AR (Received)]]/Table242[[#This Row],[PO Amount]]</f>
        <v>0</v>
      </c>
      <c r="Z456" s="151">
        <f>Table242[[#This Row],[PO Amount]]-Table242[[#This Row],[Total AR (Received)]]</f>
        <v>670</v>
      </c>
      <c r="AA456" s="151"/>
      <c r="AB456" s="151"/>
      <c r="AC456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56"/>
      <c r="AE456"/>
      <c r="AF456" s="148"/>
      <c r="AH456" s="2"/>
      <c r="AJ456" s="148"/>
      <c r="BB456"/>
      <c r="BC456"/>
      <c r="BD456" s="154" t="s">
        <v>550</v>
      </c>
      <c r="BE456" s="2"/>
      <c r="BF456"/>
      <c r="BG456"/>
      <c r="BH456"/>
      <c r="BI456"/>
      <c r="BJ456"/>
      <c r="BK456"/>
      <c r="BL456"/>
      <c r="BM456"/>
      <c r="BN456"/>
      <c r="BO456"/>
      <c r="BP456"/>
      <c r="BQ456"/>
      <c r="BR456" s="156">
        <f t="shared" si="7"/>
        <v>0</v>
      </c>
    </row>
    <row r="457" spans="2:70" ht="14.45" hidden="1">
      <c r="B457" s="3" t="s">
        <v>49</v>
      </c>
      <c r="C457" s="3" t="s">
        <v>3145</v>
      </c>
      <c r="D457" s="3" t="s">
        <v>3391</v>
      </c>
      <c r="E457" s="3">
        <v>126</v>
      </c>
      <c r="F457" s="3" t="s">
        <v>3147</v>
      </c>
      <c r="G457" s="3" t="s">
        <v>3148</v>
      </c>
      <c r="H457" s="3" t="s">
        <v>17</v>
      </c>
      <c r="I457" s="3" t="s">
        <v>3392</v>
      </c>
      <c r="J457" t="s">
        <v>3368</v>
      </c>
      <c r="K457" s="147"/>
      <c r="L457" s="3">
        <v>1</v>
      </c>
      <c r="N457" s="148">
        <v>569</v>
      </c>
      <c r="Q457" s="148">
        <v>101</v>
      </c>
      <c r="R457" s="148">
        <f>Table242[[#This Row],[Material Unit Price]]+Table242[[#This Row],[Labor Unit Price]]+Table242[[#This Row],[GC + Manage+ Insur]]</f>
        <v>670</v>
      </c>
      <c r="S457" s="148">
        <f>Table242[[#This Row],[Total Per Tool]]*Table242[[#This Row],[Tool QTY]]</f>
        <v>670</v>
      </c>
      <c r="U457" s="149"/>
      <c r="W457" s="3"/>
      <c r="X45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457" s="150">
        <f>Table242[[#This Row],[Total AR (Received)]]/Table242[[#This Row],[PO Amount]]</f>
        <v>0</v>
      </c>
      <c r="Z457" s="151">
        <f>Table242[[#This Row],[PO Amount]]-Table242[[#This Row],[Total AR (Received)]]</f>
        <v>670</v>
      </c>
      <c r="AA457" s="151"/>
      <c r="AB457" s="151"/>
      <c r="AC457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57"/>
      <c r="AE457"/>
      <c r="AF457" s="148"/>
      <c r="AH457" s="2"/>
      <c r="AJ457" s="148"/>
      <c r="BB457"/>
      <c r="BC457"/>
      <c r="BD457" s="154" t="s">
        <v>550</v>
      </c>
      <c r="BE457" s="2"/>
      <c r="BF457"/>
      <c r="BG457"/>
      <c r="BH457"/>
      <c r="BI457"/>
      <c r="BJ457"/>
      <c r="BK457"/>
      <c r="BL457"/>
      <c r="BM457"/>
      <c r="BN457"/>
      <c r="BO457"/>
      <c r="BP457"/>
      <c r="BQ457"/>
      <c r="BR457" s="156">
        <f t="shared" si="7"/>
        <v>0</v>
      </c>
    </row>
    <row r="458" spans="2:70" ht="14.45" hidden="1">
      <c r="B458" s="3" t="s">
        <v>49</v>
      </c>
      <c r="C458" s="3" t="s">
        <v>3145</v>
      </c>
      <c r="D458" s="3" t="s">
        <v>3393</v>
      </c>
      <c r="E458" s="3">
        <v>127</v>
      </c>
      <c r="F458" s="3" t="s">
        <v>3147</v>
      </c>
      <c r="G458" s="3" t="s">
        <v>3148</v>
      </c>
      <c r="H458" s="3" t="s">
        <v>17</v>
      </c>
      <c r="I458" s="3" t="s">
        <v>3394</v>
      </c>
      <c r="J458" t="s">
        <v>3368</v>
      </c>
      <c r="K458" s="147"/>
      <c r="L458" s="3">
        <v>1</v>
      </c>
      <c r="N458" s="148">
        <v>569</v>
      </c>
      <c r="Q458" s="148">
        <v>101</v>
      </c>
      <c r="R458" s="148">
        <f>Table242[[#This Row],[Material Unit Price]]+Table242[[#This Row],[Labor Unit Price]]+Table242[[#This Row],[GC + Manage+ Insur]]</f>
        <v>670</v>
      </c>
      <c r="S458" s="148">
        <f>Table242[[#This Row],[Total Per Tool]]*Table242[[#This Row],[Tool QTY]]</f>
        <v>670</v>
      </c>
      <c r="U458" s="149"/>
      <c r="W458" s="3"/>
      <c r="X45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458" s="150">
        <f>Table242[[#This Row],[Total AR (Received)]]/Table242[[#This Row],[PO Amount]]</f>
        <v>0</v>
      </c>
      <c r="Z458" s="151">
        <f>Table242[[#This Row],[PO Amount]]-Table242[[#This Row],[Total AR (Received)]]</f>
        <v>670</v>
      </c>
      <c r="AA458" s="151"/>
      <c r="AB458" s="151"/>
      <c r="AC458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58"/>
      <c r="AE458"/>
      <c r="AF458" s="148"/>
      <c r="AH458" s="2"/>
      <c r="AJ458" s="148"/>
      <c r="BB458"/>
      <c r="BC458"/>
      <c r="BD458" s="154" t="s">
        <v>550</v>
      </c>
      <c r="BE458" s="2"/>
      <c r="BF458"/>
      <c r="BG458"/>
      <c r="BH458"/>
      <c r="BI458"/>
      <c r="BJ458"/>
      <c r="BK458"/>
      <c r="BL458"/>
      <c r="BM458"/>
      <c r="BN458"/>
      <c r="BO458"/>
      <c r="BP458"/>
      <c r="BQ458"/>
      <c r="BR458" s="156">
        <f t="shared" si="7"/>
        <v>0</v>
      </c>
    </row>
    <row r="459" spans="2:70" ht="14.45" hidden="1">
      <c r="B459" s="3" t="s">
        <v>49</v>
      </c>
      <c r="C459" s="3" t="s">
        <v>3145</v>
      </c>
      <c r="D459" s="3" t="s">
        <v>3395</v>
      </c>
      <c r="E459" s="3">
        <v>128</v>
      </c>
      <c r="F459" s="3" t="s">
        <v>3147</v>
      </c>
      <c r="G459" s="3" t="s">
        <v>3148</v>
      </c>
      <c r="H459" s="3" t="s">
        <v>17</v>
      </c>
      <c r="I459" s="3" t="s">
        <v>3396</v>
      </c>
      <c r="J459" t="s">
        <v>3397</v>
      </c>
      <c r="K459" s="147"/>
      <c r="L459" s="3">
        <v>1</v>
      </c>
      <c r="M459" s="148">
        <v>89</v>
      </c>
      <c r="N459" s="148">
        <v>1478</v>
      </c>
      <c r="Q459" s="148">
        <v>281</v>
      </c>
      <c r="R459" s="148">
        <f>Table242[[#This Row],[Material Unit Price]]+Table242[[#This Row],[Labor Unit Price]]+Table242[[#This Row],[GC + Manage+ Insur]]</f>
        <v>1848</v>
      </c>
      <c r="S459" s="148">
        <f>Table242[[#This Row],[Total Per Tool]]*Table242[[#This Row],[Tool QTY]]</f>
        <v>1848</v>
      </c>
      <c r="U459" s="149">
        <v>44895</v>
      </c>
      <c r="W459" s="3" t="s">
        <v>3083</v>
      </c>
      <c r="X45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1848</v>
      </c>
      <c r="Y459" s="150">
        <f>Table242[[#This Row],[Total AR (Received)]]/Table242[[#This Row],[PO Amount]]</f>
        <v>1</v>
      </c>
      <c r="Z459" s="151">
        <f>Table242[[#This Row],[PO Amount]]-Table242[[#This Row],[Total AR (Received)]]</f>
        <v>0</v>
      </c>
      <c r="AA459" s="152">
        <v>1</v>
      </c>
      <c r="AB459" s="152">
        <v>0</v>
      </c>
      <c r="AC459" s="152">
        <f>SUM(Table242[[#This Row],[Total M%]]*Table242[[#This Row],[Material Unit Price]],Table242[[#This Row],[Total L %]]*Table242[[#This Row],[Labor Unit Price]])/SUM(Table242[[#This Row],[Material Unit Price]:[Labor Unit Price]])</f>
        <v>5.679642629227824E-2</v>
      </c>
      <c r="AD459"/>
      <c r="AE459"/>
      <c r="AF459" s="148"/>
      <c r="AH459" s="2"/>
      <c r="AI459" s="2"/>
      <c r="AJ459" s="182">
        <v>104.96000000000001</v>
      </c>
      <c r="BB459"/>
      <c r="BC459"/>
      <c r="BD459" s="154" t="s">
        <v>550</v>
      </c>
      <c r="BE459" s="2"/>
      <c r="BF459"/>
      <c r="BG459"/>
      <c r="BH459"/>
      <c r="BI459"/>
      <c r="BJ459"/>
      <c r="BK459"/>
      <c r="BL459"/>
      <c r="BM459"/>
      <c r="BN459"/>
      <c r="BO459"/>
      <c r="BP459" s="155">
        <v>1743.04</v>
      </c>
      <c r="BQ459"/>
      <c r="BR459" s="158">
        <f t="shared" si="7"/>
        <v>104.96000000000001</v>
      </c>
    </row>
    <row r="460" spans="2:70" ht="14.45" hidden="1">
      <c r="B460" s="3" t="s">
        <v>49</v>
      </c>
      <c r="C460" s="3" t="s">
        <v>3145</v>
      </c>
      <c r="D460" s="3" t="s">
        <v>3398</v>
      </c>
      <c r="E460" s="3">
        <v>129</v>
      </c>
      <c r="F460" s="3" t="s">
        <v>3147</v>
      </c>
      <c r="G460" s="3" t="s">
        <v>3148</v>
      </c>
      <c r="H460" s="3" t="s">
        <v>17</v>
      </c>
      <c r="I460" s="3" t="s">
        <v>3399</v>
      </c>
      <c r="J460" t="s">
        <v>3397</v>
      </c>
      <c r="K460" s="147"/>
      <c r="L460" s="3">
        <v>1</v>
      </c>
      <c r="M460" s="148">
        <v>89</v>
      </c>
      <c r="N460" s="148">
        <v>1478</v>
      </c>
      <c r="Q460" s="148">
        <v>281</v>
      </c>
      <c r="R460" s="148">
        <f>Table242[[#This Row],[Material Unit Price]]+Table242[[#This Row],[Labor Unit Price]]+Table242[[#This Row],[GC + Manage+ Insur]]</f>
        <v>1848</v>
      </c>
      <c r="S460" s="148">
        <f>Table242[[#This Row],[Total Per Tool]]*Table242[[#This Row],[Tool QTY]]</f>
        <v>1848</v>
      </c>
      <c r="U460" s="149"/>
      <c r="W460" s="3"/>
      <c r="X46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1848</v>
      </c>
      <c r="Y460" s="150">
        <f>Table242[[#This Row],[Total AR (Received)]]/Table242[[#This Row],[PO Amount]]</f>
        <v>1</v>
      </c>
      <c r="Z460" s="151">
        <f>Table242[[#This Row],[PO Amount]]-Table242[[#This Row],[Total AR (Received)]]</f>
        <v>0</v>
      </c>
      <c r="AA460" s="152">
        <v>1</v>
      </c>
      <c r="AB460" s="152">
        <v>0</v>
      </c>
      <c r="AC460" s="152">
        <f>SUM(Table242[[#This Row],[Total M%]]*Table242[[#This Row],[Material Unit Price]],Table242[[#This Row],[Total L %]]*Table242[[#This Row],[Labor Unit Price]])/SUM(Table242[[#This Row],[Material Unit Price]:[Labor Unit Price]])</f>
        <v>5.679642629227824E-2</v>
      </c>
      <c r="AD460"/>
      <c r="AE460"/>
      <c r="AF460" s="148"/>
      <c r="AH460" s="2"/>
      <c r="AI460" s="2"/>
      <c r="AJ460" s="182">
        <v>104.96000000000001</v>
      </c>
      <c r="BB460"/>
      <c r="BC460"/>
      <c r="BD460" s="154" t="s">
        <v>550</v>
      </c>
      <c r="BE460" s="2"/>
      <c r="BF460"/>
      <c r="BG460"/>
      <c r="BH460"/>
      <c r="BI460"/>
      <c r="BJ460"/>
      <c r="BK460"/>
      <c r="BL460" s="173">
        <v>1743.04</v>
      </c>
      <c r="BM460"/>
      <c r="BN460"/>
      <c r="BO460"/>
      <c r="BP460"/>
      <c r="BQ460"/>
      <c r="BR460" s="158">
        <f t="shared" si="7"/>
        <v>104.96000000000001</v>
      </c>
    </row>
    <row r="461" spans="2:70" ht="14.45" hidden="1">
      <c r="B461" s="3" t="s">
        <v>49</v>
      </c>
      <c r="C461" s="3" t="s">
        <v>3145</v>
      </c>
      <c r="D461" s="3" t="s">
        <v>3400</v>
      </c>
      <c r="E461" s="3">
        <v>130</v>
      </c>
      <c r="F461" s="3" t="s">
        <v>3147</v>
      </c>
      <c r="G461" s="3" t="s">
        <v>3148</v>
      </c>
      <c r="H461" s="3" t="s">
        <v>17</v>
      </c>
      <c r="I461" s="3" t="s">
        <v>3401</v>
      </c>
      <c r="J461" t="s">
        <v>3397</v>
      </c>
      <c r="K461" s="147"/>
      <c r="L461" s="3">
        <v>1</v>
      </c>
      <c r="M461" s="148">
        <v>89</v>
      </c>
      <c r="N461" s="148">
        <v>1478</v>
      </c>
      <c r="Q461" s="148">
        <v>281</v>
      </c>
      <c r="R461" s="148">
        <f>Table242[[#This Row],[Material Unit Price]]+Table242[[#This Row],[Labor Unit Price]]+Table242[[#This Row],[GC + Manage+ Insur]]</f>
        <v>1848</v>
      </c>
      <c r="S461" s="148">
        <f>Table242[[#This Row],[Total Per Tool]]*Table242[[#This Row],[Tool QTY]]</f>
        <v>1848</v>
      </c>
      <c r="U461" s="149"/>
      <c r="W461" s="3"/>
      <c r="X46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104.96000000000001</v>
      </c>
      <c r="Y461" s="150">
        <f>Table242[[#This Row],[Total AR (Received)]]/Table242[[#This Row],[PO Amount]]</f>
        <v>5.6796536796536803E-2</v>
      </c>
      <c r="Z461" s="151">
        <f>Table242[[#This Row],[PO Amount]]-Table242[[#This Row],[Total AR (Received)]]</f>
        <v>1743.04</v>
      </c>
      <c r="AA461" s="152">
        <v>1</v>
      </c>
      <c r="AB461" s="152">
        <v>0</v>
      </c>
      <c r="AC461" s="152">
        <f>SUM(Table242[[#This Row],[Total M%]]*Table242[[#This Row],[Material Unit Price]],Table242[[#This Row],[Total L %]]*Table242[[#This Row],[Labor Unit Price]])/SUM(Table242[[#This Row],[Material Unit Price]:[Labor Unit Price]])</f>
        <v>5.679642629227824E-2</v>
      </c>
      <c r="AD461"/>
      <c r="AE461"/>
      <c r="AF461" s="148"/>
      <c r="AH461" s="2"/>
      <c r="AI461" s="2"/>
      <c r="AJ461" s="182">
        <v>104.96000000000001</v>
      </c>
      <c r="BB461"/>
      <c r="BC461"/>
      <c r="BD461" s="154" t="s">
        <v>550</v>
      </c>
      <c r="BE461" s="2"/>
      <c r="BF461"/>
      <c r="BG461"/>
      <c r="BH461"/>
      <c r="BI461"/>
      <c r="BJ461"/>
      <c r="BK461"/>
      <c r="BL461"/>
      <c r="BM461"/>
      <c r="BN461"/>
      <c r="BO461"/>
      <c r="BP461"/>
      <c r="BQ461"/>
      <c r="BR461" s="158">
        <f t="shared" si="7"/>
        <v>104.96000000000001</v>
      </c>
    </row>
    <row r="462" spans="2:70" ht="14.45" hidden="1">
      <c r="B462" s="3" t="s">
        <v>49</v>
      </c>
      <c r="C462" s="3" t="s">
        <v>3145</v>
      </c>
      <c r="D462" s="3" t="s">
        <v>3402</v>
      </c>
      <c r="E462" s="3">
        <v>131</v>
      </c>
      <c r="F462" s="3" t="s">
        <v>3147</v>
      </c>
      <c r="G462" s="3" t="s">
        <v>3148</v>
      </c>
      <c r="H462" s="3" t="s">
        <v>17</v>
      </c>
      <c r="I462" s="3" t="s">
        <v>3403</v>
      </c>
      <c r="J462" t="s">
        <v>3397</v>
      </c>
      <c r="K462" s="147"/>
      <c r="L462" s="3">
        <v>1</v>
      </c>
      <c r="M462" s="148">
        <v>89</v>
      </c>
      <c r="N462" s="148">
        <v>1478</v>
      </c>
      <c r="Q462" s="148">
        <v>281</v>
      </c>
      <c r="R462" s="148">
        <f>Table242[[#This Row],[Material Unit Price]]+Table242[[#This Row],[Labor Unit Price]]+Table242[[#This Row],[GC + Manage+ Insur]]</f>
        <v>1848</v>
      </c>
      <c r="S462" s="148">
        <f>Table242[[#This Row],[Total Per Tool]]*Table242[[#This Row],[Tool QTY]]</f>
        <v>1848</v>
      </c>
      <c r="U462" s="149"/>
      <c r="W462" s="3"/>
      <c r="X46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104.96000000000001</v>
      </c>
      <c r="Y462" s="150">
        <f>Table242[[#This Row],[Total AR (Received)]]/Table242[[#This Row],[PO Amount]]</f>
        <v>5.6796536796536803E-2</v>
      </c>
      <c r="Z462" s="151">
        <f>Table242[[#This Row],[PO Amount]]-Table242[[#This Row],[Total AR (Received)]]</f>
        <v>1743.04</v>
      </c>
      <c r="AA462" s="152">
        <v>1</v>
      </c>
      <c r="AB462" s="152">
        <v>0</v>
      </c>
      <c r="AC462" s="152">
        <f>SUM(Table242[[#This Row],[Total M%]]*Table242[[#This Row],[Material Unit Price]],Table242[[#This Row],[Total L %]]*Table242[[#This Row],[Labor Unit Price]])/SUM(Table242[[#This Row],[Material Unit Price]:[Labor Unit Price]])</f>
        <v>5.679642629227824E-2</v>
      </c>
      <c r="AD462"/>
      <c r="AE462"/>
      <c r="AF462" s="148"/>
      <c r="AH462" s="2"/>
      <c r="AI462" s="2"/>
      <c r="AJ462" s="182">
        <v>104.96000000000001</v>
      </c>
      <c r="BB462"/>
      <c r="BC462"/>
      <c r="BD462" s="154" t="s">
        <v>550</v>
      </c>
      <c r="BE462" s="2"/>
      <c r="BF462"/>
      <c r="BG462"/>
      <c r="BH462"/>
      <c r="BI462"/>
      <c r="BJ462"/>
      <c r="BK462"/>
      <c r="BL462"/>
      <c r="BM462"/>
      <c r="BN462"/>
      <c r="BO462"/>
      <c r="BP462"/>
      <c r="BQ462"/>
      <c r="BR462" s="158">
        <f t="shared" si="7"/>
        <v>104.96000000000001</v>
      </c>
    </row>
    <row r="463" spans="2:70" ht="14.45" hidden="1">
      <c r="B463" s="3" t="s">
        <v>49</v>
      </c>
      <c r="C463" s="3" t="s">
        <v>3145</v>
      </c>
      <c r="D463" s="3" t="s">
        <v>3404</v>
      </c>
      <c r="E463" s="3">
        <v>28</v>
      </c>
      <c r="F463" s="3" t="s">
        <v>3147</v>
      </c>
      <c r="G463" s="3" t="s">
        <v>3148</v>
      </c>
      <c r="H463" s="3" t="s">
        <v>17</v>
      </c>
      <c r="I463" s="3" t="s">
        <v>3405</v>
      </c>
      <c r="J463" t="s">
        <v>3150</v>
      </c>
      <c r="K463" s="147"/>
      <c r="L463" s="3">
        <v>1</v>
      </c>
      <c r="N463" s="148">
        <v>3795</v>
      </c>
      <c r="Q463" s="148">
        <v>678</v>
      </c>
      <c r="R463" s="148">
        <f>Table242[[#This Row],[Material Unit Price]]+Table242[[#This Row],[Labor Unit Price]]+Table242[[#This Row],[GC + Manage+ Insur]]</f>
        <v>4473</v>
      </c>
      <c r="S463" s="148">
        <f>Table242[[#This Row],[Total Per Tool]]*Table242[[#This Row],[Tool QTY]]</f>
        <v>4473</v>
      </c>
      <c r="U463" s="149"/>
      <c r="W463" s="3"/>
      <c r="X46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4473</v>
      </c>
      <c r="Y463" s="150">
        <f>Table242[[#This Row],[Total AR (Received)]]/Table242[[#This Row],[PO Amount]]</f>
        <v>1</v>
      </c>
      <c r="Z463" s="151">
        <f>Table242[[#This Row],[PO Amount]]-Table242[[#This Row],[Total AR (Received)]]</f>
        <v>0</v>
      </c>
      <c r="AA463" s="151"/>
      <c r="AB463" s="151"/>
      <c r="AC463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63"/>
      <c r="AE463"/>
      <c r="AF463" s="148"/>
      <c r="AH463" s="2"/>
      <c r="BB463"/>
      <c r="BC463"/>
      <c r="BD463" s="154" t="s">
        <v>550</v>
      </c>
      <c r="BE463" s="2"/>
      <c r="BF463" s="169">
        <v>4473</v>
      </c>
      <c r="BG463"/>
      <c r="BH463"/>
      <c r="BI463"/>
      <c r="BJ463"/>
      <c r="BK463"/>
      <c r="BL463"/>
      <c r="BM463"/>
      <c r="BN463"/>
      <c r="BO463"/>
      <c r="BP463"/>
      <c r="BQ463"/>
      <c r="BR463" s="156">
        <f t="shared" si="7"/>
        <v>4473</v>
      </c>
    </row>
    <row r="464" spans="2:70" ht="14.45" hidden="1">
      <c r="B464" s="3" t="s">
        <v>49</v>
      </c>
      <c r="C464" s="3" t="s">
        <v>3145</v>
      </c>
      <c r="D464" s="3" t="s">
        <v>3406</v>
      </c>
      <c r="E464" s="3">
        <v>133</v>
      </c>
      <c r="F464" s="3" t="s">
        <v>3147</v>
      </c>
      <c r="G464" s="3" t="s">
        <v>3148</v>
      </c>
      <c r="H464" s="3" t="s">
        <v>17</v>
      </c>
      <c r="I464" s="3" t="s">
        <v>3407</v>
      </c>
      <c r="J464" t="s">
        <v>3408</v>
      </c>
      <c r="K464" s="147"/>
      <c r="L464" s="3">
        <v>1</v>
      </c>
      <c r="N464" s="148">
        <v>1137</v>
      </c>
      <c r="Q464" s="148">
        <v>203</v>
      </c>
      <c r="R464" s="148">
        <f>Table242[[#This Row],[Material Unit Price]]+Table242[[#This Row],[Labor Unit Price]]+Table242[[#This Row],[GC + Manage+ Insur]]</f>
        <v>1340</v>
      </c>
      <c r="S464" s="148">
        <f>Table242[[#This Row],[Total Per Tool]]*Table242[[#This Row],[Tool QTY]]</f>
        <v>1340</v>
      </c>
      <c r="U464" s="149"/>
      <c r="W464" s="3"/>
      <c r="X46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464" s="150">
        <f>Table242[[#This Row],[Total AR (Received)]]/Table242[[#This Row],[PO Amount]]</f>
        <v>0</v>
      </c>
      <c r="Z464" s="151">
        <f>Table242[[#This Row],[PO Amount]]-Table242[[#This Row],[Total AR (Received)]]</f>
        <v>1340</v>
      </c>
      <c r="AA464" s="151"/>
      <c r="AB464" s="151"/>
      <c r="AC464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64"/>
      <c r="AE464"/>
      <c r="AF464" s="148"/>
      <c r="AH464" s="2"/>
      <c r="AJ464" s="148"/>
      <c r="BB464"/>
      <c r="BC464"/>
      <c r="BD464" s="154" t="s">
        <v>550</v>
      </c>
      <c r="BE464" s="2"/>
      <c r="BF464"/>
      <c r="BG464"/>
      <c r="BH464"/>
      <c r="BI464"/>
      <c r="BJ464"/>
      <c r="BK464"/>
      <c r="BL464"/>
      <c r="BM464"/>
      <c r="BN464"/>
      <c r="BO464"/>
      <c r="BP464"/>
      <c r="BQ464"/>
      <c r="BR464" s="156">
        <f t="shared" si="7"/>
        <v>0</v>
      </c>
    </row>
    <row r="465" spans="2:70" ht="14.45" hidden="1">
      <c r="B465" s="3" t="s">
        <v>49</v>
      </c>
      <c r="C465" s="3" t="s">
        <v>3145</v>
      </c>
      <c r="D465" s="3" t="s">
        <v>3409</v>
      </c>
      <c r="E465" s="3">
        <v>135</v>
      </c>
      <c r="F465" s="3" t="s">
        <v>3147</v>
      </c>
      <c r="G465" s="3" t="s">
        <v>3148</v>
      </c>
      <c r="H465" s="3" t="s">
        <v>17</v>
      </c>
      <c r="I465" s="3" t="s">
        <v>3410</v>
      </c>
      <c r="J465" t="s">
        <v>3411</v>
      </c>
      <c r="K465" s="147"/>
      <c r="L465" s="3">
        <v>1</v>
      </c>
      <c r="M465" s="148">
        <v>3241</v>
      </c>
      <c r="N465" s="148">
        <v>948</v>
      </c>
      <c r="Q465" s="148">
        <v>748</v>
      </c>
      <c r="R465" s="148">
        <f>Table242[[#This Row],[Material Unit Price]]+Table242[[#This Row],[Labor Unit Price]]+Table242[[#This Row],[GC + Manage+ Insur]]</f>
        <v>4937</v>
      </c>
      <c r="S465" s="148">
        <f>Table242[[#This Row],[Total Per Tool]]*Table242[[#This Row],[Tool QTY]]</f>
        <v>4937</v>
      </c>
      <c r="U465" s="149">
        <v>44895</v>
      </c>
      <c r="W465" s="3" t="s">
        <v>3083</v>
      </c>
      <c r="X46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3820.7200000000003</v>
      </c>
      <c r="Y465" s="150">
        <f>Table242[[#This Row],[Total AR (Received)]]/Table242[[#This Row],[PO Amount]]</f>
        <v>0.77389507798258061</v>
      </c>
      <c r="Z465" s="151">
        <f>Table242[[#This Row],[PO Amount]]-Table242[[#This Row],[Total AR (Received)]]</f>
        <v>1116.2799999999997</v>
      </c>
      <c r="AA465" s="152">
        <v>1</v>
      </c>
      <c r="AB465" s="152">
        <v>0</v>
      </c>
      <c r="AC465" s="152">
        <f>SUM(Table242[[#This Row],[Total M%]]*Table242[[#This Row],[Material Unit Price]],Table242[[#This Row],[Total L %]]*Table242[[#This Row],[Labor Unit Price]])/SUM(Table242[[#This Row],[Material Unit Price]:[Labor Unit Price]])</f>
        <v>0.77369300549057052</v>
      </c>
      <c r="AD465"/>
      <c r="AE465"/>
      <c r="AF465" s="148"/>
      <c r="AH465" s="2"/>
      <c r="AI465" s="2"/>
      <c r="AJ465" s="182">
        <v>3820.7200000000003</v>
      </c>
      <c r="BB465"/>
      <c r="BC465"/>
      <c r="BD465" s="154" t="s">
        <v>550</v>
      </c>
      <c r="BE465" s="2"/>
      <c r="BF465"/>
      <c r="BG465"/>
      <c r="BH465"/>
      <c r="BI465"/>
      <c r="BJ465"/>
      <c r="BK465"/>
      <c r="BL465"/>
      <c r="BM465"/>
      <c r="BN465"/>
      <c r="BO465"/>
      <c r="BP465"/>
      <c r="BQ465"/>
      <c r="BR465" s="158">
        <f t="shared" si="7"/>
        <v>3820.7200000000003</v>
      </c>
    </row>
    <row r="466" spans="2:70" ht="14.45" hidden="1">
      <c r="B466" s="3" t="s">
        <v>49</v>
      </c>
      <c r="C466" s="3" t="s">
        <v>3145</v>
      </c>
      <c r="D466" s="3" t="s">
        <v>3412</v>
      </c>
      <c r="E466" s="3">
        <v>136</v>
      </c>
      <c r="F466" s="3" t="s">
        <v>3147</v>
      </c>
      <c r="G466" s="3" t="s">
        <v>3148</v>
      </c>
      <c r="H466" s="3" t="s">
        <v>17</v>
      </c>
      <c r="I466" s="3" t="s">
        <v>3413</v>
      </c>
      <c r="J466" t="s">
        <v>3411</v>
      </c>
      <c r="K466" s="147"/>
      <c r="L466" s="3">
        <v>1</v>
      </c>
      <c r="M466" s="148">
        <v>3241</v>
      </c>
      <c r="N466" s="148">
        <v>948</v>
      </c>
      <c r="Q466" s="148">
        <v>748</v>
      </c>
      <c r="R466" s="148">
        <f>Table242[[#This Row],[Material Unit Price]]+Table242[[#This Row],[Labor Unit Price]]+Table242[[#This Row],[GC + Manage+ Insur]]</f>
        <v>4937</v>
      </c>
      <c r="S466" s="148">
        <f>Table242[[#This Row],[Total Per Tool]]*Table242[[#This Row],[Tool QTY]]</f>
        <v>4937</v>
      </c>
      <c r="U466" s="149"/>
      <c r="W466" s="3"/>
      <c r="X46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4937</v>
      </c>
      <c r="Y466" s="150">
        <f>Table242[[#This Row],[Total AR (Received)]]/Table242[[#This Row],[PO Amount]]</f>
        <v>1</v>
      </c>
      <c r="Z466" s="151">
        <f>Table242[[#This Row],[PO Amount]]-Table242[[#This Row],[Total AR (Received)]]</f>
        <v>0</v>
      </c>
      <c r="AA466" s="152">
        <v>1</v>
      </c>
      <c r="AB466" s="152">
        <v>0</v>
      </c>
      <c r="AC466" s="152">
        <f>SUM(Table242[[#This Row],[Total M%]]*Table242[[#This Row],[Material Unit Price]],Table242[[#This Row],[Total L %]]*Table242[[#This Row],[Labor Unit Price]])/SUM(Table242[[#This Row],[Material Unit Price]:[Labor Unit Price]])</f>
        <v>0.77369300549057052</v>
      </c>
      <c r="AD466"/>
      <c r="AE466"/>
      <c r="AF466" s="148"/>
      <c r="AH466" s="2"/>
      <c r="AI466" s="2"/>
      <c r="AJ466" s="182">
        <v>3820.7200000000003</v>
      </c>
      <c r="BB466"/>
      <c r="BC466"/>
      <c r="BD466" s="154" t="s">
        <v>550</v>
      </c>
      <c r="BE466" s="2"/>
      <c r="BF466"/>
      <c r="BG466"/>
      <c r="BH466"/>
      <c r="BI466"/>
      <c r="BJ466"/>
      <c r="BK466"/>
      <c r="BL466"/>
      <c r="BM466"/>
      <c r="BN466"/>
      <c r="BO466"/>
      <c r="BP466" s="155">
        <v>1116.28</v>
      </c>
      <c r="BQ466"/>
      <c r="BR466" s="158">
        <f t="shared" si="7"/>
        <v>3820.7200000000003</v>
      </c>
    </row>
    <row r="467" spans="2:70" ht="14.45" hidden="1">
      <c r="B467" s="3" t="s">
        <v>49</v>
      </c>
      <c r="C467" s="3" t="s">
        <v>3145</v>
      </c>
      <c r="D467" s="3" t="s">
        <v>3414</v>
      </c>
      <c r="E467" s="3">
        <v>137</v>
      </c>
      <c r="F467" s="3" t="s">
        <v>3147</v>
      </c>
      <c r="G467" s="3" t="s">
        <v>3148</v>
      </c>
      <c r="H467" s="3" t="s">
        <v>17</v>
      </c>
      <c r="I467" s="3" t="s">
        <v>3415</v>
      </c>
      <c r="J467" t="s">
        <v>3411</v>
      </c>
      <c r="K467" s="147"/>
      <c r="L467" s="3">
        <v>1</v>
      </c>
      <c r="M467" s="148">
        <v>3241</v>
      </c>
      <c r="N467" s="148">
        <v>948</v>
      </c>
      <c r="Q467" s="148">
        <v>748</v>
      </c>
      <c r="R467" s="148">
        <f>Table242[[#This Row],[Material Unit Price]]+Table242[[#This Row],[Labor Unit Price]]+Table242[[#This Row],[GC + Manage+ Insur]]</f>
        <v>4937</v>
      </c>
      <c r="S467" s="148">
        <f>Table242[[#This Row],[Total Per Tool]]*Table242[[#This Row],[Tool QTY]]</f>
        <v>4937</v>
      </c>
      <c r="U467" s="149"/>
      <c r="W467" s="3"/>
      <c r="X46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4937</v>
      </c>
      <c r="Y467" s="150">
        <f>Table242[[#This Row],[Total AR (Received)]]/Table242[[#This Row],[PO Amount]]</f>
        <v>1</v>
      </c>
      <c r="Z467" s="151">
        <f>Table242[[#This Row],[PO Amount]]-Table242[[#This Row],[Total AR (Received)]]</f>
        <v>0</v>
      </c>
      <c r="AA467" s="152">
        <v>1</v>
      </c>
      <c r="AB467" s="152">
        <v>0</v>
      </c>
      <c r="AC467" s="152">
        <f>SUM(Table242[[#This Row],[Total M%]]*Table242[[#This Row],[Material Unit Price]],Table242[[#This Row],[Total L %]]*Table242[[#This Row],[Labor Unit Price]])/SUM(Table242[[#This Row],[Material Unit Price]:[Labor Unit Price]])</f>
        <v>0.77369300549057052</v>
      </c>
      <c r="AD467"/>
      <c r="AE467"/>
      <c r="AF467" s="148"/>
      <c r="AH467" s="2"/>
      <c r="AI467" s="2"/>
      <c r="AJ467" s="182">
        <v>3820.7200000000003</v>
      </c>
      <c r="BB467"/>
      <c r="BC467"/>
      <c r="BD467" s="154" t="s">
        <v>550</v>
      </c>
      <c r="BE467" s="2"/>
      <c r="BF467"/>
      <c r="BG467"/>
      <c r="BH467"/>
      <c r="BI467"/>
      <c r="BJ467"/>
      <c r="BK467"/>
      <c r="BL467"/>
      <c r="BM467"/>
      <c r="BN467"/>
      <c r="BO467"/>
      <c r="BP467" s="155">
        <v>1116.28</v>
      </c>
      <c r="BQ467"/>
      <c r="BR467" s="158">
        <f t="shared" si="7"/>
        <v>3820.7200000000003</v>
      </c>
    </row>
    <row r="468" spans="2:70" ht="14.45" hidden="1">
      <c r="B468" s="3" t="s">
        <v>49</v>
      </c>
      <c r="C468" s="3" t="s">
        <v>3145</v>
      </c>
      <c r="D468" s="3" t="s">
        <v>3416</v>
      </c>
      <c r="E468" s="3">
        <v>138</v>
      </c>
      <c r="F468" s="3" t="s">
        <v>3147</v>
      </c>
      <c r="G468" s="3" t="s">
        <v>3148</v>
      </c>
      <c r="H468" s="3" t="s">
        <v>17</v>
      </c>
      <c r="I468" s="3" t="s">
        <v>3417</v>
      </c>
      <c r="J468" t="s">
        <v>3411</v>
      </c>
      <c r="K468" s="147"/>
      <c r="L468" s="3">
        <v>1</v>
      </c>
      <c r="M468" s="148">
        <v>3241</v>
      </c>
      <c r="N468" s="148">
        <v>948</v>
      </c>
      <c r="Q468" s="148">
        <v>748</v>
      </c>
      <c r="R468" s="148">
        <f>Table242[[#This Row],[Material Unit Price]]+Table242[[#This Row],[Labor Unit Price]]+Table242[[#This Row],[GC + Manage+ Insur]]</f>
        <v>4937</v>
      </c>
      <c r="S468" s="148">
        <f>Table242[[#This Row],[Total Per Tool]]*Table242[[#This Row],[Tool QTY]]</f>
        <v>4937</v>
      </c>
      <c r="U468" s="149"/>
      <c r="W468" s="3"/>
      <c r="X46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4937</v>
      </c>
      <c r="Y468" s="150">
        <f>Table242[[#This Row],[Total AR (Received)]]/Table242[[#This Row],[PO Amount]]</f>
        <v>1</v>
      </c>
      <c r="Z468" s="151">
        <f>Table242[[#This Row],[PO Amount]]-Table242[[#This Row],[Total AR (Received)]]</f>
        <v>0</v>
      </c>
      <c r="AA468" s="152">
        <v>1</v>
      </c>
      <c r="AB468" s="152">
        <v>0</v>
      </c>
      <c r="AC468" s="152">
        <f>SUM(Table242[[#This Row],[Total M%]]*Table242[[#This Row],[Material Unit Price]],Table242[[#This Row],[Total L %]]*Table242[[#This Row],[Labor Unit Price]])/SUM(Table242[[#This Row],[Material Unit Price]:[Labor Unit Price]])</f>
        <v>0.77369300549057052</v>
      </c>
      <c r="AD468"/>
      <c r="AE468"/>
      <c r="AF468" s="148"/>
      <c r="AH468" s="2"/>
      <c r="AI468" s="2"/>
      <c r="AJ468" s="182">
        <v>3820.7200000000003</v>
      </c>
      <c r="BB468"/>
      <c r="BC468"/>
      <c r="BD468" s="154" t="s">
        <v>550</v>
      </c>
      <c r="BE468" s="2"/>
      <c r="BF468"/>
      <c r="BG468"/>
      <c r="BH468"/>
      <c r="BI468"/>
      <c r="BJ468"/>
      <c r="BK468"/>
      <c r="BL468"/>
      <c r="BM468"/>
      <c r="BN468"/>
      <c r="BO468"/>
      <c r="BP468" s="155">
        <v>1116.28</v>
      </c>
      <c r="BQ468"/>
      <c r="BR468" s="158">
        <f t="shared" si="7"/>
        <v>3820.7200000000003</v>
      </c>
    </row>
    <row r="469" spans="2:70" ht="14.45" hidden="1">
      <c r="B469" s="3" t="s">
        <v>49</v>
      </c>
      <c r="C469" s="3" t="s">
        <v>3145</v>
      </c>
      <c r="D469" s="3" t="s">
        <v>3418</v>
      </c>
      <c r="E469" s="3">
        <v>139</v>
      </c>
      <c r="F469" s="3" t="s">
        <v>3147</v>
      </c>
      <c r="G469" s="3" t="s">
        <v>3148</v>
      </c>
      <c r="H469" s="3" t="s">
        <v>17</v>
      </c>
      <c r="I469" s="3" t="s">
        <v>3419</v>
      </c>
      <c r="J469" t="s">
        <v>3411</v>
      </c>
      <c r="K469" s="147"/>
      <c r="L469" s="3">
        <v>1</v>
      </c>
      <c r="M469" s="148">
        <v>3241</v>
      </c>
      <c r="N469" s="148">
        <v>948</v>
      </c>
      <c r="Q469" s="148">
        <v>748</v>
      </c>
      <c r="R469" s="148">
        <f>Table242[[#This Row],[Material Unit Price]]+Table242[[#This Row],[Labor Unit Price]]+Table242[[#This Row],[GC + Manage+ Insur]]</f>
        <v>4937</v>
      </c>
      <c r="S469" s="148">
        <f>Table242[[#This Row],[Total Per Tool]]*Table242[[#This Row],[Tool QTY]]</f>
        <v>4937</v>
      </c>
      <c r="U469" s="149"/>
      <c r="W469" s="3"/>
      <c r="X46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4937</v>
      </c>
      <c r="Y469" s="150">
        <f>Table242[[#This Row],[Total AR (Received)]]/Table242[[#This Row],[PO Amount]]</f>
        <v>1</v>
      </c>
      <c r="Z469" s="151">
        <f>Table242[[#This Row],[PO Amount]]-Table242[[#This Row],[Total AR (Received)]]</f>
        <v>0</v>
      </c>
      <c r="AA469" s="152">
        <v>1</v>
      </c>
      <c r="AB469" s="152">
        <v>0</v>
      </c>
      <c r="AC469" s="152">
        <f>SUM(Table242[[#This Row],[Total M%]]*Table242[[#This Row],[Material Unit Price]],Table242[[#This Row],[Total L %]]*Table242[[#This Row],[Labor Unit Price]])/SUM(Table242[[#This Row],[Material Unit Price]:[Labor Unit Price]])</f>
        <v>0.77369300549057052</v>
      </c>
      <c r="AD469"/>
      <c r="AE469"/>
      <c r="AF469" s="148"/>
      <c r="AH469" s="2"/>
      <c r="AI469" s="2"/>
      <c r="AJ469" s="182">
        <v>3820.7200000000003</v>
      </c>
      <c r="BB469"/>
      <c r="BC469"/>
      <c r="BD469" s="154" t="s">
        <v>550</v>
      </c>
      <c r="BE469" s="2"/>
      <c r="BF469"/>
      <c r="BG469"/>
      <c r="BH469"/>
      <c r="BI469"/>
      <c r="BJ469"/>
      <c r="BK469"/>
      <c r="BL469"/>
      <c r="BM469"/>
      <c r="BN469"/>
      <c r="BO469"/>
      <c r="BP469" s="155">
        <v>1116.28</v>
      </c>
      <c r="BQ469"/>
      <c r="BR469" s="158">
        <f t="shared" si="7"/>
        <v>3820.7200000000003</v>
      </c>
    </row>
    <row r="470" spans="2:70" ht="14.45" hidden="1">
      <c r="B470" s="3" t="s">
        <v>49</v>
      </c>
      <c r="C470" s="3" t="s">
        <v>3145</v>
      </c>
      <c r="D470" s="3" t="s">
        <v>3420</v>
      </c>
      <c r="E470" s="3">
        <v>140</v>
      </c>
      <c r="F470" s="3" t="s">
        <v>3147</v>
      </c>
      <c r="G470" s="3" t="s">
        <v>3148</v>
      </c>
      <c r="H470" s="3" t="s">
        <v>17</v>
      </c>
      <c r="I470" s="3" t="s">
        <v>3421</v>
      </c>
      <c r="J470" t="s">
        <v>3411</v>
      </c>
      <c r="K470" s="147"/>
      <c r="L470" s="3">
        <v>1</v>
      </c>
      <c r="M470" s="148">
        <v>3241</v>
      </c>
      <c r="N470" s="148">
        <v>948</v>
      </c>
      <c r="Q470" s="148">
        <v>748</v>
      </c>
      <c r="R470" s="148">
        <f>Table242[[#This Row],[Material Unit Price]]+Table242[[#This Row],[Labor Unit Price]]+Table242[[#This Row],[GC + Manage+ Insur]]</f>
        <v>4937</v>
      </c>
      <c r="S470" s="148">
        <f>Table242[[#This Row],[Total Per Tool]]*Table242[[#This Row],[Tool QTY]]</f>
        <v>4937</v>
      </c>
      <c r="U470" s="149"/>
      <c r="W470" s="3"/>
      <c r="X47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4937</v>
      </c>
      <c r="Y470" s="150">
        <f>Table242[[#This Row],[Total AR (Received)]]/Table242[[#This Row],[PO Amount]]</f>
        <v>1</v>
      </c>
      <c r="Z470" s="151">
        <f>Table242[[#This Row],[PO Amount]]-Table242[[#This Row],[Total AR (Received)]]</f>
        <v>0</v>
      </c>
      <c r="AA470" s="152">
        <v>1</v>
      </c>
      <c r="AB470" s="152">
        <v>0</v>
      </c>
      <c r="AC470" s="152">
        <f>SUM(Table242[[#This Row],[Total M%]]*Table242[[#This Row],[Material Unit Price]],Table242[[#This Row],[Total L %]]*Table242[[#This Row],[Labor Unit Price]])/SUM(Table242[[#This Row],[Material Unit Price]:[Labor Unit Price]])</f>
        <v>0.77369300549057052</v>
      </c>
      <c r="AD470"/>
      <c r="AE470"/>
      <c r="AF470" s="148"/>
      <c r="AH470" s="2"/>
      <c r="AI470" s="2"/>
      <c r="AJ470" s="182">
        <v>3820.7200000000003</v>
      </c>
      <c r="BB470"/>
      <c r="BC470"/>
      <c r="BD470" s="154" t="s">
        <v>550</v>
      </c>
      <c r="BE470" s="2"/>
      <c r="BF470"/>
      <c r="BG470"/>
      <c r="BH470"/>
      <c r="BI470"/>
      <c r="BJ470"/>
      <c r="BK470"/>
      <c r="BL470"/>
      <c r="BM470"/>
      <c r="BN470"/>
      <c r="BO470"/>
      <c r="BP470">
        <v>1116.28</v>
      </c>
      <c r="BQ470"/>
      <c r="BR470" s="158">
        <f t="shared" si="7"/>
        <v>3820.7200000000003</v>
      </c>
    </row>
    <row r="471" spans="2:70" ht="14.45" hidden="1">
      <c r="B471" s="3" t="s">
        <v>49</v>
      </c>
      <c r="C471" s="3" t="s">
        <v>3145</v>
      </c>
      <c r="D471" s="3" t="s">
        <v>3422</v>
      </c>
      <c r="E471" s="3">
        <v>141</v>
      </c>
      <c r="F471" s="3" t="s">
        <v>3147</v>
      </c>
      <c r="G471" s="3" t="s">
        <v>3148</v>
      </c>
      <c r="H471" s="3" t="s">
        <v>17</v>
      </c>
      <c r="I471" s="3" t="s">
        <v>3423</v>
      </c>
      <c r="J471" t="s">
        <v>3411</v>
      </c>
      <c r="K471" s="147"/>
      <c r="L471" s="3">
        <v>1</v>
      </c>
      <c r="M471" s="148">
        <v>3241</v>
      </c>
      <c r="N471" s="148">
        <v>948</v>
      </c>
      <c r="Q471" s="148">
        <v>748</v>
      </c>
      <c r="R471" s="148">
        <f>Table242[[#This Row],[Material Unit Price]]+Table242[[#This Row],[Labor Unit Price]]+Table242[[#This Row],[GC + Manage+ Insur]]</f>
        <v>4937</v>
      </c>
      <c r="S471" s="148">
        <f>Table242[[#This Row],[Total Per Tool]]*Table242[[#This Row],[Tool QTY]]</f>
        <v>4937</v>
      </c>
      <c r="U471" s="149"/>
      <c r="W471" s="3"/>
      <c r="X47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4937</v>
      </c>
      <c r="Y471" s="150">
        <f>Table242[[#This Row],[Total AR (Received)]]/Table242[[#This Row],[PO Amount]]</f>
        <v>1</v>
      </c>
      <c r="Z471" s="151">
        <f>Table242[[#This Row],[PO Amount]]-Table242[[#This Row],[Total AR (Received)]]</f>
        <v>0</v>
      </c>
      <c r="AA471" s="152">
        <v>1</v>
      </c>
      <c r="AB471" s="152">
        <v>0</v>
      </c>
      <c r="AC471" s="152">
        <f>SUM(Table242[[#This Row],[Total M%]]*Table242[[#This Row],[Material Unit Price]],Table242[[#This Row],[Total L %]]*Table242[[#This Row],[Labor Unit Price]])/SUM(Table242[[#This Row],[Material Unit Price]:[Labor Unit Price]])</f>
        <v>0.77369300549057052</v>
      </c>
      <c r="AD471"/>
      <c r="AE471"/>
      <c r="AF471" s="148"/>
      <c r="AH471" s="2"/>
      <c r="AI471" s="2"/>
      <c r="AJ471" s="182">
        <v>3820.7200000000003</v>
      </c>
      <c r="BB471"/>
      <c r="BC471"/>
      <c r="BD471" s="154" t="s">
        <v>550</v>
      </c>
      <c r="BE471" s="2"/>
      <c r="BF471"/>
      <c r="BG471"/>
      <c r="BH471"/>
      <c r="BI471"/>
      <c r="BJ471"/>
      <c r="BK471"/>
      <c r="BL471"/>
      <c r="BM471"/>
      <c r="BN471"/>
      <c r="BO471"/>
      <c r="BP471">
        <v>1116.28</v>
      </c>
      <c r="BQ471"/>
      <c r="BR471" s="158">
        <f t="shared" si="7"/>
        <v>3820.7200000000003</v>
      </c>
    </row>
    <row r="472" spans="2:70" ht="14.45" hidden="1">
      <c r="B472" s="3" t="s">
        <v>49</v>
      </c>
      <c r="C472" s="3" t="s">
        <v>3145</v>
      </c>
      <c r="D472" s="3" t="s">
        <v>3424</v>
      </c>
      <c r="E472" s="3">
        <v>142</v>
      </c>
      <c r="F472" s="3" t="s">
        <v>3147</v>
      </c>
      <c r="G472" s="3" t="s">
        <v>3148</v>
      </c>
      <c r="H472" s="3" t="s">
        <v>17</v>
      </c>
      <c r="I472" s="3" t="s">
        <v>3425</v>
      </c>
      <c r="J472" t="s">
        <v>3411</v>
      </c>
      <c r="K472" s="147"/>
      <c r="L472" s="3">
        <v>1</v>
      </c>
      <c r="M472" s="148">
        <v>3241</v>
      </c>
      <c r="N472" s="148">
        <v>948</v>
      </c>
      <c r="Q472" s="148">
        <v>748</v>
      </c>
      <c r="R472" s="148">
        <f>Table242[[#This Row],[Material Unit Price]]+Table242[[#This Row],[Labor Unit Price]]+Table242[[#This Row],[GC + Manage+ Insur]]</f>
        <v>4937</v>
      </c>
      <c r="S472" s="148">
        <f>Table242[[#This Row],[Total Per Tool]]*Table242[[#This Row],[Tool QTY]]</f>
        <v>4937</v>
      </c>
      <c r="U472" s="149"/>
      <c r="W472" s="3"/>
      <c r="X47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4937</v>
      </c>
      <c r="Y472" s="150">
        <f>Table242[[#This Row],[Total AR (Received)]]/Table242[[#This Row],[PO Amount]]</f>
        <v>1</v>
      </c>
      <c r="Z472" s="151">
        <f>Table242[[#This Row],[PO Amount]]-Table242[[#This Row],[Total AR (Received)]]</f>
        <v>0</v>
      </c>
      <c r="AA472" s="152">
        <v>1</v>
      </c>
      <c r="AB472" s="152">
        <v>0</v>
      </c>
      <c r="AC472" s="152">
        <f>SUM(Table242[[#This Row],[Total M%]]*Table242[[#This Row],[Material Unit Price]],Table242[[#This Row],[Total L %]]*Table242[[#This Row],[Labor Unit Price]])/SUM(Table242[[#This Row],[Material Unit Price]:[Labor Unit Price]])</f>
        <v>0.77369300549057052</v>
      </c>
      <c r="AD472"/>
      <c r="AE472"/>
      <c r="AF472" s="148"/>
      <c r="AH472" s="2"/>
      <c r="AI472" s="2"/>
      <c r="AJ472" s="182">
        <v>3820.7200000000003</v>
      </c>
      <c r="BB472"/>
      <c r="BC472"/>
      <c r="BD472" s="154" t="s">
        <v>550</v>
      </c>
      <c r="BE472" s="2"/>
      <c r="BF472"/>
      <c r="BG472"/>
      <c r="BH472"/>
      <c r="BI472"/>
      <c r="BJ472"/>
      <c r="BK472"/>
      <c r="BL472"/>
      <c r="BM472"/>
      <c r="BN472"/>
      <c r="BO472"/>
      <c r="BP472">
        <v>1116.28</v>
      </c>
      <c r="BQ472"/>
      <c r="BR472" s="158">
        <f t="shared" si="7"/>
        <v>3820.7200000000003</v>
      </c>
    </row>
    <row r="473" spans="2:70" ht="14.45" hidden="1">
      <c r="B473" s="3" t="s">
        <v>49</v>
      </c>
      <c r="C473" s="3" t="s">
        <v>3145</v>
      </c>
      <c r="D473" s="3" t="s">
        <v>3426</v>
      </c>
      <c r="E473" s="3">
        <v>143</v>
      </c>
      <c r="F473" s="3" t="s">
        <v>3147</v>
      </c>
      <c r="G473" s="3" t="s">
        <v>3148</v>
      </c>
      <c r="H473" s="3" t="s">
        <v>17</v>
      </c>
      <c r="I473" s="3" t="s">
        <v>3427</v>
      </c>
      <c r="J473" t="s">
        <v>3411</v>
      </c>
      <c r="K473" s="147"/>
      <c r="L473" s="3">
        <v>1</v>
      </c>
      <c r="M473" s="148">
        <v>3241</v>
      </c>
      <c r="N473" s="148">
        <v>948</v>
      </c>
      <c r="Q473" s="148">
        <v>748</v>
      </c>
      <c r="R473" s="148">
        <f>Table242[[#This Row],[Material Unit Price]]+Table242[[#This Row],[Labor Unit Price]]+Table242[[#This Row],[GC + Manage+ Insur]]</f>
        <v>4937</v>
      </c>
      <c r="S473" s="148">
        <f>Table242[[#This Row],[Total Per Tool]]*Table242[[#This Row],[Tool QTY]]</f>
        <v>4937</v>
      </c>
      <c r="U473" s="149"/>
      <c r="W473" s="3"/>
      <c r="X47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3820.7200000000003</v>
      </c>
      <c r="Y473" s="150">
        <f>Table242[[#This Row],[Total AR (Received)]]/Table242[[#This Row],[PO Amount]]</f>
        <v>0.77389507798258061</v>
      </c>
      <c r="Z473" s="151">
        <f>Table242[[#This Row],[PO Amount]]-Table242[[#This Row],[Total AR (Received)]]</f>
        <v>1116.2799999999997</v>
      </c>
      <c r="AA473" s="152">
        <v>1</v>
      </c>
      <c r="AB473" s="152">
        <v>0</v>
      </c>
      <c r="AC473" s="152">
        <f>SUM(Table242[[#This Row],[Total M%]]*Table242[[#This Row],[Material Unit Price]],Table242[[#This Row],[Total L %]]*Table242[[#This Row],[Labor Unit Price]])/SUM(Table242[[#This Row],[Material Unit Price]:[Labor Unit Price]])</f>
        <v>0.77369300549057052</v>
      </c>
      <c r="AD473"/>
      <c r="AE473"/>
      <c r="AF473" s="148"/>
      <c r="AH473" s="181"/>
      <c r="AI473" s="2"/>
      <c r="AJ473" s="189">
        <v>3820.7200000000003</v>
      </c>
      <c r="BB473"/>
      <c r="BC473"/>
      <c r="BD473" s="154" t="s">
        <v>550</v>
      </c>
      <c r="BE473" s="2"/>
      <c r="BF473"/>
      <c r="BG473"/>
      <c r="BH473"/>
      <c r="BI473"/>
      <c r="BJ473"/>
      <c r="BK473"/>
      <c r="BL473"/>
      <c r="BM473"/>
      <c r="BN473"/>
      <c r="BO473"/>
      <c r="BP473"/>
      <c r="BQ473"/>
      <c r="BR473" s="158">
        <f t="shared" si="7"/>
        <v>3820.7200000000003</v>
      </c>
    </row>
    <row r="474" spans="2:70" ht="14.45" hidden="1">
      <c r="B474" s="3" t="s">
        <v>49</v>
      </c>
      <c r="C474" s="3" t="s">
        <v>3145</v>
      </c>
      <c r="D474" s="3" t="s">
        <v>3428</v>
      </c>
      <c r="E474" s="3">
        <v>144</v>
      </c>
      <c r="F474" s="3" t="s">
        <v>3147</v>
      </c>
      <c r="G474" s="3" t="s">
        <v>3148</v>
      </c>
      <c r="H474" s="3" t="s">
        <v>17</v>
      </c>
      <c r="I474" s="3" t="s">
        <v>3429</v>
      </c>
      <c r="J474" t="s">
        <v>3411</v>
      </c>
      <c r="K474" s="147"/>
      <c r="L474" s="3">
        <v>1</v>
      </c>
      <c r="M474" s="148">
        <v>3241</v>
      </c>
      <c r="N474" s="148">
        <v>948</v>
      </c>
      <c r="Q474" s="148">
        <v>748</v>
      </c>
      <c r="R474" s="148">
        <f>Table242[[#This Row],[Material Unit Price]]+Table242[[#This Row],[Labor Unit Price]]+Table242[[#This Row],[GC + Manage+ Insur]]</f>
        <v>4937</v>
      </c>
      <c r="S474" s="148">
        <f>Table242[[#This Row],[Total Per Tool]]*Table242[[#This Row],[Tool QTY]]</f>
        <v>4937</v>
      </c>
      <c r="U474" s="149"/>
      <c r="W474" s="3"/>
      <c r="X47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3820.7200000000003</v>
      </c>
      <c r="Y474" s="150">
        <f>Table242[[#This Row],[Total AR (Received)]]/Table242[[#This Row],[PO Amount]]</f>
        <v>0.77389507798258061</v>
      </c>
      <c r="Z474" s="151">
        <f>Table242[[#This Row],[PO Amount]]-Table242[[#This Row],[Total AR (Received)]]</f>
        <v>1116.2799999999997</v>
      </c>
      <c r="AA474" s="152">
        <v>1</v>
      </c>
      <c r="AB474" s="152">
        <v>0</v>
      </c>
      <c r="AC474" s="152">
        <f>SUM(Table242[[#This Row],[Total M%]]*Table242[[#This Row],[Material Unit Price]],Table242[[#This Row],[Total L %]]*Table242[[#This Row],[Labor Unit Price]])/SUM(Table242[[#This Row],[Material Unit Price]:[Labor Unit Price]])</f>
        <v>0.77369300549057052</v>
      </c>
      <c r="AD474"/>
      <c r="AE474"/>
      <c r="AF474" s="148"/>
      <c r="AH474" s="2"/>
      <c r="AI474" s="2"/>
      <c r="AJ474" s="182">
        <v>3820.7200000000003</v>
      </c>
      <c r="BB474"/>
      <c r="BC474"/>
      <c r="BD474" s="154" t="s">
        <v>550</v>
      </c>
      <c r="BE474" s="2"/>
      <c r="BF474"/>
      <c r="BG474"/>
      <c r="BH474"/>
      <c r="BI474"/>
      <c r="BJ474"/>
      <c r="BK474"/>
      <c r="BL474"/>
      <c r="BM474"/>
      <c r="BN474"/>
      <c r="BO474"/>
      <c r="BP474"/>
      <c r="BQ474"/>
      <c r="BR474" s="158">
        <f t="shared" si="7"/>
        <v>3820.7200000000003</v>
      </c>
    </row>
    <row r="475" spans="2:70" ht="14.45" hidden="1">
      <c r="B475" s="3" t="s">
        <v>49</v>
      </c>
      <c r="C475" s="3" t="s">
        <v>3145</v>
      </c>
      <c r="D475" s="3" t="s">
        <v>3430</v>
      </c>
      <c r="E475" s="3">
        <v>145</v>
      </c>
      <c r="F475" s="3" t="s">
        <v>3147</v>
      </c>
      <c r="G475" s="3" t="s">
        <v>3148</v>
      </c>
      <c r="H475" s="3" t="s">
        <v>17</v>
      </c>
      <c r="I475" s="3" t="s">
        <v>3431</v>
      </c>
      <c r="J475" t="s">
        <v>3411</v>
      </c>
      <c r="K475" s="147"/>
      <c r="L475" s="3">
        <v>1</v>
      </c>
      <c r="M475" s="148">
        <v>3241</v>
      </c>
      <c r="N475" s="148">
        <v>948</v>
      </c>
      <c r="Q475" s="148">
        <v>748</v>
      </c>
      <c r="R475" s="148">
        <f>Table242[[#This Row],[Material Unit Price]]+Table242[[#This Row],[Labor Unit Price]]+Table242[[#This Row],[GC + Manage+ Insur]]</f>
        <v>4937</v>
      </c>
      <c r="S475" s="148">
        <f>Table242[[#This Row],[Total Per Tool]]*Table242[[#This Row],[Tool QTY]]</f>
        <v>4937</v>
      </c>
      <c r="U475" s="149"/>
      <c r="W475" s="3"/>
      <c r="X47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3820.7200000000003</v>
      </c>
      <c r="Y475" s="150">
        <f>Table242[[#This Row],[Total AR (Received)]]/Table242[[#This Row],[PO Amount]]</f>
        <v>0.77389507798258061</v>
      </c>
      <c r="Z475" s="151">
        <f>Table242[[#This Row],[PO Amount]]-Table242[[#This Row],[Total AR (Received)]]</f>
        <v>1116.2799999999997</v>
      </c>
      <c r="AA475" s="152">
        <v>1</v>
      </c>
      <c r="AB475" s="152">
        <v>0</v>
      </c>
      <c r="AC475" s="152">
        <f>SUM(Table242[[#This Row],[Total M%]]*Table242[[#This Row],[Material Unit Price]],Table242[[#This Row],[Total L %]]*Table242[[#This Row],[Labor Unit Price]])/SUM(Table242[[#This Row],[Material Unit Price]:[Labor Unit Price]])</f>
        <v>0.77369300549057052</v>
      </c>
      <c r="AD475"/>
      <c r="AE475"/>
      <c r="AF475" s="148"/>
      <c r="AH475" s="2"/>
      <c r="AI475" s="2"/>
      <c r="AJ475" s="182">
        <v>3820.7200000000003</v>
      </c>
      <c r="BB475"/>
      <c r="BC475"/>
      <c r="BD475" s="154" t="s">
        <v>550</v>
      </c>
      <c r="BE475" s="2"/>
      <c r="BF475"/>
      <c r="BG475"/>
      <c r="BH475"/>
      <c r="BI475"/>
      <c r="BJ475"/>
      <c r="BK475"/>
      <c r="BL475"/>
      <c r="BM475"/>
      <c r="BN475"/>
      <c r="BO475"/>
      <c r="BP475"/>
      <c r="BQ475"/>
      <c r="BR475" s="158">
        <f t="shared" si="7"/>
        <v>3820.7200000000003</v>
      </c>
    </row>
    <row r="476" spans="2:70" ht="14.45" hidden="1">
      <c r="B476" s="3" t="s">
        <v>49</v>
      </c>
      <c r="C476" s="3" t="s">
        <v>3145</v>
      </c>
      <c r="D476" s="3" t="s">
        <v>3432</v>
      </c>
      <c r="E476" s="3">
        <v>146</v>
      </c>
      <c r="F476" s="3" t="s">
        <v>3147</v>
      </c>
      <c r="G476" s="3" t="s">
        <v>3148</v>
      </c>
      <c r="H476" s="3" t="s">
        <v>17</v>
      </c>
      <c r="I476" s="3" t="s">
        <v>3433</v>
      </c>
      <c r="J476" t="s">
        <v>3434</v>
      </c>
      <c r="K476" s="147"/>
      <c r="L476" s="3">
        <v>1</v>
      </c>
      <c r="M476" s="148">
        <v>9484</v>
      </c>
      <c r="N476" s="148">
        <v>5255</v>
      </c>
      <c r="Q476" s="148">
        <v>2633</v>
      </c>
      <c r="R476" s="148">
        <f>Table242[[#This Row],[Material Unit Price]]+Table242[[#This Row],[Labor Unit Price]]+Table242[[#This Row],[GC + Manage+ Insur]]</f>
        <v>17372</v>
      </c>
      <c r="S476" s="148">
        <f>Table242[[#This Row],[Total Per Tool]]*Table242[[#This Row],[Tool QTY]]</f>
        <v>17372</v>
      </c>
      <c r="U476" s="149">
        <v>44895</v>
      </c>
      <c r="W476" s="3" t="s">
        <v>3083</v>
      </c>
      <c r="X47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11178.550000000001</v>
      </c>
      <c r="Y476" s="150">
        <f>Table242[[#This Row],[Total AR (Received)]]/Table242[[#This Row],[PO Amount]]</f>
        <v>0.64348088878655318</v>
      </c>
      <c r="Z476" s="151">
        <f>Table242[[#This Row],[PO Amount]]-Table242[[#This Row],[Total AR (Received)]]</f>
        <v>6193.4499999999989</v>
      </c>
      <c r="AA476" s="152">
        <v>1</v>
      </c>
      <c r="AB476" s="152">
        <v>0</v>
      </c>
      <c r="AC476" s="152">
        <f>SUM(Table242[[#This Row],[Total M%]]*Table242[[#This Row],[Material Unit Price]],Table242[[#This Row],[Total L %]]*Table242[[#This Row],[Labor Unit Price]])/SUM(Table242[[#This Row],[Material Unit Price]:[Labor Unit Price]])</f>
        <v>0.64346292150078022</v>
      </c>
      <c r="AD476"/>
      <c r="AE476"/>
      <c r="AF476" s="148"/>
      <c r="AH476" s="2"/>
      <c r="AI476" s="2"/>
      <c r="AJ476" s="182">
        <v>11178.550000000001</v>
      </c>
      <c r="BB476"/>
      <c r="BC476"/>
      <c r="BD476" s="154" t="s">
        <v>550</v>
      </c>
      <c r="BE476" s="2"/>
      <c r="BF476"/>
      <c r="BG476"/>
      <c r="BH476"/>
      <c r="BI476"/>
      <c r="BJ476"/>
      <c r="BK476"/>
      <c r="BL476"/>
      <c r="BM476"/>
      <c r="BN476"/>
      <c r="BO476"/>
      <c r="BP476"/>
      <c r="BQ476"/>
      <c r="BR476" s="158">
        <f t="shared" si="7"/>
        <v>11178.550000000001</v>
      </c>
    </row>
    <row r="477" spans="2:70" ht="14.45" hidden="1">
      <c r="B477" s="3" t="s">
        <v>49</v>
      </c>
      <c r="C477" s="3" t="s">
        <v>3145</v>
      </c>
      <c r="D477" s="3" t="s">
        <v>3435</v>
      </c>
      <c r="E477" s="3">
        <v>147</v>
      </c>
      <c r="F477" s="3" t="s">
        <v>3147</v>
      </c>
      <c r="G477" s="3" t="s">
        <v>3148</v>
      </c>
      <c r="H477" s="3" t="s">
        <v>17</v>
      </c>
      <c r="I477" s="3" t="s">
        <v>3436</v>
      </c>
      <c r="J477" t="s">
        <v>3434</v>
      </c>
      <c r="K477" s="147"/>
      <c r="L477" s="3">
        <v>1</v>
      </c>
      <c r="M477" s="148">
        <v>9484</v>
      </c>
      <c r="N477" s="148">
        <v>5255</v>
      </c>
      <c r="Q477" s="148">
        <v>2633</v>
      </c>
      <c r="R477" s="148">
        <f>Table242[[#This Row],[Material Unit Price]]+Table242[[#This Row],[Labor Unit Price]]+Table242[[#This Row],[GC + Manage+ Insur]]</f>
        <v>17372</v>
      </c>
      <c r="S477" s="148">
        <f>Table242[[#This Row],[Total Per Tool]]*Table242[[#This Row],[Tool QTY]]</f>
        <v>17372</v>
      </c>
      <c r="U477" s="149"/>
      <c r="W477" s="3"/>
      <c r="X47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17372</v>
      </c>
      <c r="Y477" s="150">
        <f>Table242[[#This Row],[Total AR (Received)]]/Table242[[#This Row],[PO Amount]]</f>
        <v>1</v>
      </c>
      <c r="Z477" s="151">
        <f>Table242[[#This Row],[PO Amount]]-Table242[[#This Row],[Total AR (Received)]]</f>
        <v>0</v>
      </c>
      <c r="AA477" s="152">
        <v>1</v>
      </c>
      <c r="AB477" s="152">
        <v>0</v>
      </c>
      <c r="AC477" s="152">
        <f>SUM(Table242[[#This Row],[Total M%]]*Table242[[#This Row],[Material Unit Price]],Table242[[#This Row],[Total L %]]*Table242[[#This Row],[Labor Unit Price]])/SUM(Table242[[#This Row],[Material Unit Price]:[Labor Unit Price]])</f>
        <v>0.64346292150078022</v>
      </c>
      <c r="AD477"/>
      <c r="AE477"/>
      <c r="AF477" s="148"/>
      <c r="AH477" s="181"/>
      <c r="AI477" s="2"/>
      <c r="AJ477" s="189">
        <v>11178.550000000001</v>
      </c>
      <c r="BB477"/>
      <c r="BC477"/>
      <c r="BD477" s="154" t="s">
        <v>550</v>
      </c>
      <c r="BE477" s="2"/>
      <c r="BF477"/>
      <c r="BG477"/>
      <c r="BH477"/>
      <c r="BI477"/>
      <c r="BJ477"/>
      <c r="BK477"/>
      <c r="BL477"/>
      <c r="BM477"/>
      <c r="BN477"/>
      <c r="BO477"/>
      <c r="BP477" s="155">
        <v>6193.45</v>
      </c>
      <c r="BQ477"/>
      <c r="BR477" s="158">
        <f t="shared" si="7"/>
        <v>11178.550000000001</v>
      </c>
    </row>
    <row r="478" spans="2:70" ht="14.45" hidden="1">
      <c r="B478" s="3" t="s">
        <v>49</v>
      </c>
      <c r="C478" s="3" t="s">
        <v>3145</v>
      </c>
      <c r="D478" s="3" t="s">
        <v>3437</v>
      </c>
      <c r="E478" s="3">
        <v>148</v>
      </c>
      <c r="F478" s="3" t="s">
        <v>3147</v>
      </c>
      <c r="G478" s="3" t="s">
        <v>3148</v>
      </c>
      <c r="H478" s="3" t="s">
        <v>17</v>
      </c>
      <c r="I478" s="3" t="s">
        <v>3438</v>
      </c>
      <c r="J478" t="s">
        <v>3434</v>
      </c>
      <c r="K478" s="147"/>
      <c r="L478" s="3">
        <v>1</v>
      </c>
      <c r="M478" s="148">
        <v>9484</v>
      </c>
      <c r="N478" s="148">
        <v>5255</v>
      </c>
      <c r="Q478" s="148">
        <v>2633</v>
      </c>
      <c r="R478" s="148">
        <f>Table242[[#This Row],[Material Unit Price]]+Table242[[#This Row],[Labor Unit Price]]+Table242[[#This Row],[GC + Manage+ Insur]]</f>
        <v>17372</v>
      </c>
      <c r="S478" s="148">
        <f>Table242[[#This Row],[Total Per Tool]]*Table242[[#This Row],[Tool QTY]]</f>
        <v>17372</v>
      </c>
      <c r="U478" s="149"/>
      <c r="W478" s="3"/>
      <c r="X47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17372</v>
      </c>
      <c r="Y478" s="150">
        <f>Table242[[#This Row],[Total AR (Received)]]/Table242[[#This Row],[PO Amount]]</f>
        <v>1</v>
      </c>
      <c r="Z478" s="151">
        <f>Table242[[#This Row],[PO Amount]]-Table242[[#This Row],[Total AR (Received)]]</f>
        <v>0</v>
      </c>
      <c r="AA478" s="152">
        <v>1</v>
      </c>
      <c r="AB478" s="152">
        <v>0</v>
      </c>
      <c r="AC478" s="152">
        <f>SUM(Table242[[#This Row],[Total M%]]*Table242[[#This Row],[Material Unit Price]],Table242[[#This Row],[Total L %]]*Table242[[#This Row],[Labor Unit Price]])/SUM(Table242[[#This Row],[Material Unit Price]:[Labor Unit Price]])</f>
        <v>0.64346292150078022</v>
      </c>
      <c r="AD478"/>
      <c r="AE478"/>
      <c r="AF478" s="148"/>
      <c r="AH478" s="2"/>
      <c r="AI478" s="2"/>
      <c r="AJ478" s="182">
        <v>11178.550000000001</v>
      </c>
      <c r="BB478"/>
      <c r="BC478"/>
      <c r="BD478" s="154" t="s">
        <v>550</v>
      </c>
      <c r="BE478" s="2"/>
      <c r="BF478"/>
      <c r="BG478"/>
      <c r="BH478"/>
      <c r="BI478"/>
      <c r="BJ478"/>
      <c r="BK478"/>
      <c r="BL478"/>
      <c r="BM478"/>
      <c r="BN478"/>
      <c r="BO478"/>
      <c r="BP478">
        <v>6193.45</v>
      </c>
      <c r="BQ478"/>
      <c r="BR478" s="158">
        <f t="shared" si="7"/>
        <v>11178.550000000001</v>
      </c>
    </row>
    <row r="479" spans="2:70" ht="14.45" hidden="1">
      <c r="B479" s="3" t="s">
        <v>49</v>
      </c>
      <c r="C479" s="3" t="s">
        <v>3145</v>
      </c>
      <c r="D479" s="3" t="s">
        <v>3439</v>
      </c>
      <c r="E479" s="3">
        <v>30</v>
      </c>
      <c r="F479" s="3" t="s">
        <v>3147</v>
      </c>
      <c r="G479" s="3" t="s">
        <v>3148</v>
      </c>
      <c r="H479" s="3" t="s">
        <v>17</v>
      </c>
      <c r="I479" s="3" t="s">
        <v>3440</v>
      </c>
      <c r="J479" t="s">
        <v>3150</v>
      </c>
      <c r="K479" s="147"/>
      <c r="L479" s="3">
        <v>1</v>
      </c>
      <c r="M479" s="151"/>
      <c r="N479" s="148">
        <v>3795</v>
      </c>
      <c r="Q479" s="148">
        <v>678</v>
      </c>
      <c r="R479" s="148">
        <f>Table242[[#This Row],[Material Unit Price]]+Table242[[#This Row],[Labor Unit Price]]+Table242[[#This Row],[GC + Manage+ Insur]]</f>
        <v>4473</v>
      </c>
      <c r="S479" s="148">
        <f>Table242[[#This Row],[Total Per Tool]]*Table242[[#This Row],[Tool QTY]]</f>
        <v>4473</v>
      </c>
      <c r="U479" s="149"/>
      <c r="W479" s="3"/>
      <c r="X47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4473</v>
      </c>
      <c r="Y479" s="150">
        <f>Table242[[#This Row],[Total AR (Received)]]/Table242[[#This Row],[PO Amount]]</f>
        <v>1</v>
      </c>
      <c r="Z479" s="151">
        <f>Table242[[#This Row],[PO Amount]]-Table242[[#This Row],[Total AR (Received)]]</f>
        <v>0</v>
      </c>
      <c r="AA479" s="151"/>
      <c r="AB479" s="151"/>
      <c r="AC479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79"/>
      <c r="AE479"/>
      <c r="AF479" s="148"/>
      <c r="AH479" s="2"/>
      <c r="BB479"/>
      <c r="BC479"/>
      <c r="BD479" s="154" t="s">
        <v>550</v>
      </c>
      <c r="BE479" s="2"/>
      <c r="BF479" s="169">
        <v>4473</v>
      </c>
      <c r="BG479"/>
      <c r="BH479"/>
      <c r="BI479"/>
      <c r="BJ479"/>
      <c r="BK479"/>
      <c r="BL479"/>
      <c r="BM479"/>
      <c r="BN479"/>
      <c r="BO479"/>
      <c r="BP479"/>
      <c r="BQ479"/>
      <c r="BR479" s="156">
        <f t="shared" si="7"/>
        <v>4473</v>
      </c>
    </row>
    <row r="480" spans="2:70" ht="14.45" hidden="1">
      <c r="B480" s="3" t="s">
        <v>49</v>
      </c>
      <c r="C480" s="3" t="s">
        <v>3145</v>
      </c>
      <c r="D480" s="3" t="s">
        <v>3441</v>
      </c>
      <c r="E480" s="3">
        <v>150</v>
      </c>
      <c r="F480" s="3" t="s">
        <v>3147</v>
      </c>
      <c r="G480" s="3" t="s">
        <v>3148</v>
      </c>
      <c r="H480" s="3" t="s">
        <v>17</v>
      </c>
      <c r="I480" s="3" t="s">
        <v>3442</v>
      </c>
      <c r="J480" t="s">
        <v>3443</v>
      </c>
      <c r="K480" s="147"/>
      <c r="L480" s="3">
        <v>1</v>
      </c>
      <c r="N480" s="148">
        <v>4804</v>
      </c>
      <c r="Q480" s="148">
        <v>858</v>
      </c>
      <c r="R480" s="148">
        <f>Table242[[#This Row],[Material Unit Price]]+Table242[[#This Row],[Labor Unit Price]]+Table242[[#This Row],[GC + Manage+ Insur]]</f>
        <v>5662</v>
      </c>
      <c r="S480" s="148">
        <f>Table242[[#This Row],[Total Per Tool]]*Table242[[#This Row],[Tool QTY]]</f>
        <v>5662</v>
      </c>
      <c r="U480" s="149"/>
      <c r="W480" s="3"/>
      <c r="X48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480" s="150">
        <f>Table242[[#This Row],[Total AR (Received)]]/Table242[[#This Row],[PO Amount]]</f>
        <v>0</v>
      </c>
      <c r="Z480" s="151">
        <f>Table242[[#This Row],[PO Amount]]-Table242[[#This Row],[Total AR (Received)]]</f>
        <v>5662</v>
      </c>
      <c r="AA480" s="151"/>
      <c r="AB480" s="151"/>
      <c r="AC480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80"/>
      <c r="AE480"/>
      <c r="AF480" s="148"/>
      <c r="AJ480" s="148"/>
      <c r="BB480"/>
      <c r="BC480"/>
      <c r="BD480" s="154" t="s">
        <v>550</v>
      </c>
      <c r="BE480" s="2"/>
      <c r="BF480"/>
      <c r="BG480"/>
      <c r="BH480"/>
      <c r="BI480"/>
      <c r="BJ480"/>
      <c r="BK480"/>
      <c r="BL480"/>
      <c r="BM480"/>
      <c r="BN480"/>
      <c r="BO480"/>
      <c r="BP480"/>
      <c r="BQ480"/>
      <c r="BR480" s="156">
        <f t="shared" si="7"/>
        <v>0</v>
      </c>
    </row>
    <row r="481" spans="2:70" ht="14.45" hidden="1">
      <c r="B481" s="3" t="s">
        <v>49</v>
      </c>
      <c r="C481" s="3" t="s">
        <v>3145</v>
      </c>
      <c r="D481" s="3" t="s">
        <v>3444</v>
      </c>
      <c r="E481" s="3">
        <v>49</v>
      </c>
      <c r="F481" s="3" t="s">
        <v>3147</v>
      </c>
      <c r="G481" s="3" t="s">
        <v>3148</v>
      </c>
      <c r="H481" s="3" t="s">
        <v>17</v>
      </c>
      <c r="I481" s="3" t="s">
        <v>3445</v>
      </c>
      <c r="J481" t="s">
        <v>3153</v>
      </c>
      <c r="K481" s="147"/>
      <c r="L481" s="3">
        <v>1</v>
      </c>
      <c r="N481" s="148">
        <v>4989</v>
      </c>
      <c r="Q481" s="148">
        <v>891</v>
      </c>
      <c r="R481" s="148">
        <f>Table242[[#This Row],[Material Unit Price]]+Table242[[#This Row],[Labor Unit Price]]+Table242[[#This Row],[GC + Manage+ Insur]]</f>
        <v>5880</v>
      </c>
      <c r="S481" s="148">
        <f>Table242[[#This Row],[Total Per Tool]]*Table242[[#This Row],[Tool QTY]]</f>
        <v>5880</v>
      </c>
      <c r="U481" s="149"/>
      <c r="W481" s="3"/>
      <c r="X48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5880</v>
      </c>
      <c r="Y481" s="150">
        <f>Table242[[#This Row],[Total AR (Received)]]/Table242[[#This Row],[PO Amount]]</f>
        <v>1</v>
      </c>
      <c r="Z481" s="151">
        <f>Table242[[#This Row],[PO Amount]]-Table242[[#This Row],[Total AR (Received)]]</f>
        <v>0</v>
      </c>
      <c r="AA481" s="151"/>
      <c r="AB481" s="151"/>
      <c r="AC481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81"/>
      <c r="AE481"/>
      <c r="AF481" s="148"/>
      <c r="AH481" s="2"/>
      <c r="BB481"/>
      <c r="BC481"/>
      <c r="BD481" s="154" t="s">
        <v>550</v>
      </c>
      <c r="BE481" s="2"/>
      <c r="BF481" s="332">
        <v>5880</v>
      </c>
      <c r="BG481"/>
      <c r="BH481"/>
      <c r="BI481"/>
      <c r="BJ481"/>
      <c r="BK481"/>
      <c r="BL481"/>
      <c r="BM481"/>
      <c r="BN481"/>
      <c r="BO481"/>
      <c r="BP481"/>
      <c r="BQ481"/>
      <c r="BR481" s="156">
        <f t="shared" si="7"/>
        <v>5880</v>
      </c>
    </row>
    <row r="482" spans="2:70" ht="14.45" hidden="1">
      <c r="B482" s="3" t="s">
        <v>49</v>
      </c>
      <c r="C482" s="3" t="s">
        <v>3145</v>
      </c>
      <c r="D482" s="3" t="s">
        <v>3446</v>
      </c>
      <c r="E482" s="3">
        <v>152</v>
      </c>
      <c r="F482" s="3" t="s">
        <v>3147</v>
      </c>
      <c r="G482" s="3" t="s">
        <v>3148</v>
      </c>
      <c r="H482" s="3" t="s">
        <v>17</v>
      </c>
      <c r="I482" s="3" t="s">
        <v>3447</v>
      </c>
      <c r="J482" t="s">
        <v>3448</v>
      </c>
      <c r="K482" s="147"/>
      <c r="L482" s="3">
        <v>1</v>
      </c>
      <c r="N482" s="148">
        <v>9835</v>
      </c>
      <c r="Q482" s="148">
        <v>1758</v>
      </c>
      <c r="R482" s="148">
        <f>Table242[[#This Row],[Material Unit Price]]+Table242[[#This Row],[Labor Unit Price]]+Table242[[#This Row],[GC + Manage+ Insur]]</f>
        <v>11593</v>
      </c>
      <c r="S482" s="148">
        <f>Table242[[#This Row],[Total Per Tool]]*Table242[[#This Row],[Tool QTY]]</f>
        <v>11593</v>
      </c>
      <c r="U482" s="149"/>
      <c r="W482" s="3"/>
      <c r="X48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482" s="150">
        <f>Table242[[#This Row],[Total AR (Received)]]/Table242[[#This Row],[PO Amount]]</f>
        <v>0</v>
      </c>
      <c r="Z482" s="151">
        <f>Table242[[#This Row],[PO Amount]]-Table242[[#This Row],[Total AR (Received)]]</f>
        <v>11593</v>
      </c>
      <c r="AA482" s="151"/>
      <c r="AB482" s="151"/>
      <c r="AC482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82"/>
      <c r="AE482"/>
      <c r="AF482" s="148"/>
      <c r="AJ482" s="148"/>
      <c r="BB482"/>
      <c r="BC482"/>
      <c r="BD482" s="154" t="s">
        <v>550</v>
      </c>
      <c r="BE482" s="2"/>
      <c r="BF482"/>
      <c r="BG482"/>
      <c r="BH482"/>
      <c r="BI482"/>
      <c r="BJ482"/>
      <c r="BK482"/>
      <c r="BL482"/>
      <c r="BM482"/>
      <c r="BN482"/>
      <c r="BO482"/>
      <c r="BP482"/>
      <c r="BQ482"/>
      <c r="BR482" s="156">
        <f t="shared" si="7"/>
        <v>0</v>
      </c>
    </row>
    <row r="483" spans="2:70" ht="14.45" hidden="1">
      <c r="B483" s="3" t="s">
        <v>49</v>
      </c>
      <c r="C483" s="3" t="s">
        <v>3145</v>
      </c>
      <c r="D483" s="3" t="s">
        <v>3449</v>
      </c>
      <c r="E483" s="3">
        <v>153</v>
      </c>
      <c r="F483" s="3" t="s">
        <v>3147</v>
      </c>
      <c r="G483" s="3" t="s">
        <v>3148</v>
      </c>
      <c r="H483" s="3" t="s">
        <v>17</v>
      </c>
      <c r="I483" s="3" t="s">
        <v>3450</v>
      </c>
      <c r="J483" t="s">
        <v>3451</v>
      </c>
      <c r="K483" s="147"/>
      <c r="L483" s="3">
        <v>1</v>
      </c>
      <c r="N483" s="148">
        <v>1706</v>
      </c>
      <c r="Q483" s="148">
        <v>304</v>
      </c>
      <c r="R483" s="148">
        <f>Table242[[#This Row],[Material Unit Price]]+Table242[[#This Row],[Labor Unit Price]]+Table242[[#This Row],[GC + Manage+ Insur]]</f>
        <v>2010</v>
      </c>
      <c r="S483" s="148">
        <f>Table242[[#This Row],[Total Per Tool]]*Table242[[#This Row],[Tool QTY]]</f>
        <v>2010</v>
      </c>
      <c r="U483" s="149">
        <v>44893</v>
      </c>
      <c r="W483" s="3" t="s">
        <v>3083</v>
      </c>
      <c r="X48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483" s="150">
        <f>Table242[[#This Row],[Total AR (Received)]]/Table242[[#This Row],[PO Amount]]</f>
        <v>0</v>
      </c>
      <c r="Z483" s="151">
        <f>Table242[[#This Row],[PO Amount]]-Table242[[#This Row],[Total AR (Received)]]</f>
        <v>2010</v>
      </c>
      <c r="AA483" s="151"/>
      <c r="AB483" s="151"/>
      <c r="AC483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83"/>
      <c r="AE483"/>
      <c r="AF483" s="148"/>
      <c r="AJ483" s="148"/>
      <c r="BB483"/>
      <c r="BC483"/>
      <c r="BD483" s="154" t="s">
        <v>550</v>
      </c>
      <c r="BE483" s="2"/>
      <c r="BF483"/>
      <c r="BG483"/>
      <c r="BH483"/>
      <c r="BI483"/>
      <c r="BJ483"/>
      <c r="BK483"/>
      <c r="BL483"/>
      <c r="BM483"/>
      <c r="BN483"/>
      <c r="BO483"/>
      <c r="BP483"/>
      <c r="BQ483"/>
      <c r="BR483" s="156">
        <f t="shared" si="7"/>
        <v>0</v>
      </c>
    </row>
    <row r="484" spans="2:70" ht="14.45" hidden="1">
      <c r="B484" s="3" t="s">
        <v>49</v>
      </c>
      <c r="C484" s="3" t="s">
        <v>3145</v>
      </c>
      <c r="D484" s="3" t="s">
        <v>3452</v>
      </c>
      <c r="E484" s="3">
        <v>154</v>
      </c>
      <c r="F484" s="3" t="s">
        <v>3147</v>
      </c>
      <c r="G484" s="3" t="s">
        <v>3148</v>
      </c>
      <c r="H484" s="3" t="s">
        <v>17</v>
      </c>
      <c r="I484" s="3" t="s">
        <v>3453</v>
      </c>
      <c r="J484" t="s">
        <v>3451</v>
      </c>
      <c r="K484" s="147"/>
      <c r="L484" s="3">
        <v>1</v>
      </c>
      <c r="N484" s="148">
        <v>1706</v>
      </c>
      <c r="Q484" s="148">
        <v>304</v>
      </c>
      <c r="R484" s="148">
        <f>Table242[[#This Row],[Material Unit Price]]+Table242[[#This Row],[Labor Unit Price]]+Table242[[#This Row],[GC + Manage+ Insur]]</f>
        <v>2010</v>
      </c>
      <c r="S484" s="148">
        <f>Table242[[#This Row],[Total Per Tool]]*Table242[[#This Row],[Tool QTY]]</f>
        <v>2010</v>
      </c>
      <c r="U484" s="149"/>
      <c r="W484" s="3"/>
      <c r="X48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484" s="150">
        <f>Table242[[#This Row],[Total AR (Received)]]/Table242[[#This Row],[PO Amount]]</f>
        <v>0</v>
      </c>
      <c r="Z484" s="151">
        <f>Table242[[#This Row],[PO Amount]]-Table242[[#This Row],[Total AR (Received)]]</f>
        <v>2010</v>
      </c>
      <c r="AA484" s="151"/>
      <c r="AB484" s="151"/>
      <c r="AC484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84"/>
      <c r="AE484"/>
      <c r="AF484" s="148"/>
      <c r="AJ484" s="148"/>
      <c r="BB484"/>
      <c r="BC484"/>
      <c r="BD484" s="154" t="s">
        <v>550</v>
      </c>
      <c r="BE484" s="2"/>
      <c r="BF484"/>
      <c r="BG484"/>
      <c r="BH484"/>
      <c r="BI484"/>
      <c r="BJ484"/>
      <c r="BK484"/>
      <c r="BL484"/>
      <c r="BM484"/>
      <c r="BN484"/>
      <c r="BO484"/>
      <c r="BP484"/>
      <c r="BQ484"/>
      <c r="BR484" s="156">
        <f t="shared" si="7"/>
        <v>0</v>
      </c>
    </row>
    <row r="485" spans="2:70" ht="14.45" hidden="1">
      <c r="B485" s="3" t="s">
        <v>49</v>
      </c>
      <c r="C485" s="3" t="s">
        <v>3145</v>
      </c>
      <c r="D485" s="3" t="s">
        <v>3454</v>
      </c>
      <c r="E485" s="3">
        <v>155</v>
      </c>
      <c r="F485" s="3" t="s">
        <v>3147</v>
      </c>
      <c r="G485" s="3" t="s">
        <v>3148</v>
      </c>
      <c r="H485" s="3" t="s">
        <v>17</v>
      </c>
      <c r="I485" s="3" t="s">
        <v>3455</v>
      </c>
      <c r="J485" t="s">
        <v>3451</v>
      </c>
      <c r="K485" s="147"/>
      <c r="L485" s="3">
        <v>1</v>
      </c>
      <c r="N485" s="148">
        <v>1706</v>
      </c>
      <c r="Q485" s="148">
        <v>304</v>
      </c>
      <c r="R485" s="148">
        <f>Table242[[#This Row],[Material Unit Price]]+Table242[[#This Row],[Labor Unit Price]]+Table242[[#This Row],[GC + Manage+ Insur]]</f>
        <v>2010</v>
      </c>
      <c r="S485" s="148">
        <f>Table242[[#This Row],[Total Per Tool]]*Table242[[#This Row],[Tool QTY]]</f>
        <v>2010</v>
      </c>
      <c r="U485" s="149"/>
      <c r="W485" s="3"/>
      <c r="X48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485" s="150">
        <f>Table242[[#This Row],[Total AR (Received)]]/Table242[[#This Row],[PO Amount]]</f>
        <v>0</v>
      </c>
      <c r="Z485" s="151">
        <f>Table242[[#This Row],[PO Amount]]-Table242[[#This Row],[Total AR (Received)]]</f>
        <v>2010</v>
      </c>
      <c r="AA485" s="151"/>
      <c r="AB485" s="151"/>
      <c r="AC485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85"/>
      <c r="AE485"/>
      <c r="AF485" s="148"/>
      <c r="AJ485" s="148"/>
      <c r="BB485"/>
      <c r="BC485"/>
      <c r="BD485" s="154" t="s">
        <v>550</v>
      </c>
      <c r="BE485" s="2"/>
      <c r="BF485"/>
      <c r="BG485"/>
      <c r="BH485"/>
      <c r="BI485"/>
      <c r="BJ485"/>
      <c r="BK485"/>
      <c r="BL485"/>
      <c r="BM485"/>
      <c r="BN485"/>
      <c r="BO485"/>
      <c r="BP485"/>
      <c r="BQ485"/>
      <c r="BR485" s="156">
        <f t="shared" si="7"/>
        <v>0</v>
      </c>
    </row>
    <row r="486" spans="2:70" ht="14.45" hidden="1">
      <c r="B486" s="3" t="s">
        <v>49</v>
      </c>
      <c r="C486" s="3" t="s">
        <v>3145</v>
      </c>
      <c r="D486" s="3" t="s">
        <v>3456</v>
      </c>
      <c r="E486" s="3">
        <v>156</v>
      </c>
      <c r="F486" s="3" t="s">
        <v>3147</v>
      </c>
      <c r="G486" s="3" t="s">
        <v>3148</v>
      </c>
      <c r="H486" s="3" t="s">
        <v>17</v>
      </c>
      <c r="I486" s="3" t="s">
        <v>3457</v>
      </c>
      <c r="J486" t="s">
        <v>3451</v>
      </c>
      <c r="K486" s="147"/>
      <c r="L486" s="3">
        <v>1</v>
      </c>
      <c r="N486" s="148">
        <v>1706</v>
      </c>
      <c r="Q486" s="148">
        <v>304</v>
      </c>
      <c r="R486" s="148">
        <f>Table242[[#This Row],[Material Unit Price]]+Table242[[#This Row],[Labor Unit Price]]+Table242[[#This Row],[GC + Manage+ Insur]]</f>
        <v>2010</v>
      </c>
      <c r="S486" s="148">
        <f>Table242[[#This Row],[Total Per Tool]]*Table242[[#This Row],[Tool QTY]]</f>
        <v>2010</v>
      </c>
      <c r="U486" s="149"/>
      <c r="W486" s="3"/>
      <c r="X48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486" s="150">
        <f>Table242[[#This Row],[Total AR (Received)]]/Table242[[#This Row],[PO Amount]]</f>
        <v>0</v>
      </c>
      <c r="Z486" s="151">
        <f>Table242[[#This Row],[PO Amount]]-Table242[[#This Row],[Total AR (Received)]]</f>
        <v>2010</v>
      </c>
      <c r="AA486" s="151"/>
      <c r="AB486" s="151"/>
      <c r="AC486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86"/>
      <c r="AE486"/>
      <c r="AF486" s="148"/>
      <c r="AJ486" s="148"/>
      <c r="BB486"/>
      <c r="BC486"/>
      <c r="BD486" s="154" t="s">
        <v>550</v>
      </c>
      <c r="BE486" s="2"/>
      <c r="BF486"/>
      <c r="BG486"/>
      <c r="BH486"/>
      <c r="BI486"/>
      <c r="BJ486"/>
      <c r="BK486"/>
      <c r="BL486"/>
      <c r="BM486"/>
      <c r="BN486"/>
      <c r="BO486"/>
      <c r="BP486"/>
      <c r="BQ486"/>
      <c r="BR486" s="156">
        <f t="shared" si="7"/>
        <v>0</v>
      </c>
    </row>
    <row r="487" spans="2:70" ht="14.45" hidden="1">
      <c r="B487" s="3" t="s">
        <v>49</v>
      </c>
      <c r="C487" s="3" t="s">
        <v>3145</v>
      </c>
      <c r="D487" s="3" t="s">
        <v>3458</v>
      </c>
      <c r="E487" s="3">
        <v>157</v>
      </c>
      <c r="F487" s="3" t="s">
        <v>3147</v>
      </c>
      <c r="G487" s="3" t="s">
        <v>3148</v>
      </c>
      <c r="H487" s="3" t="s">
        <v>17</v>
      </c>
      <c r="I487" s="3" t="s">
        <v>3459</v>
      </c>
      <c r="J487" t="s">
        <v>3451</v>
      </c>
      <c r="K487" s="147"/>
      <c r="L487" s="3">
        <v>1</v>
      </c>
      <c r="N487" s="148">
        <v>1706</v>
      </c>
      <c r="Q487" s="148">
        <v>304</v>
      </c>
      <c r="R487" s="148">
        <f>Table242[[#This Row],[Material Unit Price]]+Table242[[#This Row],[Labor Unit Price]]+Table242[[#This Row],[GC + Manage+ Insur]]</f>
        <v>2010</v>
      </c>
      <c r="S487" s="148">
        <f>Table242[[#This Row],[Total Per Tool]]*Table242[[#This Row],[Tool QTY]]</f>
        <v>2010</v>
      </c>
      <c r="U487" s="149"/>
      <c r="W487" s="3"/>
      <c r="X48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487" s="150">
        <f>Table242[[#This Row],[Total AR (Received)]]/Table242[[#This Row],[PO Amount]]</f>
        <v>0</v>
      </c>
      <c r="Z487" s="151">
        <f>Table242[[#This Row],[PO Amount]]-Table242[[#This Row],[Total AR (Received)]]</f>
        <v>2010</v>
      </c>
      <c r="AA487" s="151"/>
      <c r="AB487" s="151"/>
      <c r="AC487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87"/>
      <c r="AE487"/>
      <c r="AF487" s="148"/>
      <c r="AJ487" s="148"/>
      <c r="BB487"/>
      <c r="BC487"/>
      <c r="BD487" s="154" t="s">
        <v>550</v>
      </c>
      <c r="BE487" s="2"/>
      <c r="BF487"/>
      <c r="BG487"/>
      <c r="BH487"/>
      <c r="BI487"/>
      <c r="BJ487"/>
      <c r="BK487"/>
      <c r="BL487"/>
      <c r="BM487"/>
      <c r="BN487"/>
      <c r="BO487"/>
      <c r="BP487"/>
      <c r="BQ487"/>
      <c r="BR487" s="156">
        <f t="shared" si="7"/>
        <v>0</v>
      </c>
    </row>
    <row r="488" spans="2:70" ht="14.45" hidden="1">
      <c r="B488" s="3" t="s">
        <v>49</v>
      </c>
      <c r="C488" s="3" t="s">
        <v>3145</v>
      </c>
      <c r="D488" s="3" t="s">
        <v>3460</v>
      </c>
      <c r="E488" s="3">
        <v>158</v>
      </c>
      <c r="F488" s="3" t="s">
        <v>3147</v>
      </c>
      <c r="G488" s="3" t="s">
        <v>3148</v>
      </c>
      <c r="H488" s="3" t="s">
        <v>17</v>
      </c>
      <c r="I488" s="3" t="s">
        <v>3461</v>
      </c>
      <c r="J488" t="s">
        <v>3451</v>
      </c>
      <c r="K488" s="147"/>
      <c r="L488" s="3">
        <v>1</v>
      </c>
      <c r="N488" s="148">
        <v>1706</v>
      </c>
      <c r="Q488" s="148">
        <v>304</v>
      </c>
      <c r="R488" s="148">
        <f>Table242[[#This Row],[Material Unit Price]]+Table242[[#This Row],[Labor Unit Price]]+Table242[[#This Row],[GC + Manage+ Insur]]</f>
        <v>2010</v>
      </c>
      <c r="S488" s="148">
        <f>Table242[[#This Row],[Total Per Tool]]*Table242[[#This Row],[Tool QTY]]</f>
        <v>2010</v>
      </c>
      <c r="U488" s="149"/>
      <c r="W488" s="3"/>
      <c r="X48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488" s="150">
        <f>Table242[[#This Row],[Total AR (Received)]]/Table242[[#This Row],[PO Amount]]</f>
        <v>0</v>
      </c>
      <c r="Z488" s="151">
        <f>Table242[[#This Row],[PO Amount]]-Table242[[#This Row],[Total AR (Received)]]</f>
        <v>2010</v>
      </c>
      <c r="AA488" s="151"/>
      <c r="AB488" s="151"/>
      <c r="AC488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88"/>
      <c r="AE488"/>
      <c r="AF488" s="148"/>
      <c r="AJ488" s="148"/>
      <c r="BB488"/>
      <c r="BC488"/>
      <c r="BD488" s="154" t="s">
        <v>550</v>
      </c>
      <c r="BE488" s="2"/>
      <c r="BF488"/>
      <c r="BG488"/>
      <c r="BH488"/>
      <c r="BI488"/>
      <c r="BJ488"/>
      <c r="BK488"/>
      <c r="BL488"/>
      <c r="BM488"/>
      <c r="BN488"/>
      <c r="BO488"/>
      <c r="BP488"/>
      <c r="BQ488"/>
      <c r="BR488" s="156">
        <f t="shared" si="7"/>
        <v>0</v>
      </c>
    </row>
    <row r="489" spans="2:70" ht="14.45" hidden="1">
      <c r="B489" s="3" t="s">
        <v>49</v>
      </c>
      <c r="C489" s="3" t="s">
        <v>3145</v>
      </c>
      <c r="D489" s="3" t="s">
        <v>3462</v>
      </c>
      <c r="E489" s="3">
        <v>159</v>
      </c>
      <c r="F489" s="3" t="s">
        <v>3147</v>
      </c>
      <c r="G489" s="3" t="s">
        <v>3148</v>
      </c>
      <c r="H489" s="3" t="s">
        <v>17</v>
      </c>
      <c r="I489" s="3" t="s">
        <v>3463</v>
      </c>
      <c r="J489" t="s">
        <v>3451</v>
      </c>
      <c r="K489" s="147"/>
      <c r="L489" s="3">
        <v>1</v>
      </c>
      <c r="N489" s="148">
        <v>1706</v>
      </c>
      <c r="Q489" s="148">
        <v>304</v>
      </c>
      <c r="R489" s="148">
        <f>Table242[[#This Row],[Material Unit Price]]+Table242[[#This Row],[Labor Unit Price]]+Table242[[#This Row],[GC + Manage+ Insur]]</f>
        <v>2010</v>
      </c>
      <c r="S489" s="148">
        <f>Table242[[#This Row],[Total Per Tool]]*Table242[[#This Row],[Tool QTY]]</f>
        <v>2010</v>
      </c>
      <c r="U489" s="149"/>
      <c r="W489" s="3"/>
      <c r="X48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489" s="150">
        <f>Table242[[#This Row],[Total AR (Received)]]/Table242[[#This Row],[PO Amount]]</f>
        <v>0</v>
      </c>
      <c r="Z489" s="151">
        <f>Table242[[#This Row],[PO Amount]]-Table242[[#This Row],[Total AR (Received)]]</f>
        <v>2010</v>
      </c>
      <c r="AA489" s="151"/>
      <c r="AB489" s="151"/>
      <c r="AC489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89"/>
      <c r="AE489"/>
      <c r="AF489" s="148"/>
      <c r="AJ489" s="148"/>
      <c r="BB489"/>
      <c r="BC489"/>
      <c r="BD489" s="154" t="s">
        <v>550</v>
      </c>
      <c r="BE489" s="2"/>
      <c r="BF489"/>
      <c r="BG489"/>
      <c r="BH489"/>
      <c r="BI489"/>
      <c r="BJ489"/>
      <c r="BK489"/>
      <c r="BL489"/>
      <c r="BM489"/>
      <c r="BN489"/>
      <c r="BO489"/>
      <c r="BP489"/>
      <c r="BQ489"/>
      <c r="BR489" s="156">
        <f t="shared" si="7"/>
        <v>0</v>
      </c>
    </row>
    <row r="490" spans="2:70" ht="14.45" hidden="1">
      <c r="B490" s="3" t="s">
        <v>49</v>
      </c>
      <c r="C490" s="3" t="s">
        <v>3145</v>
      </c>
      <c r="D490" s="3" t="s">
        <v>3464</v>
      </c>
      <c r="E490" s="3">
        <v>160</v>
      </c>
      <c r="F490" s="3" t="s">
        <v>3147</v>
      </c>
      <c r="G490" s="3" t="s">
        <v>3148</v>
      </c>
      <c r="H490" s="3" t="s">
        <v>17</v>
      </c>
      <c r="I490" s="3" t="s">
        <v>3465</v>
      </c>
      <c r="J490" t="s">
        <v>3451</v>
      </c>
      <c r="K490" s="147"/>
      <c r="L490" s="3">
        <v>1</v>
      </c>
      <c r="N490" s="148">
        <v>1706</v>
      </c>
      <c r="Q490" s="148">
        <v>304</v>
      </c>
      <c r="R490" s="148">
        <f>Table242[[#This Row],[Material Unit Price]]+Table242[[#This Row],[Labor Unit Price]]+Table242[[#This Row],[GC + Manage+ Insur]]</f>
        <v>2010</v>
      </c>
      <c r="S490" s="148">
        <f>Table242[[#This Row],[Total Per Tool]]*Table242[[#This Row],[Tool QTY]]</f>
        <v>2010</v>
      </c>
      <c r="U490" s="149"/>
      <c r="W490" s="3"/>
      <c r="X49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490" s="150">
        <f>Table242[[#This Row],[Total AR (Received)]]/Table242[[#This Row],[PO Amount]]</f>
        <v>0</v>
      </c>
      <c r="Z490" s="151">
        <f>Table242[[#This Row],[PO Amount]]-Table242[[#This Row],[Total AR (Received)]]</f>
        <v>2010</v>
      </c>
      <c r="AA490" s="151"/>
      <c r="AB490" s="151"/>
      <c r="AC490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90"/>
      <c r="AE490"/>
      <c r="AF490" s="148"/>
      <c r="AJ490" s="148"/>
      <c r="BB490"/>
      <c r="BC490"/>
      <c r="BD490" s="154" t="s">
        <v>550</v>
      </c>
      <c r="BE490" s="2"/>
      <c r="BF490"/>
      <c r="BG490"/>
      <c r="BH490"/>
      <c r="BI490"/>
      <c r="BJ490"/>
      <c r="BK490"/>
      <c r="BL490"/>
      <c r="BM490"/>
      <c r="BN490"/>
      <c r="BO490"/>
      <c r="BP490"/>
      <c r="BQ490"/>
      <c r="BR490" s="156">
        <f t="shared" si="7"/>
        <v>0</v>
      </c>
    </row>
    <row r="491" spans="2:70" ht="14.45" hidden="1">
      <c r="B491" s="3" t="s">
        <v>49</v>
      </c>
      <c r="C491" s="3" t="s">
        <v>3145</v>
      </c>
      <c r="D491" s="3" t="s">
        <v>3466</v>
      </c>
      <c r="E491" s="3">
        <v>161</v>
      </c>
      <c r="F491" s="3" t="s">
        <v>3147</v>
      </c>
      <c r="G491" s="3" t="s">
        <v>3148</v>
      </c>
      <c r="H491" s="3" t="s">
        <v>17</v>
      </c>
      <c r="I491" s="3" t="s">
        <v>3467</v>
      </c>
      <c r="J491" t="s">
        <v>3451</v>
      </c>
      <c r="K491" s="147"/>
      <c r="L491" s="3">
        <v>1</v>
      </c>
      <c r="N491" s="148">
        <v>1706</v>
      </c>
      <c r="Q491" s="148">
        <v>304</v>
      </c>
      <c r="R491" s="148">
        <f>Table242[[#This Row],[Material Unit Price]]+Table242[[#This Row],[Labor Unit Price]]+Table242[[#This Row],[GC + Manage+ Insur]]</f>
        <v>2010</v>
      </c>
      <c r="S491" s="148">
        <f>Table242[[#This Row],[Total Per Tool]]*Table242[[#This Row],[Tool QTY]]</f>
        <v>2010</v>
      </c>
      <c r="U491" s="149"/>
      <c r="W491" s="3"/>
      <c r="X49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491" s="150">
        <f>Table242[[#This Row],[Total AR (Received)]]/Table242[[#This Row],[PO Amount]]</f>
        <v>0</v>
      </c>
      <c r="Z491" s="151">
        <f>Table242[[#This Row],[PO Amount]]-Table242[[#This Row],[Total AR (Received)]]</f>
        <v>2010</v>
      </c>
      <c r="AA491" s="151"/>
      <c r="AB491" s="151"/>
      <c r="AC491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91"/>
      <c r="AE491"/>
      <c r="AF491" s="148"/>
      <c r="AJ491" s="148"/>
      <c r="BB491"/>
      <c r="BC491"/>
      <c r="BD491" s="154" t="s">
        <v>550</v>
      </c>
      <c r="BE491" s="2"/>
      <c r="BF491"/>
      <c r="BG491"/>
      <c r="BH491"/>
      <c r="BI491"/>
      <c r="BJ491"/>
      <c r="BK491"/>
      <c r="BL491"/>
      <c r="BM491"/>
      <c r="BN491"/>
      <c r="BO491"/>
      <c r="BP491"/>
      <c r="BQ491"/>
      <c r="BR491" s="156">
        <f t="shared" si="7"/>
        <v>0</v>
      </c>
    </row>
    <row r="492" spans="2:70" ht="14.45" hidden="1">
      <c r="B492" s="3" t="s">
        <v>49</v>
      </c>
      <c r="C492" s="3" t="s">
        <v>3145</v>
      </c>
      <c r="D492" s="3" t="s">
        <v>3468</v>
      </c>
      <c r="E492" s="3">
        <v>162</v>
      </c>
      <c r="F492" s="3" t="s">
        <v>3147</v>
      </c>
      <c r="G492" s="3" t="s">
        <v>3148</v>
      </c>
      <c r="H492" s="3" t="s">
        <v>17</v>
      </c>
      <c r="I492" s="3" t="s">
        <v>3469</v>
      </c>
      <c r="J492" t="s">
        <v>3451</v>
      </c>
      <c r="K492" s="147"/>
      <c r="L492" s="3">
        <v>1</v>
      </c>
      <c r="N492" s="148">
        <v>1706</v>
      </c>
      <c r="Q492" s="148">
        <v>304</v>
      </c>
      <c r="R492" s="148">
        <f>Table242[[#This Row],[Material Unit Price]]+Table242[[#This Row],[Labor Unit Price]]+Table242[[#This Row],[GC + Manage+ Insur]]</f>
        <v>2010</v>
      </c>
      <c r="S492" s="148">
        <f>Table242[[#This Row],[Total Per Tool]]*Table242[[#This Row],[Tool QTY]]</f>
        <v>2010</v>
      </c>
      <c r="U492" s="149"/>
      <c r="W492" s="3"/>
      <c r="X49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492" s="150">
        <f>Table242[[#This Row],[Total AR (Received)]]/Table242[[#This Row],[PO Amount]]</f>
        <v>0</v>
      </c>
      <c r="Z492" s="151">
        <f>Table242[[#This Row],[PO Amount]]-Table242[[#This Row],[Total AR (Received)]]</f>
        <v>2010</v>
      </c>
      <c r="AA492" s="151"/>
      <c r="AB492" s="151"/>
      <c r="AC492" s="152"/>
      <c r="AD492"/>
      <c r="AE492"/>
      <c r="AF492" s="148"/>
      <c r="AJ492" s="148"/>
      <c r="BB492"/>
      <c r="BC492"/>
      <c r="BD492" s="154" t="s">
        <v>550</v>
      </c>
      <c r="BE492" s="2"/>
      <c r="BF492"/>
      <c r="BG492"/>
      <c r="BH492"/>
      <c r="BI492"/>
      <c r="BJ492"/>
      <c r="BK492"/>
      <c r="BL492"/>
      <c r="BM492"/>
      <c r="BN492"/>
      <c r="BO492"/>
      <c r="BP492"/>
      <c r="BQ492"/>
      <c r="BR492" s="156">
        <f t="shared" si="7"/>
        <v>0</v>
      </c>
    </row>
    <row r="493" spans="2:70" ht="14.45" hidden="1">
      <c r="B493" s="3" t="s">
        <v>49</v>
      </c>
      <c r="C493" s="3" t="s">
        <v>3145</v>
      </c>
      <c r="D493" s="3" t="s">
        <v>3470</v>
      </c>
      <c r="E493" s="3">
        <v>56</v>
      </c>
      <c r="F493" s="3" t="s">
        <v>3147</v>
      </c>
      <c r="G493" s="3" t="s">
        <v>3148</v>
      </c>
      <c r="H493" s="3" t="s">
        <v>17</v>
      </c>
      <c r="I493" s="3" t="s">
        <v>3471</v>
      </c>
      <c r="J493" t="s">
        <v>3153</v>
      </c>
      <c r="K493" s="147"/>
      <c r="L493" s="3">
        <v>1</v>
      </c>
      <c r="N493" s="148">
        <v>4989</v>
      </c>
      <c r="Q493" s="148">
        <v>891</v>
      </c>
      <c r="R493" s="148">
        <f>Table242[[#This Row],[Material Unit Price]]+Table242[[#This Row],[Labor Unit Price]]+Table242[[#This Row],[GC + Manage+ Insur]]</f>
        <v>5880</v>
      </c>
      <c r="S493" s="148">
        <f>Table242[[#This Row],[Total Per Tool]]*Table242[[#This Row],[Tool QTY]]</f>
        <v>5880</v>
      </c>
      <c r="U493" s="149"/>
      <c r="W493" s="3"/>
      <c r="X49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5880</v>
      </c>
      <c r="Y493" s="150">
        <f>Table242[[#This Row],[Total AR (Received)]]/Table242[[#This Row],[PO Amount]]</f>
        <v>1</v>
      </c>
      <c r="Z493" s="151">
        <f>Table242[[#This Row],[PO Amount]]-Table242[[#This Row],[Total AR (Received)]]</f>
        <v>0</v>
      </c>
      <c r="AA493" s="151"/>
      <c r="AB493" s="151"/>
      <c r="AC493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93"/>
      <c r="AE493"/>
      <c r="AF493" s="148"/>
      <c r="AH493" s="2"/>
      <c r="BB493"/>
      <c r="BC493"/>
      <c r="BD493" s="154" t="s">
        <v>550</v>
      </c>
      <c r="BE493" s="2"/>
      <c r="BF493" s="332">
        <v>5880</v>
      </c>
      <c r="BG493"/>
      <c r="BH493"/>
      <c r="BI493"/>
      <c r="BJ493"/>
      <c r="BK493"/>
      <c r="BL493"/>
      <c r="BM493"/>
      <c r="BN493"/>
      <c r="BO493"/>
      <c r="BP493"/>
      <c r="BQ493"/>
      <c r="BR493" s="156">
        <f t="shared" si="7"/>
        <v>5880</v>
      </c>
    </row>
    <row r="494" spans="2:70" ht="14.45" hidden="1">
      <c r="B494" s="3" t="s">
        <v>49</v>
      </c>
      <c r="C494" s="3" t="s">
        <v>3145</v>
      </c>
      <c r="D494" s="3" t="s">
        <v>3472</v>
      </c>
      <c r="E494" s="3">
        <v>164</v>
      </c>
      <c r="F494" s="3" t="s">
        <v>3147</v>
      </c>
      <c r="G494" s="3" t="s">
        <v>3148</v>
      </c>
      <c r="H494" s="3" t="s">
        <v>17</v>
      </c>
      <c r="I494" s="3" t="s">
        <v>3473</v>
      </c>
      <c r="J494" t="s">
        <v>3474</v>
      </c>
      <c r="K494" s="147"/>
      <c r="L494" s="3">
        <v>1</v>
      </c>
      <c r="M494" s="148">
        <v>13847</v>
      </c>
      <c r="N494" s="148">
        <v>7928</v>
      </c>
      <c r="Q494" s="148">
        <v>3891</v>
      </c>
      <c r="R494" s="148">
        <f>Table242[[#This Row],[Material Unit Price]]+Table242[[#This Row],[Labor Unit Price]]+Table242[[#This Row],[GC + Manage+ Insur]]</f>
        <v>25666</v>
      </c>
      <c r="S494" s="148">
        <f>Table242[[#This Row],[Total Per Tool]]*Table242[[#This Row],[Tool QTY]]</f>
        <v>25666</v>
      </c>
      <c r="U494" s="149"/>
      <c r="W494" s="3"/>
      <c r="X49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16304.81</v>
      </c>
      <c r="Y494" s="150">
        <f>Table242[[#This Row],[Total AR (Received)]]/Table242[[#This Row],[PO Amount]]</f>
        <v>0.63526883815164026</v>
      </c>
      <c r="Z494" s="151">
        <f>Table242[[#This Row],[PO Amount]]-Table242[[#This Row],[Total AR (Received)]]</f>
        <v>9361.19</v>
      </c>
      <c r="AA494" s="152">
        <v>1</v>
      </c>
      <c r="AB494" s="152">
        <v>0</v>
      </c>
      <c r="AC494" s="152">
        <f>SUM(Table242[[#This Row],[Total M%]]*Table242[[#This Row],[Material Unit Price]],Table242[[#This Row],[Total L %]]*Table242[[#This Row],[Labor Unit Price]])/SUM(Table242[[#This Row],[Material Unit Price]:[Labor Unit Price]])</f>
        <v>0.63591274397244546</v>
      </c>
      <c r="AD494"/>
      <c r="AE494"/>
      <c r="AF494" s="148"/>
      <c r="AH494" s="2"/>
      <c r="AI494" s="2"/>
      <c r="AJ494" s="182">
        <v>16304.81</v>
      </c>
      <c r="BB494"/>
      <c r="BC494"/>
      <c r="BD494" s="154" t="s">
        <v>550</v>
      </c>
      <c r="BE494" s="2"/>
      <c r="BF494"/>
      <c r="BG494"/>
      <c r="BH494"/>
      <c r="BI494"/>
      <c r="BJ494"/>
      <c r="BK494"/>
      <c r="BL494"/>
      <c r="BM494"/>
      <c r="BN494"/>
      <c r="BO494"/>
      <c r="BP494"/>
      <c r="BQ494"/>
      <c r="BR494" s="158">
        <f t="shared" si="7"/>
        <v>16304.81</v>
      </c>
    </row>
    <row r="495" spans="2:70" ht="14.45" hidden="1">
      <c r="B495" s="3" t="s">
        <v>49</v>
      </c>
      <c r="C495" s="3" t="s">
        <v>3145</v>
      </c>
      <c r="D495" s="3" t="s">
        <v>3475</v>
      </c>
      <c r="E495" s="3">
        <v>57</v>
      </c>
      <c r="F495" s="3" t="s">
        <v>3147</v>
      </c>
      <c r="G495" s="3" t="s">
        <v>3148</v>
      </c>
      <c r="H495" s="3" t="s">
        <v>17</v>
      </c>
      <c r="I495" s="3" t="s">
        <v>3476</v>
      </c>
      <c r="J495" t="s">
        <v>3153</v>
      </c>
      <c r="K495" s="147"/>
      <c r="L495" s="3">
        <v>1</v>
      </c>
      <c r="N495" s="148">
        <v>4989</v>
      </c>
      <c r="Q495" s="148">
        <v>891</v>
      </c>
      <c r="R495" s="148">
        <f>Table242[[#This Row],[Material Unit Price]]+Table242[[#This Row],[Labor Unit Price]]+Table242[[#This Row],[GC + Manage+ Insur]]</f>
        <v>5880</v>
      </c>
      <c r="S495" s="148">
        <f>Table242[[#This Row],[Total Per Tool]]*Table242[[#This Row],[Tool QTY]]</f>
        <v>5880</v>
      </c>
      <c r="U495" s="149"/>
      <c r="W495" s="3"/>
      <c r="X49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5880</v>
      </c>
      <c r="Y495" s="150">
        <f>Table242[[#This Row],[Total AR (Received)]]/Table242[[#This Row],[PO Amount]]</f>
        <v>1</v>
      </c>
      <c r="Z495" s="151">
        <f>Table242[[#This Row],[PO Amount]]-Table242[[#This Row],[Total AR (Received)]]</f>
        <v>0</v>
      </c>
      <c r="AA495" s="151"/>
      <c r="AB495" s="151"/>
      <c r="AC495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95"/>
      <c r="AE495"/>
      <c r="AF495" s="148"/>
      <c r="AH495" s="2"/>
      <c r="BB495"/>
      <c r="BC495"/>
      <c r="BD495" s="154" t="s">
        <v>550</v>
      </c>
      <c r="BE495" s="2"/>
      <c r="BF495" s="332">
        <v>5880</v>
      </c>
      <c r="BG495"/>
      <c r="BH495"/>
      <c r="BI495"/>
      <c r="BJ495"/>
      <c r="BK495"/>
      <c r="BL495"/>
      <c r="BM495"/>
      <c r="BN495"/>
      <c r="BO495"/>
      <c r="BP495"/>
      <c r="BQ495"/>
      <c r="BR495" s="156">
        <f t="shared" si="7"/>
        <v>5880</v>
      </c>
    </row>
    <row r="496" spans="2:70" ht="14.45" hidden="1">
      <c r="B496" s="3" t="s">
        <v>49</v>
      </c>
      <c r="C496" s="3" t="s">
        <v>3145</v>
      </c>
      <c r="D496" s="3" t="s">
        <v>3477</v>
      </c>
      <c r="E496" s="3">
        <v>66</v>
      </c>
      <c r="F496" s="3" t="s">
        <v>3147</v>
      </c>
      <c r="G496" s="3" t="s">
        <v>3148</v>
      </c>
      <c r="H496" s="3" t="s">
        <v>17</v>
      </c>
      <c r="I496" s="3" t="s">
        <v>3478</v>
      </c>
      <c r="J496" t="s">
        <v>3156</v>
      </c>
      <c r="K496" s="147"/>
      <c r="L496" s="3">
        <v>1</v>
      </c>
      <c r="N496" s="148">
        <v>9025</v>
      </c>
      <c r="Q496" s="148">
        <v>1613</v>
      </c>
      <c r="R496" s="148">
        <f>Table242[[#This Row],[Material Unit Price]]+Table242[[#This Row],[Labor Unit Price]]+Table242[[#This Row],[GC + Manage+ Insur]]</f>
        <v>10638</v>
      </c>
      <c r="S496" s="148">
        <f>Table242[[#This Row],[Total Per Tool]]*Table242[[#This Row],[Tool QTY]]</f>
        <v>10638</v>
      </c>
      <c r="U496" s="149"/>
      <c r="W496" s="3"/>
      <c r="X49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10638</v>
      </c>
      <c r="Y496" s="150">
        <f>Table242[[#This Row],[Total AR (Received)]]/Table242[[#This Row],[PO Amount]]</f>
        <v>1</v>
      </c>
      <c r="Z496" s="151">
        <f>Table242[[#This Row],[PO Amount]]-Table242[[#This Row],[Total AR (Received)]]</f>
        <v>0</v>
      </c>
      <c r="AA496" s="151"/>
      <c r="AB496" s="151"/>
      <c r="AC496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96"/>
      <c r="AE496"/>
      <c r="AF496" s="148"/>
      <c r="AH496" s="2"/>
      <c r="BB496"/>
      <c r="BC496"/>
      <c r="BD496" s="154" t="s">
        <v>550</v>
      </c>
      <c r="BE496" s="2"/>
      <c r="BF496" s="332">
        <v>10638</v>
      </c>
      <c r="BG496"/>
      <c r="BH496"/>
      <c r="BI496"/>
      <c r="BJ496"/>
      <c r="BK496"/>
      <c r="BL496"/>
      <c r="BM496"/>
      <c r="BN496"/>
      <c r="BO496"/>
      <c r="BP496"/>
      <c r="BQ496"/>
      <c r="BR496" s="156">
        <f t="shared" si="7"/>
        <v>10638</v>
      </c>
    </row>
    <row r="497" spans="1:70" ht="14.45" hidden="1">
      <c r="B497" s="3" t="s">
        <v>49</v>
      </c>
      <c r="C497" s="3" t="s">
        <v>3145</v>
      </c>
      <c r="D497" s="3" t="s">
        <v>3479</v>
      </c>
      <c r="E497" s="3">
        <v>67</v>
      </c>
      <c r="F497" s="3" t="s">
        <v>3147</v>
      </c>
      <c r="G497" s="3" t="s">
        <v>3148</v>
      </c>
      <c r="H497" s="3" t="s">
        <v>17</v>
      </c>
      <c r="I497" s="3" t="s">
        <v>3480</v>
      </c>
      <c r="J497" t="s">
        <v>3156</v>
      </c>
      <c r="K497" s="147"/>
      <c r="L497" s="3">
        <v>1</v>
      </c>
      <c r="N497" s="148">
        <v>9025</v>
      </c>
      <c r="Q497" s="148">
        <v>1613</v>
      </c>
      <c r="R497" s="148">
        <f>Table242[[#This Row],[Material Unit Price]]+Table242[[#This Row],[Labor Unit Price]]+Table242[[#This Row],[GC + Manage+ Insur]]</f>
        <v>10638</v>
      </c>
      <c r="S497" s="148">
        <f>Table242[[#This Row],[Total Per Tool]]*Table242[[#This Row],[Tool QTY]]</f>
        <v>10638</v>
      </c>
      <c r="U497" s="149"/>
      <c r="W497" s="3"/>
      <c r="X49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10638</v>
      </c>
      <c r="Y497" s="150">
        <f>Table242[[#This Row],[Total AR (Received)]]/Table242[[#This Row],[PO Amount]]</f>
        <v>1</v>
      </c>
      <c r="Z497" s="151">
        <f>Table242[[#This Row],[PO Amount]]-Table242[[#This Row],[Total AR (Received)]]</f>
        <v>0</v>
      </c>
      <c r="AA497" s="151"/>
      <c r="AB497" s="151"/>
      <c r="AC497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497"/>
      <c r="AE497"/>
      <c r="AF497" s="148"/>
      <c r="AH497" s="2"/>
      <c r="BB497"/>
      <c r="BC497"/>
      <c r="BD497" s="154" t="s">
        <v>550</v>
      </c>
      <c r="BE497" s="2"/>
      <c r="BF497" s="332">
        <v>10638</v>
      </c>
      <c r="BG497"/>
      <c r="BH497"/>
      <c r="BI497"/>
      <c r="BJ497"/>
      <c r="BK497"/>
      <c r="BL497"/>
      <c r="BM497"/>
      <c r="BN497"/>
      <c r="BO497"/>
      <c r="BP497"/>
      <c r="BQ497"/>
      <c r="BR497" s="156">
        <f t="shared" si="7"/>
        <v>10638</v>
      </c>
    </row>
    <row r="498" spans="1:70" ht="14.45" hidden="1">
      <c r="B498" s="3" t="s">
        <v>49</v>
      </c>
      <c r="C498" s="3" t="s">
        <v>3145</v>
      </c>
      <c r="D498" s="3" t="s">
        <v>3481</v>
      </c>
      <c r="E498" s="3">
        <v>75</v>
      </c>
      <c r="F498" s="3" t="s">
        <v>3147</v>
      </c>
      <c r="G498" s="3" t="s">
        <v>3148</v>
      </c>
      <c r="H498" s="3" t="s">
        <v>17</v>
      </c>
      <c r="I498" s="3" t="s">
        <v>3482</v>
      </c>
      <c r="J498" t="s">
        <v>3159</v>
      </c>
      <c r="K498" s="147"/>
      <c r="L498" s="3">
        <v>1</v>
      </c>
      <c r="M498" s="148">
        <v>4039</v>
      </c>
      <c r="N498" s="148">
        <v>9821</v>
      </c>
      <c r="Q498" s="148">
        <v>2477</v>
      </c>
      <c r="R498" s="148">
        <f>Table242[[#This Row],[Material Unit Price]]+Table242[[#This Row],[Labor Unit Price]]+Table242[[#This Row],[GC + Manage+ Insur]]</f>
        <v>16337</v>
      </c>
      <c r="S498" s="148">
        <f>Table242[[#This Row],[Total Per Tool]]*Table242[[#This Row],[Tool QTY]]</f>
        <v>16337</v>
      </c>
      <c r="U498" s="149"/>
      <c r="W498" s="3"/>
      <c r="X49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16337</v>
      </c>
      <c r="Y498" s="150">
        <f>Table242[[#This Row],[Total AR (Received)]]/Table242[[#This Row],[PO Amount]]</f>
        <v>1</v>
      </c>
      <c r="Z498" s="151">
        <f>Table242[[#This Row],[PO Amount]]-Table242[[#This Row],[Total AR (Received)]]</f>
        <v>0</v>
      </c>
      <c r="AA498" s="152">
        <v>1</v>
      </c>
      <c r="AB498" s="152">
        <v>0</v>
      </c>
      <c r="AC498" s="152">
        <f>SUM(Table242[[#This Row],[Total M%]]*Table242[[#This Row],[Material Unit Price]],Table242[[#This Row],[Total L %]]*Table242[[#This Row],[Labor Unit Price]])/SUM(Table242[[#This Row],[Material Unit Price]:[Labor Unit Price]])</f>
        <v>0.2914141414141414</v>
      </c>
      <c r="AD498"/>
      <c r="AE498"/>
      <c r="AF498" s="148"/>
      <c r="AH498" s="2"/>
      <c r="AI498" s="2"/>
      <c r="AJ498" s="182">
        <v>4760.84</v>
      </c>
      <c r="BB498"/>
      <c r="BC498"/>
      <c r="BD498" s="154" t="s">
        <v>550</v>
      </c>
      <c r="BE498" s="2"/>
      <c r="BF498" s="173">
        <v>11576.16</v>
      </c>
      <c r="BG498"/>
      <c r="BH498"/>
      <c r="BI498"/>
      <c r="BJ498"/>
      <c r="BK498"/>
      <c r="BL498"/>
      <c r="BM498"/>
      <c r="BN498"/>
      <c r="BO498"/>
      <c r="BP498"/>
      <c r="BQ498"/>
      <c r="BR498" s="158">
        <f t="shared" si="7"/>
        <v>16337</v>
      </c>
    </row>
    <row r="499" spans="1:70" ht="14.45" hidden="1">
      <c r="B499" s="3" t="s">
        <v>49</v>
      </c>
      <c r="C499" s="3" t="s">
        <v>3145</v>
      </c>
      <c r="D499" s="3" t="s">
        <v>3483</v>
      </c>
      <c r="E499" s="3">
        <v>76</v>
      </c>
      <c r="F499" s="3" t="s">
        <v>3147</v>
      </c>
      <c r="G499" s="3" t="s">
        <v>3148</v>
      </c>
      <c r="H499" s="3" t="s">
        <v>17</v>
      </c>
      <c r="I499" s="3" t="s">
        <v>3484</v>
      </c>
      <c r="J499" t="s">
        <v>3159</v>
      </c>
      <c r="K499" s="147"/>
      <c r="L499" s="3">
        <v>1</v>
      </c>
      <c r="M499" s="148">
        <v>4039</v>
      </c>
      <c r="N499" s="148">
        <v>9821</v>
      </c>
      <c r="Q499" s="148">
        <v>2477</v>
      </c>
      <c r="R499" s="148">
        <f>Table242[[#This Row],[Material Unit Price]]+Table242[[#This Row],[Labor Unit Price]]+Table242[[#This Row],[GC + Manage+ Insur]]</f>
        <v>16337</v>
      </c>
      <c r="S499" s="148">
        <f>Table242[[#This Row],[Total Per Tool]]*Table242[[#This Row],[Tool QTY]]</f>
        <v>16337</v>
      </c>
      <c r="U499" s="149"/>
      <c r="W499" s="3"/>
      <c r="X49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16337</v>
      </c>
      <c r="Y499" s="150">
        <f>Table242[[#This Row],[Total AR (Received)]]/Table242[[#This Row],[PO Amount]]</f>
        <v>1</v>
      </c>
      <c r="Z499" s="151">
        <f>Table242[[#This Row],[PO Amount]]-Table242[[#This Row],[Total AR (Received)]]</f>
        <v>0</v>
      </c>
      <c r="AA499" s="152">
        <v>1</v>
      </c>
      <c r="AB499" s="152">
        <v>0</v>
      </c>
      <c r="AC499" s="152">
        <f>SUM(Table242[[#This Row],[Total M%]]*Table242[[#This Row],[Material Unit Price]],Table242[[#This Row],[Total L %]]*Table242[[#This Row],[Labor Unit Price]])/SUM(Table242[[#This Row],[Material Unit Price]:[Labor Unit Price]])</f>
        <v>0.2914141414141414</v>
      </c>
      <c r="AD499"/>
      <c r="AE499"/>
      <c r="AF499" s="148"/>
      <c r="AH499" s="2"/>
      <c r="AI499" s="2"/>
      <c r="AJ499" s="182">
        <v>4760.84</v>
      </c>
      <c r="BB499"/>
      <c r="BC499"/>
      <c r="BD499" s="154" t="s">
        <v>550</v>
      </c>
      <c r="BE499" s="2"/>
      <c r="BF499" s="173">
        <v>11576.16</v>
      </c>
      <c r="BG499"/>
      <c r="BH499"/>
      <c r="BI499"/>
      <c r="BJ499"/>
      <c r="BK499"/>
      <c r="BL499"/>
      <c r="BM499"/>
      <c r="BN499"/>
      <c r="BO499"/>
      <c r="BP499"/>
      <c r="BQ499"/>
      <c r="BR499" s="158">
        <f t="shared" si="7"/>
        <v>16337</v>
      </c>
    </row>
    <row r="500" spans="1:70" ht="14.45" hidden="1">
      <c r="B500" s="3" t="s">
        <v>49</v>
      </c>
      <c r="C500" s="3" t="s">
        <v>3145</v>
      </c>
      <c r="D500" s="3" t="s">
        <v>3485</v>
      </c>
      <c r="E500" s="3">
        <v>77</v>
      </c>
      <c r="F500" s="3" t="s">
        <v>3147</v>
      </c>
      <c r="G500" s="3" t="s">
        <v>3148</v>
      </c>
      <c r="H500" s="3" t="s">
        <v>17</v>
      </c>
      <c r="I500" s="3" t="s">
        <v>3486</v>
      </c>
      <c r="J500" t="s">
        <v>3159</v>
      </c>
      <c r="K500" s="147"/>
      <c r="L500" s="3">
        <v>1</v>
      </c>
      <c r="M500" s="148">
        <v>4039</v>
      </c>
      <c r="N500" s="148">
        <v>9821</v>
      </c>
      <c r="Q500" s="148">
        <v>2477</v>
      </c>
      <c r="R500" s="148">
        <f>Table242[[#This Row],[Material Unit Price]]+Table242[[#This Row],[Labor Unit Price]]+Table242[[#This Row],[GC + Manage+ Insur]]</f>
        <v>16337</v>
      </c>
      <c r="S500" s="148">
        <f>Table242[[#This Row],[Total Per Tool]]*Table242[[#This Row],[Tool QTY]]</f>
        <v>16337</v>
      </c>
      <c r="U500" s="149"/>
      <c r="W500" s="3"/>
      <c r="X50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16337</v>
      </c>
      <c r="Y500" s="150">
        <f>Table242[[#This Row],[Total AR (Received)]]/Table242[[#This Row],[PO Amount]]</f>
        <v>1</v>
      </c>
      <c r="Z500" s="151">
        <f>Table242[[#This Row],[PO Amount]]-Table242[[#This Row],[Total AR (Received)]]</f>
        <v>0</v>
      </c>
      <c r="AA500" s="152">
        <v>1</v>
      </c>
      <c r="AB500" s="152">
        <v>0</v>
      </c>
      <c r="AC500" s="152">
        <f>SUM(Table242[[#This Row],[Total M%]]*Table242[[#This Row],[Material Unit Price]],Table242[[#This Row],[Total L %]]*Table242[[#This Row],[Labor Unit Price]])/SUM(Table242[[#This Row],[Material Unit Price]:[Labor Unit Price]])</f>
        <v>0.2914141414141414</v>
      </c>
      <c r="AD500"/>
      <c r="AE500"/>
      <c r="AF500" s="148"/>
      <c r="AH500" s="2"/>
      <c r="AI500" s="2"/>
      <c r="AJ500" s="182">
        <v>4760.84</v>
      </c>
      <c r="BB500"/>
      <c r="BC500"/>
      <c r="BD500" s="154" t="s">
        <v>550</v>
      </c>
      <c r="BE500" s="2"/>
      <c r="BF500" s="173">
        <v>11576.16</v>
      </c>
      <c r="BG500"/>
      <c r="BH500"/>
      <c r="BI500"/>
      <c r="BJ500"/>
      <c r="BK500"/>
      <c r="BL500"/>
      <c r="BM500"/>
      <c r="BN500"/>
      <c r="BO500"/>
      <c r="BP500"/>
      <c r="BQ500"/>
      <c r="BR500" s="158">
        <f t="shared" si="7"/>
        <v>16337</v>
      </c>
    </row>
    <row r="501" spans="1:70" ht="14.45" hidden="1">
      <c r="B501" s="3" t="s">
        <v>49</v>
      </c>
      <c r="C501" s="3" t="s">
        <v>3145</v>
      </c>
      <c r="D501" s="3" t="s">
        <v>3487</v>
      </c>
      <c r="E501" s="3">
        <v>78</v>
      </c>
      <c r="F501" s="3" t="s">
        <v>3147</v>
      </c>
      <c r="G501" s="3" t="s">
        <v>3148</v>
      </c>
      <c r="H501" s="3" t="s">
        <v>17</v>
      </c>
      <c r="I501" s="3" t="s">
        <v>3488</v>
      </c>
      <c r="J501" t="s">
        <v>3159</v>
      </c>
      <c r="K501" s="147"/>
      <c r="L501" s="3">
        <v>1</v>
      </c>
      <c r="M501" s="148">
        <v>4039</v>
      </c>
      <c r="N501" s="148">
        <v>9821</v>
      </c>
      <c r="Q501" s="148">
        <v>2477</v>
      </c>
      <c r="R501" s="148">
        <f>Table242[[#This Row],[Material Unit Price]]+Table242[[#This Row],[Labor Unit Price]]+Table242[[#This Row],[GC + Manage+ Insur]]</f>
        <v>16337</v>
      </c>
      <c r="S501" s="148">
        <f>Table242[[#This Row],[Total Per Tool]]*Table242[[#This Row],[Tool QTY]]</f>
        <v>16337</v>
      </c>
      <c r="U501" s="149"/>
      <c r="W501" s="3"/>
      <c r="X50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16337</v>
      </c>
      <c r="Y501" s="150">
        <f>Table242[[#This Row],[Total AR (Received)]]/Table242[[#This Row],[PO Amount]]</f>
        <v>1</v>
      </c>
      <c r="Z501" s="151">
        <f>Table242[[#This Row],[PO Amount]]-Table242[[#This Row],[Total AR (Received)]]</f>
        <v>0</v>
      </c>
      <c r="AA501" s="152">
        <v>1</v>
      </c>
      <c r="AB501" s="152">
        <v>0</v>
      </c>
      <c r="AC501" s="152">
        <f>SUM(Table242[[#This Row],[Total M%]]*Table242[[#This Row],[Material Unit Price]],Table242[[#This Row],[Total L %]]*Table242[[#This Row],[Labor Unit Price]])/SUM(Table242[[#This Row],[Material Unit Price]:[Labor Unit Price]])</f>
        <v>0.2914141414141414</v>
      </c>
      <c r="AD501"/>
      <c r="AE501"/>
      <c r="AF501" s="148"/>
      <c r="AH501" s="2"/>
      <c r="AI501" s="2"/>
      <c r="AJ501" s="182">
        <v>4760.84</v>
      </c>
      <c r="BB501"/>
      <c r="BC501"/>
      <c r="BD501" s="154" t="s">
        <v>550</v>
      </c>
      <c r="BE501" s="2"/>
      <c r="BF501" s="173">
        <v>11576.16</v>
      </c>
      <c r="BG501"/>
      <c r="BH501"/>
      <c r="BI501"/>
      <c r="BJ501"/>
      <c r="BK501"/>
      <c r="BL501"/>
      <c r="BM501"/>
      <c r="BN501"/>
      <c r="BO501"/>
      <c r="BP501"/>
      <c r="BQ501"/>
      <c r="BR501" s="158">
        <f t="shared" si="7"/>
        <v>16337</v>
      </c>
    </row>
    <row r="502" spans="1:70" ht="14.45" hidden="1">
      <c r="B502" s="3" t="s">
        <v>49</v>
      </c>
      <c r="C502" s="3" t="s">
        <v>3145</v>
      </c>
      <c r="D502" s="3" t="s">
        <v>3489</v>
      </c>
      <c r="E502" s="3">
        <v>83</v>
      </c>
      <c r="F502" s="3" t="s">
        <v>3147</v>
      </c>
      <c r="G502" s="3" t="s">
        <v>3148</v>
      </c>
      <c r="H502" s="3" t="s">
        <v>17</v>
      </c>
      <c r="I502" s="3" t="s">
        <v>3490</v>
      </c>
      <c r="J502" t="s">
        <v>3162</v>
      </c>
      <c r="K502" s="147"/>
      <c r="L502" s="3">
        <v>1</v>
      </c>
      <c r="M502" s="148">
        <v>2534</v>
      </c>
      <c r="N502" s="148">
        <v>4164</v>
      </c>
      <c r="Q502" s="148">
        <v>1197</v>
      </c>
      <c r="R502" s="148">
        <f>Table242[[#This Row],[Material Unit Price]]+Table242[[#This Row],[Labor Unit Price]]+Table242[[#This Row],[GC + Manage+ Insur]]</f>
        <v>7895</v>
      </c>
      <c r="S502" s="148">
        <f>Table242[[#This Row],[Total Per Tool]]*Table242[[#This Row],[Tool QTY]]</f>
        <v>7895</v>
      </c>
      <c r="U502" s="149">
        <v>44895</v>
      </c>
      <c r="W502" s="3" t="s">
        <v>3083</v>
      </c>
      <c r="X50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7895</v>
      </c>
      <c r="Y502" s="150">
        <f>Table242[[#This Row],[Total AR (Received)]]/Table242[[#This Row],[PO Amount]]</f>
        <v>1</v>
      </c>
      <c r="Z502" s="151">
        <f>Table242[[#This Row],[PO Amount]]-Table242[[#This Row],[Total AR (Received)]]</f>
        <v>0</v>
      </c>
      <c r="AA502" s="152">
        <v>1</v>
      </c>
      <c r="AB502" s="152">
        <v>0</v>
      </c>
      <c r="AC502" s="152">
        <f>SUM(Table242[[#This Row],[Total M%]]*Table242[[#This Row],[Material Unit Price]],Table242[[#This Row],[Total L %]]*Table242[[#This Row],[Labor Unit Price]])/SUM(Table242[[#This Row],[Material Unit Price]:[Labor Unit Price]])</f>
        <v>0.3783218871304867</v>
      </c>
      <c r="AD502"/>
      <c r="AE502"/>
      <c r="AF502" s="148"/>
      <c r="AH502" s="2"/>
      <c r="AI502" s="2"/>
      <c r="AJ502" s="182">
        <v>2986.61</v>
      </c>
      <c r="BB502"/>
      <c r="BC502"/>
      <c r="BD502" s="154" t="s">
        <v>550</v>
      </c>
      <c r="BE502" s="2"/>
      <c r="BF502" s="173">
        <v>4908.3900000000003</v>
      </c>
      <c r="BG502"/>
      <c r="BH502"/>
      <c r="BI502"/>
      <c r="BJ502"/>
      <c r="BK502"/>
      <c r="BL502"/>
      <c r="BM502"/>
      <c r="BN502"/>
      <c r="BO502"/>
      <c r="BP502"/>
      <c r="BQ502"/>
      <c r="BR502" s="158">
        <f t="shared" si="7"/>
        <v>7895</v>
      </c>
    </row>
    <row r="503" spans="1:70" ht="14.45" hidden="1">
      <c r="B503" s="3" t="s">
        <v>49</v>
      </c>
      <c r="C503" s="3" t="s">
        <v>3145</v>
      </c>
      <c r="D503" s="3" t="s">
        <v>3491</v>
      </c>
      <c r="E503" s="3">
        <v>89</v>
      </c>
      <c r="F503" s="3" t="s">
        <v>3147</v>
      </c>
      <c r="G503" s="3" t="s">
        <v>3148</v>
      </c>
      <c r="H503" s="3" t="s">
        <v>17</v>
      </c>
      <c r="I503" s="3" t="s">
        <v>3492</v>
      </c>
      <c r="J503" t="s">
        <v>3165</v>
      </c>
      <c r="K503" s="147" t="s">
        <v>3065</v>
      </c>
      <c r="L503" s="3">
        <v>1</v>
      </c>
      <c r="M503" s="148">
        <v>1400</v>
      </c>
      <c r="N503" s="148">
        <v>15236</v>
      </c>
      <c r="Q503" s="148">
        <v>2974</v>
      </c>
      <c r="R503" s="148">
        <f>Table242[[#This Row],[Material Unit Price]]+Table242[[#This Row],[Labor Unit Price]]+Table242[[#This Row],[GC + Manage+ Insur]]</f>
        <v>19610</v>
      </c>
      <c r="S503" s="148">
        <f>Table242[[#This Row],[Total Per Tool]]*Table242[[#This Row],[Tool QTY]]</f>
        <v>19610</v>
      </c>
      <c r="U503" s="149"/>
      <c r="W503" s="3"/>
      <c r="X50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19610</v>
      </c>
      <c r="Y503" s="150">
        <f>Table242[[#This Row],[Total AR (Received)]]/Table242[[#This Row],[PO Amount]]</f>
        <v>1</v>
      </c>
      <c r="Z503" s="151">
        <f>Table242[[#This Row],[PO Amount]]-Table242[[#This Row],[Total AR (Received)]]</f>
        <v>0</v>
      </c>
      <c r="AA503" s="152">
        <v>1</v>
      </c>
      <c r="AB503" s="152">
        <v>0</v>
      </c>
      <c r="AC503" s="152">
        <f>SUM(Table242[[#This Row],[Total M%]]*Table242[[#This Row],[Material Unit Price]],Table242[[#This Row],[Total L %]]*Table242[[#This Row],[Labor Unit Price]])/SUM(Table242[[#This Row],[Material Unit Price]:[Labor Unit Price]])</f>
        <v>8.4154844914642937E-2</v>
      </c>
      <c r="AD503"/>
      <c r="AE503"/>
      <c r="AF503" s="148"/>
      <c r="AH503" s="2"/>
      <c r="AI503" s="2"/>
      <c r="AJ503" s="182">
        <v>1650.25</v>
      </c>
      <c r="BB503"/>
      <c r="BC503"/>
      <c r="BD503" s="154" t="s">
        <v>550</v>
      </c>
      <c r="BE503" s="2"/>
      <c r="BF503" s="169">
        <v>17959.75</v>
      </c>
      <c r="BG503"/>
      <c r="BH503"/>
      <c r="BI503"/>
      <c r="BJ503"/>
      <c r="BK503"/>
      <c r="BL503"/>
      <c r="BM503"/>
      <c r="BN503"/>
      <c r="BO503"/>
      <c r="BP503"/>
      <c r="BQ503"/>
      <c r="BR503" s="158">
        <f t="shared" ref="BR503:BR547" si="8">SUM(AD503:BH503)</f>
        <v>19610</v>
      </c>
    </row>
    <row r="504" spans="1:70" ht="14.45" hidden="1">
      <c r="B504" s="3" t="s">
        <v>49</v>
      </c>
      <c r="C504" s="3" t="s">
        <v>3145</v>
      </c>
      <c r="D504" s="3" t="s">
        <v>3493</v>
      </c>
      <c r="E504" s="3">
        <v>95</v>
      </c>
      <c r="F504" s="3" t="s">
        <v>3147</v>
      </c>
      <c r="G504" s="3" t="s">
        <v>3148</v>
      </c>
      <c r="H504" s="3" t="s">
        <v>17</v>
      </c>
      <c r="I504" s="3" t="s">
        <v>3494</v>
      </c>
      <c r="J504" t="s">
        <v>3329</v>
      </c>
      <c r="K504" s="147"/>
      <c r="L504" s="3">
        <v>1</v>
      </c>
      <c r="M504" s="148">
        <v>1400</v>
      </c>
      <c r="N504" s="148">
        <v>9551</v>
      </c>
      <c r="Q504" s="148">
        <v>1957</v>
      </c>
      <c r="R504" s="148">
        <f>Table242[[#This Row],[Material Unit Price]]+Table242[[#This Row],[Labor Unit Price]]+Table242[[#This Row],[GC + Manage+ Insur]]</f>
        <v>12908</v>
      </c>
      <c r="S504" s="148">
        <f>Table242[[#This Row],[Total Per Tool]]*Table242[[#This Row],[Tool QTY]]</f>
        <v>12908</v>
      </c>
      <c r="U504" s="149">
        <v>44895</v>
      </c>
      <c r="W504" s="3" t="s">
        <v>3083</v>
      </c>
      <c r="X50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12908</v>
      </c>
      <c r="Y504" s="150">
        <f>Table242[[#This Row],[Total AR (Received)]]/Table242[[#This Row],[PO Amount]]</f>
        <v>1</v>
      </c>
      <c r="Z504" s="151">
        <f>Table242[[#This Row],[PO Amount]]-Table242[[#This Row],[Total AR (Received)]]</f>
        <v>0</v>
      </c>
      <c r="AA504" s="152">
        <v>1</v>
      </c>
      <c r="AB504" s="152">
        <v>0</v>
      </c>
      <c r="AC504" s="152">
        <f>SUM(Table242[[#This Row],[Total M%]]*Table242[[#This Row],[Material Unit Price]],Table242[[#This Row],[Total L %]]*Table242[[#This Row],[Labor Unit Price]])/SUM(Table242[[#This Row],[Material Unit Price]:[Labor Unit Price]])</f>
        <v>0.12784220619121542</v>
      </c>
      <c r="AD504"/>
      <c r="AE504"/>
      <c r="AF504" s="148"/>
      <c r="AH504" s="2"/>
      <c r="AI504" s="2"/>
      <c r="AJ504" s="182">
        <v>1650.19</v>
      </c>
      <c r="BB504"/>
      <c r="BC504"/>
      <c r="BD504" s="154" t="s">
        <v>550</v>
      </c>
      <c r="BE504" s="2"/>
      <c r="BF504" s="169">
        <v>11257.81</v>
      </c>
      <c r="BG504"/>
      <c r="BH504"/>
      <c r="BI504"/>
      <c r="BJ504"/>
      <c r="BK504"/>
      <c r="BL504"/>
      <c r="BM504"/>
      <c r="BN504"/>
      <c r="BO504"/>
      <c r="BP504"/>
      <c r="BQ504"/>
      <c r="BR504" s="158">
        <f t="shared" si="8"/>
        <v>12908</v>
      </c>
    </row>
    <row r="505" spans="1:70" ht="14.45" hidden="1">
      <c r="B505" s="3" t="s">
        <v>49</v>
      </c>
      <c r="C505" s="3" t="s">
        <v>3145</v>
      </c>
      <c r="D505" s="3" t="s">
        <v>3495</v>
      </c>
      <c r="E505" s="3">
        <v>112</v>
      </c>
      <c r="F505" s="3" t="s">
        <v>3147</v>
      </c>
      <c r="G505" s="3" t="s">
        <v>3148</v>
      </c>
      <c r="H505" s="3" t="s">
        <v>17</v>
      </c>
      <c r="I505" s="3" t="s">
        <v>3496</v>
      </c>
      <c r="J505" t="s">
        <v>3368</v>
      </c>
      <c r="K505" s="147"/>
      <c r="L505" s="3">
        <v>1</v>
      </c>
      <c r="N505" s="148">
        <v>569</v>
      </c>
      <c r="Q505" s="148">
        <v>101</v>
      </c>
      <c r="R505" s="148">
        <f>Table242[[#This Row],[Material Unit Price]]+Table242[[#This Row],[Labor Unit Price]]+Table242[[#This Row],[GC + Manage+ Insur]]</f>
        <v>670</v>
      </c>
      <c r="S505" s="148">
        <f>Table242[[#This Row],[Total Per Tool]]*Table242[[#This Row],[Tool QTY]]</f>
        <v>670</v>
      </c>
      <c r="U505" s="149">
        <v>44895</v>
      </c>
      <c r="W505" s="3" t="s">
        <v>3083</v>
      </c>
      <c r="X50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670</v>
      </c>
      <c r="Y505" s="150">
        <f>Table242[[#This Row],[Total AR (Received)]]/Table242[[#This Row],[PO Amount]]</f>
        <v>1</v>
      </c>
      <c r="Z505" s="151">
        <f>Table242[[#This Row],[PO Amount]]-Table242[[#This Row],[Total AR (Received)]]</f>
        <v>0</v>
      </c>
      <c r="AA505" s="151"/>
      <c r="AB505" s="151"/>
      <c r="AC505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505"/>
      <c r="AE505"/>
      <c r="AF505" s="148"/>
      <c r="AH505" s="2"/>
      <c r="AJ505" s="148"/>
      <c r="BB505"/>
      <c r="BC505"/>
      <c r="BD505" s="154" t="s">
        <v>550</v>
      </c>
      <c r="BE505" s="2"/>
      <c r="BF505" s="169">
        <v>670</v>
      </c>
      <c r="BG505"/>
      <c r="BH505"/>
      <c r="BI505"/>
      <c r="BJ505"/>
      <c r="BK505"/>
      <c r="BL505"/>
      <c r="BM505"/>
      <c r="BN505"/>
      <c r="BO505"/>
      <c r="BP505"/>
      <c r="BQ505"/>
      <c r="BR505" s="156">
        <f t="shared" si="8"/>
        <v>670</v>
      </c>
    </row>
    <row r="506" spans="1:70" ht="14.45" hidden="1">
      <c r="B506" s="3" t="s">
        <v>49</v>
      </c>
      <c r="C506" s="3" t="s">
        <v>3145</v>
      </c>
      <c r="D506" s="3" t="s">
        <v>3497</v>
      </c>
      <c r="E506" s="3">
        <v>113</v>
      </c>
      <c r="F506" s="3" t="s">
        <v>3147</v>
      </c>
      <c r="G506" s="3" t="s">
        <v>3148</v>
      </c>
      <c r="H506" s="3" t="s">
        <v>17</v>
      </c>
      <c r="I506" s="3" t="s">
        <v>3498</v>
      </c>
      <c r="J506" t="s">
        <v>3368</v>
      </c>
      <c r="K506" s="147"/>
      <c r="L506" s="3">
        <v>1</v>
      </c>
      <c r="N506" s="148">
        <v>569</v>
      </c>
      <c r="Q506" s="148">
        <v>101</v>
      </c>
      <c r="R506" s="148">
        <f>Table242[[#This Row],[Material Unit Price]]+Table242[[#This Row],[Labor Unit Price]]+Table242[[#This Row],[GC + Manage+ Insur]]</f>
        <v>670</v>
      </c>
      <c r="S506" s="148">
        <f>Table242[[#This Row],[Total Per Tool]]*Table242[[#This Row],[Tool QTY]]</f>
        <v>670</v>
      </c>
      <c r="U506" s="149"/>
      <c r="W506" s="3"/>
      <c r="X50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670</v>
      </c>
      <c r="Y506" s="150">
        <f>Table242[[#This Row],[Total AR (Received)]]/Table242[[#This Row],[PO Amount]]</f>
        <v>1</v>
      </c>
      <c r="Z506" s="151">
        <f>Table242[[#This Row],[PO Amount]]-Table242[[#This Row],[Total AR (Received)]]</f>
        <v>0</v>
      </c>
      <c r="AA506" s="151"/>
      <c r="AB506" s="151"/>
      <c r="AC506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506"/>
      <c r="AE506"/>
      <c r="AF506" s="148"/>
      <c r="AH506" s="2"/>
      <c r="AJ506" s="148"/>
      <c r="BB506"/>
      <c r="BC506"/>
      <c r="BD506" s="154" t="s">
        <v>550</v>
      </c>
      <c r="BE506" s="2"/>
      <c r="BF506" s="169">
        <v>670</v>
      </c>
      <c r="BG506"/>
      <c r="BH506"/>
      <c r="BI506"/>
      <c r="BJ506"/>
      <c r="BK506"/>
      <c r="BL506"/>
      <c r="BM506"/>
      <c r="BN506"/>
      <c r="BO506"/>
      <c r="BP506"/>
      <c r="BQ506"/>
      <c r="BR506" s="156">
        <f t="shared" si="8"/>
        <v>670</v>
      </c>
    </row>
    <row r="507" spans="1:70" ht="14.45" hidden="1">
      <c r="B507" s="3" t="s">
        <v>49</v>
      </c>
      <c r="C507" s="3" t="s">
        <v>3145</v>
      </c>
      <c r="D507" s="3" t="s">
        <v>3499</v>
      </c>
      <c r="E507" s="3">
        <v>132</v>
      </c>
      <c r="F507" s="3" t="s">
        <v>3147</v>
      </c>
      <c r="G507" s="3" t="s">
        <v>3148</v>
      </c>
      <c r="H507" s="3" t="s">
        <v>17</v>
      </c>
      <c r="I507" s="3" t="s">
        <v>3500</v>
      </c>
      <c r="J507" t="s">
        <v>3408</v>
      </c>
      <c r="K507" s="147"/>
      <c r="L507" s="3">
        <v>1</v>
      </c>
      <c r="N507" s="148">
        <v>1137</v>
      </c>
      <c r="Q507" s="148">
        <v>203</v>
      </c>
      <c r="R507" s="148">
        <f>Table242[[#This Row],[Material Unit Price]]+Table242[[#This Row],[Labor Unit Price]]+Table242[[#This Row],[GC + Manage+ Insur]]</f>
        <v>1340</v>
      </c>
      <c r="S507" s="148">
        <f>Table242[[#This Row],[Total Per Tool]]*Table242[[#This Row],[Tool QTY]]</f>
        <v>1340</v>
      </c>
      <c r="U507" s="149">
        <v>44895</v>
      </c>
      <c r="W507" s="3" t="s">
        <v>3083</v>
      </c>
      <c r="X50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1340</v>
      </c>
      <c r="Y507" s="150">
        <f>Table242[[#This Row],[Total AR (Received)]]/Table242[[#This Row],[PO Amount]]</f>
        <v>1</v>
      </c>
      <c r="Z507" s="151">
        <f>Table242[[#This Row],[PO Amount]]-Table242[[#This Row],[Total AR (Received)]]</f>
        <v>0</v>
      </c>
      <c r="AA507" s="151"/>
      <c r="AB507" s="151"/>
      <c r="AC507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507"/>
      <c r="AE507"/>
      <c r="AF507" s="148"/>
      <c r="AH507" s="2"/>
      <c r="AJ507" s="148"/>
      <c r="BB507"/>
      <c r="BC507"/>
      <c r="BD507" s="154" t="s">
        <v>550</v>
      </c>
      <c r="BE507" s="2"/>
      <c r="BF507" s="169">
        <v>1340</v>
      </c>
      <c r="BG507"/>
      <c r="BH507"/>
      <c r="BI507"/>
      <c r="BJ507"/>
      <c r="BK507"/>
      <c r="BL507"/>
      <c r="BM507"/>
      <c r="BN507"/>
      <c r="BO507"/>
      <c r="BP507"/>
      <c r="BQ507"/>
      <c r="BR507" s="156">
        <f t="shared" si="8"/>
        <v>1340</v>
      </c>
    </row>
    <row r="508" spans="1:70" ht="14.45" hidden="1">
      <c r="B508" s="3" t="s">
        <v>49</v>
      </c>
      <c r="C508" s="3" t="s">
        <v>3145</v>
      </c>
      <c r="D508" s="3" t="s">
        <v>3501</v>
      </c>
      <c r="E508" s="3">
        <v>149</v>
      </c>
      <c r="F508" s="3" t="s">
        <v>3147</v>
      </c>
      <c r="G508" s="3" t="s">
        <v>3148</v>
      </c>
      <c r="H508" s="3" t="s">
        <v>17</v>
      </c>
      <c r="I508" s="3" t="s">
        <v>3502</v>
      </c>
      <c r="J508" t="s">
        <v>3443</v>
      </c>
      <c r="K508" s="147"/>
      <c r="L508" s="3">
        <v>1</v>
      </c>
      <c r="N508" s="148">
        <v>4804</v>
      </c>
      <c r="Q508" s="148">
        <v>858</v>
      </c>
      <c r="R508" s="148">
        <f>Table242[[#This Row],[Material Unit Price]]+Table242[[#This Row],[Labor Unit Price]]+Table242[[#This Row],[GC + Manage+ Insur]]</f>
        <v>5662</v>
      </c>
      <c r="S508" s="148">
        <f>Table242[[#This Row],[Total Per Tool]]*Table242[[#This Row],[Tool QTY]]</f>
        <v>5662</v>
      </c>
      <c r="U508" s="149">
        <v>44893</v>
      </c>
      <c r="W508" s="3" t="s">
        <v>3083</v>
      </c>
      <c r="X50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5662</v>
      </c>
      <c r="Y508" s="150">
        <f>Table242[[#This Row],[Total AR (Received)]]/Table242[[#This Row],[PO Amount]]</f>
        <v>1</v>
      </c>
      <c r="Z508" s="151">
        <f>Table242[[#This Row],[PO Amount]]-Table242[[#This Row],[Total AR (Received)]]</f>
        <v>0</v>
      </c>
      <c r="AA508" s="151"/>
      <c r="AB508" s="151"/>
      <c r="AC508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508"/>
      <c r="AE508"/>
      <c r="AF508" s="148"/>
      <c r="AJ508" s="148"/>
      <c r="BB508"/>
      <c r="BC508"/>
      <c r="BD508" s="154" t="s">
        <v>550</v>
      </c>
      <c r="BE508" s="2"/>
      <c r="BF508" s="169">
        <v>5662</v>
      </c>
      <c r="BG508"/>
      <c r="BH508"/>
      <c r="BI508"/>
      <c r="BJ508"/>
      <c r="BK508"/>
      <c r="BL508"/>
      <c r="BM508"/>
      <c r="BN508"/>
      <c r="BO508"/>
      <c r="BP508"/>
      <c r="BQ508"/>
      <c r="BR508" s="156">
        <f t="shared" si="8"/>
        <v>5662</v>
      </c>
    </row>
    <row r="509" spans="1:70" ht="14.45" hidden="1">
      <c r="B509" s="3" t="s">
        <v>49</v>
      </c>
      <c r="C509" s="3" t="s">
        <v>3145</v>
      </c>
      <c r="D509" s="3" t="s">
        <v>3503</v>
      </c>
      <c r="E509" s="3">
        <v>151</v>
      </c>
      <c r="F509" s="3" t="s">
        <v>3147</v>
      </c>
      <c r="G509" s="3" t="s">
        <v>3148</v>
      </c>
      <c r="H509" s="3" t="s">
        <v>17</v>
      </c>
      <c r="I509" s="3" t="s">
        <v>3504</v>
      </c>
      <c r="J509" t="s">
        <v>3448</v>
      </c>
      <c r="K509" s="147"/>
      <c r="L509" s="3">
        <v>1</v>
      </c>
      <c r="N509" s="148">
        <v>9835</v>
      </c>
      <c r="Q509" s="148">
        <v>1758</v>
      </c>
      <c r="R509" s="148">
        <f>Table242[[#This Row],[Material Unit Price]]+Table242[[#This Row],[Labor Unit Price]]+Table242[[#This Row],[GC + Manage+ Insur]]</f>
        <v>11593</v>
      </c>
      <c r="S509" s="148">
        <f>Table242[[#This Row],[Total Per Tool]]*Table242[[#This Row],[Tool QTY]]</f>
        <v>11593</v>
      </c>
      <c r="U509" s="149">
        <v>44893</v>
      </c>
      <c r="W509" s="3" t="s">
        <v>3083</v>
      </c>
      <c r="X50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11593</v>
      </c>
      <c r="Y509" s="150">
        <f>Table242[[#This Row],[Total AR (Received)]]/Table242[[#This Row],[PO Amount]]</f>
        <v>1</v>
      </c>
      <c r="Z509" s="151">
        <f>Table242[[#This Row],[PO Amount]]-Table242[[#This Row],[Total AR (Received)]]</f>
        <v>0</v>
      </c>
      <c r="AA509" s="151"/>
      <c r="AB509" s="151"/>
      <c r="AC509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509"/>
      <c r="AE509"/>
      <c r="AF509" s="148"/>
      <c r="AJ509" s="148"/>
      <c r="BB509"/>
      <c r="BC509"/>
      <c r="BD509" s="154" t="s">
        <v>550</v>
      </c>
      <c r="BE509" s="2"/>
      <c r="BF509" s="173">
        <v>11593</v>
      </c>
      <c r="BG509"/>
      <c r="BH509"/>
      <c r="BI509"/>
      <c r="BJ509"/>
      <c r="BK509"/>
      <c r="BL509"/>
      <c r="BM509"/>
      <c r="BN509"/>
      <c r="BO509"/>
      <c r="BP509"/>
      <c r="BQ509"/>
      <c r="BR509" s="156">
        <f t="shared" si="8"/>
        <v>11593</v>
      </c>
    </row>
    <row r="510" spans="1:70" ht="14.45" hidden="1">
      <c r="B510" s="3" t="s">
        <v>49</v>
      </c>
      <c r="C510" s="3" t="s">
        <v>3145</v>
      </c>
      <c r="D510" s="3" t="s">
        <v>3505</v>
      </c>
      <c r="E510" s="3">
        <v>163</v>
      </c>
      <c r="F510" s="3" t="s">
        <v>3147</v>
      </c>
      <c r="G510" s="3" t="s">
        <v>3148</v>
      </c>
      <c r="H510" s="3" t="s">
        <v>17</v>
      </c>
      <c r="I510" s="3" t="s">
        <v>3506</v>
      </c>
      <c r="J510" t="s">
        <v>3474</v>
      </c>
      <c r="K510" s="147"/>
      <c r="L510" s="3">
        <v>1</v>
      </c>
      <c r="M510" s="148">
        <v>13847</v>
      </c>
      <c r="N510" s="148">
        <v>7928</v>
      </c>
      <c r="Q510" s="148">
        <v>3891</v>
      </c>
      <c r="R510" s="148">
        <f>Table242[[#This Row],[Material Unit Price]]+Table242[[#This Row],[Labor Unit Price]]+Table242[[#This Row],[GC + Manage+ Insur]]</f>
        <v>25666</v>
      </c>
      <c r="S510" s="148">
        <f>Table242[[#This Row],[Total Per Tool]]*Table242[[#This Row],[Tool QTY]]</f>
        <v>25666</v>
      </c>
      <c r="U510" s="149">
        <v>44893</v>
      </c>
      <c r="W510" s="3" t="s">
        <v>3083</v>
      </c>
      <c r="X51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25666</v>
      </c>
      <c r="Y510" s="150">
        <f>Table242[[#This Row],[Total AR (Received)]]/Table242[[#This Row],[PO Amount]]</f>
        <v>1</v>
      </c>
      <c r="Z510" s="151">
        <f>Table242[[#This Row],[PO Amount]]-Table242[[#This Row],[Total AR (Received)]]</f>
        <v>0</v>
      </c>
      <c r="AA510" s="152">
        <v>1</v>
      </c>
      <c r="AB510" s="152">
        <v>0</v>
      </c>
      <c r="AC510" s="152">
        <f>SUM(Table242[[#This Row],[Total M%]]*Table242[[#This Row],[Material Unit Price]],Table242[[#This Row],[Total L %]]*Table242[[#This Row],[Labor Unit Price]])/SUM(Table242[[#This Row],[Material Unit Price]:[Labor Unit Price]])</f>
        <v>0.63591274397244546</v>
      </c>
      <c r="AD510"/>
      <c r="AE510"/>
      <c r="AF510" s="148"/>
      <c r="AH510" s="2"/>
      <c r="AI510" s="2"/>
      <c r="AJ510" s="182">
        <v>16304.81</v>
      </c>
      <c r="BB510"/>
      <c r="BC510"/>
      <c r="BD510" s="154" t="s">
        <v>550</v>
      </c>
      <c r="BE510" s="2"/>
      <c r="BF510" s="173">
        <v>9361.19</v>
      </c>
      <c r="BG510"/>
      <c r="BH510"/>
      <c r="BI510"/>
      <c r="BJ510"/>
      <c r="BK510"/>
      <c r="BL510"/>
      <c r="BM510"/>
      <c r="BN510"/>
      <c r="BO510"/>
      <c r="BP510"/>
      <c r="BQ510"/>
      <c r="BR510" s="158">
        <f t="shared" si="8"/>
        <v>25666</v>
      </c>
    </row>
    <row r="511" spans="1:70" ht="14.45" hidden="1">
      <c r="B511" s="3" t="s">
        <v>50</v>
      </c>
      <c r="C511" s="3"/>
      <c r="D511" s="3">
        <v>5314</v>
      </c>
      <c r="E511" s="3">
        <v>1</v>
      </c>
      <c r="F511" s="3" t="s">
        <v>3507</v>
      </c>
      <c r="G511" s="3"/>
      <c r="H511" s="3" t="s">
        <v>17</v>
      </c>
      <c r="I511" s="3"/>
      <c r="J511" t="s">
        <v>3508</v>
      </c>
      <c r="K511" s="147"/>
      <c r="L511" s="3">
        <v>1</v>
      </c>
      <c r="N511" s="148">
        <v>12318</v>
      </c>
      <c r="R511" s="148">
        <f>Table242[[#This Row],[Material Unit Price]]+Table242[[#This Row],[Labor Unit Price]]+Table242[[#This Row],[GC + Manage+ Insur]]</f>
        <v>12318</v>
      </c>
      <c r="S511" s="148">
        <f>Table242[[#This Row],[Total Per Tool]]*Table242[[#This Row],[Tool QTY]]</f>
        <v>12318</v>
      </c>
      <c r="U511" s="149">
        <v>45068</v>
      </c>
      <c r="W511" s="148" t="s">
        <v>3509</v>
      </c>
      <c r="X51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12318</v>
      </c>
      <c r="Y511" s="150">
        <f>Table242[[#This Row],[Total AR (Received)]]/Table242[[#This Row],[PO Amount]]</f>
        <v>1</v>
      </c>
      <c r="Z511" s="151">
        <f>Table242[[#This Row],[PO Amount]]-Table242[[#This Row],[Total AR (Received)]]</f>
        <v>0</v>
      </c>
      <c r="AA511" s="152"/>
      <c r="AB511" s="152"/>
      <c r="AC511" s="152"/>
      <c r="AD511"/>
      <c r="AE511"/>
      <c r="AF511" s="3"/>
      <c r="AH511" s="153"/>
      <c r="AI511" s="2"/>
      <c r="AJ511" s="154"/>
      <c r="BB511"/>
      <c r="BC511"/>
      <c r="BD511" s="154" t="s">
        <v>550</v>
      </c>
      <c r="BE511" s="2"/>
      <c r="BF511"/>
      <c r="BG511"/>
      <c r="BH511" s="319">
        <v>12318</v>
      </c>
      <c r="BI511"/>
      <c r="BJ511"/>
      <c r="BK511"/>
      <c r="BL511"/>
      <c r="BM511"/>
      <c r="BN511"/>
      <c r="BO511"/>
      <c r="BP511"/>
      <c r="BQ511"/>
      <c r="BR511" s="156">
        <f t="shared" si="8"/>
        <v>12318</v>
      </c>
    </row>
    <row r="512" spans="1:70" ht="14.45" hidden="1">
      <c r="A512" t="s">
        <v>2888</v>
      </c>
      <c r="B512" s="3" t="s">
        <v>50</v>
      </c>
      <c r="C512" s="3"/>
      <c r="D512" s="3">
        <v>5871</v>
      </c>
      <c r="E512" s="3"/>
      <c r="F512" s="3" t="s">
        <v>3507</v>
      </c>
      <c r="G512" s="3"/>
      <c r="H512" s="3" t="s">
        <v>17</v>
      </c>
      <c r="I512" s="3"/>
      <c r="J512" s="163" t="s">
        <v>3510</v>
      </c>
      <c r="K512" s="164"/>
      <c r="L512" s="3">
        <v>1</v>
      </c>
      <c r="N512" s="148">
        <v>12318</v>
      </c>
      <c r="R512" s="148">
        <f>Table242[[#This Row],[Material Unit Price]]+Table242[[#This Row],[Labor Unit Price]]+Table242[[#This Row],[GC + Manage+ Insur]]</f>
        <v>12318</v>
      </c>
      <c r="S512" s="148">
        <f>Table242[[#This Row],[Total Per Tool]]*Table242[[#This Row],[Tool QTY]]</f>
        <v>12318</v>
      </c>
      <c r="U512" s="149" t="s">
        <v>2232</v>
      </c>
      <c r="X51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12318</v>
      </c>
      <c r="Y512" s="150">
        <f>Table242[[#This Row],[Total AR (Received)]]/Table242[[#This Row],[PO Amount]]</f>
        <v>1</v>
      </c>
      <c r="Z512" s="151">
        <f>Table242[[#This Row],[PO Amount]]-Table242[[#This Row],[Total AR (Received)]]</f>
        <v>0</v>
      </c>
      <c r="AA512" s="3"/>
      <c r="AF512" s="3"/>
      <c r="BD512" s="154" t="s">
        <v>550</v>
      </c>
      <c r="BF512" s="165"/>
      <c r="BG512" s="287"/>
      <c r="BH512" s="357">
        <v>12318</v>
      </c>
      <c r="BJ512" s="165"/>
      <c r="BR512" s="156">
        <f t="shared" si="8"/>
        <v>12318</v>
      </c>
    </row>
    <row r="513" spans="1:70" ht="14.45" hidden="1">
      <c r="B513" s="3" t="s">
        <v>50</v>
      </c>
      <c r="C513" s="3"/>
      <c r="D513" s="3">
        <v>5990</v>
      </c>
      <c r="E513" s="3">
        <v>1</v>
      </c>
      <c r="F513" s="3" t="s">
        <v>3507</v>
      </c>
      <c r="G513" s="3"/>
      <c r="H513" s="3" t="s">
        <v>17</v>
      </c>
      <c r="I513" s="3"/>
      <c r="J513" s="163" t="s">
        <v>3511</v>
      </c>
      <c r="K513" s="164"/>
      <c r="L513" s="3">
        <v>1</v>
      </c>
      <c r="N513" s="148">
        <v>1987.2</v>
      </c>
      <c r="R513" s="148">
        <f>Table242[[#This Row],[Material Unit Price]]+Table242[[#This Row],[Labor Unit Price]]+Table242[[#This Row],[GC + Manage+ Insur]]</f>
        <v>1987.2</v>
      </c>
      <c r="S513" s="148">
        <f>Table242[[#This Row],[Total Per Tool]]*Table242[[#This Row],[Tool QTY]]</f>
        <v>1987.2</v>
      </c>
      <c r="U513" s="149" t="s">
        <v>3512</v>
      </c>
      <c r="W513" s="148" t="s">
        <v>2551</v>
      </c>
      <c r="X51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513" s="150">
        <f>Table242[[#This Row],[Total AR (Received)]]/Table242[[#This Row],[PO Amount]]</f>
        <v>0</v>
      </c>
      <c r="Z513" s="151">
        <f>Table242[[#This Row],[PO Amount]]-Table242[[#This Row],[Total AR (Received)]]</f>
        <v>1987.2</v>
      </c>
      <c r="AA513" s="3"/>
      <c r="AF513" s="3"/>
      <c r="BD513" s="154" t="s">
        <v>550</v>
      </c>
      <c r="BF513" s="165"/>
      <c r="BG513" s="287"/>
      <c r="BJ513" s="165"/>
      <c r="BR513" s="156">
        <f t="shared" si="8"/>
        <v>0</v>
      </c>
    </row>
    <row r="514" spans="1:70" ht="14.45" hidden="1">
      <c r="A514" t="s">
        <v>2999</v>
      </c>
      <c r="B514" s="3" t="s">
        <v>51</v>
      </c>
      <c r="C514" s="3"/>
      <c r="D514" s="3">
        <v>6600012791</v>
      </c>
      <c r="E514" s="3">
        <v>1</v>
      </c>
      <c r="F514" s="3" t="s">
        <v>3513</v>
      </c>
      <c r="G514" s="3" t="s">
        <v>3514</v>
      </c>
      <c r="H514" s="3" t="s">
        <v>17</v>
      </c>
      <c r="I514" s="3" t="s">
        <v>3515</v>
      </c>
      <c r="J514" t="s">
        <v>3516</v>
      </c>
      <c r="K514" s="147"/>
      <c r="L514" s="3">
        <v>1</v>
      </c>
      <c r="N514" s="148">
        <v>9424</v>
      </c>
      <c r="R514" s="148">
        <f>Table242[[#This Row],[Material Unit Price]]+Table242[[#This Row],[Labor Unit Price]]+Table242[[#This Row],[GC + Manage+ Insur]]</f>
        <v>9424</v>
      </c>
      <c r="S514" s="148">
        <f>Table242[[#This Row],[Total Per Tool]]*Table242[[#This Row],[Tool QTY]]</f>
        <v>9424</v>
      </c>
      <c r="U514" s="149"/>
      <c r="X51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9424</v>
      </c>
      <c r="Y514" s="150">
        <f>Table242[[#This Row],[Total AR (Received)]]/Table242[[#This Row],[PO Amount]]</f>
        <v>1</v>
      </c>
      <c r="Z514" s="151">
        <f>Table242[[#This Row],[PO Amount]]-Table242[[#This Row],[Total AR (Received)]]</f>
        <v>0</v>
      </c>
      <c r="AA514" s="151"/>
      <c r="AB514" s="151"/>
      <c r="AC514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514"/>
      <c r="AE514"/>
      <c r="AF514" s="3"/>
      <c r="BB514"/>
      <c r="BC514"/>
      <c r="BD514" s="154" t="s">
        <v>550</v>
      </c>
      <c r="BE514" s="2"/>
      <c r="BF514">
        <v>9424</v>
      </c>
      <c r="BG514"/>
      <c r="BH514"/>
      <c r="BI514"/>
      <c r="BJ514"/>
      <c r="BK514"/>
      <c r="BL514"/>
      <c r="BM514"/>
      <c r="BN514"/>
      <c r="BO514"/>
      <c r="BP514"/>
      <c r="BQ514"/>
      <c r="BR514" s="156">
        <f t="shared" si="8"/>
        <v>9424</v>
      </c>
    </row>
    <row r="515" spans="1:70" ht="14.45" hidden="1">
      <c r="A515" t="s">
        <v>2999</v>
      </c>
      <c r="B515" s="3" t="s">
        <v>51</v>
      </c>
      <c r="C515" s="3"/>
      <c r="D515" s="3" t="s">
        <v>3517</v>
      </c>
      <c r="E515" s="3">
        <v>1</v>
      </c>
      <c r="F515" s="3" t="s">
        <v>3513</v>
      </c>
      <c r="G515" s="3" t="s">
        <v>3514</v>
      </c>
      <c r="H515" s="3" t="s">
        <v>17</v>
      </c>
      <c r="I515" s="3" t="s">
        <v>3518</v>
      </c>
      <c r="J515" t="s">
        <v>3516</v>
      </c>
      <c r="K515" s="147"/>
      <c r="L515" s="3">
        <v>1</v>
      </c>
      <c r="N515" s="148">
        <v>864</v>
      </c>
      <c r="R515" s="148">
        <f>Table242[[#This Row],[Material Unit Price]]+Table242[[#This Row],[Labor Unit Price]]+Table242[[#This Row],[GC + Manage+ Insur]]</f>
        <v>864</v>
      </c>
      <c r="S515" s="148">
        <f>Table242[[#This Row],[Total Per Tool]]*Table242[[#This Row],[Tool QTY]]</f>
        <v>864</v>
      </c>
      <c r="U515" s="149"/>
      <c r="X51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515" s="150">
        <f>Table242[[#This Row],[Total AR (Received)]]/Table242[[#This Row],[PO Amount]]</f>
        <v>0</v>
      </c>
      <c r="Z515" s="151">
        <f>Table242[[#This Row],[PO Amount]]-Table242[[#This Row],[Total AR (Received)]]</f>
        <v>864</v>
      </c>
      <c r="AA515" s="151"/>
      <c r="AB515" s="151"/>
      <c r="AC515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515"/>
      <c r="AE515"/>
      <c r="AF515" s="3"/>
      <c r="BB515"/>
      <c r="BC515"/>
      <c r="BD515" s="154" t="s">
        <v>550</v>
      </c>
      <c r="BE515" s="2"/>
      <c r="BF515"/>
      <c r="BG515"/>
      <c r="BH515"/>
      <c r="BI515"/>
      <c r="BJ515"/>
      <c r="BK515"/>
      <c r="BL515"/>
      <c r="BM515"/>
      <c r="BN515"/>
      <c r="BO515"/>
      <c r="BP515"/>
      <c r="BQ515"/>
      <c r="BR515" s="156">
        <f t="shared" si="8"/>
        <v>0</v>
      </c>
    </row>
    <row r="516" spans="1:70" ht="14.45" hidden="1">
      <c r="A516" t="s">
        <v>2999</v>
      </c>
      <c r="B516" s="3" t="s">
        <v>51</v>
      </c>
      <c r="C516" s="3"/>
      <c r="D516" s="3" t="s">
        <v>3519</v>
      </c>
      <c r="E516" s="3">
        <v>2</v>
      </c>
      <c r="F516" s="3" t="s">
        <v>3513</v>
      </c>
      <c r="G516" s="3" t="s">
        <v>3514</v>
      </c>
      <c r="H516" s="3" t="s">
        <v>17</v>
      </c>
      <c r="I516" s="3" t="s">
        <v>3520</v>
      </c>
      <c r="J516" t="s">
        <v>3516</v>
      </c>
      <c r="K516" s="147"/>
      <c r="L516" s="3">
        <v>1</v>
      </c>
      <c r="N516" s="148">
        <v>864</v>
      </c>
      <c r="R516" s="148">
        <f>Table242[[#This Row],[Material Unit Price]]+Table242[[#This Row],[Labor Unit Price]]+Table242[[#This Row],[GC + Manage+ Insur]]</f>
        <v>864</v>
      </c>
      <c r="S516" s="148">
        <f>Table242[[#This Row],[Total Per Tool]]*Table242[[#This Row],[Tool QTY]]</f>
        <v>864</v>
      </c>
      <c r="U516" s="149"/>
      <c r="X51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516" s="150">
        <f>Table242[[#This Row],[Total AR (Received)]]/Table242[[#This Row],[PO Amount]]</f>
        <v>0</v>
      </c>
      <c r="Z516" s="151">
        <f>Table242[[#This Row],[PO Amount]]-Table242[[#This Row],[Total AR (Received)]]</f>
        <v>864</v>
      </c>
      <c r="AA516" s="151"/>
      <c r="AB516" s="151"/>
      <c r="AC516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516"/>
      <c r="AE516"/>
      <c r="AF516" s="3"/>
      <c r="BB516"/>
      <c r="BC516"/>
      <c r="BD516" s="154" t="s">
        <v>550</v>
      </c>
      <c r="BE516" s="2"/>
      <c r="BF516"/>
      <c r="BG516"/>
      <c r="BH516"/>
      <c r="BI516"/>
      <c r="BJ516"/>
      <c r="BK516"/>
      <c r="BL516"/>
      <c r="BM516"/>
      <c r="BN516"/>
      <c r="BO516"/>
      <c r="BP516"/>
      <c r="BQ516"/>
      <c r="BR516" s="156">
        <f t="shared" si="8"/>
        <v>0</v>
      </c>
    </row>
    <row r="517" spans="1:70" ht="14.45" hidden="1">
      <c r="A517" t="s">
        <v>2999</v>
      </c>
      <c r="B517" s="3" t="s">
        <v>51</v>
      </c>
      <c r="C517" s="3"/>
      <c r="D517" s="3" t="s">
        <v>3521</v>
      </c>
      <c r="E517" s="3">
        <v>3</v>
      </c>
      <c r="F517" s="3" t="s">
        <v>3513</v>
      </c>
      <c r="G517" s="3" t="s">
        <v>3514</v>
      </c>
      <c r="H517" s="3" t="s">
        <v>17</v>
      </c>
      <c r="I517" s="3" t="s">
        <v>3522</v>
      </c>
      <c r="J517" t="s">
        <v>3516</v>
      </c>
      <c r="K517" s="147"/>
      <c r="L517" s="3">
        <v>1</v>
      </c>
      <c r="N517" s="148">
        <v>864</v>
      </c>
      <c r="R517" s="148">
        <f>Table242[[#This Row],[Material Unit Price]]+Table242[[#This Row],[Labor Unit Price]]+Table242[[#This Row],[GC + Manage+ Insur]]</f>
        <v>864</v>
      </c>
      <c r="S517" s="148">
        <f>Table242[[#This Row],[Total Per Tool]]*Table242[[#This Row],[Tool QTY]]</f>
        <v>864</v>
      </c>
      <c r="U517" s="149"/>
      <c r="X51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517" s="150">
        <f>Table242[[#This Row],[Total AR (Received)]]/Table242[[#This Row],[PO Amount]]</f>
        <v>0</v>
      </c>
      <c r="Z517" s="151">
        <f>Table242[[#This Row],[PO Amount]]-Table242[[#This Row],[Total AR (Received)]]</f>
        <v>864</v>
      </c>
      <c r="AA517" s="151"/>
      <c r="AB517" s="151"/>
      <c r="AC517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517"/>
      <c r="AE517"/>
      <c r="AF517" s="3"/>
      <c r="BB517"/>
      <c r="BC517"/>
      <c r="BD517" s="154" t="s">
        <v>550</v>
      </c>
      <c r="BE517" s="2"/>
      <c r="BF517"/>
      <c r="BG517"/>
      <c r="BH517"/>
      <c r="BI517"/>
      <c r="BJ517"/>
      <c r="BK517"/>
      <c r="BL517"/>
      <c r="BM517"/>
      <c r="BN517"/>
      <c r="BO517"/>
      <c r="BP517"/>
      <c r="BQ517"/>
      <c r="BR517" s="156">
        <f t="shared" si="8"/>
        <v>0</v>
      </c>
    </row>
    <row r="518" spans="1:70" ht="14.45" hidden="1">
      <c r="A518" t="s">
        <v>2999</v>
      </c>
      <c r="B518" s="3" t="s">
        <v>51</v>
      </c>
      <c r="C518" s="3"/>
      <c r="D518" s="3" t="s">
        <v>3523</v>
      </c>
      <c r="E518" s="3">
        <v>4</v>
      </c>
      <c r="F518" s="3" t="s">
        <v>3513</v>
      </c>
      <c r="G518" s="3" t="s">
        <v>3514</v>
      </c>
      <c r="H518" s="3" t="s">
        <v>17</v>
      </c>
      <c r="I518" s="3" t="s">
        <v>3524</v>
      </c>
      <c r="J518" t="s">
        <v>3516</v>
      </c>
      <c r="K518" s="147"/>
      <c r="L518" s="3">
        <v>1</v>
      </c>
      <c r="N518" s="148">
        <v>864</v>
      </c>
      <c r="R518" s="148">
        <f>Table242[[#This Row],[Material Unit Price]]+Table242[[#This Row],[Labor Unit Price]]+Table242[[#This Row],[GC + Manage+ Insur]]</f>
        <v>864</v>
      </c>
      <c r="S518" s="148">
        <f>Table242[[#This Row],[Total Per Tool]]*Table242[[#This Row],[Tool QTY]]</f>
        <v>864</v>
      </c>
      <c r="U518" s="149"/>
      <c r="X51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518" s="150">
        <f>Table242[[#This Row],[Total AR (Received)]]/Table242[[#This Row],[PO Amount]]</f>
        <v>0</v>
      </c>
      <c r="Z518" s="151">
        <f>Table242[[#This Row],[PO Amount]]-Table242[[#This Row],[Total AR (Received)]]</f>
        <v>864</v>
      </c>
      <c r="AA518" s="151"/>
      <c r="AB518" s="151"/>
      <c r="AC518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518"/>
      <c r="AE518"/>
      <c r="AF518" s="3"/>
      <c r="BB518"/>
      <c r="BC518"/>
      <c r="BD518" s="154" t="s">
        <v>550</v>
      </c>
      <c r="BE518" s="2"/>
      <c r="BF518"/>
      <c r="BG518"/>
      <c r="BH518"/>
      <c r="BI518"/>
      <c r="BJ518"/>
      <c r="BK518"/>
      <c r="BL518"/>
      <c r="BM518"/>
      <c r="BN518"/>
      <c r="BO518"/>
      <c r="BP518"/>
      <c r="BQ518"/>
      <c r="BR518" s="156">
        <f t="shared" si="8"/>
        <v>0</v>
      </c>
    </row>
    <row r="519" spans="1:70" ht="14.45" hidden="1">
      <c r="A519" t="s">
        <v>2999</v>
      </c>
      <c r="B519" s="3" t="s">
        <v>51</v>
      </c>
      <c r="C519" s="3"/>
      <c r="D519" s="3" t="s">
        <v>3525</v>
      </c>
      <c r="E519" s="3">
        <v>5</v>
      </c>
      <c r="F519" s="3" t="s">
        <v>3513</v>
      </c>
      <c r="G519" s="3" t="s">
        <v>3514</v>
      </c>
      <c r="H519" s="3" t="s">
        <v>17</v>
      </c>
      <c r="I519" s="3" t="s">
        <v>3526</v>
      </c>
      <c r="J519" t="s">
        <v>3516</v>
      </c>
      <c r="K519" s="147"/>
      <c r="L519" s="3">
        <v>1</v>
      </c>
      <c r="N519" s="148">
        <v>864</v>
      </c>
      <c r="R519" s="148">
        <f>Table242[[#This Row],[Material Unit Price]]+Table242[[#This Row],[Labor Unit Price]]+Table242[[#This Row],[GC + Manage+ Insur]]</f>
        <v>864</v>
      </c>
      <c r="S519" s="148">
        <f>Table242[[#This Row],[Total Per Tool]]*Table242[[#This Row],[Tool QTY]]</f>
        <v>864</v>
      </c>
      <c r="U519" s="149"/>
      <c r="X51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519" s="150">
        <f>Table242[[#This Row],[Total AR (Received)]]/Table242[[#This Row],[PO Amount]]</f>
        <v>0</v>
      </c>
      <c r="Z519" s="151">
        <f>Table242[[#This Row],[PO Amount]]-Table242[[#This Row],[Total AR (Received)]]</f>
        <v>864</v>
      </c>
      <c r="AA519" s="151"/>
      <c r="AB519" s="151"/>
      <c r="AC519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519"/>
      <c r="AE519"/>
      <c r="AF519" s="3"/>
      <c r="BB519"/>
      <c r="BC519"/>
      <c r="BD519" s="154" t="s">
        <v>550</v>
      </c>
      <c r="BE519" s="2"/>
      <c r="BF519"/>
      <c r="BG519"/>
      <c r="BH519"/>
      <c r="BI519"/>
      <c r="BJ519"/>
      <c r="BK519"/>
      <c r="BL519"/>
      <c r="BM519"/>
      <c r="BN519"/>
      <c r="BO519"/>
      <c r="BP519"/>
      <c r="BQ519"/>
      <c r="BR519" s="156">
        <f t="shared" si="8"/>
        <v>0</v>
      </c>
    </row>
    <row r="520" spans="1:70" ht="14.45" hidden="1">
      <c r="A520" t="s">
        <v>2999</v>
      </c>
      <c r="B520" s="3" t="s">
        <v>51</v>
      </c>
      <c r="C520" s="3"/>
      <c r="D520" s="3" t="s">
        <v>3527</v>
      </c>
      <c r="E520" s="3">
        <v>6</v>
      </c>
      <c r="F520" s="3" t="s">
        <v>3513</v>
      </c>
      <c r="G520" s="3" t="s">
        <v>3514</v>
      </c>
      <c r="H520" s="3" t="s">
        <v>17</v>
      </c>
      <c r="I520" s="3" t="s">
        <v>3528</v>
      </c>
      <c r="J520" t="s">
        <v>3516</v>
      </c>
      <c r="K520" s="147"/>
      <c r="L520" s="3">
        <v>1</v>
      </c>
      <c r="M520" s="151"/>
      <c r="N520" s="148">
        <v>864</v>
      </c>
      <c r="R520" s="148">
        <f>Table242[[#This Row],[Material Unit Price]]+Table242[[#This Row],[Labor Unit Price]]+Table242[[#This Row],[GC + Manage+ Insur]]</f>
        <v>864</v>
      </c>
      <c r="S520" s="148">
        <f>Table242[[#This Row],[Total Per Tool]]*Table242[[#This Row],[Tool QTY]]</f>
        <v>864</v>
      </c>
      <c r="U520" s="149"/>
      <c r="X52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520" s="150">
        <f>Table242[[#This Row],[Total AR (Received)]]/Table242[[#This Row],[PO Amount]]</f>
        <v>0</v>
      </c>
      <c r="Z520" s="151">
        <f>Table242[[#This Row],[PO Amount]]-Table242[[#This Row],[Total AR (Received)]]</f>
        <v>864</v>
      </c>
      <c r="AA520" s="151"/>
      <c r="AB520" s="151"/>
      <c r="AC520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520"/>
      <c r="AE520"/>
      <c r="AF520" s="3"/>
      <c r="BB520"/>
      <c r="BC520"/>
      <c r="BD520" s="154" t="s">
        <v>550</v>
      </c>
      <c r="BE520" s="2"/>
      <c r="BF520"/>
      <c r="BG520"/>
      <c r="BH520"/>
      <c r="BI520"/>
      <c r="BJ520"/>
      <c r="BK520"/>
      <c r="BL520"/>
      <c r="BM520"/>
      <c r="BN520"/>
      <c r="BO520"/>
      <c r="BP520"/>
      <c r="BQ520"/>
      <c r="BR520" s="156">
        <f t="shared" si="8"/>
        <v>0</v>
      </c>
    </row>
    <row r="521" spans="1:70" ht="14.45" hidden="1">
      <c r="A521" t="s">
        <v>2999</v>
      </c>
      <c r="B521" s="3" t="s">
        <v>51</v>
      </c>
      <c r="C521" s="3"/>
      <c r="D521" s="3" t="s">
        <v>3529</v>
      </c>
      <c r="E521" s="3">
        <v>7</v>
      </c>
      <c r="F521" s="3" t="s">
        <v>3513</v>
      </c>
      <c r="G521" s="3" t="s">
        <v>3514</v>
      </c>
      <c r="H521" s="3" t="s">
        <v>17</v>
      </c>
      <c r="I521" s="3" t="s">
        <v>3530</v>
      </c>
      <c r="J521" t="s">
        <v>3516</v>
      </c>
      <c r="K521" s="147"/>
      <c r="L521" s="3">
        <v>1</v>
      </c>
      <c r="M521" s="151"/>
      <c r="N521" s="148">
        <v>864</v>
      </c>
      <c r="R521" s="148">
        <f>Table242[[#This Row],[Material Unit Price]]+Table242[[#This Row],[Labor Unit Price]]+Table242[[#This Row],[GC + Manage+ Insur]]</f>
        <v>864</v>
      </c>
      <c r="S521" s="148">
        <f>Table242[[#This Row],[Total Per Tool]]*Table242[[#This Row],[Tool QTY]]</f>
        <v>864</v>
      </c>
      <c r="U521" s="149"/>
      <c r="X52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521" s="150">
        <f>Table242[[#This Row],[Total AR (Received)]]/Table242[[#This Row],[PO Amount]]</f>
        <v>0</v>
      </c>
      <c r="Z521" s="151">
        <f>Table242[[#This Row],[PO Amount]]-Table242[[#This Row],[Total AR (Received)]]</f>
        <v>864</v>
      </c>
      <c r="AA521" s="151"/>
      <c r="AB521" s="151"/>
      <c r="AC521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521"/>
      <c r="AE521"/>
      <c r="AF521" s="3"/>
      <c r="BB521"/>
      <c r="BC521"/>
      <c r="BD521" s="154" t="s">
        <v>550</v>
      </c>
      <c r="BE521" s="2"/>
      <c r="BF521"/>
      <c r="BG521"/>
      <c r="BH521"/>
      <c r="BI521"/>
      <c r="BJ521"/>
      <c r="BK521"/>
      <c r="BL521"/>
      <c r="BM521"/>
      <c r="BN521"/>
      <c r="BO521"/>
      <c r="BP521"/>
      <c r="BQ521"/>
      <c r="BR521" s="156">
        <f t="shared" si="8"/>
        <v>0</v>
      </c>
    </row>
    <row r="522" spans="1:70" ht="14.45" hidden="1">
      <c r="A522" t="s">
        <v>2999</v>
      </c>
      <c r="B522" s="3" t="s">
        <v>51</v>
      </c>
      <c r="C522" s="3"/>
      <c r="D522" s="3" t="s">
        <v>3531</v>
      </c>
      <c r="E522" s="3">
        <v>1</v>
      </c>
      <c r="F522" s="3" t="s">
        <v>3513</v>
      </c>
      <c r="G522" s="3" t="s">
        <v>3514</v>
      </c>
      <c r="H522" s="3" t="s">
        <v>17</v>
      </c>
      <c r="I522" s="3"/>
      <c r="J522" t="s">
        <v>3516</v>
      </c>
      <c r="K522" s="147"/>
      <c r="L522" s="3">
        <v>1</v>
      </c>
      <c r="M522" s="151"/>
      <c r="N522" s="148">
        <v>9424</v>
      </c>
      <c r="R522" s="148">
        <f>Table242[[#This Row],[Material Unit Price]]+Table242[[#This Row],[Labor Unit Price]]+Table242[[#This Row],[GC + Manage+ Insur]]</f>
        <v>9424</v>
      </c>
      <c r="S522" s="148">
        <f>Table242[[#This Row],[Total Per Tool]]*Table242[[#This Row],[Tool QTY]]</f>
        <v>9424</v>
      </c>
      <c r="U522" s="149"/>
      <c r="X52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522" s="150">
        <f>Table242[[#This Row],[Total AR (Received)]]/Table242[[#This Row],[PO Amount]]</f>
        <v>0</v>
      </c>
      <c r="Z522" s="151">
        <f>Table242[[#This Row],[PO Amount]]-Table242[[#This Row],[Total AR (Received)]]</f>
        <v>9424</v>
      </c>
      <c r="AA522" s="151"/>
      <c r="AB522" s="151"/>
      <c r="AC522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522"/>
      <c r="AE522"/>
      <c r="AF522" s="3"/>
      <c r="BB522"/>
      <c r="BC522"/>
      <c r="BD522" s="154" t="s">
        <v>550</v>
      </c>
      <c r="BE522" s="2"/>
      <c r="BF522"/>
      <c r="BG522"/>
      <c r="BH522"/>
      <c r="BI522"/>
      <c r="BJ522"/>
      <c r="BK522"/>
      <c r="BL522"/>
      <c r="BM522"/>
      <c r="BN522"/>
      <c r="BO522"/>
      <c r="BP522"/>
      <c r="BQ522"/>
      <c r="BR522" s="156">
        <f t="shared" si="8"/>
        <v>0</v>
      </c>
    </row>
    <row r="523" spans="1:70" ht="14.45" hidden="1">
      <c r="A523" t="s">
        <v>2999</v>
      </c>
      <c r="B523" s="3" t="s">
        <v>51</v>
      </c>
      <c r="C523" s="3"/>
      <c r="D523" s="3" t="s">
        <v>3532</v>
      </c>
      <c r="E523" s="3">
        <v>2</v>
      </c>
      <c r="F523" s="3" t="s">
        <v>3513</v>
      </c>
      <c r="G523" s="3" t="s">
        <v>3514</v>
      </c>
      <c r="H523" s="3" t="s">
        <v>17</v>
      </c>
      <c r="I523" s="3" t="s">
        <v>3533</v>
      </c>
      <c r="J523" t="s">
        <v>3516</v>
      </c>
      <c r="K523" s="147"/>
      <c r="L523" s="3">
        <v>1</v>
      </c>
      <c r="N523" s="148">
        <v>9424</v>
      </c>
      <c r="R523" s="148">
        <f>Table242[[#This Row],[Material Unit Price]]+Table242[[#This Row],[Labor Unit Price]]+Table242[[#This Row],[GC + Manage+ Insur]]</f>
        <v>9424</v>
      </c>
      <c r="S523" s="148">
        <f>Table242[[#This Row],[Total Per Tool]]*Table242[[#This Row],[Tool QTY]]</f>
        <v>9424</v>
      </c>
      <c r="U523" s="149"/>
      <c r="X52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9424</v>
      </c>
      <c r="Y523" s="150">
        <f>Table242[[#This Row],[Total AR (Received)]]/Table242[[#This Row],[PO Amount]]</f>
        <v>1</v>
      </c>
      <c r="Z523" s="151">
        <f>Table242[[#This Row],[PO Amount]]-Table242[[#This Row],[Total AR (Received)]]</f>
        <v>0</v>
      </c>
      <c r="AA523" s="151"/>
      <c r="AB523" s="151"/>
      <c r="AC523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523"/>
      <c r="AE523"/>
      <c r="AF523" s="3"/>
      <c r="BB523"/>
      <c r="BC523"/>
      <c r="BD523" s="154" t="s">
        <v>550</v>
      </c>
      <c r="BE523" s="2"/>
      <c r="BF523">
        <v>9424</v>
      </c>
      <c r="BG523"/>
      <c r="BH523"/>
      <c r="BI523"/>
      <c r="BJ523"/>
      <c r="BK523"/>
      <c r="BL523"/>
      <c r="BM523"/>
      <c r="BN523"/>
      <c r="BO523"/>
      <c r="BP523"/>
      <c r="BQ523"/>
      <c r="BR523" s="156">
        <f t="shared" si="8"/>
        <v>9424</v>
      </c>
    </row>
    <row r="524" spans="1:70" ht="14.45" hidden="1">
      <c r="A524" t="s">
        <v>2888</v>
      </c>
      <c r="B524" s="3" t="s">
        <v>52</v>
      </c>
      <c r="C524" s="3"/>
      <c r="D524" s="3">
        <v>23002672</v>
      </c>
      <c r="E524" s="3">
        <v>1</v>
      </c>
      <c r="F524" s="3" t="s">
        <v>3534</v>
      </c>
      <c r="G524" s="3"/>
      <c r="H524" s="3" t="s">
        <v>17</v>
      </c>
      <c r="I524" s="3"/>
      <c r="J524" s="163" t="s">
        <v>3535</v>
      </c>
      <c r="K524" s="164"/>
      <c r="L524" s="3">
        <v>1</v>
      </c>
      <c r="R524" s="148">
        <v>4130.03</v>
      </c>
      <c r="S524" s="148">
        <f>Table242[[#This Row],[Total Per Tool]]*Table242[[#This Row],[Tool QTY]]</f>
        <v>4130.03</v>
      </c>
      <c r="T524" s="148">
        <v>46.59</v>
      </c>
      <c r="U524" s="149"/>
      <c r="X52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4130.03</v>
      </c>
      <c r="Y524" s="150">
        <f>Table242[[#This Row],[Total AR (Received)]]/Table242[[#This Row],[PO Amount]]</f>
        <v>1</v>
      </c>
      <c r="Z524" s="151">
        <f>Table242[[#This Row],[PO Amount]]-Table242[[#This Row],[Total AR (Received)]]</f>
        <v>0</v>
      </c>
      <c r="AA524" s="3"/>
      <c r="AF524" s="3"/>
      <c r="AX524" s="2"/>
      <c r="BB524"/>
      <c r="BC524"/>
      <c r="BD524" s="154" t="s">
        <v>550</v>
      </c>
      <c r="BE524" s="2"/>
      <c r="BF524"/>
      <c r="BG524"/>
      <c r="BH524" s="319">
        <v>4130.03</v>
      </c>
      <c r="BI524" s="319">
        <v>46.59</v>
      </c>
      <c r="BJ524" s="155"/>
      <c r="BK524" s="155"/>
      <c r="BL524" s="155"/>
      <c r="BM524" s="155"/>
      <c r="BN524" s="155"/>
      <c r="BO524" s="155"/>
      <c r="BP524" s="155"/>
      <c r="BQ524" s="155"/>
      <c r="BR524" s="156">
        <f t="shared" si="8"/>
        <v>4130.03</v>
      </c>
    </row>
    <row r="525" spans="1:70" ht="14.45" hidden="1">
      <c r="A525" t="s">
        <v>2888</v>
      </c>
      <c r="B525" s="3" t="s">
        <v>52</v>
      </c>
      <c r="C525" s="3"/>
      <c r="D525" s="3">
        <v>1120014007</v>
      </c>
      <c r="E525" s="3">
        <v>1</v>
      </c>
      <c r="F525" s="3" t="s">
        <v>3534</v>
      </c>
      <c r="G525" s="3"/>
      <c r="H525" s="3" t="s">
        <v>17</v>
      </c>
      <c r="I525" s="3"/>
      <c r="J525" s="163" t="s">
        <v>3536</v>
      </c>
      <c r="K525" s="164"/>
      <c r="L525" s="3">
        <v>1</v>
      </c>
      <c r="N525" s="148">
        <v>10870.4</v>
      </c>
      <c r="R525" s="148">
        <f>Table242[[#This Row],[Material Unit Price]]+Table242[[#This Row],[Labor Unit Price]]+Table242[[#This Row],[GC + Manage+ Insur]]</f>
        <v>10870.4</v>
      </c>
      <c r="S525" s="148">
        <f>Table242[[#This Row],[Total Per Tool]]*Table242[[#This Row],[Tool QTY]]</f>
        <v>10870.4</v>
      </c>
      <c r="U525" s="149" t="s">
        <v>3537</v>
      </c>
      <c r="X52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525" s="150">
        <f>Table242[[#This Row],[Total AR (Received)]]/Table242[[#This Row],[PO Amount]]</f>
        <v>0</v>
      </c>
      <c r="Z525" s="151">
        <f>Table242[[#This Row],[PO Amount]]-Table242[[#This Row],[Total AR (Received)]]</f>
        <v>10870.4</v>
      </c>
      <c r="AA525" s="3"/>
      <c r="AF525" s="3"/>
      <c r="BD525" s="154" t="s">
        <v>550</v>
      </c>
      <c r="BF525" s="165"/>
      <c r="BG525" s="287"/>
      <c r="BJ525" s="165"/>
      <c r="BR525" s="156">
        <f t="shared" si="8"/>
        <v>0</v>
      </c>
    </row>
    <row r="526" spans="1:70" ht="14.45" hidden="1">
      <c r="A526" t="s">
        <v>2888</v>
      </c>
      <c r="B526" s="3" t="s">
        <v>52</v>
      </c>
      <c r="C526" s="3"/>
      <c r="D526" s="3">
        <v>1120014152</v>
      </c>
      <c r="E526" s="3">
        <v>1</v>
      </c>
      <c r="F526" s="3" t="s">
        <v>3534</v>
      </c>
      <c r="G526" s="3"/>
      <c r="H526" s="3" t="s">
        <v>17</v>
      </c>
      <c r="I526" s="3"/>
      <c r="J526" s="163" t="s">
        <v>3538</v>
      </c>
      <c r="K526" s="164"/>
      <c r="L526" s="3">
        <v>1</v>
      </c>
      <c r="N526" s="148">
        <v>10870.4</v>
      </c>
      <c r="R526" s="148">
        <f>Table242[[#This Row],[Material Unit Price]]+Table242[[#This Row],[Labor Unit Price]]+Table242[[#This Row],[GC + Manage+ Insur]]</f>
        <v>10870.4</v>
      </c>
      <c r="S526" s="148">
        <f>Table242[[#This Row],[Total Per Tool]]*Table242[[#This Row],[Tool QTY]]</f>
        <v>10870.4</v>
      </c>
      <c r="U526" s="149" t="s">
        <v>2735</v>
      </c>
      <c r="X52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526" s="150">
        <f>Table242[[#This Row],[Total AR (Received)]]/Table242[[#This Row],[PO Amount]]</f>
        <v>0</v>
      </c>
      <c r="Z526" s="151">
        <f>Table242[[#This Row],[PO Amount]]-Table242[[#This Row],[Total AR (Received)]]</f>
        <v>10870.4</v>
      </c>
      <c r="AA526" s="3"/>
      <c r="AF526" s="3"/>
      <c r="BD526" s="154" t="s">
        <v>550</v>
      </c>
      <c r="BF526" s="165"/>
      <c r="BG526" s="287"/>
      <c r="BJ526" s="165"/>
      <c r="BR526" s="156">
        <f t="shared" si="8"/>
        <v>0</v>
      </c>
    </row>
    <row r="527" spans="1:70" ht="14.45" hidden="1">
      <c r="A527" t="s">
        <v>2888</v>
      </c>
      <c r="B527" s="3" t="s">
        <v>52</v>
      </c>
      <c r="C527" s="3"/>
      <c r="D527" s="3">
        <v>1120014153</v>
      </c>
      <c r="E527" s="3">
        <v>1</v>
      </c>
      <c r="F527" s="3" t="s">
        <v>3534</v>
      </c>
      <c r="G527" s="3"/>
      <c r="H527" s="3" t="s">
        <v>17</v>
      </c>
      <c r="I527" s="3"/>
      <c r="J527" s="163" t="s">
        <v>3539</v>
      </c>
      <c r="K527" s="164"/>
      <c r="L527" s="3">
        <v>1</v>
      </c>
      <c r="N527" s="148">
        <v>10870.4</v>
      </c>
      <c r="R527" s="148">
        <f>Table242[[#This Row],[Material Unit Price]]+Table242[[#This Row],[Labor Unit Price]]+Table242[[#This Row],[GC + Manage+ Insur]]</f>
        <v>10870.4</v>
      </c>
      <c r="S527" s="148">
        <f>Table242[[#This Row],[Total Per Tool]]*Table242[[#This Row],[Tool QTY]]</f>
        <v>10870.4</v>
      </c>
      <c r="U527" s="149" t="s">
        <v>2735</v>
      </c>
      <c r="X52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527" s="150">
        <f>Table242[[#This Row],[Total AR (Received)]]/Table242[[#This Row],[PO Amount]]</f>
        <v>0</v>
      </c>
      <c r="Z527" s="151">
        <f>Table242[[#This Row],[PO Amount]]-Table242[[#This Row],[Total AR (Received)]]</f>
        <v>10870.4</v>
      </c>
      <c r="AA527" s="3"/>
      <c r="AF527" s="3"/>
      <c r="BD527" s="154" t="s">
        <v>550</v>
      </c>
      <c r="BF527" s="165"/>
      <c r="BG527" s="287"/>
      <c r="BJ527" s="165"/>
      <c r="BR527" s="156">
        <f t="shared" si="8"/>
        <v>0</v>
      </c>
    </row>
    <row r="528" spans="1:70" ht="14.45" hidden="1">
      <c r="A528" t="s">
        <v>2888</v>
      </c>
      <c r="B528" s="3" t="s">
        <v>52</v>
      </c>
      <c r="C528" s="3"/>
      <c r="D528" s="3">
        <v>1120014154</v>
      </c>
      <c r="E528" s="3">
        <v>1</v>
      </c>
      <c r="F528" s="3" t="s">
        <v>3534</v>
      </c>
      <c r="G528" s="3"/>
      <c r="H528" s="3" t="s">
        <v>17</v>
      </c>
      <c r="I528" s="3"/>
      <c r="J528" s="163" t="s">
        <v>3540</v>
      </c>
      <c r="K528" s="164"/>
      <c r="L528" s="3">
        <v>1</v>
      </c>
      <c r="N528" s="148">
        <v>10870.4</v>
      </c>
      <c r="R528" s="148">
        <f>Table242[[#This Row],[Material Unit Price]]+Table242[[#This Row],[Labor Unit Price]]+Table242[[#This Row],[GC + Manage+ Insur]]</f>
        <v>10870.4</v>
      </c>
      <c r="S528" s="148">
        <f>Table242[[#This Row],[Total Per Tool]]*Table242[[#This Row],[Tool QTY]]</f>
        <v>10870.4</v>
      </c>
      <c r="U528" s="149" t="s">
        <v>2735</v>
      </c>
      <c r="X52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528" s="150">
        <f>Table242[[#This Row],[Total AR (Received)]]/Table242[[#This Row],[PO Amount]]</f>
        <v>0</v>
      </c>
      <c r="Z528" s="151">
        <f>Table242[[#This Row],[PO Amount]]-Table242[[#This Row],[Total AR (Received)]]</f>
        <v>10870.4</v>
      </c>
      <c r="AA528" s="3"/>
      <c r="AF528" s="3"/>
      <c r="BD528" s="154" t="s">
        <v>550</v>
      </c>
      <c r="BF528" s="165"/>
      <c r="BG528" s="287"/>
      <c r="BJ528" s="165"/>
      <c r="BR528" s="156">
        <f t="shared" si="8"/>
        <v>0</v>
      </c>
    </row>
    <row r="529" spans="1:70" ht="14.45" hidden="1">
      <c r="A529" t="s">
        <v>2888</v>
      </c>
      <c r="B529" s="3" t="s">
        <v>52</v>
      </c>
      <c r="C529" s="3" t="s">
        <v>3541</v>
      </c>
      <c r="D529" s="3">
        <v>1120015431</v>
      </c>
      <c r="E529" s="3">
        <v>1</v>
      </c>
      <c r="F529" s="3" t="s">
        <v>3534</v>
      </c>
      <c r="G529" s="3"/>
      <c r="H529" s="3" t="s">
        <v>17</v>
      </c>
      <c r="I529" s="3"/>
      <c r="J529" s="163" t="s">
        <v>3542</v>
      </c>
      <c r="K529" s="164"/>
      <c r="L529" s="3">
        <v>1</v>
      </c>
      <c r="N529" s="351">
        <v>12410.49</v>
      </c>
      <c r="R529" s="148">
        <f>Table242[[#This Row],[Material Unit Price]]+Table242[[#This Row],[Labor Unit Price]]+Table242[[#This Row],[GC + Manage+ Insur]]</f>
        <v>12410.49</v>
      </c>
      <c r="S529" s="148">
        <f>Table242[[#This Row],[Total Per Tool]]*Table242[[#This Row],[Tool QTY]]</f>
        <v>12410.49</v>
      </c>
      <c r="U529" s="149">
        <v>45467</v>
      </c>
      <c r="W529" s="148" t="s">
        <v>3543</v>
      </c>
      <c r="X52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529" s="150">
        <f>Table242[[#This Row],[Total AR (Received)]]/Table242[[#This Row],[PO Amount]]</f>
        <v>0</v>
      </c>
      <c r="Z529" s="151">
        <f>Table242[[#This Row],[PO Amount]]-Table242[[#This Row],[Total AR (Received)]]</f>
        <v>12410.49</v>
      </c>
      <c r="AA529" s="3"/>
      <c r="AF529" s="3"/>
      <c r="BG529" s="287"/>
      <c r="BJ529" s="165"/>
      <c r="BR529" s="156">
        <f t="shared" si="8"/>
        <v>0</v>
      </c>
    </row>
    <row r="530" spans="1:70" ht="14.45" hidden="1">
      <c r="A530" t="s">
        <v>3544</v>
      </c>
      <c r="B530" s="3" t="s">
        <v>53</v>
      </c>
      <c r="C530" s="3"/>
      <c r="D530" s="3">
        <v>7102091</v>
      </c>
      <c r="E530" s="3">
        <v>1</v>
      </c>
      <c r="F530" s="3" t="s">
        <v>3545</v>
      </c>
      <c r="G530" s="3"/>
      <c r="H530" s="3" t="s">
        <v>17</v>
      </c>
      <c r="I530" s="3"/>
      <c r="J530" s="163" t="s">
        <v>3546</v>
      </c>
      <c r="K530" s="147"/>
      <c r="L530" s="3">
        <v>1</v>
      </c>
      <c r="N530" s="148">
        <v>5186.45</v>
      </c>
      <c r="R530" s="148">
        <f>Table242[[#This Row],[Material Unit Price]]+Table242[[#This Row],[Labor Unit Price]]+Table242[[#This Row],[GC + Manage+ Insur]]</f>
        <v>5186.45</v>
      </c>
      <c r="S530" s="148">
        <f>Table242[[#This Row],[Total Per Tool]]*Table242[[#This Row],[Tool QTY]]</f>
        <v>5186.45</v>
      </c>
      <c r="U530" s="149"/>
      <c r="W530" s="148" t="s">
        <v>2392</v>
      </c>
      <c r="X53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530" s="150">
        <f>Table242[[#This Row],[Total AR (Received)]]/Table242[[#This Row],[PO Amount]]</f>
        <v>0</v>
      </c>
      <c r="Z530" s="151">
        <f>Table242[[#This Row],[PO Amount]]-Table242[[#This Row],[Total AR (Received)]]</f>
        <v>5186.45</v>
      </c>
      <c r="AA530" s="148"/>
      <c r="AE530"/>
      <c r="AF530" s="3"/>
      <c r="BB530"/>
      <c r="BC530"/>
      <c r="BD530" s="154" t="s">
        <v>550</v>
      </c>
      <c r="BE530" s="2"/>
      <c r="BF530"/>
      <c r="BG530"/>
      <c r="BH530"/>
      <c r="BI530"/>
      <c r="BJ530"/>
      <c r="BK530"/>
      <c r="BL530"/>
      <c r="BM530"/>
      <c r="BN530"/>
      <c r="BO530"/>
      <c r="BP530"/>
      <c r="BQ530"/>
      <c r="BR530" s="156">
        <f t="shared" si="8"/>
        <v>0</v>
      </c>
    </row>
    <row r="531" spans="1:70" ht="14.45" hidden="1">
      <c r="A531" t="s">
        <v>3547</v>
      </c>
      <c r="B531" s="3" t="s">
        <v>53</v>
      </c>
      <c r="C531" s="3"/>
      <c r="D531" s="3">
        <v>7102116</v>
      </c>
      <c r="E531" s="3"/>
      <c r="F531" s="3" t="s">
        <v>3545</v>
      </c>
      <c r="G531" s="3"/>
      <c r="H531" s="3" t="s">
        <v>17</v>
      </c>
      <c r="I531" s="3"/>
      <c r="J531" s="163" t="s">
        <v>3548</v>
      </c>
      <c r="K531" s="164"/>
      <c r="L531" s="3">
        <v>1</v>
      </c>
      <c r="N531" s="148">
        <v>4172.92</v>
      </c>
      <c r="R531" s="148">
        <f>Table242[[#This Row],[Material Unit Price]]+Table242[[#This Row],[Labor Unit Price]]+Table242[[#This Row],[GC + Manage+ Insur]]</f>
        <v>4172.92</v>
      </c>
      <c r="S531" s="148">
        <f>Table242[[#This Row],[Total Per Tool]]*Table242[[#This Row],[Tool QTY]]</f>
        <v>4172.92</v>
      </c>
      <c r="U531" s="149" t="s">
        <v>3537</v>
      </c>
      <c r="X53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531" s="150">
        <f>Table242[[#This Row],[Total AR (Received)]]/Table242[[#This Row],[PO Amount]]</f>
        <v>0</v>
      </c>
      <c r="Z531" s="151">
        <f>Table242[[#This Row],[PO Amount]]-Table242[[#This Row],[Total AR (Received)]]</f>
        <v>4172.92</v>
      </c>
      <c r="AA531" s="3"/>
      <c r="AF531" s="3"/>
      <c r="BD531" s="154" t="s">
        <v>550</v>
      </c>
      <c r="BF531" s="165"/>
      <c r="BG531" s="287"/>
      <c r="BJ531" s="165"/>
      <c r="BR531" s="156">
        <f t="shared" si="8"/>
        <v>0</v>
      </c>
    </row>
    <row r="532" spans="1:70" ht="14.45" hidden="1">
      <c r="A532" t="s">
        <v>2999</v>
      </c>
      <c r="B532" s="3" t="s">
        <v>53</v>
      </c>
      <c r="C532" s="3"/>
      <c r="D532" s="3" t="s">
        <v>3549</v>
      </c>
      <c r="E532" s="3">
        <v>1</v>
      </c>
      <c r="F532" s="3" t="s">
        <v>3545</v>
      </c>
      <c r="G532" s="3"/>
      <c r="H532" s="3" t="s">
        <v>17</v>
      </c>
      <c r="I532" s="3" t="s">
        <v>3550</v>
      </c>
      <c r="J532" t="s">
        <v>3551</v>
      </c>
      <c r="K532" s="147"/>
      <c r="L532" s="3">
        <v>1</v>
      </c>
      <c r="N532" s="148">
        <v>55341</v>
      </c>
      <c r="R532" s="148">
        <f>Table242[[#This Row],[Material Unit Price]]+Table242[[#This Row],[Labor Unit Price]]+Table242[[#This Row],[GC + Manage+ Insur]]</f>
        <v>55341</v>
      </c>
      <c r="S532" s="148">
        <f>Table242[[#This Row],[Total Per Tool]]*Table242[[#This Row],[Tool QTY]]</f>
        <v>55341</v>
      </c>
      <c r="U532" s="149"/>
      <c r="X53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55341</v>
      </c>
      <c r="Y532" s="150">
        <f>Table242[[#This Row],[Total AR (Received)]]/Table242[[#This Row],[PO Amount]]</f>
        <v>1</v>
      </c>
      <c r="Z532" s="151">
        <f>Table242[[#This Row],[PO Amount]]-Table242[[#This Row],[Total AR (Received)]]</f>
        <v>0</v>
      </c>
      <c r="AA532" s="151"/>
      <c r="AB532" s="151"/>
      <c r="AC532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532"/>
      <c r="AE532"/>
      <c r="AF532" s="3"/>
      <c r="BB532"/>
      <c r="BC532"/>
      <c r="BD532" s="154" t="s">
        <v>550</v>
      </c>
      <c r="BE532" s="2"/>
      <c r="BF532" s="173">
        <v>55341</v>
      </c>
      <c r="BG532"/>
      <c r="BH532"/>
      <c r="BI532"/>
      <c r="BJ532"/>
      <c r="BK532"/>
      <c r="BL532"/>
      <c r="BM532"/>
      <c r="BN532"/>
      <c r="BO532"/>
      <c r="BP532"/>
      <c r="BQ532"/>
      <c r="BR532" s="156">
        <f t="shared" si="8"/>
        <v>55341</v>
      </c>
    </row>
    <row r="533" spans="1:70" ht="14.45" hidden="1">
      <c r="A533" t="s">
        <v>2999</v>
      </c>
      <c r="B533" s="3" t="s">
        <v>53</v>
      </c>
      <c r="C533" s="3"/>
      <c r="D533" s="3" t="s">
        <v>3552</v>
      </c>
      <c r="E533" s="3">
        <v>2</v>
      </c>
      <c r="F533" s="3" t="s">
        <v>3545</v>
      </c>
      <c r="G533" s="3"/>
      <c r="H533" s="3" t="s">
        <v>17</v>
      </c>
      <c r="I533" s="3" t="s">
        <v>3553</v>
      </c>
      <c r="J533" t="s">
        <v>3551</v>
      </c>
      <c r="K533" s="147"/>
      <c r="L533" s="3">
        <v>1</v>
      </c>
      <c r="N533" s="148">
        <v>55341</v>
      </c>
      <c r="R533" s="148">
        <f>Table242[[#This Row],[Material Unit Price]]+Table242[[#This Row],[Labor Unit Price]]+Table242[[#This Row],[GC + Manage+ Insur]]</f>
        <v>55341</v>
      </c>
      <c r="S533" s="148">
        <f>Table242[[#This Row],[Total Per Tool]]*Table242[[#This Row],[Tool QTY]]</f>
        <v>55341</v>
      </c>
      <c r="U533" s="149"/>
      <c r="X53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533" s="150">
        <f>Table242[[#This Row],[Total AR (Received)]]/Table242[[#This Row],[PO Amount]]</f>
        <v>0</v>
      </c>
      <c r="Z533" s="151">
        <f>Table242[[#This Row],[PO Amount]]-Table242[[#This Row],[Total AR (Received)]]</f>
        <v>55341</v>
      </c>
      <c r="AA533" s="151"/>
      <c r="AB533" s="151"/>
      <c r="AC533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533"/>
      <c r="AE533"/>
      <c r="AF533" s="3"/>
      <c r="BB533"/>
      <c r="BC533"/>
      <c r="BD533" s="154" t="s">
        <v>550</v>
      </c>
      <c r="BE533" s="2"/>
      <c r="BF533"/>
      <c r="BG533"/>
      <c r="BH533"/>
      <c r="BI533"/>
      <c r="BJ533"/>
      <c r="BK533"/>
      <c r="BL533"/>
      <c r="BM533"/>
      <c r="BN533"/>
      <c r="BO533"/>
      <c r="BP533"/>
      <c r="BQ533"/>
      <c r="BR533" s="156">
        <f t="shared" si="8"/>
        <v>0</v>
      </c>
    </row>
    <row r="534" spans="1:70" ht="14.45" hidden="1">
      <c r="A534" t="s">
        <v>2999</v>
      </c>
      <c r="B534" s="3" t="s">
        <v>53</v>
      </c>
      <c r="C534" s="3"/>
      <c r="D534" s="3" t="s">
        <v>3554</v>
      </c>
      <c r="E534" s="3">
        <v>3</v>
      </c>
      <c r="F534" s="3" t="s">
        <v>3545</v>
      </c>
      <c r="G534" s="3"/>
      <c r="H534" s="3" t="s">
        <v>17</v>
      </c>
      <c r="I534" s="3" t="s">
        <v>3555</v>
      </c>
      <c r="J534" t="s">
        <v>3556</v>
      </c>
      <c r="K534" s="147"/>
      <c r="L534" s="3">
        <v>1</v>
      </c>
      <c r="N534" s="148">
        <v>65452</v>
      </c>
      <c r="R534" s="148">
        <f>Table242[[#This Row],[Material Unit Price]]+Table242[[#This Row],[Labor Unit Price]]+Table242[[#This Row],[GC + Manage+ Insur]]</f>
        <v>65452</v>
      </c>
      <c r="S534" s="148">
        <f>Table242[[#This Row],[Total Per Tool]]*Table242[[#This Row],[Tool QTY]]</f>
        <v>65452</v>
      </c>
      <c r="U534" s="149"/>
      <c r="X53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65452</v>
      </c>
      <c r="Y534" s="150">
        <f>Table242[[#This Row],[Total AR (Received)]]/Table242[[#This Row],[PO Amount]]</f>
        <v>1</v>
      </c>
      <c r="Z534" s="151">
        <f>Table242[[#This Row],[PO Amount]]-Table242[[#This Row],[Total AR (Received)]]</f>
        <v>0</v>
      </c>
      <c r="AA534" s="151"/>
      <c r="AB534" s="151"/>
      <c r="AC534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534"/>
      <c r="AE534"/>
      <c r="AF534" s="3"/>
      <c r="BB534"/>
      <c r="BC534"/>
      <c r="BD534" s="154" t="s">
        <v>550</v>
      </c>
      <c r="BE534" s="2"/>
      <c r="BF534"/>
      <c r="BG534"/>
      <c r="BH534"/>
      <c r="BI534"/>
      <c r="BJ534" s="169">
        <v>65452</v>
      </c>
      <c r="BK534"/>
      <c r="BL534"/>
      <c r="BM534"/>
      <c r="BN534"/>
      <c r="BO534"/>
      <c r="BP534"/>
      <c r="BQ534"/>
      <c r="BR534" s="156">
        <f t="shared" si="8"/>
        <v>0</v>
      </c>
    </row>
    <row r="535" spans="1:70" ht="14.45" hidden="1">
      <c r="A535" t="s">
        <v>2999</v>
      </c>
      <c r="B535" s="3" t="s">
        <v>53</v>
      </c>
      <c r="C535" s="3"/>
      <c r="D535" s="3" t="s">
        <v>3557</v>
      </c>
      <c r="E535" s="3">
        <v>4</v>
      </c>
      <c r="F535" s="3" t="s">
        <v>3545</v>
      </c>
      <c r="G535" s="3"/>
      <c r="H535" s="3" t="s">
        <v>17</v>
      </c>
      <c r="I535" s="3" t="s">
        <v>3558</v>
      </c>
      <c r="J535" t="s">
        <v>3556</v>
      </c>
      <c r="K535" s="147"/>
      <c r="L535" s="3">
        <v>1</v>
      </c>
      <c r="N535" s="148">
        <v>65452</v>
      </c>
      <c r="R535" s="148">
        <f>Table242[[#This Row],[Material Unit Price]]+Table242[[#This Row],[Labor Unit Price]]+Table242[[#This Row],[GC + Manage+ Insur]]</f>
        <v>65452</v>
      </c>
      <c r="S535" s="148">
        <f>Table242[[#This Row],[Total Per Tool]]*Table242[[#This Row],[Tool QTY]]</f>
        <v>65452</v>
      </c>
      <c r="U535" s="149"/>
      <c r="X53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535" s="150">
        <f>Table242[[#This Row],[Total AR (Received)]]/Table242[[#This Row],[PO Amount]]</f>
        <v>0</v>
      </c>
      <c r="Z535" s="151">
        <f>Table242[[#This Row],[PO Amount]]-Table242[[#This Row],[Total AR (Received)]]</f>
        <v>65452</v>
      </c>
      <c r="AA535" s="151"/>
      <c r="AB535" s="151"/>
      <c r="AC535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535"/>
      <c r="AE535"/>
      <c r="AF535" s="3"/>
      <c r="BB535"/>
      <c r="BC535"/>
      <c r="BD535" s="154" t="s">
        <v>550</v>
      </c>
      <c r="BE535" s="2"/>
      <c r="BF535"/>
      <c r="BG535"/>
      <c r="BH535"/>
      <c r="BI535"/>
      <c r="BJ535"/>
      <c r="BK535"/>
      <c r="BL535"/>
      <c r="BM535"/>
      <c r="BN535"/>
      <c r="BO535"/>
      <c r="BP535"/>
      <c r="BQ535"/>
      <c r="BR535" s="156">
        <f t="shared" si="8"/>
        <v>0</v>
      </c>
    </row>
    <row r="536" spans="1:70" ht="14.45" hidden="1">
      <c r="A536" t="s">
        <v>3559</v>
      </c>
      <c r="B536" s="3" t="s">
        <v>53</v>
      </c>
      <c r="C536" s="3"/>
      <c r="D536" s="3">
        <v>7102095</v>
      </c>
      <c r="E536" s="3">
        <v>1</v>
      </c>
      <c r="F536" s="3" t="s">
        <v>3545</v>
      </c>
      <c r="G536" s="3" t="s">
        <v>3560</v>
      </c>
      <c r="H536" s="3" t="s">
        <v>17</v>
      </c>
      <c r="I536" s="3" t="s">
        <v>3550</v>
      </c>
      <c r="J536" s="163" t="s">
        <v>3561</v>
      </c>
      <c r="K536" s="164"/>
      <c r="L536" s="3">
        <v>1</v>
      </c>
      <c r="N536" s="148">
        <v>6483.06</v>
      </c>
      <c r="R536" s="148">
        <f>Table242[[#This Row],[Material Unit Price]]+Table242[[#This Row],[Labor Unit Price]]+Table242[[#This Row],[GC + Manage+ Insur]]</f>
        <v>6483.06</v>
      </c>
      <c r="S536" s="148">
        <f>Table242[[#This Row],[Total Per Tool]]*Table242[[#This Row],[Tool QTY]]</f>
        <v>6483.06</v>
      </c>
      <c r="U536" s="149" t="s">
        <v>3562</v>
      </c>
      <c r="W536" s="148" t="s">
        <v>3563</v>
      </c>
      <c r="X53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536" s="150">
        <f>Table242[[#This Row],[Total AR (Received)]]/Table242[[#This Row],[PO Amount]]</f>
        <v>0</v>
      </c>
      <c r="Z536" s="151">
        <f>Table242[[#This Row],[PO Amount]]-Table242[[#This Row],[Total AR (Received)]]</f>
        <v>6483.06</v>
      </c>
      <c r="AA536" s="3"/>
      <c r="AF536" s="3"/>
      <c r="BG536" s="287"/>
      <c r="BJ536" s="165"/>
      <c r="BR536" s="156">
        <f t="shared" si="8"/>
        <v>0</v>
      </c>
    </row>
    <row r="537" spans="1:70" ht="14.45" hidden="1">
      <c r="A537" t="s">
        <v>2888</v>
      </c>
      <c r="B537" s="3" t="s">
        <v>55</v>
      </c>
      <c r="C537" s="3"/>
      <c r="D537" s="3">
        <v>24004</v>
      </c>
      <c r="E537" s="3"/>
      <c r="F537" s="3" t="s">
        <v>3564</v>
      </c>
      <c r="G537" s="3"/>
      <c r="H537" s="3" t="s">
        <v>17</v>
      </c>
      <c r="I537" s="3"/>
      <c r="J537" s="163" t="s">
        <v>3565</v>
      </c>
      <c r="K537" s="164"/>
      <c r="L537" s="3">
        <v>1</v>
      </c>
      <c r="N537" s="148">
        <v>14782.6</v>
      </c>
      <c r="R537" s="148">
        <f>Table242[[#This Row],[Material Unit Price]]+Table242[[#This Row],[Labor Unit Price]]+Table242[[#This Row],[GC + Manage+ Insur]]</f>
        <v>14782.6</v>
      </c>
      <c r="S537" s="148">
        <f>Table242[[#This Row],[Total Per Tool]]*Table242[[#This Row],[Tool QTY]]</f>
        <v>14782.6</v>
      </c>
      <c r="U537" s="149" t="s">
        <v>2236</v>
      </c>
      <c r="X53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14000</v>
      </c>
      <c r="Y537" s="150">
        <f>Table242[[#This Row],[Total AR (Received)]]/Table242[[#This Row],[PO Amount]]</f>
        <v>0.94705938062316508</v>
      </c>
      <c r="Z537" s="151">
        <f>Table242[[#This Row],[PO Amount]]-Table242[[#This Row],[Total AR (Received)]]</f>
        <v>782.60000000000036</v>
      </c>
      <c r="AA537" s="3"/>
      <c r="AF537" s="3"/>
      <c r="BD537" s="154" t="s">
        <v>550</v>
      </c>
      <c r="BF537" s="165"/>
      <c r="BG537" s="287"/>
      <c r="BH537" s="171">
        <v>14000</v>
      </c>
      <c r="BJ537" s="165"/>
      <c r="BR537" s="156">
        <f t="shared" si="8"/>
        <v>14000</v>
      </c>
    </row>
    <row r="538" spans="1:70" ht="15" hidden="1" customHeight="1">
      <c r="A538" t="s">
        <v>2999</v>
      </c>
      <c r="B538" s="3" t="s">
        <v>56</v>
      </c>
      <c r="C538" s="3"/>
      <c r="D538" s="3" t="s">
        <v>3566</v>
      </c>
      <c r="E538" s="3">
        <v>1</v>
      </c>
      <c r="F538" s="3" t="s">
        <v>3567</v>
      </c>
      <c r="G538" s="3"/>
      <c r="H538" s="3" t="s">
        <v>17</v>
      </c>
      <c r="I538" s="3" t="s">
        <v>3568</v>
      </c>
      <c r="J538" t="s">
        <v>3569</v>
      </c>
      <c r="K538" s="147"/>
      <c r="L538" s="3">
        <v>1</v>
      </c>
      <c r="N538" s="148">
        <v>73954</v>
      </c>
      <c r="R538" s="148">
        <f>Table242[[#This Row],[Material Unit Price]]+Table242[[#This Row],[Labor Unit Price]]+Table242[[#This Row],[GC + Manage+ Insur]]</f>
        <v>73954</v>
      </c>
      <c r="S538" s="148">
        <f>Table242[[#This Row],[Total Per Tool]]*Table242[[#This Row],[Tool QTY]]</f>
        <v>73954</v>
      </c>
      <c r="U538" s="149"/>
      <c r="X53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73954</v>
      </c>
      <c r="Y538" s="150">
        <f>Table242[[#This Row],[Total AR (Received)]]/Table242[[#This Row],[PO Amount]]</f>
        <v>1</v>
      </c>
      <c r="Z538" s="151">
        <f>Table242[[#This Row],[PO Amount]]-Table242[[#This Row],[Total AR (Received)]]</f>
        <v>0</v>
      </c>
      <c r="AA538" s="151"/>
      <c r="AB538" s="151"/>
      <c r="AC538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538"/>
      <c r="AE538"/>
      <c r="AF538" s="3"/>
      <c r="AQ538" s="188"/>
      <c r="AU538" s="188"/>
      <c r="AY538" s="188"/>
      <c r="BB538"/>
      <c r="BC538"/>
      <c r="BD538" s="154" t="s">
        <v>550</v>
      </c>
      <c r="BE538" s="2"/>
      <c r="BF538"/>
      <c r="BG538"/>
      <c r="BH538"/>
      <c r="BI538"/>
      <c r="BJ538">
        <v>73954</v>
      </c>
      <c r="BK538"/>
      <c r="BL538"/>
      <c r="BM538"/>
      <c r="BN538"/>
      <c r="BO538"/>
      <c r="BP538"/>
      <c r="BQ538"/>
      <c r="BR538" s="156">
        <f t="shared" si="8"/>
        <v>0</v>
      </c>
    </row>
    <row r="539" spans="1:70" ht="15" hidden="1" customHeight="1">
      <c r="A539" t="s">
        <v>2999</v>
      </c>
      <c r="B539" s="3" t="s">
        <v>56</v>
      </c>
      <c r="C539" s="3"/>
      <c r="D539" s="3" t="s">
        <v>3570</v>
      </c>
      <c r="E539" s="3">
        <v>2</v>
      </c>
      <c r="F539" s="3" t="s">
        <v>3567</v>
      </c>
      <c r="G539" s="3"/>
      <c r="H539" s="3" t="s">
        <v>17</v>
      </c>
      <c r="I539" s="3" t="s">
        <v>3571</v>
      </c>
      <c r="J539" t="s">
        <v>3572</v>
      </c>
      <c r="K539" s="147"/>
      <c r="L539" s="3">
        <v>1</v>
      </c>
      <c r="N539" s="148">
        <v>73954</v>
      </c>
      <c r="R539" s="148">
        <f>Table242[[#This Row],[Material Unit Price]]+Table242[[#This Row],[Labor Unit Price]]+Table242[[#This Row],[GC + Manage+ Insur]]</f>
        <v>73954</v>
      </c>
      <c r="S539" s="148">
        <f>Table242[[#This Row],[Total Per Tool]]*Table242[[#This Row],[Tool QTY]]</f>
        <v>73954</v>
      </c>
      <c r="U539" s="149"/>
      <c r="X53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539" s="150">
        <f>Table242[[#This Row],[Total AR (Received)]]/Table242[[#This Row],[PO Amount]]</f>
        <v>0</v>
      </c>
      <c r="Z539" s="151">
        <f>Table242[[#This Row],[PO Amount]]-Table242[[#This Row],[Total AR (Received)]]</f>
        <v>73954</v>
      </c>
      <c r="AA539" s="151"/>
      <c r="AB539" s="151"/>
      <c r="AC539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539"/>
      <c r="AE539"/>
      <c r="AF539" s="3"/>
      <c r="AQ539" s="188"/>
      <c r="AU539" s="188"/>
      <c r="AY539" s="188"/>
      <c r="BB539"/>
      <c r="BC539"/>
      <c r="BD539" s="154" t="s">
        <v>550</v>
      </c>
      <c r="BE539" s="2"/>
      <c r="BF539"/>
      <c r="BG539"/>
      <c r="BH539"/>
      <c r="BI539"/>
      <c r="BJ539"/>
      <c r="BK539"/>
      <c r="BL539"/>
      <c r="BM539"/>
      <c r="BN539"/>
      <c r="BO539"/>
      <c r="BP539"/>
      <c r="BQ539"/>
      <c r="BR539" s="156">
        <f t="shared" si="8"/>
        <v>0</v>
      </c>
    </row>
    <row r="540" spans="1:70" ht="15" hidden="1" customHeight="1">
      <c r="A540" t="s">
        <v>2999</v>
      </c>
      <c r="B540" s="3" t="s">
        <v>56</v>
      </c>
      <c r="C540" s="3"/>
      <c r="D540" s="3" t="s">
        <v>3573</v>
      </c>
      <c r="E540" s="3">
        <v>3</v>
      </c>
      <c r="F540" s="3" t="s">
        <v>3567</v>
      </c>
      <c r="G540" s="3"/>
      <c r="H540" s="3" t="s">
        <v>17</v>
      </c>
      <c r="I540" s="3" t="s">
        <v>3574</v>
      </c>
      <c r="J540" t="s">
        <v>3575</v>
      </c>
      <c r="K540" s="147"/>
      <c r="L540" s="3">
        <v>1</v>
      </c>
      <c r="N540" s="148">
        <v>65503</v>
      </c>
      <c r="R540" s="148">
        <f>Table242[[#This Row],[Material Unit Price]]+Table242[[#This Row],[Labor Unit Price]]+Table242[[#This Row],[GC + Manage+ Insur]]</f>
        <v>65503</v>
      </c>
      <c r="S540" s="148">
        <f>Table242[[#This Row],[Total Per Tool]]*Table242[[#This Row],[Tool QTY]]</f>
        <v>65503</v>
      </c>
      <c r="U540" s="149"/>
      <c r="X54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540" s="150">
        <f>Table242[[#This Row],[Total AR (Received)]]/Table242[[#This Row],[PO Amount]]</f>
        <v>0</v>
      </c>
      <c r="Z540" s="151">
        <f>Table242[[#This Row],[PO Amount]]-Table242[[#This Row],[Total AR (Received)]]</f>
        <v>65503</v>
      </c>
      <c r="AA540" s="151"/>
      <c r="AB540" s="151"/>
      <c r="AC540" s="152">
        <f>SUM(Table242[[#This Row],[Total M%]]*Table242[[#This Row],[Material Unit Price]],Table242[[#This Row],[Total L %]]*Table242[[#This Row],[Labor Unit Price]])/SUM(Table242[[#This Row],[Material Unit Price]:[Labor Unit Price]])</f>
        <v>0</v>
      </c>
      <c r="AD540"/>
      <c r="AE540"/>
      <c r="AF540" s="3"/>
      <c r="AQ540" s="188"/>
      <c r="AU540" s="188"/>
      <c r="AY540" s="188"/>
      <c r="BB540"/>
      <c r="BC540"/>
      <c r="BD540" s="154" t="s">
        <v>550</v>
      </c>
      <c r="BE540" s="2"/>
      <c r="BF540"/>
      <c r="BG540"/>
      <c r="BH540"/>
      <c r="BI540"/>
      <c r="BJ540"/>
      <c r="BK540"/>
      <c r="BL540"/>
      <c r="BM540"/>
      <c r="BN540"/>
      <c r="BO540"/>
      <c r="BP540"/>
      <c r="BQ540"/>
      <c r="BR540" s="156">
        <f t="shared" si="8"/>
        <v>0</v>
      </c>
    </row>
    <row r="541" spans="1:70" ht="15" hidden="1" customHeight="1">
      <c r="B541" s="3" t="s">
        <v>29</v>
      </c>
      <c r="C541" s="3"/>
      <c r="D541" s="3">
        <v>4400871907</v>
      </c>
      <c r="E541" s="3">
        <v>1</v>
      </c>
      <c r="F541" s="3" t="s">
        <v>2549</v>
      </c>
      <c r="G541" s="3"/>
      <c r="H541" s="3" t="s">
        <v>17</v>
      </c>
      <c r="I541" s="3"/>
      <c r="J541" s="163" t="s">
        <v>3576</v>
      </c>
      <c r="K541" s="164"/>
      <c r="L541" s="3">
        <v>1</v>
      </c>
      <c r="N541" s="148">
        <v>1223889.21</v>
      </c>
      <c r="R541" s="148">
        <f>Table242[[#This Row],[Material Unit Price]]+Table242[[#This Row],[Labor Unit Price]]+Table242[[#This Row],[GC + Manage+ Insur]]</f>
        <v>1223889.21</v>
      </c>
      <c r="S541" s="148">
        <f>Table242[[#This Row],[Total Per Tool]]*Table242[[#This Row],[Tool QTY]]</f>
        <v>1223889.21</v>
      </c>
      <c r="U541" s="149" t="s">
        <v>3577</v>
      </c>
      <c r="W541" s="148" t="s">
        <v>2551</v>
      </c>
      <c r="X54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470709.9</v>
      </c>
      <c r="Y541" s="150">
        <f>Table242[[#This Row],[Total AR (Received)]]/Table242[[#This Row],[PO Amount]]</f>
        <v>0.38460172387662445</v>
      </c>
      <c r="Z541" s="151">
        <f>Table242[[#This Row],[PO Amount]]-Table242[[#This Row],[Total AR (Received)]]</f>
        <v>753179.30999999994</v>
      </c>
      <c r="AA541" s="3"/>
      <c r="AF541" s="3"/>
      <c r="AQ541" s="188"/>
      <c r="AU541" s="188"/>
      <c r="AY541" s="188"/>
      <c r="BG541" s="287"/>
      <c r="BJ541" s="165"/>
      <c r="BL541" s="171">
        <v>470709.9</v>
      </c>
      <c r="BQ541" s="165">
        <v>23832.52</v>
      </c>
      <c r="BR541" s="156">
        <f t="shared" si="8"/>
        <v>0</v>
      </c>
    </row>
    <row r="542" spans="1:70" ht="15" hidden="1" customHeight="1">
      <c r="B542" s="3" t="s">
        <v>29</v>
      </c>
      <c r="C542" s="3"/>
      <c r="D542" s="3">
        <v>4400876005</v>
      </c>
      <c r="E542" s="3">
        <v>1</v>
      </c>
      <c r="F542" s="3" t="s">
        <v>2549</v>
      </c>
      <c r="G542" s="3"/>
      <c r="H542" s="3" t="s">
        <v>17</v>
      </c>
      <c r="I542" s="3"/>
      <c r="J542" s="163" t="s">
        <v>3578</v>
      </c>
      <c r="K542" s="164"/>
      <c r="L542" s="3">
        <v>1</v>
      </c>
      <c r="N542" s="148">
        <v>1529891</v>
      </c>
      <c r="R542" s="148">
        <f>Table242[[#This Row],[Material Unit Price]]+Table242[[#This Row],[Labor Unit Price]]+Table242[[#This Row],[GC + Manage+ Insur]]</f>
        <v>1529891</v>
      </c>
      <c r="S542" s="148">
        <f>Table242[[#This Row],[Total Per Tool]]*Table242[[#This Row],[Tool QTY]]</f>
        <v>1529891</v>
      </c>
      <c r="U542" s="149" t="s">
        <v>2274</v>
      </c>
      <c r="W542" s="148" t="s">
        <v>2551</v>
      </c>
      <c r="X54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581732.66</v>
      </c>
      <c r="Y542" s="150">
        <f>Table242[[#This Row],[Total AR (Received)]]/Table242[[#This Row],[PO Amount]]</f>
        <v>0.38024451415166183</v>
      </c>
      <c r="Z542" s="151">
        <f>Table242[[#This Row],[PO Amount]]-Table242[[#This Row],[Total AR (Received)]]</f>
        <v>948158.34</v>
      </c>
      <c r="AA542" s="3"/>
      <c r="AF542" s="3"/>
      <c r="AQ542" s="188"/>
      <c r="AU542" s="188"/>
      <c r="AY542" s="188"/>
      <c r="BG542" s="287"/>
      <c r="BJ542" s="165"/>
      <c r="BL542" s="171">
        <v>581732.66</v>
      </c>
      <c r="BR542" s="156">
        <f t="shared" si="8"/>
        <v>0</v>
      </c>
    </row>
    <row r="543" spans="1:70" ht="15" hidden="1" customHeight="1">
      <c r="B543" s="3" t="s">
        <v>29</v>
      </c>
      <c r="C543" s="3"/>
      <c r="D543" s="3">
        <v>4400876065</v>
      </c>
      <c r="E543" s="3">
        <v>1</v>
      </c>
      <c r="F543" s="3" t="s">
        <v>2549</v>
      </c>
      <c r="G543" s="3"/>
      <c r="H543" s="3" t="s">
        <v>17</v>
      </c>
      <c r="I543" s="3"/>
      <c r="J543" s="163" t="s">
        <v>3579</v>
      </c>
      <c r="K543" s="164"/>
      <c r="L543" s="3">
        <v>1</v>
      </c>
      <c r="N543" s="148">
        <v>1288473.42</v>
      </c>
      <c r="R543" s="148">
        <f>Table242[[#This Row],[Material Unit Price]]+Table242[[#This Row],[Labor Unit Price]]+Table242[[#This Row],[GC + Manage+ Insur]]</f>
        <v>1288473.42</v>
      </c>
      <c r="S543" s="148">
        <f>Table242[[#This Row],[Total Per Tool]]*Table242[[#This Row],[Tool QTY]]</f>
        <v>1288473.42</v>
      </c>
      <c r="U543" s="149" t="s">
        <v>2274</v>
      </c>
      <c r="W543" s="148" t="s">
        <v>2551</v>
      </c>
      <c r="X543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494640.73</v>
      </c>
      <c r="Y543" s="150">
        <f>Table242[[#This Row],[Total AR (Received)]]/Table242[[#This Row],[PO Amount]]</f>
        <v>0.38389672795888952</v>
      </c>
      <c r="Z543" s="151">
        <f>Table242[[#This Row],[PO Amount]]-Table242[[#This Row],[Total AR (Received)]]</f>
        <v>793832.69</v>
      </c>
      <c r="AA543" s="3"/>
      <c r="AF543" s="3"/>
      <c r="AQ543" s="188"/>
      <c r="AU543" s="188"/>
      <c r="AY543" s="188"/>
      <c r="BG543" s="287"/>
      <c r="BJ543" s="165"/>
      <c r="BL543" s="171">
        <v>494640.73</v>
      </c>
      <c r="BR543" s="156">
        <f t="shared" si="8"/>
        <v>0</v>
      </c>
    </row>
    <row r="544" spans="1:70" ht="15" hidden="1" customHeight="1">
      <c r="B544" s="3" t="s">
        <v>29</v>
      </c>
      <c r="C544" s="3"/>
      <c r="D544" s="3">
        <v>4400876069</v>
      </c>
      <c r="E544" s="3">
        <v>1</v>
      </c>
      <c r="F544" s="3" t="s">
        <v>2549</v>
      </c>
      <c r="G544" s="3"/>
      <c r="H544" s="3" t="s">
        <v>17</v>
      </c>
      <c r="I544" s="3"/>
      <c r="J544" s="163" t="s">
        <v>3580</v>
      </c>
      <c r="K544" s="164"/>
      <c r="L544" s="3">
        <v>1</v>
      </c>
      <c r="N544" s="148">
        <v>1492708.72</v>
      </c>
      <c r="R544" s="148">
        <f>Table242[[#This Row],[Material Unit Price]]+Table242[[#This Row],[Labor Unit Price]]+Table242[[#This Row],[GC + Manage+ Insur]]</f>
        <v>1492708.72</v>
      </c>
      <c r="S544" s="148">
        <f>Table242[[#This Row],[Total Per Tool]]*Table242[[#This Row],[Tool QTY]]</f>
        <v>1492708.72</v>
      </c>
      <c r="U544" s="149" t="s">
        <v>2274</v>
      </c>
      <c r="W544" s="148" t="s">
        <v>2551</v>
      </c>
      <c r="X544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567063.93999999994</v>
      </c>
      <c r="Y544" s="150">
        <f>Table242[[#This Row],[Total AR (Received)]]/Table242[[#This Row],[PO Amount]]</f>
        <v>0.37988921241111256</v>
      </c>
      <c r="Z544" s="151">
        <f>Table242[[#This Row],[PO Amount]]-Table242[[#This Row],[Total AR (Received)]]</f>
        <v>925644.78</v>
      </c>
      <c r="AA544" s="3"/>
      <c r="AF544" s="3"/>
      <c r="AQ544" s="188"/>
      <c r="AU544" s="188"/>
      <c r="AY544" s="188"/>
      <c r="BG544" s="287"/>
      <c r="BJ544" s="165"/>
      <c r="BL544" s="171">
        <v>567063.93999999994</v>
      </c>
      <c r="BR544" s="156">
        <f t="shared" si="8"/>
        <v>0</v>
      </c>
    </row>
    <row r="545" spans="1:70" ht="15" hidden="1" customHeight="1">
      <c r="A545" t="s">
        <v>3559</v>
      </c>
      <c r="B545" s="3" t="s">
        <v>29</v>
      </c>
      <c r="C545" s="3" t="s">
        <v>3581</v>
      </c>
      <c r="D545" s="3">
        <v>4400877228</v>
      </c>
      <c r="E545" s="3">
        <v>1</v>
      </c>
      <c r="F545" s="3" t="s">
        <v>2549</v>
      </c>
      <c r="G545" s="3" t="s">
        <v>2567</v>
      </c>
      <c r="H545" s="3" t="s">
        <v>17</v>
      </c>
      <c r="I545" s="3"/>
      <c r="J545" s="163" t="s">
        <v>3582</v>
      </c>
      <c r="K545" s="164"/>
      <c r="L545" s="3">
        <v>1</v>
      </c>
      <c r="N545" s="351">
        <v>1549584.78</v>
      </c>
      <c r="R545" s="148">
        <f>Table242[[#This Row],[Material Unit Price]]+Table242[[#This Row],[Labor Unit Price]]+Table242[[#This Row],[GC + Manage+ Insur]]</f>
        <v>1549584.78</v>
      </c>
      <c r="S545" s="148">
        <f>Table242[[#This Row],[Total Per Tool]]*Table242[[#This Row],[Tool QTY]]</f>
        <v>1549584.78</v>
      </c>
      <c r="U545" s="149" t="s">
        <v>3583</v>
      </c>
      <c r="W545" s="148" t="s">
        <v>2551</v>
      </c>
      <c r="X545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596043.64</v>
      </c>
      <c r="Y545" s="150">
        <f>Table242[[#This Row],[Total AR (Received)]]/Table242[[#This Row],[PO Amount]]</f>
        <v>0.3846473246852618</v>
      </c>
      <c r="Z545" s="151">
        <f>Table242[[#This Row],[PO Amount]]-Table242[[#This Row],[Total AR (Received)]]</f>
        <v>953541.14</v>
      </c>
      <c r="AA545" s="3"/>
      <c r="AF545" s="3"/>
      <c r="AQ545" s="188"/>
      <c r="AU545" s="188"/>
      <c r="AY545" s="188"/>
      <c r="BG545" s="287"/>
      <c r="BJ545" s="165"/>
      <c r="BL545" s="171">
        <v>596043.64</v>
      </c>
      <c r="BR545" s="156">
        <f t="shared" si="8"/>
        <v>0</v>
      </c>
    </row>
    <row r="546" spans="1:70" ht="15" hidden="1" customHeight="1">
      <c r="A546" t="s">
        <v>3559</v>
      </c>
      <c r="B546" s="3" t="s">
        <v>29</v>
      </c>
      <c r="C546" s="3" t="s">
        <v>3581</v>
      </c>
      <c r="D546" s="3">
        <v>4400877286</v>
      </c>
      <c r="E546" s="3">
        <v>1</v>
      </c>
      <c r="F546" s="3" t="s">
        <v>2549</v>
      </c>
      <c r="G546" s="3" t="s">
        <v>2567</v>
      </c>
      <c r="H546" s="3" t="s">
        <v>17</v>
      </c>
      <c r="I546" s="3"/>
      <c r="J546" s="163" t="s">
        <v>3584</v>
      </c>
      <c r="K546" s="164"/>
      <c r="L546" s="3">
        <v>1</v>
      </c>
      <c r="N546" s="351">
        <v>622563.15</v>
      </c>
      <c r="R546" s="148">
        <f>Table242[[#This Row],[Material Unit Price]]+Table242[[#This Row],[Labor Unit Price]]+Table242[[#This Row],[GC + Manage+ Insur]]</f>
        <v>622563.15</v>
      </c>
      <c r="S546" s="148">
        <f>Table242[[#This Row],[Total Per Tool]]*Table242[[#This Row],[Tool QTY]]</f>
        <v>622563.15</v>
      </c>
      <c r="U546" s="149">
        <v>45454</v>
      </c>
      <c r="W546" s="148" t="s">
        <v>2551</v>
      </c>
      <c r="X546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239354.15</v>
      </c>
      <c r="Y546" s="150">
        <f>Table242[[#This Row],[Total AR (Received)]]/Table242[[#This Row],[PO Amount]]</f>
        <v>0.38446565621495582</v>
      </c>
      <c r="Z546" s="151">
        <f>Table242[[#This Row],[PO Amount]]-Table242[[#This Row],[Total AR (Received)]]</f>
        <v>383209</v>
      </c>
      <c r="AA546" s="3"/>
      <c r="AF546" s="3"/>
      <c r="AQ546" s="188"/>
      <c r="AU546" s="188"/>
      <c r="AY546" s="188"/>
      <c r="BG546" s="287"/>
      <c r="BJ546" s="165"/>
      <c r="BL546" s="171">
        <v>239354.15</v>
      </c>
      <c r="BR546" s="156">
        <f t="shared" si="8"/>
        <v>0</v>
      </c>
    </row>
    <row r="547" spans="1:70" ht="15" hidden="1" customHeight="1">
      <c r="A547" t="s">
        <v>2888</v>
      </c>
      <c r="B547" s="3" t="s">
        <v>47</v>
      </c>
      <c r="C547" s="3"/>
      <c r="D547" s="3">
        <v>21999844</v>
      </c>
      <c r="E547" s="3">
        <v>1</v>
      </c>
      <c r="F547" s="3" t="s">
        <v>3023</v>
      </c>
      <c r="G547" s="3" t="s">
        <v>3024</v>
      </c>
      <c r="H547" s="3" t="s">
        <v>17</v>
      </c>
      <c r="I547" s="3"/>
      <c r="J547" s="163" t="s">
        <v>3585</v>
      </c>
      <c r="K547" s="164"/>
      <c r="L547" s="3">
        <v>1</v>
      </c>
      <c r="N547" s="148">
        <v>21128.799999999999</v>
      </c>
      <c r="R547" s="148">
        <f>Table242[[#This Row],[Material Unit Price]]+Table242[[#This Row],[Labor Unit Price]]+Table242[[#This Row],[GC + Manage+ Insur]]</f>
        <v>21128.799999999999</v>
      </c>
      <c r="S547" s="148">
        <f>Table242[[#This Row],[Total Per Tool]]*Table242[[#This Row],[Tool QTY]]</f>
        <v>21128.799999999999</v>
      </c>
      <c r="U547" s="149" t="s">
        <v>3586</v>
      </c>
      <c r="W547" s="148" t="s">
        <v>3587</v>
      </c>
      <c r="X547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547" s="150">
        <f>Table242[[#This Row],[Total AR (Received)]]/Table242[[#This Row],[PO Amount]]</f>
        <v>0</v>
      </c>
      <c r="Z547" s="151">
        <f>Table242[[#This Row],[PO Amount]]-Table242[[#This Row],[Total AR (Received)]]</f>
        <v>21128.799999999999</v>
      </c>
      <c r="AA547" s="3"/>
      <c r="AF547" s="3"/>
      <c r="AQ547" s="188"/>
      <c r="AU547" s="188"/>
      <c r="AY547" s="188"/>
      <c r="BG547" s="287"/>
      <c r="BJ547" s="165"/>
      <c r="BR547" s="156">
        <f t="shared" si="8"/>
        <v>0</v>
      </c>
    </row>
    <row r="548" spans="1:70" ht="15" hidden="1" customHeight="1">
      <c r="A548" t="s">
        <v>2888</v>
      </c>
      <c r="B548" s="3" t="s">
        <v>34</v>
      </c>
      <c r="C548" s="3"/>
      <c r="D548" s="3">
        <v>2923149</v>
      </c>
      <c r="E548" s="3">
        <v>1</v>
      </c>
      <c r="F548" s="3" t="s">
        <v>3588</v>
      </c>
      <c r="G548" s="3"/>
      <c r="H548" s="3" t="s">
        <v>17</v>
      </c>
      <c r="I548" s="3"/>
      <c r="J548" s="163" t="s">
        <v>3589</v>
      </c>
      <c r="K548" s="164"/>
      <c r="L548" s="3">
        <v>1</v>
      </c>
      <c r="N548" s="148">
        <v>15345</v>
      </c>
      <c r="R548" s="148">
        <f>Table242[[#This Row],[Material Unit Price]]+Table242[[#This Row],[Labor Unit Price]]+Table242[[#This Row],[GC + Manage+ Insur]]</f>
        <v>15345</v>
      </c>
      <c r="S548" s="148">
        <f>Table242[[#This Row],[Total Per Tool]]*Table242[[#This Row],[Tool QTY]]</f>
        <v>15345</v>
      </c>
      <c r="U548" s="149" t="s">
        <v>2400</v>
      </c>
      <c r="W548" s="148" t="s">
        <v>2896</v>
      </c>
      <c r="X548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548" s="150">
        <f>Table242[[#This Row],[Total AR (Received)]]/Table242[[#This Row],[PO Amount]]</f>
        <v>0</v>
      </c>
      <c r="Z548" s="151">
        <f>Table242[[#This Row],[PO Amount]]-Table242[[#This Row],[Total AR (Received)]]</f>
        <v>15345</v>
      </c>
      <c r="AA548" s="3"/>
      <c r="AF548" s="3"/>
      <c r="AQ548" s="188"/>
      <c r="AU548" s="188"/>
      <c r="AY548" s="188"/>
      <c r="BG548" s="287"/>
      <c r="BJ548" s="165"/>
      <c r="BM548" s="171">
        <v>15345</v>
      </c>
      <c r="BR548" s="156">
        <f t="shared" ref="BR548:BR549" si="9">SUM(AD548:BH548)</f>
        <v>0</v>
      </c>
    </row>
    <row r="549" spans="1:70" ht="15" hidden="1" customHeight="1">
      <c r="A549" t="s">
        <v>3547</v>
      </c>
      <c r="B549" s="3" t="s">
        <v>29</v>
      </c>
      <c r="C549" s="3"/>
      <c r="D549" s="3">
        <v>4400891729</v>
      </c>
      <c r="E549" s="3">
        <v>1</v>
      </c>
      <c r="F549" s="3" t="s">
        <v>2549</v>
      </c>
      <c r="G549" s="3"/>
      <c r="H549" s="3" t="s">
        <v>17</v>
      </c>
      <c r="I549" s="3"/>
      <c r="J549" s="163" t="s">
        <v>3590</v>
      </c>
      <c r="K549" s="164"/>
      <c r="L549" s="3">
        <v>1</v>
      </c>
      <c r="N549" s="148">
        <v>9419.42</v>
      </c>
      <c r="R549" s="148">
        <f>Table242[[#This Row],[Material Unit Price]]+Table242[[#This Row],[Labor Unit Price]]+Table242[[#This Row],[GC + Manage+ Insur]]</f>
        <v>9419.42</v>
      </c>
      <c r="S549" s="148">
        <f>Table242[[#This Row],[Total Per Tool]]*Table242[[#This Row],[Tool QTY]]</f>
        <v>9419.42</v>
      </c>
      <c r="U549" s="149" t="s">
        <v>3591</v>
      </c>
      <c r="W549" s="148" t="s">
        <v>2551</v>
      </c>
      <c r="X549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9419.42</v>
      </c>
      <c r="Y549" s="150">
        <f>Table242[[#This Row],[Total AR (Received)]]/Table242[[#This Row],[PO Amount]]</f>
        <v>1</v>
      </c>
      <c r="Z549" s="151">
        <f>Table242[[#This Row],[PO Amount]]-Table242[[#This Row],[Total AR (Received)]]</f>
        <v>0</v>
      </c>
      <c r="AA549" s="3"/>
      <c r="AD549" s="182">
        <v>9419.42</v>
      </c>
      <c r="AF549" s="3"/>
      <c r="AQ549" s="188"/>
      <c r="AU549" s="188"/>
      <c r="AY549" s="188"/>
      <c r="BG549" s="287"/>
      <c r="BJ549" s="165"/>
      <c r="BR549" s="156">
        <f t="shared" si="9"/>
        <v>9419.42</v>
      </c>
    </row>
    <row r="550" spans="1:70" ht="15" hidden="1" customHeight="1">
      <c r="A550" t="s">
        <v>3559</v>
      </c>
      <c r="B550" s="3" t="s">
        <v>49</v>
      </c>
      <c r="C550" s="3" t="s">
        <v>3592</v>
      </c>
      <c r="D550" s="3">
        <v>4800121768</v>
      </c>
      <c r="E550" s="3">
        <v>1</v>
      </c>
      <c r="F550" s="3"/>
      <c r="G550" s="3"/>
      <c r="H550" s="3" t="s">
        <v>17</v>
      </c>
      <c r="I550" s="3"/>
      <c r="J550" s="163" t="s">
        <v>3593</v>
      </c>
      <c r="K550" s="164"/>
      <c r="L550" s="3">
        <v>1</v>
      </c>
      <c r="N550" s="148">
        <v>24084.65</v>
      </c>
      <c r="R550" s="148">
        <f>Table242[[#This Row],[Material Unit Price]]+Table242[[#This Row],[Labor Unit Price]]+Table242[[#This Row],[GC + Manage+ Insur]]</f>
        <v>24084.65</v>
      </c>
      <c r="S550" s="148">
        <f>Table242[[#This Row],[Total Per Tool]]*Table242[[#This Row],[Tool QTY]]</f>
        <v>24084.65</v>
      </c>
      <c r="U550" s="149" t="s">
        <v>3594</v>
      </c>
      <c r="W550" s="148" t="s">
        <v>3595</v>
      </c>
      <c r="X550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550" s="150">
        <f>Table242[[#This Row],[Total AR (Received)]]/Table242[[#This Row],[PO Amount]]</f>
        <v>0</v>
      </c>
      <c r="Z550" s="151">
        <f>Table242[[#This Row],[PO Amount]]-Table242[[#This Row],[Total AR (Received)]]</f>
        <v>24084.65</v>
      </c>
      <c r="AA550" s="3"/>
      <c r="AF550" s="3"/>
      <c r="AQ550" s="188"/>
      <c r="AU550" s="188"/>
      <c r="AY550" s="188"/>
      <c r="BG550" s="287"/>
      <c r="BJ550" s="165"/>
      <c r="BR550" s="156">
        <f>SUM(AD550:BH550)</f>
        <v>0</v>
      </c>
    </row>
    <row r="551" spans="1:70" ht="15" hidden="1" customHeight="1">
      <c r="A551" t="s">
        <v>2888</v>
      </c>
      <c r="B551" s="3" t="s">
        <v>50</v>
      </c>
      <c r="C551" s="3" t="s">
        <v>3596</v>
      </c>
      <c r="D551" s="3">
        <v>6456</v>
      </c>
      <c r="E551" s="3">
        <v>1</v>
      </c>
      <c r="F551" s="3"/>
      <c r="G551" s="3"/>
      <c r="H551" s="3" t="s">
        <v>17</v>
      </c>
      <c r="I551" s="3" t="s">
        <v>3597</v>
      </c>
      <c r="J551" s="163" t="s">
        <v>3598</v>
      </c>
      <c r="K551" s="164"/>
      <c r="L551" s="3">
        <v>1</v>
      </c>
      <c r="N551" s="148">
        <v>20335.439999999999</v>
      </c>
      <c r="R551" s="148">
        <f>Table242[[#This Row],[Material Unit Price]]+Table242[[#This Row],[Labor Unit Price]]+Table242[[#This Row],[GC + Manage+ Insur]]</f>
        <v>20335.439999999999</v>
      </c>
      <c r="S551" s="148">
        <f>Table242[[#This Row],[Total Per Tool]]*Table242[[#This Row],[Tool QTY]]</f>
        <v>20335.439999999999</v>
      </c>
      <c r="U551" s="149" t="s">
        <v>3599</v>
      </c>
      <c r="W551" s="148" t="s">
        <v>3600</v>
      </c>
      <c r="X551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551" s="150">
        <f>Table242[[#This Row],[Total AR (Received)]]/Table242[[#This Row],[PO Amount]]</f>
        <v>0</v>
      </c>
      <c r="Z551" s="151">
        <f>Table242[[#This Row],[PO Amount]]-Table242[[#This Row],[Total AR (Received)]]</f>
        <v>20335.439999999999</v>
      </c>
      <c r="AA551" s="3"/>
      <c r="AF551" s="3"/>
      <c r="AQ551" s="188"/>
      <c r="AU551" s="188"/>
      <c r="AY551" s="188"/>
      <c r="BG551" s="287"/>
      <c r="BJ551" s="165"/>
      <c r="BN551" s="649"/>
      <c r="BO551" s="649"/>
      <c r="BP551" s="649"/>
      <c r="BQ551" s="649"/>
      <c r="BR551" s="156">
        <f t="shared" ref="BR551:BR552" si="10">SUM(AD551:BH551)</f>
        <v>0</v>
      </c>
    </row>
    <row r="552" spans="1:70" ht="15" hidden="1" customHeight="1">
      <c r="A552" t="s">
        <v>2888</v>
      </c>
      <c r="B552" s="3" t="s">
        <v>50</v>
      </c>
      <c r="C552" s="3" t="s">
        <v>3596</v>
      </c>
      <c r="D552" s="3">
        <v>6457</v>
      </c>
      <c r="E552" s="3">
        <v>1</v>
      </c>
      <c r="F552" s="3"/>
      <c r="G552" s="3"/>
      <c r="H552" s="3" t="s">
        <v>17</v>
      </c>
      <c r="I552" s="3" t="s">
        <v>3601</v>
      </c>
      <c r="J552" s="163" t="s">
        <v>3602</v>
      </c>
      <c r="K552" s="164"/>
      <c r="L552" s="3">
        <v>1</v>
      </c>
      <c r="N552" s="148">
        <v>20335.439999999999</v>
      </c>
      <c r="R552" s="148">
        <f>Table242[[#This Row],[Material Unit Price]]+Table242[[#This Row],[Labor Unit Price]]+Table242[[#This Row],[GC + Manage+ Insur]]</f>
        <v>20335.439999999999</v>
      </c>
      <c r="S552" s="148">
        <f>Table242[[#This Row],[Total Per Tool]]*Table242[[#This Row],[Tool QTY]]</f>
        <v>20335.439999999999</v>
      </c>
      <c r="U552" s="149" t="s">
        <v>3599</v>
      </c>
      <c r="W552" s="148" t="s">
        <v>3600</v>
      </c>
      <c r="X552" s="148">
        <f>SUM(Table242[[#This Row],[Feb-23 draft]],Table242[[#This Row],[23-Mar draft]],Table242[[#This Row],[23-Apr draft]],Table242[[#This Row],[23-May draft]],Table242[[#This Row],[23-June draft]],Table242[[#This Row],[23-July draft]],Table242[[#This Row],[23-Aug draft]],Table242[[#This Row],[23-Sep draft]],Table242[[#This Row],[23-Oct]],Table242[[#This Row],[23-Nov]],Table242[[#This Row],[23-Dec]],Table242[[#This Row],[24-Jan]],Table242[[#This Row],[24-Feb]],Table242[[#This Row],[24-Mar]],Table242[[#This Row],[24-Apr]],Table242[[#This Row],[24-May]],Table242[[#This Row],[24-Jun]],Table242[[#This Row],[24-Jul]],Table242[[#This Row],[24-Sep]])</f>
        <v>0</v>
      </c>
      <c r="Y552" s="150">
        <f>Table242[[#This Row],[Total AR (Received)]]/Table242[[#This Row],[PO Amount]]</f>
        <v>0</v>
      </c>
      <c r="Z552" s="151">
        <f>Table242[[#This Row],[PO Amount]]-Table242[[#This Row],[Total AR (Received)]]</f>
        <v>20335.439999999999</v>
      </c>
      <c r="AA552" s="3"/>
      <c r="AF552" s="3"/>
      <c r="AQ552" s="188"/>
      <c r="AU552" s="188"/>
      <c r="AY552" s="188"/>
      <c r="BG552" s="287"/>
      <c r="BJ552" s="165"/>
      <c r="BN552" s="649"/>
      <c r="BO552" s="649"/>
      <c r="BP552" s="649"/>
      <c r="BQ552" s="649"/>
      <c r="BR552" s="156">
        <f t="shared" si="10"/>
        <v>0</v>
      </c>
    </row>
  </sheetData>
  <phoneticPr fontId="14" type="noConversion"/>
  <conditionalFormatting sqref="D2:D552">
    <cfRule type="duplicateValues" dxfId="322" priority="3753"/>
    <cfRule type="duplicateValues" dxfId="321" priority="3754"/>
  </conditionalFormatting>
  <conditionalFormatting sqref="I2">
    <cfRule type="duplicateValues" dxfId="320" priority="2687"/>
  </conditionalFormatting>
  <conditionalFormatting sqref="I7:I20 I4:I5">
    <cfRule type="duplicateValues" dxfId="319" priority="3133"/>
  </conditionalFormatting>
  <conditionalFormatting sqref="I52:I54 I35:I50 I33 I21:I28">
    <cfRule type="duplicateValues" dxfId="318" priority="29"/>
  </conditionalFormatting>
  <conditionalFormatting sqref="I64:I89 I57:I58 I60:I62">
    <cfRule type="duplicateValues" dxfId="317" priority="28"/>
  </conditionalFormatting>
  <conditionalFormatting sqref="I92:I100 I63 I59 I56 I51 I34 I29:I32 I3 I6">
    <cfRule type="duplicateValues" dxfId="316" priority="7"/>
  </conditionalFormatting>
  <conditionalFormatting sqref="I101 I90:I91 I103:I104 I106:I107">
    <cfRule type="duplicateValues" dxfId="315" priority="27"/>
  </conditionalFormatting>
  <conditionalFormatting sqref="I147:I148">
    <cfRule type="duplicateValues" dxfId="314" priority="2740"/>
  </conditionalFormatting>
  <conditionalFormatting sqref="I149:I197 I108:I146 I105 I102">
    <cfRule type="duplicateValues" dxfId="313" priority="4"/>
  </conditionalFormatting>
  <conditionalFormatting sqref="I204:I205">
    <cfRule type="duplicateValues" dxfId="312" priority="2835"/>
  </conditionalFormatting>
  <conditionalFormatting sqref="I333:I334">
    <cfRule type="duplicateValues" dxfId="311" priority="2841"/>
  </conditionalFormatting>
  <conditionalFormatting sqref="I356:I382">
    <cfRule type="duplicateValues" dxfId="310" priority="22"/>
  </conditionalFormatting>
  <conditionalFormatting sqref="I383:I437">
    <cfRule type="duplicateValues" dxfId="309" priority="21"/>
  </conditionalFormatting>
  <conditionalFormatting sqref="I438:I537 I198:I203 I55 I206:I332 I335:I355">
    <cfRule type="duplicateValues" dxfId="308" priority="2836"/>
  </conditionalFormatting>
  <conditionalFormatting sqref="I538:I1048576 I1">
    <cfRule type="duplicateValues" dxfId="307" priority="2842"/>
  </conditionalFormatting>
  <conditionalFormatting sqref="K538:K1048576 Y1:Y552">
    <cfRule type="dataBar" priority="34">
      <dataBar>
        <cfvo type="num" val="0"/>
        <cfvo type="num" val="1"/>
        <color theme="2" tint="-0.249977111117893"/>
      </dataBar>
      <extLst>
        <ext xmlns:x14="http://schemas.microsoft.com/office/spreadsheetml/2009/9/main" uri="{B025F937-C7B1-47D3-B67F-A62EFF666E3E}">
          <x14:id>{42D7B731-A970-4571-B321-52079EC6B18D}</x14:id>
        </ext>
      </extLst>
    </cfRule>
  </conditionalFormatting>
  <pageMargins left="0.7" right="0.7" top="0.75" bottom="0.75" header="0.3" footer="0.3"/>
  <pageSetup orientation="portrait" r:id="rId1"/>
  <legacy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2D7B731-A970-4571-B321-52079EC6B18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K538:K1048576 Y1:Y552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3EF09-4825-4D06-A834-75F781092157}">
  <dimension ref="A1:BC1140"/>
  <sheetViews>
    <sheetView tabSelected="1" topLeftCell="E1" zoomScale="90" zoomScaleNormal="90" workbookViewId="0">
      <pane ySplit="1" topLeftCell="A974" activePane="bottomLeft" state="frozen"/>
      <selection pane="bottomLeft" activeCell="AA1141" sqref="AA1141"/>
      <selection activeCell="A911" sqref="A911"/>
    </sheetView>
  </sheetViews>
  <sheetFormatPr defaultColWidth="8.85546875" defaultRowHeight="15" customHeight="1" outlineLevelCol="1"/>
  <cols>
    <col min="1" max="1" width="8.85546875" style="413" customWidth="1"/>
    <col min="2" max="2" width="8.85546875" style="348" customWidth="1"/>
    <col min="3" max="3" width="23.42578125" style="277" customWidth="1"/>
    <col min="4" max="4" width="8.85546875" style="423" customWidth="1"/>
    <col min="5" max="5" width="19" style="423" hidden="1" customWidth="1" outlineLevel="1"/>
    <col min="6" max="6" width="9.85546875" style="423" hidden="1" customWidth="1" outlineLevel="1"/>
    <col min="7" max="7" width="8.85546875" style="423" customWidth="1" collapsed="1"/>
    <col min="8" max="8" width="12.7109375" style="423" hidden="1" customWidth="1" outlineLevel="1"/>
    <col min="9" max="9" width="18.28515625" style="423" hidden="1" customWidth="1" outlineLevel="1"/>
    <col min="10" max="10" width="22.42578125" style="423" hidden="1" customWidth="1" outlineLevel="1"/>
    <col min="11" max="11" width="17.140625" style="423" hidden="1" customWidth="1" outlineLevel="1"/>
    <col min="12" max="12" width="42.85546875" style="423" customWidth="1" collapsed="1"/>
    <col min="13" max="14" width="24.85546875" style="423" hidden="1" customWidth="1" outlineLevel="1"/>
    <col min="15" max="15" width="16.42578125" style="423" hidden="1" customWidth="1" outlineLevel="1"/>
    <col min="16" max="16" width="13.140625" style="420" customWidth="1" collapsed="1"/>
    <col min="17" max="17" width="11.42578125" style="425" hidden="1" customWidth="1" outlineLevel="1"/>
    <col min="18" max="18" width="8.85546875" style="577" customWidth="1" collapsed="1"/>
    <col min="19" max="19" width="17.85546875" style="578" customWidth="1"/>
    <col min="20" max="20" width="59.42578125" style="423" hidden="1" customWidth="1" outlineLevel="1"/>
    <col min="21" max="21" width="28.85546875" style="423" hidden="1" customWidth="1" outlineLevel="1"/>
    <col min="22" max="22" width="8.85546875" style="423" customWidth="1" collapsed="1"/>
    <col min="23" max="23" width="61" style="423" hidden="1" customWidth="1" outlineLevel="1"/>
    <col min="24" max="24" width="21.5703125" style="423" hidden="1" customWidth="1" outlineLevel="1"/>
    <col min="25" max="25" width="17" style="423" hidden="1" customWidth="1" outlineLevel="1"/>
    <col min="26" max="26" width="15.85546875" style="423" hidden="1" customWidth="1" outlineLevel="1"/>
    <col min="27" max="27" width="12.42578125" style="423" customWidth="1" collapsed="1"/>
    <col min="28" max="28" width="120.7109375" style="423" hidden="1" customWidth="1" outlineLevel="1"/>
    <col min="29" max="29" width="22.7109375" style="423" hidden="1" customWidth="1" outlineLevel="1"/>
    <col min="30" max="30" width="21" style="423" hidden="1" customWidth="1" outlineLevel="1"/>
    <col min="31" max="31" width="11.5703125" style="423" hidden="1" customWidth="1" outlineLevel="1"/>
    <col min="32" max="32" width="20.5703125" style="423" hidden="1" customWidth="1" outlineLevel="1"/>
    <col min="33" max="33" width="8.85546875" style="423" customWidth="1" collapsed="1"/>
    <col min="34" max="34" width="8.85546875" style="413" customWidth="1"/>
    <col min="35" max="35" width="8.85546875" style="423" customWidth="1"/>
    <col min="36" max="36" width="18.7109375" style="423" customWidth="1"/>
    <col min="37" max="37" width="19" style="413" hidden="1" customWidth="1" outlineLevel="1"/>
    <col min="38" max="38" width="10.85546875" style="425" hidden="1" customWidth="1" outlineLevel="1"/>
    <col min="39" max="39" width="18.42578125" style="413" hidden="1" customWidth="1" outlineLevel="1"/>
    <col min="40" max="40" width="13.140625" style="313" customWidth="1" collapsed="1"/>
    <col min="41" max="41" width="36.42578125" style="413" hidden="1" customWidth="1" outlineLevel="1"/>
    <col min="42" max="42" width="10.42578125" style="425" hidden="1" customWidth="1" outlineLevel="1"/>
    <col min="43" max="43" width="19.42578125" style="424" hidden="1" customWidth="1" outlineLevel="1"/>
    <col min="44" max="44" width="13.140625" style="316" customWidth="1" collapsed="1"/>
    <col min="45" max="45" width="8.85546875" style="454" customWidth="1"/>
    <col min="46" max="46" width="15.5703125" style="318" customWidth="1"/>
    <col min="47" max="47" width="8.85546875" style="298" customWidth="1"/>
    <col min="48" max="48" width="8.85546875" style="222" customWidth="1"/>
    <col min="49" max="49" width="9.85546875" style="576" hidden="1" customWidth="1" outlineLevel="1"/>
    <col min="50" max="50" width="19" style="425" hidden="1" customWidth="1" outlineLevel="1"/>
    <col min="51" max="51" width="10.42578125" style="425" hidden="1" customWidth="1" outlineLevel="1"/>
    <col min="52" max="52" width="8" style="423" hidden="1" customWidth="1" outlineLevel="1"/>
    <col min="53" max="53" width="19" style="425" hidden="1" customWidth="1" outlineLevel="1"/>
    <col min="54" max="54" width="38.7109375" style="423" hidden="1" customWidth="1" outlineLevel="1"/>
    <col min="55" max="55" width="8.85546875" style="423" customWidth="1" collapsed="1"/>
    <col min="56" max="16384" width="8.85546875" style="423"/>
  </cols>
  <sheetData>
    <row r="1" spans="1:54" s="557" customFormat="1" ht="29.1">
      <c r="A1" s="198" t="s">
        <v>3603</v>
      </c>
      <c r="B1" s="548" t="s">
        <v>3604</v>
      </c>
      <c r="C1" s="409" t="s">
        <v>2492</v>
      </c>
      <c r="D1" s="409" t="s">
        <v>3605</v>
      </c>
      <c r="E1" s="409" t="s">
        <v>3606</v>
      </c>
      <c r="F1" s="409" t="s">
        <v>1949</v>
      </c>
      <c r="G1" s="621" t="s">
        <v>3607</v>
      </c>
      <c r="H1" s="409" t="s">
        <v>3608</v>
      </c>
      <c r="I1" s="409" t="s">
        <v>3609</v>
      </c>
      <c r="J1" s="409" t="s">
        <v>3610</v>
      </c>
      <c r="K1" s="409" t="s">
        <v>3611</v>
      </c>
      <c r="L1" s="410" t="s">
        <v>1954</v>
      </c>
      <c r="M1" s="411" t="s">
        <v>3612</v>
      </c>
      <c r="N1" s="411" t="s">
        <v>1951</v>
      </c>
      <c r="O1" s="410" t="s">
        <v>3613</v>
      </c>
      <c r="P1" s="411" t="s">
        <v>3614</v>
      </c>
      <c r="Q1" s="589" t="s">
        <v>3615</v>
      </c>
      <c r="R1" s="549" t="s">
        <v>3616</v>
      </c>
      <c r="S1" s="550" t="s">
        <v>3617</v>
      </c>
      <c r="T1" s="410" t="s">
        <v>1958</v>
      </c>
      <c r="U1" s="409" t="s">
        <v>3618</v>
      </c>
      <c r="V1" s="409" t="s">
        <v>3619</v>
      </c>
      <c r="W1" s="411" t="s">
        <v>3620</v>
      </c>
      <c r="X1" s="411" t="s">
        <v>3621</v>
      </c>
      <c r="Y1" s="410" t="s">
        <v>3622</v>
      </c>
      <c r="Z1" s="409" t="s">
        <v>3623</v>
      </c>
      <c r="AA1" s="411" t="s">
        <v>0</v>
      </c>
      <c r="AB1" s="409" t="s">
        <v>3624</v>
      </c>
      <c r="AC1" s="412" t="s">
        <v>81</v>
      </c>
      <c r="AD1" s="410" t="s">
        <v>3625</v>
      </c>
      <c r="AE1" s="410" t="s">
        <v>3626</v>
      </c>
      <c r="AF1" s="410" t="s">
        <v>3627</v>
      </c>
      <c r="AG1" s="411" t="s">
        <v>3628</v>
      </c>
      <c r="AH1" s="551" t="s">
        <v>3629</v>
      </c>
      <c r="AI1" s="410" t="s">
        <v>3630</v>
      </c>
      <c r="AJ1" s="198" t="s">
        <v>3631</v>
      </c>
      <c r="AK1" s="552" t="s">
        <v>2547</v>
      </c>
      <c r="AL1" s="553" t="s">
        <v>3632</v>
      </c>
      <c r="AM1" s="200" t="s">
        <v>3633</v>
      </c>
      <c r="AN1" s="554" t="s">
        <v>3634</v>
      </c>
      <c r="AO1" s="555" t="s">
        <v>3635</v>
      </c>
      <c r="AP1" s="556" t="s">
        <v>3636</v>
      </c>
      <c r="AQ1" s="203" t="s">
        <v>3637</v>
      </c>
      <c r="AR1" s="556" t="s">
        <v>3638</v>
      </c>
      <c r="AS1" s="204" t="s">
        <v>3639</v>
      </c>
      <c r="AT1" s="205" t="s">
        <v>3640</v>
      </c>
      <c r="AU1" s="206" t="s">
        <v>3641</v>
      </c>
      <c r="AV1" s="557" t="s">
        <v>80</v>
      </c>
      <c r="AW1" s="548" t="s">
        <v>3642</v>
      </c>
      <c r="AX1" s="558" t="s">
        <v>3643</v>
      </c>
      <c r="AY1" s="579" t="s">
        <v>3644</v>
      </c>
      <c r="AZ1" s="580" t="s">
        <v>3645</v>
      </c>
      <c r="BA1" s="585" t="s">
        <v>3646</v>
      </c>
      <c r="BB1" s="557" t="s">
        <v>3647</v>
      </c>
    </row>
    <row r="2" spans="1:54" ht="14.45">
      <c r="A2" s="413">
        <v>1</v>
      </c>
      <c r="B2" s="413"/>
      <c r="C2" s="414" t="s">
        <v>10</v>
      </c>
      <c r="D2" s="414" t="s">
        <v>3648</v>
      </c>
      <c r="E2" s="414"/>
      <c r="F2" s="414"/>
      <c r="G2" s="414"/>
      <c r="H2" s="414"/>
      <c r="I2" s="414"/>
      <c r="J2" s="414"/>
      <c r="K2" s="414"/>
      <c r="L2" s="415" t="s">
        <v>3649</v>
      </c>
      <c r="M2" s="416" t="s">
        <v>2999</v>
      </c>
      <c r="N2" s="416" t="s">
        <v>2999</v>
      </c>
      <c r="O2" s="417"/>
      <c r="P2" s="416">
        <v>4590006245</v>
      </c>
      <c r="Q2" s="418">
        <v>44835</v>
      </c>
      <c r="R2" s="419">
        <v>1</v>
      </c>
      <c r="S2" s="458">
        <v>109083.27</v>
      </c>
      <c r="T2" s="420" t="s">
        <v>2156</v>
      </c>
      <c r="U2" s="414" t="s">
        <v>3650</v>
      </c>
      <c r="V2" s="414" t="s">
        <v>3651</v>
      </c>
      <c r="W2" s="417" t="s">
        <v>3649</v>
      </c>
      <c r="X2" s="417"/>
      <c r="Y2" s="421" t="s">
        <v>3652</v>
      </c>
      <c r="Z2" s="421" t="s">
        <v>3652</v>
      </c>
      <c r="AA2" s="416"/>
      <c r="AB2" s="414" t="s">
        <v>3653</v>
      </c>
      <c r="AC2" s="422"/>
      <c r="AD2" s="421"/>
      <c r="AE2" s="420"/>
      <c r="AF2" s="421"/>
      <c r="AG2" s="420">
        <v>0</v>
      </c>
      <c r="AH2" s="421" t="s">
        <v>3654</v>
      </c>
      <c r="AI2" s="420" t="s">
        <v>3655</v>
      </c>
      <c r="AJ2" s="413">
        <f t="shared" ref="AJ2:AJ33" si="0">P2</f>
        <v>4590006245</v>
      </c>
      <c r="AK2" s="423" t="s">
        <v>3656</v>
      </c>
      <c r="AL2" s="424">
        <v>45491</v>
      </c>
      <c r="AM2" s="361">
        <v>5991.26</v>
      </c>
      <c r="AN2" s="424">
        <v>45519</v>
      </c>
      <c r="AO2" s="423"/>
      <c r="AP2" s="413"/>
      <c r="AQ2" s="222"/>
      <c r="AR2" s="424"/>
      <c r="AS2" s="614">
        <f ca="1">表格1_6[[#This Row],[total amount]]/表格1_6[[#This Row],[PO$]]</f>
        <v>5.4923729367482292E-2</v>
      </c>
      <c r="AT2" s="223">
        <f ca="1">表格1_6[[#This Row],[invoice amount]]+表格1_6[[#This Row],[invoice amount2]]</f>
        <v>5991.26</v>
      </c>
      <c r="AU2" s="224" t="s">
        <v>3657</v>
      </c>
      <c r="AV2" s="420" t="s">
        <v>3658</v>
      </c>
      <c r="AW2" s="423" t="e">
        <f ca="1">VLOOKUP(表格1_6[[#This Row],[TI tool ID2]],工作表1!A:A,1,FALSE)</f>
        <v>#N/A</v>
      </c>
      <c r="AX2" s="425" t="e">
        <f ca="1">VLOOKUP(表格1_6[[#This Row],[PO+ITEM]],工作表1!B:E,2,FALSE)</f>
        <v>#N/A</v>
      </c>
      <c r="AY2" s="425" t="e">
        <f ca="1">VLOOKUP(表格1_6[[#This Row],[PO+ITEM]],工作表1!B:E,3,FALSE)</f>
        <v>#N/A</v>
      </c>
      <c r="AZ2" s="423" t="e">
        <f ca="1">VLOOKUP(表格1_6[[#This Row],[PO+ITEM]],工作表1!B:E,4,FALSE)</f>
        <v>#N/A</v>
      </c>
      <c r="BA2" s="425" t="e">
        <f ca="1">INDEX(工作表1!G:G, MATCH(表格1_6[[#This Row],[invoice number]]&amp;表格1_6[[#This Row],[invoice number2]],工作表1!G:G, 0))</f>
        <v>#N/A</v>
      </c>
      <c r="BB2" s="423" t="e">
        <f ca="1">VLOOKUP(表格1_6[[#This Row],[PO+ITEM]],工作表1!F:H,2,FALSE)</f>
        <v>#N/A</v>
      </c>
    </row>
    <row r="3" spans="1:54" ht="14.45">
      <c r="A3" s="413">
        <v>2</v>
      </c>
      <c r="B3" s="413" t="s">
        <v>3659</v>
      </c>
      <c r="C3" s="414" t="s">
        <v>16</v>
      </c>
      <c r="D3" s="414" t="s">
        <v>3648</v>
      </c>
      <c r="E3" s="414"/>
      <c r="F3" s="414"/>
      <c r="G3" s="414"/>
      <c r="H3" s="414"/>
      <c r="I3" s="414"/>
      <c r="J3" s="414"/>
      <c r="K3" s="414"/>
      <c r="L3" s="415" t="s">
        <v>3660</v>
      </c>
      <c r="M3" s="416" t="s">
        <v>2999</v>
      </c>
      <c r="N3" s="416" t="s">
        <v>2999</v>
      </c>
      <c r="O3" s="417"/>
      <c r="P3" s="416">
        <v>4590006253</v>
      </c>
      <c r="Q3" s="418">
        <v>44836</v>
      </c>
      <c r="R3" s="419">
        <v>1</v>
      </c>
      <c r="S3" s="458">
        <v>2588.64</v>
      </c>
      <c r="T3" s="420" t="s">
        <v>2156</v>
      </c>
      <c r="U3" s="414" t="s">
        <v>3661</v>
      </c>
      <c r="V3" s="414" t="s">
        <v>3662</v>
      </c>
      <c r="W3" s="417" t="s">
        <v>3663</v>
      </c>
      <c r="X3" s="417"/>
      <c r="Y3" s="421" t="s">
        <v>20</v>
      </c>
      <c r="Z3" s="421" t="s">
        <v>3652</v>
      </c>
      <c r="AA3" s="416"/>
      <c r="AB3" s="414" t="s">
        <v>3664</v>
      </c>
      <c r="AC3" s="422"/>
      <c r="AD3" s="421"/>
      <c r="AE3" s="420"/>
      <c r="AF3" s="421">
        <v>91426</v>
      </c>
      <c r="AG3" s="420" t="s">
        <v>3239</v>
      </c>
      <c r="AH3" s="421" t="s">
        <v>3665</v>
      </c>
      <c r="AI3" s="420" t="s">
        <v>3666</v>
      </c>
      <c r="AJ3" s="413">
        <f t="shared" si="0"/>
        <v>4590006253</v>
      </c>
      <c r="AK3" s="423"/>
      <c r="AL3" s="413"/>
      <c r="AM3" s="221"/>
      <c r="AN3" s="424"/>
      <c r="AO3" s="423"/>
      <c r="AP3" s="413"/>
      <c r="AQ3" s="222"/>
      <c r="AR3" s="424"/>
      <c r="AS3" s="614">
        <f ca="1">表格1_6[[#This Row],[total amount]]/表格1_6[[#This Row],[PO$]]</f>
        <v>0</v>
      </c>
      <c r="AT3" s="223">
        <f ca="1">表格1_6[[#This Row],[invoice amount]]+表格1_6[[#This Row],[invoice amount2]]</f>
        <v>0</v>
      </c>
      <c r="AU3" s="224"/>
      <c r="AV3" s="423"/>
      <c r="AW3" s="423" t="e">
        <f ca="1">VLOOKUP(表格1_6[[#This Row],[TI tool ID2]],工作表1!A:A,1,FALSE)</f>
        <v>#N/A</v>
      </c>
      <c r="AX3" s="425" t="e">
        <f ca="1">VLOOKUP(表格1_6[[#This Row],[PO+ITEM]],工作表1!B:E,2,FALSE)</f>
        <v>#N/A</v>
      </c>
      <c r="AY3" s="425" t="e">
        <f ca="1">VLOOKUP(表格1_6[[#This Row],[PO+ITEM]],工作表1!B:E,3,FALSE)</f>
        <v>#N/A</v>
      </c>
      <c r="AZ3" s="423" t="e">
        <f ca="1">VLOOKUP(表格1_6[[#This Row],[PO+ITEM]],工作表1!B:E,4,FALSE)</f>
        <v>#N/A</v>
      </c>
      <c r="BA3" s="425" t="e">
        <f ca="1">INDEX(工作表1!G:G, MATCH(表格1_6[[#This Row],[invoice number]]&amp;表格1_6[[#This Row],[invoice number2]],工作表1!G:G, 0))</f>
        <v>#N/A</v>
      </c>
      <c r="BB3" s="423" t="e">
        <f ca="1">VLOOKUP(表格1_6[[#This Row],[PO+ITEM]],工作表1!F:H,2,FALSE)</f>
        <v>#N/A</v>
      </c>
    </row>
    <row r="4" spans="1:54" ht="15.6">
      <c r="A4" s="413">
        <v>3</v>
      </c>
      <c r="B4" s="413"/>
      <c r="C4" s="414" t="s">
        <v>19</v>
      </c>
      <c r="D4" s="414" t="s">
        <v>3648</v>
      </c>
      <c r="E4" s="414"/>
      <c r="F4" s="414"/>
      <c r="G4" s="414"/>
      <c r="H4" s="414"/>
      <c r="I4" s="414"/>
      <c r="J4" s="414"/>
      <c r="K4" s="414"/>
      <c r="L4" s="415" t="s">
        <v>3667</v>
      </c>
      <c r="M4" s="416" t="s">
        <v>2888</v>
      </c>
      <c r="N4" s="416" t="s">
        <v>3668</v>
      </c>
      <c r="O4" s="417"/>
      <c r="P4" s="416">
        <v>4590006337</v>
      </c>
      <c r="Q4" s="418">
        <v>44838</v>
      </c>
      <c r="R4" s="419">
        <v>1</v>
      </c>
      <c r="S4" s="458">
        <v>237498.78</v>
      </c>
      <c r="T4" s="420" t="s">
        <v>2156</v>
      </c>
      <c r="U4" s="414" t="s">
        <v>3669</v>
      </c>
      <c r="V4" s="414" t="s">
        <v>3670</v>
      </c>
      <c r="W4" s="417" t="s">
        <v>3667</v>
      </c>
      <c r="X4" s="417"/>
      <c r="Y4" s="421" t="s">
        <v>3652</v>
      </c>
      <c r="Z4" s="421" t="s">
        <v>3652</v>
      </c>
      <c r="AA4" s="416" t="s">
        <v>3671</v>
      </c>
      <c r="AB4" s="414" t="s">
        <v>3672</v>
      </c>
      <c r="AC4" s="426"/>
      <c r="AD4" s="421"/>
      <c r="AE4" s="420"/>
      <c r="AF4" s="421"/>
      <c r="AG4" s="420">
        <v>0</v>
      </c>
      <c r="AH4" s="414" t="s">
        <v>19</v>
      </c>
      <c r="AI4" s="420"/>
      <c r="AJ4" s="413">
        <f t="shared" si="0"/>
        <v>4590006337</v>
      </c>
      <c r="AK4" s="423"/>
      <c r="AL4" s="424">
        <v>45017</v>
      </c>
      <c r="AM4" s="221">
        <v>94999.512000000002</v>
      </c>
      <c r="AN4" s="226">
        <v>45076</v>
      </c>
      <c r="AO4" s="423"/>
      <c r="AP4" s="413"/>
      <c r="AQ4" s="222"/>
      <c r="AR4" s="424"/>
      <c r="AS4" s="614">
        <f ca="1">表格1_6[[#This Row],[total amount]]/表格1_6[[#This Row],[PO$]]</f>
        <v>0.4</v>
      </c>
      <c r="AT4" s="223">
        <f ca="1">表格1_6[[#This Row],[invoice amount]]+表格1_6[[#This Row],[invoice amount2]]</f>
        <v>94999.512000000002</v>
      </c>
      <c r="AU4" s="224" t="s">
        <v>3673</v>
      </c>
      <c r="AV4" s="423"/>
      <c r="AW4" s="423" t="e">
        <f ca="1">VLOOKUP(表格1_6[[#This Row],[TI tool ID2]],工作表1!A:A,1,FALSE)</f>
        <v>#N/A</v>
      </c>
      <c r="AX4" s="425" t="e">
        <f ca="1">VLOOKUP(表格1_6[[#This Row],[PO+ITEM]],工作表1!B:E,2,FALSE)</f>
        <v>#N/A</v>
      </c>
      <c r="AY4" s="425" t="e">
        <f ca="1">VLOOKUP(表格1_6[[#This Row],[PO+ITEM]],工作表1!B:E,3,FALSE)</f>
        <v>#N/A</v>
      </c>
      <c r="AZ4" s="423" t="e">
        <f ca="1">VLOOKUP(表格1_6[[#This Row],[PO+ITEM]],工作表1!B:E,4,FALSE)</f>
        <v>#N/A</v>
      </c>
      <c r="BA4" s="425" t="e">
        <f ca="1">INDEX(工作表1!G:G, MATCH(表格1_6[[#This Row],[invoice number]]&amp;表格1_6[[#This Row],[invoice number2]],工作表1!G:G, 0))</f>
        <v>#N/A</v>
      </c>
      <c r="BB4" s="423" t="e">
        <f ca="1">VLOOKUP(表格1_6[[#This Row],[PO+ITEM]],工作表1!F:H,2,FALSE)</f>
        <v>#N/A</v>
      </c>
    </row>
    <row r="5" spans="1:54" ht="14.45">
      <c r="A5" s="413">
        <v>4</v>
      </c>
      <c r="B5" s="413" t="s">
        <v>3674</v>
      </c>
      <c r="C5" s="414" t="s">
        <v>17</v>
      </c>
      <c r="D5" s="414" t="s">
        <v>3648</v>
      </c>
      <c r="E5" s="414"/>
      <c r="F5" s="414"/>
      <c r="G5" s="414"/>
      <c r="H5" s="414"/>
      <c r="I5" s="414"/>
      <c r="J5" s="414"/>
      <c r="K5" s="414"/>
      <c r="L5" s="415" t="s">
        <v>3675</v>
      </c>
      <c r="M5" s="416" t="s">
        <v>2999</v>
      </c>
      <c r="N5" s="416" t="s">
        <v>2999</v>
      </c>
      <c r="O5" s="417"/>
      <c r="P5" s="416">
        <v>4590006444</v>
      </c>
      <c r="Q5" s="418">
        <v>44839</v>
      </c>
      <c r="R5" s="419">
        <v>1</v>
      </c>
      <c r="S5" s="458">
        <v>11513.93</v>
      </c>
      <c r="T5" s="420" t="s">
        <v>2156</v>
      </c>
      <c r="U5" s="414" t="s">
        <v>3676</v>
      </c>
      <c r="V5" s="414" t="s">
        <v>3677</v>
      </c>
      <c r="W5" s="417" t="s">
        <v>3678</v>
      </c>
      <c r="X5" s="417"/>
      <c r="Y5" s="421" t="s">
        <v>3652</v>
      </c>
      <c r="Z5" s="421" t="s">
        <v>3652</v>
      </c>
      <c r="AA5" s="416"/>
      <c r="AB5" s="414" t="s">
        <v>3679</v>
      </c>
      <c r="AC5" s="426"/>
      <c r="AD5" s="421"/>
      <c r="AE5" s="420"/>
      <c r="AF5" s="421">
        <v>90767</v>
      </c>
      <c r="AG5" s="420" t="s">
        <v>3680</v>
      </c>
      <c r="AH5" s="421" t="s">
        <v>3681</v>
      </c>
      <c r="AI5" s="420" t="s">
        <v>3682</v>
      </c>
      <c r="AJ5" s="413">
        <f t="shared" si="0"/>
        <v>4590006444</v>
      </c>
      <c r="AK5" s="423" t="s">
        <v>3683</v>
      </c>
      <c r="AL5" s="424">
        <v>45351</v>
      </c>
      <c r="AM5" s="221">
        <v>11513.93</v>
      </c>
      <c r="AN5" s="424">
        <v>45442</v>
      </c>
      <c r="AO5" s="423"/>
      <c r="AP5" s="413"/>
      <c r="AQ5" s="222"/>
      <c r="AR5" s="424"/>
      <c r="AS5" s="614">
        <f ca="1">表格1_6[[#This Row],[total amount]]/表格1_6[[#This Row],[PO$]]</f>
        <v>1</v>
      </c>
      <c r="AT5" s="223">
        <f ca="1">表格1_6[[#This Row],[invoice amount]]+表格1_6[[#This Row],[invoice amount2]]</f>
        <v>11513.93</v>
      </c>
      <c r="AU5" s="224" t="s">
        <v>3673</v>
      </c>
      <c r="AV5" s="423"/>
      <c r="AW5" s="423" t="e">
        <f ca="1">VLOOKUP(表格1_6[[#This Row],[TI tool ID2]],工作表1!A:A,1,FALSE)</f>
        <v>#N/A</v>
      </c>
      <c r="AX5" s="425" t="e">
        <f ca="1">VLOOKUP(表格1_6[[#This Row],[PO+ITEM]],工作表1!B:E,2,FALSE)</f>
        <v>#N/A</v>
      </c>
      <c r="AY5" s="425" t="e">
        <f ca="1">VLOOKUP(表格1_6[[#This Row],[PO+ITEM]],工作表1!B:E,3,FALSE)</f>
        <v>#N/A</v>
      </c>
      <c r="AZ5" s="423" t="e">
        <f ca="1">VLOOKUP(表格1_6[[#This Row],[PO+ITEM]],工作表1!B:E,4,FALSE)</f>
        <v>#N/A</v>
      </c>
      <c r="BA5" s="425" t="e">
        <f ca="1">INDEX(工作表1!G:G, MATCH(表格1_6[[#This Row],[invoice number]]&amp;表格1_6[[#This Row],[invoice number2]],工作表1!G:G, 0))</f>
        <v>#N/A</v>
      </c>
      <c r="BB5" s="423" t="e">
        <f ca="1">VLOOKUP(表格1_6[[#This Row],[PO+ITEM]],工作表1!F:H,2,FALSE)</f>
        <v>#N/A</v>
      </c>
    </row>
    <row r="6" spans="1:54" ht="14.45">
      <c r="A6" s="413">
        <v>5</v>
      </c>
      <c r="B6" s="413" t="s">
        <v>3659</v>
      </c>
      <c r="C6" s="414" t="s">
        <v>17</v>
      </c>
      <c r="D6" s="414" t="s">
        <v>3648</v>
      </c>
      <c r="E6" s="414"/>
      <c r="F6" s="414"/>
      <c r="G6" s="414"/>
      <c r="H6" s="414"/>
      <c r="I6" s="414"/>
      <c r="J6" s="414"/>
      <c r="K6" s="414"/>
      <c r="L6" s="415" t="s">
        <v>3684</v>
      </c>
      <c r="M6" s="416" t="s">
        <v>2999</v>
      </c>
      <c r="N6" s="416" t="s">
        <v>2999</v>
      </c>
      <c r="O6" s="417"/>
      <c r="P6" s="416">
        <v>4590006445</v>
      </c>
      <c r="Q6" s="418">
        <v>44839</v>
      </c>
      <c r="R6" s="419">
        <v>1</v>
      </c>
      <c r="S6" s="458">
        <v>11513.93</v>
      </c>
      <c r="T6" s="420" t="s">
        <v>2156</v>
      </c>
      <c r="U6" s="414" t="s">
        <v>3676</v>
      </c>
      <c r="V6" s="414" t="s">
        <v>3677</v>
      </c>
      <c r="W6" s="417" t="s">
        <v>3678</v>
      </c>
      <c r="X6" s="417"/>
      <c r="Y6" s="421" t="s">
        <v>3652</v>
      </c>
      <c r="Z6" s="421" t="s">
        <v>3652</v>
      </c>
      <c r="AA6" s="416"/>
      <c r="AB6" s="414" t="s">
        <v>3679</v>
      </c>
      <c r="AC6" s="426"/>
      <c r="AD6" s="421"/>
      <c r="AE6" s="420"/>
      <c r="AF6" s="421">
        <v>90768</v>
      </c>
      <c r="AG6" s="420" t="s">
        <v>3685</v>
      </c>
      <c r="AH6" s="421" t="s">
        <v>3681</v>
      </c>
      <c r="AI6" s="420" t="s">
        <v>3682</v>
      </c>
      <c r="AJ6" s="413">
        <f t="shared" si="0"/>
        <v>4590006445</v>
      </c>
      <c r="AK6" s="423"/>
      <c r="AL6" s="413"/>
      <c r="AM6" s="221"/>
      <c r="AN6" s="424"/>
      <c r="AO6" s="423"/>
      <c r="AP6" s="413"/>
      <c r="AQ6" s="222"/>
      <c r="AR6" s="424"/>
      <c r="AS6" s="614">
        <f ca="1">表格1_6[[#This Row],[total amount]]/表格1_6[[#This Row],[PO$]]</f>
        <v>0</v>
      </c>
      <c r="AT6" s="223">
        <f ca="1">表格1_6[[#This Row],[invoice amount]]+表格1_6[[#This Row],[invoice amount2]]</f>
        <v>0</v>
      </c>
      <c r="AU6" s="224"/>
      <c r="AV6" s="423"/>
      <c r="AW6" s="423" t="e">
        <f ca="1">VLOOKUP(表格1_6[[#This Row],[TI tool ID2]],工作表1!A:A,1,FALSE)</f>
        <v>#N/A</v>
      </c>
      <c r="AX6" s="425" t="e">
        <f ca="1">VLOOKUP(表格1_6[[#This Row],[PO+ITEM]],工作表1!B:E,2,FALSE)</f>
        <v>#N/A</v>
      </c>
      <c r="AY6" s="425" t="e">
        <f ca="1">VLOOKUP(表格1_6[[#This Row],[PO+ITEM]],工作表1!B:E,3,FALSE)</f>
        <v>#N/A</v>
      </c>
      <c r="AZ6" s="423" t="e">
        <f ca="1">VLOOKUP(表格1_6[[#This Row],[PO+ITEM]],工作表1!B:E,4,FALSE)</f>
        <v>#N/A</v>
      </c>
      <c r="BA6" s="425" t="e">
        <f ca="1">INDEX(工作表1!G:G, MATCH(表格1_6[[#This Row],[invoice number]]&amp;表格1_6[[#This Row],[invoice number2]],工作表1!G:G, 0))</f>
        <v>#N/A</v>
      </c>
      <c r="BB6" s="423" t="e">
        <f ca="1">VLOOKUP(表格1_6[[#This Row],[PO+ITEM]],工作表1!F:H,2,FALSE)</f>
        <v>#N/A</v>
      </c>
    </row>
    <row r="7" spans="1:54" ht="14.45">
      <c r="A7" s="413">
        <v>6</v>
      </c>
      <c r="B7" s="413" t="s">
        <v>3674</v>
      </c>
      <c r="C7" s="414" t="s">
        <v>17</v>
      </c>
      <c r="D7" s="414" t="s">
        <v>3648</v>
      </c>
      <c r="E7" s="414"/>
      <c r="F7" s="414"/>
      <c r="G7" s="414"/>
      <c r="H7" s="414"/>
      <c r="I7" s="414"/>
      <c r="J7" s="414"/>
      <c r="K7" s="414"/>
      <c r="L7" s="415" t="s">
        <v>3686</v>
      </c>
      <c r="M7" s="416" t="s">
        <v>2999</v>
      </c>
      <c r="N7" s="416" t="s">
        <v>2999</v>
      </c>
      <c r="O7" s="417"/>
      <c r="P7" s="416">
        <v>4590006446</v>
      </c>
      <c r="Q7" s="418">
        <v>44839</v>
      </c>
      <c r="R7" s="419">
        <v>1</v>
      </c>
      <c r="S7" s="458">
        <v>11513.93</v>
      </c>
      <c r="T7" s="420" t="s">
        <v>2156</v>
      </c>
      <c r="U7" s="414" t="s">
        <v>3676</v>
      </c>
      <c r="V7" s="414" t="s">
        <v>3677</v>
      </c>
      <c r="W7" s="417" t="s">
        <v>3678</v>
      </c>
      <c r="X7" s="417"/>
      <c r="Y7" s="421" t="s">
        <v>3652</v>
      </c>
      <c r="Z7" s="421" t="s">
        <v>3652</v>
      </c>
      <c r="AA7" s="416"/>
      <c r="AB7" s="414" t="s">
        <v>3679</v>
      </c>
      <c r="AC7" s="426"/>
      <c r="AD7" s="421"/>
      <c r="AE7" s="420"/>
      <c r="AF7" s="421">
        <v>90769</v>
      </c>
      <c r="AG7" s="420" t="s">
        <v>3687</v>
      </c>
      <c r="AH7" s="421" t="s">
        <v>3681</v>
      </c>
      <c r="AI7" s="420" t="s">
        <v>3682</v>
      </c>
      <c r="AJ7" s="413">
        <f t="shared" si="0"/>
        <v>4590006446</v>
      </c>
      <c r="AK7" s="423" t="s">
        <v>3688</v>
      </c>
      <c r="AL7" s="424">
        <v>45351</v>
      </c>
      <c r="AM7" s="221">
        <v>11513.93</v>
      </c>
      <c r="AN7" s="424">
        <v>45442</v>
      </c>
      <c r="AO7" s="423"/>
      <c r="AP7" s="413"/>
      <c r="AQ7" s="222"/>
      <c r="AR7" s="424"/>
      <c r="AS7" s="614">
        <f ca="1">表格1_6[[#This Row],[total amount]]/表格1_6[[#This Row],[PO$]]</f>
        <v>1</v>
      </c>
      <c r="AT7" s="223">
        <f ca="1">表格1_6[[#This Row],[invoice amount]]+表格1_6[[#This Row],[invoice amount2]]</f>
        <v>11513.93</v>
      </c>
      <c r="AU7" s="224" t="s">
        <v>3673</v>
      </c>
      <c r="AV7" s="423"/>
      <c r="AW7" s="423" t="e">
        <f ca="1">VLOOKUP(表格1_6[[#This Row],[TI tool ID2]],工作表1!A:A,1,FALSE)</f>
        <v>#N/A</v>
      </c>
      <c r="AX7" s="425" t="e">
        <f ca="1">VLOOKUP(表格1_6[[#This Row],[PO+ITEM]],工作表1!B:E,2,FALSE)</f>
        <v>#N/A</v>
      </c>
      <c r="AY7" s="425" t="e">
        <f ca="1">VLOOKUP(表格1_6[[#This Row],[PO+ITEM]],工作表1!B:E,3,FALSE)</f>
        <v>#N/A</v>
      </c>
      <c r="AZ7" s="423" t="e">
        <f ca="1">VLOOKUP(表格1_6[[#This Row],[PO+ITEM]],工作表1!B:E,4,FALSE)</f>
        <v>#N/A</v>
      </c>
      <c r="BA7" s="425" t="e">
        <f ca="1">INDEX(工作表1!G:G, MATCH(表格1_6[[#This Row],[invoice number]]&amp;表格1_6[[#This Row],[invoice number2]],工作表1!G:G, 0))</f>
        <v>#N/A</v>
      </c>
      <c r="BB7" s="423" t="e">
        <f ca="1">VLOOKUP(表格1_6[[#This Row],[PO+ITEM]],工作表1!F:H,2,FALSE)</f>
        <v>#N/A</v>
      </c>
    </row>
    <row r="8" spans="1:54" ht="14.45">
      <c r="A8" s="413">
        <v>7</v>
      </c>
      <c r="B8" s="413" t="s">
        <v>3659</v>
      </c>
      <c r="C8" s="414" t="s">
        <v>17</v>
      </c>
      <c r="D8" s="414" t="s">
        <v>3648</v>
      </c>
      <c r="E8" s="414"/>
      <c r="F8" s="414"/>
      <c r="G8" s="414"/>
      <c r="H8" s="414"/>
      <c r="I8" s="414"/>
      <c r="J8" s="414"/>
      <c r="K8" s="414"/>
      <c r="L8" s="415" t="s">
        <v>3689</v>
      </c>
      <c r="M8" s="416" t="s">
        <v>2999</v>
      </c>
      <c r="N8" s="416" t="s">
        <v>2999</v>
      </c>
      <c r="O8" s="417"/>
      <c r="P8" s="416">
        <v>4590006448</v>
      </c>
      <c r="Q8" s="418">
        <v>44839</v>
      </c>
      <c r="R8" s="419">
        <v>1</v>
      </c>
      <c r="S8" s="458">
        <v>11513.93</v>
      </c>
      <c r="T8" s="420" t="s">
        <v>2156</v>
      </c>
      <c r="U8" s="414" t="s">
        <v>3676</v>
      </c>
      <c r="V8" s="414" t="s">
        <v>3677</v>
      </c>
      <c r="W8" s="417" t="s">
        <v>3678</v>
      </c>
      <c r="X8" s="417"/>
      <c r="Y8" s="421" t="s">
        <v>3652</v>
      </c>
      <c r="Z8" s="421" t="s">
        <v>3652</v>
      </c>
      <c r="AA8" s="416"/>
      <c r="AB8" s="414" t="s">
        <v>3679</v>
      </c>
      <c r="AC8" s="426"/>
      <c r="AD8" s="421"/>
      <c r="AE8" s="420"/>
      <c r="AF8" s="421">
        <v>91258</v>
      </c>
      <c r="AG8" s="420" t="s">
        <v>3690</v>
      </c>
      <c r="AH8" s="421" t="s">
        <v>3681</v>
      </c>
      <c r="AI8" s="420" t="s">
        <v>3682</v>
      </c>
      <c r="AJ8" s="413">
        <f t="shared" si="0"/>
        <v>4590006448</v>
      </c>
      <c r="AK8" s="423"/>
      <c r="AL8" s="413"/>
      <c r="AM8" s="221"/>
      <c r="AN8" s="424"/>
      <c r="AO8" s="423"/>
      <c r="AP8" s="413"/>
      <c r="AQ8" s="222"/>
      <c r="AR8" s="424"/>
      <c r="AS8" s="614">
        <f ca="1">表格1_6[[#This Row],[total amount]]/表格1_6[[#This Row],[PO$]]</f>
        <v>0</v>
      </c>
      <c r="AT8" s="223">
        <f ca="1">表格1_6[[#This Row],[invoice amount]]+表格1_6[[#This Row],[invoice amount2]]</f>
        <v>0</v>
      </c>
      <c r="AU8" s="224"/>
      <c r="AV8" s="423"/>
      <c r="AW8" s="423" t="e">
        <f ca="1">VLOOKUP(表格1_6[[#This Row],[TI tool ID2]],工作表1!A:A,1,FALSE)</f>
        <v>#N/A</v>
      </c>
      <c r="AX8" s="425" t="e">
        <f ca="1">VLOOKUP(表格1_6[[#This Row],[PO+ITEM]],工作表1!B:E,2,FALSE)</f>
        <v>#N/A</v>
      </c>
      <c r="AY8" s="425" t="e">
        <f ca="1">VLOOKUP(表格1_6[[#This Row],[PO+ITEM]],工作表1!B:E,3,FALSE)</f>
        <v>#N/A</v>
      </c>
      <c r="AZ8" s="423" t="e">
        <f ca="1">VLOOKUP(表格1_6[[#This Row],[PO+ITEM]],工作表1!B:E,4,FALSE)</f>
        <v>#N/A</v>
      </c>
      <c r="BA8" s="425" t="e">
        <f ca="1">INDEX(工作表1!G:G, MATCH(表格1_6[[#This Row],[invoice number]]&amp;表格1_6[[#This Row],[invoice number2]],工作表1!G:G, 0))</f>
        <v>#N/A</v>
      </c>
      <c r="BB8" s="423" t="e">
        <f ca="1">VLOOKUP(表格1_6[[#This Row],[PO+ITEM]],工作表1!F:H,2,FALSE)</f>
        <v>#N/A</v>
      </c>
    </row>
    <row r="9" spans="1:54" ht="14.45">
      <c r="A9" s="413">
        <v>8</v>
      </c>
      <c r="B9" s="413" t="s">
        <v>3659</v>
      </c>
      <c r="C9" s="414" t="s">
        <v>17</v>
      </c>
      <c r="D9" s="414" t="s">
        <v>3648</v>
      </c>
      <c r="E9" s="414"/>
      <c r="F9" s="414"/>
      <c r="G9" s="414"/>
      <c r="H9" s="414"/>
      <c r="I9" s="414"/>
      <c r="J9" s="414"/>
      <c r="K9" s="414"/>
      <c r="L9" s="415" t="s">
        <v>3691</v>
      </c>
      <c r="M9" s="416" t="s">
        <v>2999</v>
      </c>
      <c r="N9" s="416" t="s">
        <v>2999</v>
      </c>
      <c r="O9" s="417"/>
      <c r="P9" s="416">
        <v>4590006449</v>
      </c>
      <c r="Q9" s="418">
        <v>44839</v>
      </c>
      <c r="R9" s="419">
        <v>1</v>
      </c>
      <c r="S9" s="458">
        <v>11513.93</v>
      </c>
      <c r="T9" s="420" t="s">
        <v>2156</v>
      </c>
      <c r="U9" s="414" t="s">
        <v>3676</v>
      </c>
      <c r="V9" s="414" t="s">
        <v>3677</v>
      </c>
      <c r="W9" s="417" t="s">
        <v>3678</v>
      </c>
      <c r="X9" s="417"/>
      <c r="Y9" s="421" t="s">
        <v>3652</v>
      </c>
      <c r="Z9" s="421" t="s">
        <v>3652</v>
      </c>
      <c r="AA9" s="416"/>
      <c r="AB9" s="414" t="s">
        <v>3679</v>
      </c>
      <c r="AC9" s="426"/>
      <c r="AD9" s="421"/>
      <c r="AE9" s="420"/>
      <c r="AF9" s="421">
        <v>91260</v>
      </c>
      <c r="AG9" s="420" t="s">
        <v>3692</v>
      </c>
      <c r="AH9" s="421" t="s">
        <v>3681</v>
      </c>
      <c r="AI9" s="420" t="s">
        <v>3682</v>
      </c>
      <c r="AJ9" s="413">
        <f t="shared" si="0"/>
        <v>4590006449</v>
      </c>
      <c r="AK9" s="423"/>
      <c r="AL9" s="413"/>
      <c r="AM9" s="221"/>
      <c r="AN9" s="424"/>
      <c r="AO9" s="423"/>
      <c r="AP9" s="413"/>
      <c r="AQ9" s="222"/>
      <c r="AR9" s="424"/>
      <c r="AS9" s="614">
        <f ca="1">表格1_6[[#This Row],[total amount]]/表格1_6[[#This Row],[PO$]]</f>
        <v>0</v>
      </c>
      <c r="AT9" s="223">
        <f ca="1">表格1_6[[#This Row],[invoice amount]]+表格1_6[[#This Row],[invoice amount2]]</f>
        <v>0</v>
      </c>
      <c r="AU9" s="224"/>
      <c r="AV9" s="423"/>
      <c r="AW9" s="423" t="e">
        <f ca="1">VLOOKUP(表格1_6[[#This Row],[TI tool ID2]],工作表1!A:A,1,FALSE)</f>
        <v>#N/A</v>
      </c>
      <c r="AX9" s="425" t="e">
        <f ca="1">VLOOKUP(表格1_6[[#This Row],[PO+ITEM]],工作表1!B:E,2,FALSE)</f>
        <v>#N/A</v>
      </c>
      <c r="AY9" s="425" t="e">
        <f ca="1">VLOOKUP(表格1_6[[#This Row],[PO+ITEM]],工作表1!B:E,3,FALSE)</f>
        <v>#N/A</v>
      </c>
      <c r="AZ9" s="423" t="e">
        <f ca="1">VLOOKUP(表格1_6[[#This Row],[PO+ITEM]],工作表1!B:E,4,FALSE)</f>
        <v>#N/A</v>
      </c>
      <c r="BA9" s="425" t="e">
        <f ca="1">INDEX(工作表1!G:G, MATCH(表格1_6[[#This Row],[invoice number]]&amp;表格1_6[[#This Row],[invoice number2]],工作表1!G:G, 0))</f>
        <v>#N/A</v>
      </c>
      <c r="BB9" s="423" t="e">
        <f ca="1">VLOOKUP(表格1_6[[#This Row],[PO+ITEM]],工作表1!F:H,2,FALSE)</f>
        <v>#N/A</v>
      </c>
    </row>
    <row r="10" spans="1:54" ht="14.45">
      <c r="A10" s="413">
        <v>9</v>
      </c>
      <c r="B10" s="413" t="s">
        <v>3659</v>
      </c>
      <c r="C10" s="414" t="s">
        <v>17</v>
      </c>
      <c r="D10" s="414" t="s">
        <v>3648</v>
      </c>
      <c r="E10" s="414"/>
      <c r="F10" s="414"/>
      <c r="G10" s="414"/>
      <c r="H10" s="414"/>
      <c r="I10" s="414"/>
      <c r="J10" s="414"/>
      <c r="K10" s="414"/>
      <c r="L10" s="415" t="s">
        <v>3693</v>
      </c>
      <c r="M10" s="416" t="s">
        <v>2999</v>
      </c>
      <c r="N10" s="416" t="s">
        <v>2999</v>
      </c>
      <c r="O10" s="417"/>
      <c r="P10" s="416">
        <v>4590006450</v>
      </c>
      <c r="Q10" s="418">
        <v>44839</v>
      </c>
      <c r="R10" s="419">
        <v>1</v>
      </c>
      <c r="S10" s="458">
        <v>11513.93</v>
      </c>
      <c r="T10" s="420" t="s">
        <v>2156</v>
      </c>
      <c r="U10" s="414" t="s">
        <v>3676</v>
      </c>
      <c r="V10" s="414" t="s">
        <v>3677</v>
      </c>
      <c r="W10" s="417" t="s">
        <v>3678</v>
      </c>
      <c r="X10" s="417"/>
      <c r="Y10" s="421" t="s">
        <v>3652</v>
      </c>
      <c r="Z10" s="421" t="s">
        <v>3652</v>
      </c>
      <c r="AA10" s="416"/>
      <c r="AB10" s="414" t="s">
        <v>3679</v>
      </c>
      <c r="AC10" s="426"/>
      <c r="AD10" s="421"/>
      <c r="AE10" s="420"/>
      <c r="AF10" s="421">
        <v>91261</v>
      </c>
      <c r="AG10" s="420" t="s">
        <v>3694</v>
      </c>
      <c r="AH10" s="421" t="s">
        <v>3681</v>
      </c>
      <c r="AI10" s="420" t="s">
        <v>3682</v>
      </c>
      <c r="AJ10" s="413">
        <f t="shared" si="0"/>
        <v>4590006450</v>
      </c>
      <c r="AK10" s="423"/>
      <c r="AL10" s="413"/>
      <c r="AM10" s="221"/>
      <c r="AN10" s="424"/>
      <c r="AO10" s="423"/>
      <c r="AP10" s="413"/>
      <c r="AQ10" s="222"/>
      <c r="AR10" s="424"/>
      <c r="AS10" s="614">
        <f ca="1">表格1_6[[#This Row],[total amount]]/表格1_6[[#This Row],[PO$]]</f>
        <v>0</v>
      </c>
      <c r="AT10" s="223">
        <f ca="1">表格1_6[[#This Row],[invoice amount]]+表格1_6[[#This Row],[invoice amount2]]</f>
        <v>0</v>
      </c>
      <c r="AU10" s="224"/>
      <c r="AV10" s="423"/>
      <c r="AW10" s="423" t="e">
        <f ca="1">VLOOKUP(表格1_6[[#This Row],[TI tool ID2]],工作表1!A:A,1,FALSE)</f>
        <v>#N/A</v>
      </c>
      <c r="AX10" s="425" t="e">
        <f ca="1">VLOOKUP(表格1_6[[#This Row],[PO+ITEM]],工作表1!B:E,2,FALSE)</f>
        <v>#N/A</v>
      </c>
      <c r="AY10" s="425" t="e">
        <f ca="1">VLOOKUP(表格1_6[[#This Row],[PO+ITEM]],工作表1!B:E,3,FALSE)</f>
        <v>#N/A</v>
      </c>
      <c r="AZ10" s="423" t="e">
        <f ca="1">VLOOKUP(表格1_6[[#This Row],[PO+ITEM]],工作表1!B:E,4,FALSE)</f>
        <v>#N/A</v>
      </c>
      <c r="BA10" s="425" t="e">
        <f ca="1">INDEX(工作表1!G:G, MATCH(表格1_6[[#This Row],[invoice number]]&amp;表格1_6[[#This Row],[invoice number2]],工作表1!G:G, 0))</f>
        <v>#N/A</v>
      </c>
      <c r="BB10" s="423" t="e">
        <f ca="1">VLOOKUP(表格1_6[[#This Row],[PO+ITEM]],工作表1!F:H,2,FALSE)</f>
        <v>#N/A</v>
      </c>
    </row>
    <row r="11" spans="1:54" ht="14.45">
      <c r="A11" s="413">
        <v>10</v>
      </c>
      <c r="B11" s="413" t="s">
        <v>3659</v>
      </c>
      <c r="C11" s="414" t="s">
        <v>17</v>
      </c>
      <c r="D11" s="414" t="s">
        <v>3648</v>
      </c>
      <c r="E11" s="414"/>
      <c r="F11" s="414"/>
      <c r="G11" s="414"/>
      <c r="H11" s="414"/>
      <c r="I11" s="414"/>
      <c r="J11" s="414"/>
      <c r="K11" s="414"/>
      <c r="L11" s="415" t="s">
        <v>3695</v>
      </c>
      <c r="M11" s="416" t="s">
        <v>2999</v>
      </c>
      <c r="N11" s="416" t="s">
        <v>2999</v>
      </c>
      <c r="O11" s="417"/>
      <c r="P11" s="416">
        <v>4590006452</v>
      </c>
      <c r="Q11" s="418">
        <v>44839</v>
      </c>
      <c r="R11" s="419">
        <v>1</v>
      </c>
      <c r="S11" s="458">
        <v>11513.93</v>
      </c>
      <c r="T11" s="420" t="s">
        <v>2156</v>
      </c>
      <c r="U11" s="414" t="s">
        <v>3676</v>
      </c>
      <c r="V11" s="414" t="s">
        <v>3677</v>
      </c>
      <c r="W11" s="417" t="s">
        <v>3678</v>
      </c>
      <c r="X11" s="417"/>
      <c r="Y11" s="421" t="s">
        <v>3652</v>
      </c>
      <c r="Z11" s="421" t="s">
        <v>3652</v>
      </c>
      <c r="AA11" s="416"/>
      <c r="AB11" s="414" t="s">
        <v>3679</v>
      </c>
      <c r="AC11" s="426"/>
      <c r="AD11" s="421"/>
      <c r="AE11" s="420"/>
      <c r="AF11" s="421">
        <v>91265</v>
      </c>
      <c r="AG11" s="420" t="s">
        <v>3696</v>
      </c>
      <c r="AH11" s="421" t="s">
        <v>3681</v>
      </c>
      <c r="AI11" s="420" t="s">
        <v>3682</v>
      </c>
      <c r="AJ11" s="413">
        <f t="shared" si="0"/>
        <v>4590006452</v>
      </c>
      <c r="AK11" s="423"/>
      <c r="AL11" s="413"/>
      <c r="AM11" s="221"/>
      <c r="AN11" s="424"/>
      <c r="AO11" s="423"/>
      <c r="AP11" s="413"/>
      <c r="AQ11" s="222"/>
      <c r="AR11" s="424"/>
      <c r="AS11" s="614">
        <f ca="1">表格1_6[[#This Row],[total amount]]/表格1_6[[#This Row],[PO$]]</f>
        <v>0</v>
      </c>
      <c r="AT11" s="223">
        <f ca="1">表格1_6[[#This Row],[invoice amount]]+表格1_6[[#This Row],[invoice amount2]]</f>
        <v>0</v>
      </c>
      <c r="AU11" s="224"/>
      <c r="AV11" s="423"/>
      <c r="AW11" s="423" t="e">
        <f ca="1">VLOOKUP(表格1_6[[#This Row],[TI tool ID2]],工作表1!A:A,1,FALSE)</f>
        <v>#N/A</v>
      </c>
      <c r="AX11" s="425" t="e">
        <f ca="1">VLOOKUP(表格1_6[[#This Row],[PO+ITEM]],工作表1!B:E,2,FALSE)</f>
        <v>#N/A</v>
      </c>
      <c r="AY11" s="425" t="e">
        <f ca="1">VLOOKUP(表格1_6[[#This Row],[PO+ITEM]],工作表1!B:E,3,FALSE)</f>
        <v>#N/A</v>
      </c>
      <c r="AZ11" s="423" t="e">
        <f ca="1">VLOOKUP(表格1_6[[#This Row],[PO+ITEM]],工作表1!B:E,4,FALSE)</f>
        <v>#N/A</v>
      </c>
      <c r="BA11" s="425" t="e">
        <f ca="1">INDEX(工作表1!G:G, MATCH(表格1_6[[#This Row],[invoice number]]&amp;表格1_6[[#This Row],[invoice number2]],工作表1!G:G, 0))</f>
        <v>#N/A</v>
      </c>
      <c r="BB11" s="423" t="e">
        <f ca="1">VLOOKUP(表格1_6[[#This Row],[PO+ITEM]],工作表1!F:H,2,FALSE)</f>
        <v>#N/A</v>
      </c>
    </row>
    <row r="12" spans="1:54" ht="14.45">
      <c r="A12" s="413">
        <v>11</v>
      </c>
      <c r="B12" s="413" t="s">
        <v>3659</v>
      </c>
      <c r="C12" s="414" t="s">
        <v>17</v>
      </c>
      <c r="D12" s="414" t="s">
        <v>3648</v>
      </c>
      <c r="E12" s="414"/>
      <c r="F12" s="414"/>
      <c r="G12" s="414"/>
      <c r="H12" s="414"/>
      <c r="I12" s="414"/>
      <c r="J12" s="414"/>
      <c r="K12" s="414"/>
      <c r="L12" s="415" t="s">
        <v>3697</v>
      </c>
      <c r="M12" s="416" t="s">
        <v>2999</v>
      </c>
      <c r="N12" s="416" t="s">
        <v>2999</v>
      </c>
      <c r="O12" s="417"/>
      <c r="P12" s="416">
        <v>4590006455</v>
      </c>
      <c r="Q12" s="418">
        <v>44839</v>
      </c>
      <c r="R12" s="419">
        <v>1</v>
      </c>
      <c r="S12" s="458">
        <v>8620.6299999999992</v>
      </c>
      <c r="T12" s="420" t="s">
        <v>2156</v>
      </c>
      <c r="U12" s="414" t="s">
        <v>3676</v>
      </c>
      <c r="V12" s="414" t="s">
        <v>3677</v>
      </c>
      <c r="W12" s="417" t="s">
        <v>3678</v>
      </c>
      <c r="X12" s="417"/>
      <c r="Y12" s="421" t="s">
        <v>3652</v>
      </c>
      <c r="Z12" s="421" t="s">
        <v>3652</v>
      </c>
      <c r="AA12" s="416"/>
      <c r="AB12" s="414" t="s">
        <v>3679</v>
      </c>
      <c r="AC12" s="426"/>
      <c r="AD12" s="421"/>
      <c r="AE12" s="420"/>
      <c r="AF12" s="421">
        <v>90461</v>
      </c>
      <c r="AG12" s="420" t="s">
        <v>3698</v>
      </c>
      <c r="AH12" s="421" t="s">
        <v>3681</v>
      </c>
      <c r="AI12" s="420" t="s">
        <v>3699</v>
      </c>
      <c r="AJ12" s="413">
        <f t="shared" si="0"/>
        <v>4590006455</v>
      </c>
      <c r="AK12" s="425" t="s">
        <v>3700</v>
      </c>
      <c r="AL12" s="424">
        <v>45548</v>
      </c>
      <c r="AM12" s="221">
        <v>8620.6299999999992</v>
      </c>
      <c r="AN12" s="424"/>
      <c r="AO12" s="423"/>
      <c r="AP12" s="413"/>
      <c r="AQ12" s="222"/>
      <c r="AR12" s="424"/>
      <c r="AS12" s="614">
        <f ca="1">表格1_6[[#This Row],[total amount]]/表格1_6[[#This Row],[PO$]]</f>
        <v>1</v>
      </c>
      <c r="AT12" s="223">
        <f ca="1">表格1_6[[#This Row],[invoice amount]]+表格1_6[[#This Row],[invoice amount2]]</f>
        <v>8620.6299999999992</v>
      </c>
      <c r="AU12" s="224" t="s">
        <v>3701</v>
      </c>
      <c r="AV12" s="423"/>
      <c r="AW12" s="423" t="e">
        <f ca="1">VLOOKUP(表格1_6[[#This Row],[TI tool ID2]],工作表1!A:A,1,FALSE)</f>
        <v>#N/A</v>
      </c>
      <c r="AX12" s="425" t="e">
        <f ca="1">VLOOKUP(表格1_6[[#This Row],[PO+ITEM]],工作表1!B:E,2,FALSE)</f>
        <v>#N/A</v>
      </c>
      <c r="AY12" s="425" t="e">
        <f ca="1">VLOOKUP(表格1_6[[#This Row],[PO+ITEM]],工作表1!B:E,3,FALSE)</f>
        <v>#N/A</v>
      </c>
      <c r="AZ12" s="423" t="e">
        <f ca="1">VLOOKUP(表格1_6[[#This Row],[PO+ITEM]],工作表1!B:E,4,FALSE)</f>
        <v>#N/A</v>
      </c>
      <c r="BA12" s="425" t="e">
        <f ca="1">INDEX(工作表1!G:G, MATCH(表格1_6[[#This Row],[invoice number]]&amp;表格1_6[[#This Row],[invoice number2]],工作表1!G:G, 0))</f>
        <v>#N/A</v>
      </c>
      <c r="BB12" s="423" t="e">
        <f ca="1">VLOOKUP(表格1_6[[#This Row],[PO+ITEM]],工作表1!F:H,2,FALSE)</f>
        <v>#N/A</v>
      </c>
    </row>
    <row r="13" spans="1:54" ht="14.45">
      <c r="A13" s="413">
        <v>12</v>
      </c>
      <c r="B13" s="413" t="s">
        <v>3674</v>
      </c>
      <c r="C13" s="414" t="s">
        <v>17</v>
      </c>
      <c r="D13" s="414" t="s">
        <v>3648</v>
      </c>
      <c r="E13" s="414"/>
      <c r="F13" s="414"/>
      <c r="G13" s="414"/>
      <c r="H13" s="414"/>
      <c r="I13" s="414"/>
      <c r="J13" s="414"/>
      <c r="K13" s="414"/>
      <c r="L13" s="415" t="s">
        <v>3702</v>
      </c>
      <c r="M13" s="416" t="s">
        <v>2999</v>
      </c>
      <c r="N13" s="416" t="s">
        <v>2999</v>
      </c>
      <c r="O13" s="417"/>
      <c r="P13" s="416">
        <v>4590006458</v>
      </c>
      <c r="Q13" s="418">
        <v>44839</v>
      </c>
      <c r="R13" s="419">
        <v>1</v>
      </c>
      <c r="S13" s="458">
        <v>8620.6299999999992</v>
      </c>
      <c r="T13" s="420" t="s">
        <v>2156</v>
      </c>
      <c r="U13" s="414" t="s">
        <v>3676</v>
      </c>
      <c r="V13" s="414" t="s">
        <v>3677</v>
      </c>
      <c r="W13" s="417" t="s">
        <v>3678</v>
      </c>
      <c r="X13" s="417"/>
      <c r="Y13" s="421" t="s">
        <v>3652</v>
      </c>
      <c r="Z13" s="421" t="s">
        <v>3652</v>
      </c>
      <c r="AA13" s="416"/>
      <c r="AB13" s="414" t="s">
        <v>3679</v>
      </c>
      <c r="AC13" s="426"/>
      <c r="AD13" s="421"/>
      <c r="AE13" s="420"/>
      <c r="AF13" s="421">
        <v>90462</v>
      </c>
      <c r="AG13" s="420" t="s">
        <v>3703</v>
      </c>
      <c r="AH13" s="421" t="s">
        <v>3681</v>
      </c>
      <c r="AI13" s="420" t="s">
        <v>3699</v>
      </c>
      <c r="AJ13" s="413">
        <f t="shared" si="0"/>
        <v>4590006458</v>
      </c>
      <c r="AK13" s="423" t="s">
        <v>3704</v>
      </c>
      <c r="AL13" s="424">
        <v>45351</v>
      </c>
      <c r="AM13" s="221">
        <v>8620.6299999999992</v>
      </c>
      <c r="AN13" s="424">
        <v>45442</v>
      </c>
      <c r="AO13" s="423"/>
      <c r="AP13" s="413"/>
      <c r="AQ13" s="222"/>
      <c r="AR13" s="424"/>
      <c r="AS13" s="614">
        <f ca="1">表格1_6[[#This Row],[total amount]]/表格1_6[[#This Row],[PO$]]</f>
        <v>1</v>
      </c>
      <c r="AT13" s="223">
        <f ca="1">表格1_6[[#This Row],[invoice amount]]+表格1_6[[#This Row],[invoice amount2]]</f>
        <v>8620.6299999999992</v>
      </c>
      <c r="AU13" s="224" t="s">
        <v>3673</v>
      </c>
      <c r="AV13" s="423"/>
      <c r="AW13" s="423" t="e">
        <f ca="1">VLOOKUP(表格1_6[[#This Row],[TI tool ID2]],工作表1!A:A,1,FALSE)</f>
        <v>#N/A</v>
      </c>
      <c r="AX13" s="425" t="e">
        <f ca="1">VLOOKUP(表格1_6[[#This Row],[PO+ITEM]],工作表1!B:E,2,FALSE)</f>
        <v>#N/A</v>
      </c>
      <c r="AY13" s="425" t="e">
        <f ca="1">VLOOKUP(表格1_6[[#This Row],[PO+ITEM]],工作表1!B:E,3,FALSE)</f>
        <v>#N/A</v>
      </c>
      <c r="AZ13" s="423" t="e">
        <f ca="1">VLOOKUP(表格1_6[[#This Row],[PO+ITEM]],工作表1!B:E,4,FALSE)</f>
        <v>#N/A</v>
      </c>
      <c r="BA13" s="425" t="e">
        <f ca="1">INDEX(工作表1!G:G, MATCH(表格1_6[[#This Row],[invoice number]]&amp;表格1_6[[#This Row],[invoice number2]],工作表1!G:G, 0))</f>
        <v>#N/A</v>
      </c>
      <c r="BB13" s="423" t="e">
        <f ca="1">VLOOKUP(表格1_6[[#This Row],[PO+ITEM]],工作表1!F:H,2,FALSE)</f>
        <v>#N/A</v>
      </c>
    </row>
    <row r="14" spans="1:54" ht="14.45">
      <c r="A14" s="413">
        <v>13</v>
      </c>
      <c r="B14" s="413" t="s">
        <v>3659</v>
      </c>
      <c r="C14" s="414" t="s">
        <v>17</v>
      </c>
      <c r="D14" s="414" t="s">
        <v>3648</v>
      </c>
      <c r="E14" s="414"/>
      <c r="F14" s="414"/>
      <c r="G14" s="414"/>
      <c r="H14" s="414"/>
      <c r="I14" s="414"/>
      <c r="J14" s="414"/>
      <c r="K14" s="414"/>
      <c r="L14" s="415" t="s">
        <v>3705</v>
      </c>
      <c r="M14" s="416" t="s">
        <v>2999</v>
      </c>
      <c r="N14" s="416" t="s">
        <v>2999</v>
      </c>
      <c r="O14" s="417"/>
      <c r="P14" s="416">
        <v>4590006460</v>
      </c>
      <c r="Q14" s="418">
        <v>44839</v>
      </c>
      <c r="R14" s="419">
        <v>1</v>
      </c>
      <c r="S14" s="458">
        <v>8620.6299999999992</v>
      </c>
      <c r="T14" s="420" t="s">
        <v>2156</v>
      </c>
      <c r="U14" s="414" t="s">
        <v>3676</v>
      </c>
      <c r="V14" s="414" t="s">
        <v>3677</v>
      </c>
      <c r="W14" s="417" t="s">
        <v>3678</v>
      </c>
      <c r="X14" s="417"/>
      <c r="Y14" s="421" t="s">
        <v>3652</v>
      </c>
      <c r="Z14" s="421" t="s">
        <v>3652</v>
      </c>
      <c r="AA14" s="416"/>
      <c r="AB14" s="414" t="s">
        <v>3679</v>
      </c>
      <c r="AC14" s="426"/>
      <c r="AD14" s="421"/>
      <c r="AE14" s="420"/>
      <c r="AF14" s="421">
        <v>91267</v>
      </c>
      <c r="AG14" s="420" t="s">
        <v>3706</v>
      </c>
      <c r="AH14" s="421" t="s">
        <v>3681</v>
      </c>
      <c r="AI14" s="420" t="s">
        <v>3699</v>
      </c>
      <c r="AJ14" s="413">
        <f t="shared" si="0"/>
        <v>4590006460</v>
      </c>
      <c r="AK14" s="423"/>
      <c r="AL14" s="413"/>
      <c r="AM14" s="221"/>
      <c r="AN14" s="424"/>
      <c r="AO14" s="423"/>
      <c r="AP14" s="413"/>
      <c r="AQ14" s="222"/>
      <c r="AR14" s="424"/>
      <c r="AS14" s="614">
        <f ca="1">表格1_6[[#This Row],[total amount]]/表格1_6[[#This Row],[PO$]]</f>
        <v>0</v>
      </c>
      <c r="AT14" s="223">
        <f ca="1">表格1_6[[#This Row],[invoice amount]]+表格1_6[[#This Row],[invoice amount2]]</f>
        <v>0</v>
      </c>
      <c r="AU14" s="224"/>
      <c r="AV14" s="423"/>
      <c r="AW14" s="423" t="e">
        <f ca="1">VLOOKUP(表格1_6[[#This Row],[TI tool ID2]],工作表1!A:A,1,FALSE)</f>
        <v>#N/A</v>
      </c>
      <c r="AX14" s="425" t="e">
        <f ca="1">VLOOKUP(表格1_6[[#This Row],[PO+ITEM]],工作表1!B:E,2,FALSE)</f>
        <v>#N/A</v>
      </c>
      <c r="AY14" s="425" t="e">
        <f ca="1">VLOOKUP(表格1_6[[#This Row],[PO+ITEM]],工作表1!B:E,3,FALSE)</f>
        <v>#N/A</v>
      </c>
      <c r="AZ14" s="423" t="e">
        <f ca="1">VLOOKUP(表格1_6[[#This Row],[PO+ITEM]],工作表1!B:E,4,FALSE)</f>
        <v>#N/A</v>
      </c>
      <c r="BA14" s="425" t="e">
        <f ca="1">INDEX(工作表1!G:G, MATCH(表格1_6[[#This Row],[invoice number]]&amp;表格1_6[[#This Row],[invoice number2]],工作表1!G:G, 0))</f>
        <v>#N/A</v>
      </c>
      <c r="BB14" s="423" t="e">
        <f ca="1">VLOOKUP(表格1_6[[#This Row],[PO+ITEM]],工作表1!F:H,2,FALSE)</f>
        <v>#N/A</v>
      </c>
    </row>
    <row r="15" spans="1:54" ht="14.45">
      <c r="A15" s="413">
        <v>14</v>
      </c>
      <c r="B15" s="413"/>
      <c r="C15" s="414" t="s">
        <v>16</v>
      </c>
      <c r="D15" s="414" t="s">
        <v>3648</v>
      </c>
      <c r="E15" s="414"/>
      <c r="F15" s="414"/>
      <c r="G15" s="414"/>
      <c r="H15" s="414"/>
      <c r="I15" s="414"/>
      <c r="J15" s="414"/>
      <c r="K15" s="414"/>
      <c r="L15" s="420" t="s">
        <v>3707</v>
      </c>
      <c r="M15" s="416" t="s">
        <v>3708</v>
      </c>
      <c r="N15" s="416"/>
      <c r="O15" s="417"/>
      <c r="P15" s="416">
        <v>4590006660</v>
      </c>
      <c r="Q15" s="418">
        <v>44845</v>
      </c>
      <c r="R15" s="419">
        <v>1</v>
      </c>
      <c r="S15" s="458">
        <v>116266.32</v>
      </c>
      <c r="T15" s="420" t="s">
        <v>2148</v>
      </c>
      <c r="U15" s="414" t="s">
        <v>3709</v>
      </c>
      <c r="V15" s="414" t="s">
        <v>3662</v>
      </c>
      <c r="W15" s="417" t="s">
        <v>3663</v>
      </c>
      <c r="X15" s="417"/>
      <c r="Y15" s="421" t="s">
        <v>3652</v>
      </c>
      <c r="Z15" s="421" t="s">
        <v>3652</v>
      </c>
      <c r="AA15" s="416"/>
      <c r="AB15" s="414" t="s">
        <v>3710</v>
      </c>
      <c r="AC15" s="426"/>
      <c r="AD15" s="421"/>
      <c r="AE15" s="420"/>
      <c r="AF15" s="421"/>
      <c r="AG15" s="420">
        <v>0</v>
      </c>
      <c r="AH15" s="421" t="s">
        <v>3711</v>
      </c>
      <c r="AI15" s="420"/>
      <c r="AJ15" s="413">
        <f t="shared" si="0"/>
        <v>4590006660</v>
      </c>
      <c r="AK15" s="423"/>
      <c r="AL15" s="413"/>
      <c r="AM15" s="221"/>
      <c r="AN15" s="424"/>
      <c r="AO15" s="423"/>
      <c r="AP15" s="413"/>
      <c r="AQ15" s="222"/>
      <c r="AR15" s="424"/>
      <c r="AS15" s="614">
        <f ca="1">表格1_6[[#This Row],[total amount]]/表格1_6[[#This Row],[PO$]]</f>
        <v>0</v>
      </c>
      <c r="AT15" s="223">
        <f ca="1">表格1_6[[#This Row],[invoice amount]]+表格1_6[[#This Row],[invoice amount2]]</f>
        <v>0</v>
      </c>
      <c r="AU15" s="224"/>
      <c r="AV15" s="423"/>
      <c r="AW15" s="423" t="e">
        <f ca="1">VLOOKUP(表格1_6[[#This Row],[TI tool ID2]],工作表1!A:A,1,FALSE)</f>
        <v>#N/A</v>
      </c>
      <c r="AX15" s="425" t="e">
        <f ca="1">VLOOKUP(表格1_6[[#This Row],[PO+ITEM]],工作表1!B:E,2,FALSE)</f>
        <v>#N/A</v>
      </c>
      <c r="AY15" s="425" t="e">
        <f ca="1">VLOOKUP(表格1_6[[#This Row],[PO+ITEM]],工作表1!B:E,3,FALSE)</f>
        <v>#N/A</v>
      </c>
      <c r="AZ15" s="423" t="e">
        <f ca="1">VLOOKUP(表格1_6[[#This Row],[PO+ITEM]],工作表1!B:E,4,FALSE)</f>
        <v>#N/A</v>
      </c>
      <c r="BA15" s="425" t="e">
        <f ca="1">INDEX(工作表1!G:G, MATCH(表格1_6[[#This Row],[invoice number]]&amp;表格1_6[[#This Row],[invoice number2]],工作表1!G:G, 0))</f>
        <v>#N/A</v>
      </c>
      <c r="BB15" s="423" t="e">
        <f ca="1">VLOOKUP(表格1_6[[#This Row],[PO+ITEM]],工作表1!F:H,2,FALSE)</f>
        <v>#N/A</v>
      </c>
    </row>
    <row r="16" spans="1:54" ht="14.45">
      <c r="A16" s="413">
        <v>15</v>
      </c>
      <c r="B16" s="413" t="s">
        <v>3659</v>
      </c>
      <c r="C16" s="414" t="s">
        <v>17</v>
      </c>
      <c r="D16" s="414" t="s">
        <v>3648</v>
      </c>
      <c r="E16" s="414"/>
      <c r="F16" s="414"/>
      <c r="G16" s="414"/>
      <c r="H16" s="414"/>
      <c r="I16" s="414"/>
      <c r="J16" s="414"/>
      <c r="K16" s="414"/>
      <c r="L16" s="415" t="s">
        <v>3712</v>
      </c>
      <c r="M16" s="416" t="s">
        <v>2999</v>
      </c>
      <c r="N16" s="416" t="s">
        <v>2999</v>
      </c>
      <c r="O16" s="417"/>
      <c r="P16" s="416">
        <v>4590007572</v>
      </c>
      <c r="Q16" s="418">
        <v>44855</v>
      </c>
      <c r="R16" s="419">
        <v>1</v>
      </c>
      <c r="S16" s="458">
        <v>262952</v>
      </c>
      <c r="T16" s="420" t="s">
        <v>2156</v>
      </c>
      <c r="U16" s="414" t="s">
        <v>3713</v>
      </c>
      <c r="V16" s="414" t="s">
        <v>3714</v>
      </c>
      <c r="W16" s="417" t="s">
        <v>3715</v>
      </c>
      <c r="X16" s="417"/>
      <c r="Y16" s="421" t="s">
        <v>3652</v>
      </c>
      <c r="Z16" s="421" t="s">
        <v>3652</v>
      </c>
      <c r="AA16" s="416"/>
      <c r="AB16" s="414" t="s">
        <v>3716</v>
      </c>
      <c r="AC16" s="426"/>
      <c r="AD16" s="421"/>
      <c r="AE16" s="420"/>
      <c r="AF16" s="421">
        <v>90889</v>
      </c>
      <c r="AG16" s="420" t="s">
        <v>3717</v>
      </c>
      <c r="AH16" s="421" t="s">
        <v>3718</v>
      </c>
      <c r="AI16" s="420" t="s">
        <v>3719</v>
      </c>
      <c r="AJ16" s="413">
        <f t="shared" si="0"/>
        <v>4590007572</v>
      </c>
      <c r="AK16" s="423"/>
      <c r="AL16" s="413"/>
      <c r="AM16" s="221"/>
      <c r="AN16" s="424"/>
      <c r="AO16" s="423"/>
      <c r="AP16" s="413"/>
      <c r="AQ16" s="222"/>
      <c r="AR16" s="424"/>
      <c r="AS16" s="614">
        <f ca="1">表格1_6[[#This Row],[total amount]]/表格1_6[[#This Row],[PO$]]</f>
        <v>0</v>
      </c>
      <c r="AT16" s="223">
        <f ca="1">表格1_6[[#This Row],[invoice amount]]+表格1_6[[#This Row],[invoice amount2]]</f>
        <v>0</v>
      </c>
      <c r="AU16" s="224"/>
      <c r="AV16" s="423"/>
      <c r="AW16" s="423" t="e">
        <f ca="1">VLOOKUP(表格1_6[[#This Row],[TI tool ID2]],工作表1!A:A,1,FALSE)</f>
        <v>#N/A</v>
      </c>
      <c r="AX16" s="425" t="e">
        <f ca="1">VLOOKUP(表格1_6[[#This Row],[PO+ITEM]],工作表1!B:E,2,FALSE)</f>
        <v>#N/A</v>
      </c>
      <c r="AY16" s="425" t="e">
        <f ca="1">VLOOKUP(表格1_6[[#This Row],[PO+ITEM]],工作表1!B:E,3,FALSE)</f>
        <v>#N/A</v>
      </c>
      <c r="AZ16" s="423" t="e">
        <f ca="1">VLOOKUP(表格1_6[[#This Row],[PO+ITEM]],工作表1!B:E,4,FALSE)</f>
        <v>#N/A</v>
      </c>
      <c r="BA16" s="425" t="e">
        <f ca="1">INDEX(工作表1!G:G, MATCH(表格1_6[[#This Row],[invoice number]]&amp;表格1_6[[#This Row],[invoice number2]],工作表1!G:G, 0))</f>
        <v>#N/A</v>
      </c>
      <c r="BB16" s="423" t="e">
        <f ca="1">VLOOKUP(表格1_6[[#This Row],[PO+ITEM]],工作表1!F:H,2,FALSE)</f>
        <v>#N/A</v>
      </c>
    </row>
    <row r="17" spans="1:54" ht="15.6">
      <c r="A17" s="413">
        <v>16</v>
      </c>
      <c r="B17" s="413" t="s">
        <v>3674</v>
      </c>
      <c r="C17" s="414" t="s">
        <v>17</v>
      </c>
      <c r="D17" s="414" t="s">
        <v>3648</v>
      </c>
      <c r="E17" s="414"/>
      <c r="F17" s="414"/>
      <c r="G17" s="414"/>
      <c r="H17" s="414"/>
      <c r="I17" s="414"/>
      <c r="J17" s="414"/>
      <c r="K17" s="414"/>
      <c r="L17" s="415" t="s">
        <v>3720</v>
      </c>
      <c r="M17" s="416" t="s">
        <v>2999</v>
      </c>
      <c r="N17" s="416" t="s">
        <v>2999</v>
      </c>
      <c r="O17" s="417"/>
      <c r="P17" s="416">
        <v>4590007573</v>
      </c>
      <c r="Q17" s="418">
        <v>44855</v>
      </c>
      <c r="R17" s="419">
        <v>1</v>
      </c>
      <c r="S17" s="458">
        <v>262952</v>
      </c>
      <c r="T17" s="420" t="s">
        <v>2156</v>
      </c>
      <c r="U17" s="414" t="s">
        <v>3713</v>
      </c>
      <c r="V17" s="414" t="s">
        <v>3714</v>
      </c>
      <c r="W17" s="417" t="s">
        <v>3715</v>
      </c>
      <c r="X17" s="417"/>
      <c r="Y17" s="421" t="s">
        <v>3652</v>
      </c>
      <c r="Z17" s="421" t="s">
        <v>3652</v>
      </c>
      <c r="AA17" s="416"/>
      <c r="AB17" s="414" t="s">
        <v>3716</v>
      </c>
      <c r="AC17" s="426"/>
      <c r="AD17" s="421"/>
      <c r="AE17" s="420"/>
      <c r="AF17" s="421">
        <v>90431</v>
      </c>
      <c r="AG17" s="420" t="s">
        <v>3721</v>
      </c>
      <c r="AH17" s="421" t="s">
        <v>3718</v>
      </c>
      <c r="AI17" s="420" t="s">
        <v>3719</v>
      </c>
      <c r="AJ17" s="413">
        <f t="shared" si="0"/>
        <v>4590007573</v>
      </c>
      <c r="AK17" s="423"/>
      <c r="AL17" s="424">
        <v>45261</v>
      </c>
      <c r="AM17" s="221">
        <v>249804.4</v>
      </c>
      <c r="AN17" s="228">
        <v>45303</v>
      </c>
      <c r="AO17" s="423"/>
      <c r="AP17" s="413"/>
      <c r="AQ17" s="222"/>
      <c r="AR17" s="424"/>
      <c r="AS17" s="614">
        <f ca="1">表格1_6[[#This Row],[total amount]]/表格1_6[[#This Row],[PO$]]</f>
        <v>0.95</v>
      </c>
      <c r="AT17" s="223">
        <f ca="1">表格1_6[[#This Row],[invoice amount]]+表格1_6[[#This Row],[invoice amount2]]</f>
        <v>249804.4</v>
      </c>
      <c r="AU17" s="224" t="s">
        <v>3673</v>
      </c>
      <c r="AV17" s="423"/>
      <c r="AW17" s="423" t="e">
        <f ca="1">VLOOKUP(表格1_6[[#This Row],[TI tool ID2]],工作表1!A:A,1,FALSE)</f>
        <v>#N/A</v>
      </c>
      <c r="AX17" s="425" t="e">
        <f ca="1">VLOOKUP(表格1_6[[#This Row],[PO+ITEM]],工作表1!B:E,2,FALSE)</f>
        <v>#N/A</v>
      </c>
      <c r="AY17" s="425" t="e">
        <f ca="1">VLOOKUP(表格1_6[[#This Row],[PO+ITEM]],工作表1!B:E,3,FALSE)</f>
        <v>#N/A</v>
      </c>
      <c r="AZ17" s="423" t="e">
        <f ca="1">VLOOKUP(表格1_6[[#This Row],[PO+ITEM]],工作表1!B:E,4,FALSE)</f>
        <v>#N/A</v>
      </c>
      <c r="BA17" s="425" t="e">
        <f ca="1">INDEX(工作表1!G:G, MATCH(表格1_6[[#This Row],[invoice number]]&amp;表格1_6[[#This Row],[invoice number2]],工作表1!G:G, 0))</f>
        <v>#N/A</v>
      </c>
      <c r="BB17" s="423" t="e">
        <f ca="1">VLOOKUP(表格1_6[[#This Row],[PO+ITEM]],工作表1!F:H,2,FALSE)</f>
        <v>#N/A</v>
      </c>
    </row>
    <row r="18" spans="1:54" ht="14.45">
      <c r="A18" s="413">
        <v>17</v>
      </c>
      <c r="B18" s="413" t="s">
        <v>3674</v>
      </c>
      <c r="C18" s="414" t="s">
        <v>17</v>
      </c>
      <c r="D18" s="414" t="s">
        <v>3648</v>
      </c>
      <c r="E18" s="414"/>
      <c r="F18" s="414"/>
      <c r="G18" s="414"/>
      <c r="H18" s="414"/>
      <c r="I18" s="414"/>
      <c r="J18" s="414"/>
      <c r="K18" s="414"/>
      <c r="L18" s="415" t="s">
        <v>3722</v>
      </c>
      <c r="M18" s="416" t="s">
        <v>2999</v>
      </c>
      <c r="N18" s="416" t="s">
        <v>2999</v>
      </c>
      <c r="O18" s="417"/>
      <c r="P18" s="416">
        <v>4590007574</v>
      </c>
      <c r="Q18" s="418">
        <v>44855</v>
      </c>
      <c r="R18" s="419">
        <v>1</v>
      </c>
      <c r="S18" s="458">
        <v>262952</v>
      </c>
      <c r="T18" s="420" t="s">
        <v>2156</v>
      </c>
      <c r="U18" s="414" t="s">
        <v>3713</v>
      </c>
      <c r="V18" s="414" t="s">
        <v>3714</v>
      </c>
      <c r="W18" s="417" t="s">
        <v>3715</v>
      </c>
      <c r="X18" s="417"/>
      <c r="Y18" s="421" t="s">
        <v>3652</v>
      </c>
      <c r="Z18" s="421" t="s">
        <v>3652</v>
      </c>
      <c r="AA18" s="416"/>
      <c r="AB18" s="414" t="s">
        <v>3716</v>
      </c>
      <c r="AC18" s="426"/>
      <c r="AD18" s="421"/>
      <c r="AE18" s="420"/>
      <c r="AF18" s="421">
        <v>90430</v>
      </c>
      <c r="AG18" s="420" t="s">
        <v>3723</v>
      </c>
      <c r="AH18" s="421" t="s">
        <v>3718</v>
      </c>
      <c r="AI18" s="420" t="s">
        <v>3719</v>
      </c>
      <c r="AJ18" s="413">
        <f t="shared" si="0"/>
        <v>4590007574</v>
      </c>
      <c r="AK18" s="423" t="s">
        <v>3724</v>
      </c>
      <c r="AL18" s="424">
        <v>45429</v>
      </c>
      <c r="AM18" s="221">
        <v>262952</v>
      </c>
      <c r="AN18" s="424">
        <v>45503</v>
      </c>
      <c r="AO18" s="423"/>
      <c r="AP18" s="413"/>
      <c r="AQ18" s="222"/>
      <c r="AR18" s="424"/>
      <c r="AS18" s="614">
        <f ca="1">表格1_6[[#This Row],[total amount]]/表格1_6[[#This Row],[PO$]]</f>
        <v>1</v>
      </c>
      <c r="AT18" s="223">
        <f ca="1">表格1_6[[#This Row],[invoice amount]]+表格1_6[[#This Row],[invoice amount2]]</f>
        <v>262952</v>
      </c>
      <c r="AU18" s="224" t="s">
        <v>3725</v>
      </c>
      <c r="AV18" s="423"/>
      <c r="AW18" s="423" t="e">
        <f ca="1">VLOOKUP(表格1_6[[#This Row],[TI tool ID2]],工作表1!A:A,1,FALSE)</f>
        <v>#N/A</v>
      </c>
      <c r="AX18" s="425" t="e">
        <f ca="1">VLOOKUP(表格1_6[[#This Row],[PO+ITEM]],工作表1!B:E,2,FALSE)</f>
        <v>#N/A</v>
      </c>
      <c r="AY18" s="425" t="e">
        <f ca="1">VLOOKUP(表格1_6[[#This Row],[PO+ITEM]],工作表1!B:E,3,FALSE)</f>
        <v>#N/A</v>
      </c>
      <c r="AZ18" s="423" t="e">
        <f ca="1">VLOOKUP(表格1_6[[#This Row],[PO+ITEM]],工作表1!B:E,4,FALSE)</f>
        <v>#N/A</v>
      </c>
      <c r="BA18" s="425" t="e">
        <f ca="1">INDEX(工作表1!G:G, MATCH(表格1_6[[#This Row],[invoice number]]&amp;表格1_6[[#This Row],[invoice number2]],工作表1!G:G, 0))</f>
        <v>#N/A</v>
      </c>
      <c r="BB18" s="423" t="e">
        <f ca="1">VLOOKUP(表格1_6[[#This Row],[PO+ITEM]],工作表1!F:H,2,FALSE)</f>
        <v>#N/A</v>
      </c>
    </row>
    <row r="19" spans="1:54" ht="14.45">
      <c r="A19" s="413">
        <v>18</v>
      </c>
      <c r="B19" s="413" t="s">
        <v>3659</v>
      </c>
      <c r="C19" s="414" t="s">
        <v>17</v>
      </c>
      <c r="D19" s="414" t="s">
        <v>3648</v>
      </c>
      <c r="E19" s="414"/>
      <c r="F19" s="414"/>
      <c r="G19" s="414"/>
      <c r="H19" s="414"/>
      <c r="I19" s="414"/>
      <c r="J19" s="414"/>
      <c r="K19" s="414"/>
      <c r="L19" s="415" t="s">
        <v>3726</v>
      </c>
      <c r="M19" s="416" t="s">
        <v>2999</v>
      </c>
      <c r="N19" s="416" t="s">
        <v>2999</v>
      </c>
      <c r="O19" s="417"/>
      <c r="P19" s="416">
        <v>4590007575</v>
      </c>
      <c r="Q19" s="418">
        <v>44855</v>
      </c>
      <c r="R19" s="419">
        <v>1</v>
      </c>
      <c r="S19" s="458">
        <v>262952</v>
      </c>
      <c r="T19" s="420" t="s">
        <v>2156</v>
      </c>
      <c r="U19" s="414" t="s">
        <v>3713</v>
      </c>
      <c r="V19" s="414" t="s">
        <v>3714</v>
      </c>
      <c r="W19" s="417" t="s">
        <v>3715</v>
      </c>
      <c r="X19" s="417"/>
      <c r="Y19" s="421" t="s">
        <v>3652</v>
      </c>
      <c r="Z19" s="421" t="s">
        <v>3652</v>
      </c>
      <c r="AA19" s="416" t="s">
        <v>3727</v>
      </c>
      <c r="AB19" s="414" t="s">
        <v>3716</v>
      </c>
      <c r="AC19" s="426"/>
      <c r="AD19" s="421"/>
      <c r="AE19" s="420"/>
      <c r="AF19" s="421">
        <v>91357</v>
      </c>
      <c r="AG19" s="420" t="s">
        <v>3728</v>
      </c>
      <c r="AH19" s="421" t="s">
        <v>3718</v>
      </c>
      <c r="AI19" s="420" t="s">
        <v>3719</v>
      </c>
      <c r="AJ19" s="413">
        <f t="shared" si="0"/>
        <v>4590007575</v>
      </c>
      <c r="AK19" s="423"/>
      <c r="AL19" s="413"/>
      <c r="AM19" s="221"/>
      <c r="AN19" s="424"/>
      <c r="AO19" s="423"/>
      <c r="AP19" s="413"/>
      <c r="AQ19" s="222"/>
      <c r="AR19" s="424"/>
      <c r="AS19" s="614">
        <f ca="1">表格1_6[[#This Row],[total amount]]/表格1_6[[#This Row],[PO$]]</f>
        <v>0</v>
      </c>
      <c r="AT19" s="223">
        <f ca="1">表格1_6[[#This Row],[invoice amount]]+表格1_6[[#This Row],[invoice amount2]]</f>
        <v>0</v>
      </c>
      <c r="AU19" s="224"/>
      <c r="AV19" s="423"/>
      <c r="AW19" s="423" t="e">
        <f ca="1">VLOOKUP(表格1_6[[#This Row],[TI tool ID2]],工作表1!A:A,1,FALSE)</f>
        <v>#N/A</v>
      </c>
      <c r="AX19" s="425" t="e">
        <f ca="1">VLOOKUP(表格1_6[[#This Row],[PO+ITEM]],工作表1!B:E,2,FALSE)</f>
        <v>#N/A</v>
      </c>
      <c r="AY19" s="425" t="e">
        <f ca="1">VLOOKUP(表格1_6[[#This Row],[PO+ITEM]],工作表1!B:E,3,FALSE)</f>
        <v>#N/A</v>
      </c>
      <c r="AZ19" s="423" t="e">
        <f ca="1">VLOOKUP(表格1_6[[#This Row],[PO+ITEM]],工作表1!B:E,4,FALSE)</f>
        <v>#N/A</v>
      </c>
      <c r="BA19" s="425" t="e">
        <f ca="1">INDEX(工作表1!G:G, MATCH(表格1_6[[#This Row],[invoice number]]&amp;表格1_6[[#This Row],[invoice number2]],工作表1!G:G, 0))</f>
        <v>#N/A</v>
      </c>
      <c r="BB19" s="423" t="e">
        <f ca="1">VLOOKUP(表格1_6[[#This Row],[PO+ITEM]],工作表1!F:H,2,FALSE)</f>
        <v>#N/A</v>
      </c>
    </row>
    <row r="20" spans="1:54" ht="15.6">
      <c r="A20" s="413">
        <v>19</v>
      </c>
      <c r="B20" s="413" t="s">
        <v>3674</v>
      </c>
      <c r="C20" s="414" t="s">
        <v>17</v>
      </c>
      <c r="D20" s="414" t="s">
        <v>3648</v>
      </c>
      <c r="E20" s="414"/>
      <c r="F20" s="414"/>
      <c r="G20" s="414"/>
      <c r="H20" s="414"/>
      <c r="I20" s="414"/>
      <c r="J20" s="414"/>
      <c r="K20" s="414"/>
      <c r="L20" s="415" t="s">
        <v>3729</v>
      </c>
      <c r="M20" s="416" t="s">
        <v>2999</v>
      </c>
      <c r="N20" s="416" t="s">
        <v>2999</v>
      </c>
      <c r="O20" s="417"/>
      <c r="P20" s="416">
        <v>4590007576</v>
      </c>
      <c r="Q20" s="418">
        <v>44855</v>
      </c>
      <c r="R20" s="419">
        <v>1</v>
      </c>
      <c r="S20" s="458">
        <v>282006</v>
      </c>
      <c r="T20" s="420" t="s">
        <v>2156</v>
      </c>
      <c r="U20" s="414" t="s">
        <v>3713</v>
      </c>
      <c r="V20" s="414" t="s">
        <v>3714</v>
      </c>
      <c r="W20" s="417" t="s">
        <v>3715</v>
      </c>
      <c r="X20" s="417"/>
      <c r="Y20" s="421" t="s">
        <v>3652</v>
      </c>
      <c r="Z20" s="421" t="s">
        <v>3652</v>
      </c>
      <c r="AA20" s="416"/>
      <c r="AB20" s="414" t="s">
        <v>3716</v>
      </c>
      <c r="AC20" s="426"/>
      <c r="AD20" s="421"/>
      <c r="AE20" s="420"/>
      <c r="AF20" s="421">
        <v>90420</v>
      </c>
      <c r="AG20" s="420" t="s">
        <v>3730</v>
      </c>
      <c r="AH20" s="421" t="s">
        <v>3718</v>
      </c>
      <c r="AI20" s="420" t="s">
        <v>3719</v>
      </c>
      <c r="AJ20" s="413">
        <f t="shared" si="0"/>
        <v>4590007576</v>
      </c>
      <c r="AK20" s="423" t="s">
        <v>3731</v>
      </c>
      <c r="AL20" s="424">
        <v>45266</v>
      </c>
      <c r="AM20" s="221">
        <v>267905.7</v>
      </c>
      <c r="AN20" s="228">
        <v>45303</v>
      </c>
      <c r="AO20" s="423"/>
      <c r="AP20" s="413"/>
      <c r="AQ20" s="222"/>
      <c r="AR20" s="424"/>
      <c r="AS20" s="614">
        <f ca="1">表格1_6[[#This Row],[total amount]]/表格1_6[[#This Row],[PO$]]</f>
        <v>0.95000000000000007</v>
      </c>
      <c r="AT20" s="223">
        <f ca="1">表格1_6[[#This Row],[invoice amount]]+表格1_6[[#This Row],[invoice amount2]]</f>
        <v>267905.7</v>
      </c>
      <c r="AU20" s="224" t="s">
        <v>3673</v>
      </c>
      <c r="AV20" s="423"/>
      <c r="AW20" s="423" t="e">
        <f ca="1">VLOOKUP(表格1_6[[#This Row],[TI tool ID2]],工作表1!A:A,1,FALSE)</f>
        <v>#N/A</v>
      </c>
      <c r="AX20" s="425" t="e">
        <f ca="1">VLOOKUP(表格1_6[[#This Row],[PO+ITEM]],工作表1!B:E,2,FALSE)</f>
        <v>#N/A</v>
      </c>
      <c r="AY20" s="425" t="e">
        <f ca="1">VLOOKUP(表格1_6[[#This Row],[PO+ITEM]],工作表1!B:E,3,FALSE)</f>
        <v>#N/A</v>
      </c>
      <c r="AZ20" s="423" t="e">
        <f ca="1">VLOOKUP(表格1_6[[#This Row],[PO+ITEM]],工作表1!B:E,4,FALSE)</f>
        <v>#N/A</v>
      </c>
      <c r="BA20" s="425" t="e">
        <f ca="1">INDEX(工作表1!G:G, MATCH(表格1_6[[#This Row],[invoice number]]&amp;表格1_6[[#This Row],[invoice number2]],工作表1!G:G, 0))</f>
        <v>#N/A</v>
      </c>
      <c r="BB20" s="423" t="e">
        <f ca="1">VLOOKUP(表格1_6[[#This Row],[PO+ITEM]],工作表1!F:H,2,FALSE)</f>
        <v>#N/A</v>
      </c>
    </row>
    <row r="21" spans="1:54" ht="14.45">
      <c r="A21" s="413">
        <v>20</v>
      </c>
      <c r="B21" s="413" t="s">
        <v>3674</v>
      </c>
      <c r="C21" s="414" t="s">
        <v>17</v>
      </c>
      <c r="D21" s="414" t="s">
        <v>3648</v>
      </c>
      <c r="E21" s="414"/>
      <c r="F21" s="414"/>
      <c r="G21" s="414"/>
      <c r="H21" s="414"/>
      <c r="I21" s="414"/>
      <c r="J21" s="414"/>
      <c r="K21" s="414"/>
      <c r="L21" s="415" t="s">
        <v>3732</v>
      </c>
      <c r="M21" s="416" t="s">
        <v>2999</v>
      </c>
      <c r="N21" s="416" t="s">
        <v>2999</v>
      </c>
      <c r="O21" s="417"/>
      <c r="P21" s="416">
        <v>4590007577</v>
      </c>
      <c r="Q21" s="418">
        <v>44855</v>
      </c>
      <c r="R21" s="419">
        <v>1</v>
      </c>
      <c r="S21" s="458">
        <v>282006</v>
      </c>
      <c r="T21" s="420" t="s">
        <v>2156</v>
      </c>
      <c r="U21" s="414" t="s">
        <v>3713</v>
      </c>
      <c r="V21" s="414" t="s">
        <v>3714</v>
      </c>
      <c r="W21" s="417" t="s">
        <v>3715</v>
      </c>
      <c r="X21" s="417"/>
      <c r="Y21" s="421" t="s">
        <v>3652</v>
      </c>
      <c r="Z21" s="421" t="s">
        <v>3652</v>
      </c>
      <c r="AA21" s="416"/>
      <c r="AB21" s="414" t="s">
        <v>3716</v>
      </c>
      <c r="AC21" s="426"/>
      <c r="AD21" s="421"/>
      <c r="AE21" s="420"/>
      <c r="AF21" s="421">
        <v>90419</v>
      </c>
      <c r="AG21" s="420" t="s">
        <v>3733</v>
      </c>
      <c r="AH21" s="421" t="s">
        <v>3718</v>
      </c>
      <c r="AI21" s="420" t="s">
        <v>3719</v>
      </c>
      <c r="AJ21" s="413">
        <f t="shared" si="0"/>
        <v>4590007577</v>
      </c>
      <c r="AK21" s="423" t="s">
        <v>3734</v>
      </c>
      <c r="AL21" s="424">
        <v>45429</v>
      </c>
      <c r="AM21" s="221">
        <v>282006</v>
      </c>
      <c r="AN21" s="424">
        <v>45503</v>
      </c>
      <c r="AO21" s="423"/>
      <c r="AP21" s="413"/>
      <c r="AQ21" s="222"/>
      <c r="AR21" s="424"/>
      <c r="AS21" s="614">
        <f ca="1">表格1_6[[#This Row],[total amount]]/表格1_6[[#This Row],[PO$]]</f>
        <v>1</v>
      </c>
      <c r="AT21" s="223">
        <f ca="1">表格1_6[[#This Row],[invoice amount]]+表格1_6[[#This Row],[invoice amount2]]</f>
        <v>282006</v>
      </c>
      <c r="AU21" s="224" t="s">
        <v>3725</v>
      </c>
      <c r="AV21" s="423"/>
      <c r="AW21" s="423" t="e">
        <f ca="1">VLOOKUP(表格1_6[[#This Row],[TI tool ID2]],工作表1!A:A,1,FALSE)</f>
        <v>#N/A</v>
      </c>
      <c r="AX21" s="425" t="e">
        <f ca="1">VLOOKUP(表格1_6[[#This Row],[PO+ITEM]],工作表1!B:E,2,FALSE)</f>
        <v>#N/A</v>
      </c>
      <c r="AY21" s="425" t="e">
        <f ca="1">VLOOKUP(表格1_6[[#This Row],[PO+ITEM]],工作表1!B:E,3,FALSE)</f>
        <v>#N/A</v>
      </c>
      <c r="AZ21" s="423" t="e">
        <f ca="1">VLOOKUP(表格1_6[[#This Row],[PO+ITEM]],工作表1!B:E,4,FALSE)</f>
        <v>#N/A</v>
      </c>
      <c r="BA21" s="425" t="e">
        <f ca="1">INDEX(工作表1!G:G, MATCH(表格1_6[[#This Row],[invoice number]]&amp;表格1_6[[#This Row],[invoice number2]],工作表1!G:G, 0))</f>
        <v>#N/A</v>
      </c>
      <c r="BB21" s="423" t="e">
        <f ca="1">VLOOKUP(表格1_6[[#This Row],[PO+ITEM]],工作表1!F:H,2,FALSE)</f>
        <v>#N/A</v>
      </c>
    </row>
    <row r="22" spans="1:54" ht="14.45">
      <c r="A22" s="413">
        <v>21</v>
      </c>
      <c r="B22" s="413" t="s">
        <v>3674</v>
      </c>
      <c r="C22" s="414" t="s">
        <v>17</v>
      </c>
      <c r="D22" s="414" t="s">
        <v>3648</v>
      </c>
      <c r="E22" s="414"/>
      <c r="F22" s="414"/>
      <c r="G22" s="414"/>
      <c r="H22" s="414"/>
      <c r="I22" s="414"/>
      <c r="J22" s="414"/>
      <c r="K22" s="414"/>
      <c r="L22" s="420" t="s">
        <v>3735</v>
      </c>
      <c r="M22" s="416" t="s">
        <v>2999</v>
      </c>
      <c r="N22" s="416" t="s">
        <v>2999</v>
      </c>
      <c r="O22" s="417"/>
      <c r="P22" s="416">
        <v>4590007578</v>
      </c>
      <c r="Q22" s="418">
        <v>44855</v>
      </c>
      <c r="R22" s="419">
        <v>1</v>
      </c>
      <c r="S22" s="458">
        <v>282006</v>
      </c>
      <c r="T22" s="420" t="s">
        <v>2156</v>
      </c>
      <c r="U22" s="414" t="s">
        <v>3713</v>
      </c>
      <c r="V22" s="414" t="s">
        <v>3714</v>
      </c>
      <c r="W22" s="417" t="s">
        <v>3715</v>
      </c>
      <c r="X22" s="417"/>
      <c r="Y22" s="421" t="s">
        <v>3652</v>
      </c>
      <c r="Z22" s="421" t="s">
        <v>3652</v>
      </c>
      <c r="AA22" s="416" t="s">
        <v>3727</v>
      </c>
      <c r="AB22" s="414" t="s">
        <v>3716</v>
      </c>
      <c r="AC22" s="426"/>
      <c r="AD22" s="421"/>
      <c r="AE22" s="420"/>
      <c r="AF22" s="421">
        <v>90886</v>
      </c>
      <c r="AG22" s="420" t="s">
        <v>3736</v>
      </c>
      <c r="AH22" s="421" t="s">
        <v>3718</v>
      </c>
      <c r="AI22" s="420" t="s">
        <v>3719</v>
      </c>
      <c r="AJ22" s="413">
        <f t="shared" si="0"/>
        <v>4590007578</v>
      </c>
      <c r="AK22" s="423" t="s">
        <v>3737</v>
      </c>
      <c r="AL22" s="424">
        <v>45401</v>
      </c>
      <c r="AM22" s="221">
        <v>282006</v>
      </c>
      <c r="AN22" s="424">
        <v>45471</v>
      </c>
      <c r="AO22" s="423"/>
      <c r="AP22" s="413"/>
      <c r="AQ22" s="222"/>
      <c r="AR22" s="424"/>
      <c r="AS22" s="614">
        <f ca="1">表格1_6[[#This Row],[total amount]]/表格1_6[[#This Row],[PO$]]</f>
        <v>1</v>
      </c>
      <c r="AT22" s="223">
        <f ca="1">表格1_6[[#This Row],[invoice amount]]+表格1_6[[#This Row],[invoice amount2]]</f>
        <v>282006</v>
      </c>
      <c r="AU22" s="224" t="s">
        <v>3673</v>
      </c>
      <c r="AV22" s="423"/>
      <c r="AW22" s="423" t="e">
        <f ca="1">VLOOKUP(表格1_6[[#This Row],[TI tool ID2]],工作表1!A:A,1,FALSE)</f>
        <v>#N/A</v>
      </c>
      <c r="AX22" s="425" t="e">
        <f ca="1">VLOOKUP(表格1_6[[#This Row],[PO+ITEM]],工作表1!B:E,2,FALSE)</f>
        <v>#N/A</v>
      </c>
      <c r="AY22" s="425" t="e">
        <f ca="1">VLOOKUP(表格1_6[[#This Row],[PO+ITEM]],工作表1!B:E,3,FALSE)</f>
        <v>#N/A</v>
      </c>
      <c r="AZ22" s="423" t="e">
        <f ca="1">VLOOKUP(表格1_6[[#This Row],[PO+ITEM]],工作表1!B:E,4,FALSE)</f>
        <v>#N/A</v>
      </c>
      <c r="BA22" s="425" t="e">
        <f ca="1">INDEX(工作表1!G:G, MATCH(表格1_6[[#This Row],[invoice number]]&amp;表格1_6[[#This Row],[invoice number2]],工作表1!G:G, 0))</f>
        <v>#N/A</v>
      </c>
      <c r="BB22" s="423" t="e">
        <f ca="1">VLOOKUP(表格1_6[[#This Row],[PO+ITEM]],工作表1!F:H,2,FALSE)</f>
        <v>#N/A</v>
      </c>
    </row>
    <row r="23" spans="1:54" ht="14.45">
      <c r="A23" s="413">
        <v>22</v>
      </c>
      <c r="B23" s="413" t="s">
        <v>3674</v>
      </c>
      <c r="C23" s="414" t="s">
        <v>17</v>
      </c>
      <c r="D23" s="414" t="s">
        <v>3648</v>
      </c>
      <c r="E23" s="414"/>
      <c r="F23" s="414"/>
      <c r="G23" s="414"/>
      <c r="H23" s="414"/>
      <c r="I23" s="414"/>
      <c r="J23" s="414"/>
      <c r="K23" s="414"/>
      <c r="L23" s="415" t="s">
        <v>3738</v>
      </c>
      <c r="M23" s="416" t="s">
        <v>2999</v>
      </c>
      <c r="N23" s="416" t="s">
        <v>2999</v>
      </c>
      <c r="O23" s="417"/>
      <c r="P23" s="416">
        <v>4590007579</v>
      </c>
      <c r="Q23" s="418">
        <v>44855</v>
      </c>
      <c r="R23" s="419">
        <v>1</v>
      </c>
      <c r="S23" s="458">
        <v>282006</v>
      </c>
      <c r="T23" s="420" t="s">
        <v>2156</v>
      </c>
      <c r="U23" s="414" t="s">
        <v>3713</v>
      </c>
      <c r="V23" s="414" t="s">
        <v>3714</v>
      </c>
      <c r="W23" s="417" t="s">
        <v>3715</v>
      </c>
      <c r="X23" s="417"/>
      <c r="Y23" s="421" t="s">
        <v>3652</v>
      </c>
      <c r="Z23" s="421" t="s">
        <v>3652</v>
      </c>
      <c r="AA23" s="416"/>
      <c r="AB23" s="414" t="s">
        <v>3716</v>
      </c>
      <c r="AC23" s="426"/>
      <c r="AD23" s="421"/>
      <c r="AE23" s="420"/>
      <c r="AF23" s="421">
        <v>90887</v>
      </c>
      <c r="AG23" s="420" t="s">
        <v>3739</v>
      </c>
      <c r="AH23" s="421" t="s">
        <v>3718</v>
      </c>
      <c r="AI23" s="420" t="s">
        <v>3719</v>
      </c>
      <c r="AJ23" s="413">
        <f t="shared" si="0"/>
        <v>4590007579</v>
      </c>
      <c r="AK23" s="423" t="s">
        <v>3740</v>
      </c>
      <c r="AL23" s="559">
        <v>45498</v>
      </c>
      <c r="AM23" s="221">
        <v>282006</v>
      </c>
      <c r="AN23" s="424">
        <v>45548</v>
      </c>
      <c r="AO23" s="423"/>
      <c r="AP23" s="413"/>
      <c r="AQ23" s="222"/>
      <c r="AR23" s="424"/>
      <c r="AS23" s="614">
        <f ca="1">表格1_6[[#This Row],[total amount]]/表格1_6[[#This Row],[PO$]]</f>
        <v>1</v>
      </c>
      <c r="AT23" s="223">
        <f ca="1">表格1_6[[#This Row],[invoice amount]]+表格1_6[[#This Row],[invoice amount2]]</f>
        <v>282006</v>
      </c>
      <c r="AU23" s="224" t="s">
        <v>3725</v>
      </c>
      <c r="AV23" s="423"/>
      <c r="AW23" s="423" t="e">
        <f ca="1">VLOOKUP(表格1_6[[#This Row],[TI tool ID2]],工作表1!A:A,1,FALSE)</f>
        <v>#N/A</v>
      </c>
      <c r="AX23" s="425" t="e">
        <f ca="1">VLOOKUP(表格1_6[[#This Row],[PO+ITEM]],工作表1!B:E,2,FALSE)</f>
        <v>#N/A</v>
      </c>
      <c r="AY23" s="425" t="e">
        <f ca="1">VLOOKUP(表格1_6[[#This Row],[PO+ITEM]],工作表1!B:E,3,FALSE)</f>
        <v>#N/A</v>
      </c>
      <c r="AZ23" s="423" t="e">
        <f ca="1">VLOOKUP(表格1_6[[#This Row],[PO+ITEM]],工作表1!B:E,4,FALSE)</f>
        <v>#N/A</v>
      </c>
      <c r="BA23" s="425" t="e">
        <f ca="1">INDEX(工作表1!G:G, MATCH(表格1_6[[#This Row],[invoice number]]&amp;表格1_6[[#This Row],[invoice number2]],工作表1!G:G, 0))</f>
        <v>#N/A</v>
      </c>
      <c r="BB23" s="423" t="e">
        <f ca="1">VLOOKUP(表格1_6[[#This Row],[PO+ITEM]],工作表1!F:H,2,FALSE)</f>
        <v>#N/A</v>
      </c>
    </row>
    <row r="24" spans="1:54" ht="14.45">
      <c r="A24" s="413">
        <v>23</v>
      </c>
      <c r="B24" s="413" t="s">
        <v>3674</v>
      </c>
      <c r="C24" s="414" t="s">
        <v>17</v>
      </c>
      <c r="D24" s="414" t="s">
        <v>3648</v>
      </c>
      <c r="E24" s="414"/>
      <c r="F24" s="414"/>
      <c r="G24" s="414"/>
      <c r="H24" s="414"/>
      <c r="I24" s="414"/>
      <c r="J24" s="414"/>
      <c r="K24" s="414"/>
      <c r="L24" s="415" t="s">
        <v>3741</v>
      </c>
      <c r="M24" s="416" t="s">
        <v>2999</v>
      </c>
      <c r="N24" s="416" t="s">
        <v>2999</v>
      </c>
      <c r="O24" s="417"/>
      <c r="P24" s="416">
        <v>4590007580</v>
      </c>
      <c r="Q24" s="418">
        <v>44855</v>
      </c>
      <c r="R24" s="419">
        <v>1</v>
      </c>
      <c r="S24" s="458">
        <v>282006</v>
      </c>
      <c r="T24" s="420" t="s">
        <v>2156</v>
      </c>
      <c r="U24" s="414" t="s">
        <v>3713</v>
      </c>
      <c r="V24" s="414" t="s">
        <v>3714</v>
      </c>
      <c r="W24" s="417" t="s">
        <v>3715</v>
      </c>
      <c r="X24" s="417"/>
      <c r="Y24" s="421" t="s">
        <v>3652</v>
      </c>
      <c r="Z24" s="421" t="s">
        <v>3652</v>
      </c>
      <c r="AA24" s="416"/>
      <c r="AB24" s="414" t="s">
        <v>3716</v>
      </c>
      <c r="AC24" s="426"/>
      <c r="AD24" s="421"/>
      <c r="AE24" s="420"/>
      <c r="AF24" s="421">
        <v>90888</v>
      </c>
      <c r="AG24" s="420" t="s">
        <v>3742</v>
      </c>
      <c r="AH24" s="421" t="s">
        <v>3718</v>
      </c>
      <c r="AI24" s="420" t="s">
        <v>3719</v>
      </c>
      <c r="AJ24" s="413">
        <f t="shared" si="0"/>
        <v>4590007580</v>
      </c>
      <c r="AK24" s="423" t="s">
        <v>3743</v>
      </c>
      <c r="AL24" s="559">
        <v>45498</v>
      </c>
      <c r="AM24" s="221">
        <v>282006</v>
      </c>
      <c r="AN24" s="424">
        <v>45548</v>
      </c>
      <c r="AO24" s="423"/>
      <c r="AP24" s="413"/>
      <c r="AQ24" s="222"/>
      <c r="AR24" s="424"/>
      <c r="AS24" s="614">
        <f ca="1">表格1_6[[#This Row],[total amount]]/表格1_6[[#This Row],[PO$]]</f>
        <v>1</v>
      </c>
      <c r="AT24" s="223">
        <f ca="1">表格1_6[[#This Row],[invoice amount]]+表格1_6[[#This Row],[invoice amount2]]</f>
        <v>282006</v>
      </c>
      <c r="AU24" s="224" t="s">
        <v>3725</v>
      </c>
      <c r="AV24" s="423"/>
      <c r="AW24" s="423" t="e">
        <f ca="1">VLOOKUP(表格1_6[[#This Row],[TI tool ID2]],工作表1!A:A,1,FALSE)</f>
        <v>#N/A</v>
      </c>
      <c r="AX24" s="425" t="e">
        <f ca="1">VLOOKUP(表格1_6[[#This Row],[PO+ITEM]],工作表1!B:E,2,FALSE)</f>
        <v>#N/A</v>
      </c>
      <c r="AY24" s="425" t="e">
        <f ca="1">VLOOKUP(表格1_6[[#This Row],[PO+ITEM]],工作表1!B:E,3,FALSE)</f>
        <v>#N/A</v>
      </c>
      <c r="AZ24" s="423" t="e">
        <f ca="1">VLOOKUP(表格1_6[[#This Row],[PO+ITEM]],工作表1!B:E,4,FALSE)</f>
        <v>#N/A</v>
      </c>
      <c r="BA24" s="425" t="e">
        <f ca="1">INDEX(工作表1!G:G, MATCH(表格1_6[[#This Row],[invoice number]]&amp;表格1_6[[#This Row],[invoice number2]],工作表1!G:G, 0))</f>
        <v>#N/A</v>
      </c>
      <c r="BB24" s="423" t="e">
        <f ca="1">VLOOKUP(表格1_6[[#This Row],[PO+ITEM]],工作表1!F:H,2,FALSE)</f>
        <v>#N/A</v>
      </c>
    </row>
    <row r="25" spans="1:54" ht="14.45">
      <c r="A25" s="413">
        <v>24</v>
      </c>
      <c r="B25" s="413" t="s">
        <v>3674</v>
      </c>
      <c r="C25" s="414" t="s">
        <v>17</v>
      </c>
      <c r="D25" s="414" t="s">
        <v>3648</v>
      </c>
      <c r="E25" s="414"/>
      <c r="F25" s="414"/>
      <c r="G25" s="414"/>
      <c r="H25" s="414"/>
      <c r="I25" s="414"/>
      <c r="J25" s="414"/>
      <c r="K25" s="414"/>
      <c r="L25" s="415" t="s">
        <v>3744</v>
      </c>
      <c r="M25" s="416" t="s">
        <v>2999</v>
      </c>
      <c r="N25" s="416" t="s">
        <v>2999</v>
      </c>
      <c r="O25" s="417"/>
      <c r="P25" s="428">
        <v>4590007581</v>
      </c>
      <c r="Q25" s="418">
        <v>44855</v>
      </c>
      <c r="R25" s="419">
        <v>1</v>
      </c>
      <c r="S25" s="458">
        <v>282006</v>
      </c>
      <c r="T25" s="420" t="s">
        <v>2156</v>
      </c>
      <c r="U25" s="414" t="s">
        <v>3713</v>
      </c>
      <c r="V25" s="414" t="s">
        <v>3714</v>
      </c>
      <c r="W25" s="417" t="s">
        <v>3715</v>
      </c>
      <c r="X25" s="417"/>
      <c r="Y25" s="421" t="s">
        <v>3652</v>
      </c>
      <c r="Z25" s="421" t="s">
        <v>3652</v>
      </c>
      <c r="AA25" s="416"/>
      <c r="AB25" s="414" t="s">
        <v>3716</v>
      </c>
      <c r="AC25" s="426"/>
      <c r="AD25" s="421"/>
      <c r="AE25" s="420"/>
      <c r="AF25" s="421">
        <v>91342</v>
      </c>
      <c r="AG25" s="420" t="s">
        <v>3745</v>
      </c>
      <c r="AH25" s="421" t="s">
        <v>3718</v>
      </c>
      <c r="AI25" s="420" t="s">
        <v>3719</v>
      </c>
      <c r="AJ25" s="413">
        <f t="shared" si="0"/>
        <v>4590007581</v>
      </c>
      <c r="AK25" s="423"/>
      <c r="AL25" s="413"/>
      <c r="AM25" s="221"/>
      <c r="AN25" s="424"/>
      <c r="AO25" s="423"/>
      <c r="AP25" s="413"/>
      <c r="AQ25" s="222"/>
      <c r="AR25" s="424"/>
      <c r="AS25" s="614">
        <f ca="1">表格1_6[[#This Row],[total amount]]/表格1_6[[#This Row],[PO$]]</f>
        <v>0</v>
      </c>
      <c r="AT25" s="223">
        <f ca="1">表格1_6[[#This Row],[invoice amount]]+表格1_6[[#This Row],[invoice amount2]]</f>
        <v>0</v>
      </c>
      <c r="AU25" s="224"/>
      <c r="AV25" s="423"/>
      <c r="AW25" s="423" t="e">
        <f ca="1">VLOOKUP(表格1_6[[#This Row],[TI tool ID2]],工作表1!A:A,1,FALSE)</f>
        <v>#N/A</v>
      </c>
      <c r="AX25" s="425" t="e">
        <f ca="1">VLOOKUP(表格1_6[[#This Row],[PO+ITEM]],工作表1!B:E,2,FALSE)</f>
        <v>#N/A</v>
      </c>
      <c r="AY25" s="425" t="e">
        <f ca="1">VLOOKUP(表格1_6[[#This Row],[PO+ITEM]],工作表1!B:E,3,FALSE)</f>
        <v>#N/A</v>
      </c>
      <c r="AZ25" s="423" t="e">
        <f ca="1">VLOOKUP(表格1_6[[#This Row],[PO+ITEM]],工作表1!B:E,4,FALSE)</f>
        <v>#N/A</v>
      </c>
      <c r="BA25" s="425" t="e">
        <f ca="1">INDEX(工作表1!G:G, MATCH(表格1_6[[#This Row],[invoice number]]&amp;表格1_6[[#This Row],[invoice number2]],工作表1!G:G, 0))</f>
        <v>#N/A</v>
      </c>
      <c r="BB25" s="423" t="e">
        <f ca="1">VLOOKUP(表格1_6[[#This Row],[PO+ITEM]],工作表1!F:H,2,FALSE)</f>
        <v>#N/A</v>
      </c>
    </row>
    <row r="26" spans="1:54" ht="14.45">
      <c r="A26" s="413">
        <v>25</v>
      </c>
      <c r="B26" s="413" t="s">
        <v>3674</v>
      </c>
      <c r="C26" s="414" t="s">
        <v>17</v>
      </c>
      <c r="D26" s="414" t="s">
        <v>3648</v>
      </c>
      <c r="E26" s="414"/>
      <c r="F26" s="414"/>
      <c r="G26" s="414"/>
      <c r="H26" s="414"/>
      <c r="I26" s="414"/>
      <c r="J26" s="414"/>
      <c r="K26" s="414"/>
      <c r="L26" s="415" t="s">
        <v>3746</v>
      </c>
      <c r="M26" s="416" t="s">
        <v>2999</v>
      </c>
      <c r="N26" s="416" t="s">
        <v>2999</v>
      </c>
      <c r="O26" s="417"/>
      <c r="P26" s="416">
        <v>4590007582</v>
      </c>
      <c r="Q26" s="418">
        <v>44855</v>
      </c>
      <c r="R26" s="419">
        <v>1</v>
      </c>
      <c r="S26" s="458">
        <v>282006</v>
      </c>
      <c r="T26" s="420" t="s">
        <v>2156</v>
      </c>
      <c r="U26" s="414" t="s">
        <v>3713</v>
      </c>
      <c r="V26" s="414" t="s">
        <v>3714</v>
      </c>
      <c r="W26" s="417" t="s">
        <v>3715</v>
      </c>
      <c r="X26" s="417"/>
      <c r="Y26" s="421" t="s">
        <v>3652</v>
      </c>
      <c r="Z26" s="421" t="s">
        <v>3652</v>
      </c>
      <c r="AA26" s="416"/>
      <c r="AB26" s="414" t="s">
        <v>3716</v>
      </c>
      <c r="AC26" s="426"/>
      <c r="AD26" s="421"/>
      <c r="AE26" s="420"/>
      <c r="AF26" s="421">
        <v>91356</v>
      </c>
      <c r="AG26" s="420" t="s">
        <v>3747</v>
      </c>
      <c r="AH26" s="421" t="s">
        <v>3718</v>
      </c>
      <c r="AI26" s="420" t="s">
        <v>3719</v>
      </c>
      <c r="AJ26" s="413">
        <f t="shared" si="0"/>
        <v>4590007582</v>
      </c>
      <c r="AK26" s="423" t="s">
        <v>3748</v>
      </c>
      <c r="AL26" s="424">
        <v>45513</v>
      </c>
      <c r="AM26" s="221">
        <v>282006</v>
      </c>
      <c r="AN26" s="424">
        <v>45580</v>
      </c>
      <c r="AO26" s="423"/>
      <c r="AP26" s="413"/>
      <c r="AQ26" s="222"/>
      <c r="AR26" s="424"/>
      <c r="AS26" s="614">
        <f ca="1">表格1_6[[#This Row],[total amount]]/表格1_6[[#This Row],[PO$]]</f>
        <v>1</v>
      </c>
      <c r="AT26" s="223">
        <f ca="1">表格1_6[[#This Row],[invoice amount]]+表格1_6[[#This Row],[invoice amount2]]</f>
        <v>282006</v>
      </c>
      <c r="AU26" s="224" t="s">
        <v>3725</v>
      </c>
      <c r="AV26" s="423"/>
      <c r="AW26" s="423" t="e">
        <f ca="1">VLOOKUP(表格1_6[[#This Row],[TI tool ID2]],工作表1!A:A,1,FALSE)</f>
        <v>#N/A</v>
      </c>
      <c r="AX26" s="425" t="e">
        <f ca="1">VLOOKUP(表格1_6[[#This Row],[PO+ITEM]],工作表1!B:E,2,FALSE)</f>
        <v>#N/A</v>
      </c>
      <c r="AY26" s="424" t="e">
        <f ca="1">VLOOKUP(表格1_6[[#This Row],[PO+ITEM]],工作表1!B:E,3,FALSE)</f>
        <v>#N/A</v>
      </c>
      <c r="AZ26" s="423" t="e">
        <f ca="1">VLOOKUP(表格1_6[[#This Row],[PO+ITEM]],工作表1!B:E,4,FALSE)</f>
        <v>#N/A</v>
      </c>
      <c r="BA26" s="425" t="str">
        <f ca="1">INDEX(工作表1!G:G, MATCH(表格1_6[[#This Row],[invoice number]]&amp;表格1_6[[#This Row],[invoice number2]],工作表1!G:G, 0))</f>
        <v>MICUINT202408060</v>
      </c>
      <c r="BB26" s="423" t="str">
        <f ca="1">VLOOKUP(表格1_6[[#This Row],[PO+ITEM]],工作表1!F:H,2,FALSE)</f>
        <v>MICUINT202408060</v>
      </c>
    </row>
    <row r="27" spans="1:54" ht="14.45">
      <c r="A27" s="413">
        <v>26</v>
      </c>
      <c r="B27" s="413" t="s">
        <v>3659</v>
      </c>
      <c r="C27" s="414" t="s">
        <v>17</v>
      </c>
      <c r="D27" s="414" t="s">
        <v>3648</v>
      </c>
      <c r="E27" s="414"/>
      <c r="F27" s="414"/>
      <c r="G27" s="414"/>
      <c r="H27" s="414"/>
      <c r="I27" s="414"/>
      <c r="J27" s="414"/>
      <c r="K27" s="414"/>
      <c r="L27" s="415" t="s">
        <v>3749</v>
      </c>
      <c r="M27" s="416" t="s">
        <v>2999</v>
      </c>
      <c r="N27" s="416" t="s">
        <v>2999</v>
      </c>
      <c r="O27" s="417"/>
      <c r="P27" s="416">
        <v>4590007583</v>
      </c>
      <c r="Q27" s="418">
        <v>44855</v>
      </c>
      <c r="R27" s="419">
        <v>1</v>
      </c>
      <c r="S27" s="458">
        <v>207352</v>
      </c>
      <c r="T27" s="420" t="s">
        <v>2156</v>
      </c>
      <c r="U27" s="414" t="s">
        <v>3713</v>
      </c>
      <c r="V27" s="414" t="s">
        <v>3714</v>
      </c>
      <c r="W27" s="417" t="s">
        <v>3715</v>
      </c>
      <c r="X27" s="417"/>
      <c r="Y27" s="421" t="s">
        <v>3652</v>
      </c>
      <c r="Z27" s="421" t="s">
        <v>3652</v>
      </c>
      <c r="AA27" s="416"/>
      <c r="AB27" s="414" t="s">
        <v>3716</v>
      </c>
      <c r="AC27" s="426"/>
      <c r="AD27" s="421"/>
      <c r="AE27" s="420"/>
      <c r="AF27" s="421">
        <v>90893</v>
      </c>
      <c r="AG27" s="420" t="s">
        <v>3750</v>
      </c>
      <c r="AH27" s="421" t="s">
        <v>3718</v>
      </c>
      <c r="AI27" s="420" t="s">
        <v>3719</v>
      </c>
      <c r="AJ27" s="413">
        <f t="shared" si="0"/>
        <v>4590007583</v>
      </c>
      <c r="AK27" s="425" t="s">
        <v>3751</v>
      </c>
      <c r="AL27" s="424">
        <v>45562</v>
      </c>
      <c r="AM27" s="221">
        <v>207352</v>
      </c>
      <c r="AN27" s="424"/>
      <c r="AO27" s="423"/>
      <c r="AP27" s="413"/>
      <c r="AQ27" s="222"/>
      <c r="AR27" s="424"/>
      <c r="AS27" s="614">
        <f ca="1">表格1_6[[#This Row],[total amount]]/表格1_6[[#This Row],[PO$]]</f>
        <v>1</v>
      </c>
      <c r="AT27" s="223">
        <f ca="1">表格1_6[[#This Row],[invoice amount]]+表格1_6[[#This Row],[invoice amount2]]</f>
        <v>207352</v>
      </c>
      <c r="AU27" s="224" t="s">
        <v>3752</v>
      </c>
      <c r="AV27" s="423"/>
      <c r="AW27" s="423" t="e">
        <f ca="1">VLOOKUP(表格1_6[[#This Row],[TI tool ID2]],工作表1!A:A,1,FALSE)</f>
        <v>#N/A</v>
      </c>
      <c r="AX27" s="425" t="str">
        <f ca="1">VLOOKUP(表格1_6[[#This Row],[PO+ITEM]],工作表1!B:E,2,FALSE)</f>
        <v>MICUINT202409056</v>
      </c>
      <c r="AY27" s="425">
        <f ca="1">VLOOKUP(表格1_6[[#This Row],[PO+ITEM]],工作表1!B:E,3,FALSE)</f>
        <v>45562</v>
      </c>
      <c r="AZ27" s="423" t="e">
        <f ca="1">VLOOKUP(表格1_6[[#This Row],[PO+ITEM]],工作表1!B:E,4,FALSE)</f>
        <v>#REF!</v>
      </c>
      <c r="BA27" s="425" t="e">
        <f ca="1">INDEX(工作表1!G:G, MATCH(表格1_6[[#This Row],[invoice number]]&amp;表格1_6[[#This Row],[invoice number2]],工作表1!G:G, 0))</f>
        <v>#N/A</v>
      </c>
      <c r="BB27" s="423" t="e">
        <f ca="1">VLOOKUP(表格1_6[[#This Row],[PO+ITEM]],工作表1!F:H,2,FALSE)</f>
        <v>#N/A</v>
      </c>
    </row>
    <row r="28" spans="1:54" ht="15.6">
      <c r="A28" s="413">
        <v>27</v>
      </c>
      <c r="B28" s="413" t="s">
        <v>3674</v>
      </c>
      <c r="C28" s="414" t="s">
        <v>17</v>
      </c>
      <c r="D28" s="414" t="s">
        <v>3648</v>
      </c>
      <c r="E28" s="414"/>
      <c r="F28" s="414"/>
      <c r="G28" s="414"/>
      <c r="H28" s="414"/>
      <c r="I28" s="414"/>
      <c r="J28" s="414"/>
      <c r="K28" s="414"/>
      <c r="L28" s="420" t="s">
        <v>3753</v>
      </c>
      <c r="M28" s="416" t="s">
        <v>2999</v>
      </c>
      <c r="N28" s="416" t="s">
        <v>2999</v>
      </c>
      <c r="O28" s="417"/>
      <c r="P28" s="416">
        <v>4590007584</v>
      </c>
      <c r="Q28" s="418">
        <v>44855</v>
      </c>
      <c r="R28" s="419">
        <v>1</v>
      </c>
      <c r="S28" s="458">
        <v>207352</v>
      </c>
      <c r="T28" s="420" t="s">
        <v>2156</v>
      </c>
      <c r="U28" s="414" t="s">
        <v>3713</v>
      </c>
      <c r="V28" s="414" t="s">
        <v>3714</v>
      </c>
      <c r="W28" s="417" t="s">
        <v>3715</v>
      </c>
      <c r="X28" s="417"/>
      <c r="Y28" s="421" t="s">
        <v>3652</v>
      </c>
      <c r="Z28" s="421" t="s">
        <v>3652</v>
      </c>
      <c r="AA28" s="416" t="s">
        <v>3727</v>
      </c>
      <c r="AB28" s="414" t="s">
        <v>3716</v>
      </c>
      <c r="AC28" s="426"/>
      <c r="AD28" s="421"/>
      <c r="AE28" s="420"/>
      <c r="AF28" s="421">
        <v>90427</v>
      </c>
      <c r="AG28" s="420" t="s">
        <v>3754</v>
      </c>
      <c r="AH28" s="421" t="s">
        <v>3718</v>
      </c>
      <c r="AI28" s="420" t="s">
        <v>3719</v>
      </c>
      <c r="AJ28" s="413">
        <f t="shared" si="0"/>
        <v>4590007584</v>
      </c>
      <c r="AK28" s="423"/>
      <c r="AL28" s="424">
        <v>45231</v>
      </c>
      <c r="AM28" s="221">
        <v>196984.4</v>
      </c>
      <c r="AN28" s="228">
        <v>45303</v>
      </c>
      <c r="AO28" s="423"/>
      <c r="AP28" s="413"/>
      <c r="AQ28" s="222"/>
      <c r="AR28" s="424"/>
      <c r="AS28" s="614">
        <f ca="1">表格1_6[[#This Row],[total amount]]/表格1_6[[#This Row],[PO$]]</f>
        <v>0.95</v>
      </c>
      <c r="AT28" s="223">
        <f ca="1">表格1_6[[#This Row],[invoice amount]]+表格1_6[[#This Row],[invoice amount2]]</f>
        <v>196984.4</v>
      </c>
      <c r="AU28" s="224" t="s">
        <v>3673</v>
      </c>
      <c r="AV28" s="423"/>
      <c r="AW28" s="423" t="e">
        <f ca="1">VLOOKUP(表格1_6[[#This Row],[TI tool ID2]],工作表1!A:A,1,FALSE)</f>
        <v>#N/A</v>
      </c>
      <c r="AX28" s="425" t="e">
        <f ca="1">VLOOKUP(表格1_6[[#This Row],[PO+ITEM]],工作表1!B:E,2,FALSE)</f>
        <v>#N/A</v>
      </c>
      <c r="AY28" s="425" t="e">
        <f ca="1">VLOOKUP(表格1_6[[#This Row],[PO+ITEM]],工作表1!B:E,3,FALSE)</f>
        <v>#N/A</v>
      </c>
      <c r="AZ28" s="423" t="e">
        <f ca="1">VLOOKUP(表格1_6[[#This Row],[PO+ITEM]],工作表1!B:E,4,FALSE)</f>
        <v>#N/A</v>
      </c>
      <c r="BA28" s="425" t="e">
        <f ca="1">INDEX(工作表1!G:G, MATCH(表格1_6[[#This Row],[invoice number]]&amp;表格1_6[[#This Row],[invoice number2]],工作表1!G:G, 0))</f>
        <v>#N/A</v>
      </c>
      <c r="BB28" s="423" t="e">
        <f ca="1">VLOOKUP(表格1_6[[#This Row],[PO+ITEM]],工作表1!F:H,2,FALSE)</f>
        <v>#N/A</v>
      </c>
    </row>
    <row r="29" spans="1:54" ht="15.6">
      <c r="A29" s="413">
        <v>28</v>
      </c>
      <c r="B29" s="413" t="s">
        <v>3674</v>
      </c>
      <c r="C29" s="414" t="s">
        <v>17</v>
      </c>
      <c r="D29" s="414" t="s">
        <v>3648</v>
      </c>
      <c r="E29" s="414"/>
      <c r="F29" s="414"/>
      <c r="G29" s="414"/>
      <c r="H29" s="414"/>
      <c r="I29" s="414"/>
      <c r="J29" s="414"/>
      <c r="K29" s="414"/>
      <c r="L29" s="415" t="s">
        <v>3755</v>
      </c>
      <c r="M29" s="416" t="s">
        <v>2999</v>
      </c>
      <c r="N29" s="416" t="s">
        <v>2999</v>
      </c>
      <c r="O29" s="417"/>
      <c r="P29" s="416">
        <v>4590007585</v>
      </c>
      <c r="Q29" s="418">
        <v>44855</v>
      </c>
      <c r="R29" s="419">
        <v>1</v>
      </c>
      <c r="S29" s="458">
        <v>152997</v>
      </c>
      <c r="T29" s="420" t="s">
        <v>2156</v>
      </c>
      <c r="U29" s="414" t="s">
        <v>3713</v>
      </c>
      <c r="V29" s="414" t="s">
        <v>3714</v>
      </c>
      <c r="W29" s="417" t="s">
        <v>3715</v>
      </c>
      <c r="X29" s="417"/>
      <c r="Y29" s="421" t="s">
        <v>3652</v>
      </c>
      <c r="Z29" s="421" t="s">
        <v>3652</v>
      </c>
      <c r="AA29" s="416"/>
      <c r="AB29" s="414" t="s">
        <v>3716</v>
      </c>
      <c r="AC29" s="426"/>
      <c r="AD29" s="421"/>
      <c r="AE29" s="420"/>
      <c r="AF29" s="421">
        <v>90426</v>
      </c>
      <c r="AG29" s="420" t="s">
        <v>3756</v>
      </c>
      <c r="AH29" s="421" t="s">
        <v>3718</v>
      </c>
      <c r="AI29" s="420" t="s">
        <v>3719</v>
      </c>
      <c r="AJ29" s="413">
        <f t="shared" si="0"/>
        <v>4590007585</v>
      </c>
      <c r="AK29" s="423"/>
      <c r="AL29" s="424">
        <v>45231</v>
      </c>
      <c r="AM29" s="221">
        <v>145347.15</v>
      </c>
      <c r="AN29" s="228">
        <v>45303</v>
      </c>
      <c r="AO29" s="423"/>
      <c r="AP29" s="413"/>
      <c r="AQ29" s="222"/>
      <c r="AR29" s="424"/>
      <c r="AS29" s="614">
        <f ca="1">表格1_6[[#This Row],[total amount]]/表格1_6[[#This Row],[PO$]]</f>
        <v>0.95</v>
      </c>
      <c r="AT29" s="223">
        <f ca="1">表格1_6[[#This Row],[invoice amount]]+表格1_6[[#This Row],[invoice amount2]]</f>
        <v>145347.15</v>
      </c>
      <c r="AU29" s="224" t="s">
        <v>3673</v>
      </c>
      <c r="AV29" s="423"/>
      <c r="AW29" s="423" t="e">
        <f ca="1">VLOOKUP(表格1_6[[#This Row],[TI tool ID2]],工作表1!A:A,1,FALSE)</f>
        <v>#N/A</v>
      </c>
      <c r="AX29" s="425" t="e">
        <f ca="1">VLOOKUP(表格1_6[[#This Row],[PO+ITEM]],工作表1!B:E,2,FALSE)</f>
        <v>#N/A</v>
      </c>
      <c r="AY29" s="425" t="e">
        <f ca="1">VLOOKUP(表格1_6[[#This Row],[PO+ITEM]],工作表1!B:E,3,FALSE)</f>
        <v>#N/A</v>
      </c>
      <c r="AZ29" s="423" t="e">
        <f ca="1">VLOOKUP(表格1_6[[#This Row],[PO+ITEM]],工作表1!B:E,4,FALSE)</f>
        <v>#N/A</v>
      </c>
      <c r="BA29" s="425" t="e">
        <f ca="1">INDEX(工作表1!G:G, MATCH(表格1_6[[#This Row],[invoice number]]&amp;表格1_6[[#This Row],[invoice number2]],工作表1!G:G, 0))</f>
        <v>#N/A</v>
      </c>
      <c r="BB29" s="423" t="e">
        <f ca="1">VLOOKUP(表格1_6[[#This Row],[PO+ITEM]],工作表1!F:H,2,FALSE)</f>
        <v>#N/A</v>
      </c>
    </row>
    <row r="30" spans="1:54" ht="14.45">
      <c r="A30" s="413">
        <v>29</v>
      </c>
      <c r="B30" s="413" t="s">
        <v>3659</v>
      </c>
      <c r="C30" s="414" t="s">
        <v>17</v>
      </c>
      <c r="D30" s="414" t="s">
        <v>3648</v>
      </c>
      <c r="E30" s="414"/>
      <c r="F30" s="414"/>
      <c r="G30" s="414"/>
      <c r="H30" s="414"/>
      <c r="I30" s="414"/>
      <c r="J30" s="414"/>
      <c r="K30" s="414"/>
      <c r="L30" s="415" t="s">
        <v>3757</v>
      </c>
      <c r="M30" s="416" t="s">
        <v>2999</v>
      </c>
      <c r="N30" s="416" t="s">
        <v>2999</v>
      </c>
      <c r="O30" s="417"/>
      <c r="P30" s="416">
        <v>4590007586</v>
      </c>
      <c r="Q30" s="418">
        <v>44855</v>
      </c>
      <c r="R30" s="419">
        <v>1</v>
      </c>
      <c r="S30" s="458">
        <v>152997</v>
      </c>
      <c r="T30" s="420" t="s">
        <v>2156</v>
      </c>
      <c r="U30" s="414" t="s">
        <v>3713</v>
      </c>
      <c r="V30" s="414" t="s">
        <v>3714</v>
      </c>
      <c r="W30" s="417" t="s">
        <v>3715</v>
      </c>
      <c r="X30" s="417"/>
      <c r="Y30" s="421" t="s">
        <v>3652</v>
      </c>
      <c r="Z30" s="421" t="s">
        <v>3652</v>
      </c>
      <c r="AA30" s="416"/>
      <c r="AB30" s="414" t="s">
        <v>3716</v>
      </c>
      <c r="AC30" s="426"/>
      <c r="AD30" s="421"/>
      <c r="AE30" s="420"/>
      <c r="AF30" s="421">
        <v>91288</v>
      </c>
      <c r="AG30" s="420" t="s">
        <v>3758</v>
      </c>
      <c r="AH30" s="421" t="s">
        <v>3718</v>
      </c>
      <c r="AI30" s="420" t="s">
        <v>3719</v>
      </c>
      <c r="AJ30" s="413">
        <f t="shared" si="0"/>
        <v>4590007586</v>
      </c>
      <c r="AK30" s="423"/>
      <c r="AL30" s="413"/>
      <c r="AM30" s="221"/>
      <c r="AN30" s="424"/>
      <c r="AO30" s="423"/>
      <c r="AP30" s="413"/>
      <c r="AQ30" s="222"/>
      <c r="AR30" s="424"/>
      <c r="AS30" s="614">
        <f ca="1">表格1_6[[#This Row],[total amount]]/表格1_6[[#This Row],[PO$]]</f>
        <v>0</v>
      </c>
      <c r="AT30" s="223">
        <f ca="1">表格1_6[[#This Row],[invoice amount]]+表格1_6[[#This Row],[invoice amount2]]</f>
        <v>0</v>
      </c>
      <c r="AU30" s="224"/>
      <c r="AV30" s="423"/>
      <c r="AW30" s="423" t="e">
        <f ca="1">VLOOKUP(表格1_6[[#This Row],[TI tool ID2]],工作表1!A:A,1,FALSE)</f>
        <v>#N/A</v>
      </c>
      <c r="AX30" s="425" t="e">
        <f ca="1">VLOOKUP(表格1_6[[#This Row],[PO+ITEM]],工作表1!B:E,2,FALSE)</f>
        <v>#N/A</v>
      </c>
      <c r="AY30" s="425" t="e">
        <f ca="1">VLOOKUP(表格1_6[[#This Row],[PO+ITEM]],工作表1!B:E,3,FALSE)</f>
        <v>#N/A</v>
      </c>
      <c r="AZ30" s="423" t="e">
        <f ca="1">VLOOKUP(表格1_6[[#This Row],[PO+ITEM]],工作表1!B:E,4,FALSE)</f>
        <v>#N/A</v>
      </c>
      <c r="BA30" s="425" t="e">
        <f ca="1">INDEX(工作表1!G:G, MATCH(表格1_6[[#This Row],[invoice number]]&amp;表格1_6[[#This Row],[invoice number2]],工作表1!G:G, 0))</f>
        <v>#N/A</v>
      </c>
      <c r="BB30" s="423" t="e">
        <f ca="1">VLOOKUP(表格1_6[[#This Row],[PO+ITEM]],工作表1!F:H,2,FALSE)</f>
        <v>#N/A</v>
      </c>
    </row>
    <row r="31" spans="1:54" ht="14.45">
      <c r="A31" s="413">
        <v>30</v>
      </c>
      <c r="B31" s="413" t="s">
        <v>3659</v>
      </c>
      <c r="C31" s="414" t="s">
        <v>17</v>
      </c>
      <c r="D31" s="414" t="s">
        <v>3648</v>
      </c>
      <c r="E31" s="414"/>
      <c r="F31" s="414"/>
      <c r="G31" s="414"/>
      <c r="H31" s="414"/>
      <c r="I31" s="414"/>
      <c r="J31" s="414"/>
      <c r="K31" s="414"/>
      <c r="L31" s="415" t="s">
        <v>3759</v>
      </c>
      <c r="M31" s="416" t="s">
        <v>2999</v>
      </c>
      <c r="N31" s="416" t="s">
        <v>2999</v>
      </c>
      <c r="O31" s="417"/>
      <c r="P31" s="416">
        <v>4590007587</v>
      </c>
      <c r="Q31" s="418">
        <v>44855</v>
      </c>
      <c r="R31" s="419">
        <v>1</v>
      </c>
      <c r="S31" s="458">
        <v>263416</v>
      </c>
      <c r="T31" s="420" t="s">
        <v>2156</v>
      </c>
      <c r="U31" s="414" t="s">
        <v>3713</v>
      </c>
      <c r="V31" s="414" t="s">
        <v>3714</v>
      </c>
      <c r="W31" s="417" t="s">
        <v>3715</v>
      </c>
      <c r="X31" s="417"/>
      <c r="Y31" s="421" t="s">
        <v>3652</v>
      </c>
      <c r="Z31" s="421" t="s">
        <v>3652</v>
      </c>
      <c r="AA31" s="416"/>
      <c r="AB31" s="414" t="s">
        <v>3716</v>
      </c>
      <c r="AC31" s="426"/>
      <c r="AD31" s="421"/>
      <c r="AE31" s="420"/>
      <c r="AF31" s="421">
        <v>90894</v>
      </c>
      <c r="AG31" s="420" t="s">
        <v>3760</v>
      </c>
      <c r="AH31" s="421" t="s">
        <v>3718</v>
      </c>
      <c r="AI31" s="420" t="s">
        <v>3719</v>
      </c>
      <c r="AJ31" s="413">
        <f t="shared" si="0"/>
        <v>4590007587</v>
      </c>
      <c r="AK31" s="423"/>
      <c r="AL31" s="413"/>
      <c r="AM31" s="221"/>
      <c r="AN31" s="424"/>
      <c r="AO31" s="423"/>
      <c r="AP31" s="413"/>
      <c r="AQ31" s="222"/>
      <c r="AR31" s="424"/>
      <c r="AS31" s="614">
        <f ca="1">表格1_6[[#This Row],[total amount]]/表格1_6[[#This Row],[PO$]]</f>
        <v>0</v>
      </c>
      <c r="AT31" s="223">
        <f ca="1">表格1_6[[#This Row],[invoice amount]]+表格1_6[[#This Row],[invoice amount2]]</f>
        <v>0</v>
      </c>
      <c r="AU31" s="224"/>
      <c r="AV31" s="423"/>
      <c r="AW31" s="423" t="e">
        <f ca="1">VLOOKUP(表格1_6[[#This Row],[TI tool ID2]],工作表1!A:A,1,FALSE)</f>
        <v>#N/A</v>
      </c>
      <c r="AX31" s="425" t="e">
        <f ca="1">VLOOKUP(表格1_6[[#This Row],[PO+ITEM]],工作表1!B:E,2,FALSE)</f>
        <v>#N/A</v>
      </c>
      <c r="AY31" s="425" t="e">
        <f ca="1">VLOOKUP(表格1_6[[#This Row],[PO+ITEM]],工作表1!B:E,3,FALSE)</f>
        <v>#N/A</v>
      </c>
      <c r="AZ31" s="423" t="e">
        <f ca="1">VLOOKUP(表格1_6[[#This Row],[PO+ITEM]],工作表1!B:E,4,FALSE)</f>
        <v>#N/A</v>
      </c>
      <c r="BA31" s="425" t="e">
        <f ca="1">INDEX(工作表1!G:G, MATCH(表格1_6[[#This Row],[invoice number]]&amp;表格1_6[[#This Row],[invoice number2]],工作表1!G:G, 0))</f>
        <v>#N/A</v>
      </c>
      <c r="BB31" s="423" t="e">
        <f ca="1">VLOOKUP(表格1_6[[#This Row],[PO+ITEM]],工作表1!F:H,2,FALSE)</f>
        <v>#N/A</v>
      </c>
    </row>
    <row r="32" spans="1:54" s="429" customFormat="1" ht="14.45">
      <c r="A32" s="413">
        <v>31</v>
      </c>
      <c r="B32" s="516" t="s">
        <v>3659</v>
      </c>
      <c r="C32" s="509" t="s">
        <v>17</v>
      </c>
      <c r="D32" s="509" t="s">
        <v>3648</v>
      </c>
      <c r="E32" s="509"/>
      <c r="F32" s="509"/>
      <c r="G32" s="509"/>
      <c r="H32" s="509"/>
      <c r="I32" s="509"/>
      <c r="J32" s="509"/>
      <c r="K32" s="509"/>
      <c r="L32" s="513" t="s">
        <v>3761</v>
      </c>
      <c r="M32" s="510" t="s">
        <v>3762</v>
      </c>
      <c r="N32" s="510" t="s">
        <v>3762</v>
      </c>
      <c r="O32" s="511"/>
      <c r="P32" s="510">
        <v>4590007588</v>
      </c>
      <c r="Q32" s="512">
        <v>44855</v>
      </c>
      <c r="R32" s="517">
        <v>1</v>
      </c>
      <c r="S32" s="545"/>
      <c r="T32" s="513" t="s">
        <v>2156</v>
      </c>
      <c r="U32" s="509" t="s">
        <v>3713</v>
      </c>
      <c r="V32" s="509" t="s">
        <v>3714</v>
      </c>
      <c r="W32" s="511" t="s">
        <v>3715</v>
      </c>
      <c r="X32" s="511"/>
      <c r="Y32" s="514" t="s">
        <v>3652</v>
      </c>
      <c r="Z32" s="514" t="s">
        <v>3652</v>
      </c>
      <c r="AA32" s="510"/>
      <c r="AB32" s="509" t="s">
        <v>3716</v>
      </c>
      <c r="AC32" s="525" t="s">
        <v>3763</v>
      </c>
      <c r="AD32" s="514"/>
      <c r="AE32" s="513"/>
      <c r="AF32" s="514">
        <v>91287</v>
      </c>
      <c r="AG32" s="513" t="s">
        <v>3764</v>
      </c>
      <c r="AH32" s="514" t="s">
        <v>3718</v>
      </c>
      <c r="AI32" s="513" t="s">
        <v>3719</v>
      </c>
      <c r="AJ32" s="516">
        <f t="shared" si="0"/>
        <v>4590007588</v>
      </c>
      <c r="AK32" s="518"/>
      <c r="AL32" s="516"/>
      <c r="AM32" s="519"/>
      <c r="AN32" s="520"/>
      <c r="AO32" s="518"/>
      <c r="AP32" s="516"/>
      <c r="AQ32" s="521"/>
      <c r="AR32" s="520"/>
      <c r="AS32" s="615"/>
      <c r="AT32" s="572">
        <f ca="1">表格1_6[[#This Row],[invoice amount]]+表格1_6[[#This Row],[invoice amount2]]</f>
        <v>0</v>
      </c>
      <c r="AU32" s="566" t="s">
        <v>3765</v>
      </c>
      <c r="AV32" s="522"/>
      <c r="AW32" s="423" t="e">
        <f ca="1">VLOOKUP(表格1_6[[#This Row],[TI tool ID2]],工作表1!A:A,1,FALSE)</f>
        <v>#N/A</v>
      </c>
      <c r="AX32" s="425" t="e">
        <f ca="1">VLOOKUP(表格1_6[[#This Row],[PO+ITEM]],工作表1!B:E,2,FALSE)</f>
        <v>#N/A</v>
      </c>
      <c r="AY32" s="425" t="e">
        <f ca="1">VLOOKUP(表格1_6[[#This Row],[PO+ITEM]],工作表1!B:E,3,FALSE)</f>
        <v>#N/A</v>
      </c>
      <c r="AZ32" s="423" t="e">
        <f ca="1">VLOOKUP(表格1_6[[#This Row],[PO+ITEM]],工作表1!B:E,4,FALSE)</f>
        <v>#N/A</v>
      </c>
      <c r="BA32" s="425" t="e">
        <f ca="1">INDEX(工作表1!G:G, MATCH(表格1_6[[#This Row],[invoice number]]&amp;表格1_6[[#This Row],[invoice number2]],工作表1!G:G, 0))</f>
        <v>#N/A</v>
      </c>
      <c r="BB32" s="423" t="e">
        <f ca="1">VLOOKUP(表格1_6[[#This Row],[PO+ITEM]],工作表1!F:H,2,FALSE)</f>
        <v>#N/A</v>
      </c>
    </row>
    <row r="33" spans="1:54" ht="14.45">
      <c r="A33" s="413">
        <v>32</v>
      </c>
      <c r="B33" s="413" t="s">
        <v>3674</v>
      </c>
      <c r="C33" s="414" t="s">
        <v>17</v>
      </c>
      <c r="D33" s="414" t="s">
        <v>3648</v>
      </c>
      <c r="E33" s="414"/>
      <c r="F33" s="414"/>
      <c r="G33" s="414"/>
      <c r="H33" s="414"/>
      <c r="I33" s="414"/>
      <c r="J33" s="414"/>
      <c r="K33" s="414"/>
      <c r="L33" s="415" t="s">
        <v>3766</v>
      </c>
      <c r="M33" s="416" t="s">
        <v>2999</v>
      </c>
      <c r="N33" s="416" t="s">
        <v>2999</v>
      </c>
      <c r="O33" s="417"/>
      <c r="P33" s="416">
        <v>4590007591</v>
      </c>
      <c r="Q33" s="418">
        <v>44855</v>
      </c>
      <c r="R33" s="419">
        <v>1</v>
      </c>
      <c r="S33" s="458">
        <v>15048</v>
      </c>
      <c r="T33" s="420" t="s">
        <v>2156</v>
      </c>
      <c r="U33" s="414" t="s">
        <v>3713</v>
      </c>
      <c r="V33" s="414" t="s">
        <v>3714</v>
      </c>
      <c r="W33" s="417" t="s">
        <v>3715</v>
      </c>
      <c r="X33" s="417"/>
      <c r="Y33" s="421" t="s">
        <v>3652</v>
      </c>
      <c r="Z33" s="421" t="s">
        <v>3652</v>
      </c>
      <c r="AA33" s="416" t="s">
        <v>3767</v>
      </c>
      <c r="AB33" s="414" t="s">
        <v>3768</v>
      </c>
      <c r="AC33" s="426"/>
      <c r="AD33" s="421"/>
      <c r="AE33" s="420"/>
      <c r="AF33" s="421">
        <v>90817</v>
      </c>
      <c r="AG33" s="420" t="s">
        <v>3769</v>
      </c>
      <c r="AH33" s="421" t="s">
        <v>3770</v>
      </c>
      <c r="AI33" s="420" t="s">
        <v>3771</v>
      </c>
      <c r="AJ33" s="413">
        <f t="shared" si="0"/>
        <v>4590007591</v>
      </c>
      <c r="AK33" s="423" t="s">
        <v>3772</v>
      </c>
      <c r="AL33" s="424">
        <v>45401</v>
      </c>
      <c r="AM33" s="221">
        <v>15048</v>
      </c>
      <c r="AN33" s="424">
        <v>45442</v>
      </c>
      <c r="AO33" s="423"/>
      <c r="AP33" s="413"/>
      <c r="AQ33" s="222"/>
      <c r="AR33" s="424"/>
      <c r="AS33" s="614">
        <f ca="1">表格1_6[[#This Row],[total amount]]/表格1_6[[#This Row],[PO$]]</f>
        <v>1</v>
      </c>
      <c r="AT33" s="223">
        <f ca="1">表格1_6[[#This Row],[invoice amount]]+表格1_6[[#This Row],[invoice amount2]]</f>
        <v>15048</v>
      </c>
      <c r="AU33" s="224" t="s">
        <v>3725</v>
      </c>
      <c r="AV33" s="423" t="s">
        <v>3773</v>
      </c>
      <c r="AW33" s="423" t="e">
        <f ca="1">VLOOKUP(表格1_6[[#This Row],[TI tool ID2]],工作表1!A:A,1,FALSE)</f>
        <v>#N/A</v>
      </c>
      <c r="AX33" s="425" t="e">
        <f ca="1">VLOOKUP(表格1_6[[#This Row],[PO+ITEM]],工作表1!B:E,2,FALSE)</f>
        <v>#N/A</v>
      </c>
      <c r="AY33" s="425" t="e">
        <f ca="1">VLOOKUP(表格1_6[[#This Row],[PO+ITEM]],工作表1!B:E,3,FALSE)</f>
        <v>#N/A</v>
      </c>
      <c r="AZ33" s="423" t="e">
        <f ca="1">VLOOKUP(表格1_6[[#This Row],[PO+ITEM]],工作表1!B:E,4,FALSE)</f>
        <v>#N/A</v>
      </c>
      <c r="BA33" s="425" t="e">
        <f ca="1">INDEX(工作表1!G:G, MATCH(表格1_6[[#This Row],[invoice number]]&amp;表格1_6[[#This Row],[invoice number2]],工作表1!G:G, 0))</f>
        <v>#N/A</v>
      </c>
      <c r="BB33" s="423" t="e">
        <f ca="1">VLOOKUP(表格1_6[[#This Row],[PO+ITEM]],工作表1!F:H,2,FALSE)</f>
        <v>#N/A</v>
      </c>
    </row>
    <row r="34" spans="1:54" ht="14.45">
      <c r="A34" s="413">
        <v>33</v>
      </c>
      <c r="B34" s="413" t="s">
        <v>3674</v>
      </c>
      <c r="C34" s="414" t="s">
        <v>17</v>
      </c>
      <c r="D34" s="414" t="s">
        <v>3648</v>
      </c>
      <c r="E34" s="414"/>
      <c r="F34" s="414"/>
      <c r="G34" s="414"/>
      <c r="H34" s="414"/>
      <c r="I34" s="414"/>
      <c r="J34" s="414"/>
      <c r="K34" s="414"/>
      <c r="L34" s="415" t="s">
        <v>3774</v>
      </c>
      <c r="M34" s="416" t="s">
        <v>2999</v>
      </c>
      <c r="N34" s="416" t="s">
        <v>2999</v>
      </c>
      <c r="O34" s="417"/>
      <c r="P34" s="428">
        <v>4590007592</v>
      </c>
      <c r="Q34" s="418">
        <v>44855</v>
      </c>
      <c r="R34" s="419">
        <v>1</v>
      </c>
      <c r="S34" s="458">
        <v>23868</v>
      </c>
      <c r="T34" s="420" t="s">
        <v>2156</v>
      </c>
      <c r="U34" s="414" t="s">
        <v>3713</v>
      </c>
      <c r="V34" s="414" t="s">
        <v>3714</v>
      </c>
      <c r="W34" s="417" t="s">
        <v>3715</v>
      </c>
      <c r="X34" s="417"/>
      <c r="Y34" s="421" t="s">
        <v>3652</v>
      </c>
      <c r="Z34" s="421" t="s">
        <v>3652</v>
      </c>
      <c r="AA34" s="416" t="s">
        <v>3767</v>
      </c>
      <c r="AB34" s="414" t="s">
        <v>3768</v>
      </c>
      <c r="AC34" s="426"/>
      <c r="AD34" s="421"/>
      <c r="AE34" s="420"/>
      <c r="AF34" s="421">
        <v>90815</v>
      </c>
      <c r="AG34" s="420" t="s">
        <v>3775</v>
      </c>
      <c r="AH34" s="421" t="s">
        <v>3770</v>
      </c>
      <c r="AI34" s="420" t="s">
        <v>3771</v>
      </c>
      <c r="AJ34" s="413">
        <f t="shared" ref="AJ34:AJ65" si="1">P34</f>
        <v>4590007592</v>
      </c>
      <c r="AK34" s="423" t="s">
        <v>3776</v>
      </c>
      <c r="AL34" s="424">
        <v>45401</v>
      </c>
      <c r="AM34" s="221">
        <v>23868</v>
      </c>
      <c r="AN34" s="424">
        <v>45442</v>
      </c>
      <c r="AO34" s="423"/>
      <c r="AP34" s="413"/>
      <c r="AQ34" s="222"/>
      <c r="AR34" s="424"/>
      <c r="AS34" s="614">
        <f ca="1">表格1_6[[#This Row],[total amount]]/表格1_6[[#This Row],[PO$]]</f>
        <v>1</v>
      </c>
      <c r="AT34" s="223">
        <f ca="1">表格1_6[[#This Row],[invoice amount]]+表格1_6[[#This Row],[invoice amount2]]</f>
        <v>23868</v>
      </c>
      <c r="AU34" s="224" t="s">
        <v>3725</v>
      </c>
      <c r="AV34" s="423" t="s">
        <v>3773</v>
      </c>
      <c r="AW34" s="423" t="e">
        <f ca="1">VLOOKUP(表格1_6[[#This Row],[TI tool ID2]],工作表1!A:A,1,FALSE)</f>
        <v>#N/A</v>
      </c>
      <c r="AX34" s="425" t="e">
        <f ca="1">VLOOKUP(表格1_6[[#This Row],[PO+ITEM]],工作表1!B:E,2,FALSE)</f>
        <v>#N/A</v>
      </c>
      <c r="AY34" s="425" t="e">
        <f ca="1">VLOOKUP(表格1_6[[#This Row],[PO+ITEM]],工作表1!B:E,3,FALSE)</f>
        <v>#N/A</v>
      </c>
      <c r="AZ34" s="423" t="e">
        <f ca="1">VLOOKUP(表格1_6[[#This Row],[PO+ITEM]],工作表1!B:E,4,FALSE)</f>
        <v>#N/A</v>
      </c>
      <c r="BA34" s="425" t="e">
        <f ca="1">INDEX(工作表1!G:G, MATCH(表格1_6[[#This Row],[invoice number]]&amp;表格1_6[[#This Row],[invoice number2]],工作表1!G:G, 0))</f>
        <v>#N/A</v>
      </c>
      <c r="BB34" s="423" t="e">
        <f ca="1">VLOOKUP(表格1_6[[#This Row],[PO+ITEM]],工作表1!F:H,2,FALSE)</f>
        <v>#N/A</v>
      </c>
    </row>
    <row r="35" spans="1:54" ht="14.45">
      <c r="A35" s="413">
        <v>34</v>
      </c>
      <c r="B35" s="413" t="s">
        <v>3674</v>
      </c>
      <c r="C35" s="414" t="s">
        <v>17</v>
      </c>
      <c r="D35" s="414" t="s">
        <v>3648</v>
      </c>
      <c r="E35" s="414"/>
      <c r="F35" s="414"/>
      <c r="G35" s="414"/>
      <c r="H35" s="414"/>
      <c r="I35" s="414"/>
      <c r="J35" s="414"/>
      <c r="K35" s="414"/>
      <c r="L35" s="415" t="s">
        <v>3777</v>
      </c>
      <c r="M35" s="416" t="s">
        <v>2999</v>
      </c>
      <c r="N35" s="416" t="s">
        <v>2999</v>
      </c>
      <c r="O35" s="417"/>
      <c r="P35" s="416">
        <v>4590007593</v>
      </c>
      <c r="Q35" s="418">
        <v>44855</v>
      </c>
      <c r="R35" s="419">
        <v>1</v>
      </c>
      <c r="S35" s="458">
        <v>23868</v>
      </c>
      <c r="T35" s="420" t="s">
        <v>2156</v>
      </c>
      <c r="U35" s="414" t="s">
        <v>3713</v>
      </c>
      <c r="V35" s="414" t="s">
        <v>3714</v>
      </c>
      <c r="W35" s="417" t="s">
        <v>3715</v>
      </c>
      <c r="X35" s="417"/>
      <c r="Y35" s="421" t="s">
        <v>3652</v>
      </c>
      <c r="Z35" s="421" t="s">
        <v>3652</v>
      </c>
      <c r="AA35" s="416" t="s">
        <v>3767</v>
      </c>
      <c r="AB35" s="414" t="s">
        <v>3768</v>
      </c>
      <c r="AC35" s="426"/>
      <c r="AD35" s="421"/>
      <c r="AE35" s="420"/>
      <c r="AF35" s="421">
        <v>90816</v>
      </c>
      <c r="AG35" s="420" t="s">
        <v>3778</v>
      </c>
      <c r="AH35" s="421" t="s">
        <v>3770</v>
      </c>
      <c r="AI35" s="420" t="s">
        <v>3771</v>
      </c>
      <c r="AJ35" s="413">
        <f t="shared" si="1"/>
        <v>4590007593</v>
      </c>
      <c r="AK35" s="423" t="s">
        <v>3779</v>
      </c>
      <c r="AL35" s="424">
        <v>45422</v>
      </c>
      <c r="AM35" s="221">
        <v>23868</v>
      </c>
      <c r="AN35" s="424">
        <v>45565</v>
      </c>
      <c r="AO35" s="423"/>
      <c r="AP35" s="413"/>
      <c r="AQ35" s="222"/>
      <c r="AR35" s="424"/>
      <c r="AS35" s="614">
        <f ca="1">表格1_6[[#This Row],[total amount]]/表格1_6[[#This Row],[PO$]]</f>
        <v>1</v>
      </c>
      <c r="AT35" s="223">
        <f ca="1">表格1_6[[#This Row],[invoice amount]]+表格1_6[[#This Row],[invoice amount2]]</f>
        <v>23868</v>
      </c>
      <c r="AU35" s="224" t="s">
        <v>3725</v>
      </c>
      <c r="AV35" s="423" t="s">
        <v>3657</v>
      </c>
      <c r="AW35" s="423" t="e">
        <f ca="1">VLOOKUP(表格1_6[[#This Row],[TI tool ID2]],工作表1!A:A,1,FALSE)</f>
        <v>#N/A</v>
      </c>
      <c r="AX35" s="425" t="e">
        <f ca="1">VLOOKUP(表格1_6[[#This Row],[PO+ITEM]],工作表1!B:E,2,FALSE)</f>
        <v>#N/A</v>
      </c>
      <c r="AY35" s="425" t="e">
        <f ca="1">VLOOKUP(表格1_6[[#This Row],[PO+ITEM]],工作表1!B:E,3,FALSE)</f>
        <v>#N/A</v>
      </c>
      <c r="AZ35" s="423" t="e">
        <f ca="1">VLOOKUP(表格1_6[[#This Row],[PO+ITEM]],工作表1!B:E,4,FALSE)</f>
        <v>#N/A</v>
      </c>
      <c r="BA35" s="425" t="e">
        <f ca="1">INDEX(工作表1!G:G, MATCH(表格1_6[[#This Row],[invoice number]]&amp;表格1_6[[#This Row],[invoice number2]],工作表1!G:G, 0))</f>
        <v>#N/A</v>
      </c>
      <c r="BB35" s="423" t="e">
        <f ca="1">VLOOKUP(表格1_6[[#This Row],[PO+ITEM]],工作表1!F:H,2,FALSE)</f>
        <v>#N/A</v>
      </c>
    </row>
    <row r="36" spans="1:54" ht="14.45">
      <c r="A36" s="413">
        <v>35</v>
      </c>
      <c r="B36" s="413" t="s">
        <v>3659</v>
      </c>
      <c r="C36" s="414" t="s">
        <v>17</v>
      </c>
      <c r="D36" s="414" t="s">
        <v>3648</v>
      </c>
      <c r="E36" s="414"/>
      <c r="F36" s="414"/>
      <c r="G36" s="414"/>
      <c r="H36" s="414"/>
      <c r="I36" s="414"/>
      <c r="J36" s="414"/>
      <c r="K36" s="414"/>
      <c r="L36" s="415" t="s">
        <v>3780</v>
      </c>
      <c r="M36" s="416" t="s">
        <v>2999</v>
      </c>
      <c r="N36" s="416" t="s">
        <v>2999</v>
      </c>
      <c r="O36" s="417"/>
      <c r="P36" s="416">
        <v>4590007594</v>
      </c>
      <c r="Q36" s="418">
        <v>44855</v>
      </c>
      <c r="R36" s="419">
        <v>1</v>
      </c>
      <c r="S36" s="458">
        <v>23868</v>
      </c>
      <c r="T36" s="420" t="s">
        <v>2156</v>
      </c>
      <c r="U36" s="414" t="s">
        <v>3713</v>
      </c>
      <c r="V36" s="414" t="s">
        <v>3714</v>
      </c>
      <c r="W36" s="417" t="s">
        <v>3715</v>
      </c>
      <c r="X36" s="417"/>
      <c r="Y36" s="421" t="s">
        <v>3652</v>
      </c>
      <c r="Z36" s="421" t="s">
        <v>3652</v>
      </c>
      <c r="AA36" s="416" t="s">
        <v>3767</v>
      </c>
      <c r="AB36" s="414" t="s">
        <v>3768</v>
      </c>
      <c r="AC36" s="426"/>
      <c r="AD36" s="421"/>
      <c r="AE36" s="420"/>
      <c r="AF36" s="421">
        <v>91137</v>
      </c>
      <c r="AG36" s="420" t="s">
        <v>3781</v>
      </c>
      <c r="AH36" s="421" t="s">
        <v>3770</v>
      </c>
      <c r="AI36" s="420" t="s">
        <v>3771</v>
      </c>
      <c r="AJ36" s="413">
        <f t="shared" si="1"/>
        <v>4590007594</v>
      </c>
      <c r="AK36" s="423"/>
      <c r="AL36" s="413"/>
      <c r="AM36" s="221"/>
      <c r="AN36" s="424"/>
      <c r="AO36" s="423"/>
      <c r="AP36" s="413"/>
      <c r="AQ36" s="222"/>
      <c r="AR36" s="424"/>
      <c r="AS36" s="614">
        <f ca="1">表格1_6[[#This Row],[total amount]]/表格1_6[[#This Row],[PO$]]</f>
        <v>0</v>
      </c>
      <c r="AT36" s="223">
        <f ca="1">表格1_6[[#This Row],[invoice amount]]+表格1_6[[#This Row],[invoice amount2]]</f>
        <v>0</v>
      </c>
      <c r="AU36" s="224"/>
      <c r="AV36" s="423"/>
      <c r="AW36" s="423" t="e">
        <f ca="1">VLOOKUP(表格1_6[[#This Row],[TI tool ID2]],工作表1!A:A,1,FALSE)</f>
        <v>#N/A</v>
      </c>
      <c r="AX36" s="425" t="e">
        <f ca="1">VLOOKUP(表格1_6[[#This Row],[PO+ITEM]],工作表1!B:E,2,FALSE)</f>
        <v>#N/A</v>
      </c>
      <c r="AY36" s="425" t="e">
        <f ca="1">VLOOKUP(表格1_6[[#This Row],[PO+ITEM]],工作表1!B:E,3,FALSE)</f>
        <v>#N/A</v>
      </c>
      <c r="AZ36" s="423" t="e">
        <f ca="1">VLOOKUP(表格1_6[[#This Row],[PO+ITEM]],工作表1!B:E,4,FALSE)</f>
        <v>#N/A</v>
      </c>
      <c r="BA36" s="425" t="e">
        <f ca="1">INDEX(工作表1!G:G, MATCH(表格1_6[[#This Row],[invoice number]]&amp;表格1_6[[#This Row],[invoice number2]],工作表1!G:G, 0))</f>
        <v>#N/A</v>
      </c>
      <c r="BB36" s="423" t="e">
        <f ca="1">VLOOKUP(表格1_6[[#This Row],[PO+ITEM]],工作表1!F:H,2,FALSE)</f>
        <v>#N/A</v>
      </c>
    </row>
    <row r="37" spans="1:54" ht="14.45">
      <c r="A37" s="413">
        <v>36</v>
      </c>
      <c r="B37" s="413" t="s">
        <v>3674</v>
      </c>
      <c r="C37" s="414" t="s">
        <v>17</v>
      </c>
      <c r="D37" s="414" t="s">
        <v>3648</v>
      </c>
      <c r="E37" s="414"/>
      <c r="F37" s="414"/>
      <c r="G37" s="414"/>
      <c r="H37" s="414"/>
      <c r="I37" s="414"/>
      <c r="J37" s="414"/>
      <c r="K37" s="414"/>
      <c r="L37" s="415" t="s">
        <v>3782</v>
      </c>
      <c r="M37" s="416" t="s">
        <v>2999</v>
      </c>
      <c r="N37" s="416" t="s">
        <v>2999</v>
      </c>
      <c r="O37" s="417"/>
      <c r="P37" s="416">
        <v>4590007595</v>
      </c>
      <c r="Q37" s="418">
        <v>44855</v>
      </c>
      <c r="R37" s="419">
        <v>1</v>
      </c>
      <c r="S37" s="458">
        <v>23868</v>
      </c>
      <c r="T37" s="420" t="s">
        <v>2156</v>
      </c>
      <c r="U37" s="414" t="s">
        <v>3713</v>
      </c>
      <c r="V37" s="414" t="s">
        <v>3714</v>
      </c>
      <c r="W37" s="417" t="s">
        <v>3715</v>
      </c>
      <c r="X37" s="417"/>
      <c r="Y37" s="421" t="s">
        <v>3652</v>
      </c>
      <c r="Z37" s="421" t="s">
        <v>3652</v>
      </c>
      <c r="AA37" s="416" t="s">
        <v>3767</v>
      </c>
      <c r="AB37" s="414" t="s">
        <v>3768</v>
      </c>
      <c r="AC37" s="426"/>
      <c r="AD37" s="421"/>
      <c r="AE37" s="420"/>
      <c r="AF37" s="421">
        <v>90566</v>
      </c>
      <c r="AG37" s="420" t="s">
        <v>3783</v>
      </c>
      <c r="AH37" s="421" t="s">
        <v>3770</v>
      </c>
      <c r="AI37" s="420" t="s">
        <v>3771</v>
      </c>
      <c r="AJ37" s="413">
        <f t="shared" si="1"/>
        <v>4590007595</v>
      </c>
      <c r="AK37" s="423" t="s">
        <v>3784</v>
      </c>
      <c r="AL37" s="424">
        <v>45401</v>
      </c>
      <c r="AM37" s="221">
        <v>23868</v>
      </c>
      <c r="AN37" s="424">
        <v>45442</v>
      </c>
      <c r="AO37" s="423"/>
      <c r="AP37" s="413"/>
      <c r="AQ37" s="222"/>
      <c r="AR37" s="424"/>
      <c r="AS37" s="614">
        <f ca="1">表格1_6[[#This Row],[total amount]]/表格1_6[[#This Row],[PO$]]</f>
        <v>1</v>
      </c>
      <c r="AT37" s="223">
        <f ca="1">表格1_6[[#This Row],[invoice amount]]+表格1_6[[#This Row],[invoice amount2]]</f>
        <v>23868</v>
      </c>
      <c r="AU37" s="224" t="s">
        <v>3725</v>
      </c>
      <c r="AV37" s="423" t="s">
        <v>3773</v>
      </c>
      <c r="AW37" s="423" t="e">
        <f ca="1">VLOOKUP(表格1_6[[#This Row],[TI tool ID2]],工作表1!A:A,1,FALSE)</f>
        <v>#N/A</v>
      </c>
      <c r="AX37" s="425" t="e">
        <f ca="1">VLOOKUP(表格1_6[[#This Row],[PO+ITEM]],工作表1!B:E,2,FALSE)</f>
        <v>#N/A</v>
      </c>
      <c r="AY37" s="425" t="e">
        <f ca="1">VLOOKUP(表格1_6[[#This Row],[PO+ITEM]],工作表1!B:E,3,FALSE)</f>
        <v>#N/A</v>
      </c>
      <c r="AZ37" s="423" t="e">
        <f ca="1">VLOOKUP(表格1_6[[#This Row],[PO+ITEM]],工作表1!B:E,4,FALSE)</f>
        <v>#N/A</v>
      </c>
      <c r="BA37" s="425" t="e">
        <f ca="1">INDEX(工作表1!G:G, MATCH(表格1_6[[#This Row],[invoice number]]&amp;表格1_6[[#This Row],[invoice number2]],工作表1!G:G, 0))</f>
        <v>#N/A</v>
      </c>
      <c r="BB37" s="423" t="e">
        <f ca="1">VLOOKUP(表格1_6[[#This Row],[PO+ITEM]],工作表1!F:H,2,FALSE)</f>
        <v>#N/A</v>
      </c>
    </row>
    <row r="38" spans="1:54" ht="15.6">
      <c r="A38" s="413">
        <v>37</v>
      </c>
      <c r="B38" s="413" t="s">
        <v>3659</v>
      </c>
      <c r="C38" s="414" t="s">
        <v>17</v>
      </c>
      <c r="D38" s="414" t="s">
        <v>3648</v>
      </c>
      <c r="E38" s="414"/>
      <c r="F38" s="414"/>
      <c r="G38" s="414"/>
      <c r="H38" s="414"/>
      <c r="I38" s="414"/>
      <c r="J38" s="414"/>
      <c r="K38" s="414"/>
      <c r="L38" s="415" t="s">
        <v>3785</v>
      </c>
      <c r="M38" s="416" t="s">
        <v>2999</v>
      </c>
      <c r="N38" s="416" t="s">
        <v>2999</v>
      </c>
      <c r="O38" s="417"/>
      <c r="P38" s="416">
        <v>4590007596</v>
      </c>
      <c r="Q38" s="418">
        <v>44855</v>
      </c>
      <c r="R38" s="419">
        <v>1</v>
      </c>
      <c r="S38" s="458">
        <v>23868</v>
      </c>
      <c r="T38" s="420" t="s">
        <v>2156</v>
      </c>
      <c r="U38" s="414" t="s">
        <v>3713</v>
      </c>
      <c r="V38" s="414" t="s">
        <v>3714</v>
      </c>
      <c r="W38" s="417" t="s">
        <v>3715</v>
      </c>
      <c r="X38" s="417"/>
      <c r="Y38" s="421" t="s">
        <v>3652</v>
      </c>
      <c r="Z38" s="421" t="s">
        <v>3652</v>
      </c>
      <c r="AA38" s="416" t="s">
        <v>3767</v>
      </c>
      <c r="AB38" s="414" t="s">
        <v>3768</v>
      </c>
      <c r="AC38" s="426"/>
      <c r="AD38" s="421"/>
      <c r="AE38" s="420"/>
      <c r="AF38" s="421">
        <v>91142</v>
      </c>
      <c r="AG38" s="420" t="s">
        <v>3786</v>
      </c>
      <c r="AH38" s="421" t="s">
        <v>3770</v>
      </c>
      <c r="AI38" s="420" t="s">
        <v>3771</v>
      </c>
      <c r="AJ38" s="413">
        <f t="shared" si="1"/>
        <v>4590007596</v>
      </c>
      <c r="AK38" s="423" t="s">
        <v>3787</v>
      </c>
      <c r="AL38" s="424">
        <v>45401</v>
      </c>
      <c r="AM38" s="221">
        <v>0</v>
      </c>
      <c r="AN38" s="431" t="s">
        <v>3788</v>
      </c>
      <c r="AO38" s="423"/>
      <c r="AP38" s="413"/>
      <c r="AQ38" s="222"/>
      <c r="AR38" s="424"/>
      <c r="AS38" s="614">
        <f ca="1">表格1_6[[#This Row],[total amount]]/表格1_6[[#This Row],[PO$]]</f>
        <v>0</v>
      </c>
      <c r="AT38" s="223">
        <f ca="1">表格1_6[[#This Row],[invoice amount]]+表格1_6[[#This Row],[invoice amount2]]</f>
        <v>0</v>
      </c>
      <c r="AU38" s="224" t="s">
        <v>3789</v>
      </c>
      <c r="AV38" s="423" t="s">
        <v>3790</v>
      </c>
      <c r="AW38" s="423" t="e">
        <f ca="1">VLOOKUP(表格1_6[[#This Row],[TI tool ID2]],工作表1!A:A,1,FALSE)</f>
        <v>#N/A</v>
      </c>
      <c r="AX38" s="425" t="e">
        <f ca="1">VLOOKUP(表格1_6[[#This Row],[PO+ITEM]],工作表1!B:E,2,FALSE)</f>
        <v>#N/A</v>
      </c>
      <c r="AY38" s="425" t="e">
        <f ca="1">VLOOKUP(表格1_6[[#This Row],[PO+ITEM]],工作表1!B:E,3,FALSE)</f>
        <v>#N/A</v>
      </c>
      <c r="AZ38" s="423" t="e">
        <f ca="1">VLOOKUP(表格1_6[[#This Row],[PO+ITEM]],工作表1!B:E,4,FALSE)</f>
        <v>#N/A</v>
      </c>
      <c r="BA38" s="425" t="e">
        <f ca="1">INDEX(工作表1!G:G, MATCH(表格1_6[[#This Row],[invoice number]]&amp;表格1_6[[#This Row],[invoice number2]],工作表1!G:G, 0))</f>
        <v>#N/A</v>
      </c>
      <c r="BB38" s="423" t="e">
        <f ca="1">VLOOKUP(表格1_6[[#This Row],[PO+ITEM]],工作表1!F:H,2,FALSE)</f>
        <v>#N/A</v>
      </c>
    </row>
    <row r="39" spans="1:54" ht="14.45">
      <c r="A39" s="413">
        <v>38</v>
      </c>
      <c r="B39" s="413" t="s">
        <v>3674</v>
      </c>
      <c r="C39" s="414" t="s">
        <v>17</v>
      </c>
      <c r="D39" s="414" t="s">
        <v>3648</v>
      </c>
      <c r="E39" s="414"/>
      <c r="F39" s="414"/>
      <c r="G39" s="414"/>
      <c r="H39" s="414"/>
      <c r="I39" s="414"/>
      <c r="J39" s="414"/>
      <c r="K39" s="414"/>
      <c r="L39" s="415" t="s">
        <v>3791</v>
      </c>
      <c r="M39" s="416" t="s">
        <v>2999</v>
      </c>
      <c r="N39" s="416" t="s">
        <v>2999</v>
      </c>
      <c r="O39" s="417"/>
      <c r="P39" s="416">
        <v>4590007597</v>
      </c>
      <c r="Q39" s="418">
        <v>44855</v>
      </c>
      <c r="R39" s="419">
        <v>1</v>
      </c>
      <c r="S39" s="458">
        <v>23868</v>
      </c>
      <c r="T39" s="420" t="s">
        <v>2156</v>
      </c>
      <c r="U39" s="414" t="s">
        <v>3713</v>
      </c>
      <c r="V39" s="414" t="s">
        <v>3714</v>
      </c>
      <c r="W39" s="417" t="s">
        <v>3715</v>
      </c>
      <c r="X39" s="417"/>
      <c r="Y39" s="421" t="s">
        <v>3652</v>
      </c>
      <c r="Z39" s="421" t="s">
        <v>3652</v>
      </c>
      <c r="AA39" s="416" t="s">
        <v>3767</v>
      </c>
      <c r="AB39" s="414" t="s">
        <v>3768</v>
      </c>
      <c r="AC39" s="426"/>
      <c r="AD39" s="421"/>
      <c r="AE39" s="420"/>
      <c r="AF39" s="421">
        <v>90567</v>
      </c>
      <c r="AG39" s="420" t="s">
        <v>3792</v>
      </c>
      <c r="AH39" s="421" t="s">
        <v>3770</v>
      </c>
      <c r="AI39" s="420" t="s">
        <v>3771</v>
      </c>
      <c r="AJ39" s="413">
        <f t="shared" si="1"/>
        <v>4590007597</v>
      </c>
      <c r="AK39" s="423" t="s">
        <v>3793</v>
      </c>
      <c r="AL39" s="424">
        <v>45401</v>
      </c>
      <c r="AM39" s="221">
        <v>23868</v>
      </c>
      <c r="AN39" s="424">
        <v>45442</v>
      </c>
      <c r="AO39" s="423"/>
      <c r="AP39" s="413"/>
      <c r="AQ39" s="222"/>
      <c r="AR39" s="424"/>
      <c r="AS39" s="614">
        <f ca="1">表格1_6[[#This Row],[total amount]]/表格1_6[[#This Row],[PO$]]</f>
        <v>1</v>
      </c>
      <c r="AT39" s="223">
        <f ca="1">表格1_6[[#This Row],[invoice amount]]+表格1_6[[#This Row],[invoice amount2]]</f>
        <v>23868</v>
      </c>
      <c r="AU39" s="224" t="s">
        <v>3725</v>
      </c>
      <c r="AV39" s="423" t="s">
        <v>3773</v>
      </c>
      <c r="AW39" s="423" t="e">
        <f ca="1">VLOOKUP(表格1_6[[#This Row],[TI tool ID2]],工作表1!A:A,1,FALSE)</f>
        <v>#N/A</v>
      </c>
      <c r="AX39" s="425" t="e">
        <f ca="1">VLOOKUP(表格1_6[[#This Row],[PO+ITEM]],工作表1!B:E,2,FALSE)</f>
        <v>#N/A</v>
      </c>
      <c r="AY39" s="425" t="e">
        <f ca="1">VLOOKUP(表格1_6[[#This Row],[PO+ITEM]],工作表1!B:E,3,FALSE)</f>
        <v>#N/A</v>
      </c>
      <c r="AZ39" s="423" t="e">
        <f ca="1">VLOOKUP(表格1_6[[#This Row],[PO+ITEM]],工作表1!B:E,4,FALSE)</f>
        <v>#N/A</v>
      </c>
      <c r="BA39" s="425" t="e">
        <f ca="1">INDEX(工作表1!G:G, MATCH(表格1_6[[#This Row],[invoice number]]&amp;表格1_6[[#This Row],[invoice number2]],工作表1!G:G, 0))</f>
        <v>#N/A</v>
      </c>
      <c r="BB39" s="423" t="e">
        <f ca="1">VLOOKUP(表格1_6[[#This Row],[PO+ITEM]],工作表1!F:H,2,FALSE)</f>
        <v>#N/A</v>
      </c>
    </row>
    <row r="40" spans="1:54" ht="14.45">
      <c r="A40" s="413">
        <v>39</v>
      </c>
      <c r="B40" s="413" t="s">
        <v>3674</v>
      </c>
      <c r="C40" s="414" t="s">
        <v>17</v>
      </c>
      <c r="D40" s="414" t="s">
        <v>3648</v>
      </c>
      <c r="E40" s="414"/>
      <c r="F40" s="414"/>
      <c r="G40" s="414"/>
      <c r="H40" s="414"/>
      <c r="I40" s="414"/>
      <c r="J40" s="414"/>
      <c r="K40" s="414"/>
      <c r="L40" s="415" t="s">
        <v>3794</v>
      </c>
      <c r="M40" s="416" t="s">
        <v>2999</v>
      </c>
      <c r="N40" s="416" t="s">
        <v>2999</v>
      </c>
      <c r="O40" s="417"/>
      <c r="P40" s="416">
        <v>4590007598</v>
      </c>
      <c r="Q40" s="418">
        <v>44855</v>
      </c>
      <c r="R40" s="419">
        <v>1</v>
      </c>
      <c r="S40" s="458">
        <v>23868</v>
      </c>
      <c r="T40" s="420" t="s">
        <v>2156</v>
      </c>
      <c r="U40" s="414" t="s">
        <v>3713</v>
      </c>
      <c r="V40" s="414" t="s">
        <v>3714</v>
      </c>
      <c r="W40" s="417" t="s">
        <v>3715</v>
      </c>
      <c r="X40" s="417"/>
      <c r="Y40" s="421" t="s">
        <v>3652</v>
      </c>
      <c r="Z40" s="421" t="s">
        <v>3652</v>
      </c>
      <c r="AA40" s="416" t="s">
        <v>3767</v>
      </c>
      <c r="AB40" s="414" t="s">
        <v>3768</v>
      </c>
      <c r="AC40" s="426"/>
      <c r="AD40" s="421"/>
      <c r="AE40" s="420"/>
      <c r="AF40" s="421">
        <v>90568</v>
      </c>
      <c r="AG40" s="420" t="s">
        <v>3795</v>
      </c>
      <c r="AH40" s="421" t="s">
        <v>3770</v>
      </c>
      <c r="AI40" s="420" t="s">
        <v>3771</v>
      </c>
      <c r="AJ40" s="413">
        <f t="shared" si="1"/>
        <v>4590007598</v>
      </c>
      <c r="AK40" s="423" t="s">
        <v>3796</v>
      </c>
      <c r="AL40" s="424">
        <v>45429</v>
      </c>
      <c r="AM40" s="222">
        <v>23868</v>
      </c>
      <c r="AN40" s="424">
        <v>45565</v>
      </c>
      <c r="AO40" s="423"/>
      <c r="AP40" s="413"/>
      <c r="AQ40" s="222"/>
      <c r="AR40" s="424"/>
      <c r="AS40" s="614">
        <f ca="1">表格1_6[[#This Row],[total amount]]/表格1_6[[#This Row],[PO$]]</f>
        <v>1</v>
      </c>
      <c r="AT40" s="223">
        <f ca="1">表格1_6[[#This Row],[invoice amount]]+表格1_6[[#This Row],[invoice amount2]]</f>
        <v>23868</v>
      </c>
      <c r="AU40" s="224" t="s">
        <v>3725</v>
      </c>
      <c r="AV40" s="423" t="s">
        <v>3773</v>
      </c>
      <c r="AW40" s="423" t="e">
        <f ca="1">VLOOKUP(表格1_6[[#This Row],[TI tool ID2]],工作表1!A:A,1,FALSE)</f>
        <v>#N/A</v>
      </c>
      <c r="AX40" s="425" t="e">
        <f ca="1">VLOOKUP(表格1_6[[#This Row],[PO+ITEM]],工作表1!B:E,2,FALSE)</f>
        <v>#N/A</v>
      </c>
      <c r="AY40" s="425" t="e">
        <f ca="1">VLOOKUP(表格1_6[[#This Row],[PO+ITEM]],工作表1!B:E,3,FALSE)</f>
        <v>#N/A</v>
      </c>
      <c r="AZ40" s="423" t="e">
        <f ca="1">VLOOKUP(表格1_6[[#This Row],[PO+ITEM]],工作表1!B:E,4,FALSE)</f>
        <v>#N/A</v>
      </c>
      <c r="BA40" s="425" t="e">
        <f ca="1">INDEX(工作表1!G:G, MATCH(表格1_6[[#This Row],[invoice number]]&amp;表格1_6[[#This Row],[invoice number2]],工作表1!G:G, 0))</f>
        <v>#N/A</v>
      </c>
      <c r="BB40" s="423" t="e">
        <f ca="1">VLOOKUP(表格1_6[[#This Row],[PO+ITEM]],工作表1!F:H,2,FALSE)</f>
        <v>#N/A</v>
      </c>
    </row>
    <row r="41" spans="1:54" ht="14.45">
      <c r="A41" s="413">
        <v>40</v>
      </c>
      <c r="B41" s="413" t="s">
        <v>3674</v>
      </c>
      <c r="C41" s="414" t="s">
        <v>17</v>
      </c>
      <c r="D41" s="414" t="s">
        <v>3648</v>
      </c>
      <c r="E41" s="414"/>
      <c r="F41" s="414"/>
      <c r="G41" s="414"/>
      <c r="H41" s="414"/>
      <c r="I41" s="414"/>
      <c r="J41" s="414"/>
      <c r="K41" s="414"/>
      <c r="L41" s="415" t="s">
        <v>3797</v>
      </c>
      <c r="M41" s="416" t="s">
        <v>2999</v>
      </c>
      <c r="N41" s="416" t="s">
        <v>2999</v>
      </c>
      <c r="O41" s="417"/>
      <c r="P41" s="428">
        <v>4590007605</v>
      </c>
      <c r="Q41" s="418">
        <v>44855</v>
      </c>
      <c r="R41" s="419">
        <v>1</v>
      </c>
      <c r="S41" s="458">
        <v>23868</v>
      </c>
      <c r="T41" s="420" t="s">
        <v>2156</v>
      </c>
      <c r="U41" s="414" t="s">
        <v>3713</v>
      </c>
      <c r="V41" s="414" t="s">
        <v>3714</v>
      </c>
      <c r="W41" s="417" t="s">
        <v>3715</v>
      </c>
      <c r="X41" s="417"/>
      <c r="Y41" s="421" t="s">
        <v>3652</v>
      </c>
      <c r="Z41" s="421" t="s">
        <v>3652</v>
      </c>
      <c r="AA41" s="416" t="s">
        <v>3767</v>
      </c>
      <c r="AB41" s="414" t="s">
        <v>3768</v>
      </c>
      <c r="AC41" s="426"/>
      <c r="AD41" s="421"/>
      <c r="AE41" s="420"/>
      <c r="AF41" s="421">
        <v>90570</v>
      </c>
      <c r="AG41" s="420" t="s">
        <v>3798</v>
      </c>
      <c r="AH41" s="421" t="s">
        <v>3770</v>
      </c>
      <c r="AI41" s="420" t="s">
        <v>3771</v>
      </c>
      <c r="AJ41" s="413">
        <f t="shared" si="1"/>
        <v>4590007605</v>
      </c>
      <c r="AK41" s="423" t="s">
        <v>3799</v>
      </c>
      <c r="AL41" s="424">
        <v>45401</v>
      </c>
      <c r="AM41" s="221">
        <v>23868</v>
      </c>
      <c r="AN41" s="424">
        <v>45442</v>
      </c>
      <c r="AO41" s="423"/>
      <c r="AP41" s="413"/>
      <c r="AQ41" s="222"/>
      <c r="AR41" s="424"/>
      <c r="AS41" s="614">
        <f ca="1">表格1_6[[#This Row],[total amount]]/表格1_6[[#This Row],[PO$]]</f>
        <v>1</v>
      </c>
      <c r="AT41" s="223">
        <f ca="1">表格1_6[[#This Row],[invoice amount]]+表格1_6[[#This Row],[invoice amount2]]</f>
        <v>23868</v>
      </c>
      <c r="AU41" s="224" t="s">
        <v>3725</v>
      </c>
      <c r="AV41" s="423" t="s">
        <v>3773</v>
      </c>
      <c r="AW41" s="423" t="e">
        <f ca="1">VLOOKUP(表格1_6[[#This Row],[TI tool ID2]],工作表1!A:A,1,FALSE)</f>
        <v>#N/A</v>
      </c>
      <c r="AX41" s="425" t="e">
        <f ca="1">VLOOKUP(表格1_6[[#This Row],[PO+ITEM]],工作表1!B:E,2,FALSE)</f>
        <v>#N/A</v>
      </c>
      <c r="AY41" s="425" t="e">
        <f ca="1">VLOOKUP(表格1_6[[#This Row],[PO+ITEM]],工作表1!B:E,3,FALSE)</f>
        <v>#N/A</v>
      </c>
      <c r="AZ41" s="423" t="e">
        <f ca="1">VLOOKUP(表格1_6[[#This Row],[PO+ITEM]],工作表1!B:E,4,FALSE)</f>
        <v>#N/A</v>
      </c>
      <c r="BA41" s="425" t="e">
        <f ca="1">INDEX(工作表1!G:G, MATCH(表格1_6[[#This Row],[invoice number]]&amp;表格1_6[[#This Row],[invoice number2]],工作表1!G:G, 0))</f>
        <v>#N/A</v>
      </c>
      <c r="BB41" s="423" t="e">
        <f ca="1">VLOOKUP(表格1_6[[#This Row],[PO+ITEM]],工作表1!F:H,2,FALSE)</f>
        <v>#N/A</v>
      </c>
    </row>
    <row r="42" spans="1:54" s="429" customFormat="1" ht="14.45">
      <c r="A42" s="617">
        <v>41</v>
      </c>
      <c r="B42" s="617" t="s">
        <v>3765</v>
      </c>
      <c r="C42" s="509" t="s">
        <v>17</v>
      </c>
      <c r="D42" s="509" t="s">
        <v>3648</v>
      </c>
      <c r="E42" s="509"/>
      <c r="F42" s="509"/>
      <c r="G42" s="509"/>
      <c r="H42" s="509"/>
      <c r="I42" s="509"/>
      <c r="J42" s="509"/>
      <c r="K42" s="509"/>
      <c r="L42" s="513" t="s">
        <v>3800</v>
      </c>
      <c r="M42" s="510" t="s">
        <v>2999</v>
      </c>
      <c r="N42" s="510" t="s">
        <v>2999</v>
      </c>
      <c r="O42" s="511"/>
      <c r="P42" s="510">
        <v>4590007606</v>
      </c>
      <c r="Q42" s="512">
        <v>44855</v>
      </c>
      <c r="R42" s="517">
        <v>1</v>
      </c>
      <c r="S42" s="545"/>
      <c r="T42" s="513" t="s">
        <v>2156</v>
      </c>
      <c r="U42" s="509" t="s">
        <v>3713</v>
      </c>
      <c r="V42" s="509" t="s">
        <v>3714</v>
      </c>
      <c r="W42" s="511" t="s">
        <v>3715</v>
      </c>
      <c r="X42" s="511"/>
      <c r="Y42" s="514" t="s">
        <v>3652</v>
      </c>
      <c r="Z42" s="514" t="s">
        <v>3652</v>
      </c>
      <c r="AA42" s="510" t="s">
        <v>3767</v>
      </c>
      <c r="AB42" s="509" t="s">
        <v>3768</v>
      </c>
      <c r="AC42" s="525"/>
      <c r="AD42" s="514"/>
      <c r="AE42" s="513"/>
      <c r="AF42" s="514">
        <v>91138</v>
      </c>
      <c r="AG42" s="513" t="s">
        <v>3801</v>
      </c>
      <c r="AH42" s="514" t="s">
        <v>3770</v>
      </c>
      <c r="AI42" s="513" t="s">
        <v>3771</v>
      </c>
      <c r="AJ42" s="516">
        <f t="shared" si="1"/>
        <v>4590007606</v>
      </c>
      <c r="AK42" s="518"/>
      <c r="AL42" s="516"/>
      <c r="AM42" s="519"/>
      <c r="AN42" s="520"/>
      <c r="AO42" s="518"/>
      <c r="AP42" s="516"/>
      <c r="AQ42" s="521"/>
      <c r="AR42" s="520"/>
      <c r="AS42" s="615"/>
      <c r="AT42" s="572">
        <f ca="1">表格1_6[[#This Row],[invoice amount]]+表格1_6[[#This Row],[invoice amount2]]</f>
        <v>0</v>
      </c>
      <c r="AU42" s="566" t="s">
        <v>3765</v>
      </c>
      <c r="AV42" s="522"/>
      <c r="AW42" s="423" t="e">
        <f ca="1">VLOOKUP(表格1_6[[#This Row],[TI tool ID2]],工作表1!A:A,1,FALSE)</f>
        <v>#N/A</v>
      </c>
      <c r="AX42" s="425" t="e">
        <f ca="1">VLOOKUP(表格1_6[[#This Row],[PO+ITEM]],工作表1!B:E,2,FALSE)</f>
        <v>#N/A</v>
      </c>
      <c r="AY42" s="425" t="e">
        <f ca="1">VLOOKUP(表格1_6[[#This Row],[PO+ITEM]],工作表1!B:E,3,FALSE)</f>
        <v>#N/A</v>
      </c>
      <c r="AZ42" s="423" t="e">
        <f ca="1">VLOOKUP(表格1_6[[#This Row],[PO+ITEM]],工作表1!B:E,4,FALSE)</f>
        <v>#N/A</v>
      </c>
      <c r="BA42" s="425" t="e">
        <f ca="1">INDEX(工作表1!G:G, MATCH(表格1_6[[#This Row],[invoice number]]&amp;表格1_6[[#This Row],[invoice number2]],工作表1!G:G, 0))</f>
        <v>#N/A</v>
      </c>
      <c r="BB42" s="423" t="e">
        <f ca="1">VLOOKUP(表格1_6[[#This Row],[PO+ITEM]],工作表1!F:H,2,FALSE)</f>
        <v>#N/A</v>
      </c>
    </row>
    <row r="43" spans="1:54" ht="14.45">
      <c r="A43" s="413">
        <v>42</v>
      </c>
      <c r="B43" s="413" t="s">
        <v>3674</v>
      </c>
      <c r="C43" s="414" t="s">
        <v>17</v>
      </c>
      <c r="D43" s="414" t="s">
        <v>3648</v>
      </c>
      <c r="E43" s="414"/>
      <c r="F43" s="414"/>
      <c r="G43" s="414"/>
      <c r="H43" s="414"/>
      <c r="I43" s="414"/>
      <c r="J43" s="414"/>
      <c r="K43" s="414"/>
      <c r="L43" s="415" t="s">
        <v>3802</v>
      </c>
      <c r="M43" s="416" t="s">
        <v>2999</v>
      </c>
      <c r="N43" s="416" t="s">
        <v>2999</v>
      </c>
      <c r="O43" s="417"/>
      <c r="P43" s="416">
        <v>4590007607</v>
      </c>
      <c r="Q43" s="418">
        <v>44855</v>
      </c>
      <c r="R43" s="419">
        <v>1</v>
      </c>
      <c r="S43" s="458">
        <v>23868</v>
      </c>
      <c r="T43" s="420" t="s">
        <v>2156</v>
      </c>
      <c r="U43" s="414" t="s">
        <v>3713</v>
      </c>
      <c r="V43" s="414" t="s">
        <v>3714</v>
      </c>
      <c r="W43" s="417" t="s">
        <v>3715</v>
      </c>
      <c r="X43" s="417"/>
      <c r="Y43" s="421" t="s">
        <v>3652</v>
      </c>
      <c r="Z43" s="421" t="s">
        <v>3652</v>
      </c>
      <c r="AA43" s="416" t="s">
        <v>3767</v>
      </c>
      <c r="AB43" s="414" t="s">
        <v>3768</v>
      </c>
      <c r="AC43" s="426"/>
      <c r="AD43" s="421"/>
      <c r="AE43" s="420"/>
      <c r="AF43" s="421">
        <v>91010</v>
      </c>
      <c r="AG43" s="420" t="s">
        <v>3803</v>
      </c>
      <c r="AH43" s="421" t="s">
        <v>3770</v>
      </c>
      <c r="AI43" s="420" t="s">
        <v>3771</v>
      </c>
      <c r="AJ43" s="413">
        <f t="shared" si="1"/>
        <v>4590007607</v>
      </c>
      <c r="AK43" s="423" t="s">
        <v>3804</v>
      </c>
      <c r="AL43" s="424">
        <v>45401</v>
      </c>
      <c r="AM43" s="221">
        <v>23868</v>
      </c>
      <c r="AN43" s="424" t="s">
        <v>3805</v>
      </c>
      <c r="AO43" s="423"/>
      <c r="AP43" s="413"/>
      <c r="AQ43" s="222"/>
      <c r="AR43" s="424"/>
      <c r="AS43" s="614">
        <f ca="1">表格1_6[[#This Row],[total amount]]/表格1_6[[#This Row],[PO$]]</f>
        <v>1</v>
      </c>
      <c r="AT43" s="223">
        <f ca="1">表格1_6[[#This Row],[invoice amount]]+表格1_6[[#This Row],[invoice amount2]]</f>
        <v>23868</v>
      </c>
      <c r="AU43" s="224" t="s">
        <v>3806</v>
      </c>
      <c r="AV43" s="423"/>
      <c r="AW43" s="423" t="e">
        <f ca="1">VLOOKUP(表格1_6[[#This Row],[TI tool ID2]],工作表1!A:A,1,FALSE)</f>
        <v>#N/A</v>
      </c>
      <c r="AX43" s="425" t="e">
        <f ca="1">VLOOKUP(表格1_6[[#This Row],[PO+ITEM]],工作表1!B:E,2,FALSE)</f>
        <v>#N/A</v>
      </c>
      <c r="AY43" s="425" t="e">
        <f ca="1">VLOOKUP(表格1_6[[#This Row],[PO+ITEM]],工作表1!B:E,3,FALSE)</f>
        <v>#N/A</v>
      </c>
      <c r="AZ43" s="423" t="e">
        <f ca="1">VLOOKUP(表格1_6[[#This Row],[PO+ITEM]],工作表1!B:E,4,FALSE)</f>
        <v>#N/A</v>
      </c>
      <c r="BA43" s="425" t="e">
        <f ca="1">INDEX(工作表1!G:G, MATCH(表格1_6[[#This Row],[invoice number]]&amp;表格1_6[[#This Row],[invoice number2]],工作表1!G:G, 0))</f>
        <v>#N/A</v>
      </c>
      <c r="BB43" s="423" t="e">
        <f ca="1">VLOOKUP(表格1_6[[#This Row],[PO+ITEM]],工作表1!F:H,2,FALSE)</f>
        <v>#N/A</v>
      </c>
    </row>
    <row r="44" spans="1:54" ht="15.6">
      <c r="A44" s="413">
        <v>43</v>
      </c>
      <c r="B44" s="413" t="s">
        <v>3674</v>
      </c>
      <c r="C44" s="414" t="s">
        <v>17</v>
      </c>
      <c r="D44" s="414" t="s">
        <v>3648</v>
      </c>
      <c r="E44" s="414"/>
      <c r="F44" s="414"/>
      <c r="G44" s="414"/>
      <c r="H44" s="414"/>
      <c r="I44" s="414"/>
      <c r="J44" s="414"/>
      <c r="K44" s="414"/>
      <c r="L44" s="415" t="s">
        <v>3807</v>
      </c>
      <c r="M44" s="416" t="s">
        <v>2999</v>
      </c>
      <c r="N44" s="416" t="s">
        <v>2999</v>
      </c>
      <c r="O44" s="417"/>
      <c r="P44" s="416">
        <v>4590007608</v>
      </c>
      <c r="Q44" s="418">
        <v>44855</v>
      </c>
      <c r="R44" s="419">
        <v>1</v>
      </c>
      <c r="S44" s="458">
        <v>25272</v>
      </c>
      <c r="T44" s="420" t="s">
        <v>2156</v>
      </c>
      <c r="U44" s="414" t="s">
        <v>3713</v>
      </c>
      <c r="V44" s="414" t="s">
        <v>3714</v>
      </c>
      <c r="W44" s="417" t="s">
        <v>3715</v>
      </c>
      <c r="X44" s="417"/>
      <c r="Y44" s="421" t="s">
        <v>3652</v>
      </c>
      <c r="Z44" s="421" t="s">
        <v>3652</v>
      </c>
      <c r="AA44" s="416" t="s">
        <v>3767</v>
      </c>
      <c r="AB44" s="414" t="s">
        <v>3768</v>
      </c>
      <c r="AC44" s="426"/>
      <c r="AD44" s="421"/>
      <c r="AE44" s="420"/>
      <c r="AF44" s="421">
        <v>90802</v>
      </c>
      <c r="AG44" s="420" t="s">
        <v>3808</v>
      </c>
      <c r="AH44" s="421" t="s">
        <v>3770</v>
      </c>
      <c r="AI44" s="420" t="s">
        <v>3771</v>
      </c>
      <c r="AJ44" s="413">
        <f t="shared" si="1"/>
        <v>4590007608</v>
      </c>
      <c r="AK44" s="423" t="s">
        <v>3809</v>
      </c>
      <c r="AL44" s="424">
        <v>45401</v>
      </c>
      <c r="AM44" s="221">
        <v>25272</v>
      </c>
      <c r="AN44" s="431">
        <v>45458</v>
      </c>
      <c r="AO44" s="423"/>
      <c r="AP44" s="413"/>
      <c r="AQ44" s="222"/>
      <c r="AR44" s="424"/>
      <c r="AS44" s="614">
        <f ca="1">表格1_6[[#This Row],[total amount]]/表格1_6[[#This Row],[PO$]]</f>
        <v>1</v>
      </c>
      <c r="AT44" s="223">
        <f ca="1">表格1_6[[#This Row],[invoice amount]]+表格1_6[[#This Row],[invoice amount2]]</f>
        <v>25272</v>
      </c>
      <c r="AU44" s="224" t="s">
        <v>3725</v>
      </c>
      <c r="AV44" s="423" t="s">
        <v>3773</v>
      </c>
      <c r="AW44" s="423" t="e">
        <f ca="1">VLOOKUP(表格1_6[[#This Row],[TI tool ID2]],工作表1!A:A,1,FALSE)</f>
        <v>#N/A</v>
      </c>
      <c r="AX44" s="425" t="e">
        <f ca="1">VLOOKUP(表格1_6[[#This Row],[PO+ITEM]],工作表1!B:E,2,FALSE)</f>
        <v>#N/A</v>
      </c>
      <c r="AY44" s="425" t="e">
        <f ca="1">VLOOKUP(表格1_6[[#This Row],[PO+ITEM]],工作表1!B:E,3,FALSE)</f>
        <v>#N/A</v>
      </c>
      <c r="AZ44" s="423" t="e">
        <f ca="1">VLOOKUP(表格1_6[[#This Row],[PO+ITEM]],工作表1!B:E,4,FALSE)</f>
        <v>#N/A</v>
      </c>
      <c r="BA44" s="425" t="e">
        <f ca="1">INDEX(工作表1!G:G, MATCH(表格1_6[[#This Row],[invoice number]]&amp;表格1_6[[#This Row],[invoice number2]],工作表1!G:G, 0))</f>
        <v>#N/A</v>
      </c>
      <c r="BB44" s="423" t="e">
        <f ca="1">VLOOKUP(表格1_6[[#This Row],[PO+ITEM]],工作表1!F:H,2,FALSE)</f>
        <v>#N/A</v>
      </c>
    </row>
    <row r="45" spans="1:54" ht="14.45">
      <c r="A45" s="413">
        <v>44</v>
      </c>
      <c r="B45" s="413" t="s">
        <v>3674</v>
      </c>
      <c r="C45" s="414" t="s">
        <v>17</v>
      </c>
      <c r="D45" s="414" t="s">
        <v>3648</v>
      </c>
      <c r="E45" s="414"/>
      <c r="F45" s="414"/>
      <c r="G45" s="414"/>
      <c r="H45" s="414"/>
      <c r="I45" s="414"/>
      <c r="J45" s="414"/>
      <c r="K45" s="414"/>
      <c r="L45" s="415" t="s">
        <v>3810</v>
      </c>
      <c r="M45" s="416" t="s">
        <v>2999</v>
      </c>
      <c r="N45" s="416" t="s">
        <v>2999</v>
      </c>
      <c r="O45" s="417"/>
      <c r="P45" s="416">
        <v>4590007609</v>
      </c>
      <c r="Q45" s="418">
        <v>44855</v>
      </c>
      <c r="R45" s="419">
        <v>1</v>
      </c>
      <c r="S45" s="458">
        <v>25272</v>
      </c>
      <c r="T45" s="420" t="s">
        <v>2156</v>
      </c>
      <c r="U45" s="414" t="s">
        <v>3713</v>
      </c>
      <c r="V45" s="414" t="s">
        <v>3714</v>
      </c>
      <c r="W45" s="417" t="s">
        <v>3715</v>
      </c>
      <c r="X45" s="417"/>
      <c r="Y45" s="421" t="s">
        <v>3652</v>
      </c>
      <c r="Z45" s="421" t="s">
        <v>3652</v>
      </c>
      <c r="AA45" s="416" t="s">
        <v>3767</v>
      </c>
      <c r="AB45" s="414" t="s">
        <v>3768</v>
      </c>
      <c r="AC45" s="426"/>
      <c r="AD45" s="421"/>
      <c r="AE45" s="420"/>
      <c r="AF45" s="421">
        <v>90803</v>
      </c>
      <c r="AG45" s="420" t="s">
        <v>3811</v>
      </c>
      <c r="AH45" s="421" t="s">
        <v>3770</v>
      </c>
      <c r="AI45" s="420" t="s">
        <v>3771</v>
      </c>
      <c r="AJ45" s="413">
        <f t="shared" si="1"/>
        <v>4590007609</v>
      </c>
      <c r="AK45" s="423" t="s">
        <v>3812</v>
      </c>
      <c r="AL45" s="424">
        <v>45401</v>
      </c>
      <c r="AM45" s="221">
        <v>25272</v>
      </c>
      <c r="AN45" s="424">
        <v>45519</v>
      </c>
      <c r="AO45" s="423"/>
      <c r="AP45" s="413"/>
      <c r="AQ45" s="222"/>
      <c r="AR45" s="424"/>
      <c r="AS45" s="614">
        <f ca="1">表格1_6[[#This Row],[total amount]]/表格1_6[[#This Row],[PO$]]</f>
        <v>1</v>
      </c>
      <c r="AT45" s="223">
        <f ca="1">表格1_6[[#This Row],[invoice amount]]+表格1_6[[#This Row],[invoice amount2]]</f>
        <v>25272</v>
      </c>
      <c r="AU45" s="224" t="s">
        <v>3657</v>
      </c>
      <c r="AV45" s="423"/>
      <c r="AW45" s="423" t="e">
        <f ca="1">VLOOKUP(表格1_6[[#This Row],[TI tool ID2]],工作表1!A:A,1,FALSE)</f>
        <v>#N/A</v>
      </c>
      <c r="AX45" s="425" t="e">
        <f ca="1">VLOOKUP(表格1_6[[#This Row],[PO+ITEM]],工作表1!B:E,2,FALSE)</f>
        <v>#N/A</v>
      </c>
      <c r="AY45" s="425" t="e">
        <f ca="1">VLOOKUP(表格1_6[[#This Row],[PO+ITEM]],工作表1!B:E,3,FALSE)</f>
        <v>#N/A</v>
      </c>
      <c r="AZ45" s="423" t="e">
        <f ca="1">VLOOKUP(表格1_6[[#This Row],[PO+ITEM]],工作表1!B:E,4,FALSE)</f>
        <v>#N/A</v>
      </c>
      <c r="BA45" s="425" t="e">
        <f ca="1">INDEX(工作表1!G:G, MATCH(表格1_6[[#This Row],[invoice number]]&amp;表格1_6[[#This Row],[invoice number2]],工作表1!G:G, 0))</f>
        <v>#N/A</v>
      </c>
      <c r="BB45" s="423" t="e">
        <f ca="1">VLOOKUP(表格1_6[[#This Row],[PO+ITEM]],工作表1!F:H,2,FALSE)</f>
        <v>#N/A</v>
      </c>
    </row>
    <row r="46" spans="1:54" ht="14.45">
      <c r="A46" s="413">
        <v>45</v>
      </c>
      <c r="B46" s="413" t="s">
        <v>3659</v>
      </c>
      <c r="C46" s="414" t="s">
        <v>17</v>
      </c>
      <c r="D46" s="414" t="s">
        <v>3648</v>
      </c>
      <c r="E46" s="414"/>
      <c r="F46" s="414"/>
      <c r="G46" s="414"/>
      <c r="H46" s="414"/>
      <c r="I46" s="414"/>
      <c r="J46" s="414"/>
      <c r="K46" s="414"/>
      <c r="L46" s="415" t="s">
        <v>3813</v>
      </c>
      <c r="M46" s="416" t="s">
        <v>2999</v>
      </c>
      <c r="N46" s="416" t="s">
        <v>2999</v>
      </c>
      <c r="O46" s="417"/>
      <c r="P46" s="416">
        <v>4590007610</v>
      </c>
      <c r="Q46" s="418">
        <v>44855</v>
      </c>
      <c r="R46" s="419">
        <v>1</v>
      </c>
      <c r="S46" s="458">
        <v>25272</v>
      </c>
      <c r="T46" s="420" t="s">
        <v>2156</v>
      </c>
      <c r="U46" s="414" t="s">
        <v>3713</v>
      </c>
      <c r="V46" s="414" t="s">
        <v>3714</v>
      </c>
      <c r="W46" s="417" t="s">
        <v>3715</v>
      </c>
      <c r="X46" s="417"/>
      <c r="Y46" s="421" t="s">
        <v>3652</v>
      </c>
      <c r="Z46" s="421" t="s">
        <v>3652</v>
      </c>
      <c r="AA46" s="416" t="s">
        <v>3767</v>
      </c>
      <c r="AB46" s="414" t="s">
        <v>3768</v>
      </c>
      <c r="AC46" s="426"/>
      <c r="AD46" s="421"/>
      <c r="AE46" s="420"/>
      <c r="AF46" s="421">
        <v>91345</v>
      </c>
      <c r="AG46" s="420" t="s">
        <v>3814</v>
      </c>
      <c r="AH46" s="421" t="s">
        <v>3770</v>
      </c>
      <c r="AI46" s="420" t="s">
        <v>3771</v>
      </c>
      <c r="AJ46" s="413">
        <f t="shared" si="1"/>
        <v>4590007610</v>
      </c>
      <c r="AK46" s="423"/>
      <c r="AL46" s="413"/>
      <c r="AM46" s="221"/>
      <c r="AN46" s="424"/>
      <c r="AO46" s="423"/>
      <c r="AP46" s="413"/>
      <c r="AQ46" s="222"/>
      <c r="AR46" s="424"/>
      <c r="AS46" s="614">
        <f ca="1">表格1_6[[#This Row],[total amount]]/表格1_6[[#This Row],[PO$]]</f>
        <v>0</v>
      </c>
      <c r="AT46" s="223">
        <f ca="1">表格1_6[[#This Row],[invoice amount]]+表格1_6[[#This Row],[invoice amount2]]</f>
        <v>0</v>
      </c>
      <c r="AU46" s="224"/>
      <c r="AV46" s="423"/>
      <c r="AW46" s="423" t="e">
        <f ca="1">VLOOKUP(表格1_6[[#This Row],[TI tool ID2]],工作表1!A:A,1,FALSE)</f>
        <v>#N/A</v>
      </c>
      <c r="AX46" s="425" t="e">
        <f ca="1">VLOOKUP(表格1_6[[#This Row],[PO+ITEM]],工作表1!B:E,2,FALSE)</f>
        <v>#N/A</v>
      </c>
      <c r="AY46" s="425" t="e">
        <f ca="1">VLOOKUP(表格1_6[[#This Row],[PO+ITEM]],工作表1!B:E,3,FALSE)</f>
        <v>#N/A</v>
      </c>
      <c r="AZ46" s="423" t="e">
        <f ca="1">VLOOKUP(表格1_6[[#This Row],[PO+ITEM]],工作表1!B:E,4,FALSE)</f>
        <v>#N/A</v>
      </c>
      <c r="BA46" s="425" t="e">
        <f ca="1">INDEX(工作表1!G:G, MATCH(表格1_6[[#This Row],[invoice number]]&amp;表格1_6[[#This Row],[invoice number2]],工作表1!G:G, 0))</f>
        <v>#N/A</v>
      </c>
      <c r="BB46" s="423" t="e">
        <f ca="1">VLOOKUP(表格1_6[[#This Row],[PO+ITEM]],工作表1!F:H,2,FALSE)</f>
        <v>#N/A</v>
      </c>
    </row>
    <row r="47" spans="1:54" ht="14.45">
      <c r="A47" s="413">
        <v>46</v>
      </c>
      <c r="B47" s="413" t="s">
        <v>3659</v>
      </c>
      <c r="C47" s="414" t="s">
        <v>17</v>
      </c>
      <c r="D47" s="414" t="s">
        <v>3648</v>
      </c>
      <c r="E47" s="414"/>
      <c r="F47" s="414"/>
      <c r="G47" s="414"/>
      <c r="H47" s="414"/>
      <c r="I47" s="414"/>
      <c r="J47" s="414"/>
      <c r="K47" s="414"/>
      <c r="L47" s="420" t="s">
        <v>3815</v>
      </c>
      <c r="M47" s="416" t="s">
        <v>2999</v>
      </c>
      <c r="N47" s="416" t="s">
        <v>2999</v>
      </c>
      <c r="O47" s="417"/>
      <c r="P47" s="416">
        <v>4590007611</v>
      </c>
      <c r="Q47" s="418">
        <v>44855</v>
      </c>
      <c r="R47" s="419">
        <v>1</v>
      </c>
      <c r="S47" s="458">
        <v>25272</v>
      </c>
      <c r="T47" s="420" t="s">
        <v>2156</v>
      </c>
      <c r="U47" s="414" t="s">
        <v>3713</v>
      </c>
      <c r="V47" s="414" t="s">
        <v>3714</v>
      </c>
      <c r="W47" s="417" t="s">
        <v>3715</v>
      </c>
      <c r="X47" s="417"/>
      <c r="Y47" s="421" t="s">
        <v>3652</v>
      </c>
      <c r="Z47" s="421" t="s">
        <v>3652</v>
      </c>
      <c r="AA47" s="416" t="s">
        <v>3767</v>
      </c>
      <c r="AB47" s="414" t="s">
        <v>3768</v>
      </c>
      <c r="AC47" s="426"/>
      <c r="AD47" s="421"/>
      <c r="AE47" s="420"/>
      <c r="AF47" s="421">
        <v>91346</v>
      </c>
      <c r="AG47" s="420" t="s">
        <v>3816</v>
      </c>
      <c r="AH47" s="421" t="s">
        <v>3770</v>
      </c>
      <c r="AI47" s="420" t="s">
        <v>3771</v>
      </c>
      <c r="AJ47" s="413">
        <f t="shared" si="1"/>
        <v>4590007611</v>
      </c>
      <c r="AK47" s="423"/>
      <c r="AL47" s="413"/>
      <c r="AM47" s="221"/>
      <c r="AN47" s="424"/>
      <c r="AO47" s="423"/>
      <c r="AP47" s="413"/>
      <c r="AQ47" s="222"/>
      <c r="AR47" s="424"/>
      <c r="AS47" s="614">
        <f ca="1">表格1_6[[#This Row],[total amount]]/表格1_6[[#This Row],[PO$]]</f>
        <v>0</v>
      </c>
      <c r="AT47" s="223">
        <f ca="1">表格1_6[[#This Row],[invoice amount]]+表格1_6[[#This Row],[invoice amount2]]</f>
        <v>0</v>
      </c>
      <c r="AU47" s="224"/>
      <c r="AV47" s="423"/>
      <c r="AW47" s="423" t="e">
        <f ca="1">VLOOKUP(表格1_6[[#This Row],[TI tool ID2]],工作表1!A:A,1,FALSE)</f>
        <v>#N/A</v>
      </c>
      <c r="AX47" s="425" t="e">
        <f ca="1">VLOOKUP(表格1_6[[#This Row],[PO+ITEM]],工作表1!B:E,2,FALSE)</f>
        <v>#N/A</v>
      </c>
      <c r="AY47" s="425" t="e">
        <f ca="1">VLOOKUP(表格1_6[[#This Row],[PO+ITEM]],工作表1!B:E,3,FALSE)</f>
        <v>#N/A</v>
      </c>
      <c r="AZ47" s="423" t="e">
        <f ca="1">VLOOKUP(表格1_6[[#This Row],[PO+ITEM]],工作表1!B:E,4,FALSE)</f>
        <v>#N/A</v>
      </c>
      <c r="BA47" s="425" t="e">
        <f ca="1">INDEX(工作表1!G:G, MATCH(表格1_6[[#This Row],[invoice number]]&amp;表格1_6[[#This Row],[invoice number2]],工作表1!G:G, 0))</f>
        <v>#N/A</v>
      </c>
      <c r="BB47" s="423" t="e">
        <f ca="1">VLOOKUP(表格1_6[[#This Row],[PO+ITEM]],工作表1!F:H,2,FALSE)</f>
        <v>#N/A</v>
      </c>
    </row>
    <row r="48" spans="1:54" ht="14.45">
      <c r="A48" s="413">
        <v>47</v>
      </c>
      <c r="B48" s="413" t="s">
        <v>3659</v>
      </c>
      <c r="C48" s="414" t="s">
        <v>17</v>
      </c>
      <c r="D48" s="414" t="s">
        <v>3648</v>
      </c>
      <c r="E48" s="414"/>
      <c r="F48" s="414"/>
      <c r="G48" s="414"/>
      <c r="H48" s="414"/>
      <c r="I48" s="414"/>
      <c r="J48" s="414"/>
      <c r="K48" s="414"/>
      <c r="L48" s="415" t="s">
        <v>3817</v>
      </c>
      <c r="M48" s="416" t="s">
        <v>2999</v>
      </c>
      <c r="N48" s="416" t="s">
        <v>2999</v>
      </c>
      <c r="O48" s="417"/>
      <c r="P48" s="416">
        <v>4590007612</v>
      </c>
      <c r="Q48" s="418">
        <v>44855</v>
      </c>
      <c r="R48" s="419">
        <v>1</v>
      </c>
      <c r="S48" s="458">
        <v>25272</v>
      </c>
      <c r="T48" s="420" t="s">
        <v>2156</v>
      </c>
      <c r="U48" s="414" t="s">
        <v>3713</v>
      </c>
      <c r="V48" s="414" t="s">
        <v>3714</v>
      </c>
      <c r="W48" s="417" t="s">
        <v>3715</v>
      </c>
      <c r="X48" s="417"/>
      <c r="Y48" s="421" t="s">
        <v>3652</v>
      </c>
      <c r="Z48" s="421" t="s">
        <v>3652</v>
      </c>
      <c r="AA48" s="416" t="s">
        <v>3767</v>
      </c>
      <c r="AB48" s="414" t="s">
        <v>3768</v>
      </c>
      <c r="AC48" s="426"/>
      <c r="AD48" s="421"/>
      <c r="AE48" s="420"/>
      <c r="AF48" s="421">
        <v>91347</v>
      </c>
      <c r="AG48" s="420" t="s">
        <v>3818</v>
      </c>
      <c r="AH48" s="421" t="s">
        <v>3770</v>
      </c>
      <c r="AI48" s="420" t="s">
        <v>3771</v>
      </c>
      <c r="AJ48" s="413">
        <f t="shared" si="1"/>
        <v>4590007612</v>
      </c>
      <c r="AK48" s="423"/>
      <c r="AL48" s="413"/>
      <c r="AM48" s="221"/>
      <c r="AN48" s="424"/>
      <c r="AO48" s="423"/>
      <c r="AP48" s="413"/>
      <c r="AQ48" s="222"/>
      <c r="AR48" s="424"/>
      <c r="AS48" s="614">
        <f ca="1">表格1_6[[#This Row],[total amount]]/表格1_6[[#This Row],[PO$]]</f>
        <v>0</v>
      </c>
      <c r="AT48" s="223">
        <f ca="1">表格1_6[[#This Row],[invoice amount]]+表格1_6[[#This Row],[invoice amount2]]</f>
        <v>0</v>
      </c>
      <c r="AU48" s="224"/>
      <c r="AV48" s="423"/>
      <c r="AW48" s="423" t="e">
        <f ca="1">VLOOKUP(表格1_6[[#This Row],[TI tool ID2]],工作表1!A:A,1,FALSE)</f>
        <v>#N/A</v>
      </c>
      <c r="AX48" s="425" t="e">
        <f ca="1">VLOOKUP(表格1_6[[#This Row],[PO+ITEM]],工作表1!B:E,2,FALSE)</f>
        <v>#N/A</v>
      </c>
      <c r="AY48" s="425" t="e">
        <f ca="1">VLOOKUP(表格1_6[[#This Row],[PO+ITEM]],工作表1!B:E,3,FALSE)</f>
        <v>#N/A</v>
      </c>
      <c r="AZ48" s="423" t="e">
        <f ca="1">VLOOKUP(表格1_6[[#This Row],[PO+ITEM]],工作表1!B:E,4,FALSE)</f>
        <v>#N/A</v>
      </c>
      <c r="BA48" s="425" t="e">
        <f ca="1">INDEX(工作表1!G:G, MATCH(表格1_6[[#This Row],[invoice number]]&amp;表格1_6[[#This Row],[invoice number2]],工作表1!G:G, 0))</f>
        <v>#N/A</v>
      </c>
      <c r="BB48" s="423" t="e">
        <f ca="1">VLOOKUP(表格1_6[[#This Row],[PO+ITEM]],工作表1!F:H,2,FALSE)</f>
        <v>#N/A</v>
      </c>
    </row>
    <row r="49" spans="1:54" ht="14.45">
      <c r="A49" s="413">
        <v>48</v>
      </c>
      <c r="B49" s="413" t="s">
        <v>3674</v>
      </c>
      <c r="C49" s="414" t="s">
        <v>17</v>
      </c>
      <c r="D49" s="414" t="s">
        <v>3648</v>
      </c>
      <c r="E49" s="414"/>
      <c r="F49" s="414"/>
      <c r="G49" s="414"/>
      <c r="H49" s="414"/>
      <c r="I49" s="414"/>
      <c r="J49" s="414"/>
      <c r="K49" s="414"/>
      <c r="L49" s="415" t="s">
        <v>3819</v>
      </c>
      <c r="M49" s="416" t="s">
        <v>2999</v>
      </c>
      <c r="N49" s="416" t="s">
        <v>2999</v>
      </c>
      <c r="O49" s="417"/>
      <c r="P49" s="416">
        <v>4590007613</v>
      </c>
      <c r="Q49" s="418">
        <v>44855</v>
      </c>
      <c r="R49" s="419">
        <v>1</v>
      </c>
      <c r="S49" s="458">
        <v>25272</v>
      </c>
      <c r="T49" s="420" t="s">
        <v>2156</v>
      </c>
      <c r="U49" s="414" t="s">
        <v>3713</v>
      </c>
      <c r="V49" s="414" t="s">
        <v>3714</v>
      </c>
      <c r="W49" s="417" t="s">
        <v>3715</v>
      </c>
      <c r="X49" s="417"/>
      <c r="Y49" s="421" t="s">
        <v>3652</v>
      </c>
      <c r="Z49" s="421" t="s">
        <v>3652</v>
      </c>
      <c r="AA49" s="416" t="s">
        <v>3767</v>
      </c>
      <c r="AB49" s="414" t="s">
        <v>3768</v>
      </c>
      <c r="AC49" s="426"/>
      <c r="AD49" s="421"/>
      <c r="AE49" s="420"/>
      <c r="AF49" s="421">
        <v>90555</v>
      </c>
      <c r="AG49" s="420" t="s">
        <v>3820</v>
      </c>
      <c r="AH49" s="421" t="s">
        <v>3770</v>
      </c>
      <c r="AI49" s="420" t="s">
        <v>3771</v>
      </c>
      <c r="AJ49" s="413">
        <f t="shared" si="1"/>
        <v>4590007613</v>
      </c>
      <c r="AK49" s="423" t="s">
        <v>3821</v>
      </c>
      <c r="AL49" s="424">
        <v>45429</v>
      </c>
      <c r="AM49" s="222">
        <v>25272</v>
      </c>
      <c r="AN49" s="424">
        <v>45565</v>
      </c>
      <c r="AO49" s="423"/>
      <c r="AP49" s="413"/>
      <c r="AQ49" s="222"/>
      <c r="AR49" s="424"/>
      <c r="AS49" s="614">
        <f ca="1">表格1_6[[#This Row],[total amount]]/表格1_6[[#This Row],[PO$]]</f>
        <v>1</v>
      </c>
      <c r="AT49" s="223">
        <f ca="1">表格1_6[[#This Row],[invoice amount]]+表格1_6[[#This Row],[invoice amount2]]</f>
        <v>25272</v>
      </c>
      <c r="AU49" s="224" t="s">
        <v>3725</v>
      </c>
      <c r="AV49" s="423" t="s">
        <v>3773</v>
      </c>
      <c r="AW49" s="423" t="e">
        <f ca="1">VLOOKUP(表格1_6[[#This Row],[TI tool ID2]],工作表1!A:A,1,FALSE)</f>
        <v>#N/A</v>
      </c>
      <c r="AX49" s="425" t="e">
        <f ca="1">VLOOKUP(表格1_6[[#This Row],[PO+ITEM]],工作表1!B:E,2,FALSE)</f>
        <v>#N/A</v>
      </c>
      <c r="AY49" s="425" t="e">
        <f ca="1">VLOOKUP(表格1_6[[#This Row],[PO+ITEM]],工作表1!B:E,3,FALSE)</f>
        <v>#N/A</v>
      </c>
      <c r="AZ49" s="423" t="e">
        <f ca="1">VLOOKUP(表格1_6[[#This Row],[PO+ITEM]],工作表1!B:E,4,FALSE)</f>
        <v>#N/A</v>
      </c>
      <c r="BA49" s="425" t="e">
        <f ca="1">INDEX(工作表1!G:G, MATCH(表格1_6[[#This Row],[invoice number]]&amp;表格1_6[[#This Row],[invoice number2]],工作表1!G:G, 0))</f>
        <v>#N/A</v>
      </c>
      <c r="BB49" s="423" t="e">
        <f ca="1">VLOOKUP(表格1_6[[#This Row],[PO+ITEM]],工作表1!F:H,2,FALSE)</f>
        <v>#N/A</v>
      </c>
    </row>
    <row r="50" spans="1:54" ht="14.45">
      <c r="A50" s="413">
        <v>49</v>
      </c>
      <c r="B50" s="413" t="s">
        <v>3674</v>
      </c>
      <c r="C50" s="414" t="s">
        <v>17</v>
      </c>
      <c r="D50" s="414" t="s">
        <v>3648</v>
      </c>
      <c r="E50" s="414"/>
      <c r="F50" s="414"/>
      <c r="G50" s="414"/>
      <c r="H50" s="414"/>
      <c r="I50" s="414"/>
      <c r="J50" s="414"/>
      <c r="K50" s="414"/>
      <c r="L50" s="415" t="s">
        <v>3822</v>
      </c>
      <c r="M50" s="416" t="s">
        <v>2999</v>
      </c>
      <c r="N50" s="416" t="s">
        <v>2999</v>
      </c>
      <c r="O50" s="417"/>
      <c r="P50" s="416">
        <v>4590007614</v>
      </c>
      <c r="Q50" s="418">
        <v>44855</v>
      </c>
      <c r="R50" s="419">
        <v>1</v>
      </c>
      <c r="S50" s="458">
        <v>25272</v>
      </c>
      <c r="T50" s="420" t="s">
        <v>2156</v>
      </c>
      <c r="U50" s="414" t="s">
        <v>3713</v>
      </c>
      <c r="V50" s="414" t="s">
        <v>3714</v>
      </c>
      <c r="W50" s="417" t="s">
        <v>3715</v>
      </c>
      <c r="X50" s="417"/>
      <c r="Y50" s="421" t="s">
        <v>3652</v>
      </c>
      <c r="Z50" s="421" t="s">
        <v>3652</v>
      </c>
      <c r="AA50" s="416" t="s">
        <v>3767</v>
      </c>
      <c r="AB50" s="414" t="s">
        <v>3768</v>
      </c>
      <c r="AC50" s="426"/>
      <c r="AD50" s="421"/>
      <c r="AE50" s="420"/>
      <c r="AF50" s="421">
        <v>90556</v>
      </c>
      <c r="AG50" s="420" t="s">
        <v>3823</v>
      </c>
      <c r="AH50" s="421" t="s">
        <v>3770</v>
      </c>
      <c r="AI50" s="420" t="s">
        <v>3771</v>
      </c>
      <c r="AJ50" s="413">
        <f t="shared" si="1"/>
        <v>4590007614</v>
      </c>
      <c r="AK50" s="423" t="s">
        <v>3824</v>
      </c>
      <c r="AL50" s="424">
        <v>45401</v>
      </c>
      <c r="AM50" s="221">
        <v>25272</v>
      </c>
      <c r="AN50" s="424">
        <v>45519</v>
      </c>
      <c r="AO50" s="423"/>
      <c r="AP50" s="413"/>
      <c r="AQ50" s="222"/>
      <c r="AR50" s="424"/>
      <c r="AS50" s="614">
        <f ca="1">表格1_6[[#This Row],[total amount]]/表格1_6[[#This Row],[PO$]]</f>
        <v>1</v>
      </c>
      <c r="AT50" s="223">
        <f ca="1">表格1_6[[#This Row],[invoice amount]]+表格1_6[[#This Row],[invoice amount2]]</f>
        <v>25272</v>
      </c>
      <c r="AU50" s="224" t="s">
        <v>3657</v>
      </c>
      <c r="AV50" s="423"/>
      <c r="AW50" s="423" t="e">
        <f ca="1">VLOOKUP(表格1_6[[#This Row],[TI tool ID2]],工作表1!A:A,1,FALSE)</f>
        <v>#N/A</v>
      </c>
      <c r="AX50" s="425" t="e">
        <f ca="1">VLOOKUP(表格1_6[[#This Row],[PO+ITEM]],工作表1!B:E,2,FALSE)</f>
        <v>#N/A</v>
      </c>
      <c r="AY50" s="425" t="e">
        <f ca="1">VLOOKUP(表格1_6[[#This Row],[PO+ITEM]],工作表1!B:E,3,FALSE)</f>
        <v>#N/A</v>
      </c>
      <c r="AZ50" s="423" t="e">
        <f ca="1">VLOOKUP(表格1_6[[#This Row],[PO+ITEM]],工作表1!B:E,4,FALSE)</f>
        <v>#N/A</v>
      </c>
      <c r="BA50" s="425" t="e">
        <f ca="1">INDEX(工作表1!G:G, MATCH(表格1_6[[#This Row],[invoice number]]&amp;表格1_6[[#This Row],[invoice number2]],工作表1!G:G, 0))</f>
        <v>#N/A</v>
      </c>
      <c r="BB50" s="423" t="e">
        <f ca="1">VLOOKUP(表格1_6[[#This Row],[PO+ITEM]],工作表1!F:H,2,FALSE)</f>
        <v>#N/A</v>
      </c>
    </row>
    <row r="51" spans="1:54" ht="14.45">
      <c r="A51" s="413">
        <v>50</v>
      </c>
      <c r="B51" s="413" t="s">
        <v>3674</v>
      </c>
      <c r="C51" s="414" t="s">
        <v>17</v>
      </c>
      <c r="D51" s="414" t="s">
        <v>3648</v>
      </c>
      <c r="E51" s="414"/>
      <c r="F51" s="414"/>
      <c r="G51" s="414"/>
      <c r="H51" s="414"/>
      <c r="I51" s="414"/>
      <c r="J51" s="414"/>
      <c r="K51" s="414"/>
      <c r="L51" s="415" t="s">
        <v>3825</v>
      </c>
      <c r="M51" s="416" t="s">
        <v>2999</v>
      </c>
      <c r="N51" s="416" t="s">
        <v>2999</v>
      </c>
      <c r="O51" s="417"/>
      <c r="P51" s="416">
        <v>4590007618</v>
      </c>
      <c r="Q51" s="418">
        <v>44855</v>
      </c>
      <c r="R51" s="419">
        <v>1</v>
      </c>
      <c r="S51" s="458">
        <v>31846</v>
      </c>
      <c r="T51" s="420" t="s">
        <v>2156</v>
      </c>
      <c r="U51" s="414" t="s">
        <v>3713</v>
      </c>
      <c r="V51" s="414" t="s">
        <v>3714</v>
      </c>
      <c r="W51" s="417" t="s">
        <v>3715</v>
      </c>
      <c r="X51" s="417"/>
      <c r="Y51" s="421" t="s">
        <v>3652</v>
      </c>
      <c r="Z51" s="421" t="s">
        <v>3652</v>
      </c>
      <c r="AA51" s="416"/>
      <c r="AB51" s="414" t="s">
        <v>3826</v>
      </c>
      <c r="AC51" s="426"/>
      <c r="AD51" s="421"/>
      <c r="AE51" s="420"/>
      <c r="AF51" s="421">
        <v>90132</v>
      </c>
      <c r="AG51" s="420" t="s">
        <v>3827</v>
      </c>
      <c r="AH51" s="421" t="s">
        <v>3828</v>
      </c>
      <c r="AI51" s="420" t="s">
        <v>3719</v>
      </c>
      <c r="AJ51" s="413">
        <f t="shared" si="1"/>
        <v>4590007618</v>
      </c>
      <c r="AK51" s="423" t="s">
        <v>3829</v>
      </c>
      <c r="AL51" s="424">
        <v>45401</v>
      </c>
      <c r="AM51" s="221">
        <v>31846</v>
      </c>
      <c r="AN51" s="424">
        <v>45565</v>
      </c>
      <c r="AO51" s="423"/>
      <c r="AP51" s="413"/>
      <c r="AQ51" s="222"/>
      <c r="AR51" s="424"/>
      <c r="AS51" s="614">
        <f ca="1">表格1_6[[#This Row],[total amount]]/表格1_6[[#This Row],[PO$]]</f>
        <v>1</v>
      </c>
      <c r="AT51" s="223">
        <f ca="1">表格1_6[[#This Row],[invoice amount]]+表格1_6[[#This Row],[invoice amount2]]</f>
        <v>31846</v>
      </c>
      <c r="AU51" s="224" t="s">
        <v>3725</v>
      </c>
      <c r="AV51" s="423"/>
      <c r="AW51" s="423" t="e">
        <f ca="1">VLOOKUP(表格1_6[[#This Row],[TI tool ID2]],工作表1!A:A,1,FALSE)</f>
        <v>#N/A</v>
      </c>
      <c r="AX51" s="425" t="e">
        <f ca="1">VLOOKUP(表格1_6[[#This Row],[PO+ITEM]],工作表1!B:E,2,FALSE)</f>
        <v>#N/A</v>
      </c>
      <c r="AY51" s="425" t="e">
        <f ca="1">VLOOKUP(表格1_6[[#This Row],[PO+ITEM]],工作表1!B:E,3,FALSE)</f>
        <v>#N/A</v>
      </c>
      <c r="AZ51" s="423" t="e">
        <f ca="1">VLOOKUP(表格1_6[[#This Row],[PO+ITEM]],工作表1!B:E,4,FALSE)</f>
        <v>#N/A</v>
      </c>
      <c r="BA51" s="425" t="e">
        <f ca="1">INDEX(工作表1!G:G, MATCH(表格1_6[[#This Row],[invoice number]]&amp;表格1_6[[#This Row],[invoice number2]],工作表1!G:G, 0))</f>
        <v>#N/A</v>
      </c>
      <c r="BB51" s="423" t="e">
        <f ca="1">VLOOKUP(表格1_6[[#This Row],[PO+ITEM]],工作表1!F:H,2,FALSE)</f>
        <v>#N/A</v>
      </c>
    </row>
    <row r="52" spans="1:54" ht="15.6">
      <c r="A52" s="413">
        <v>51</v>
      </c>
      <c r="B52" s="413" t="s">
        <v>3674</v>
      </c>
      <c r="C52" s="414" t="s">
        <v>17</v>
      </c>
      <c r="D52" s="414" t="s">
        <v>3648</v>
      </c>
      <c r="E52" s="414"/>
      <c r="F52" s="414"/>
      <c r="G52" s="414"/>
      <c r="H52" s="414"/>
      <c r="I52" s="414"/>
      <c r="J52" s="414"/>
      <c r="K52" s="414"/>
      <c r="L52" s="415" t="s">
        <v>3830</v>
      </c>
      <c r="M52" s="416" t="s">
        <v>2999</v>
      </c>
      <c r="N52" s="416" t="s">
        <v>2999</v>
      </c>
      <c r="O52" s="417"/>
      <c r="P52" s="416">
        <v>4590007619</v>
      </c>
      <c r="Q52" s="418">
        <v>44855</v>
      </c>
      <c r="R52" s="419">
        <v>1</v>
      </c>
      <c r="S52" s="458">
        <v>83170</v>
      </c>
      <c r="T52" s="420" t="s">
        <v>2156</v>
      </c>
      <c r="U52" s="414" t="s">
        <v>3713</v>
      </c>
      <c r="V52" s="414" t="s">
        <v>3714</v>
      </c>
      <c r="W52" s="417" t="s">
        <v>3715</v>
      </c>
      <c r="X52" s="417"/>
      <c r="Y52" s="421" t="s">
        <v>3652</v>
      </c>
      <c r="Z52" s="421" t="s">
        <v>3652</v>
      </c>
      <c r="AA52" s="416" t="s">
        <v>3727</v>
      </c>
      <c r="AB52" s="414" t="s">
        <v>3831</v>
      </c>
      <c r="AC52" s="426"/>
      <c r="AD52" s="421"/>
      <c r="AE52" s="420"/>
      <c r="AF52" s="421">
        <v>90421</v>
      </c>
      <c r="AG52" s="420" t="s">
        <v>3832</v>
      </c>
      <c r="AH52" s="421" t="s">
        <v>3718</v>
      </c>
      <c r="AI52" s="420" t="s">
        <v>3719</v>
      </c>
      <c r="AJ52" s="413">
        <f t="shared" si="1"/>
        <v>4590007619</v>
      </c>
      <c r="AK52" s="423" t="s">
        <v>3833</v>
      </c>
      <c r="AL52" s="424">
        <v>45401</v>
      </c>
      <c r="AM52" s="221">
        <v>83170</v>
      </c>
      <c r="AN52" s="432">
        <v>45458</v>
      </c>
      <c r="AO52" s="423"/>
      <c r="AP52" s="413"/>
      <c r="AQ52" s="222"/>
      <c r="AR52" s="424"/>
      <c r="AS52" s="614">
        <f ca="1">表格1_6[[#This Row],[total amount]]/表格1_6[[#This Row],[PO$]]</f>
        <v>1</v>
      </c>
      <c r="AT52" s="223">
        <f ca="1">表格1_6[[#This Row],[invoice amount]]+表格1_6[[#This Row],[invoice amount2]]</f>
        <v>83170</v>
      </c>
      <c r="AU52" s="224" t="s">
        <v>3725</v>
      </c>
      <c r="AV52" s="423"/>
      <c r="AW52" s="423" t="e">
        <f ca="1">VLOOKUP(表格1_6[[#This Row],[TI tool ID2]],工作表1!A:A,1,FALSE)</f>
        <v>#N/A</v>
      </c>
      <c r="AX52" s="425" t="e">
        <f ca="1">VLOOKUP(表格1_6[[#This Row],[PO+ITEM]],工作表1!B:E,2,FALSE)</f>
        <v>#N/A</v>
      </c>
      <c r="AY52" s="425" t="e">
        <f ca="1">VLOOKUP(表格1_6[[#This Row],[PO+ITEM]],工作表1!B:E,3,FALSE)</f>
        <v>#N/A</v>
      </c>
      <c r="AZ52" s="423" t="e">
        <f ca="1">VLOOKUP(表格1_6[[#This Row],[PO+ITEM]],工作表1!B:E,4,FALSE)</f>
        <v>#N/A</v>
      </c>
      <c r="BA52" s="425" t="e">
        <f ca="1">INDEX(工作表1!G:G, MATCH(表格1_6[[#This Row],[invoice number]]&amp;表格1_6[[#This Row],[invoice number2]],工作表1!G:G, 0))</f>
        <v>#N/A</v>
      </c>
      <c r="BB52" s="423" t="e">
        <f ca="1">VLOOKUP(表格1_6[[#This Row],[PO+ITEM]],工作表1!F:H,2,FALSE)</f>
        <v>#N/A</v>
      </c>
    </row>
    <row r="53" spans="1:54" ht="14.45">
      <c r="A53" s="413">
        <v>52</v>
      </c>
      <c r="B53" s="413" t="s">
        <v>3659</v>
      </c>
      <c r="C53" s="414" t="s">
        <v>17</v>
      </c>
      <c r="D53" s="414" t="s">
        <v>3648</v>
      </c>
      <c r="E53" s="414"/>
      <c r="F53" s="414"/>
      <c r="G53" s="414"/>
      <c r="H53" s="414"/>
      <c r="I53" s="414"/>
      <c r="J53" s="414"/>
      <c r="K53" s="414"/>
      <c r="L53" s="415" t="s">
        <v>3834</v>
      </c>
      <c r="M53" s="416" t="s">
        <v>2999</v>
      </c>
      <c r="N53" s="416" t="s">
        <v>2999</v>
      </c>
      <c r="O53" s="417"/>
      <c r="P53" s="416">
        <v>4590007623</v>
      </c>
      <c r="Q53" s="418">
        <v>44855</v>
      </c>
      <c r="R53" s="419">
        <v>1</v>
      </c>
      <c r="S53" s="458">
        <v>96163</v>
      </c>
      <c r="T53" s="420" t="s">
        <v>2156</v>
      </c>
      <c r="U53" s="414" t="s">
        <v>3713</v>
      </c>
      <c r="V53" s="414" t="s">
        <v>3714</v>
      </c>
      <c r="W53" s="417" t="s">
        <v>3715</v>
      </c>
      <c r="X53" s="417"/>
      <c r="Y53" s="421" t="s">
        <v>3652</v>
      </c>
      <c r="Z53" s="421" t="s">
        <v>3652</v>
      </c>
      <c r="AA53" s="416"/>
      <c r="AB53" s="414" t="s">
        <v>3835</v>
      </c>
      <c r="AC53" s="426"/>
      <c r="AD53" s="421"/>
      <c r="AE53" s="420"/>
      <c r="AF53" s="421">
        <v>91283</v>
      </c>
      <c r="AG53" s="420" t="s">
        <v>3836</v>
      </c>
      <c r="AH53" s="421" t="s">
        <v>3718</v>
      </c>
      <c r="AI53" s="420" t="s">
        <v>3719</v>
      </c>
      <c r="AJ53" s="413">
        <f t="shared" si="1"/>
        <v>4590007623</v>
      </c>
      <c r="AK53" s="423"/>
      <c r="AL53" s="413"/>
      <c r="AM53" s="221"/>
      <c r="AN53" s="424"/>
      <c r="AO53" s="423"/>
      <c r="AP53" s="413"/>
      <c r="AQ53" s="222"/>
      <c r="AR53" s="424"/>
      <c r="AS53" s="614">
        <f ca="1">表格1_6[[#This Row],[total amount]]/表格1_6[[#This Row],[PO$]]</f>
        <v>0</v>
      </c>
      <c r="AT53" s="223">
        <f ca="1">表格1_6[[#This Row],[invoice amount]]+表格1_6[[#This Row],[invoice amount2]]</f>
        <v>0</v>
      </c>
      <c r="AU53" s="224"/>
      <c r="AV53" s="423"/>
      <c r="AW53" s="423" t="e">
        <f ca="1">VLOOKUP(表格1_6[[#This Row],[TI tool ID2]],工作表1!A:A,1,FALSE)</f>
        <v>#N/A</v>
      </c>
      <c r="AX53" s="425" t="e">
        <f ca="1">VLOOKUP(表格1_6[[#This Row],[PO+ITEM]],工作表1!B:E,2,FALSE)</f>
        <v>#N/A</v>
      </c>
      <c r="AY53" s="425" t="e">
        <f ca="1">VLOOKUP(表格1_6[[#This Row],[PO+ITEM]],工作表1!B:E,3,FALSE)</f>
        <v>#N/A</v>
      </c>
      <c r="AZ53" s="423" t="e">
        <f ca="1">VLOOKUP(表格1_6[[#This Row],[PO+ITEM]],工作表1!B:E,4,FALSE)</f>
        <v>#N/A</v>
      </c>
      <c r="BA53" s="425" t="e">
        <f ca="1">INDEX(工作表1!G:G, MATCH(表格1_6[[#This Row],[invoice number]]&amp;表格1_6[[#This Row],[invoice number2]],工作表1!G:G, 0))</f>
        <v>#N/A</v>
      </c>
      <c r="BB53" s="423" t="e">
        <f ca="1">VLOOKUP(表格1_6[[#This Row],[PO+ITEM]],工作表1!F:H,2,FALSE)</f>
        <v>#N/A</v>
      </c>
    </row>
    <row r="54" spans="1:54" ht="14.45">
      <c r="A54" s="413">
        <v>53</v>
      </c>
      <c r="B54" s="413" t="s">
        <v>3674</v>
      </c>
      <c r="C54" s="414" t="s">
        <v>17</v>
      </c>
      <c r="D54" s="414" t="s">
        <v>3648</v>
      </c>
      <c r="E54" s="414"/>
      <c r="F54" s="414"/>
      <c r="G54" s="414"/>
      <c r="H54" s="414"/>
      <c r="I54" s="414"/>
      <c r="J54" s="414"/>
      <c r="K54" s="414"/>
      <c r="L54" s="415" t="s">
        <v>3837</v>
      </c>
      <c r="M54" s="416" t="s">
        <v>2999</v>
      </c>
      <c r="N54" s="416" t="s">
        <v>2999</v>
      </c>
      <c r="O54" s="417"/>
      <c r="P54" s="416">
        <v>4590007625</v>
      </c>
      <c r="Q54" s="418">
        <v>44855</v>
      </c>
      <c r="R54" s="419">
        <v>1</v>
      </c>
      <c r="S54" s="458">
        <v>122834</v>
      </c>
      <c r="T54" s="420" t="s">
        <v>2156</v>
      </c>
      <c r="U54" s="414" t="s">
        <v>3713</v>
      </c>
      <c r="V54" s="414" t="s">
        <v>3714</v>
      </c>
      <c r="W54" s="417" t="s">
        <v>3715</v>
      </c>
      <c r="X54" s="417"/>
      <c r="Y54" s="421" t="s">
        <v>3652</v>
      </c>
      <c r="Z54" s="421" t="s">
        <v>3652</v>
      </c>
      <c r="AA54" s="416" t="s">
        <v>3727</v>
      </c>
      <c r="AB54" s="414" t="s">
        <v>3838</v>
      </c>
      <c r="AC54" s="426"/>
      <c r="AD54" s="421"/>
      <c r="AE54" s="420"/>
      <c r="AF54" s="421">
        <v>90425</v>
      </c>
      <c r="AG54" s="420" t="s">
        <v>3839</v>
      </c>
      <c r="AH54" s="421" t="s">
        <v>3718</v>
      </c>
      <c r="AI54" s="420" t="s">
        <v>3719</v>
      </c>
      <c r="AJ54" s="413">
        <f t="shared" si="1"/>
        <v>4590007625</v>
      </c>
      <c r="AK54" s="423" t="s">
        <v>3840</v>
      </c>
      <c r="AL54" s="424">
        <v>45401</v>
      </c>
      <c r="AM54" s="221">
        <v>122834</v>
      </c>
      <c r="AN54" s="424">
        <v>45471</v>
      </c>
      <c r="AO54" s="423"/>
      <c r="AP54" s="413"/>
      <c r="AQ54" s="222"/>
      <c r="AR54" s="424"/>
      <c r="AS54" s="614">
        <f ca="1">表格1_6[[#This Row],[total amount]]/表格1_6[[#This Row],[PO$]]</f>
        <v>1</v>
      </c>
      <c r="AT54" s="223">
        <f ca="1">表格1_6[[#This Row],[invoice amount]]+表格1_6[[#This Row],[invoice amount2]]</f>
        <v>122834</v>
      </c>
      <c r="AU54" s="224" t="s">
        <v>3673</v>
      </c>
      <c r="AV54" s="423"/>
      <c r="AW54" s="423" t="e">
        <f ca="1">VLOOKUP(表格1_6[[#This Row],[TI tool ID2]],工作表1!A:A,1,FALSE)</f>
        <v>#N/A</v>
      </c>
      <c r="AX54" s="425" t="e">
        <f ca="1">VLOOKUP(表格1_6[[#This Row],[PO+ITEM]],工作表1!B:E,2,FALSE)</f>
        <v>#N/A</v>
      </c>
      <c r="AY54" s="425" t="e">
        <f ca="1">VLOOKUP(表格1_6[[#This Row],[PO+ITEM]],工作表1!B:E,3,FALSE)</f>
        <v>#N/A</v>
      </c>
      <c r="AZ54" s="423" t="e">
        <f ca="1">VLOOKUP(表格1_6[[#This Row],[PO+ITEM]],工作表1!B:E,4,FALSE)</f>
        <v>#N/A</v>
      </c>
      <c r="BA54" s="425" t="e">
        <f ca="1">INDEX(工作表1!G:G, MATCH(表格1_6[[#This Row],[invoice number]]&amp;表格1_6[[#This Row],[invoice number2]],工作表1!G:G, 0))</f>
        <v>#N/A</v>
      </c>
      <c r="BB54" s="423" t="e">
        <f ca="1">VLOOKUP(表格1_6[[#This Row],[PO+ITEM]],工作表1!F:H,2,FALSE)</f>
        <v>#N/A</v>
      </c>
    </row>
    <row r="55" spans="1:54" ht="15.6">
      <c r="A55" s="413">
        <v>54</v>
      </c>
      <c r="B55" s="413" t="s">
        <v>3674</v>
      </c>
      <c r="C55" s="414" t="s">
        <v>17</v>
      </c>
      <c r="D55" s="414" t="s">
        <v>3648</v>
      </c>
      <c r="E55" s="414"/>
      <c r="F55" s="414"/>
      <c r="G55" s="414"/>
      <c r="H55" s="414"/>
      <c r="I55" s="414"/>
      <c r="J55" s="414"/>
      <c r="K55" s="414"/>
      <c r="L55" s="415" t="s">
        <v>3841</v>
      </c>
      <c r="M55" s="416" t="s">
        <v>2999</v>
      </c>
      <c r="N55" s="416" t="s">
        <v>2999</v>
      </c>
      <c r="O55" s="417"/>
      <c r="P55" s="416">
        <v>4590007629</v>
      </c>
      <c r="Q55" s="418">
        <v>44855</v>
      </c>
      <c r="R55" s="419">
        <v>1</v>
      </c>
      <c r="S55" s="458">
        <v>282474</v>
      </c>
      <c r="T55" s="420" t="s">
        <v>2156</v>
      </c>
      <c r="U55" s="414" t="s">
        <v>3713</v>
      </c>
      <c r="V55" s="414" t="s">
        <v>3714</v>
      </c>
      <c r="W55" s="417" t="s">
        <v>3715</v>
      </c>
      <c r="X55" s="417"/>
      <c r="Y55" s="421" t="s">
        <v>3652</v>
      </c>
      <c r="Z55" s="421" t="s">
        <v>3652</v>
      </c>
      <c r="AA55" s="416"/>
      <c r="AB55" s="414" t="s">
        <v>3842</v>
      </c>
      <c r="AC55" s="426"/>
      <c r="AD55" s="421"/>
      <c r="AE55" s="420"/>
      <c r="AF55" s="421">
        <v>90418</v>
      </c>
      <c r="AG55" s="420" t="s">
        <v>3843</v>
      </c>
      <c r="AH55" s="421" t="s">
        <v>3718</v>
      </c>
      <c r="AI55" s="420" t="s">
        <v>3719</v>
      </c>
      <c r="AJ55" s="413">
        <f t="shared" si="1"/>
        <v>4590007629</v>
      </c>
      <c r="AK55" s="423"/>
      <c r="AL55" s="424">
        <v>45261</v>
      </c>
      <c r="AM55" s="221">
        <v>268350.3</v>
      </c>
      <c r="AN55" s="228">
        <v>45303</v>
      </c>
      <c r="AO55" s="423"/>
      <c r="AP55" s="413"/>
      <c r="AQ55" s="222"/>
      <c r="AR55" s="424"/>
      <c r="AS55" s="614">
        <f ca="1">表格1_6[[#This Row],[total amount]]/表格1_6[[#This Row],[PO$]]</f>
        <v>0.95</v>
      </c>
      <c r="AT55" s="223">
        <f ca="1">表格1_6[[#This Row],[invoice amount]]+表格1_6[[#This Row],[invoice amount2]]</f>
        <v>268350.3</v>
      </c>
      <c r="AU55" s="224" t="s">
        <v>3673</v>
      </c>
      <c r="AV55" s="423"/>
      <c r="AW55" s="423" t="e">
        <f ca="1">VLOOKUP(表格1_6[[#This Row],[TI tool ID2]],工作表1!A:A,1,FALSE)</f>
        <v>#N/A</v>
      </c>
      <c r="AX55" s="425" t="e">
        <f ca="1">VLOOKUP(表格1_6[[#This Row],[PO+ITEM]],工作表1!B:E,2,FALSE)</f>
        <v>#N/A</v>
      </c>
      <c r="AY55" s="425" t="e">
        <f ca="1">VLOOKUP(表格1_6[[#This Row],[PO+ITEM]],工作表1!B:E,3,FALSE)</f>
        <v>#N/A</v>
      </c>
      <c r="AZ55" s="423" t="e">
        <f ca="1">VLOOKUP(表格1_6[[#This Row],[PO+ITEM]],工作表1!B:E,4,FALSE)</f>
        <v>#N/A</v>
      </c>
      <c r="BA55" s="425" t="e">
        <f ca="1">INDEX(工作表1!G:G, MATCH(表格1_6[[#This Row],[invoice number]]&amp;表格1_6[[#This Row],[invoice number2]],工作表1!G:G, 0))</f>
        <v>#N/A</v>
      </c>
      <c r="BB55" s="423" t="e">
        <f ca="1">VLOOKUP(表格1_6[[#This Row],[PO+ITEM]],工作表1!F:H,2,FALSE)</f>
        <v>#N/A</v>
      </c>
    </row>
    <row r="56" spans="1:54" ht="14.45">
      <c r="A56" s="413">
        <v>55</v>
      </c>
      <c r="B56" s="413" t="s">
        <v>3674</v>
      </c>
      <c r="C56" s="414" t="s">
        <v>17</v>
      </c>
      <c r="D56" s="414" t="s">
        <v>3648</v>
      </c>
      <c r="E56" s="414"/>
      <c r="F56" s="414"/>
      <c r="G56" s="414"/>
      <c r="H56" s="414"/>
      <c r="I56" s="414"/>
      <c r="J56" s="414"/>
      <c r="K56" s="414"/>
      <c r="L56" s="415" t="s">
        <v>3844</v>
      </c>
      <c r="M56" s="416" t="s">
        <v>2999</v>
      </c>
      <c r="N56" s="416" t="s">
        <v>2999</v>
      </c>
      <c r="O56" s="417"/>
      <c r="P56" s="416">
        <v>4590007630</v>
      </c>
      <c r="Q56" s="418">
        <v>44855</v>
      </c>
      <c r="R56" s="419">
        <v>1</v>
      </c>
      <c r="S56" s="458">
        <v>282474</v>
      </c>
      <c r="T56" s="420" t="s">
        <v>2156</v>
      </c>
      <c r="U56" s="414" t="s">
        <v>3713</v>
      </c>
      <c r="V56" s="414" t="s">
        <v>3714</v>
      </c>
      <c r="W56" s="417" t="s">
        <v>3715</v>
      </c>
      <c r="X56" s="417"/>
      <c r="Y56" s="421" t="s">
        <v>3652</v>
      </c>
      <c r="Z56" s="421" t="s">
        <v>3652</v>
      </c>
      <c r="AA56" s="416"/>
      <c r="AB56" s="414" t="s">
        <v>3716</v>
      </c>
      <c r="AC56" s="426"/>
      <c r="AD56" s="421"/>
      <c r="AE56" s="420"/>
      <c r="AF56" s="421">
        <v>90422</v>
      </c>
      <c r="AG56" s="420" t="s">
        <v>3845</v>
      </c>
      <c r="AH56" s="421" t="s">
        <v>3718</v>
      </c>
      <c r="AI56" s="420" t="s">
        <v>3719</v>
      </c>
      <c r="AJ56" s="413">
        <f t="shared" si="1"/>
        <v>4590007630</v>
      </c>
      <c r="AK56" s="423" t="s">
        <v>3846</v>
      </c>
      <c r="AL56" s="424">
        <v>45429</v>
      </c>
      <c r="AM56" s="221">
        <v>282474</v>
      </c>
      <c r="AN56" s="424">
        <v>45503</v>
      </c>
      <c r="AO56" s="423"/>
      <c r="AP56" s="413"/>
      <c r="AQ56" s="222"/>
      <c r="AR56" s="424"/>
      <c r="AS56" s="614">
        <f ca="1">表格1_6[[#This Row],[total amount]]/表格1_6[[#This Row],[PO$]]</f>
        <v>1</v>
      </c>
      <c r="AT56" s="223">
        <f ca="1">表格1_6[[#This Row],[invoice amount]]+表格1_6[[#This Row],[invoice amount2]]</f>
        <v>282474</v>
      </c>
      <c r="AU56" s="224" t="s">
        <v>3725</v>
      </c>
      <c r="AV56" s="423"/>
      <c r="AW56" s="423" t="e">
        <f ca="1">VLOOKUP(表格1_6[[#This Row],[TI tool ID2]],工作表1!A:A,1,FALSE)</f>
        <v>#N/A</v>
      </c>
      <c r="AX56" s="425" t="e">
        <f ca="1">VLOOKUP(表格1_6[[#This Row],[PO+ITEM]],工作表1!B:E,2,FALSE)</f>
        <v>#N/A</v>
      </c>
      <c r="AY56" s="425" t="e">
        <f ca="1">VLOOKUP(表格1_6[[#This Row],[PO+ITEM]],工作表1!B:E,3,FALSE)</f>
        <v>#N/A</v>
      </c>
      <c r="AZ56" s="423" t="e">
        <f ca="1">VLOOKUP(表格1_6[[#This Row],[PO+ITEM]],工作表1!B:E,4,FALSE)</f>
        <v>#N/A</v>
      </c>
      <c r="BA56" s="425" t="e">
        <f ca="1">INDEX(工作表1!G:G, MATCH(表格1_6[[#This Row],[invoice number]]&amp;表格1_6[[#This Row],[invoice number2]],工作表1!G:G, 0))</f>
        <v>#N/A</v>
      </c>
      <c r="BB56" s="423" t="e">
        <f ca="1">VLOOKUP(表格1_6[[#This Row],[PO+ITEM]],工作表1!F:H,2,FALSE)</f>
        <v>#N/A</v>
      </c>
    </row>
    <row r="57" spans="1:54" ht="14.45">
      <c r="A57" s="413">
        <v>56</v>
      </c>
      <c r="B57" s="413" t="s">
        <v>3674</v>
      </c>
      <c r="C57" s="414" t="s">
        <v>17</v>
      </c>
      <c r="D57" s="414" t="s">
        <v>3648</v>
      </c>
      <c r="E57" s="414"/>
      <c r="F57" s="414"/>
      <c r="G57" s="414"/>
      <c r="H57" s="414"/>
      <c r="I57" s="414"/>
      <c r="J57" s="414"/>
      <c r="K57" s="414"/>
      <c r="L57" s="415" t="s">
        <v>3847</v>
      </c>
      <c r="M57" s="416" t="s">
        <v>2999</v>
      </c>
      <c r="N57" s="416" t="s">
        <v>2999</v>
      </c>
      <c r="O57" s="417"/>
      <c r="P57" s="416">
        <v>4590007631</v>
      </c>
      <c r="Q57" s="418">
        <v>44855</v>
      </c>
      <c r="R57" s="419">
        <v>1</v>
      </c>
      <c r="S57" s="458">
        <v>282474</v>
      </c>
      <c r="T57" s="420" t="s">
        <v>2156</v>
      </c>
      <c r="U57" s="414" t="s">
        <v>3713</v>
      </c>
      <c r="V57" s="414" t="s">
        <v>3714</v>
      </c>
      <c r="W57" s="417" t="s">
        <v>3715</v>
      </c>
      <c r="X57" s="417"/>
      <c r="Y57" s="421" t="s">
        <v>3652</v>
      </c>
      <c r="Z57" s="421" t="s">
        <v>3652</v>
      </c>
      <c r="AA57" s="416" t="s">
        <v>3727</v>
      </c>
      <c r="AB57" s="414" t="s">
        <v>3716</v>
      </c>
      <c r="AC57" s="426"/>
      <c r="AD57" s="421"/>
      <c r="AE57" s="420"/>
      <c r="AF57" s="421">
        <v>90417</v>
      </c>
      <c r="AG57" s="420" t="s">
        <v>3848</v>
      </c>
      <c r="AH57" s="421" t="s">
        <v>3718</v>
      </c>
      <c r="AI57" s="420" t="s">
        <v>3719</v>
      </c>
      <c r="AJ57" s="413">
        <f t="shared" si="1"/>
        <v>4590007631</v>
      </c>
      <c r="AK57" s="423" t="s">
        <v>3849</v>
      </c>
      <c r="AL57" s="424">
        <v>45401</v>
      </c>
      <c r="AM57" s="221">
        <v>282474</v>
      </c>
      <c r="AN57" s="424">
        <v>45471</v>
      </c>
      <c r="AO57" s="423"/>
      <c r="AP57" s="413"/>
      <c r="AQ57" s="222"/>
      <c r="AR57" s="424"/>
      <c r="AS57" s="614">
        <f ca="1">表格1_6[[#This Row],[total amount]]/表格1_6[[#This Row],[PO$]]</f>
        <v>1</v>
      </c>
      <c r="AT57" s="223">
        <f ca="1">表格1_6[[#This Row],[invoice amount]]+表格1_6[[#This Row],[invoice amount2]]</f>
        <v>282474</v>
      </c>
      <c r="AU57" s="224" t="s">
        <v>3673</v>
      </c>
      <c r="AV57" s="423"/>
      <c r="AW57" s="423" t="e">
        <f ca="1">VLOOKUP(表格1_6[[#This Row],[TI tool ID2]],工作表1!A:A,1,FALSE)</f>
        <v>#N/A</v>
      </c>
      <c r="AX57" s="425" t="e">
        <f ca="1">VLOOKUP(表格1_6[[#This Row],[PO+ITEM]],工作表1!B:E,2,FALSE)</f>
        <v>#N/A</v>
      </c>
      <c r="AY57" s="425" t="e">
        <f ca="1">VLOOKUP(表格1_6[[#This Row],[PO+ITEM]],工作表1!B:E,3,FALSE)</f>
        <v>#N/A</v>
      </c>
      <c r="AZ57" s="423" t="e">
        <f ca="1">VLOOKUP(表格1_6[[#This Row],[PO+ITEM]],工作表1!B:E,4,FALSE)</f>
        <v>#N/A</v>
      </c>
      <c r="BA57" s="425" t="e">
        <f ca="1">INDEX(工作表1!G:G, MATCH(表格1_6[[#This Row],[invoice number]]&amp;表格1_6[[#This Row],[invoice number2]],工作表1!G:G, 0))</f>
        <v>#N/A</v>
      </c>
      <c r="BB57" s="423" t="e">
        <f ca="1">VLOOKUP(表格1_6[[#This Row],[PO+ITEM]],工作表1!F:H,2,FALSE)</f>
        <v>#N/A</v>
      </c>
    </row>
    <row r="58" spans="1:54" ht="14.45">
      <c r="A58" s="413">
        <v>57</v>
      </c>
      <c r="B58" s="413" t="s">
        <v>3659</v>
      </c>
      <c r="C58" s="414" t="s">
        <v>17</v>
      </c>
      <c r="D58" s="414" t="s">
        <v>3648</v>
      </c>
      <c r="E58" s="414"/>
      <c r="F58" s="414"/>
      <c r="G58" s="414"/>
      <c r="H58" s="414"/>
      <c r="I58" s="414"/>
      <c r="J58" s="414"/>
      <c r="K58" s="414"/>
      <c r="L58" s="415" t="s">
        <v>3850</v>
      </c>
      <c r="M58" s="416" t="s">
        <v>2999</v>
      </c>
      <c r="N58" s="416" t="s">
        <v>2999</v>
      </c>
      <c r="O58" s="417"/>
      <c r="P58" s="416">
        <v>4590007632</v>
      </c>
      <c r="Q58" s="418">
        <v>44855</v>
      </c>
      <c r="R58" s="419">
        <v>1</v>
      </c>
      <c r="S58" s="458">
        <v>282474</v>
      </c>
      <c r="T58" s="420" t="s">
        <v>2156</v>
      </c>
      <c r="U58" s="414" t="s">
        <v>3713</v>
      </c>
      <c r="V58" s="414" t="s">
        <v>3714</v>
      </c>
      <c r="W58" s="417" t="s">
        <v>3715</v>
      </c>
      <c r="X58" s="417"/>
      <c r="Y58" s="421" t="s">
        <v>3652</v>
      </c>
      <c r="Z58" s="421" t="s">
        <v>3652</v>
      </c>
      <c r="AA58" s="416"/>
      <c r="AB58" s="414" t="s">
        <v>3716</v>
      </c>
      <c r="AC58" s="426"/>
      <c r="AD58" s="421"/>
      <c r="AE58" s="420"/>
      <c r="AF58" s="421">
        <v>91276</v>
      </c>
      <c r="AG58" s="420" t="s">
        <v>3851</v>
      </c>
      <c r="AH58" s="421" t="s">
        <v>3718</v>
      </c>
      <c r="AI58" s="420" t="s">
        <v>3719</v>
      </c>
      <c r="AJ58" s="413">
        <f t="shared" si="1"/>
        <v>4590007632</v>
      </c>
      <c r="AK58" s="423"/>
      <c r="AL58" s="413"/>
      <c r="AM58" s="221"/>
      <c r="AN58" s="424"/>
      <c r="AO58" s="423"/>
      <c r="AP58" s="413"/>
      <c r="AQ58" s="222"/>
      <c r="AR58" s="424"/>
      <c r="AS58" s="614">
        <f ca="1">表格1_6[[#This Row],[total amount]]/表格1_6[[#This Row],[PO$]]</f>
        <v>0</v>
      </c>
      <c r="AT58" s="223">
        <f ca="1">表格1_6[[#This Row],[invoice amount]]+表格1_6[[#This Row],[invoice amount2]]</f>
        <v>0</v>
      </c>
      <c r="AU58" s="224"/>
      <c r="AV58" s="423"/>
      <c r="AW58" s="423" t="e">
        <f ca="1">VLOOKUP(表格1_6[[#This Row],[TI tool ID2]],工作表1!A:A,1,FALSE)</f>
        <v>#N/A</v>
      </c>
      <c r="AX58" s="425" t="e">
        <f ca="1">VLOOKUP(表格1_6[[#This Row],[PO+ITEM]],工作表1!B:E,2,FALSE)</f>
        <v>#N/A</v>
      </c>
      <c r="AY58" s="425" t="e">
        <f ca="1">VLOOKUP(表格1_6[[#This Row],[PO+ITEM]],工作表1!B:E,3,FALSE)</f>
        <v>#N/A</v>
      </c>
      <c r="AZ58" s="423" t="e">
        <f ca="1">VLOOKUP(表格1_6[[#This Row],[PO+ITEM]],工作表1!B:E,4,FALSE)</f>
        <v>#N/A</v>
      </c>
      <c r="BA58" s="425" t="e">
        <f ca="1">INDEX(工作表1!G:G, MATCH(表格1_6[[#This Row],[invoice number]]&amp;表格1_6[[#This Row],[invoice number2]],工作表1!G:G, 0))</f>
        <v>#N/A</v>
      </c>
      <c r="BB58" s="423" t="e">
        <f ca="1">VLOOKUP(表格1_6[[#This Row],[PO+ITEM]],工作表1!F:H,2,FALSE)</f>
        <v>#N/A</v>
      </c>
    </row>
    <row r="59" spans="1:54" ht="14.45">
      <c r="A59" s="413">
        <v>58</v>
      </c>
      <c r="B59" s="413" t="s">
        <v>3659</v>
      </c>
      <c r="C59" s="414" t="s">
        <v>17</v>
      </c>
      <c r="D59" s="414" t="s">
        <v>3648</v>
      </c>
      <c r="E59" s="414"/>
      <c r="F59" s="414"/>
      <c r="G59" s="414"/>
      <c r="H59" s="414"/>
      <c r="I59" s="414"/>
      <c r="J59" s="414"/>
      <c r="K59" s="414"/>
      <c r="L59" s="415" t="s">
        <v>3852</v>
      </c>
      <c r="M59" s="416" t="s">
        <v>2999</v>
      </c>
      <c r="N59" s="416" t="s">
        <v>2999</v>
      </c>
      <c r="O59" s="417"/>
      <c r="P59" s="416">
        <v>4590007633</v>
      </c>
      <c r="Q59" s="418">
        <v>44855</v>
      </c>
      <c r="R59" s="419">
        <v>1</v>
      </c>
      <c r="S59" s="458">
        <v>282474</v>
      </c>
      <c r="T59" s="420" t="s">
        <v>2156</v>
      </c>
      <c r="U59" s="414" t="s">
        <v>3713</v>
      </c>
      <c r="V59" s="414" t="s">
        <v>3714</v>
      </c>
      <c r="W59" s="417" t="s">
        <v>3715</v>
      </c>
      <c r="X59" s="417"/>
      <c r="Y59" s="421" t="s">
        <v>3652</v>
      </c>
      <c r="Z59" s="421" t="s">
        <v>3652</v>
      </c>
      <c r="AA59" s="416"/>
      <c r="AB59" s="414" t="s">
        <v>3716</v>
      </c>
      <c r="AC59" s="426"/>
      <c r="AD59" s="421"/>
      <c r="AE59" s="420"/>
      <c r="AF59" s="421">
        <v>91277</v>
      </c>
      <c r="AG59" s="420" t="s">
        <v>3853</v>
      </c>
      <c r="AH59" s="421" t="s">
        <v>3718</v>
      </c>
      <c r="AI59" s="420" t="s">
        <v>3719</v>
      </c>
      <c r="AJ59" s="413">
        <f t="shared" si="1"/>
        <v>4590007633</v>
      </c>
      <c r="AK59" s="423"/>
      <c r="AL59" s="413"/>
      <c r="AM59" s="221"/>
      <c r="AN59" s="424"/>
      <c r="AO59" s="423"/>
      <c r="AP59" s="413"/>
      <c r="AQ59" s="222"/>
      <c r="AR59" s="424"/>
      <c r="AS59" s="614">
        <f ca="1">表格1_6[[#This Row],[total amount]]/表格1_6[[#This Row],[PO$]]</f>
        <v>0</v>
      </c>
      <c r="AT59" s="223">
        <f ca="1">表格1_6[[#This Row],[invoice amount]]+表格1_6[[#This Row],[invoice amount2]]</f>
        <v>0</v>
      </c>
      <c r="AU59" s="224"/>
      <c r="AV59" s="423"/>
      <c r="AW59" s="423" t="e">
        <f ca="1">VLOOKUP(表格1_6[[#This Row],[TI tool ID2]],工作表1!A:A,1,FALSE)</f>
        <v>#N/A</v>
      </c>
      <c r="AX59" s="425" t="e">
        <f ca="1">VLOOKUP(表格1_6[[#This Row],[PO+ITEM]],工作表1!B:E,2,FALSE)</f>
        <v>#N/A</v>
      </c>
      <c r="AY59" s="425" t="e">
        <f ca="1">VLOOKUP(表格1_6[[#This Row],[PO+ITEM]],工作表1!B:E,3,FALSE)</f>
        <v>#N/A</v>
      </c>
      <c r="AZ59" s="423" t="e">
        <f ca="1">VLOOKUP(表格1_6[[#This Row],[PO+ITEM]],工作表1!B:E,4,FALSE)</f>
        <v>#N/A</v>
      </c>
      <c r="BA59" s="425" t="e">
        <f ca="1">INDEX(工作表1!G:G, MATCH(表格1_6[[#This Row],[invoice number]]&amp;表格1_6[[#This Row],[invoice number2]],工作表1!G:G, 0))</f>
        <v>#N/A</v>
      </c>
      <c r="BB59" s="423" t="e">
        <f ca="1">VLOOKUP(表格1_6[[#This Row],[PO+ITEM]],工作表1!F:H,2,FALSE)</f>
        <v>#N/A</v>
      </c>
    </row>
    <row r="60" spans="1:54" ht="14.45">
      <c r="A60" s="413">
        <v>59</v>
      </c>
      <c r="B60" s="413" t="s">
        <v>3659</v>
      </c>
      <c r="C60" s="414" t="s">
        <v>17</v>
      </c>
      <c r="D60" s="414" t="s">
        <v>3648</v>
      </c>
      <c r="E60" s="414"/>
      <c r="F60" s="414"/>
      <c r="G60" s="414"/>
      <c r="H60" s="414"/>
      <c r="I60" s="414"/>
      <c r="J60" s="414"/>
      <c r="K60" s="414"/>
      <c r="L60" s="420" t="s">
        <v>3854</v>
      </c>
      <c r="M60" s="416" t="s">
        <v>2999</v>
      </c>
      <c r="N60" s="416" t="s">
        <v>2999</v>
      </c>
      <c r="O60" s="417"/>
      <c r="P60" s="416">
        <v>4590007634</v>
      </c>
      <c r="Q60" s="418">
        <v>44855</v>
      </c>
      <c r="R60" s="419">
        <v>1</v>
      </c>
      <c r="S60" s="458">
        <v>282474</v>
      </c>
      <c r="T60" s="420" t="s">
        <v>2156</v>
      </c>
      <c r="U60" s="414" t="s">
        <v>3713</v>
      </c>
      <c r="V60" s="414" t="s">
        <v>3714</v>
      </c>
      <c r="W60" s="417" t="s">
        <v>3715</v>
      </c>
      <c r="X60" s="417"/>
      <c r="Y60" s="421" t="s">
        <v>3652</v>
      </c>
      <c r="Z60" s="421" t="s">
        <v>3652</v>
      </c>
      <c r="AA60" s="416"/>
      <c r="AB60" s="414" t="s">
        <v>3716</v>
      </c>
      <c r="AC60" s="426"/>
      <c r="AD60" s="421"/>
      <c r="AE60" s="420"/>
      <c r="AF60" s="421">
        <v>91278</v>
      </c>
      <c r="AG60" s="420" t="s">
        <v>3855</v>
      </c>
      <c r="AH60" s="421" t="s">
        <v>3718</v>
      </c>
      <c r="AI60" s="420" t="s">
        <v>3719</v>
      </c>
      <c r="AJ60" s="413">
        <f t="shared" si="1"/>
        <v>4590007634</v>
      </c>
      <c r="AK60" s="423"/>
      <c r="AL60" s="413"/>
      <c r="AM60" s="221"/>
      <c r="AN60" s="424"/>
      <c r="AO60" s="423"/>
      <c r="AP60" s="413"/>
      <c r="AQ60" s="222"/>
      <c r="AR60" s="424"/>
      <c r="AS60" s="614">
        <f ca="1">表格1_6[[#This Row],[total amount]]/表格1_6[[#This Row],[PO$]]</f>
        <v>0</v>
      </c>
      <c r="AT60" s="223">
        <f ca="1">表格1_6[[#This Row],[invoice amount]]+表格1_6[[#This Row],[invoice amount2]]</f>
        <v>0</v>
      </c>
      <c r="AU60" s="224"/>
      <c r="AV60" s="423"/>
      <c r="AW60" s="423" t="e">
        <f ca="1">VLOOKUP(表格1_6[[#This Row],[TI tool ID2]],工作表1!A:A,1,FALSE)</f>
        <v>#N/A</v>
      </c>
      <c r="AX60" s="425" t="e">
        <f ca="1">VLOOKUP(表格1_6[[#This Row],[PO+ITEM]],工作表1!B:E,2,FALSE)</f>
        <v>#N/A</v>
      </c>
      <c r="AY60" s="425" t="e">
        <f ca="1">VLOOKUP(表格1_6[[#This Row],[PO+ITEM]],工作表1!B:E,3,FALSE)</f>
        <v>#N/A</v>
      </c>
      <c r="AZ60" s="423" t="e">
        <f ca="1">VLOOKUP(表格1_6[[#This Row],[PO+ITEM]],工作表1!B:E,4,FALSE)</f>
        <v>#N/A</v>
      </c>
      <c r="BA60" s="425" t="e">
        <f ca="1">INDEX(工作表1!G:G, MATCH(表格1_6[[#This Row],[invoice number]]&amp;表格1_6[[#This Row],[invoice number2]],工作表1!G:G, 0))</f>
        <v>#N/A</v>
      </c>
      <c r="BB60" s="423" t="e">
        <f ca="1">VLOOKUP(表格1_6[[#This Row],[PO+ITEM]],工作表1!F:H,2,FALSE)</f>
        <v>#N/A</v>
      </c>
    </row>
    <row r="61" spans="1:54" ht="14.45">
      <c r="A61" s="413">
        <v>60</v>
      </c>
      <c r="B61" s="413" t="s">
        <v>3659</v>
      </c>
      <c r="C61" s="414" t="s">
        <v>17</v>
      </c>
      <c r="D61" s="414" t="s">
        <v>3648</v>
      </c>
      <c r="E61" s="414"/>
      <c r="F61" s="414"/>
      <c r="G61" s="414"/>
      <c r="H61" s="414"/>
      <c r="I61" s="414"/>
      <c r="J61" s="414"/>
      <c r="K61" s="414"/>
      <c r="L61" s="415" t="s">
        <v>3856</v>
      </c>
      <c r="M61" s="416" t="s">
        <v>2999</v>
      </c>
      <c r="N61" s="416" t="s">
        <v>2999</v>
      </c>
      <c r="O61" s="417"/>
      <c r="P61" s="416">
        <v>4590007635</v>
      </c>
      <c r="Q61" s="418">
        <v>44855</v>
      </c>
      <c r="R61" s="419">
        <v>1</v>
      </c>
      <c r="S61" s="458">
        <v>282474</v>
      </c>
      <c r="T61" s="420" t="s">
        <v>2156</v>
      </c>
      <c r="U61" s="414" t="s">
        <v>3713</v>
      </c>
      <c r="V61" s="414" t="s">
        <v>3714</v>
      </c>
      <c r="W61" s="417" t="s">
        <v>3715</v>
      </c>
      <c r="X61" s="417"/>
      <c r="Y61" s="421" t="s">
        <v>3652</v>
      </c>
      <c r="Z61" s="421" t="s">
        <v>3652</v>
      </c>
      <c r="AA61" s="416"/>
      <c r="AB61" s="414" t="s">
        <v>3716</v>
      </c>
      <c r="AC61" s="426"/>
      <c r="AD61" s="421"/>
      <c r="AE61" s="420"/>
      <c r="AF61" s="421">
        <v>91281</v>
      </c>
      <c r="AG61" s="420" t="s">
        <v>3857</v>
      </c>
      <c r="AH61" s="421" t="s">
        <v>3718</v>
      </c>
      <c r="AI61" s="420" t="s">
        <v>3719</v>
      </c>
      <c r="AJ61" s="413">
        <f t="shared" si="1"/>
        <v>4590007635</v>
      </c>
      <c r="AK61" s="423"/>
      <c r="AL61" s="413"/>
      <c r="AM61" s="221"/>
      <c r="AN61" s="424"/>
      <c r="AO61" s="423"/>
      <c r="AP61" s="413"/>
      <c r="AQ61" s="222"/>
      <c r="AR61" s="424"/>
      <c r="AS61" s="614">
        <f ca="1">表格1_6[[#This Row],[total amount]]/表格1_6[[#This Row],[PO$]]</f>
        <v>0</v>
      </c>
      <c r="AT61" s="223">
        <f ca="1">表格1_6[[#This Row],[invoice amount]]+表格1_6[[#This Row],[invoice amount2]]</f>
        <v>0</v>
      </c>
      <c r="AU61" s="224"/>
      <c r="AV61" s="423"/>
      <c r="AW61" s="423" t="e">
        <f ca="1">VLOOKUP(表格1_6[[#This Row],[TI tool ID2]],工作表1!A:A,1,FALSE)</f>
        <v>#N/A</v>
      </c>
      <c r="AX61" s="425" t="e">
        <f ca="1">VLOOKUP(表格1_6[[#This Row],[PO+ITEM]],工作表1!B:E,2,FALSE)</f>
        <v>#N/A</v>
      </c>
      <c r="AY61" s="425" t="e">
        <f ca="1">VLOOKUP(表格1_6[[#This Row],[PO+ITEM]],工作表1!B:E,3,FALSE)</f>
        <v>#N/A</v>
      </c>
      <c r="AZ61" s="423" t="e">
        <f ca="1">VLOOKUP(表格1_6[[#This Row],[PO+ITEM]],工作表1!B:E,4,FALSE)</f>
        <v>#N/A</v>
      </c>
      <c r="BA61" s="425" t="e">
        <f ca="1">INDEX(工作表1!G:G, MATCH(表格1_6[[#This Row],[invoice number]]&amp;表格1_6[[#This Row],[invoice number2]],工作表1!G:G, 0))</f>
        <v>#N/A</v>
      </c>
      <c r="BB61" s="423" t="e">
        <f ca="1">VLOOKUP(表格1_6[[#This Row],[PO+ITEM]],工作表1!F:H,2,FALSE)</f>
        <v>#N/A</v>
      </c>
    </row>
    <row r="62" spans="1:54" ht="14.45">
      <c r="A62" s="413">
        <v>61</v>
      </c>
      <c r="B62" s="413" t="s">
        <v>3659</v>
      </c>
      <c r="C62" s="414" t="s">
        <v>17</v>
      </c>
      <c r="D62" s="414" t="s">
        <v>3648</v>
      </c>
      <c r="E62" s="414"/>
      <c r="F62" s="414"/>
      <c r="G62" s="414"/>
      <c r="H62" s="414"/>
      <c r="I62" s="414"/>
      <c r="J62" s="414"/>
      <c r="K62" s="414"/>
      <c r="L62" s="415" t="s">
        <v>3858</v>
      </c>
      <c r="M62" s="416" t="s">
        <v>2999</v>
      </c>
      <c r="N62" s="416" t="s">
        <v>2999</v>
      </c>
      <c r="O62" s="417"/>
      <c r="P62" s="416">
        <v>4590007636</v>
      </c>
      <c r="Q62" s="418">
        <v>44855</v>
      </c>
      <c r="R62" s="419">
        <v>1</v>
      </c>
      <c r="S62" s="458">
        <v>282474</v>
      </c>
      <c r="T62" s="420" t="s">
        <v>2156</v>
      </c>
      <c r="U62" s="414" t="s">
        <v>3713</v>
      </c>
      <c r="V62" s="414" t="s">
        <v>3714</v>
      </c>
      <c r="W62" s="417" t="s">
        <v>3715</v>
      </c>
      <c r="X62" s="417"/>
      <c r="Y62" s="421" t="s">
        <v>3652</v>
      </c>
      <c r="Z62" s="421" t="s">
        <v>3652</v>
      </c>
      <c r="AA62" s="416"/>
      <c r="AB62" s="414" t="s">
        <v>3716</v>
      </c>
      <c r="AC62" s="426"/>
      <c r="AD62" s="421"/>
      <c r="AE62" s="420"/>
      <c r="AF62" s="421">
        <v>91282</v>
      </c>
      <c r="AG62" s="420" t="s">
        <v>3859</v>
      </c>
      <c r="AH62" s="421" t="s">
        <v>3718</v>
      </c>
      <c r="AI62" s="420" t="s">
        <v>3719</v>
      </c>
      <c r="AJ62" s="413">
        <f t="shared" si="1"/>
        <v>4590007636</v>
      </c>
      <c r="AK62" s="423"/>
      <c r="AL62" s="413"/>
      <c r="AM62" s="221"/>
      <c r="AN62" s="424"/>
      <c r="AO62" s="423"/>
      <c r="AP62" s="413"/>
      <c r="AQ62" s="222"/>
      <c r="AR62" s="424"/>
      <c r="AS62" s="614">
        <f ca="1">表格1_6[[#This Row],[total amount]]/表格1_6[[#This Row],[PO$]]</f>
        <v>0</v>
      </c>
      <c r="AT62" s="223">
        <f ca="1">表格1_6[[#This Row],[invoice amount]]+表格1_6[[#This Row],[invoice amount2]]</f>
        <v>0</v>
      </c>
      <c r="AU62" s="224"/>
      <c r="AV62" s="423"/>
      <c r="AW62" s="423" t="e">
        <f ca="1">VLOOKUP(表格1_6[[#This Row],[TI tool ID2]],工作表1!A:A,1,FALSE)</f>
        <v>#N/A</v>
      </c>
      <c r="AX62" s="425" t="e">
        <f ca="1">VLOOKUP(表格1_6[[#This Row],[PO+ITEM]],工作表1!B:E,2,FALSE)</f>
        <v>#N/A</v>
      </c>
      <c r="AY62" s="425" t="e">
        <f ca="1">VLOOKUP(表格1_6[[#This Row],[PO+ITEM]],工作表1!B:E,3,FALSE)</f>
        <v>#N/A</v>
      </c>
      <c r="AZ62" s="423" t="e">
        <f ca="1">VLOOKUP(表格1_6[[#This Row],[PO+ITEM]],工作表1!B:E,4,FALSE)</f>
        <v>#N/A</v>
      </c>
      <c r="BA62" s="425" t="e">
        <f ca="1">INDEX(工作表1!G:G, MATCH(表格1_6[[#This Row],[invoice number]]&amp;表格1_6[[#This Row],[invoice number2]],工作表1!G:G, 0))</f>
        <v>#N/A</v>
      </c>
      <c r="BB62" s="423" t="e">
        <f ca="1">VLOOKUP(表格1_6[[#This Row],[PO+ITEM]],工作表1!F:H,2,FALSE)</f>
        <v>#N/A</v>
      </c>
    </row>
    <row r="63" spans="1:54" ht="14.45">
      <c r="A63" s="413">
        <v>62</v>
      </c>
      <c r="B63" s="413" t="s">
        <v>3659</v>
      </c>
      <c r="C63" s="414" t="s">
        <v>17</v>
      </c>
      <c r="D63" s="414" t="s">
        <v>3648</v>
      </c>
      <c r="E63" s="414"/>
      <c r="F63" s="414"/>
      <c r="G63" s="414"/>
      <c r="H63" s="414"/>
      <c r="I63" s="414"/>
      <c r="J63" s="414"/>
      <c r="K63" s="414"/>
      <c r="L63" s="415" t="s">
        <v>3860</v>
      </c>
      <c r="M63" s="416" t="s">
        <v>2999</v>
      </c>
      <c r="N63" s="416" t="s">
        <v>2999</v>
      </c>
      <c r="O63" s="417"/>
      <c r="P63" s="416">
        <v>4590007637</v>
      </c>
      <c r="Q63" s="418">
        <v>44855</v>
      </c>
      <c r="R63" s="419">
        <v>1</v>
      </c>
      <c r="S63" s="458">
        <v>282474</v>
      </c>
      <c r="T63" s="420" t="s">
        <v>2156</v>
      </c>
      <c r="U63" s="414" t="s">
        <v>3713</v>
      </c>
      <c r="V63" s="414" t="s">
        <v>3714</v>
      </c>
      <c r="W63" s="417" t="s">
        <v>3715</v>
      </c>
      <c r="X63" s="417"/>
      <c r="Y63" s="421" t="s">
        <v>3652</v>
      </c>
      <c r="Z63" s="421" t="s">
        <v>3652</v>
      </c>
      <c r="AA63" s="416" t="s">
        <v>3861</v>
      </c>
      <c r="AB63" s="414" t="s">
        <v>3716</v>
      </c>
      <c r="AC63" s="426"/>
      <c r="AD63" s="421"/>
      <c r="AE63" s="420"/>
      <c r="AF63" s="421">
        <v>91284</v>
      </c>
      <c r="AG63" s="420" t="s">
        <v>3862</v>
      </c>
      <c r="AH63" s="421" t="s">
        <v>3718</v>
      </c>
      <c r="AI63" s="420" t="s">
        <v>3719</v>
      </c>
      <c r="AJ63" s="413">
        <f t="shared" si="1"/>
        <v>4590007637</v>
      </c>
      <c r="AK63" s="423"/>
      <c r="AL63" s="413"/>
      <c r="AM63" s="221"/>
      <c r="AN63" s="424"/>
      <c r="AO63" s="423"/>
      <c r="AP63" s="413"/>
      <c r="AQ63" s="222"/>
      <c r="AR63" s="424"/>
      <c r="AS63" s="614">
        <f ca="1">表格1_6[[#This Row],[total amount]]/表格1_6[[#This Row],[PO$]]</f>
        <v>0</v>
      </c>
      <c r="AT63" s="223">
        <f ca="1">表格1_6[[#This Row],[invoice amount]]+表格1_6[[#This Row],[invoice amount2]]</f>
        <v>0</v>
      </c>
      <c r="AU63" s="224"/>
      <c r="AV63" s="423"/>
      <c r="AW63" s="423" t="e">
        <f ca="1">VLOOKUP(表格1_6[[#This Row],[TI tool ID2]],工作表1!A:A,1,FALSE)</f>
        <v>#N/A</v>
      </c>
      <c r="AX63" s="425" t="e">
        <f ca="1">VLOOKUP(表格1_6[[#This Row],[PO+ITEM]],工作表1!B:E,2,FALSE)</f>
        <v>#N/A</v>
      </c>
      <c r="AY63" s="425" t="e">
        <f ca="1">VLOOKUP(表格1_6[[#This Row],[PO+ITEM]],工作表1!B:E,3,FALSE)</f>
        <v>#N/A</v>
      </c>
      <c r="AZ63" s="423" t="e">
        <f ca="1">VLOOKUP(表格1_6[[#This Row],[PO+ITEM]],工作表1!B:E,4,FALSE)</f>
        <v>#N/A</v>
      </c>
      <c r="BA63" s="425" t="e">
        <f ca="1">INDEX(工作表1!G:G, MATCH(表格1_6[[#This Row],[invoice number]]&amp;表格1_6[[#This Row],[invoice number2]],工作表1!G:G, 0))</f>
        <v>#N/A</v>
      </c>
      <c r="BB63" s="423" t="e">
        <f ca="1">VLOOKUP(表格1_6[[#This Row],[PO+ITEM]],工作表1!F:H,2,FALSE)</f>
        <v>#N/A</v>
      </c>
    </row>
    <row r="64" spans="1:54" ht="14.45">
      <c r="A64" s="413">
        <v>63</v>
      </c>
      <c r="B64" s="413" t="s">
        <v>3659</v>
      </c>
      <c r="C64" s="414" t="s">
        <v>16</v>
      </c>
      <c r="D64" s="414" t="s">
        <v>3648</v>
      </c>
      <c r="E64" s="414"/>
      <c r="F64" s="414"/>
      <c r="G64" s="414"/>
      <c r="H64" s="414"/>
      <c r="I64" s="414"/>
      <c r="J64" s="414"/>
      <c r="K64" s="414"/>
      <c r="L64" s="415" t="s">
        <v>3863</v>
      </c>
      <c r="M64" s="416" t="s">
        <v>2999</v>
      </c>
      <c r="N64" s="416" t="s">
        <v>2999</v>
      </c>
      <c r="O64" s="417"/>
      <c r="P64" s="416">
        <v>4590007709</v>
      </c>
      <c r="Q64" s="418">
        <v>44861</v>
      </c>
      <c r="R64" s="419">
        <v>1</v>
      </c>
      <c r="S64" s="458">
        <v>14109.38</v>
      </c>
      <c r="T64" s="420" t="s">
        <v>2156</v>
      </c>
      <c r="U64" s="414" t="s">
        <v>3864</v>
      </c>
      <c r="V64" s="414" t="s">
        <v>3865</v>
      </c>
      <c r="W64" s="417" t="s">
        <v>3866</v>
      </c>
      <c r="X64" s="417"/>
      <c r="Y64" s="421" t="s">
        <v>3652</v>
      </c>
      <c r="Z64" s="421" t="s">
        <v>3652</v>
      </c>
      <c r="AA64" s="416" t="s">
        <v>3767</v>
      </c>
      <c r="AB64" s="414" t="s">
        <v>3664</v>
      </c>
      <c r="AC64" s="426"/>
      <c r="AD64" s="421"/>
      <c r="AE64" s="420"/>
      <c r="AF64" s="421">
        <v>91369</v>
      </c>
      <c r="AG64" s="420" t="s">
        <v>3867</v>
      </c>
      <c r="AH64" s="421" t="s">
        <v>3770</v>
      </c>
      <c r="AI64" s="420" t="s">
        <v>3719</v>
      </c>
      <c r="AJ64" s="413">
        <f t="shared" si="1"/>
        <v>4590007709</v>
      </c>
      <c r="AK64" s="423"/>
      <c r="AL64" s="413"/>
      <c r="AM64" s="221"/>
      <c r="AN64" s="424"/>
      <c r="AO64" s="423"/>
      <c r="AP64" s="413"/>
      <c r="AQ64" s="222"/>
      <c r="AR64" s="424"/>
      <c r="AS64" s="614">
        <f ca="1">表格1_6[[#This Row],[total amount]]/表格1_6[[#This Row],[PO$]]</f>
        <v>0</v>
      </c>
      <c r="AT64" s="223">
        <f ca="1">表格1_6[[#This Row],[invoice amount]]+表格1_6[[#This Row],[invoice amount2]]</f>
        <v>0</v>
      </c>
      <c r="AU64" s="224"/>
      <c r="AV64" s="423"/>
      <c r="AW64" s="423" t="e">
        <f ca="1">VLOOKUP(表格1_6[[#This Row],[TI tool ID2]],工作表1!A:A,1,FALSE)</f>
        <v>#N/A</v>
      </c>
      <c r="AX64" s="425" t="e">
        <f ca="1">VLOOKUP(表格1_6[[#This Row],[PO+ITEM]],工作表1!B:E,2,FALSE)</f>
        <v>#N/A</v>
      </c>
      <c r="AY64" s="425" t="e">
        <f ca="1">VLOOKUP(表格1_6[[#This Row],[PO+ITEM]],工作表1!B:E,3,FALSE)</f>
        <v>#N/A</v>
      </c>
      <c r="AZ64" s="423" t="e">
        <f ca="1">VLOOKUP(表格1_6[[#This Row],[PO+ITEM]],工作表1!B:E,4,FALSE)</f>
        <v>#N/A</v>
      </c>
      <c r="BA64" s="425" t="e">
        <f ca="1">INDEX(工作表1!G:G, MATCH(表格1_6[[#This Row],[invoice number]]&amp;表格1_6[[#This Row],[invoice number2]],工作表1!G:G, 0))</f>
        <v>#N/A</v>
      </c>
      <c r="BB64" s="423" t="e">
        <f ca="1">VLOOKUP(表格1_6[[#This Row],[PO+ITEM]],工作表1!F:H,2,FALSE)</f>
        <v>#N/A</v>
      </c>
    </row>
    <row r="65" spans="1:54" ht="15.6">
      <c r="A65" s="413">
        <v>64</v>
      </c>
      <c r="B65" s="413" t="s">
        <v>3674</v>
      </c>
      <c r="C65" s="414" t="s">
        <v>17</v>
      </c>
      <c r="D65" s="414" t="s">
        <v>3648</v>
      </c>
      <c r="E65" s="414"/>
      <c r="F65" s="414"/>
      <c r="G65" s="414"/>
      <c r="H65" s="414"/>
      <c r="I65" s="414"/>
      <c r="J65" s="414"/>
      <c r="K65" s="414"/>
      <c r="L65" s="415" t="s">
        <v>3868</v>
      </c>
      <c r="M65" s="416" t="s">
        <v>2999</v>
      </c>
      <c r="N65" s="416" t="s">
        <v>2999</v>
      </c>
      <c r="O65" s="417"/>
      <c r="P65" s="416">
        <v>4590007753</v>
      </c>
      <c r="Q65" s="418">
        <v>44861</v>
      </c>
      <c r="R65" s="419">
        <v>1</v>
      </c>
      <c r="S65" s="458">
        <v>1332938.24</v>
      </c>
      <c r="T65" s="420" t="s">
        <v>2156</v>
      </c>
      <c r="U65" s="414" t="s">
        <v>3869</v>
      </c>
      <c r="V65" s="414" t="s">
        <v>3870</v>
      </c>
      <c r="W65" s="417" t="s">
        <v>3871</v>
      </c>
      <c r="X65" s="417"/>
      <c r="Y65" s="421" t="s">
        <v>3652</v>
      </c>
      <c r="Z65" s="421" t="s">
        <v>3652</v>
      </c>
      <c r="AA65" s="416" t="s">
        <v>3872</v>
      </c>
      <c r="AB65" s="414" t="s">
        <v>3873</v>
      </c>
      <c r="AC65" s="426"/>
      <c r="AD65" s="421"/>
      <c r="AE65" s="420"/>
      <c r="AF65" s="421">
        <v>90875</v>
      </c>
      <c r="AG65" s="420" t="s">
        <v>3874</v>
      </c>
      <c r="AH65" s="421" t="s">
        <v>2250</v>
      </c>
      <c r="AI65" s="420" t="s">
        <v>3875</v>
      </c>
      <c r="AJ65" s="413">
        <f t="shared" si="1"/>
        <v>4590007753</v>
      </c>
      <c r="AK65" s="423"/>
      <c r="AL65" s="424">
        <v>45017</v>
      </c>
      <c r="AM65" s="221">
        <v>533175.29599999997</v>
      </c>
      <c r="AN65" s="244">
        <v>45245</v>
      </c>
      <c r="AO65" s="423"/>
      <c r="AP65" s="427">
        <v>45139</v>
      </c>
      <c r="AQ65" s="222">
        <v>799762.94</v>
      </c>
      <c r="AR65" s="244">
        <v>45366</v>
      </c>
      <c r="AS65" s="614">
        <f ca="1">表格1_6[[#This Row],[total amount]]/表格1_6[[#This Row],[PO$]]</f>
        <v>0.9999999969991108</v>
      </c>
      <c r="AT65" s="223">
        <f ca="1">表格1_6[[#This Row],[invoice amount]]+表格1_6[[#This Row],[invoice amount2]]</f>
        <v>1332938.236</v>
      </c>
      <c r="AU65" s="224" t="s">
        <v>3673</v>
      </c>
      <c r="AV65" s="245" t="s">
        <v>3876</v>
      </c>
      <c r="AW65" s="423" t="e">
        <f ca="1">VLOOKUP(表格1_6[[#This Row],[TI tool ID2]],工作表1!A:A,1,FALSE)</f>
        <v>#N/A</v>
      </c>
      <c r="AX65" s="425" t="e">
        <f ca="1">VLOOKUP(表格1_6[[#This Row],[PO+ITEM]],工作表1!B:E,2,FALSE)</f>
        <v>#N/A</v>
      </c>
      <c r="AY65" s="425" t="e">
        <f ca="1">VLOOKUP(表格1_6[[#This Row],[PO+ITEM]],工作表1!B:E,3,FALSE)</f>
        <v>#N/A</v>
      </c>
      <c r="AZ65" s="423" t="e">
        <f ca="1">VLOOKUP(表格1_6[[#This Row],[PO+ITEM]],工作表1!B:E,4,FALSE)</f>
        <v>#N/A</v>
      </c>
      <c r="BA65" s="425" t="e">
        <f ca="1">INDEX(工作表1!G:G, MATCH(表格1_6[[#This Row],[invoice number]]&amp;表格1_6[[#This Row],[invoice number2]],工作表1!G:G, 0))</f>
        <v>#N/A</v>
      </c>
      <c r="BB65" s="423" t="e">
        <f ca="1">VLOOKUP(表格1_6[[#This Row],[PO+ITEM]],工作表1!F:H,2,FALSE)</f>
        <v>#N/A</v>
      </c>
    </row>
    <row r="66" spans="1:54" ht="15.6">
      <c r="A66" s="413">
        <v>65</v>
      </c>
      <c r="B66" s="413" t="s">
        <v>3674</v>
      </c>
      <c r="C66" s="414" t="s">
        <v>17</v>
      </c>
      <c r="D66" s="414" t="s">
        <v>3648</v>
      </c>
      <c r="E66" s="414"/>
      <c r="F66" s="414"/>
      <c r="G66" s="414"/>
      <c r="H66" s="414"/>
      <c r="I66" s="414"/>
      <c r="J66" s="414"/>
      <c r="K66" s="414"/>
      <c r="L66" s="415" t="s">
        <v>3877</v>
      </c>
      <c r="M66" s="416" t="s">
        <v>2999</v>
      </c>
      <c r="N66" s="416" t="s">
        <v>2999</v>
      </c>
      <c r="O66" s="417"/>
      <c r="P66" s="416">
        <v>4590007754</v>
      </c>
      <c r="Q66" s="418">
        <v>44861</v>
      </c>
      <c r="R66" s="419">
        <v>1</v>
      </c>
      <c r="S66" s="458">
        <v>1332938.24</v>
      </c>
      <c r="T66" s="420" t="s">
        <v>2156</v>
      </c>
      <c r="U66" s="414" t="s">
        <v>3869</v>
      </c>
      <c r="V66" s="414" t="s">
        <v>3870</v>
      </c>
      <c r="W66" s="417" t="s">
        <v>3871</v>
      </c>
      <c r="X66" s="417"/>
      <c r="Y66" s="421" t="s">
        <v>3652</v>
      </c>
      <c r="Z66" s="421" t="s">
        <v>3652</v>
      </c>
      <c r="AA66" s="416" t="s">
        <v>3872</v>
      </c>
      <c r="AB66" s="414" t="s">
        <v>3873</v>
      </c>
      <c r="AC66" s="426"/>
      <c r="AD66" s="421"/>
      <c r="AE66" s="420"/>
      <c r="AF66" s="421">
        <v>90876</v>
      </c>
      <c r="AG66" s="420" t="s">
        <v>3878</v>
      </c>
      <c r="AH66" s="421" t="s">
        <v>2250</v>
      </c>
      <c r="AI66" s="420" t="s">
        <v>3875</v>
      </c>
      <c r="AJ66" s="413">
        <f t="shared" ref="AJ66:AJ97" si="2">P66</f>
        <v>4590007754</v>
      </c>
      <c r="AK66" s="423"/>
      <c r="AL66" s="424">
        <v>45108</v>
      </c>
      <c r="AM66" s="221">
        <v>533175.29599999997</v>
      </c>
      <c r="AN66" s="244">
        <v>45229</v>
      </c>
      <c r="AO66" s="423" t="s">
        <v>3879</v>
      </c>
      <c r="AP66" s="424">
        <v>45412</v>
      </c>
      <c r="AQ66" s="222">
        <v>799762.94</v>
      </c>
      <c r="AR66" s="424">
        <v>45471</v>
      </c>
      <c r="AS66" s="614">
        <f ca="1">表格1_6[[#This Row],[total amount]]/表格1_6[[#This Row],[PO$]]</f>
        <v>0.9999999969991108</v>
      </c>
      <c r="AT66" s="223">
        <f ca="1">表格1_6[[#This Row],[invoice amount]]+表格1_6[[#This Row],[invoice amount2]]</f>
        <v>1332938.236</v>
      </c>
      <c r="AU66" s="224" t="s">
        <v>3673</v>
      </c>
      <c r="AV66" s="423"/>
      <c r="AW66" s="423" t="e">
        <f ca="1">VLOOKUP(表格1_6[[#This Row],[TI tool ID2]],工作表1!A:A,1,FALSE)</f>
        <v>#N/A</v>
      </c>
      <c r="AX66" s="425" t="e">
        <f ca="1">VLOOKUP(表格1_6[[#This Row],[PO+ITEM]],工作表1!B:E,2,FALSE)</f>
        <v>#N/A</v>
      </c>
      <c r="AY66" s="425" t="e">
        <f ca="1">VLOOKUP(表格1_6[[#This Row],[PO+ITEM]],工作表1!B:E,3,FALSE)</f>
        <v>#N/A</v>
      </c>
      <c r="AZ66" s="423" t="e">
        <f ca="1">VLOOKUP(表格1_6[[#This Row],[PO+ITEM]],工作表1!B:E,4,FALSE)</f>
        <v>#N/A</v>
      </c>
      <c r="BA66" s="425" t="e">
        <f ca="1">INDEX(工作表1!G:G, MATCH(表格1_6[[#This Row],[invoice number]]&amp;表格1_6[[#This Row],[invoice number2]],工作表1!G:G, 0))</f>
        <v>#N/A</v>
      </c>
      <c r="BB66" s="423" t="e">
        <f ca="1">VLOOKUP(表格1_6[[#This Row],[PO+ITEM]],工作表1!F:H,2,FALSE)</f>
        <v>#N/A</v>
      </c>
    </row>
    <row r="67" spans="1:54" ht="15.6">
      <c r="A67" s="413">
        <v>66</v>
      </c>
      <c r="B67" s="413" t="s">
        <v>3674</v>
      </c>
      <c r="C67" s="414" t="s">
        <v>17</v>
      </c>
      <c r="D67" s="414" t="s">
        <v>3648</v>
      </c>
      <c r="E67" s="414"/>
      <c r="F67" s="414"/>
      <c r="G67" s="414"/>
      <c r="H67" s="414"/>
      <c r="I67" s="414"/>
      <c r="J67" s="414"/>
      <c r="K67" s="414"/>
      <c r="L67" s="415" t="s">
        <v>3880</v>
      </c>
      <c r="M67" s="416" t="s">
        <v>2999</v>
      </c>
      <c r="N67" s="416" t="s">
        <v>2999</v>
      </c>
      <c r="O67" s="417"/>
      <c r="P67" s="416">
        <v>4590007755</v>
      </c>
      <c r="Q67" s="418">
        <v>44861</v>
      </c>
      <c r="R67" s="419">
        <v>1</v>
      </c>
      <c r="S67" s="458">
        <v>1332938.24</v>
      </c>
      <c r="T67" s="420" t="s">
        <v>2156</v>
      </c>
      <c r="U67" s="414" t="s">
        <v>3869</v>
      </c>
      <c r="V67" s="414" t="s">
        <v>3870</v>
      </c>
      <c r="W67" s="417" t="s">
        <v>3871</v>
      </c>
      <c r="X67" s="417"/>
      <c r="Y67" s="421" t="s">
        <v>3652</v>
      </c>
      <c r="Z67" s="421" t="s">
        <v>3652</v>
      </c>
      <c r="AA67" s="416" t="s">
        <v>3872</v>
      </c>
      <c r="AB67" s="414" t="s">
        <v>3873</v>
      </c>
      <c r="AC67" s="426"/>
      <c r="AD67" s="421"/>
      <c r="AE67" s="420"/>
      <c r="AF67" s="421">
        <v>90877</v>
      </c>
      <c r="AG67" s="420" t="s">
        <v>3881</v>
      </c>
      <c r="AH67" s="421" t="s">
        <v>2250</v>
      </c>
      <c r="AI67" s="420" t="s">
        <v>3875</v>
      </c>
      <c r="AJ67" s="413">
        <f t="shared" si="2"/>
        <v>4590007755</v>
      </c>
      <c r="AK67" s="423"/>
      <c r="AL67" s="424">
        <v>45108</v>
      </c>
      <c r="AM67" s="221">
        <v>533175.29599999997</v>
      </c>
      <c r="AN67" s="244">
        <v>45229</v>
      </c>
      <c r="AO67" s="423" t="s">
        <v>3882</v>
      </c>
      <c r="AP67" s="424">
        <v>45506</v>
      </c>
      <c r="AQ67" s="222">
        <v>799762.94</v>
      </c>
      <c r="AR67" s="424">
        <v>45548</v>
      </c>
      <c r="AS67" s="614">
        <f ca="1">表格1_6[[#This Row],[total amount]]/表格1_6[[#This Row],[PO$]]</f>
        <v>0.9999999969991108</v>
      </c>
      <c r="AT67" s="223">
        <f ca="1">表格1_6[[#This Row],[invoice amount]]+表格1_6[[#This Row],[invoice amount2]]</f>
        <v>1332938.236</v>
      </c>
      <c r="AU67" s="224" t="s">
        <v>3725</v>
      </c>
      <c r="AV67" s="423"/>
      <c r="AW67" s="423" t="e">
        <f ca="1">VLOOKUP(表格1_6[[#This Row],[TI tool ID2]],工作表1!A:A,1,FALSE)</f>
        <v>#N/A</v>
      </c>
      <c r="AX67" s="425" t="e">
        <f ca="1">VLOOKUP(表格1_6[[#This Row],[PO+ITEM]],工作表1!B:E,2,FALSE)</f>
        <v>#N/A</v>
      </c>
      <c r="AY67" s="425" t="e">
        <f ca="1">VLOOKUP(表格1_6[[#This Row],[PO+ITEM]],工作表1!B:E,3,FALSE)</f>
        <v>#N/A</v>
      </c>
      <c r="AZ67" s="423" t="e">
        <f ca="1">VLOOKUP(表格1_6[[#This Row],[PO+ITEM]],工作表1!B:E,4,FALSE)</f>
        <v>#N/A</v>
      </c>
      <c r="BA67" s="425" t="e">
        <f ca="1">INDEX(工作表1!G:G, MATCH(表格1_6[[#This Row],[invoice number]]&amp;表格1_6[[#This Row],[invoice number2]],工作表1!G:G, 0))</f>
        <v>#N/A</v>
      </c>
      <c r="BB67" s="423" t="e">
        <f ca="1">VLOOKUP(表格1_6[[#This Row],[PO+ITEM]],工作表1!F:H,2,FALSE)</f>
        <v>#N/A</v>
      </c>
    </row>
    <row r="68" spans="1:54">
      <c r="A68" s="413">
        <v>67</v>
      </c>
      <c r="B68" s="413" t="s">
        <v>3674</v>
      </c>
      <c r="C68" s="414" t="s">
        <v>17</v>
      </c>
      <c r="D68" s="414" t="s">
        <v>3648</v>
      </c>
      <c r="E68" s="414"/>
      <c r="F68" s="414"/>
      <c r="G68" s="414"/>
      <c r="H68" s="414"/>
      <c r="I68" s="414"/>
      <c r="J68" s="414"/>
      <c r="K68" s="414"/>
      <c r="L68" s="415" t="s">
        <v>3883</v>
      </c>
      <c r="M68" s="416" t="s">
        <v>2999</v>
      </c>
      <c r="N68" s="416" t="s">
        <v>2999</v>
      </c>
      <c r="O68" s="417"/>
      <c r="P68" s="416">
        <v>4590007756</v>
      </c>
      <c r="Q68" s="418">
        <v>44861</v>
      </c>
      <c r="R68" s="419">
        <v>1</v>
      </c>
      <c r="S68" s="458">
        <v>1332938.24</v>
      </c>
      <c r="T68" s="420" t="s">
        <v>2156</v>
      </c>
      <c r="U68" s="414" t="s">
        <v>3869</v>
      </c>
      <c r="V68" s="414" t="s">
        <v>3870</v>
      </c>
      <c r="W68" s="417" t="s">
        <v>3871</v>
      </c>
      <c r="X68" s="417"/>
      <c r="Y68" s="421" t="s">
        <v>3652</v>
      </c>
      <c r="Z68" s="421" t="s">
        <v>3652</v>
      </c>
      <c r="AA68" s="416" t="s">
        <v>3884</v>
      </c>
      <c r="AB68" s="414" t="s">
        <v>3873</v>
      </c>
      <c r="AC68" s="426"/>
      <c r="AD68" s="421"/>
      <c r="AE68" s="420"/>
      <c r="AF68" s="421">
        <v>91016</v>
      </c>
      <c r="AG68" s="420" t="s">
        <v>3885</v>
      </c>
      <c r="AH68" s="421" t="s">
        <v>2250</v>
      </c>
      <c r="AI68" s="420" t="s">
        <v>3875</v>
      </c>
      <c r="AJ68" s="413">
        <f t="shared" si="2"/>
        <v>4590007756</v>
      </c>
      <c r="AK68" s="425" t="s">
        <v>3886</v>
      </c>
      <c r="AL68" s="424">
        <v>45562</v>
      </c>
      <c r="AM68" s="221">
        <v>1332938.24</v>
      </c>
      <c r="AN68" s="424"/>
      <c r="AO68" s="423"/>
      <c r="AP68" s="413"/>
      <c r="AQ68" s="222"/>
      <c r="AR68" s="424"/>
      <c r="AS68" s="614">
        <f ca="1">表格1_6[[#This Row],[total amount]]/表格1_6[[#This Row],[PO$]]</f>
        <v>1</v>
      </c>
      <c r="AT68" s="223">
        <f ca="1">表格1_6[[#This Row],[invoice amount]]+表格1_6[[#This Row],[invoice amount2]]</f>
        <v>1332938.24</v>
      </c>
      <c r="AU68" s="224" t="s">
        <v>3752</v>
      </c>
      <c r="AV68" s="423"/>
      <c r="AW68" s="423" t="e">
        <f ca="1">VLOOKUP(表格1_6[[#This Row],[TI tool ID2]],工作表1!A:A,1,FALSE)</f>
        <v>#N/A</v>
      </c>
      <c r="AX68" s="425" t="str">
        <f ca="1">VLOOKUP(表格1_6[[#This Row],[PO+ITEM]],工作表1!B:E,2,FALSE)</f>
        <v>MICUINT202409057</v>
      </c>
      <c r="AY68" s="425">
        <f ca="1">VLOOKUP(表格1_6[[#This Row],[PO+ITEM]],工作表1!B:E,3,FALSE)</f>
        <v>45562</v>
      </c>
      <c r="AZ68" s="423" t="e">
        <f ca="1">VLOOKUP(表格1_6[[#This Row],[PO+ITEM]],工作表1!B:E,4,FALSE)</f>
        <v>#REF!</v>
      </c>
      <c r="BA68" s="425" t="e">
        <f ca="1">INDEX(工作表1!G:G, MATCH(表格1_6[[#This Row],[invoice number]]&amp;表格1_6[[#This Row],[invoice number2]],工作表1!G:G, 0))</f>
        <v>#N/A</v>
      </c>
      <c r="BB68" s="423" t="e">
        <f ca="1">VLOOKUP(表格1_6[[#This Row],[PO+ITEM]],工作表1!F:H,2,FALSE)</f>
        <v>#N/A</v>
      </c>
    </row>
    <row r="69" spans="1:54" ht="14.45">
      <c r="A69" s="413">
        <v>68</v>
      </c>
      <c r="B69" s="413" t="s">
        <v>3674</v>
      </c>
      <c r="C69" s="414" t="s">
        <v>17</v>
      </c>
      <c r="D69" s="414" t="s">
        <v>3648</v>
      </c>
      <c r="E69" s="414"/>
      <c r="F69" s="414"/>
      <c r="G69" s="414"/>
      <c r="H69" s="414"/>
      <c r="I69" s="414"/>
      <c r="J69" s="414"/>
      <c r="K69" s="414"/>
      <c r="L69" s="415" t="s">
        <v>3887</v>
      </c>
      <c r="M69" s="416" t="s">
        <v>2999</v>
      </c>
      <c r="N69" s="416" t="s">
        <v>2999</v>
      </c>
      <c r="O69" s="417"/>
      <c r="P69" s="416">
        <v>4590007757</v>
      </c>
      <c r="Q69" s="418">
        <v>44861</v>
      </c>
      <c r="R69" s="419">
        <v>1</v>
      </c>
      <c r="S69" s="458">
        <v>1332938.24</v>
      </c>
      <c r="T69" s="420" t="s">
        <v>2156</v>
      </c>
      <c r="U69" s="414" t="s">
        <v>3869</v>
      </c>
      <c r="V69" s="414" t="s">
        <v>3870</v>
      </c>
      <c r="W69" s="417" t="s">
        <v>3871</v>
      </c>
      <c r="X69" s="417"/>
      <c r="Y69" s="421" t="s">
        <v>3652</v>
      </c>
      <c r="Z69" s="421" t="s">
        <v>3652</v>
      </c>
      <c r="AA69" s="416" t="s">
        <v>3872</v>
      </c>
      <c r="AB69" s="414" t="s">
        <v>3873</v>
      </c>
      <c r="AC69" s="426"/>
      <c r="AD69" s="421"/>
      <c r="AE69" s="420"/>
      <c r="AF69" s="421">
        <v>73845</v>
      </c>
      <c r="AG69" s="420" t="s">
        <v>3888</v>
      </c>
      <c r="AH69" s="421" t="s">
        <v>2250</v>
      </c>
      <c r="AI69" s="420" t="s">
        <v>3875</v>
      </c>
      <c r="AJ69" s="413">
        <f t="shared" si="2"/>
        <v>4590007757</v>
      </c>
      <c r="AK69" s="423" t="s">
        <v>3889</v>
      </c>
      <c r="AL69" s="424">
        <v>45401</v>
      </c>
      <c r="AM69" s="221">
        <v>1332938.24</v>
      </c>
      <c r="AN69" s="424">
        <v>45471</v>
      </c>
      <c r="AO69" s="423"/>
      <c r="AP69" s="413"/>
      <c r="AQ69" s="222"/>
      <c r="AR69" s="424"/>
      <c r="AS69" s="614">
        <f ca="1">表格1_6[[#This Row],[total amount]]/表格1_6[[#This Row],[PO$]]</f>
        <v>1</v>
      </c>
      <c r="AT69" s="223">
        <f ca="1">表格1_6[[#This Row],[invoice amount]]+表格1_6[[#This Row],[invoice amount2]]</f>
        <v>1332938.24</v>
      </c>
      <c r="AU69" s="224" t="s">
        <v>3673</v>
      </c>
      <c r="AV69" s="245" t="s">
        <v>3890</v>
      </c>
      <c r="AW69" s="423" t="e">
        <f ca="1">VLOOKUP(表格1_6[[#This Row],[TI tool ID2]],工作表1!A:A,1,FALSE)</f>
        <v>#N/A</v>
      </c>
      <c r="AX69" s="425" t="e">
        <f ca="1">VLOOKUP(表格1_6[[#This Row],[PO+ITEM]],工作表1!B:E,2,FALSE)</f>
        <v>#N/A</v>
      </c>
      <c r="AY69" s="425" t="e">
        <f ca="1">VLOOKUP(表格1_6[[#This Row],[PO+ITEM]],工作表1!B:E,3,FALSE)</f>
        <v>#N/A</v>
      </c>
      <c r="AZ69" s="423" t="e">
        <f ca="1">VLOOKUP(表格1_6[[#This Row],[PO+ITEM]],工作表1!B:E,4,FALSE)</f>
        <v>#N/A</v>
      </c>
      <c r="BA69" s="425" t="e">
        <f ca="1">INDEX(工作表1!G:G, MATCH(表格1_6[[#This Row],[invoice number]]&amp;表格1_6[[#This Row],[invoice number2]],工作表1!G:G, 0))</f>
        <v>#N/A</v>
      </c>
      <c r="BB69" s="423" t="e">
        <f ca="1">VLOOKUP(表格1_6[[#This Row],[PO+ITEM]],工作表1!F:H,2,FALSE)</f>
        <v>#N/A</v>
      </c>
    </row>
    <row r="70" spans="1:54" ht="14.45">
      <c r="A70" s="413">
        <v>69</v>
      </c>
      <c r="B70" s="413" t="s">
        <v>3674</v>
      </c>
      <c r="C70" s="414" t="s">
        <v>17</v>
      </c>
      <c r="D70" s="414" t="s">
        <v>3648</v>
      </c>
      <c r="E70" s="414"/>
      <c r="F70" s="414"/>
      <c r="G70" s="414"/>
      <c r="H70" s="414"/>
      <c r="I70" s="414"/>
      <c r="J70" s="414"/>
      <c r="K70" s="414"/>
      <c r="L70" s="415" t="s">
        <v>3891</v>
      </c>
      <c r="M70" s="416" t="s">
        <v>2999</v>
      </c>
      <c r="N70" s="416" t="s">
        <v>2999</v>
      </c>
      <c r="O70" s="417"/>
      <c r="P70" s="416">
        <v>4590007758</v>
      </c>
      <c r="Q70" s="418">
        <v>44861</v>
      </c>
      <c r="R70" s="419">
        <v>1</v>
      </c>
      <c r="S70" s="458">
        <v>1332938.24</v>
      </c>
      <c r="T70" s="420" t="s">
        <v>2156</v>
      </c>
      <c r="U70" s="414" t="s">
        <v>3869</v>
      </c>
      <c r="V70" s="414" t="s">
        <v>3870</v>
      </c>
      <c r="W70" s="417" t="s">
        <v>3871</v>
      </c>
      <c r="X70" s="417"/>
      <c r="Y70" s="421" t="s">
        <v>3652</v>
      </c>
      <c r="Z70" s="421" t="s">
        <v>3652</v>
      </c>
      <c r="AA70" s="416" t="s">
        <v>3872</v>
      </c>
      <c r="AB70" s="414" t="s">
        <v>3873</v>
      </c>
      <c r="AC70" s="426"/>
      <c r="AD70" s="421"/>
      <c r="AE70" s="420"/>
      <c r="AF70" s="421">
        <v>73848</v>
      </c>
      <c r="AG70" s="420" t="s">
        <v>3892</v>
      </c>
      <c r="AH70" s="421" t="s">
        <v>2250</v>
      </c>
      <c r="AI70" s="420" t="s">
        <v>3875</v>
      </c>
      <c r="AJ70" s="413">
        <f t="shared" si="2"/>
        <v>4590007758</v>
      </c>
      <c r="AK70" s="423" t="s">
        <v>3893</v>
      </c>
      <c r="AL70" s="424">
        <v>45401</v>
      </c>
      <c r="AM70" s="221">
        <v>1332938.24</v>
      </c>
      <c r="AN70" s="424">
        <v>45471</v>
      </c>
      <c r="AO70" s="423"/>
      <c r="AP70" s="413"/>
      <c r="AQ70" s="222"/>
      <c r="AR70" s="424"/>
      <c r="AS70" s="614">
        <f ca="1">表格1_6[[#This Row],[total amount]]/表格1_6[[#This Row],[PO$]]</f>
        <v>1</v>
      </c>
      <c r="AT70" s="223">
        <f ca="1">表格1_6[[#This Row],[invoice amount]]+表格1_6[[#This Row],[invoice amount2]]</f>
        <v>1332938.24</v>
      </c>
      <c r="AU70" s="224" t="s">
        <v>3673</v>
      </c>
      <c r="AV70" s="423"/>
      <c r="AW70" s="423" t="e">
        <f ca="1">VLOOKUP(表格1_6[[#This Row],[TI tool ID2]],工作表1!A:A,1,FALSE)</f>
        <v>#N/A</v>
      </c>
      <c r="AX70" s="425" t="e">
        <f ca="1">VLOOKUP(表格1_6[[#This Row],[PO+ITEM]],工作表1!B:E,2,FALSE)</f>
        <v>#N/A</v>
      </c>
      <c r="AY70" s="425" t="e">
        <f ca="1">VLOOKUP(表格1_6[[#This Row],[PO+ITEM]],工作表1!B:E,3,FALSE)</f>
        <v>#N/A</v>
      </c>
      <c r="AZ70" s="423" t="e">
        <f ca="1">VLOOKUP(表格1_6[[#This Row],[PO+ITEM]],工作表1!B:E,4,FALSE)</f>
        <v>#N/A</v>
      </c>
      <c r="BA70" s="425" t="e">
        <f ca="1">INDEX(工作表1!G:G, MATCH(表格1_6[[#This Row],[invoice number]]&amp;表格1_6[[#This Row],[invoice number2]],工作表1!G:G, 0))</f>
        <v>#N/A</v>
      </c>
      <c r="BB70" s="423" t="e">
        <f ca="1">VLOOKUP(表格1_6[[#This Row],[PO+ITEM]],工作表1!F:H,2,FALSE)</f>
        <v>#N/A</v>
      </c>
    </row>
    <row r="71" spans="1:54">
      <c r="A71" s="413">
        <v>70</v>
      </c>
      <c r="B71" s="413" t="s">
        <v>3674</v>
      </c>
      <c r="C71" s="414" t="s">
        <v>17</v>
      </c>
      <c r="D71" s="414" t="s">
        <v>3648</v>
      </c>
      <c r="E71" s="414"/>
      <c r="F71" s="414"/>
      <c r="G71" s="414"/>
      <c r="H71" s="414"/>
      <c r="I71" s="414"/>
      <c r="J71" s="414"/>
      <c r="K71" s="414"/>
      <c r="L71" s="415" t="s">
        <v>3894</v>
      </c>
      <c r="M71" s="416" t="s">
        <v>2999</v>
      </c>
      <c r="N71" s="416" t="s">
        <v>2999</v>
      </c>
      <c r="O71" s="417"/>
      <c r="P71" s="416">
        <v>4590007759</v>
      </c>
      <c r="Q71" s="418">
        <v>44861</v>
      </c>
      <c r="R71" s="419">
        <v>1</v>
      </c>
      <c r="S71" s="458">
        <v>1332938.24</v>
      </c>
      <c r="T71" s="420" t="s">
        <v>2156</v>
      </c>
      <c r="U71" s="414" t="s">
        <v>3869</v>
      </c>
      <c r="V71" s="414" t="s">
        <v>3870</v>
      </c>
      <c r="W71" s="417" t="s">
        <v>3871</v>
      </c>
      <c r="X71" s="417"/>
      <c r="Y71" s="421" t="s">
        <v>3652</v>
      </c>
      <c r="Z71" s="421" t="s">
        <v>3652</v>
      </c>
      <c r="AA71" s="416" t="s">
        <v>3884</v>
      </c>
      <c r="AB71" s="414" t="s">
        <v>3873</v>
      </c>
      <c r="AC71" s="426"/>
      <c r="AD71" s="421"/>
      <c r="AE71" s="420"/>
      <c r="AF71" s="421">
        <v>91017</v>
      </c>
      <c r="AG71" s="420" t="s">
        <v>3895</v>
      </c>
      <c r="AH71" s="421" t="s">
        <v>2250</v>
      </c>
      <c r="AI71" s="420" t="s">
        <v>3875</v>
      </c>
      <c r="AJ71" s="413">
        <f t="shared" si="2"/>
        <v>4590007759</v>
      </c>
      <c r="AK71" s="423"/>
      <c r="AL71" s="413"/>
      <c r="AM71" s="221"/>
      <c r="AN71" s="424"/>
      <c r="AO71" s="423"/>
      <c r="AP71" s="413"/>
      <c r="AQ71" s="222"/>
      <c r="AR71" s="424"/>
      <c r="AS71" s="614">
        <f ca="1">表格1_6[[#This Row],[total amount]]/表格1_6[[#This Row],[PO$]]</f>
        <v>0</v>
      </c>
      <c r="AT71" s="223">
        <f ca="1">表格1_6[[#This Row],[invoice amount]]+表格1_6[[#This Row],[invoice amount2]]</f>
        <v>0</v>
      </c>
      <c r="AU71" s="224"/>
      <c r="AV71" s="423"/>
      <c r="AW71" s="423" t="e">
        <f ca="1">VLOOKUP(表格1_6[[#This Row],[TI tool ID2]],工作表1!A:A,1,FALSE)</f>
        <v>#N/A</v>
      </c>
      <c r="AX71" s="425" t="e">
        <f ca="1">VLOOKUP(表格1_6[[#This Row],[PO+ITEM]],工作表1!B:E,2,FALSE)</f>
        <v>#N/A</v>
      </c>
      <c r="AY71" s="425" t="e">
        <f ca="1">VLOOKUP(表格1_6[[#This Row],[PO+ITEM]],工作表1!B:E,3,FALSE)</f>
        <v>#N/A</v>
      </c>
      <c r="AZ71" s="423" t="e">
        <f ca="1">VLOOKUP(表格1_6[[#This Row],[PO+ITEM]],工作表1!B:E,4,FALSE)</f>
        <v>#N/A</v>
      </c>
      <c r="BA71" s="425" t="e">
        <f ca="1">INDEX(工作表1!G:G, MATCH(表格1_6[[#This Row],[invoice number]]&amp;表格1_6[[#This Row],[invoice number2]],工作表1!G:G, 0))</f>
        <v>#N/A</v>
      </c>
      <c r="BB71" s="423" t="e">
        <f ca="1">VLOOKUP(表格1_6[[#This Row],[PO+ITEM]],工作表1!F:H,2,FALSE)</f>
        <v>#N/A</v>
      </c>
    </row>
    <row r="72" spans="1:54" ht="15.6">
      <c r="A72" s="413">
        <v>71</v>
      </c>
      <c r="B72" s="413" t="s">
        <v>3659</v>
      </c>
      <c r="C72" s="414" t="s">
        <v>17</v>
      </c>
      <c r="D72" s="414" t="s">
        <v>3648</v>
      </c>
      <c r="E72" s="414"/>
      <c r="F72" s="414"/>
      <c r="G72" s="414"/>
      <c r="H72" s="414"/>
      <c r="I72" s="414"/>
      <c r="J72" s="414"/>
      <c r="K72" s="414"/>
      <c r="L72" s="415" t="s">
        <v>3896</v>
      </c>
      <c r="M72" s="416" t="s">
        <v>2999</v>
      </c>
      <c r="N72" s="416" t="s">
        <v>2999</v>
      </c>
      <c r="O72" s="417"/>
      <c r="P72" s="416">
        <v>4590007760</v>
      </c>
      <c r="Q72" s="418">
        <v>44861</v>
      </c>
      <c r="R72" s="419">
        <v>1</v>
      </c>
      <c r="S72" s="458">
        <v>650175</v>
      </c>
      <c r="T72" s="420" t="s">
        <v>2156</v>
      </c>
      <c r="U72" s="414" t="s">
        <v>3869</v>
      </c>
      <c r="V72" s="414" t="s">
        <v>3870</v>
      </c>
      <c r="W72" s="417" t="s">
        <v>3871</v>
      </c>
      <c r="X72" s="417"/>
      <c r="Y72" s="421" t="s">
        <v>3652</v>
      </c>
      <c r="Z72" s="421" t="s">
        <v>3652</v>
      </c>
      <c r="AA72" s="416" t="s">
        <v>3897</v>
      </c>
      <c r="AB72" s="414" t="s">
        <v>3898</v>
      </c>
      <c r="AC72" s="426"/>
      <c r="AD72" s="421"/>
      <c r="AE72" s="420"/>
      <c r="AF72" s="421">
        <v>90880</v>
      </c>
      <c r="AG72" s="420" t="s">
        <v>3899</v>
      </c>
      <c r="AH72" s="421" t="s">
        <v>3900</v>
      </c>
      <c r="AI72" s="420" t="s">
        <v>3875</v>
      </c>
      <c r="AJ72" s="413">
        <f t="shared" si="2"/>
        <v>4590007760</v>
      </c>
      <c r="AK72" s="423"/>
      <c r="AL72" s="424">
        <v>45017</v>
      </c>
      <c r="AM72" s="221">
        <v>260070</v>
      </c>
      <c r="AN72" s="226">
        <v>45168</v>
      </c>
      <c r="AO72" s="423"/>
      <c r="AP72" s="413"/>
      <c r="AQ72" s="222"/>
      <c r="AR72" s="424"/>
      <c r="AS72" s="614">
        <f ca="1">表格1_6[[#This Row],[total amount]]/表格1_6[[#This Row],[PO$]]</f>
        <v>0.4</v>
      </c>
      <c r="AT72" s="223">
        <f ca="1">表格1_6[[#This Row],[invoice amount]]+表格1_6[[#This Row],[invoice amount2]]</f>
        <v>260070</v>
      </c>
      <c r="AU72" s="224" t="s">
        <v>3673</v>
      </c>
      <c r="AV72" s="343"/>
      <c r="AW72" s="423" t="e">
        <f ca="1">VLOOKUP(表格1_6[[#This Row],[TI tool ID2]],工作表1!A:A,1,FALSE)</f>
        <v>#N/A</v>
      </c>
      <c r="AX72" s="425" t="e">
        <f ca="1">VLOOKUP(表格1_6[[#This Row],[PO+ITEM]],工作表1!B:E,2,FALSE)</f>
        <v>#N/A</v>
      </c>
      <c r="AY72" s="425" t="e">
        <f ca="1">VLOOKUP(表格1_6[[#This Row],[PO+ITEM]],工作表1!B:E,3,FALSE)</f>
        <v>#N/A</v>
      </c>
      <c r="AZ72" s="423" t="e">
        <f ca="1">VLOOKUP(表格1_6[[#This Row],[PO+ITEM]],工作表1!B:E,4,FALSE)</f>
        <v>#N/A</v>
      </c>
      <c r="BA72" s="425" t="e">
        <f ca="1">INDEX(工作表1!G:G, MATCH(表格1_6[[#This Row],[invoice number]]&amp;表格1_6[[#This Row],[invoice number2]],工作表1!G:G, 0))</f>
        <v>#N/A</v>
      </c>
      <c r="BB72" s="423" t="e">
        <f ca="1">VLOOKUP(表格1_6[[#This Row],[PO+ITEM]],工作表1!F:H,2,FALSE)</f>
        <v>#N/A</v>
      </c>
    </row>
    <row r="73" spans="1:54" ht="15.6">
      <c r="A73" s="413">
        <v>72</v>
      </c>
      <c r="B73" s="413" t="s">
        <v>3674</v>
      </c>
      <c r="C73" s="414" t="s">
        <v>17</v>
      </c>
      <c r="D73" s="414" t="s">
        <v>3648</v>
      </c>
      <c r="E73" s="414"/>
      <c r="F73" s="414"/>
      <c r="G73" s="414"/>
      <c r="H73" s="414"/>
      <c r="I73" s="414"/>
      <c r="J73" s="414"/>
      <c r="K73" s="414"/>
      <c r="L73" s="415" t="s">
        <v>3901</v>
      </c>
      <c r="M73" s="416" t="s">
        <v>2999</v>
      </c>
      <c r="N73" s="416" t="s">
        <v>2999</v>
      </c>
      <c r="O73" s="417"/>
      <c r="P73" s="416">
        <v>4590007761</v>
      </c>
      <c r="Q73" s="418">
        <v>44861</v>
      </c>
      <c r="R73" s="419">
        <v>1</v>
      </c>
      <c r="S73" s="458">
        <v>466802</v>
      </c>
      <c r="T73" s="420" t="s">
        <v>2156</v>
      </c>
      <c r="U73" s="414" t="s">
        <v>3869</v>
      </c>
      <c r="V73" s="414" t="s">
        <v>3870</v>
      </c>
      <c r="W73" s="417" t="s">
        <v>3871</v>
      </c>
      <c r="X73" s="417"/>
      <c r="Y73" s="421" t="s">
        <v>3652</v>
      </c>
      <c r="Z73" s="421" t="s">
        <v>3652</v>
      </c>
      <c r="AA73" s="416" t="s">
        <v>3897</v>
      </c>
      <c r="AB73" s="414" t="s">
        <v>3902</v>
      </c>
      <c r="AC73" s="426"/>
      <c r="AD73" s="421"/>
      <c r="AE73" s="420"/>
      <c r="AF73" s="421">
        <v>90314</v>
      </c>
      <c r="AG73" s="420" t="s">
        <v>3903</v>
      </c>
      <c r="AH73" s="421" t="s">
        <v>3900</v>
      </c>
      <c r="AI73" s="420" t="s">
        <v>3875</v>
      </c>
      <c r="AJ73" s="413">
        <f t="shared" si="2"/>
        <v>4590007761</v>
      </c>
      <c r="AK73" s="423"/>
      <c r="AL73" s="424">
        <v>45017</v>
      </c>
      <c r="AM73" s="221">
        <v>186720.80000000002</v>
      </c>
      <c r="AN73" s="226">
        <v>45168</v>
      </c>
      <c r="AO73" s="423" t="s">
        <v>3904</v>
      </c>
      <c r="AP73" s="424">
        <v>45351</v>
      </c>
      <c r="AQ73" s="222">
        <v>256741.10000000003</v>
      </c>
      <c r="AR73" s="244">
        <v>45337</v>
      </c>
      <c r="AS73" s="614">
        <f ca="1">表格1_6[[#This Row],[total amount]]/表格1_6[[#This Row],[PO$]]</f>
        <v>0.95000000000000007</v>
      </c>
      <c r="AT73" s="223">
        <f ca="1">表格1_6[[#This Row],[invoice amount]]+表格1_6[[#This Row],[invoice amount2]]</f>
        <v>443461.9</v>
      </c>
      <c r="AU73" s="224" t="s">
        <v>3673</v>
      </c>
      <c r="AV73" s="247" t="s">
        <v>3905</v>
      </c>
      <c r="AW73" s="423" t="e">
        <f ca="1">VLOOKUP(表格1_6[[#This Row],[TI tool ID2]],工作表1!A:A,1,FALSE)</f>
        <v>#N/A</v>
      </c>
      <c r="AX73" s="425" t="e">
        <f ca="1">VLOOKUP(表格1_6[[#This Row],[PO+ITEM]],工作表1!B:E,2,FALSE)</f>
        <v>#N/A</v>
      </c>
      <c r="AY73" s="425" t="e">
        <f ca="1">VLOOKUP(表格1_6[[#This Row],[PO+ITEM]],工作表1!B:E,3,FALSE)</f>
        <v>#N/A</v>
      </c>
      <c r="AZ73" s="423" t="e">
        <f ca="1">VLOOKUP(表格1_6[[#This Row],[PO+ITEM]],工作表1!B:E,4,FALSE)</f>
        <v>#N/A</v>
      </c>
      <c r="BA73" s="425" t="e">
        <f ca="1">INDEX(工作表1!G:G, MATCH(表格1_6[[#This Row],[invoice number]]&amp;表格1_6[[#This Row],[invoice number2]],工作表1!G:G, 0))</f>
        <v>#N/A</v>
      </c>
      <c r="BB73" s="423" t="e">
        <f ca="1">VLOOKUP(表格1_6[[#This Row],[PO+ITEM]],工作表1!F:H,2,FALSE)</f>
        <v>#N/A</v>
      </c>
    </row>
    <row r="74" spans="1:54" ht="14.45">
      <c r="A74" s="413">
        <v>73</v>
      </c>
      <c r="B74" s="413" t="s">
        <v>3674</v>
      </c>
      <c r="C74" s="414" t="s">
        <v>16</v>
      </c>
      <c r="D74" s="414" t="s">
        <v>3648</v>
      </c>
      <c r="E74" s="414"/>
      <c r="F74" s="414"/>
      <c r="G74" s="414"/>
      <c r="H74" s="414"/>
      <c r="I74" s="414"/>
      <c r="J74" s="414"/>
      <c r="K74" s="414"/>
      <c r="L74" s="415" t="s">
        <v>3906</v>
      </c>
      <c r="M74" s="415" t="s">
        <v>3762</v>
      </c>
      <c r="N74" s="415" t="s">
        <v>3762</v>
      </c>
      <c r="O74" s="417"/>
      <c r="P74" s="416">
        <v>4590007773</v>
      </c>
      <c r="Q74" s="418">
        <v>44861</v>
      </c>
      <c r="R74" s="334" t="s">
        <v>3907</v>
      </c>
      <c r="S74" s="458">
        <v>2993.44</v>
      </c>
      <c r="T74" s="420" t="s">
        <v>2156</v>
      </c>
      <c r="U74" s="414" t="s">
        <v>3908</v>
      </c>
      <c r="V74" s="414"/>
      <c r="W74" s="417" t="s">
        <v>3909</v>
      </c>
      <c r="X74" s="417"/>
      <c r="Y74" s="421" t="s">
        <v>3652</v>
      </c>
      <c r="Z74" s="421" t="s">
        <v>3652</v>
      </c>
      <c r="AA74" s="416"/>
      <c r="AB74" s="414" t="s">
        <v>3910</v>
      </c>
      <c r="AC74" s="426"/>
      <c r="AD74" s="421"/>
      <c r="AE74" s="420"/>
      <c r="AF74" s="421">
        <v>90572</v>
      </c>
      <c r="AG74" s="420" t="s">
        <v>2555</v>
      </c>
      <c r="AH74" s="421" t="s">
        <v>3911</v>
      </c>
      <c r="AI74" s="420" t="s">
        <v>846</v>
      </c>
      <c r="AJ74" s="413">
        <f t="shared" si="2"/>
        <v>4590007773</v>
      </c>
      <c r="AK74" s="423"/>
      <c r="AL74" s="413"/>
      <c r="AM74" s="221"/>
      <c r="AN74" s="424"/>
      <c r="AO74" s="423"/>
      <c r="AP74" s="413"/>
      <c r="AQ74" s="222"/>
      <c r="AR74" s="424"/>
      <c r="AS74" s="614">
        <f ca="1">表格1_6[[#This Row],[total amount]]/表格1_6[[#This Row],[PO$]]</f>
        <v>0</v>
      </c>
      <c r="AT74" s="223">
        <f ca="1">表格1_6[[#This Row],[invoice amount]]+表格1_6[[#This Row],[invoice amount2]]</f>
        <v>0</v>
      </c>
      <c r="AU74" s="224"/>
      <c r="AV74" s="423"/>
      <c r="AW74" s="423" t="e">
        <f ca="1">VLOOKUP(表格1_6[[#This Row],[TI tool ID2]],工作表1!A:A,1,FALSE)</f>
        <v>#N/A</v>
      </c>
      <c r="AX74" s="425" t="e">
        <f ca="1">VLOOKUP(表格1_6[[#This Row],[PO+ITEM]],工作表1!B:E,2,FALSE)</f>
        <v>#N/A</v>
      </c>
      <c r="AY74" s="425" t="e">
        <f ca="1">VLOOKUP(表格1_6[[#This Row],[PO+ITEM]],工作表1!B:E,3,FALSE)</f>
        <v>#N/A</v>
      </c>
      <c r="AZ74" s="423" t="e">
        <f ca="1">VLOOKUP(表格1_6[[#This Row],[PO+ITEM]],工作表1!B:E,4,FALSE)</f>
        <v>#N/A</v>
      </c>
      <c r="BA74" s="425" t="e">
        <f ca="1">INDEX(工作表1!G:G, MATCH(表格1_6[[#This Row],[invoice number]]&amp;表格1_6[[#This Row],[invoice number2]],工作表1!G:G, 0))</f>
        <v>#N/A</v>
      </c>
      <c r="BB74" s="423" t="e">
        <f ca="1">VLOOKUP(表格1_6[[#This Row],[PO+ITEM]],工作表1!F:H,2,FALSE)</f>
        <v>#N/A</v>
      </c>
    </row>
    <row r="75" spans="1:54" ht="15.6">
      <c r="A75" s="413">
        <v>74</v>
      </c>
      <c r="B75" s="413" t="s">
        <v>3674</v>
      </c>
      <c r="C75" s="414" t="s">
        <v>17</v>
      </c>
      <c r="D75" s="414" t="s">
        <v>3648</v>
      </c>
      <c r="E75" s="414"/>
      <c r="F75" s="414"/>
      <c r="G75" s="414"/>
      <c r="H75" s="414"/>
      <c r="I75" s="414"/>
      <c r="J75" s="414"/>
      <c r="K75" s="414"/>
      <c r="L75" s="415" t="s">
        <v>3912</v>
      </c>
      <c r="M75" s="416" t="s">
        <v>2999</v>
      </c>
      <c r="N75" s="416" t="s">
        <v>2999</v>
      </c>
      <c r="O75" s="417"/>
      <c r="P75" s="416">
        <v>4590007914</v>
      </c>
      <c r="Q75" s="418">
        <v>44867</v>
      </c>
      <c r="R75" s="419">
        <v>1</v>
      </c>
      <c r="S75" s="458">
        <v>113160</v>
      </c>
      <c r="T75" s="420" t="s">
        <v>2156</v>
      </c>
      <c r="U75" s="414" t="s">
        <v>3913</v>
      </c>
      <c r="V75" s="414" t="s">
        <v>3914</v>
      </c>
      <c r="W75" s="417" t="s">
        <v>3915</v>
      </c>
      <c r="X75" s="417"/>
      <c r="Y75" s="421" t="s">
        <v>3652</v>
      </c>
      <c r="Z75" s="421" t="s">
        <v>3652</v>
      </c>
      <c r="AA75" s="416"/>
      <c r="AB75" s="414" t="s">
        <v>3916</v>
      </c>
      <c r="AC75" s="426"/>
      <c r="AD75" s="421"/>
      <c r="AE75" s="420"/>
      <c r="AF75" s="421">
        <v>90714</v>
      </c>
      <c r="AG75" s="420" t="s">
        <v>3917</v>
      </c>
      <c r="AH75" s="421" t="s">
        <v>3918</v>
      </c>
      <c r="AI75" s="420" t="s">
        <v>3919</v>
      </c>
      <c r="AJ75" s="413">
        <f t="shared" si="2"/>
        <v>4590007914</v>
      </c>
      <c r="AK75" s="423"/>
      <c r="AL75" s="424">
        <v>44958</v>
      </c>
      <c r="AM75" s="221">
        <v>45264</v>
      </c>
      <c r="AN75" s="226">
        <v>45015</v>
      </c>
      <c r="AO75" s="423"/>
      <c r="AP75" s="413"/>
      <c r="AQ75" s="222"/>
      <c r="AR75" s="424"/>
      <c r="AS75" s="614">
        <f ca="1">表格1_6[[#This Row],[total amount]]/表格1_6[[#This Row],[PO$]]</f>
        <v>0.4</v>
      </c>
      <c r="AT75" s="223">
        <f ca="1">表格1_6[[#This Row],[invoice amount]]+表格1_6[[#This Row],[invoice amount2]]</f>
        <v>45264</v>
      </c>
      <c r="AU75" s="224" t="s">
        <v>3673</v>
      </c>
      <c r="AV75" s="423"/>
      <c r="AW75" s="423" t="e">
        <f ca="1">VLOOKUP(表格1_6[[#This Row],[TI tool ID2]],工作表1!A:A,1,FALSE)</f>
        <v>#N/A</v>
      </c>
      <c r="AX75" s="425" t="e">
        <f ca="1">VLOOKUP(表格1_6[[#This Row],[PO+ITEM]],工作表1!B:E,2,FALSE)</f>
        <v>#N/A</v>
      </c>
      <c r="AY75" s="425" t="e">
        <f ca="1">VLOOKUP(表格1_6[[#This Row],[PO+ITEM]],工作表1!B:E,3,FALSE)</f>
        <v>#N/A</v>
      </c>
      <c r="AZ75" s="423" t="e">
        <f ca="1">VLOOKUP(表格1_6[[#This Row],[PO+ITEM]],工作表1!B:E,4,FALSE)</f>
        <v>#N/A</v>
      </c>
      <c r="BA75" s="425" t="e">
        <f ca="1">INDEX(工作表1!G:G, MATCH(表格1_6[[#This Row],[invoice number]]&amp;表格1_6[[#This Row],[invoice number2]],工作表1!G:G, 0))</f>
        <v>#N/A</v>
      </c>
      <c r="BB75" s="423" t="e">
        <f ca="1">VLOOKUP(表格1_6[[#This Row],[PO+ITEM]],工作表1!F:H,2,FALSE)</f>
        <v>#N/A</v>
      </c>
    </row>
    <row r="76" spans="1:54" ht="15.6">
      <c r="A76" s="413">
        <v>75</v>
      </c>
      <c r="B76" s="413" t="s">
        <v>3674</v>
      </c>
      <c r="C76" s="414" t="s">
        <v>17</v>
      </c>
      <c r="D76" s="414" t="s">
        <v>3648</v>
      </c>
      <c r="E76" s="414"/>
      <c r="F76" s="414"/>
      <c r="G76" s="414"/>
      <c r="H76" s="414"/>
      <c r="I76" s="414"/>
      <c r="J76" s="414"/>
      <c r="K76" s="414"/>
      <c r="L76" s="415" t="s">
        <v>3920</v>
      </c>
      <c r="M76" s="416" t="s">
        <v>2999</v>
      </c>
      <c r="N76" s="416" t="s">
        <v>2999</v>
      </c>
      <c r="O76" s="417"/>
      <c r="P76" s="416">
        <v>4590007915</v>
      </c>
      <c r="Q76" s="418">
        <v>44867</v>
      </c>
      <c r="R76" s="419">
        <v>1</v>
      </c>
      <c r="S76" s="458">
        <v>66153.75</v>
      </c>
      <c r="T76" s="420" t="s">
        <v>2156</v>
      </c>
      <c r="U76" s="414" t="s">
        <v>3913</v>
      </c>
      <c r="V76" s="414" t="s">
        <v>3914</v>
      </c>
      <c r="W76" s="417" t="s">
        <v>3915</v>
      </c>
      <c r="X76" s="417"/>
      <c r="Y76" s="421" t="s">
        <v>3652</v>
      </c>
      <c r="Z76" s="421" t="s">
        <v>3652</v>
      </c>
      <c r="AA76" s="416" t="s">
        <v>3921</v>
      </c>
      <c r="AB76" s="414" t="s">
        <v>3922</v>
      </c>
      <c r="AC76" s="426"/>
      <c r="AD76" s="421"/>
      <c r="AE76" s="420"/>
      <c r="AF76" s="421">
        <v>90727</v>
      </c>
      <c r="AG76" s="420" t="s">
        <v>3923</v>
      </c>
      <c r="AH76" s="421" t="s">
        <v>3918</v>
      </c>
      <c r="AI76" s="420" t="s">
        <v>3919</v>
      </c>
      <c r="AJ76" s="413">
        <f t="shared" si="2"/>
        <v>4590007915</v>
      </c>
      <c r="AK76" s="423"/>
      <c r="AL76" s="424">
        <v>44958</v>
      </c>
      <c r="AM76" s="221">
        <v>26461.5</v>
      </c>
      <c r="AN76" s="226">
        <v>45015</v>
      </c>
      <c r="AO76" s="423" t="s">
        <v>3924</v>
      </c>
      <c r="AP76" s="427">
        <v>45261</v>
      </c>
      <c r="AQ76" s="222">
        <v>39692.25</v>
      </c>
      <c r="AR76" s="424">
        <v>45442</v>
      </c>
      <c r="AS76" s="614">
        <f ca="1">表格1_6[[#This Row],[total amount]]/表格1_6[[#This Row],[PO$]]</f>
        <v>1</v>
      </c>
      <c r="AT76" s="223">
        <f ca="1">表格1_6[[#This Row],[invoice amount]]+表格1_6[[#This Row],[invoice amount2]]</f>
        <v>66153.75</v>
      </c>
      <c r="AU76" s="224" t="s">
        <v>3725</v>
      </c>
      <c r="AV76" s="423"/>
      <c r="AW76" s="423" t="e">
        <f ca="1">VLOOKUP(表格1_6[[#This Row],[TI tool ID2]],工作表1!A:A,1,FALSE)</f>
        <v>#N/A</v>
      </c>
      <c r="AX76" s="425" t="e">
        <f ca="1">VLOOKUP(表格1_6[[#This Row],[PO+ITEM]],工作表1!B:E,2,FALSE)</f>
        <v>#N/A</v>
      </c>
      <c r="AY76" s="425" t="e">
        <f ca="1">VLOOKUP(表格1_6[[#This Row],[PO+ITEM]],工作表1!B:E,3,FALSE)</f>
        <v>#N/A</v>
      </c>
      <c r="AZ76" s="423" t="e">
        <f ca="1">VLOOKUP(表格1_6[[#This Row],[PO+ITEM]],工作表1!B:E,4,FALSE)</f>
        <v>#N/A</v>
      </c>
      <c r="BA76" s="425" t="e">
        <f ca="1">INDEX(工作表1!G:G, MATCH(表格1_6[[#This Row],[invoice number]]&amp;表格1_6[[#This Row],[invoice number2]],工作表1!G:G, 0))</f>
        <v>#N/A</v>
      </c>
      <c r="BB76" s="423" t="e">
        <f ca="1">VLOOKUP(表格1_6[[#This Row],[PO+ITEM]],工作表1!F:H,2,FALSE)</f>
        <v>#N/A</v>
      </c>
    </row>
    <row r="77" spans="1:54" ht="15.6">
      <c r="A77" s="413">
        <v>76</v>
      </c>
      <c r="B77" s="413"/>
      <c r="C77" s="414" t="s">
        <v>16</v>
      </c>
      <c r="D77" s="414" t="s">
        <v>3648</v>
      </c>
      <c r="E77" s="414"/>
      <c r="F77" s="414"/>
      <c r="G77" s="414"/>
      <c r="H77" s="414"/>
      <c r="I77" s="414"/>
      <c r="J77" s="414"/>
      <c r="K77" s="414"/>
      <c r="L77" s="415" t="s">
        <v>3925</v>
      </c>
      <c r="M77" s="416" t="s">
        <v>2206</v>
      </c>
      <c r="N77" s="416"/>
      <c r="O77" s="417"/>
      <c r="P77" s="416">
        <v>4590007943</v>
      </c>
      <c r="Q77" s="418">
        <v>44867</v>
      </c>
      <c r="R77" s="419">
        <v>1</v>
      </c>
      <c r="S77" s="458">
        <v>353236.53</v>
      </c>
      <c r="T77" s="420" t="s">
        <v>2156</v>
      </c>
      <c r="U77" s="414" t="s">
        <v>3926</v>
      </c>
      <c r="V77" s="414" t="s">
        <v>3927</v>
      </c>
      <c r="W77" s="417" t="s">
        <v>3928</v>
      </c>
      <c r="X77" s="417"/>
      <c r="Y77" s="421" t="s">
        <v>3652</v>
      </c>
      <c r="Z77" s="421" t="s">
        <v>3652</v>
      </c>
      <c r="AA77" s="416" t="s">
        <v>3929</v>
      </c>
      <c r="AB77" s="414" t="s">
        <v>3930</v>
      </c>
      <c r="AC77" s="426"/>
      <c r="AD77" s="421"/>
      <c r="AE77" s="420"/>
      <c r="AF77" s="421"/>
      <c r="AG77" s="420" t="s">
        <v>3931</v>
      </c>
      <c r="AH77" s="421" t="s">
        <v>3932</v>
      </c>
      <c r="AI77" s="420" t="s">
        <v>846</v>
      </c>
      <c r="AJ77" s="413">
        <f t="shared" si="2"/>
        <v>4590007943</v>
      </c>
      <c r="AK77" s="423"/>
      <c r="AL77" s="424">
        <v>45108</v>
      </c>
      <c r="AM77" s="221">
        <v>141294.61200000002</v>
      </c>
      <c r="AN77" s="244">
        <v>45229</v>
      </c>
      <c r="AO77" s="423"/>
      <c r="AP77" s="413"/>
      <c r="AQ77" s="222"/>
      <c r="AR77" s="424"/>
      <c r="AS77" s="614">
        <f ca="1">表格1_6[[#This Row],[total amount]]/表格1_6[[#This Row],[PO$]]</f>
        <v>0.4</v>
      </c>
      <c r="AT77" s="223">
        <f ca="1">表格1_6[[#This Row],[invoice amount]]+表格1_6[[#This Row],[invoice amount2]]</f>
        <v>141294.61200000002</v>
      </c>
      <c r="AU77" s="224" t="s">
        <v>3673</v>
      </c>
      <c r="AV77" s="423"/>
      <c r="AW77" s="423" t="e">
        <f ca="1">VLOOKUP(表格1_6[[#This Row],[TI tool ID2]],工作表1!A:A,1,FALSE)</f>
        <v>#N/A</v>
      </c>
      <c r="AX77" s="425" t="e">
        <f ca="1">VLOOKUP(表格1_6[[#This Row],[PO+ITEM]],工作表1!B:E,2,FALSE)</f>
        <v>#N/A</v>
      </c>
      <c r="AY77" s="425" t="e">
        <f ca="1">VLOOKUP(表格1_6[[#This Row],[PO+ITEM]],工作表1!B:E,3,FALSE)</f>
        <v>#N/A</v>
      </c>
      <c r="AZ77" s="423" t="e">
        <f ca="1">VLOOKUP(表格1_6[[#This Row],[PO+ITEM]],工作表1!B:E,4,FALSE)</f>
        <v>#N/A</v>
      </c>
      <c r="BA77" s="425" t="e">
        <f ca="1">INDEX(工作表1!G:G, MATCH(表格1_6[[#This Row],[invoice number]]&amp;表格1_6[[#This Row],[invoice number2]],工作表1!G:G, 0))</f>
        <v>#N/A</v>
      </c>
      <c r="BB77" s="423" t="e">
        <f ca="1">VLOOKUP(表格1_6[[#This Row],[PO+ITEM]],工作表1!F:H,2,FALSE)</f>
        <v>#N/A</v>
      </c>
    </row>
    <row r="78" spans="1:54" ht="14.45">
      <c r="A78" s="413">
        <v>77</v>
      </c>
      <c r="B78" s="413" t="s">
        <v>3659</v>
      </c>
      <c r="C78" s="414" t="s">
        <v>17</v>
      </c>
      <c r="D78" s="414" t="s">
        <v>3648</v>
      </c>
      <c r="E78" s="414"/>
      <c r="F78" s="414"/>
      <c r="G78" s="414"/>
      <c r="H78" s="414"/>
      <c r="I78" s="414"/>
      <c r="J78" s="414"/>
      <c r="K78" s="414"/>
      <c r="L78" s="415" t="s">
        <v>3933</v>
      </c>
      <c r="M78" s="416" t="s">
        <v>2999</v>
      </c>
      <c r="N78" s="416" t="s">
        <v>2206</v>
      </c>
      <c r="O78" s="417"/>
      <c r="P78" s="416">
        <v>4590008133</v>
      </c>
      <c r="Q78" s="418">
        <v>44873</v>
      </c>
      <c r="R78" s="419">
        <v>1</v>
      </c>
      <c r="S78" s="458">
        <v>650175</v>
      </c>
      <c r="T78" s="420" t="s">
        <v>2156</v>
      </c>
      <c r="U78" s="414" t="s">
        <v>3869</v>
      </c>
      <c r="V78" s="414" t="s">
        <v>3870</v>
      </c>
      <c r="W78" s="417" t="s">
        <v>3871</v>
      </c>
      <c r="X78" s="417"/>
      <c r="Y78" s="421" t="s">
        <v>3652</v>
      </c>
      <c r="Z78" s="421" t="s">
        <v>3652</v>
      </c>
      <c r="AA78" s="416"/>
      <c r="AB78" s="414" t="s">
        <v>3934</v>
      </c>
      <c r="AC78" s="426"/>
      <c r="AD78" s="421"/>
      <c r="AE78" s="420"/>
      <c r="AF78" s="421">
        <v>90984</v>
      </c>
      <c r="AG78" s="420" t="s">
        <v>3935</v>
      </c>
      <c r="AH78" s="421" t="s">
        <v>3900</v>
      </c>
      <c r="AI78" s="420" t="s">
        <v>3875</v>
      </c>
      <c r="AJ78" s="413">
        <f t="shared" si="2"/>
        <v>4590008133</v>
      </c>
      <c r="AK78" s="423"/>
      <c r="AL78" s="413"/>
      <c r="AM78" s="221"/>
      <c r="AN78" s="424"/>
      <c r="AO78" s="423"/>
      <c r="AP78" s="413"/>
      <c r="AQ78" s="222"/>
      <c r="AR78" s="424"/>
      <c r="AS78" s="614">
        <f ca="1">表格1_6[[#This Row],[total amount]]/表格1_6[[#This Row],[PO$]]</f>
        <v>0</v>
      </c>
      <c r="AT78" s="223">
        <f ca="1">表格1_6[[#This Row],[invoice amount]]+表格1_6[[#This Row],[invoice amount2]]</f>
        <v>0</v>
      </c>
      <c r="AU78" s="224"/>
      <c r="AV78" s="423"/>
      <c r="AW78" s="423" t="e">
        <f ca="1">VLOOKUP(表格1_6[[#This Row],[TI tool ID2]],工作表1!A:A,1,FALSE)</f>
        <v>#N/A</v>
      </c>
      <c r="AX78" s="425" t="e">
        <f ca="1">VLOOKUP(表格1_6[[#This Row],[PO+ITEM]],工作表1!B:E,2,FALSE)</f>
        <v>#N/A</v>
      </c>
      <c r="AY78" s="425" t="e">
        <f ca="1">VLOOKUP(表格1_6[[#This Row],[PO+ITEM]],工作表1!B:E,3,FALSE)</f>
        <v>#N/A</v>
      </c>
      <c r="AZ78" s="423" t="e">
        <f ca="1">VLOOKUP(表格1_6[[#This Row],[PO+ITEM]],工作表1!B:E,4,FALSE)</f>
        <v>#N/A</v>
      </c>
      <c r="BA78" s="425" t="e">
        <f ca="1">INDEX(工作表1!G:G, MATCH(表格1_6[[#This Row],[invoice number]]&amp;表格1_6[[#This Row],[invoice number2]],工作表1!G:G, 0))</f>
        <v>#N/A</v>
      </c>
      <c r="BB78" s="423" t="e">
        <f ca="1">VLOOKUP(表格1_6[[#This Row],[PO+ITEM]],工作表1!F:H,2,FALSE)</f>
        <v>#N/A</v>
      </c>
    </row>
    <row r="79" spans="1:54" ht="14.45">
      <c r="A79" s="413">
        <v>78</v>
      </c>
      <c r="B79" s="413" t="s">
        <v>3674</v>
      </c>
      <c r="C79" s="414" t="s">
        <v>17</v>
      </c>
      <c r="D79" s="414" t="s">
        <v>3648</v>
      </c>
      <c r="E79" s="414"/>
      <c r="F79" s="414"/>
      <c r="G79" s="414"/>
      <c r="H79" s="414"/>
      <c r="I79" s="414"/>
      <c r="J79" s="414"/>
      <c r="K79" s="414"/>
      <c r="L79" s="415" t="s">
        <v>3936</v>
      </c>
      <c r="M79" s="416" t="s">
        <v>2999</v>
      </c>
      <c r="N79" s="416" t="s">
        <v>2206</v>
      </c>
      <c r="O79" s="417"/>
      <c r="P79" s="416">
        <v>4590008134</v>
      </c>
      <c r="Q79" s="418">
        <v>44873</v>
      </c>
      <c r="R79" s="419">
        <v>1</v>
      </c>
      <c r="S79" s="458">
        <v>650175</v>
      </c>
      <c r="T79" s="420" t="s">
        <v>2156</v>
      </c>
      <c r="U79" s="414" t="s">
        <v>3869</v>
      </c>
      <c r="V79" s="414" t="s">
        <v>3870</v>
      </c>
      <c r="W79" s="417" t="s">
        <v>3871</v>
      </c>
      <c r="X79" s="417"/>
      <c r="Y79" s="421" t="s">
        <v>3652</v>
      </c>
      <c r="Z79" s="421" t="s">
        <v>3652</v>
      </c>
      <c r="AA79" s="416"/>
      <c r="AB79" s="414" t="s">
        <v>3934</v>
      </c>
      <c r="AC79" s="426"/>
      <c r="AD79" s="421"/>
      <c r="AE79" s="420"/>
      <c r="AF79" s="421">
        <v>90307</v>
      </c>
      <c r="AG79" s="420" t="s">
        <v>3937</v>
      </c>
      <c r="AH79" s="421" t="s">
        <v>3900</v>
      </c>
      <c r="AI79" s="420" t="s">
        <v>3875</v>
      </c>
      <c r="AJ79" s="413">
        <f t="shared" si="2"/>
        <v>4590008134</v>
      </c>
      <c r="AK79" s="423" t="s">
        <v>3938</v>
      </c>
      <c r="AL79" s="424">
        <v>45422</v>
      </c>
      <c r="AM79" s="221">
        <v>650175</v>
      </c>
      <c r="AN79" s="424">
        <v>45503</v>
      </c>
      <c r="AO79" s="423"/>
      <c r="AP79" s="413"/>
      <c r="AQ79" s="222"/>
      <c r="AR79" s="424"/>
      <c r="AS79" s="614">
        <f ca="1">表格1_6[[#This Row],[total amount]]/表格1_6[[#This Row],[PO$]]</f>
        <v>1</v>
      </c>
      <c r="AT79" s="223">
        <f ca="1">表格1_6[[#This Row],[invoice amount]]+表格1_6[[#This Row],[invoice amount2]]</f>
        <v>650175</v>
      </c>
      <c r="AU79" s="224" t="s">
        <v>3725</v>
      </c>
      <c r="AV79" s="344" t="s">
        <v>3939</v>
      </c>
      <c r="AW79" s="423" t="e">
        <f ca="1">VLOOKUP(表格1_6[[#This Row],[TI tool ID2]],工作表1!A:A,1,FALSE)</f>
        <v>#N/A</v>
      </c>
      <c r="AX79" s="425" t="e">
        <f ca="1">VLOOKUP(表格1_6[[#This Row],[PO+ITEM]],工作表1!B:E,2,FALSE)</f>
        <v>#N/A</v>
      </c>
      <c r="AY79" s="425" t="e">
        <f ca="1">VLOOKUP(表格1_6[[#This Row],[PO+ITEM]],工作表1!B:E,3,FALSE)</f>
        <v>#N/A</v>
      </c>
      <c r="AZ79" s="423" t="e">
        <f ca="1">VLOOKUP(表格1_6[[#This Row],[PO+ITEM]],工作表1!B:E,4,FALSE)</f>
        <v>#N/A</v>
      </c>
      <c r="BA79" s="425" t="e">
        <f ca="1">INDEX(工作表1!G:G, MATCH(表格1_6[[#This Row],[invoice number]]&amp;表格1_6[[#This Row],[invoice number2]],工作表1!G:G, 0))</f>
        <v>#N/A</v>
      </c>
      <c r="BB79" s="423" t="e">
        <f ca="1">VLOOKUP(表格1_6[[#This Row],[PO+ITEM]],工作表1!F:H,2,FALSE)</f>
        <v>#N/A</v>
      </c>
    </row>
    <row r="80" spans="1:54" ht="15.6">
      <c r="A80" s="413">
        <v>79</v>
      </c>
      <c r="B80" s="413" t="s">
        <v>3674</v>
      </c>
      <c r="C80" s="414" t="s">
        <v>17</v>
      </c>
      <c r="D80" s="414" t="s">
        <v>3648</v>
      </c>
      <c r="E80" s="414"/>
      <c r="F80" s="414"/>
      <c r="G80" s="414"/>
      <c r="H80" s="414"/>
      <c r="I80" s="414"/>
      <c r="J80" s="414"/>
      <c r="K80" s="414"/>
      <c r="L80" s="415" t="s">
        <v>3940</v>
      </c>
      <c r="M80" s="416" t="s">
        <v>2999</v>
      </c>
      <c r="N80" s="416" t="s">
        <v>3941</v>
      </c>
      <c r="O80" s="417"/>
      <c r="P80" s="416">
        <v>4590008192</v>
      </c>
      <c r="Q80" s="418">
        <v>44878</v>
      </c>
      <c r="R80" s="419">
        <v>1</v>
      </c>
      <c r="S80" s="458">
        <v>650175</v>
      </c>
      <c r="T80" s="420" t="s">
        <v>2156</v>
      </c>
      <c r="U80" s="414" t="s">
        <v>3869</v>
      </c>
      <c r="V80" s="414" t="s">
        <v>3870</v>
      </c>
      <c r="W80" s="417" t="s">
        <v>3871</v>
      </c>
      <c r="X80" s="417"/>
      <c r="Y80" s="421" t="s">
        <v>3652</v>
      </c>
      <c r="Z80" s="421" t="s">
        <v>3652</v>
      </c>
      <c r="AA80" s="416" t="s">
        <v>3942</v>
      </c>
      <c r="AB80" s="414" t="s">
        <v>3934</v>
      </c>
      <c r="AC80" s="426"/>
      <c r="AD80" s="421"/>
      <c r="AE80" s="420"/>
      <c r="AF80" s="421">
        <v>90309</v>
      </c>
      <c r="AG80" s="420" t="s">
        <v>3943</v>
      </c>
      <c r="AH80" s="421" t="s">
        <v>3900</v>
      </c>
      <c r="AI80" s="420" t="s">
        <v>3875</v>
      </c>
      <c r="AJ80" s="413">
        <f t="shared" si="2"/>
        <v>4590008192</v>
      </c>
      <c r="AK80" s="423" t="s">
        <v>3942</v>
      </c>
      <c r="AL80" s="424">
        <v>45335</v>
      </c>
      <c r="AM80" s="221">
        <v>650175</v>
      </c>
      <c r="AN80" s="244">
        <v>45412</v>
      </c>
      <c r="AO80" s="423"/>
      <c r="AP80" s="413"/>
      <c r="AQ80" s="222"/>
      <c r="AR80" s="424"/>
      <c r="AS80" s="614">
        <f ca="1">表格1_6[[#This Row],[total amount]]/表格1_6[[#This Row],[PO$]]</f>
        <v>1</v>
      </c>
      <c r="AT80" s="223">
        <f ca="1">表格1_6[[#This Row],[invoice amount]]+表格1_6[[#This Row],[invoice amount2]]</f>
        <v>650175</v>
      </c>
      <c r="AU80" s="224" t="s">
        <v>3673</v>
      </c>
      <c r="AV80" s="343"/>
      <c r="AW80" s="423" t="e">
        <f ca="1">VLOOKUP(表格1_6[[#This Row],[TI tool ID2]],工作表1!A:A,1,FALSE)</f>
        <v>#N/A</v>
      </c>
      <c r="AX80" s="425" t="e">
        <f ca="1">VLOOKUP(表格1_6[[#This Row],[PO+ITEM]],工作表1!B:E,2,FALSE)</f>
        <v>#N/A</v>
      </c>
      <c r="AY80" s="425" t="e">
        <f ca="1">VLOOKUP(表格1_6[[#This Row],[PO+ITEM]],工作表1!B:E,3,FALSE)</f>
        <v>#N/A</v>
      </c>
      <c r="AZ80" s="423" t="e">
        <f ca="1">VLOOKUP(表格1_6[[#This Row],[PO+ITEM]],工作表1!B:E,4,FALSE)</f>
        <v>#N/A</v>
      </c>
      <c r="BA80" s="425" t="e">
        <f ca="1">INDEX(工作表1!G:G, MATCH(表格1_6[[#This Row],[invoice number]]&amp;表格1_6[[#This Row],[invoice number2]],工作表1!G:G, 0))</f>
        <v>#N/A</v>
      </c>
      <c r="BB80" s="423" t="e">
        <f ca="1">VLOOKUP(表格1_6[[#This Row],[PO+ITEM]],工作表1!F:H,2,FALSE)</f>
        <v>#N/A</v>
      </c>
    </row>
    <row r="81" spans="1:54" ht="14.45">
      <c r="A81" s="413">
        <v>80</v>
      </c>
      <c r="B81" s="413" t="s">
        <v>3659</v>
      </c>
      <c r="C81" s="414" t="s">
        <v>17</v>
      </c>
      <c r="D81" s="414" t="s">
        <v>3648</v>
      </c>
      <c r="E81" s="414"/>
      <c r="F81" s="414"/>
      <c r="G81" s="414"/>
      <c r="H81" s="414"/>
      <c r="I81" s="414"/>
      <c r="J81" s="414"/>
      <c r="K81" s="414"/>
      <c r="L81" s="415" t="s">
        <v>3944</v>
      </c>
      <c r="M81" s="416" t="s">
        <v>2999</v>
      </c>
      <c r="N81" s="416" t="s">
        <v>2206</v>
      </c>
      <c r="O81" s="417"/>
      <c r="P81" s="416">
        <v>4590008193</v>
      </c>
      <c r="Q81" s="418">
        <v>44878</v>
      </c>
      <c r="R81" s="419">
        <v>1</v>
      </c>
      <c r="S81" s="458">
        <v>650175</v>
      </c>
      <c r="T81" s="420" t="s">
        <v>2156</v>
      </c>
      <c r="U81" s="414" t="s">
        <v>3869</v>
      </c>
      <c r="V81" s="414" t="s">
        <v>3870</v>
      </c>
      <c r="W81" s="417" t="s">
        <v>3871</v>
      </c>
      <c r="X81" s="417"/>
      <c r="Y81" s="421" t="s">
        <v>3652</v>
      </c>
      <c r="Z81" s="421" t="s">
        <v>3652</v>
      </c>
      <c r="AA81" s="416"/>
      <c r="AB81" s="414" t="s">
        <v>3934</v>
      </c>
      <c r="AC81" s="426"/>
      <c r="AD81" s="421"/>
      <c r="AE81" s="420"/>
      <c r="AF81" s="421">
        <v>90882</v>
      </c>
      <c r="AG81" s="420" t="s">
        <v>3945</v>
      </c>
      <c r="AH81" s="421" t="s">
        <v>3900</v>
      </c>
      <c r="AI81" s="420" t="s">
        <v>3875</v>
      </c>
      <c r="AJ81" s="413">
        <f t="shared" si="2"/>
        <v>4590008193</v>
      </c>
      <c r="AK81" s="423"/>
      <c r="AL81" s="413"/>
      <c r="AM81" s="221"/>
      <c r="AN81" s="424"/>
      <c r="AO81" s="423"/>
      <c r="AP81" s="413"/>
      <c r="AQ81" s="222"/>
      <c r="AR81" s="424"/>
      <c r="AS81" s="614">
        <f ca="1">表格1_6[[#This Row],[total amount]]/表格1_6[[#This Row],[PO$]]</f>
        <v>0</v>
      </c>
      <c r="AT81" s="223">
        <f ca="1">表格1_6[[#This Row],[invoice amount]]+表格1_6[[#This Row],[invoice amount2]]</f>
        <v>0</v>
      </c>
      <c r="AU81" s="224"/>
      <c r="AV81" s="423"/>
      <c r="AW81" s="423" t="e">
        <f ca="1">VLOOKUP(表格1_6[[#This Row],[TI tool ID2]],工作表1!A:A,1,FALSE)</f>
        <v>#N/A</v>
      </c>
      <c r="AX81" s="425" t="e">
        <f ca="1">VLOOKUP(表格1_6[[#This Row],[PO+ITEM]],工作表1!B:E,2,FALSE)</f>
        <v>#N/A</v>
      </c>
      <c r="AY81" s="425" t="e">
        <f ca="1">VLOOKUP(表格1_6[[#This Row],[PO+ITEM]],工作表1!B:E,3,FALSE)</f>
        <v>#N/A</v>
      </c>
      <c r="AZ81" s="423" t="e">
        <f ca="1">VLOOKUP(表格1_6[[#This Row],[PO+ITEM]],工作表1!B:E,4,FALSE)</f>
        <v>#N/A</v>
      </c>
      <c r="BA81" s="425" t="e">
        <f ca="1">INDEX(工作表1!G:G, MATCH(表格1_6[[#This Row],[invoice number]]&amp;表格1_6[[#This Row],[invoice number2]],工作表1!G:G, 0))</f>
        <v>#N/A</v>
      </c>
      <c r="BB81" s="423" t="e">
        <f ca="1">VLOOKUP(表格1_6[[#This Row],[PO+ITEM]],工作表1!F:H,2,FALSE)</f>
        <v>#N/A</v>
      </c>
    </row>
    <row r="82" spans="1:54" ht="14.45">
      <c r="A82" s="413">
        <v>81</v>
      </c>
      <c r="B82" s="413" t="s">
        <v>3674</v>
      </c>
      <c r="C82" s="414" t="s">
        <v>17</v>
      </c>
      <c r="D82" s="414" t="s">
        <v>3648</v>
      </c>
      <c r="E82" s="414"/>
      <c r="F82" s="414"/>
      <c r="G82" s="414"/>
      <c r="H82" s="414"/>
      <c r="I82" s="414"/>
      <c r="J82" s="414"/>
      <c r="K82" s="414"/>
      <c r="L82" s="415" t="s">
        <v>3946</v>
      </c>
      <c r="M82" s="416" t="s">
        <v>2999</v>
      </c>
      <c r="N82" s="416" t="s">
        <v>2206</v>
      </c>
      <c r="O82" s="417"/>
      <c r="P82" s="416">
        <v>4590008194</v>
      </c>
      <c r="Q82" s="418">
        <v>44878</v>
      </c>
      <c r="R82" s="419">
        <v>1</v>
      </c>
      <c r="S82" s="458">
        <v>650175</v>
      </c>
      <c r="T82" s="420" t="s">
        <v>2156</v>
      </c>
      <c r="U82" s="414" t="s">
        <v>3869</v>
      </c>
      <c r="V82" s="414" t="s">
        <v>3870</v>
      </c>
      <c r="W82" s="417" t="s">
        <v>3871</v>
      </c>
      <c r="X82" s="417"/>
      <c r="Y82" s="421" t="s">
        <v>3652</v>
      </c>
      <c r="Z82" s="421" t="s">
        <v>3652</v>
      </c>
      <c r="AA82" s="416"/>
      <c r="AB82" s="414" t="s">
        <v>3934</v>
      </c>
      <c r="AC82" s="426"/>
      <c r="AD82" s="421"/>
      <c r="AE82" s="420"/>
      <c r="AF82" s="421">
        <v>90308</v>
      </c>
      <c r="AG82" s="420" t="s">
        <v>3947</v>
      </c>
      <c r="AH82" s="421" t="s">
        <v>3900</v>
      </c>
      <c r="AI82" s="420" t="s">
        <v>3875</v>
      </c>
      <c r="AJ82" s="413">
        <f t="shared" si="2"/>
        <v>4590008194</v>
      </c>
      <c r="AK82" s="423" t="s">
        <v>3948</v>
      </c>
      <c r="AL82" s="424">
        <v>45401</v>
      </c>
      <c r="AM82" s="221">
        <v>650175</v>
      </c>
      <c r="AN82" s="424">
        <v>45519</v>
      </c>
      <c r="AO82" s="423"/>
      <c r="AP82" s="413"/>
      <c r="AQ82" s="222"/>
      <c r="AR82" s="424"/>
      <c r="AS82" s="614">
        <f ca="1">表格1_6[[#This Row],[total amount]]/表格1_6[[#This Row],[PO$]]</f>
        <v>1</v>
      </c>
      <c r="AT82" s="223">
        <f ca="1">表格1_6[[#This Row],[invoice amount]]+表格1_6[[#This Row],[invoice amount2]]</f>
        <v>650175</v>
      </c>
      <c r="AU82" s="224" t="s">
        <v>3657</v>
      </c>
      <c r="AV82" s="423"/>
      <c r="AW82" s="423" t="e">
        <f ca="1">VLOOKUP(表格1_6[[#This Row],[TI tool ID2]],工作表1!A:A,1,FALSE)</f>
        <v>#N/A</v>
      </c>
      <c r="AX82" s="425" t="e">
        <f ca="1">VLOOKUP(表格1_6[[#This Row],[PO+ITEM]],工作表1!B:E,2,FALSE)</f>
        <v>#N/A</v>
      </c>
      <c r="AY82" s="425" t="e">
        <f ca="1">VLOOKUP(表格1_6[[#This Row],[PO+ITEM]],工作表1!B:E,3,FALSE)</f>
        <v>#N/A</v>
      </c>
      <c r="AZ82" s="423" t="e">
        <f ca="1">VLOOKUP(表格1_6[[#This Row],[PO+ITEM]],工作表1!B:E,4,FALSE)</f>
        <v>#N/A</v>
      </c>
      <c r="BA82" s="425" t="e">
        <f ca="1">INDEX(工作表1!G:G, MATCH(表格1_6[[#This Row],[invoice number]]&amp;表格1_6[[#This Row],[invoice number2]],工作表1!G:G, 0))</f>
        <v>#N/A</v>
      </c>
      <c r="BB82" s="423" t="e">
        <f ca="1">VLOOKUP(表格1_6[[#This Row],[PO+ITEM]],工作表1!F:H,2,FALSE)</f>
        <v>#N/A</v>
      </c>
    </row>
    <row r="83" spans="1:54" ht="15.6">
      <c r="A83" s="413">
        <v>82</v>
      </c>
      <c r="B83" s="413" t="s">
        <v>3674</v>
      </c>
      <c r="C83" s="414" t="s">
        <v>17</v>
      </c>
      <c r="D83" s="414" t="s">
        <v>3648</v>
      </c>
      <c r="E83" s="414"/>
      <c r="F83" s="414"/>
      <c r="G83" s="414"/>
      <c r="H83" s="414"/>
      <c r="I83" s="414"/>
      <c r="J83" s="414"/>
      <c r="K83" s="414"/>
      <c r="L83" s="415" t="s">
        <v>3949</v>
      </c>
      <c r="M83" s="416" t="s">
        <v>2999</v>
      </c>
      <c r="N83" s="416" t="s">
        <v>2999</v>
      </c>
      <c r="O83" s="417"/>
      <c r="P83" s="416">
        <v>4590008195</v>
      </c>
      <c r="Q83" s="418">
        <v>44878</v>
      </c>
      <c r="R83" s="419">
        <v>1</v>
      </c>
      <c r="S83" s="458">
        <v>650175</v>
      </c>
      <c r="T83" s="420" t="s">
        <v>2156</v>
      </c>
      <c r="U83" s="414" t="s">
        <v>3869</v>
      </c>
      <c r="V83" s="414" t="s">
        <v>3870</v>
      </c>
      <c r="W83" s="417" t="s">
        <v>3871</v>
      </c>
      <c r="X83" s="417"/>
      <c r="Y83" s="421" t="s">
        <v>3652</v>
      </c>
      <c r="Z83" s="421" t="s">
        <v>3652</v>
      </c>
      <c r="AA83" s="416" t="s">
        <v>3897</v>
      </c>
      <c r="AB83" s="414" t="s">
        <v>3934</v>
      </c>
      <c r="AC83" s="426"/>
      <c r="AD83" s="421"/>
      <c r="AE83" s="420"/>
      <c r="AF83" s="421">
        <v>90881</v>
      </c>
      <c r="AG83" s="420" t="s">
        <v>3950</v>
      </c>
      <c r="AH83" s="421" t="s">
        <v>3900</v>
      </c>
      <c r="AI83" s="420" t="s">
        <v>3875</v>
      </c>
      <c r="AJ83" s="413">
        <f t="shared" si="2"/>
        <v>4590008195</v>
      </c>
      <c r="AK83" s="423"/>
      <c r="AL83" s="424">
        <v>45017</v>
      </c>
      <c r="AM83" s="221">
        <v>260070</v>
      </c>
      <c r="AN83" s="226">
        <v>45168</v>
      </c>
      <c r="AO83" s="423" t="s">
        <v>3951</v>
      </c>
      <c r="AP83" s="424">
        <v>45351</v>
      </c>
      <c r="AQ83" s="222">
        <v>357596.25</v>
      </c>
      <c r="AR83" s="244">
        <v>45337</v>
      </c>
      <c r="AS83" s="614">
        <f ca="1">表格1_6[[#This Row],[total amount]]/表格1_6[[#This Row],[PO$]]</f>
        <v>0.95</v>
      </c>
      <c r="AT83" s="223">
        <f ca="1">表格1_6[[#This Row],[invoice amount]]+表格1_6[[#This Row],[invoice amount2]]</f>
        <v>617666.25</v>
      </c>
      <c r="AU83" s="224" t="s">
        <v>3673</v>
      </c>
      <c r="AV83" s="248" t="s">
        <v>3952</v>
      </c>
      <c r="AW83" s="423" t="e">
        <f ca="1">VLOOKUP(表格1_6[[#This Row],[TI tool ID2]],工作表1!A:A,1,FALSE)</f>
        <v>#N/A</v>
      </c>
      <c r="AX83" s="425" t="e">
        <f ca="1">VLOOKUP(表格1_6[[#This Row],[PO+ITEM]],工作表1!B:E,2,FALSE)</f>
        <v>#N/A</v>
      </c>
      <c r="AY83" s="425" t="e">
        <f ca="1">VLOOKUP(表格1_6[[#This Row],[PO+ITEM]],工作表1!B:E,3,FALSE)</f>
        <v>#N/A</v>
      </c>
      <c r="AZ83" s="423" t="e">
        <f ca="1">VLOOKUP(表格1_6[[#This Row],[PO+ITEM]],工作表1!B:E,4,FALSE)</f>
        <v>#N/A</v>
      </c>
      <c r="BA83" s="425" t="e">
        <f ca="1">INDEX(工作表1!G:G, MATCH(表格1_6[[#This Row],[invoice number]]&amp;表格1_6[[#This Row],[invoice number2]],工作表1!G:G, 0))</f>
        <v>#N/A</v>
      </c>
      <c r="BB83" s="423" t="e">
        <f ca="1">VLOOKUP(表格1_6[[#This Row],[PO+ITEM]],工作表1!F:H,2,FALSE)</f>
        <v>#N/A</v>
      </c>
    </row>
    <row r="84" spans="1:54" ht="14.45">
      <c r="A84" s="413">
        <v>83</v>
      </c>
      <c r="B84" s="413" t="s">
        <v>3659</v>
      </c>
      <c r="C84" s="414" t="s">
        <v>17</v>
      </c>
      <c r="D84" s="414" t="s">
        <v>3648</v>
      </c>
      <c r="E84" s="414"/>
      <c r="F84" s="414"/>
      <c r="G84" s="414"/>
      <c r="H84" s="414"/>
      <c r="I84" s="414"/>
      <c r="J84" s="414"/>
      <c r="K84" s="414"/>
      <c r="L84" s="415" t="s">
        <v>3953</v>
      </c>
      <c r="M84" s="416" t="s">
        <v>2999</v>
      </c>
      <c r="N84" s="416" t="s">
        <v>2999</v>
      </c>
      <c r="O84" s="417"/>
      <c r="P84" s="416">
        <v>4590008196</v>
      </c>
      <c r="Q84" s="418">
        <v>44878</v>
      </c>
      <c r="R84" s="419">
        <v>1</v>
      </c>
      <c r="S84" s="458">
        <v>650175</v>
      </c>
      <c r="T84" s="420" t="s">
        <v>2156</v>
      </c>
      <c r="U84" s="414" t="s">
        <v>3869</v>
      </c>
      <c r="V84" s="414" t="s">
        <v>3870</v>
      </c>
      <c r="W84" s="417" t="s">
        <v>3871</v>
      </c>
      <c r="X84" s="417"/>
      <c r="Y84" s="421" t="s">
        <v>3652</v>
      </c>
      <c r="Z84" s="421" t="s">
        <v>3652</v>
      </c>
      <c r="AA84" s="416"/>
      <c r="AB84" s="414" t="s">
        <v>3934</v>
      </c>
      <c r="AC84" s="426"/>
      <c r="AD84" s="421"/>
      <c r="AE84" s="420"/>
      <c r="AF84" s="421">
        <v>90883</v>
      </c>
      <c r="AG84" s="420" t="s">
        <v>3954</v>
      </c>
      <c r="AH84" s="421" t="s">
        <v>3900</v>
      </c>
      <c r="AI84" s="420" t="s">
        <v>3875</v>
      </c>
      <c r="AJ84" s="413">
        <f t="shared" si="2"/>
        <v>4590008196</v>
      </c>
      <c r="AK84" s="423"/>
      <c r="AL84" s="413"/>
      <c r="AM84" s="221"/>
      <c r="AN84" s="424"/>
      <c r="AO84" s="423"/>
      <c r="AP84" s="413"/>
      <c r="AQ84" s="222"/>
      <c r="AR84" s="424"/>
      <c r="AS84" s="614">
        <f ca="1">表格1_6[[#This Row],[total amount]]/表格1_6[[#This Row],[PO$]]</f>
        <v>0</v>
      </c>
      <c r="AT84" s="223">
        <f ca="1">表格1_6[[#This Row],[invoice amount]]+表格1_6[[#This Row],[invoice amount2]]</f>
        <v>0</v>
      </c>
      <c r="AU84" s="224"/>
      <c r="AV84" s="423"/>
      <c r="AW84" s="423" t="e">
        <f ca="1">VLOOKUP(表格1_6[[#This Row],[TI tool ID2]],工作表1!A:A,1,FALSE)</f>
        <v>#N/A</v>
      </c>
      <c r="AX84" s="425" t="e">
        <f ca="1">VLOOKUP(表格1_6[[#This Row],[PO+ITEM]],工作表1!B:E,2,FALSE)</f>
        <v>#N/A</v>
      </c>
      <c r="AY84" s="425" t="e">
        <f ca="1">VLOOKUP(表格1_6[[#This Row],[PO+ITEM]],工作表1!B:E,3,FALSE)</f>
        <v>#N/A</v>
      </c>
      <c r="AZ84" s="423" t="e">
        <f ca="1">VLOOKUP(表格1_6[[#This Row],[PO+ITEM]],工作表1!B:E,4,FALSE)</f>
        <v>#N/A</v>
      </c>
      <c r="BA84" s="425" t="e">
        <f ca="1">INDEX(工作表1!G:G, MATCH(表格1_6[[#This Row],[invoice number]]&amp;表格1_6[[#This Row],[invoice number2]],工作表1!G:G, 0))</f>
        <v>#N/A</v>
      </c>
      <c r="BB84" s="423" t="e">
        <f ca="1">VLOOKUP(表格1_6[[#This Row],[PO+ITEM]],工作表1!F:H,2,FALSE)</f>
        <v>#N/A</v>
      </c>
    </row>
    <row r="85" spans="1:54" ht="15.6">
      <c r="A85" s="413">
        <v>84</v>
      </c>
      <c r="B85" s="413" t="s">
        <v>3674</v>
      </c>
      <c r="C85" s="414" t="s">
        <v>17</v>
      </c>
      <c r="D85" s="414" t="s">
        <v>3648</v>
      </c>
      <c r="E85" s="414"/>
      <c r="F85" s="414"/>
      <c r="G85" s="414"/>
      <c r="H85" s="414"/>
      <c r="I85" s="414"/>
      <c r="J85" s="414"/>
      <c r="K85" s="414"/>
      <c r="L85" s="415" t="s">
        <v>3955</v>
      </c>
      <c r="M85" s="416" t="s">
        <v>2999</v>
      </c>
      <c r="N85" s="416" t="s">
        <v>2999</v>
      </c>
      <c r="O85" s="417"/>
      <c r="P85" s="416">
        <v>4590008197</v>
      </c>
      <c r="Q85" s="418">
        <v>44878</v>
      </c>
      <c r="R85" s="419">
        <v>1</v>
      </c>
      <c r="S85" s="458">
        <v>466802</v>
      </c>
      <c r="T85" s="420" t="s">
        <v>2156</v>
      </c>
      <c r="U85" s="414" t="s">
        <v>3869</v>
      </c>
      <c r="V85" s="414" t="s">
        <v>3870</v>
      </c>
      <c r="W85" s="417" t="s">
        <v>3871</v>
      </c>
      <c r="X85" s="417"/>
      <c r="Y85" s="421" t="s">
        <v>3652</v>
      </c>
      <c r="Z85" s="421" t="s">
        <v>3652</v>
      </c>
      <c r="AA85" s="416"/>
      <c r="AB85" s="414" t="s">
        <v>3934</v>
      </c>
      <c r="AC85" s="426"/>
      <c r="AD85" s="421"/>
      <c r="AE85" s="420"/>
      <c r="AF85" s="421">
        <v>90315</v>
      </c>
      <c r="AG85" s="420" t="s">
        <v>3956</v>
      </c>
      <c r="AH85" s="421" t="s">
        <v>3900</v>
      </c>
      <c r="AI85" s="420" t="s">
        <v>3875</v>
      </c>
      <c r="AJ85" s="413">
        <f t="shared" si="2"/>
        <v>4590008197</v>
      </c>
      <c r="AK85" s="423" t="s">
        <v>3957</v>
      </c>
      <c r="AL85" s="424">
        <v>45315</v>
      </c>
      <c r="AM85" s="221">
        <v>443461.89999999997</v>
      </c>
      <c r="AN85" s="244">
        <v>45412</v>
      </c>
      <c r="AO85" s="423"/>
      <c r="AP85" s="413"/>
      <c r="AQ85" s="222"/>
      <c r="AR85" s="424"/>
      <c r="AS85" s="614">
        <f ca="1">表格1_6[[#This Row],[total amount]]/表格1_6[[#This Row],[PO$]]</f>
        <v>0.95</v>
      </c>
      <c r="AT85" s="223">
        <f ca="1">表格1_6[[#This Row],[invoice amount]]+表格1_6[[#This Row],[invoice amount2]]</f>
        <v>443461.89999999997</v>
      </c>
      <c r="AU85" s="224" t="s">
        <v>3673</v>
      </c>
      <c r="AV85" s="423"/>
      <c r="AW85" s="423" t="e">
        <f ca="1">VLOOKUP(表格1_6[[#This Row],[TI tool ID2]],工作表1!A:A,1,FALSE)</f>
        <v>#N/A</v>
      </c>
      <c r="AX85" s="425" t="e">
        <f ca="1">VLOOKUP(表格1_6[[#This Row],[PO+ITEM]],工作表1!B:E,2,FALSE)</f>
        <v>#N/A</v>
      </c>
      <c r="AY85" s="425" t="e">
        <f ca="1">VLOOKUP(表格1_6[[#This Row],[PO+ITEM]],工作表1!B:E,3,FALSE)</f>
        <v>#N/A</v>
      </c>
      <c r="AZ85" s="423" t="e">
        <f ca="1">VLOOKUP(表格1_6[[#This Row],[PO+ITEM]],工作表1!B:E,4,FALSE)</f>
        <v>#N/A</v>
      </c>
      <c r="BA85" s="425" t="e">
        <f ca="1">INDEX(工作表1!G:G, MATCH(表格1_6[[#This Row],[invoice number]]&amp;表格1_6[[#This Row],[invoice number2]],工作表1!G:G, 0))</f>
        <v>#N/A</v>
      </c>
      <c r="BB85" s="423" t="e">
        <f ca="1">VLOOKUP(表格1_6[[#This Row],[PO+ITEM]],工作表1!F:H,2,FALSE)</f>
        <v>#N/A</v>
      </c>
    </row>
    <row r="86" spans="1:54" ht="14.45">
      <c r="A86" s="413">
        <v>85</v>
      </c>
      <c r="B86" s="413" t="s">
        <v>3659</v>
      </c>
      <c r="C86" s="414" t="s">
        <v>17</v>
      </c>
      <c r="D86" s="414" t="s">
        <v>3648</v>
      </c>
      <c r="E86" s="414"/>
      <c r="F86" s="414"/>
      <c r="G86" s="414"/>
      <c r="H86" s="414"/>
      <c r="I86" s="414"/>
      <c r="J86" s="414"/>
      <c r="K86" s="414"/>
      <c r="L86" s="415" t="s">
        <v>3958</v>
      </c>
      <c r="M86" s="416" t="s">
        <v>2999</v>
      </c>
      <c r="N86" s="416" t="s">
        <v>2999</v>
      </c>
      <c r="O86" s="417"/>
      <c r="P86" s="416">
        <v>4590008198</v>
      </c>
      <c r="Q86" s="418">
        <v>44878</v>
      </c>
      <c r="R86" s="419">
        <v>1</v>
      </c>
      <c r="S86" s="458">
        <v>466802</v>
      </c>
      <c r="T86" s="420" t="s">
        <v>2156</v>
      </c>
      <c r="U86" s="414" t="s">
        <v>3869</v>
      </c>
      <c r="V86" s="414" t="s">
        <v>3870</v>
      </c>
      <c r="W86" s="417" t="s">
        <v>3871</v>
      </c>
      <c r="X86" s="417"/>
      <c r="Y86" s="421" t="s">
        <v>3652</v>
      </c>
      <c r="Z86" s="421" t="s">
        <v>3652</v>
      </c>
      <c r="AA86" s="416"/>
      <c r="AB86" s="414" t="s">
        <v>3934</v>
      </c>
      <c r="AC86" s="426"/>
      <c r="AD86" s="421"/>
      <c r="AE86" s="420"/>
      <c r="AF86" s="421">
        <v>90985</v>
      </c>
      <c r="AG86" s="420" t="s">
        <v>3959</v>
      </c>
      <c r="AH86" s="421" t="s">
        <v>3900</v>
      </c>
      <c r="AI86" s="420" t="s">
        <v>3875</v>
      </c>
      <c r="AJ86" s="413">
        <f t="shared" si="2"/>
        <v>4590008198</v>
      </c>
      <c r="AK86" s="423"/>
      <c r="AL86" s="413"/>
      <c r="AM86" s="221"/>
      <c r="AN86" s="424"/>
      <c r="AO86" s="423"/>
      <c r="AP86" s="413"/>
      <c r="AQ86" s="222"/>
      <c r="AR86" s="424"/>
      <c r="AS86" s="614">
        <f ca="1">表格1_6[[#This Row],[total amount]]/表格1_6[[#This Row],[PO$]]</f>
        <v>0</v>
      </c>
      <c r="AT86" s="223">
        <f ca="1">表格1_6[[#This Row],[invoice amount]]+表格1_6[[#This Row],[invoice amount2]]</f>
        <v>0</v>
      </c>
      <c r="AU86" s="224"/>
      <c r="AV86" s="423"/>
      <c r="AW86" s="423" t="e">
        <f ca="1">VLOOKUP(表格1_6[[#This Row],[TI tool ID2]],工作表1!A:A,1,FALSE)</f>
        <v>#N/A</v>
      </c>
      <c r="AX86" s="425" t="e">
        <f ca="1">VLOOKUP(表格1_6[[#This Row],[PO+ITEM]],工作表1!B:E,2,FALSE)</f>
        <v>#N/A</v>
      </c>
      <c r="AY86" s="425" t="e">
        <f ca="1">VLOOKUP(表格1_6[[#This Row],[PO+ITEM]],工作表1!B:E,3,FALSE)</f>
        <v>#N/A</v>
      </c>
      <c r="AZ86" s="423" t="e">
        <f ca="1">VLOOKUP(表格1_6[[#This Row],[PO+ITEM]],工作表1!B:E,4,FALSE)</f>
        <v>#N/A</v>
      </c>
      <c r="BA86" s="425" t="e">
        <f ca="1">INDEX(工作表1!G:G, MATCH(表格1_6[[#This Row],[invoice number]]&amp;表格1_6[[#This Row],[invoice number2]],工作表1!G:G, 0))</f>
        <v>#N/A</v>
      </c>
      <c r="BB86" s="423" t="e">
        <f ca="1">VLOOKUP(表格1_6[[#This Row],[PO+ITEM]],工作表1!F:H,2,FALSE)</f>
        <v>#N/A</v>
      </c>
    </row>
    <row r="87" spans="1:54" ht="14.45">
      <c r="A87" s="413">
        <v>86</v>
      </c>
      <c r="B87" s="413" t="s">
        <v>3659</v>
      </c>
      <c r="C87" s="414" t="s">
        <v>17</v>
      </c>
      <c r="D87" s="414" t="s">
        <v>3648</v>
      </c>
      <c r="E87" s="414"/>
      <c r="F87" s="414"/>
      <c r="G87" s="414"/>
      <c r="H87" s="414"/>
      <c r="I87" s="414"/>
      <c r="J87" s="414"/>
      <c r="K87" s="414"/>
      <c r="L87" s="415" t="s">
        <v>3960</v>
      </c>
      <c r="M87" s="416" t="s">
        <v>2999</v>
      </c>
      <c r="N87" s="416" t="s">
        <v>2999</v>
      </c>
      <c r="O87" s="417"/>
      <c r="P87" s="416">
        <v>4590008199</v>
      </c>
      <c r="Q87" s="418">
        <v>44878</v>
      </c>
      <c r="R87" s="419">
        <v>1</v>
      </c>
      <c r="S87" s="458">
        <v>466802</v>
      </c>
      <c r="T87" s="420" t="s">
        <v>2156</v>
      </c>
      <c r="U87" s="414" t="s">
        <v>3869</v>
      </c>
      <c r="V87" s="414" t="s">
        <v>3870</v>
      </c>
      <c r="W87" s="417" t="s">
        <v>3871</v>
      </c>
      <c r="X87" s="417"/>
      <c r="Y87" s="421" t="s">
        <v>3652</v>
      </c>
      <c r="Z87" s="421" t="s">
        <v>3652</v>
      </c>
      <c r="AA87" s="416"/>
      <c r="AB87" s="414" t="s">
        <v>3934</v>
      </c>
      <c r="AC87" s="426"/>
      <c r="AD87" s="421"/>
      <c r="AE87" s="420"/>
      <c r="AF87" s="421">
        <v>90986</v>
      </c>
      <c r="AG87" s="420" t="s">
        <v>3961</v>
      </c>
      <c r="AH87" s="421" t="s">
        <v>3900</v>
      </c>
      <c r="AI87" s="420" t="s">
        <v>3875</v>
      </c>
      <c r="AJ87" s="413">
        <f t="shared" si="2"/>
        <v>4590008199</v>
      </c>
      <c r="AK87" s="423"/>
      <c r="AL87" s="413"/>
      <c r="AM87" s="221"/>
      <c r="AN87" s="424"/>
      <c r="AO87" s="423"/>
      <c r="AP87" s="413"/>
      <c r="AQ87" s="222"/>
      <c r="AR87" s="424"/>
      <c r="AS87" s="614">
        <f ca="1">表格1_6[[#This Row],[total amount]]/表格1_6[[#This Row],[PO$]]</f>
        <v>0</v>
      </c>
      <c r="AT87" s="223">
        <f ca="1">表格1_6[[#This Row],[invoice amount]]+表格1_6[[#This Row],[invoice amount2]]</f>
        <v>0</v>
      </c>
      <c r="AU87" s="224"/>
      <c r="AV87" s="423"/>
      <c r="AW87" s="423" t="e">
        <f ca="1">VLOOKUP(表格1_6[[#This Row],[TI tool ID2]],工作表1!A:A,1,FALSE)</f>
        <v>#N/A</v>
      </c>
      <c r="AX87" s="425" t="e">
        <f ca="1">VLOOKUP(表格1_6[[#This Row],[PO+ITEM]],工作表1!B:E,2,FALSE)</f>
        <v>#N/A</v>
      </c>
      <c r="AY87" s="425" t="e">
        <f ca="1">VLOOKUP(表格1_6[[#This Row],[PO+ITEM]],工作表1!B:E,3,FALSE)</f>
        <v>#N/A</v>
      </c>
      <c r="AZ87" s="423" t="e">
        <f ca="1">VLOOKUP(表格1_6[[#This Row],[PO+ITEM]],工作表1!B:E,4,FALSE)</f>
        <v>#N/A</v>
      </c>
      <c r="BA87" s="425" t="e">
        <f ca="1">INDEX(工作表1!G:G, MATCH(表格1_6[[#This Row],[invoice number]]&amp;表格1_6[[#This Row],[invoice number2]],工作表1!G:G, 0))</f>
        <v>#N/A</v>
      </c>
      <c r="BB87" s="423" t="e">
        <f ca="1">VLOOKUP(表格1_6[[#This Row],[PO+ITEM]],工作表1!F:H,2,FALSE)</f>
        <v>#N/A</v>
      </c>
    </row>
    <row r="88" spans="1:54" ht="14.45">
      <c r="A88" s="413">
        <v>87</v>
      </c>
      <c r="B88" s="413" t="s">
        <v>3659</v>
      </c>
      <c r="C88" s="414" t="s">
        <v>17</v>
      </c>
      <c r="D88" s="414" t="s">
        <v>3648</v>
      </c>
      <c r="E88" s="414"/>
      <c r="F88" s="414"/>
      <c r="G88" s="414"/>
      <c r="H88" s="414"/>
      <c r="I88" s="414"/>
      <c r="J88" s="414"/>
      <c r="K88" s="414"/>
      <c r="L88" s="415" t="s">
        <v>3962</v>
      </c>
      <c r="M88" s="416" t="s">
        <v>2999</v>
      </c>
      <c r="N88" s="416" t="s">
        <v>2999</v>
      </c>
      <c r="O88" s="417"/>
      <c r="P88" s="416">
        <v>4590008200</v>
      </c>
      <c r="Q88" s="418">
        <v>44878</v>
      </c>
      <c r="R88" s="419">
        <v>1</v>
      </c>
      <c r="S88" s="458">
        <v>466802</v>
      </c>
      <c r="T88" s="420" t="s">
        <v>2156</v>
      </c>
      <c r="U88" s="414" t="s">
        <v>3869</v>
      </c>
      <c r="V88" s="414" t="s">
        <v>3870</v>
      </c>
      <c r="W88" s="417" t="s">
        <v>3871</v>
      </c>
      <c r="X88" s="417"/>
      <c r="Y88" s="421" t="s">
        <v>3652</v>
      </c>
      <c r="Z88" s="421" t="s">
        <v>3652</v>
      </c>
      <c r="AA88" s="416"/>
      <c r="AB88" s="414" t="s">
        <v>3934</v>
      </c>
      <c r="AC88" s="426"/>
      <c r="AD88" s="421"/>
      <c r="AE88" s="420"/>
      <c r="AF88" s="421">
        <v>90987</v>
      </c>
      <c r="AG88" s="420" t="s">
        <v>3963</v>
      </c>
      <c r="AH88" s="421" t="s">
        <v>3900</v>
      </c>
      <c r="AI88" s="420" t="s">
        <v>3875</v>
      </c>
      <c r="AJ88" s="413">
        <f t="shared" si="2"/>
        <v>4590008200</v>
      </c>
      <c r="AK88" s="423"/>
      <c r="AL88" s="413"/>
      <c r="AM88" s="221"/>
      <c r="AN88" s="424"/>
      <c r="AO88" s="423"/>
      <c r="AP88" s="413"/>
      <c r="AQ88" s="222"/>
      <c r="AR88" s="424"/>
      <c r="AS88" s="614">
        <f ca="1">表格1_6[[#This Row],[total amount]]/表格1_6[[#This Row],[PO$]]</f>
        <v>0</v>
      </c>
      <c r="AT88" s="223">
        <f ca="1">表格1_6[[#This Row],[invoice amount]]+表格1_6[[#This Row],[invoice amount2]]</f>
        <v>0</v>
      </c>
      <c r="AU88" s="224"/>
      <c r="AV88" s="423"/>
      <c r="AW88" s="423" t="e">
        <f ca="1">VLOOKUP(表格1_6[[#This Row],[TI tool ID2]],工作表1!A:A,1,FALSE)</f>
        <v>#N/A</v>
      </c>
      <c r="AX88" s="425" t="e">
        <f ca="1">VLOOKUP(表格1_6[[#This Row],[PO+ITEM]],工作表1!B:E,2,FALSE)</f>
        <v>#N/A</v>
      </c>
      <c r="AY88" s="425" t="e">
        <f ca="1">VLOOKUP(表格1_6[[#This Row],[PO+ITEM]],工作表1!B:E,3,FALSE)</f>
        <v>#N/A</v>
      </c>
      <c r="AZ88" s="423" t="e">
        <f ca="1">VLOOKUP(表格1_6[[#This Row],[PO+ITEM]],工作表1!B:E,4,FALSE)</f>
        <v>#N/A</v>
      </c>
      <c r="BA88" s="425" t="e">
        <f ca="1">INDEX(工作表1!G:G, MATCH(表格1_6[[#This Row],[invoice number]]&amp;表格1_6[[#This Row],[invoice number2]],工作表1!G:G, 0))</f>
        <v>#N/A</v>
      </c>
      <c r="BB88" s="423" t="e">
        <f ca="1">VLOOKUP(表格1_6[[#This Row],[PO+ITEM]],工作表1!F:H,2,FALSE)</f>
        <v>#N/A</v>
      </c>
    </row>
    <row r="89" spans="1:54" ht="14.45">
      <c r="A89" s="413">
        <v>88</v>
      </c>
      <c r="B89" s="413" t="s">
        <v>3674</v>
      </c>
      <c r="C89" s="414" t="s">
        <v>17</v>
      </c>
      <c r="D89" s="414" t="s">
        <v>3648</v>
      </c>
      <c r="E89" s="414"/>
      <c r="F89" s="414"/>
      <c r="G89" s="414"/>
      <c r="H89" s="414"/>
      <c r="I89" s="414"/>
      <c r="J89" s="414"/>
      <c r="K89" s="414"/>
      <c r="L89" s="415" t="s">
        <v>3964</v>
      </c>
      <c r="M89" s="416" t="s">
        <v>2999</v>
      </c>
      <c r="N89" s="416" t="s">
        <v>2999</v>
      </c>
      <c r="O89" s="417"/>
      <c r="P89" s="416">
        <v>4590008201</v>
      </c>
      <c r="Q89" s="418">
        <v>44878</v>
      </c>
      <c r="R89" s="419">
        <v>1</v>
      </c>
      <c r="S89" s="458">
        <v>650174.79</v>
      </c>
      <c r="T89" s="420" t="s">
        <v>2156</v>
      </c>
      <c r="U89" s="414" t="s">
        <v>3869</v>
      </c>
      <c r="V89" s="414" t="s">
        <v>3870</v>
      </c>
      <c r="W89" s="417" t="s">
        <v>3871</v>
      </c>
      <c r="X89" s="417"/>
      <c r="Y89" s="421" t="s">
        <v>3652</v>
      </c>
      <c r="Z89" s="421" t="s">
        <v>3652</v>
      </c>
      <c r="AA89" s="416"/>
      <c r="AB89" s="414" t="s">
        <v>3934</v>
      </c>
      <c r="AC89" s="426"/>
      <c r="AD89" s="421"/>
      <c r="AE89" s="420"/>
      <c r="AF89" s="421">
        <v>90310</v>
      </c>
      <c r="AG89" s="420" t="s">
        <v>3965</v>
      </c>
      <c r="AH89" s="421" t="s">
        <v>3900</v>
      </c>
      <c r="AI89" s="420" t="s">
        <v>3875</v>
      </c>
      <c r="AJ89" s="413">
        <f t="shared" si="2"/>
        <v>4590008201</v>
      </c>
      <c r="AK89" s="423" t="s">
        <v>3966</v>
      </c>
      <c r="AL89" s="424">
        <v>45401</v>
      </c>
      <c r="AM89" s="221">
        <v>650174.79</v>
      </c>
      <c r="AN89" s="424">
        <v>45503</v>
      </c>
      <c r="AO89" s="423"/>
      <c r="AP89" s="413"/>
      <c r="AQ89" s="222"/>
      <c r="AR89" s="424"/>
      <c r="AS89" s="614">
        <f ca="1">表格1_6[[#This Row],[total amount]]/表格1_6[[#This Row],[PO$]]</f>
        <v>1</v>
      </c>
      <c r="AT89" s="223">
        <f ca="1">表格1_6[[#This Row],[invoice amount]]+表格1_6[[#This Row],[invoice amount2]]</f>
        <v>650174.79</v>
      </c>
      <c r="AU89" s="224" t="s">
        <v>3725</v>
      </c>
      <c r="AV89" s="423"/>
      <c r="AW89" s="423" t="e">
        <f ca="1">VLOOKUP(表格1_6[[#This Row],[TI tool ID2]],工作表1!A:A,1,FALSE)</f>
        <v>#N/A</v>
      </c>
      <c r="AX89" s="425" t="e">
        <f ca="1">VLOOKUP(表格1_6[[#This Row],[PO+ITEM]],工作表1!B:E,2,FALSE)</f>
        <v>#N/A</v>
      </c>
      <c r="AY89" s="425" t="e">
        <f ca="1">VLOOKUP(表格1_6[[#This Row],[PO+ITEM]],工作表1!B:E,3,FALSE)</f>
        <v>#N/A</v>
      </c>
      <c r="AZ89" s="423" t="e">
        <f ca="1">VLOOKUP(表格1_6[[#This Row],[PO+ITEM]],工作表1!B:E,4,FALSE)</f>
        <v>#N/A</v>
      </c>
      <c r="BA89" s="425" t="e">
        <f ca="1">INDEX(工作表1!G:G, MATCH(表格1_6[[#This Row],[invoice number]]&amp;表格1_6[[#This Row],[invoice number2]],工作表1!G:G, 0))</f>
        <v>#N/A</v>
      </c>
      <c r="BB89" s="423" t="e">
        <f ca="1">VLOOKUP(表格1_6[[#This Row],[PO+ITEM]],工作表1!F:H,2,FALSE)</f>
        <v>#N/A</v>
      </c>
    </row>
    <row r="90" spans="1:54" ht="14.45">
      <c r="A90" s="413">
        <v>89</v>
      </c>
      <c r="B90" s="413" t="s">
        <v>3659</v>
      </c>
      <c r="C90" s="414" t="s">
        <v>17</v>
      </c>
      <c r="D90" s="414" t="s">
        <v>3648</v>
      </c>
      <c r="E90" s="414"/>
      <c r="F90" s="414"/>
      <c r="G90" s="414"/>
      <c r="H90" s="414"/>
      <c r="I90" s="414"/>
      <c r="J90" s="414"/>
      <c r="K90" s="414"/>
      <c r="L90" s="415" t="s">
        <v>3967</v>
      </c>
      <c r="M90" s="416" t="s">
        <v>2999</v>
      </c>
      <c r="N90" s="416" t="s">
        <v>2999</v>
      </c>
      <c r="O90" s="417"/>
      <c r="P90" s="416">
        <v>4590008202</v>
      </c>
      <c r="Q90" s="418">
        <v>44878</v>
      </c>
      <c r="R90" s="419">
        <v>1</v>
      </c>
      <c r="S90" s="458">
        <v>650174.79</v>
      </c>
      <c r="T90" s="420" t="s">
        <v>2156</v>
      </c>
      <c r="U90" s="414" t="s">
        <v>3869</v>
      </c>
      <c r="V90" s="414" t="s">
        <v>3870</v>
      </c>
      <c r="W90" s="417" t="s">
        <v>3871</v>
      </c>
      <c r="X90" s="417"/>
      <c r="Y90" s="421" t="s">
        <v>3652</v>
      </c>
      <c r="Z90" s="421" t="s">
        <v>3652</v>
      </c>
      <c r="AA90" s="416"/>
      <c r="AB90" s="414" t="s">
        <v>3934</v>
      </c>
      <c r="AC90" s="426"/>
      <c r="AD90" s="421"/>
      <c r="AE90" s="420"/>
      <c r="AF90" s="421">
        <v>91390</v>
      </c>
      <c r="AG90" s="420" t="s">
        <v>3968</v>
      </c>
      <c r="AH90" s="421" t="s">
        <v>3900</v>
      </c>
      <c r="AI90" s="420" t="s">
        <v>3875</v>
      </c>
      <c r="AJ90" s="413">
        <f t="shared" si="2"/>
        <v>4590008202</v>
      </c>
      <c r="AK90" s="423"/>
      <c r="AL90" s="413"/>
      <c r="AM90" s="221"/>
      <c r="AN90" s="424"/>
      <c r="AO90" s="423"/>
      <c r="AP90" s="413"/>
      <c r="AQ90" s="222"/>
      <c r="AR90" s="424"/>
      <c r="AS90" s="614">
        <f ca="1">表格1_6[[#This Row],[total amount]]/表格1_6[[#This Row],[PO$]]</f>
        <v>0</v>
      </c>
      <c r="AT90" s="223">
        <f ca="1">表格1_6[[#This Row],[invoice amount]]+表格1_6[[#This Row],[invoice amount2]]</f>
        <v>0</v>
      </c>
      <c r="AU90" s="224"/>
      <c r="AV90" s="423"/>
      <c r="AW90" s="423" t="e">
        <f ca="1">VLOOKUP(表格1_6[[#This Row],[TI tool ID2]],工作表1!A:A,1,FALSE)</f>
        <v>#N/A</v>
      </c>
      <c r="AX90" s="425" t="e">
        <f ca="1">VLOOKUP(表格1_6[[#This Row],[PO+ITEM]],工作表1!B:E,2,FALSE)</f>
        <v>#N/A</v>
      </c>
      <c r="AY90" s="425" t="e">
        <f ca="1">VLOOKUP(表格1_6[[#This Row],[PO+ITEM]],工作表1!B:E,3,FALSE)</f>
        <v>#N/A</v>
      </c>
      <c r="AZ90" s="423" t="e">
        <f ca="1">VLOOKUP(表格1_6[[#This Row],[PO+ITEM]],工作表1!B:E,4,FALSE)</f>
        <v>#N/A</v>
      </c>
      <c r="BA90" s="425" t="e">
        <f ca="1">INDEX(工作表1!G:G, MATCH(表格1_6[[#This Row],[invoice number]]&amp;表格1_6[[#This Row],[invoice number2]],工作表1!G:G, 0))</f>
        <v>#N/A</v>
      </c>
      <c r="BB90" s="423" t="e">
        <f ca="1">VLOOKUP(表格1_6[[#This Row],[PO+ITEM]],工作表1!F:H,2,FALSE)</f>
        <v>#N/A</v>
      </c>
    </row>
    <row r="91" spans="1:54">
      <c r="A91" s="413">
        <v>90</v>
      </c>
      <c r="B91" s="413" t="s">
        <v>3674</v>
      </c>
      <c r="C91" s="414" t="s">
        <v>17</v>
      </c>
      <c r="D91" s="414" t="s">
        <v>3648</v>
      </c>
      <c r="E91" s="414"/>
      <c r="F91" s="414"/>
      <c r="G91" s="414"/>
      <c r="H91" s="414"/>
      <c r="I91" s="414"/>
      <c r="J91" s="414"/>
      <c r="K91" s="414"/>
      <c r="L91" s="415" t="s">
        <v>3969</v>
      </c>
      <c r="M91" s="416" t="s">
        <v>2999</v>
      </c>
      <c r="N91" s="416" t="s">
        <v>2999</v>
      </c>
      <c r="O91" s="417"/>
      <c r="P91" s="416">
        <v>4590008203</v>
      </c>
      <c r="Q91" s="418">
        <v>44878</v>
      </c>
      <c r="R91" s="419">
        <v>1</v>
      </c>
      <c r="S91" s="458">
        <v>466802</v>
      </c>
      <c r="T91" s="420" t="s">
        <v>2156</v>
      </c>
      <c r="U91" s="414" t="s">
        <v>3869</v>
      </c>
      <c r="V91" s="414" t="s">
        <v>3870</v>
      </c>
      <c r="W91" s="417" t="s">
        <v>3871</v>
      </c>
      <c r="X91" s="417"/>
      <c r="Y91" s="421" t="s">
        <v>3652</v>
      </c>
      <c r="Z91" s="421" t="s">
        <v>3652</v>
      </c>
      <c r="AA91" s="416"/>
      <c r="AB91" s="414" t="s">
        <v>3934</v>
      </c>
      <c r="AC91" s="426"/>
      <c r="AD91" s="421"/>
      <c r="AE91" s="420"/>
      <c r="AF91" s="421">
        <v>90312</v>
      </c>
      <c r="AG91" s="420" t="s">
        <v>3970</v>
      </c>
      <c r="AH91" s="421" t="s">
        <v>3900</v>
      </c>
      <c r="AI91" s="420" t="s">
        <v>3875</v>
      </c>
      <c r="AJ91" s="413">
        <f t="shared" si="2"/>
        <v>4590008203</v>
      </c>
      <c r="AK91" s="425" t="s">
        <v>3971</v>
      </c>
      <c r="AL91" s="424">
        <v>45555</v>
      </c>
      <c r="AM91" s="221">
        <v>466802</v>
      </c>
      <c r="AN91" s="424"/>
      <c r="AO91" s="423"/>
      <c r="AP91" s="413"/>
      <c r="AQ91" s="222"/>
      <c r="AR91" s="424"/>
      <c r="AS91" s="614">
        <f ca="1">表格1_6[[#This Row],[total amount]]/表格1_6[[#This Row],[PO$]]</f>
        <v>1</v>
      </c>
      <c r="AT91" s="223">
        <f ca="1">表格1_6[[#This Row],[invoice amount]]+表格1_6[[#This Row],[invoice amount2]]</f>
        <v>466802</v>
      </c>
      <c r="AU91" s="224"/>
      <c r="AV91" s="591" t="s">
        <v>3972</v>
      </c>
      <c r="AW91" s="423" t="e">
        <f ca="1">VLOOKUP(表格1_6[[#This Row],[TI tool ID2]],工作表1!A:A,1,FALSE)</f>
        <v>#N/A</v>
      </c>
      <c r="AX91" s="425" t="e">
        <f ca="1">VLOOKUP(表格1_6[[#This Row],[PO+ITEM]],工作表1!B:E,2,FALSE)</f>
        <v>#N/A</v>
      </c>
      <c r="AY91" s="425" t="e">
        <f ca="1">VLOOKUP(表格1_6[[#This Row],[PO+ITEM]],工作表1!B:E,3,FALSE)</f>
        <v>#N/A</v>
      </c>
      <c r="AZ91" s="423" t="e">
        <f ca="1">VLOOKUP(表格1_6[[#This Row],[PO+ITEM]],工作表1!B:E,4,FALSE)</f>
        <v>#N/A</v>
      </c>
      <c r="BA91" s="425" t="e">
        <f ca="1">INDEX(工作表1!G:G, MATCH(表格1_6[[#This Row],[invoice number]]&amp;表格1_6[[#This Row],[invoice number2]],工作表1!G:G, 0))</f>
        <v>#N/A</v>
      </c>
      <c r="BB91" s="423" t="e">
        <f ca="1">VLOOKUP(表格1_6[[#This Row],[PO+ITEM]],工作表1!F:H,2,FALSE)</f>
        <v>#N/A</v>
      </c>
    </row>
    <row r="92" spans="1:54" ht="14.45">
      <c r="A92" s="413">
        <v>91</v>
      </c>
      <c r="B92" s="413" t="s">
        <v>3659</v>
      </c>
      <c r="C92" s="414" t="s">
        <v>17</v>
      </c>
      <c r="D92" s="414" t="s">
        <v>3648</v>
      </c>
      <c r="E92" s="414"/>
      <c r="F92" s="414"/>
      <c r="G92" s="414"/>
      <c r="H92" s="414"/>
      <c r="I92" s="414"/>
      <c r="J92" s="414"/>
      <c r="K92" s="414"/>
      <c r="L92" s="415" t="s">
        <v>3973</v>
      </c>
      <c r="M92" s="416" t="s">
        <v>2999</v>
      </c>
      <c r="N92" s="416" t="s">
        <v>2999</v>
      </c>
      <c r="O92" s="417"/>
      <c r="P92" s="416">
        <v>4590008204</v>
      </c>
      <c r="Q92" s="418">
        <v>44878</v>
      </c>
      <c r="R92" s="419">
        <v>1</v>
      </c>
      <c r="S92" s="458">
        <v>466802</v>
      </c>
      <c r="T92" s="420" t="s">
        <v>2156</v>
      </c>
      <c r="U92" s="414" t="s">
        <v>3869</v>
      </c>
      <c r="V92" s="414" t="s">
        <v>3870</v>
      </c>
      <c r="W92" s="417" t="s">
        <v>3871</v>
      </c>
      <c r="X92" s="417"/>
      <c r="Y92" s="421" t="s">
        <v>3652</v>
      </c>
      <c r="Z92" s="421" t="s">
        <v>3652</v>
      </c>
      <c r="AA92" s="416" t="s">
        <v>3974</v>
      </c>
      <c r="AB92" s="414" t="s">
        <v>3934</v>
      </c>
      <c r="AC92" s="426"/>
      <c r="AD92" s="421"/>
      <c r="AE92" s="420"/>
      <c r="AF92" s="421">
        <v>90884</v>
      </c>
      <c r="AG92" s="420" t="s">
        <v>3975</v>
      </c>
      <c r="AH92" s="421" t="s">
        <v>3900</v>
      </c>
      <c r="AI92" s="420" t="s">
        <v>3875</v>
      </c>
      <c r="AJ92" s="413">
        <f t="shared" si="2"/>
        <v>4590008204</v>
      </c>
      <c r="AK92" s="423"/>
      <c r="AL92" s="413"/>
      <c r="AM92" s="221"/>
      <c r="AN92" s="424"/>
      <c r="AO92" s="423"/>
      <c r="AP92" s="413"/>
      <c r="AQ92" s="222"/>
      <c r="AR92" s="424"/>
      <c r="AS92" s="614">
        <f ca="1">表格1_6[[#This Row],[total amount]]/表格1_6[[#This Row],[PO$]]</f>
        <v>0</v>
      </c>
      <c r="AT92" s="223">
        <f ca="1">表格1_6[[#This Row],[invoice amount]]+表格1_6[[#This Row],[invoice amount2]]</f>
        <v>0</v>
      </c>
      <c r="AU92" s="224"/>
      <c r="AV92" s="423"/>
      <c r="AW92" s="423" t="str">
        <f ca="1">VLOOKUP(表格1_6[[#This Row],[TI tool ID2]],工作表1!A:A,1,FALSE)</f>
        <v>KPAE02-S</v>
      </c>
      <c r="AX92" s="425" t="e">
        <f ca="1">VLOOKUP(表格1_6[[#This Row],[PO+ITEM]],工作表1!B:E,2,FALSE)</f>
        <v>#N/A</v>
      </c>
      <c r="AY92" s="425" t="e">
        <f ca="1">VLOOKUP(表格1_6[[#This Row],[PO+ITEM]],工作表1!B:E,3,FALSE)</f>
        <v>#N/A</v>
      </c>
      <c r="AZ92" s="423" t="e">
        <f ca="1">VLOOKUP(表格1_6[[#This Row],[PO+ITEM]],工作表1!B:E,4,FALSE)</f>
        <v>#N/A</v>
      </c>
      <c r="BA92" s="425" t="e">
        <f ca="1">INDEX(工作表1!G:G, MATCH(表格1_6[[#This Row],[invoice number]]&amp;表格1_6[[#This Row],[invoice number2]],工作表1!G:G, 0))</f>
        <v>#N/A</v>
      </c>
      <c r="BB92" s="423" t="e">
        <f ca="1">VLOOKUP(表格1_6[[#This Row],[PO+ITEM]],工作表1!F:H,2,FALSE)</f>
        <v>#N/A</v>
      </c>
    </row>
    <row r="93" spans="1:54" ht="15.6">
      <c r="A93" s="413">
        <v>92</v>
      </c>
      <c r="B93" s="413" t="s">
        <v>3674</v>
      </c>
      <c r="C93" s="414" t="s">
        <v>17</v>
      </c>
      <c r="D93" s="414" t="s">
        <v>3648</v>
      </c>
      <c r="E93" s="414"/>
      <c r="F93" s="414"/>
      <c r="G93" s="414"/>
      <c r="H93" s="414"/>
      <c r="I93" s="414"/>
      <c r="J93" s="414"/>
      <c r="K93" s="414"/>
      <c r="L93" s="420" t="s">
        <v>3976</v>
      </c>
      <c r="M93" s="416" t="s">
        <v>2999</v>
      </c>
      <c r="N93" s="416" t="s">
        <v>2999</v>
      </c>
      <c r="O93" s="417"/>
      <c r="P93" s="416">
        <v>4590008205</v>
      </c>
      <c r="Q93" s="418">
        <v>44878</v>
      </c>
      <c r="R93" s="419">
        <v>1</v>
      </c>
      <c r="S93" s="458">
        <v>466802</v>
      </c>
      <c r="T93" s="420" t="s">
        <v>2156</v>
      </c>
      <c r="U93" s="414" t="s">
        <v>3869</v>
      </c>
      <c r="V93" s="414" t="s">
        <v>3870</v>
      </c>
      <c r="W93" s="417" t="s">
        <v>3871</v>
      </c>
      <c r="X93" s="417"/>
      <c r="Y93" s="421" t="s">
        <v>3652</v>
      </c>
      <c r="Z93" s="421" t="s">
        <v>3652</v>
      </c>
      <c r="AA93" s="416"/>
      <c r="AB93" s="414" t="s">
        <v>3934</v>
      </c>
      <c r="AC93" s="426"/>
      <c r="AD93" s="421"/>
      <c r="AE93" s="420"/>
      <c r="AF93" s="421">
        <v>90313</v>
      </c>
      <c r="AG93" s="420" t="s">
        <v>3977</v>
      </c>
      <c r="AH93" s="421" t="s">
        <v>3900</v>
      </c>
      <c r="AI93" s="420" t="s">
        <v>3875</v>
      </c>
      <c r="AJ93" s="413">
        <f t="shared" si="2"/>
        <v>4590008205</v>
      </c>
      <c r="AK93" s="423" t="s">
        <v>3978</v>
      </c>
      <c r="AL93" s="424">
        <v>45315</v>
      </c>
      <c r="AM93" s="221">
        <v>443461.89999999997</v>
      </c>
      <c r="AN93" s="244">
        <v>45412</v>
      </c>
      <c r="AO93" s="423"/>
      <c r="AP93" s="413"/>
      <c r="AQ93" s="222"/>
      <c r="AR93" s="424"/>
      <c r="AS93" s="614">
        <f ca="1">表格1_6[[#This Row],[total amount]]/表格1_6[[#This Row],[PO$]]</f>
        <v>0.95</v>
      </c>
      <c r="AT93" s="223">
        <f ca="1">表格1_6[[#This Row],[invoice amount]]+表格1_6[[#This Row],[invoice amount2]]</f>
        <v>443461.89999999997</v>
      </c>
      <c r="AU93" s="224" t="s">
        <v>3673</v>
      </c>
      <c r="AV93" s="423"/>
      <c r="AW93" s="423" t="e">
        <f ca="1">VLOOKUP(表格1_6[[#This Row],[TI tool ID2]],工作表1!A:A,1,FALSE)</f>
        <v>#N/A</v>
      </c>
      <c r="AX93" s="425" t="e">
        <f ca="1">VLOOKUP(表格1_6[[#This Row],[PO+ITEM]],工作表1!B:E,2,FALSE)</f>
        <v>#N/A</v>
      </c>
      <c r="AY93" s="425" t="e">
        <f ca="1">VLOOKUP(表格1_6[[#This Row],[PO+ITEM]],工作表1!B:E,3,FALSE)</f>
        <v>#N/A</v>
      </c>
      <c r="AZ93" s="423" t="e">
        <f ca="1">VLOOKUP(表格1_6[[#This Row],[PO+ITEM]],工作表1!B:E,4,FALSE)</f>
        <v>#N/A</v>
      </c>
      <c r="BA93" s="425" t="e">
        <f ca="1">INDEX(工作表1!G:G, MATCH(表格1_6[[#This Row],[invoice number]]&amp;表格1_6[[#This Row],[invoice number2]],工作表1!G:G, 0))</f>
        <v>#N/A</v>
      </c>
      <c r="BB93" s="423" t="e">
        <f ca="1">VLOOKUP(表格1_6[[#This Row],[PO+ITEM]],工作表1!F:H,2,FALSE)</f>
        <v>#N/A</v>
      </c>
    </row>
    <row r="94" spans="1:54" ht="14.45">
      <c r="A94" s="413">
        <v>93</v>
      </c>
      <c r="B94" s="413" t="s">
        <v>3659</v>
      </c>
      <c r="C94" s="414" t="s">
        <v>17</v>
      </c>
      <c r="D94" s="414" t="s">
        <v>3648</v>
      </c>
      <c r="E94" s="414"/>
      <c r="F94" s="414"/>
      <c r="G94" s="414"/>
      <c r="H94" s="414"/>
      <c r="I94" s="414"/>
      <c r="J94" s="414"/>
      <c r="K94" s="414"/>
      <c r="L94" s="415" t="s">
        <v>3979</v>
      </c>
      <c r="M94" s="416" t="s">
        <v>2999</v>
      </c>
      <c r="N94" s="416" t="s">
        <v>2999</v>
      </c>
      <c r="O94" s="417"/>
      <c r="P94" s="416">
        <v>4590008206</v>
      </c>
      <c r="Q94" s="418">
        <v>44878</v>
      </c>
      <c r="R94" s="419">
        <v>1</v>
      </c>
      <c r="S94" s="458">
        <v>466802</v>
      </c>
      <c r="T94" s="420" t="s">
        <v>2156</v>
      </c>
      <c r="U94" s="414" t="s">
        <v>3869</v>
      </c>
      <c r="V94" s="414" t="s">
        <v>3870</v>
      </c>
      <c r="W94" s="417" t="s">
        <v>3871</v>
      </c>
      <c r="X94" s="417"/>
      <c r="Y94" s="421" t="s">
        <v>3652</v>
      </c>
      <c r="Z94" s="421" t="s">
        <v>3652</v>
      </c>
      <c r="AA94" s="416"/>
      <c r="AB94" s="414" t="s">
        <v>3934</v>
      </c>
      <c r="AC94" s="426"/>
      <c r="AD94" s="421"/>
      <c r="AE94" s="420"/>
      <c r="AF94" s="421">
        <v>90885</v>
      </c>
      <c r="AG94" s="420" t="s">
        <v>3980</v>
      </c>
      <c r="AH94" s="421" t="s">
        <v>3900</v>
      </c>
      <c r="AI94" s="420" t="s">
        <v>3875</v>
      </c>
      <c r="AJ94" s="413">
        <f t="shared" si="2"/>
        <v>4590008206</v>
      </c>
      <c r="AK94" s="423"/>
      <c r="AL94" s="413"/>
      <c r="AM94" s="221"/>
      <c r="AN94" s="424"/>
      <c r="AO94" s="423"/>
      <c r="AP94" s="413"/>
      <c r="AQ94" s="222"/>
      <c r="AR94" s="424"/>
      <c r="AS94" s="614">
        <f ca="1">表格1_6[[#This Row],[total amount]]/表格1_6[[#This Row],[PO$]]</f>
        <v>0</v>
      </c>
      <c r="AT94" s="223">
        <f ca="1">表格1_6[[#This Row],[invoice amount]]+表格1_6[[#This Row],[invoice amount2]]</f>
        <v>0</v>
      </c>
      <c r="AU94" s="224"/>
      <c r="AV94" s="423"/>
      <c r="AW94" s="423" t="e">
        <f ca="1">VLOOKUP(表格1_6[[#This Row],[TI tool ID2]],工作表1!A:A,1,FALSE)</f>
        <v>#N/A</v>
      </c>
      <c r="AX94" s="425" t="e">
        <f ca="1">VLOOKUP(表格1_6[[#This Row],[PO+ITEM]],工作表1!B:E,2,FALSE)</f>
        <v>#N/A</v>
      </c>
      <c r="AY94" s="425" t="e">
        <f ca="1">VLOOKUP(表格1_6[[#This Row],[PO+ITEM]],工作表1!B:E,3,FALSE)</f>
        <v>#N/A</v>
      </c>
      <c r="AZ94" s="423" t="e">
        <f ca="1">VLOOKUP(表格1_6[[#This Row],[PO+ITEM]],工作表1!B:E,4,FALSE)</f>
        <v>#N/A</v>
      </c>
      <c r="BA94" s="425" t="e">
        <f ca="1">INDEX(工作表1!G:G, MATCH(表格1_6[[#This Row],[invoice number]]&amp;表格1_6[[#This Row],[invoice number2]],工作表1!G:G, 0))</f>
        <v>#N/A</v>
      </c>
      <c r="BB94" s="423" t="e">
        <f ca="1">VLOOKUP(表格1_6[[#This Row],[PO+ITEM]],工作表1!F:H,2,FALSE)</f>
        <v>#N/A</v>
      </c>
    </row>
    <row r="95" spans="1:54" ht="14.45">
      <c r="A95" s="413">
        <v>94</v>
      </c>
      <c r="B95" s="413"/>
      <c r="C95" s="414" t="s">
        <v>16</v>
      </c>
      <c r="D95" s="414" t="s">
        <v>3648</v>
      </c>
      <c r="E95" s="414"/>
      <c r="F95" s="414"/>
      <c r="G95" s="414"/>
      <c r="H95" s="414"/>
      <c r="I95" s="414"/>
      <c r="J95" s="414"/>
      <c r="K95" s="414"/>
      <c r="L95" s="420" t="s">
        <v>3981</v>
      </c>
      <c r="M95" s="416" t="s">
        <v>3762</v>
      </c>
      <c r="N95" s="416"/>
      <c r="O95" s="415"/>
      <c r="P95" s="416">
        <v>4590008638</v>
      </c>
      <c r="Q95" s="418">
        <v>44918</v>
      </c>
      <c r="R95" s="419">
        <v>1</v>
      </c>
      <c r="S95" s="458">
        <v>127699</v>
      </c>
      <c r="T95" s="420" t="s">
        <v>2156</v>
      </c>
      <c r="U95" s="414" t="s">
        <v>3982</v>
      </c>
      <c r="V95" s="414" t="s">
        <v>3983</v>
      </c>
      <c r="W95" s="417" t="s">
        <v>3981</v>
      </c>
      <c r="X95" s="417"/>
      <c r="Y95" s="421" t="s">
        <v>3652</v>
      </c>
      <c r="Z95" s="421" t="s">
        <v>3652</v>
      </c>
      <c r="AA95" s="416"/>
      <c r="AB95" s="414" t="s">
        <v>3984</v>
      </c>
      <c r="AC95" s="426"/>
      <c r="AD95" s="421"/>
      <c r="AE95" s="420"/>
      <c r="AF95" s="421"/>
      <c r="AG95" s="420"/>
      <c r="AH95" s="421"/>
      <c r="AI95" s="420"/>
      <c r="AJ95" s="413">
        <f t="shared" si="2"/>
        <v>4590008638</v>
      </c>
      <c r="AK95" s="423"/>
      <c r="AL95" s="413"/>
      <c r="AM95" s="221"/>
      <c r="AN95" s="424"/>
      <c r="AO95" s="423"/>
      <c r="AP95" s="413"/>
      <c r="AQ95" s="222"/>
      <c r="AR95" s="424"/>
      <c r="AS95" s="614">
        <f ca="1">表格1_6[[#This Row],[total amount]]/表格1_6[[#This Row],[PO$]]</f>
        <v>0</v>
      </c>
      <c r="AT95" s="223">
        <f ca="1">表格1_6[[#This Row],[invoice amount]]+表格1_6[[#This Row],[invoice amount2]]</f>
        <v>0</v>
      </c>
      <c r="AU95" s="224"/>
      <c r="AV95" s="423"/>
      <c r="AW95" s="423" t="e">
        <f ca="1">VLOOKUP(表格1_6[[#This Row],[TI tool ID2]],工作表1!A:A,1,FALSE)</f>
        <v>#N/A</v>
      </c>
      <c r="AX95" s="425" t="e">
        <f ca="1">VLOOKUP(表格1_6[[#This Row],[PO+ITEM]],工作表1!B:E,2,FALSE)</f>
        <v>#N/A</v>
      </c>
      <c r="AY95" s="425" t="e">
        <f ca="1">VLOOKUP(表格1_6[[#This Row],[PO+ITEM]],工作表1!B:E,3,FALSE)</f>
        <v>#N/A</v>
      </c>
      <c r="AZ95" s="423" t="e">
        <f ca="1">VLOOKUP(表格1_6[[#This Row],[PO+ITEM]],工作表1!B:E,4,FALSE)</f>
        <v>#N/A</v>
      </c>
      <c r="BA95" s="425" t="e">
        <f ca="1">INDEX(工作表1!G:G, MATCH(表格1_6[[#This Row],[invoice number]]&amp;表格1_6[[#This Row],[invoice number2]],工作表1!G:G, 0))</f>
        <v>#N/A</v>
      </c>
      <c r="BB95" s="423" t="e">
        <f ca="1">VLOOKUP(表格1_6[[#This Row],[PO+ITEM]],工作表1!F:H,2,FALSE)</f>
        <v>#N/A</v>
      </c>
    </row>
    <row r="96" spans="1:54" ht="14.45">
      <c r="A96" s="413">
        <v>95</v>
      </c>
      <c r="B96" s="413"/>
      <c r="C96" s="433" t="s">
        <v>17</v>
      </c>
      <c r="D96" s="414" t="s">
        <v>3648</v>
      </c>
      <c r="E96" s="414"/>
      <c r="F96" s="414"/>
      <c r="G96" s="414"/>
      <c r="H96" s="414"/>
      <c r="I96" s="414"/>
      <c r="J96" s="414"/>
      <c r="K96" s="414"/>
      <c r="L96" s="434" t="s">
        <v>3985</v>
      </c>
      <c r="M96" s="436" t="s">
        <v>2999</v>
      </c>
      <c r="N96" s="436" t="s">
        <v>2999</v>
      </c>
      <c r="O96" s="435"/>
      <c r="P96" s="416">
        <v>4590008740</v>
      </c>
      <c r="Q96" s="437">
        <v>44925</v>
      </c>
      <c r="R96" s="438">
        <v>1</v>
      </c>
      <c r="S96" s="543">
        <v>40105.660000000003</v>
      </c>
      <c r="T96" s="434" t="s">
        <v>2156</v>
      </c>
      <c r="U96" s="433" t="s">
        <v>3986</v>
      </c>
      <c r="V96" s="433" t="s">
        <v>3870</v>
      </c>
      <c r="W96" s="435" t="s">
        <v>3985</v>
      </c>
      <c r="X96" s="435"/>
      <c r="Y96" s="439" t="s">
        <v>3652</v>
      </c>
      <c r="Z96" s="439" t="s">
        <v>3652</v>
      </c>
      <c r="AA96" s="436"/>
      <c r="AB96" s="433" t="s">
        <v>3987</v>
      </c>
      <c r="AC96" s="440"/>
      <c r="AD96" s="439"/>
      <c r="AE96" s="434"/>
      <c r="AF96" s="439"/>
      <c r="AG96" s="420">
        <v>0</v>
      </c>
      <c r="AH96" s="421" t="s">
        <v>3932</v>
      </c>
      <c r="AI96" s="434"/>
      <c r="AJ96" s="413">
        <f t="shared" si="2"/>
        <v>4590008740</v>
      </c>
      <c r="AK96" s="423"/>
      <c r="AL96" s="413"/>
      <c r="AM96" s="221"/>
      <c r="AN96" s="424"/>
      <c r="AO96" s="423"/>
      <c r="AP96" s="413"/>
      <c r="AQ96" s="222"/>
      <c r="AR96" s="424"/>
      <c r="AS96" s="614">
        <f ca="1">表格1_6[[#This Row],[total amount]]/表格1_6[[#This Row],[PO$]]</f>
        <v>0</v>
      </c>
      <c r="AT96" s="223">
        <f ca="1">表格1_6[[#This Row],[invoice amount]]+表格1_6[[#This Row],[invoice amount2]]</f>
        <v>0</v>
      </c>
      <c r="AU96" s="224"/>
      <c r="AV96" s="423"/>
      <c r="AW96" s="423" t="e">
        <f ca="1">VLOOKUP(表格1_6[[#This Row],[TI tool ID2]],工作表1!A:A,1,FALSE)</f>
        <v>#N/A</v>
      </c>
      <c r="AX96" s="425" t="e">
        <f ca="1">VLOOKUP(表格1_6[[#This Row],[PO+ITEM]],工作表1!B:E,2,FALSE)</f>
        <v>#N/A</v>
      </c>
      <c r="AY96" s="425" t="e">
        <f ca="1">VLOOKUP(表格1_6[[#This Row],[PO+ITEM]],工作表1!B:E,3,FALSE)</f>
        <v>#N/A</v>
      </c>
      <c r="AZ96" s="423" t="e">
        <f ca="1">VLOOKUP(表格1_6[[#This Row],[PO+ITEM]],工作表1!B:E,4,FALSE)</f>
        <v>#N/A</v>
      </c>
      <c r="BA96" s="425" t="e">
        <f ca="1">INDEX(工作表1!G:G, MATCH(表格1_6[[#This Row],[invoice number]]&amp;表格1_6[[#This Row],[invoice number2]],工作表1!G:G, 0))</f>
        <v>#N/A</v>
      </c>
      <c r="BB96" s="423" t="e">
        <f ca="1">VLOOKUP(表格1_6[[#This Row],[PO+ITEM]],工作表1!F:H,2,FALSE)</f>
        <v>#N/A</v>
      </c>
    </row>
    <row r="97" spans="1:54" s="429" customFormat="1" ht="14.45">
      <c r="A97" s="413">
        <v>96</v>
      </c>
      <c r="B97" s="413"/>
      <c r="C97" s="414" t="s">
        <v>16</v>
      </c>
      <c r="D97" s="414" t="s">
        <v>3648</v>
      </c>
      <c r="E97" s="414"/>
      <c r="F97" s="414"/>
      <c r="G97" s="414"/>
      <c r="H97" s="414"/>
      <c r="I97" s="414"/>
      <c r="J97" s="414"/>
      <c r="K97" s="414"/>
      <c r="L97" s="415" t="s">
        <v>3925</v>
      </c>
      <c r="M97" s="416" t="s">
        <v>2206</v>
      </c>
      <c r="N97" s="416"/>
      <c r="O97" s="421"/>
      <c r="P97" s="416">
        <v>4590009910</v>
      </c>
      <c r="Q97" s="418">
        <v>45005</v>
      </c>
      <c r="R97" s="419">
        <v>1</v>
      </c>
      <c r="S97" s="458">
        <v>39051.760000000002</v>
      </c>
      <c r="T97" s="420" t="s">
        <v>2156</v>
      </c>
      <c r="U97" s="414" t="s">
        <v>3926</v>
      </c>
      <c r="V97" s="414" t="s">
        <v>3927</v>
      </c>
      <c r="W97" s="415" t="s">
        <v>3928</v>
      </c>
      <c r="X97" s="415"/>
      <c r="Y97" s="421" t="s">
        <v>3652</v>
      </c>
      <c r="Z97" s="421" t="s">
        <v>3652</v>
      </c>
      <c r="AA97" s="416"/>
      <c r="AB97" s="414" t="s">
        <v>3988</v>
      </c>
      <c r="AC97" s="421"/>
      <c r="AD97" s="421"/>
      <c r="AE97" s="420"/>
      <c r="AF97" s="421"/>
      <c r="AG97" s="420">
        <v>0</v>
      </c>
      <c r="AH97" s="421" t="s">
        <v>3932</v>
      </c>
      <c r="AI97" s="420"/>
      <c r="AJ97" s="413">
        <f t="shared" si="2"/>
        <v>4590009910</v>
      </c>
      <c r="AK97" s="423"/>
      <c r="AL97" s="413"/>
      <c r="AM97" s="221"/>
      <c r="AN97" s="424"/>
      <c r="AO97" s="423"/>
      <c r="AP97" s="413"/>
      <c r="AQ97" s="222"/>
      <c r="AR97" s="424"/>
      <c r="AS97" s="614">
        <f ca="1">表格1_6[[#This Row],[total amount]]/表格1_6[[#This Row],[PO$]]</f>
        <v>0</v>
      </c>
      <c r="AT97" s="223">
        <f ca="1">表格1_6[[#This Row],[invoice amount]]+表格1_6[[#This Row],[invoice amount2]]</f>
        <v>0</v>
      </c>
      <c r="AU97" s="224"/>
      <c r="AV97" s="423"/>
      <c r="AW97" s="423" t="e">
        <f ca="1">VLOOKUP(表格1_6[[#This Row],[TI tool ID2]],工作表1!A:A,1,FALSE)</f>
        <v>#N/A</v>
      </c>
      <c r="AX97" s="425" t="e">
        <f ca="1">VLOOKUP(表格1_6[[#This Row],[PO+ITEM]],工作表1!B:E,2,FALSE)</f>
        <v>#N/A</v>
      </c>
      <c r="AY97" s="425" t="e">
        <f ca="1">VLOOKUP(表格1_6[[#This Row],[PO+ITEM]],工作表1!B:E,3,FALSE)</f>
        <v>#N/A</v>
      </c>
      <c r="AZ97" s="423" t="e">
        <f ca="1">VLOOKUP(表格1_6[[#This Row],[PO+ITEM]],工作表1!B:E,4,FALSE)</f>
        <v>#N/A</v>
      </c>
      <c r="BA97" s="425" t="e">
        <f ca="1">INDEX(工作表1!G:G, MATCH(表格1_6[[#This Row],[invoice number]]&amp;表格1_6[[#This Row],[invoice number2]],工作表1!G:G, 0))</f>
        <v>#N/A</v>
      </c>
      <c r="BB97" s="423" t="e">
        <f ca="1">VLOOKUP(表格1_6[[#This Row],[PO+ITEM]],工作表1!F:H,2,FALSE)</f>
        <v>#N/A</v>
      </c>
    </row>
    <row r="98" spans="1:54" ht="14.45">
      <c r="A98" s="413">
        <v>97</v>
      </c>
      <c r="B98" s="413"/>
      <c r="C98" s="414" t="s">
        <v>16</v>
      </c>
      <c r="D98" s="414" t="s">
        <v>3648</v>
      </c>
      <c r="E98" s="414"/>
      <c r="F98" s="414"/>
      <c r="G98" s="414"/>
      <c r="H98" s="414"/>
      <c r="I98" s="414"/>
      <c r="J98" s="414"/>
      <c r="K98" s="414"/>
      <c r="L98" s="415" t="s">
        <v>3989</v>
      </c>
      <c r="M98" s="415" t="s">
        <v>3990</v>
      </c>
      <c r="N98" s="415"/>
      <c r="O98" s="415"/>
      <c r="P98" s="441">
        <v>4590010043</v>
      </c>
      <c r="Q98" s="418">
        <v>45016</v>
      </c>
      <c r="R98" s="419">
        <v>1</v>
      </c>
      <c r="S98" s="458">
        <v>5445</v>
      </c>
      <c r="T98" s="420" t="s">
        <v>2156</v>
      </c>
      <c r="U98" s="414" t="s">
        <v>3991</v>
      </c>
      <c r="V98" s="414" t="s">
        <v>3992</v>
      </c>
      <c r="W98" s="415" t="s">
        <v>3993</v>
      </c>
      <c r="X98" s="415"/>
      <c r="Y98" s="421"/>
      <c r="Z98" s="421" t="s">
        <v>3652</v>
      </c>
      <c r="AA98" s="416"/>
      <c r="AB98" s="414" t="s">
        <v>3994</v>
      </c>
      <c r="AC98" s="426"/>
      <c r="AD98" s="421"/>
      <c r="AE98" s="420"/>
      <c r="AF98" s="421"/>
      <c r="AG98" s="420"/>
      <c r="AH98" s="421"/>
      <c r="AI98" s="420"/>
      <c r="AJ98" s="413">
        <f t="shared" ref="AJ98:AJ129" si="3">P98</f>
        <v>4590010043</v>
      </c>
      <c r="AK98" s="423"/>
      <c r="AL98" s="413"/>
      <c r="AM98" s="221"/>
      <c r="AN98" s="424"/>
      <c r="AO98" s="423"/>
      <c r="AP98" s="413"/>
      <c r="AQ98" s="222"/>
      <c r="AR98" s="424"/>
      <c r="AS98" s="614">
        <f ca="1">表格1_6[[#This Row],[total amount]]/表格1_6[[#This Row],[PO$]]</f>
        <v>0</v>
      </c>
      <c r="AT98" s="223">
        <f ca="1">表格1_6[[#This Row],[invoice amount]]+表格1_6[[#This Row],[invoice amount2]]</f>
        <v>0</v>
      </c>
      <c r="AU98" s="224"/>
      <c r="AV98" s="423"/>
      <c r="AW98" s="423" t="e">
        <f ca="1">VLOOKUP(表格1_6[[#This Row],[TI tool ID2]],工作表1!A:A,1,FALSE)</f>
        <v>#N/A</v>
      </c>
      <c r="AX98" s="425" t="e">
        <f ca="1">VLOOKUP(表格1_6[[#This Row],[PO+ITEM]],工作表1!B:E,2,FALSE)</f>
        <v>#N/A</v>
      </c>
      <c r="AY98" s="425" t="e">
        <f ca="1">VLOOKUP(表格1_6[[#This Row],[PO+ITEM]],工作表1!B:E,3,FALSE)</f>
        <v>#N/A</v>
      </c>
      <c r="AZ98" s="423" t="e">
        <f ca="1">VLOOKUP(表格1_6[[#This Row],[PO+ITEM]],工作表1!B:E,4,FALSE)</f>
        <v>#N/A</v>
      </c>
      <c r="BA98" s="425" t="e">
        <f ca="1">INDEX(工作表1!G:G, MATCH(表格1_6[[#This Row],[invoice number]]&amp;表格1_6[[#This Row],[invoice number2]],工作表1!G:G, 0))</f>
        <v>#N/A</v>
      </c>
      <c r="BB98" s="423" t="e">
        <f ca="1">VLOOKUP(表格1_6[[#This Row],[PO+ITEM]],工作表1!F:H,2,FALSE)</f>
        <v>#N/A</v>
      </c>
    </row>
    <row r="99" spans="1:54" ht="15.6">
      <c r="A99" s="413">
        <v>98</v>
      </c>
      <c r="B99" s="413"/>
      <c r="C99" s="414" t="s">
        <v>10</v>
      </c>
      <c r="D99" s="414" t="s">
        <v>3648</v>
      </c>
      <c r="E99" s="414"/>
      <c r="F99" s="414"/>
      <c r="G99" s="414"/>
      <c r="H99" s="414"/>
      <c r="I99" s="414"/>
      <c r="J99" s="414"/>
      <c r="K99" s="414"/>
      <c r="L99" s="415" t="s">
        <v>3995</v>
      </c>
      <c r="M99" s="416" t="s">
        <v>2888</v>
      </c>
      <c r="N99" s="416" t="s">
        <v>3668</v>
      </c>
      <c r="O99" s="421"/>
      <c r="P99" s="416">
        <v>4590010102</v>
      </c>
      <c r="Q99" s="418">
        <v>45026</v>
      </c>
      <c r="R99" s="334" t="s">
        <v>3907</v>
      </c>
      <c r="S99" s="458">
        <v>7084</v>
      </c>
      <c r="T99" s="420" t="s">
        <v>2156</v>
      </c>
      <c r="U99" s="414" t="s">
        <v>3996</v>
      </c>
      <c r="V99" s="414" t="s">
        <v>3651</v>
      </c>
      <c r="W99" s="415"/>
      <c r="X99" s="415"/>
      <c r="Y99" s="421" t="s">
        <v>3652</v>
      </c>
      <c r="Z99" s="421" t="s">
        <v>3652</v>
      </c>
      <c r="AA99" s="416"/>
      <c r="AB99" s="414" t="s">
        <v>3997</v>
      </c>
      <c r="AC99" s="421"/>
      <c r="AD99" s="421"/>
      <c r="AE99" s="420"/>
      <c r="AF99" s="421"/>
      <c r="AG99" s="420">
        <v>0</v>
      </c>
      <c r="AH99" s="414" t="s">
        <v>10</v>
      </c>
      <c r="AI99" s="420"/>
      <c r="AJ99" s="413">
        <f t="shared" si="3"/>
        <v>4590010102</v>
      </c>
      <c r="AK99" s="423"/>
      <c r="AL99" s="424">
        <v>45231</v>
      </c>
      <c r="AM99" s="221">
        <v>6729.7999999999993</v>
      </c>
      <c r="AN99" s="258">
        <v>45275</v>
      </c>
      <c r="AO99" s="423" t="s">
        <v>3998</v>
      </c>
      <c r="AP99" s="424">
        <v>45422</v>
      </c>
      <c r="AQ99" s="222">
        <v>354.20000000000073</v>
      </c>
      <c r="AR99" s="424">
        <v>45471</v>
      </c>
      <c r="AS99" s="614">
        <f ca="1">表格1_6[[#This Row],[total amount]]/表格1_6[[#This Row],[PO$]]</f>
        <v>1</v>
      </c>
      <c r="AT99" s="223">
        <f ca="1">表格1_6[[#This Row],[invoice amount]]+表格1_6[[#This Row],[invoice amount2]]</f>
        <v>7084</v>
      </c>
      <c r="AU99" s="224" t="s">
        <v>3673</v>
      </c>
      <c r="AV99" s="423" t="s">
        <v>3657</v>
      </c>
      <c r="AW99" s="423" t="e">
        <f ca="1">VLOOKUP(表格1_6[[#This Row],[TI tool ID2]],工作表1!A:A,1,FALSE)</f>
        <v>#N/A</v>
      </c>
      <c r="AX99" s="425" t="e">
        <f ca="1">VLOOKUP(表格1_6[[#This Row],[PO+ITEM]],工作表1!B:E,2,FALSE)</f>
        <v>#N/A</v>
      </c>
      <c r="AY99" s="425" t="e">
        <f ca="1">VLOOKUP(表格1_6[[#This Row],[PO+ITEM]],工作表1!B:E,3,FALSE)</f>
        <v>#N/A</v>
      </c>
      <c r="AZ99" s="423" t="e">
        <f ca="1">VLOOKUP(表格1_6[[#This Row],[PO+ITEM]],工作表1!B:E,4,FALSE)</f>
        <v>#N/A</v>
      </c>
      <c r="BA99" s="425" t="e">
        <f ca="1">INDEX(工作表1!G:G, MATCH(表格1_6[[#This Row],[invoice number]]&amp;表格1_6[[#This Row],[invoice number2]],工作表1!G:G, 0))</f>
        <v>#N/A</v>
      </c>
      <c r="BB99" s="423" t="e">
        <f ca="1">VLOOKUP(表格1_6[[#This Row],[PO+ITEM]],工作表1!F:H,2,FALSE)</f>
        <v>#N/A</v>
      </c>
    </row>
    <row r="100" spans="1:54" s="429" customFormat="1" ht="14.45">
      <c r="A100" s="413">
        <v>99</v>
      </c>
      <c r="B100" s="413"/>
      <c r="C100" s="414" t="s">
        <v>16</v>
      </c>
      <c r="D100" s="414" t="s">
        <v>3648</v>
      </c>
      <c r="E100" s="414"/>
      <c r="F100" s="414"/>
      <c r="G100" s="414"/>
      <c r="H100" s="414"/>
      <c r="I100" s="414"/>
      <c r="J100" s="414"/>
      <c r="K100" s="414"/>
      <c r="L100" s="415" t="s">
        <v>3999</v>
      </c>
      <c r="M100" s="416" t="s">
        <v>3762</v>
      </c>
      <c r="N100" s="416"/>
      <c r="O100" s="421"/>
      <c r="P100" s="416">
        <v>4590010336</v>
      </c>
      <c r="Q100" s="418">
        <v>45035</v>
      </c>
      <c r="R100" s="419">
        <v>1</v>
      </c>
      <c r="S100" s="458">
        <v>3990.5</v>
      </c>
      <c r="T100" s="420" t="s">
        <v>2156</v>
      </c>
      <c r="U100" s="414" t="s">
        <v>4000</v>
      </c>
      <c r="V100" s="414" t="s">
        <v>3992</v>
      </c>
      <c r="W100" s="415" t="s">
        <v>3993</v>
      </c>
      <c r="X100" s="415"/>
      <c r="Y100" s="421" t="s">
        <v>3652</v>
      </c>
      <c r="Z100" s="421" t="s">
        <v>3652</v>
      </c>
      <c r="AA100" s="416"/>
      <c r="AB100" s="414" t="s">
        <v>4001</v>
      </c>
      <c r="AC100" s="421"/>
      <c r="AD100" s="421"/>
      <c r="AE100" s="420"/>
      <c r="AF100" s="421"/>
      <c r="AG100" s="420"/>
      <c r="AH100" s="421"/>
      <c r="AI100" s="420"/>
      <c r="AJ100" s="413">
        <f t="shared" si="3"/>
        <v>4590010336</v>
      </c>
      <c r="AK100" s="423"/>
      <c r="AL100" s="413"/>
      <c r="AM100" s="221"/>
      <c r="AN100" s="424"/>
      <c r="AO100" s="423"/>
      <c r="AP100" s="413"/>
      <c r="AQ100" s="222"/>
      <c r="AR100" s="424"/>
      <c r="AS100" s="614">
        <f ca="1">表格1_6[[#This Row],[total amount]]/表格1_6[[#This Row],[PO$]]</f>
        <v>0</v>
      </c>
      <c r="AT100" s="223">
        <f ca="1">表格1_6[[#This Row],[invoice amount]]+表格1_6[[#This Row],[invoice amount2]]</f>
        <v>0</v>
      </c>
      <c r="AU100" s="224"/>
      <c r="AV100" s="423"/>
      <c r="AW100" s="423" t="e">
        <f ca="1">VLOOKUP(表格1_6[[#This Row],[TI tool ID2]],工作表1!A:A,1,FALSE)</f>
        <v>#N/A</v>
      </c>
      <c r="AX100" s="425" t="e">
        <f ca="1">VLOOKUP(表格1_6[[#This Row],[PO+ITEM]],工作表1!B:E,2,FALSE)</f>
        <v>#N/A</v>
      </c>
      <c r="AY100" s="425" t="e">
        <f ca="1">VLOOKUP(表格1_6[[#This Row],[PO+ITEM]],工作表1!B:E,3,FALSE)</f>
        <v>#N/A</v>
      </c>
      <c r="AZ100" s="423" t="e">
        <f ca="1">VLOOKUP(表格1_6[[#This Row],[PO+ITEM]],工作表1!B:E,4,FALSE)</f>
        <v>#N/A</v>
      </c>
      <c r="BA100" s="425" t="e">
        <f ca="1">INDEX(工作表1!G:G, MATCH(表格1_6[[#This Row],[invoice number]]&amp;表格1_6[[#This Row],[invoice number2]],工作表1!G:G, 0))</f>
        <v>#N/A</v>
      </c>
      <c r="BB100" s="423" t="e">
        <f ca="1">VLOOKUP(表格1_6[[#This Row],[PO+ITEM]],工作表1!F:H,2,FALSE)</f>
        <v>#N/A</v>
      </c>
    </row>
    <row r="101" spans="1:54" ht="14.45">
      <c r="A101" s="413">
        <v>100</v>
      </c>
      <c r="B101" s="413"/>
      <c r="C101" s="414" t="s">
        <v>16</v>
      </c>
      <c r="D101" s="414" t="s">
        <v>3648</v>
      </c>
      <c r="E101" s="414"/>
      <c r="F101" s="414"/>
      <c r="G101" s="414"/>
      <c r="H101" s="414"/>
      <c r="I101" s="414"/>
      <c r="J101" s="414"/>
      <c r="K101" s="414"/>
      <c r="L101" s="420" t="s">
        <v>4002</v>
      </c>
      <c r="M101" s="415" t="s">
        <v>4003</v>
      </c>
      <c r="N101" s="415" t="s">
        <v>2882</v>
      </c>
      <c r="O101" s="415"/>
      <c r="P101" s="441">
        <v>4590010392</v>
      </c>
      <c r="Q101" s="418">
        <v>45037</v>
      </c>
      <c r="R101" s="419">
        <v>1</v>
      </c>
      <c r="S101" s="458">
        <v>4040.89</v>
      </c>
      <c r="T101" s="420" t="s">
        <v>2156</v>
      </c>
      <c r="U101" s="414" t="s">
        <v>4004</v>
      </c>
      <c r="V101" s="414" t="s">
        <v>4005</v>
      </c>
      <c r="W101" s="415" t="s">
        <v>4006</v>
      </c>
      <c r="X101" s="415"/>
      <c r="Y101" s="421" t="s">
        <v>3652</v>
      </c>
      <c r="Z101" s="421" t="s">
        <v>3652</v>
      </c>
      <c r="AA101" s="416" t="s">
        <v>4007</v>
      </c>
      <c r="AB101" s="414" t="s">
        <v>4008</v>
      </c>
      <c r="AC101" s="426"/>
      <c r="AD101" s="421"/>
      <c r="AE101" s="420"/>
      <c r="AF101" s="421"/>
      <c r="AG101" s="420"/>
      <c r="AH101" s="421"/>
      <c r="AI101" s="420"/>
      <c r="AJ101" s="413">
        <f t="shared" si="3"/>
        <v>4590010392</v>
      </c>
      <c r="AK101" s="423" t="s">
        <v>4009</v>
      </c>
      <c r="AL101" s="424">
        <v>45345</v>
      </c>
      <c r="AM101" s="221">
        <v>4040.89</v>
      </c>
      <c r="AN101" s="424">
        <v>45580</v>
      </c>
      <c r="AO101" s="423"/>
      <c r="AP101" s="413"/>
      <c r="AQ101" s="222"/>
      <c r="AR101" s="424"/>
      <c r="AS101" s="614">
        <f ca="1">表格1_6[[#This Row],[total amount]]/表格1_6[[#This Row],[PO$]]</f>
        <v>1</v>
      </c>
      <c r="AT101" s="223">
        <f ca="1">表格1_6[[#This Row],[invoice amount]]+表格1_6[[#This Row],[invoice amount2]]</f>
        <v>4040.89</v>
      </c>
      <c r="AU101" s="224" t="s">
        <v>3725</v>
      </c>
      <c r="AV101" s="423" t="s">
        <v>4010</v>
      </c>
      <c r="AW101" s="423" t="e">
        <f ca="1">VLOOKUP(表格1_6[[#This Row],[TI tool ID2]],工作表1!A:A,1,FALSE)</f>
        <v>#N/A</v>
      </c>
      <c r="AX101" s="425" t="e">
        <f ca="1">VLOOKUP(表格1_6[[#This Row],[PO+ITEM]],工作表1!B:E,2,FALSE)</f>
        <v>#N/A</v>
      </c>
      <c r="AY101" s="425" t="e">
        <f ca="1">VLOOKUP(表格1_6[[#This Row],[PO+ITEM]],工作表1!B:E,3,FALSE)</f>
        <v>#N/A</v>
      </c>
      <c r="AZ101" s="423" t="e">
        <f ca="1">VLOOKUP(表格1_6[[#This Row],[PO+ITEM]],工作表1!B:E,4,FALSE)</f>
        <v>#N/A</v>
      </c>
      <c r="BA101" s="425" t="str">
        <f ca="1">INDEX(工作表1!G:G, MATCH(表格1_6[[#This Row],[invoice number]]&amp;表格1_6[[#This Row],[invoice number2]],工作表1!G:G, 0))</f>
        <v>MICUINT202402002</v>
      </c>
      <c r="BB101" s="423" t="str">
        <f ca="1">VLOOKUP(表格1_6[[#This Row],[PO+ITEM]],工作表1!F:H,2,FALSE)</f>
        <v>MICUINT202402002</v>
      </c>
    </row>
    <row r="102" spans="1:54" ht="14.45">
      <c r="A102" s="413">
        <v>101</v>
      </c>
      <c r="B102" s="413"/>
      <c r="C102" s="414" t="s">
        <v>16</v>
      </c>
      <c r="D102" s="414" t="s">
        <v>3648</v>
      </c>
      <c r="E102" s="414"/>
      <c r="F102" s="414"/>
      <c r="G102" s="414"/>
      <c r="H102" s="414"/>
      <c r="I102" s="414"/>
      <c r="J102" s="414"/>
      <c r="K102" s="414"/>
      <c r="L102" s="415" t="s">
        <v>4011</v>
      </c>
      <c r="M102" s="416" t="s">
        <v>4012</v>
      </c>
      <c r="N102" s="416"/>
      <c r="O102" s="421"/>
      <c r="P102" s="416">
        <v>4590010562</v>
      </c>
      <c r="Q102" s="418">
        <v>45043</v>
      </c>
      <c r="R102" s="419">
        <v>1</v>
      </c>
      <c r="S102" s="458">
        <v>16767.02</v>
      </c>
      <c r="T102" s="420" t="s">
        <v>2156</v>
      </c>
      <c r="U102" s="414" t="s">
        <v>3926</v>
      </c>
      <c r="V102" s="414" t="s">
        <v>3927</v>
      </c>
      <c r="W102" s="415" t="s">
        <v>3928</v>
      </c>
      <c r="X102" s="415"/>
      <c r="Y102" s="421" t="s">
        <v>3652</v>
      </c>
      <c r="Z102" s="421" t="s">
        <v>3652</v>
      </c>
      <c r="AA102" s="416"/>
      <c r="AB102" s="414" t="s">
        <v>4013</v>
      </c>
      <c r="AC102" s="421"/>
      <c r="AD102" s="421"/>
      <c r="AE102" s="420"/>
      <c r="AF102" s="421"/>
      <c r="AG102" s="420">
        <v>0</v>
      </c>
      <c r="AH102" s="421" t="s">
        <v>4014</v>
      </c>
      <c r="AI102" s="420"/>
      <c r="AJ102" s="413">
        <f t="shared" si="3"/>
        <v>4590010562</v>
      </c>
      <c r="AK102" s="423"/>
      <c r="AL102" s="413"/>
      <c r="AM102" s="221"/>
      <c r="AN102" s="424"/>
      <c r="AO102" s="423"/>
      <c r="AP102" s="413"/>
      <c r="AQ102" s="222"/>
      <c r="AR102" s="424"/>
      <c r="AS102" s="614">
        <f ca="1">表格1_6[[#This Row],[total amount]]/表格1_6[[#This Row],[PO$]]</f>
        <v>0</v>
      </c>
      <c r="AT102" s="223">
        <f ca="1">表格1_6[[#This Row],[invoice amount]]+表格1_6[[#This Row],[invoice amount2]]</f>
        <v>0</v>
      </c>
      <c r="AU102" s="224"/>
      <c r="AV102" s="423"/>
      <c r="AW102" s="423" t="e">
        <f ca="1">VLOOKUP(表格1_6[[#This Row],[TI tool ID2]],工作表1!A:A,1,FALSE)</f>
        <v>#N/A</v>
      </c>
      <c r="AX102" s="425" t="e">
        <f ca="1">VLOOKUP(表格1_6[[#This Row],[PO+ITEM]],工作表1!B:E,2,FALSE)</f>
        <v>#N/A</v>
      </c>
      <c r="AY102" s="425" t="e">
        <f ca="1">VLOOKUP(表格1_6[[#This Row],[PO+ITEM]],工作表1!B:E,3,FALSE)</f>
        <v>#N/A</v>
      </c>
      <c r="AZ102" s="423" t="e">
        <f ca="1">VLOOKUP(表格1_6[[#This Row],[PO+ITEM]],工作表1!B:E,4,FALSE)</f>
        <v>#N/A</v>
      </c>
      <c r="BA102" s="425" t="e">
        <f ca="1">INDEX(工作表1!G:G, MATCH(表格1_6[[#This Row],[invoice number]]&amp;表格1_6[[#This Row],[invoice number2]],工作表1!G:G, 0))</f>
        <v>#N/A</v>
      </c>
      <c r="BB102" s="423" t="e">
        <f ca="1">VLOOKUP(表格1_6[[#This Row],[PO+ITEM]],工作表1!F:H,2,FALSE)</f>
        <v>#N/A</v>
      </c>
    </row>
    <row r="103" spans="1:54" ht="14.45">
      <c r="A103" s="413">
        <v>102</v>
      </c>
      <c r="B103" s="413"/>
      <c r="C103" s="414" t="s">
        <v>10</v>
      </c>
      <c r="D103" s="414" t="s">
        <v>3648</v>
      </c>
      <c r="E103" s="414"/>
      <c r="F103" s="414"/>
      <c r="G103" s="414"/>
      <c r="H103" s="414"/>
      <c r="I103" s="414"/>
      <c r="J103" s="414"/>
      <c r="K103" s="414"/>
      <c r="L103" s="420" t="s">
        <v>4015</v>
      </c>
      <c r="M103" s="416" t="s">
        <v>2888</v>
      </c>
      <c r="N103" s="415"/>
      <c r="O103" s="415"/>
      <c r="P103" s="441">
        <v>4590010563</v>
      </c>
      <c r="Q103" s="418">
        <v>45043</v>
      </c>
      <c r="R103" s="334" t="s">
        <v>3907</v>
      </c>
      <c r="S103" s="349">
        <v>17044.27</v>
      </c>
      <c r="T103" s="420" t="s">
        <v>2156</v>
      </c>
      <c r="U103" s="414" t="s">
        <v>4016</v>
      </c>
      <c r="V103" s="414" t="s">
        <v>3651</v>
      </c>
      <c r="W103" s="415"/>
      <c r="X103" s="415"/>
      <c r="Y103" s="421" t="s">
        <v>3652</v>
      </c>
      <c r="Z103" s="421" t="s">
        <v>3652</v>
      </c>
      <c r="AA103" s="416"/>
      <c r="AB103" s="414" t="s">
        <v>4017</v>
      </c>
      <c r="AC103" s="426"/>
      <c r="AD103" s="421"/>
      <c r="AE103" s="420"/>
      <c r="AF103" s="421"/>
      <c r="AG103" s="420" t="s">
        <v>4018</v>
      </c>
      <c r="AH103" s="421" t="s">
        <v>3654</v>
      </c>
      <c r="AI103" s="420"/>
      <c r="AJ103" s="413">
        <f t="shared" si="3"/>
        <v>4590010563</v>
      </c>
      <c r="AK103" s="420" t="s">
        <v>4019</v>
      </c>
      <c r="AL103" s="424">
        <v>45471</v>
      </c>
      <c r="AM103" s="221">
        <v>17044.27</v>
      </c>
      <c r="AN103" s="424">
        <v>45503</v>
      </c>
      <c r="AO103" s="423"/>
      <c r="AP103" s="413"/>
      <c r="AQ103" s="222"/>
      <c r="AR103" s="424"/>
      <c r="AS103" s="614">
        <f ca="1">表格1_6[[#This Row],[total amount]]/表格1_6[[#This Row],[PO$]]</f>
        <v>1</v>
      </c>
      <c r="AT103" s="223">
        <f ca="1">表格1_6[[#This Row],[invoice amount]]+表格1_6[[#This Row],[invoice amount2]]</f>
        <v>17044.27</v>
      </c>
      <c r="AU103" s="224" t="s">
        <v>3725</v>
      </c>
      <c r="AV103" s="423"/>
      <c r="AW103" s="423" t="e">
        <f ca="1">VLOOKUP(表格1_6[[#This Row],[TI tool ID2]],工作表1!A:A,1,FALSE)</f>
        <v>#N/A</v>
      </c>
      <c r="AX103" s="425" t="e">
        <f ca="1">VLOOKUP(表格1_6[[#This Row],[PO+ITEM]],工作表1!B:E,2,FALSE)</f>
        <v>#N/A</v>
      </c>
      <c r="AY103" s="425" t="e">
        <f ca="1">VLOOKUP(表格1_6[[#This Row],[PO+ITEM]],工作表1!B:E,3,FALSE)</f>
        <v>#N/A</v>
      </c>
      <c r="AZ103" s="423" t="e">
        <f ca="1">VLOOKUP(表格1_6[[#This Row],[PO+ITEM]],工作表1!B:E,4,FALSE)</f>
        <v>#N/A</v>
      </c>
      <c r="BA103" s="425" t="e">
        <f ca="1">INDEX(工作表1!G:G, MATCH(表格1_6[[#This Row],[invoice number]]&amp;表格1_6[[#This Row],[invoice number2]],工作表1!G:G, 0))</f>
        <v>#N/A</v>
      </c>
      <c r="BB103" s="423" t="e">
        <f ca="1">VLOOKUP(表格1_6[[#This Row],[PO+ITEM]],工作表1!F:H,2,FALSE)</f>
        <v>#N/A</v>
      </c>
    </row>
    <row r="104" spans="1:54" ht="14.45">
      <c r="A104" s="413">
        <v>103</v>
      </c>
      <c r="B104" s="413"/>
      <c r="C104" s="414" t="s">
        <v>16</v>
      </c>
      <c r="D104" s="414" t="s">
        <v>3648</v>
      </c>
      <c r="E104" s="414"/>
      <c r="F104" s="414"/>
      <c r="G104" s="414"/>
      <c r="H104" s="414"/>
      <c r="I104" s="414"/>
      <c r="J104" s="414"/>
      <c r="K104" s="414"/>
      <c r="L104" s="420" t="s">
        <v>4020</v>
      </c>
      <c r="M104" s="415" t="s">
        <v>2206</v>
      </c>
      <c r="N104" s="415"/>
      <c r="O104" s="415"/>
      <c r="P104" s="441">
        <v>4590010818</v>
      </c>
      <c r="Q104" s="418">
        <v>45055</v>
      </c>
      <c r="R104" s="419">
        <v>1</v>
      </c>
      <c r="S104" s="458">
        <v>3360</v>
      </c>
      <c r="T104" s="420" t="s">
        <v>2156</v>
      </c>
      <c r="U104" s="414" t="s">
        <v>4021</v>
      </c>
      <c r="V104" s="414" t="s">
        <v>4022</v>
      </c>
      <c r="W104" s="415" t="s">
        <v>4023</v>
      </c>
      <c r="X104" s="415"/>
      <c r="Y104" s="421" t="s">
        <v>3652</v>
      </c>
      <c r="Z104" s="421" t="s">
        <v>3652</v>
      </c>
      <c r="AA104" s="416"/>
      <c r="AB104" s="414" t="s">
        <v>4024</v>
      </c>
      <c r="AC104" s="426"/>
      <c r="AD104" s="421"/>
      <c r="AE104" s="420"/>
      <c r="AF104" s="421"/>
      <c r="AG104" s="420"/>
      <c r="AH104" s="421"/>
      <c r="AI104" s="420"/>
      <c r="AJ104" s="413">
        <f t="shared" si="3"/>
        <v>4590010818</v>
      </c>
      <c r="AK104" s="423"/>
      <c r="AL104" s="413"/>
      <c r="AM104" s="221"/>
      <c r="AN104" s="424"/>
      <c r="AO104" s="423"/>
      <c r="AP104" s="413"/>
      <c r="AQ104" s="222"/>
      <c r="AR104" s="424"/>
      <c r="AS104" s="614">
        <f ca="1">表格1_6[[#This Row],[total amount]]/表格1_6[[#This Row],[PO$]]</f>
        <v>0</v>
      </c>
      <c r="AT104" s="223">
        <f ca="1">表格1_6[[#This Row],[invoice amount]]+表格1_6[[#This Row],[invoice amount2]]</f>
        <v>0</v>
      </c>
      <c r="AU104" s="224"/>
      <c r="AV104" s="423"/>
      <c r="AW104" s="423" t="e">
        <f ca="1">VLOOKUP(表格1_6[[#This Row],[TI tool ID2]],工作表1!A:A,1,FALSE)</f>
        <v>#N/A</v>
      </c>
      <c r="AX104" s="425" t="e">
        <f ca="1">VLOOKUP(表格1_6[[#This Row],[PO+ITEM]],工作表1!B:E,2,FALSE)</f>
        <v>#N/A</v>
      </c>
      <c r="AY104" s="425" t="e">
        <f ca="1">VLOOKUP(表格1_6[[#This Row],[PO+ITEM]],工作表1!B:E,3,FALSE)</f>
        <v>#N/A</v>
      </c>
      <c r="AZ104" s="423" t="e">
        <f ca="1">VLOOKUP(表格1_6[[#This Row],[PO+ITEM]],工作表1!B:E,4,FALSE)</f>
        <v>#N/A</v>
      </c>
      <c r="BA104" s="425" t="e">
        <f ca="1">INDEX(工作表1!G:G, MATCH(表格1_6[[#This Row],[invoice number]]&amp;表格1_6[[#This Row],[invoice number2]],工作表1!G:G, 0))</f>
        <v>#N/A</v>
      </c>
      <c r="BB104" s="423" t="e">
        <f ca="1">VLOOKUP(表格1_6[[#This Row],[PO+ITEM]],工作表1!F:H,2,FALSE)</f>
        <v>#N/A</v>
      </c>
    </row>
    <row r="105" spans="1:54" ht="14.45">
      <c r="A105" s="413">
        <v>104</v>
      </c>
      <c r="B105" s="413"/>
      <c r="C105" s="414" t="s">
        <v>16</v>
      </c>
      <c r="D105" s="414" t="s">
        <v>3648</v>
      </c>
      <c r="E105" s="414"/>
      <c r="F105" s="414"/>
      <c r="G105" s="414"/>
      <c r="H105" s="414"/>
      <c r="I105" s="414"/>
      <c r="J105" s="414"/>
      <c r="K105" s="414"/>
      <c r="L105" s="415" t="s">
        <v>4025</v>
      </c>
      <c r="M105" s="416" t="s">
        <v>3762</v>
      </c>
      <c r="N105" s="416" t="s">
        <v>4026</v>
      </c>
      <c r="O105" s="421"/>
      <c r="P105" s="416">
        <v>4590011270</v>
      </c>
      <c r="Q105" s="418">
        <v>45075</v>
      </c>
      <c r="R105" s="419">
        <v>1</v>
      </c>
      <c r="S105" s="458">
        <v>9101</v>
      </c>
      <c r="T105" s="420" t="s">
        <v>2156</v>
      </c>
      <c r="U105" s="421" t="s">
        <v>4027</v>
      </c>
      <c r="V105" s="421" t="s">
        <v>3992</v>
      </c>
      <c r="W105" s="415" t="s">
        <v>3993</v>
      </c>
      <c r="X105" s="415"/>
      <c r="Y105" s="421" t="s">
        <v>3652</v>
      </c>
      <c r="Z105" s="421" t="s">
        <v>3652</v>
      </c>
      <c r="AA105" s="416"/>
      <c r="AB105" s="414" t="s">
        <v>4028</v>
      </c>
      <c r="AC105" s="421" t="s">
        <v>3718</v>
      </c>
      <c r="AD105" s="421"/>
      <c r="AE105" s="420"/>
      <c r="AF105" s="421"/>
      <c r="AG105" s="420"/>
      <c r="AH105" s="421"/>
      <c r="AI105" s="420"/>
      <c r="AJ105" s="413">
        <f t="shared" si="3"/>
        <v>4590011270</v>
      </c>
      <c r="AK105" s="423"/>
      <c r="AL105" s="413"/>
      <c r="AM105" s="221"/>
      <c r="AN105" s="424"/>
      <c r="AO105" s="423"/>
      <c r="AP105" s="413"/>
      <c r="AQ105" s="222"/>
      <c r="AR105" s="424"/>
      <c r="AS105" s="614">
        <f ca="1">表格1_6[[#This Row],[total amount]]/表格1_6[[#This Row],[PO$]]</f>
        <v>0</v>
      </c>
      <c r="AT105" s="223">
        <f ca="1">表格1_6[[#This Row],[invoice amount]]+表格1_6[[#This Row],[invoice amount2]]</f>
        <v>0</v>
      </c>
      <c r="AU105" s="224"/>
      <c r="AV105" s="423"/>
      <c r="AW105" s="423" t="e">
        <f ca="1">VLOOKUP(表格1_6[[#This Row],[TI tool ID2]],工作表1!A:A,1,FALSE)</f>
        <v>#N/A</v>
      </c>
      <c r="AX105" s="425" t="e">
        <f ca="1">VLOOKUP(表格1_6[[#This Row],[PO+ITEM]],工作表1!B:E,2,FALSE)</f>
        <v>#N/A</v>
      </c>
      <c r="AY105" s="425" t="e">
        <f ca="1">VLOOKUP(表格1_6[[#This Row],[PO+ITEM]],工作表1!B:E,3,FALSE)</f>
        <v>#N/A</v>
      </c>
      <c r="AZ105" s="423" t="e">
        <f ca="1">VLOOKUP(表格1_6[[#This Row],[PO+ITEM]],工作表1!B:E,4,FALSE)</f>
        <v>#N/A</v>
      </c>
      <c r="BA105" s="425" t="e">
        <f ca="1">INDEX(工作表1!G:G, MATCH(表格1_6[[#This Row],[invoice number]]&amp;表格1_6[[#This Row],[invoice number2]],工作表1!G:G, 0))</f>
        <v>#N/A</v>
      </c>
      <c r="BB105" s="423" t="e">
        <f ca="1">VLOOKUP(表格1_6[[#This Row],[PO+ITEM]],工作表1!F:H,2,FALSE)</f>
        <v>#N/A</v>
      </c>
    </row>
    <row r="106" spans="1:54" ht="14.45">
      <c r="A106" s="413">
        <v>105</v>
      </c>
      <c r="B106" s="413"/>
      <c r="C106" s="414" t="s">
        <v>17</v>
      </c>
      <c r="D106" s="414" t="s">
        <v>3648</v>
      </c>
      <c r="E106" s="414"/>
      <c r="F106" s="414"/>
      <c r="G106" s="414"/>
      <c r="H106" s="414"/>
      <c r="I106" s="414"/>
      <c r="J106" s="414"/>
      <c r="K106" s="414"/>
      <c r="L106" s="420" t="s">
        <v>4029</v>
      </c>
      <c r="M106" s="415" t="s">
        <v>2206</v>
      </c>
      <c r="N106" s="415"/>
      <c r="O106" s="415"/>
      <c r="P106" s="441">
        <v>4590012444</v>
      </c>
      <c r="Q106" s="418">
        <v>45120</v>
      </c>
      <c r="R106" s="419">
        <v>1</v>
      </c>
      <c r="S106" s="458">
        <v>1135</v>
      </c>
      <c r="T106" s="420" t="s">
        <v>2160</v>
      </c>
      <c r="U106" s="414" t="s">
        <v>4030</v>
      </c>
      <c r="V106" s="414" t="s">
        <v>4031</v>
      </c>
      <c r="W106" s="415" t="s">
        <v>4032</v>
      </c>
      <c r="X106" s="415"/>
      <c r="Y106" s="421" t="s">
        <v>20</v>
      </c>
      <c r="Z106" s="421" t="s">
        <v>3652</v>
      </c>
      <c r="AA106" s="416" t="s">
        <v>4033</v>
      </c>
      <c r="AB106" s="414" t="s">
        <v>4034</v>
      </c>
      <c r="AC106" s="426"/>
      <c r="AD106" s="421"/>
      <c r="AE106" s="420"/>
      <c r="AF106" s="421"/>
      <c r="AG106" s="420">
        <v>0</v>
      </c>
      <c r="AH106" s="421" t="s">
        <v>3932</v>
      </c>
      <c r="AI106" s="420"/>
      <c r="AJ106" s="413">
        <f t="shared" si="3"/>
        <v>4590012444</v>
      </c>
      <c r="AK106" s="423" t="s">
        <v>4035</v>
      </c>
      <c r="AL106" s="424">
        <v>45436</v>
      </c>
      <c r="AM106" s="221">
        <v>1135</v>
      </c>
      <c r="AN106" s="424">
        <v>45488</v>
      </c>
      <c r="AO106" s="423"/>
      <c r="AP106" s="413"/>
      <c r="AQ106" s="222"/>
      <c r="AR106" s="424"/>
      <c r="AS106" s="614">
        <f ca="1">表格1_6[[#This Row],[total amount]]/表格1_6[[#This Row],[PO$]]</f>
        <v>1</v>
      </c>
      <c r="AT106" s="223">
        <f ca="1">表格1_6[[#This Row],[invoice amount]]+表格1_6[[#This Row],[invoice amount2]]</f>
        <v>1135</v>
      </c>
      <c r="AU106" s="224" t="s">
        <v>3725</v>
      </c>
      <c r="AV106" s="423" t="s">
        <v>4036</v>
      </c>
      <c r="AW106" s="423" t="e">
        <f ca="1">VLOOKUP(表格1_6[[#This Row],[TI tool ID2]],工作表1!A:A,1,FALSE)</f>
        <v>#N/A</v>
      </c>
      <c r="AX106" s="425" t="e">
        <f ca="1">VLOOKUP(表格1_6[[#This Row],[PO+ITEM]],工作表1!B:E,2,FALSE)</f>
        <v>#N/A</v>
      </c>
      <c r="AY106" s="425" t="e">
        <f ca="1">VLOOKUP(表格1_6[[#This Row],[PO+ITEM]],工作表1!B:E,3,FALSE)</f>
        <v>#N/A</v>
      </c>
      <c r="AZ106" s="423" t="e">
        <f ca="1">VLOOKUP(表格1_6[[#This Row],[PO+ITEM]],工作表1!B:E,4,FALSE)</f>
        <v>#N/A</v>
      </c>
      <c r="BA106" s="425" t="e">
        <f ca="1">INDEX(工作表1!G:G, MATCH(表格1_6[[#This Row],[invoice number]]&amp;表格1_6[[#This Row],[invoice number2]],工作表1!G:G, 0))</f>
        <v>#N/A</v>
      </c>
      <c r="BB106" s="423" t="e">
        <f ca="1">VLOOKUP(表格1_6[[#This Row],[PO+ITEM]],工作表1!F:H,2,FALSE)</f>
        <v>#N/A</v>
      </c>
    </row>
    <row r="107" spans="1:54" ht="15.6">
      <c r="A107" s="413">
        <v>106</v>
      </c>
      <c r="B107" s="413" t="s">
        <v>3674</v>
      </c>
      <c r="C107" s="414" t="s">
        <v>17</v>
      </c>
      <c r="D107" s="414" t="s">
        <v>3648</v>
      </c>
      <c r="E107" s="414"/>
      <c r="F107" s="414"/>
      <c r="G107" s="414"/>
      <c r="H107" s="414"/>
      <c r="I107" s="414"/>
      <c r="J107" s="414"/>
      <c r="K107" s="414"/>
      <c r="L107" s="415" t="s">
        <v>4037</v>
      </c>
      <c r="M107" s="416" t="s">
        <v>2206</v>
      </c>
      <c r="N107" s="416"/>
      <c r="O107" s="421"/>
      <c r="P107" s="416">
        <v>4590012447</v>
      </c>
      <c r="Q107" s="418">
        <v>45120</v>
      </c>
      <c r="R107" s="419">
        <v>1</v>
      </c>
      <c r="S107" s="458">
        <v>3091</v>
      </c>
      <c r="T107" s="420" t="s">
        <v>2160</v>
      </c>
      <c r="U107" s="414" t="s">
        <v>4030</v>
      </c>
      <c r="V107" s="414" t="s">
        <v>4031</v>
      </c>
      <c r="W107" s="415" t="s">
        <v>4038</v>
      </c>
      <c r="X107" s="415"/>
      <c r="Y107" s="421" t="s">
        <v>20</v>
      </c>
      <c r="Z107" s="421" t="s">
        <v>3652</v>
      </c>
      <c r="AA107" s="416" t="s">
        <v>4033</v>
      </c>
      <c r="AB107" s="414" t="s">
        <v>4039</v>
      </c>
      <c r="AC107" s="421"/>
      <c r="AD107" s="421"/>
      <c r="AE107" s="420"/>
      <c r="AF107" s="421"/>
      <c r="AG107" s="420" t="s">
        <v>2557</v>
      </c>
      <c r="AH107" s="421" t="s">
        <v>3932</v>
      </c>
      <c r="AI107" s="420" t="s">
        <v>846</v>
      </c>
      <c r="AJ107" s="413">
        <f t="shared" si="3"/>
        <v>4590012447</v>
      </c>
      <c r="AK107" s="423" t="s">
        <v>4040</v>
      </c>
      <c r="AL107" s="424">
        <v>45345</v>
      </c>
      <c r="AM107" s="221">
        <v>0</v>
      </c>
      <c r="AN107" s="431" t="s">
        <v>3788</v>
      </c>
      <c r="AO107" s="423"/>
      <c r="AP107" s="413"/>
      <c r="AQ107" s="222"/>
      <c r="AR107" s="424"/>
      <c r="AS107" s="614">
        <f ca="1">表格1_6[[#This Row],[total amount]]/表格1_6[[#This Row],[PO$]]</f>
        <v>0</v>
      </c>
      <c r="AT107" s="223">
        <f ca="1">表格1_6[[#This Row],[invoice amount]]+表格1_6[[#This Row],[invoice amount2]]</f>
        <v>0</v>
      </c>
      <c r="AU107" s="224" t="s">
        <v>3789</v>
      </c>
      <c r="AV107" s="423" t="s">
        <v>4041</v>
      </c>
      <c r="AW107" s="423" t="e">
        <f ca="1">VLOOKUP(表格1_6[[#This Row],[TI tool ID2]],工作表1!A:A,1,FALSE)</f>
        <v>#N/A</v>
      </c>
      <c r="AX107" s="425" t="e">
        <f ca="1">VLOOKUP(表格1_6[[#This Row],[PO+ITEM]],工作表1!B:E,2,FALSE)</f>
        <v>#N/A</v>
      </c>
      <c r="AY107" s="425" t="e">
        <f ca="1">VLOOKUP(表格1_6[[#This Row],[PO+ITEM]],工作表1!B:E,3,FALSE)</f>
        <v>#N/A</v>
      </c>
      <c r="AZ107" s="423" t="e">
        <f ca="1">VLOOKUP(表格1_6[[#This Row],[PO+ITEM]],工作表1!B:E,4,FALSE)</f>
        <v>#N/A</v>
      </c>
      <c r="BA107" s="425" t="e">
        <f ca="1">INDEX(工作表1!G:G, MATCH(表格1_6[[#This Row],[invoice number]]&amp;表格1_6[[#This Row],[invoice number2]],工作表1!G:G, 0))</f>
        <v>#N/A</v>
      </c>
      <c r="BB107" s="423" t="e">
        <f ca="1">VLOOKUP(表格1_6[[#This Row],[PO+ITEM]],工作表1!F:H,2,FALSE)</f>
        <v>#N/A</v>
      </c>
    </row>
    <row r="108" spans="1:54" ht="14.45">
      <c r="A108" s="413">
        <v>107</v>
      </c>
      <c r="B108" s="413" t="s">
        <v>3659</v>
      </c>
      <c r="C108" s="414" t="s">
        <v>17</v>
      </c>
      <c r="D108" s="414" t="s">
        <v>3648</v>
      </c>
      <c r="E108" s="414"/>
      <c r="F108" s="414"/>
      <c r="G108" s="414"/>
      <c r="H108" s="414"/>
      <c r="I108" s="414"/>
      <c r="J108" s="414"/>
      <c r="K108" s="414"/>
      <c r="L108" s="415" t="s">
        <v>4042</v>
      </c>
      <c r="M108" s="416" t="s">
        <v>3762</v>
      </c>
      <c r="N108" s="416" t="s">
        <v>2068</v>
      </c>
      <c r="O108" s="421"/>
      <c r="P108" s="416">
        <v>4590012593</v>
      </c>
      <c r="Q108" s="418">
        <v>45127</v>
      </c>
      <c r="R108" s="419">
        <v>1</v>
      </c>
      <c r="S108" s="458">
        <v>275000</v>
      </c>
      <c r="T108" s="420" t="s">
        <v>2156</v>
      </c>
      <c r="U108" s="414" t="s">
        <v>3713</v>
      </c>
      <c r="V108" s="414" t="s">
        <v>3714</v>
      </c>
      <c r="W108" s="415" t="s">
        <v>3715</v>
      </c>
      <c r="X108" s="415"/>
      <c r="Y108" s="421" t="s">
        <v>20</v>
      </c>
      <c r="Z108" s="421" t="s">
        <v>3652</v>
      </c>
      <c r="AA108" s="416"/>
      <c r="AB108" s="414"/>
      <c r="AC108" s="421"/>
      <c r="AD108" s="421"/>
      <c r="AE108" s="420"/>
      <c r="AF108" s="421">
        <v>91287</v>
      </c>
      <c r="AG108" s="420" t="s">
        <v>3764</v>
      </c>
      <c r="AH108" s="421" t="s">
        <v>3718</v>
      </c>
      <c r="AI108" s="420" t="s">
        <v>3719</v>
      </c>
      <c r="AJ108" s="413">
        <f t="shared" si="3"/>
        <v>4590012593</v>
      </c>
      <c r="AK108" s="423"/>
      <c r="AL108" s="413"/>
      <c r="AM108" s="221"/>
      <c r="AN108" s="424"/>
      <c r="AO108" s="423"/>
      <c r="AP108" s="413"/>
      <c r="AQ108" s="222"/>
      <c r="AR108" s="424"/>
      <c r="AS108" s="614">
        <f ca="1">表格1_6[[#This Row],[total amount]]/表格1_6[[#This Row],[PO$]]</f>
        <v>0</v>
      </c>
      <c r="AT108" s="223">
        <f ca="1">表格1_6[[#This Row],[invoice amount]]+表格1_6[[#This Row],[invoice amount2]]</f>
        <v>0</v>
      </c>
      <c r="AU108" s="224"/>
      <c r="AV108" s="423"/>
      <c r="AW108" s="423" t="e">
        <f ca="1">VLOOKUP(表格1_6[[#This Row],[TI tool ID2]],工作表1!A:A,1,FALSE)</f>
        <v>#N/A</v>
      </c>
      <c r="AX108" s="425" t="e">
        <f ca="1">VLOOKUP(表格1_6[[#This Row],[PO+ITEM]],工作表1!B:E,2,FALSE)</f>
        <v>#N/A</v>
      </c>
      <c r="AY108" s="425" t="e">
        <f ca="1">VLOOKUP(表格1_6[[#This Row],[PO+ITEM]],工作表1!B:E,3,FALSE)</f>
        <v>#N/A</v>
      </c>
      <c r="AZ108" s="423" t="e">
        <f ca="1">VLOOKUP(表格1_6[[#This Row],[PO+ITEM]],工作表1!B:E,4,FALSE)</f>
        <v>#N/A</v>
      </c>
      <c r="BA108" s="425" t="e">
        <f ca="1">INDEX(工作表1!G:G, MATCH(表格1_6[[#This Row],[invoice number]]&amp;表格1_6[[#This Row],[invoice number2]],工作表1!G:G, 0))</f>
        <v>#N/A</v>
      </c>
      <c r="BB108" s="423" t="e">
        <f ca="1">VLOOKUP(表格1_6[[#This Row],[PO+ITEM]],工作表1!F:H,2,FALSE)</f>
        <v>#N/A</v>
      </c>
    </row>
    <row r="109" spans="1:54" ht="15.6">
      <c r="A109" s="413">
        <v>108</v>
      </c>
      <c r="B109" s="413"/>
      <c r="C109" s="414" t="s">
        <v>17</v>
      </c>
      <c r="D109" s="414" t="s">
        <v>3648</v>
      </c>
      <c r="E109" s="414"/>
      <c r="F109" s="414"/>
      <c r="G109" s="414"/>
      <c r="H109" s="414"/>
      <c r="I109" s="414"/>
      <c r="J109" s="414"/>
      <c r="K109" s="414"/>
      <c r="L109" s="415" t="s">
        <v>4043</v>
      </c>
      <c r="M109" s="416" t="s">
        <v>2888</v>
      </c>
      <c r="N109" s="416" t="s">
        <v>3668</v>
      </c>
      <c r="O109" s="421"/>
      <c r="P109" s="416">
        <v>4590012628</v>
      </c>
      <c r="Q109" s="418">
        <v>45128</v>
      </c>
      <c r="R109" s="419">
        <v>1</v>
      </c>
      <c r="S109" s="458">
        <v>49023</v>
      </c>
      <c r="T109" s="420" t="s">
        <v>2160</v>
      </c>
      <c r="U109" s="414" t="s">
        <v>3650</v>
      </c>
      <c r="V109" s="414" t="s">
        <v>3651</v>
      </c>
      <c r="W109" s="417" t="s">
        <v>3649</v>
      </c>
      <c r="X109" s="417"/>
      <c r="Y109" s="421" t="s">
        <v>3652</v>
      </c>
      <c r="Z109" s="421" t="s">
        <v>3652</v>
      </c>
      <c r="AA109" s="416"/>
      <c r="AB109" s="414" t="s">
        <v>4044</v>
      </c>
      <c r="AC109" s="421"/>
      <c r="AD109" s="421"/>
      <c r="AE109" s="420"/>
      <c r="AF109" s="421"/>
      <c r="AG109" s="420">
        <v>0</v>
      </c>
      <c r="AH109" s="414" t="s">
        <v>10</v>
      </c>
      <c r="AI109" s="420"/>
      <c r="AJ109" s="413">
        <f t="shared" si="3"/>
        <v>4590012628</v>
      </c>
      <c r="AK109" s="423"/>
      <c r="AL109" s="424">
        <v>45200</v>
      </c>
      <c r="AM109" s="221">
        <v>49023</v>
      </c>
      <c r="AN109" s="244">
        <v>45260</v>
      </c>
      <c r="AO109" s="423"/>
      <c r="AP109" s="413"/>
      <c r="AQ109" s="222"/>
      <c r="AR109" s="424"/>
      <c r="AS109" s="614">
        <f ca="1">表格1_6[[#This Row],[total amount]]/表格1_6[[#This Row],[PO$]]</f>
        <v>1</v>
      </c>
      <c r="AT109" s="223">
        <f ca="1">表格1_6[[#This Row],[invoice amount]]+表格1_6[[#This Row],[invoice amount2]]</f>
        <v>49023</v>
      </c>
      <c r="AU109" s="224" t="s">
        <v>3673</v>
      </c>
      <c r="AV109" s="423"/>
      <c r="AW109" s="423" t="e">
        <f ca="1">VLOOKUP(表格1_6[[#This Row],[TI tool ID2]],工作表1!A:A,1,FALSE)</f>
        <v>#N/A</v>
      </c>
      <c r="AX109" s="425" t="e">
        <f ca="1">VLOOKUP(表格1_6[[#This Row],[PO+ITEM]],工作表1!B:E,2,FALSE)</f>
        <v>#N/A</v>
      </c>
      <c r="AY109" s="425" t="e">
        <f ca="1">VLOOKUP(表格1_6[[#This Row],[PO+ITEM]],工作表1!B:E,3,FALSE)</f>
        <v>#N/A</v>
      </c>
      <c r="AZ109" s="423" t="e">
        <f ca="1">VLOOKUP(表格1_6[[#This Row],[PO+ITEM]],工作表1!B:E,4,FALSE)</f>
        <v>#N/A</v>
      </c>
      <c r="BA109" s="425" t="e">
        <f ca="1">INDEX(工作表1!G:G, MATCH(表格1_6[[#This Row],[invoice number]]&amp;表格1_6[[#This Row],[invoice number2]],工作表1!G:G, 0))</f>
        <v>#N/A</v>
      </c>
      <c r="BB109" s="423" t="e">
        <f ca="1">VLOOKUP(表格1_6[[#This Row],[PO+ITEM]],工作表1!F:H,2,FALSE)</f>
        <v>#N/A</v>
      </c>
    </row>
    <row r="110" spans="1:54" ht="14.45">
      <c r="A110" s="413">
        <v>109</v>
      </c>
      <c r="B110" s="413"/>
      <c r="C110" s="414" t="s">
        <v>17</v>
      </c>
      <c r="D110" s="414" t="s">
        <v>3648</v>
      </c>
      <c r="E110" s="414"/>
      <c r="F110" s="414"/>
      <c r="G110" s="414"/>
      <c r="H110" s="414"/>
      <c r="I110" s="414"/>
      <c r="J110" s="414"/>
      <c r="K110" s="414"/>
      <c r="L110" s="415" t="s">
        <v>4045</v>
      </c>
      <c r="M110" s="416" t="s">
        <v>4046</v>
      </c>
      <c r="N110" s="416" t="s">
        <v>2882</v>
      </c>
      <c r="O110" s="421"/>
      <c r="P110" s="416">
        <v>4590012682</v>
      </c>
      <c r="Q110" s="418">
        <v>45132</v>
      </c>
      <c r="R110" s="334" t="s">
        <v>3907</v>
      </c>
      <c r="S110" s="458">
        <v>15852.23</v>
      </c>
      <c r="T110" s="420" t="s">
        <v>2156</v>
      </c>
      <c r="U110" s="414" t="s">
        <v>4047</v>
      </c>
      <c r="V110" s="414"/>
      <c r="W110" s="415"/>
      <c r="X110" s="415"/>
      <c r="Y110" s="421" t="s">
        <v>3652</v>
      </c>
      <c r="Z110" s="421" t="s">
        <v>3652</v>
      </c>
      <c r="AA110" s="259" t="s">
        <v>4048</v>
      </c>
      <c r="AB110" s="414" t="s">
        <v>4049</v>
      </c>
      <c r="AC110" s="421"/>
      <c r="AD110" s="421"/>
      <c r="AE110" s="420"/>
      <c r="AF110" s="421"/>
      <c r="AG110" s="420"/>
      <c r="AH110" s="421"/>
      <c r="AI110" s="420"/>
      <c r="AJ110" s="413">
        <f t="shared" si="3"/>
        <v>4590012682</v>
      </c>
      <c r="AK110" s="423"/>
      <c r="AL110" s="413"/>
      <c r="AM110" s="221"/>
      <c r="AN110" s="424"/>
      <c r="AO110" s="423"/>
      <c r="AP110" s="413"/>
      <c r="AQ110" s="222"/>
      <c r="AR110" s="424"/>
      <c r="AS110" s="614">
        <f ca="1">表格1_6[[#This Row],[total amount]]/表格1_6[[#This Row],[PO$]]</f>
        <v>0</v>
      </c>
      <c r="AT110" s="223">
        <f ca="1">表格1_6[[#This Row],[invoice amount]]+表格1_6[[#This Row],[invoice amount2]]</f>
        <v>0</v>
      </c>
      <c r="AU110" s="224"/>
      <c r="AV110" s="423"/>
      <c r="AW110" s="423" t="e">
        <f ca="1">VLOOKUP(表格1_6[[#This Row],[TI tool ID2]],工作表1!A:A,1,FALSE)</f>
        <v>#N/A</v>
      </c>
      <c r="AX110" s="425" t="e">
        <f ca="1">VLOOKUP(表格1_6[[#This Row],[PO+ITEM]],工作表1!B:E,2,FALSE)</f>
        <v>#N/A</v>
      </c>
      <c r="AY110" s="425" t="e">
        <f ca="1">VLOOKUP(表格1_6[[#This Row],[PO+ITEM]],工作表1!B:E,3,FALSE)</f>
        <v>#N/A</v>
      </c>
      <c r="AZ110" s="423" t="e">
        <f ca="1">VLOOKUP(表格1_6[[#This Row],[PO+ITEM]],工作表1!B:E,4,FALSE)</f>
        <v>#N/A</v>
      </c>
      <c r="BA110" s="425" t="e">
        <f ca="1">INDEX(工作表1!G:G, MATCH(表格1_6[[#This Row],[invoice number]]&amp;表格1_6[[#This Row],[invoice number2]],工作表1!G:G, 0))</f>
        <v>#N/A</v>
      </c>
      <c r="BB110" s="423" t="e">
        <f ca="1">VLOOKUP(表格1_6[[#This Row],[PO+ITEM]],工作表1!F:H,2,FALSE)</f>
        <v>#N/A</v>
      </c>
    </row>
    <row r="111" spans="1:54" ht="15.6">
      <c r="A111" s="413">
        <v>110</v>
      </c>
      <c r="B111" s="413"/>
      <c r="C111" s="414" t="s">
        <v>19</v>
      </c>
      <c r="D111" s="414" t="s">
        <v>3648</v>
      </c>
      <c r="E111" s="414"/>
      <c r="F111" s="414"/>
      <c r="G111" s="414"/>
      <c r="H111" s="414"/>
      <c r="I111" s="414"/>
      <c r="J111" s="414"/>
      <c r="K111" s="414"/>
      <c r="L111" s="415" t="s">
        <v>4050</v>
      </c>
      <c r="M111" s="416" t="s">
        <v>2888</v>
      </c>
      <c r="N111" s="416" t="s">
        <v>3668</v>
      </c>
      <c r="O111" s="421"/>
      <c r="P111" s="416">
        <v>4590012853</v>
      </c>
      <c r="Q111" s="418">
        <v>45148</v>
      </c>
      <c r="R111" s="419">
        <v>1</v>
      </c>
      <c r="S111" s="458">
        <v>193326.8</v>
      </c>
      <c r="T111" s="420"/>
      <c r="U111" s="414" t="s">
        <v>3669</v>
      </c>
      <c r="V111" s="414" t="s">
        <v>3670</v>
      </c>
      <c r="W111" s="417" t="s">
        <v>3667</v>
      </c>
      <c r="X111" s="417"/>
      <c r="Y111" s="421"/>
      <c r="Z111" s="421" t="s">
        <v>3652</v>
      </c>
      <c r="AA111" s="416" t="s">
        <v>4051</v>
      </c>
      <c r="AB111" s="414" t="s">
        <v>4052</v>
      </c>
      <c r="AC111" s="421"/>
      <c r="AD111" s="421"/>
      <c r="AE111" s="420"/>
      <c r="AF111" s="421"/>
      <c r="AG111" s="420">
        <v>0</v>
      </c>
      <c r="AH111" s="414" t="s">
        <v>10</v>
      </c>
      <c r="AI111" s="420"/>
      <c r="AJ111" s="413">
        <f t="shared" si="3"/>
        <v>4590012853</v>
      </c>
      <c r="AK111" s="423" t="s">
        <v>4053</v>
      </c>
      <c r="AL111" s="424">
        <v>45231</v>
      </c>
      <c r="AM111" s="221">
        <v>183660.46</v>
      </c>
      <c r="AN111" s="244">
        <v>45337</v>
      </c>
      <c r="AO111" s="423"/>
      <c r="AP111" s="413"/>
      <c r="AQ111" s="222"/>
      <c r="AR111" s="424"/>
      <c r="AS111" s="614">
        <f ca="1">表格1_6[[#This Row],[total amount]]/表格1_6[[#This Row],[PO$]]</f>
        <v>0.95000000000000007</v>
      </c>
      <c r="AT111" s="223">
        <f ca="1">表格1_6[[#This Row],[invoice amount]]+表格1_6[[#This Row],[invoice amount2]]</f>
        <v>183660.46</v>
      </c>
      <c r="AU111" s="224" t="s">
        <v>3673</v>
      </c>
      <c r="AV111" s="423"/>
      <c r="AW111" s="423" t="e">
        <f ca="1">VLOOKUP(表格1_6[[#This Row],[TI tool ID2]],工作表1!A:A,1,FALSE)</f>
        <v>#N/A</v>
      </c>
      <c r="AX111" s="425" t="e">
        <f ca="1">VLOOKUP(表格1_6[[#This Row],[PO+ITEM]],工作表1!B:E,2,FALSE)</f>
        <v>#N/A</v>
      </c>
      <c r="AY111" s="425" t="e">
        <f ca="1">VLOOKUP(表格1_6[[#This Row],[PO+ITEM]],工作表1!B:E,3,FALSE)</f>
        <v>#N/A</v>
      </c>
      <c r="AZ111" s="423" t="e">
        <f ca="1">VLOOKUP(表格1_6[[#This Row],[PO+ITEM]],工作表1!B:E,4,FALSE)</f>
        <v>#N/A</v>
      </c>
      <c r="BA111" s="425" t="e">
        <f ca="1">INDEX(工作表1!G:G, MATCH(表格1_6[[#This Row],[invoice number]]&amp;表格1_6[[#This Row],[invoice number2]],工作表1!G:G, 0))</f>
        <v>#N/A</v>
      </c>
      <c r="BB111" s="423" t="e">
        <f ca="1">VLOOKUP(表格1_6[[#This Row],[PO+ITEM]],工作表1!F:H,2,FALSE)</f>
        <v>#N/A</v>
      </c>
    </row>
    <row r="112" spans="1:54" ht="15.6">
      <c r="A112" s="413">
        <v>111</v>
      </c>
      <c r="B112" s="413"/>
      <c r="C112" s="414" t="s">
        <v>10</v>
      </c>
      <c r="D112" s="414" t="s">
        <v>3648</v>
      </c>
      <c r="E112" s="414"/>
      <c r="F112" s="414"/>
      <c r="G112" s="414"/>
      <c r="H112" s="414"/>
      <c r="I112" s="414"/>
      <c r="J112" s="414"/>
      <c r="K112" s="414"/>
      <c r="L112" s="415" t="s">
        <v>4054</v>
      </c>
      <c r="M112" s="416" t="s">
        <v>2888</v>
      </c>
      <c r="N112" s="416" t="s">
        <v>3668</v>
      </c>
      <c r="O112" s="421"/>
      <c r="P112" s="416">
        <v>4590012955</v>
      </c>
      <c r="Q112" s="418">
        <v>45162</v>
      </c>
      <c r="R112" s="419">
        <v>1</v>
      </c>
      <c r="S112" s="458">
        <v>55238</v>
      </c>
      <c r="T112" s="420" t="s">
        <v>2156</v>
      </c>
      <c r="U112" s="414" t="s">
        <v>4055</v>
      </c>
      <c r="V112" s="414" t="s">
        <v>3651</v>
      </c>
      <c r="W112" s="415"/>
      <c r="X112" s="415"/>
      <c r="Y112" s="421" t="s">
        <v>3652</v>
      </c>
      <c r="Z112" s="421" t="s">
        <v>3652</v>
      </c>
      <c r="AA112" s="416" t="s">
        <v>4056</v>
      </c>
      <c r="AB112" s="414" t="s">
        <v>4057</v>
      </c>
      <c r="AC112" s="421"/>
      <c r="AD112" s="421"/>
      <c r="AE112" s="420"/>
      <c r="AF112" s="421"/>
      <c r="AG112" s="420" t="s">
        <v>4058</v>
      </c>
      <c r="AH112" s="414" t="s">
        <v>10</v>
      </c>
      <c r="AI112" s="420"/>
      <c r="AJ112" s="413">
        <f t="shared" si="3"/>
        <v>4590012955</v>
      </c>
      <c r="AK112" s="423"/>
      <c r="AL112" s="424">
        <v>45200</v>
      </c>
      <c r="AM112" s="221">
        <v>55238</v>
      </c>
      <c r="AN112" s="244">
        <v>45260</v>
      </c>
      <c r="AO112" s="423"/>
      <c r="AP112" s="413"/>
      <c r="AQ112" s="222"/>
      <c r="AR112" s="424"/>
      <c r="AS112" s="614">
        <f ca="1">表格1_6[[#This Row],[total amount]]/表格1_6[[#This Row],[PO$]]</f>
        <v>1</v>
      </c>
      <c r="AT112" s="223">
        <f ca="1">表格1_6[[#This Row],[invoice amount]]+表格1_6[[#This Row],[invoice amount2]]</f>
        <v>55238</v>
      </c>
      <c r="AU112" s="224" t="s">
        <v>3673</v>
      </c>
      <c r="AV112" s="423"/>
      <c r="AW112" s="423" t="e">
        <f ca="1">VLOOKUP(表格1_6[[#This Row],[TI tool ID2]],工作表1!A:A,1,FALSE)</f>
        <v>#N/A</v>
      </c>
      <c r="AX112" s="425" t="e">
        <f ca="1">VLOOKUP(表格1_6[[#This Row],[PO+ITEM]],工作表1!B:E,2,FALSE)</f>
        <v>#N/A</v>
      </c>
      <c r="AY112" s="425" t="e">
        <f ca="1">VLOOKUP(表格1_6[[#This Row],[PO+ITEM]],工作表1!B:E,3,FALSE)</f>
        <v>#N/A</v>
      </c>
      <c r="AZ112" s="423" t="e">
        <f ca="1">VLOOKUP(表格1_6[[#This Row],[PO+ITEM]],工作表1!B:E,4,FALSE)</f>
        <v>#N/A</v>
      </c>
      <c r="BA112" s="425" t="e">
        <f ca="1">INDEX(工作表1!G:G, MATCH(表格1_6[[#This Row],[invoice number]]&amp;表格1_6[[#This Row],[invoice number2]],工作表1!G:G, 0))</f>
        <v>#N/A</v>
      </c>
      <c r="BB112" s="423" t="e">
        <f ca="1">VLOOKUP(表格1_6[[#This Row],[PO+ITEM]],工作表1!F:H,2,FALSE)</f>
        <v>#N/A</v>
      </c>
    </row>
    <row r="113" spans="1:54" ht="14.45">
      <c r="A113" s="413">
        <v>112</v>
      </c>
      <c r="B113" s="413"/>
      <c r="C113" s="414" t="s">
        <v>17</v>
      </c>
      <c r="D113" s="414" t="s">
        <v>3648</v>
      </c>
      <c r="E113" s="414"/>
      <c r="F113" s="414"/>
      <c r="G113" s="414"/>
      <c r="H113" s="414"/>
      <c r="I113" s="414"/>
      <c r="J113" s="414"/>
      <c r="K113" s="414"/>
      <c r="L113" s="415" t="s">
        <v>4059</v>
      </c>
      <c r="M113" s="416" t="s">
        <v>2888</v>
      </c>
      <c r="N113" s="416" t="s">
        <v>3668</v>
      </c>
      <c r="O113" s="421"/>
      <c r="P113" s="416">
        <v>4590013024</v>
      </c>
      <c r="Q113" s="418">
        <v>45175</v>
      </c>
      <c r="R113" s="419">
        <v>1</v>
      </c>
      <c r="S113" s="458">
        <v>7575.15</v>
      </c>
      <c r="T113" s="420" t="s">
        <v>2156</v>
      </c>
      <c r="U113" s="414" t="s">
        <v>4060</v>
      </c>
      <c r="V113" s="414" t="s">
        <v>3670</v>
      </c>
      <c r="W113" s="415"/>
      <c r="X113" s="415"/>
      <c r="Y113" s="421" t="s">
        <v>3652</v>
      </c>
      <c r="Z113" s="421" t="s">
        <v>3652</v>
      </c>
      <c r="AA113" s="416"/>
      <c r="AB113" s="414" t="s">
        <v>4061</v>
      </c>
      <c r="AC113" s="421"/>
      <c r="AD113" s="421"/>
      <c r="AE113" s="420"/>
      <c r="AF113" s="421"/>
      <c r="AG113" s="420">
        <v>0</v>
      </c>
      <c r="AH113" s="414" t="s">
        <v>19</v>
      </c>
      <c r="AI113" s="420"/>
      <c r="AJ113" s="413">
        <f t="shared" si="3"/>
        <v>4590013024</v>
      </c>
      <c r="AK113" s="423"/>
      <c r="AL113" s="413"/>
      <c r="AM113" s="221"/>
      <c r="AN113" s="424"/>
      <c r="AO113" s="423"/>
      <c r="AP113" s="413"/>
      <c r="AQ113" s="222"/>
      <c r="AR113" s="424"/>
      <c r="AS113" s="614">
        <f ca="1">表格1_6[[#This Row],[total amount]]/表格1_6[[#This Row],[PO$]]</f>
        <v>0</v>
      </c>
      <c r="AT113" s="223">
        <f ca="1">表格1_6[[#This Row],[invoice amount]]+表格1_6[[#This Row],[invoice amount2]]</f>
        <v>0</v>
      </c>
      <c r="AU113" s="224"/>
      <c r="AV113" s="423"/>
      <c r="AW113" s="423" t="e">
        <f ca="1">VLOOKUP(表格1_6[[#This Row],[TI tool ID2]],工作表1!A:A,1,FALSE)</f>
        <v>#N/A</v>
      </c>
      <c r="AX113" s="425" t="e">
        <f ca="1">VLOOKUP(表格1_6[[#This Row],[PO+ITEM]],工作表1!B:E,2,FALSE)</f>
        <v>#N/A</v>
      </c>
      <c r="AY113" s="425" t="e">
        <f ca="1">VLOOKUP(表格1_6[[#This Row],[PO+ITEM]],工作表1!B:E,3,FALSE)</f>
        <v>#N/A</v>
      </c>
      <c r="AZ113" s="423" t="e">
        <f ca="1">VLOOKUP(表格1_6[[#This Row],[PO+ITEM]],工作表1!B:E,4,FALSE)</f>
        <v>#N/A</v>
      </c>
      <c r="BA113" s="425" t="e">
        <f ca="1">INDEX(工作表1!G:G, MATCH(表格1_6[[#This Row],[invoice number]]&amp;表格1_6[[#This Row],[invoice number2]],工作表1!G:G, 0))</f>
        <v>#N/A</v>
      </c>
      <c r="BB113" s="423" t="e">
        <f ca="1">VLOOKUP(表格1_6[[#This Row],[PO+ITEM]],工作表1!F:H,2,FALSE)</f>
        <v>#N/A</v>
      </c>
    </row>
    <row r="114" spans="1:54" ht="15.6">
      <c r="A114" s="413">
        <v>113</v>
      </c>
      <c r="B114" s="413"/>
      <c r="C114" s="414" t="s">
        <v>10</v>
      </c>
      <c r="D114" s="414" t="s">
        <v>3648</v>
      </c>
      <c r="E114" s="414"/>
      <c r="F114" s="414"/>
      <c r="G114" s="414"/>
      <c r="H114" s="414"/>
      <c r="I114" s="414"/>
      <c r="J114" s="414"/>
      <c r="K114" s="414"/>
      <c r="L114" s="415" t="s">
        <v>4062</v>
      </c>
      <c r="M114" s="416" t="s">
        <v>2888</v>
      </c>
      <c r="N114" s="416" t="s">
        <v>3668</v>
      </c>
      <c r="O114" s="421"/>
      <c r="P114" s="416">
        <v>4590013195</v>
      </c>
      <c r="Q114" s="418">
        <v>45188</v>
      </c>
      <c r="R114" s="419">
        <v>1</v>
      </c>
      <c r="S114" s="458">
        <v>12107</v>
      </c>
      <c r="T114" s="420" t="s">
        <v>2156</v>
      </c>
      <c r="U114" s="414" t="s">
        <v>4063</v>
      </c>
      <c r="V114" s="414" t="s">
        <v>3651</v>
      </c>
      <c r="W114" s="415"/>
      <c r="X114" s="415"/>
      <c r="Y114" s="421" t="s">
        <v>3652</v>
      </c>
      <c r="Z114" s="421" t="s">
        <v>3652</v>
      </c>
      <c r="AA114" s="416"/>
      <c r="AB114" s="414" t="s">
        <v>4064</v>
      </c>
      <c r="AC114" s="421"/>
      <c r="AD114" s="421"/>
      <c r="AE114" s="420"/>
      <c r="AF114" s="421"/>
      <c r="AG114" s="420">
        <v>0</v>
      </c>
      <c r="AH114" s="414" t="s">
        <v>10</v>
      </c>
      <c r="AI114" s="420"/>
      <c r="AJ114" s="413">
        <f t="shared" si="3"/>
        <v>4590013195</v>
      </c>
      <c r="AK114" s="423" t="s">
        <v>4065</v>
      </c>
      <c r="AL114" s="424">
        <v>45345</v>
      </c>
      <c r="AM114" s="221">
        <v>12107</v>
      </c>
      <c r="AN114" s="244">
        <v>45366</v>
      </c>
      <c r="AO114" s="423"/>
      <c r="AP114" s="413"/>
      <c r="AQ114" s="222"/>
      <c r="AR114" s="424"/>
      <c r="AS114" s="614">
        <f ca="1">表格1_6[[#This Row],[total amount]]/表格1_6[[#This Row],[PO$]]</f>
        <v>1</v>
      </c>
      <c r="AT114" s="223">
        <f ca="1">表格1_6[[#This Row],[invoice amount]]+表格1_6[[#This Row],[invoice amount2]]</f>
        <v>12107</v>
      </c>
      <c r="AU114" s="224" t="s">
        <v>3673</v>
      </c>
      <c r="AV114" s="423"/>
      <c r="AW114" s="423" t="e">
        <f ca="1">VLOOKUP(表格1_6[[#This Row],[TI tool ID2]],工作表1!A:A,1,FALSE)</f>
        <v>#N/A</v>
      </c>
      <c r="AX114" s="425" t="e">
        <f ca="1">VLOOKUP(表格1_6[[#This Row],[PO+ITEM]],工作表1!B:E,2,FALSE)</f>
        <v>#N/A</v>
      </c>
      <c r="AY114" s="425" t="e">
        <f ca="1">VLOOKUP(表格1_6[[#This Row],[PO+ITEM]],工作表1!B:E,3,FALSE)</f>
        <v>#N/A</v>
      </c>
      <c r="AZ114" s="423" t="e">
        <f ca="1">VLOOKUP(表格1_6[[#This Row],[PO+ITEM]],工作表1!B:E,4,FALSE)</f>
        <v>#N/A</v>
      </c>
      <c r="BA114" s="425" t="e">
        <f ca="1">INDEX(工作表1!G:G, MATCH(表格1_6[[#This Row],[invoice number]]&amp;表格1_6[[#This Row],[invoice number2]],工作表1!G:G, 0))</f>
        <v>#N/A</v>
      </c>
      <c r="BB114" s="423" t="e">
        <f ca="1">VLOOKUP(表格1_6[[#This Row],[PO+ITEM]],工作表1!F:H,2,FALSE)</f>
        <v>#N/A</v>
      </c>
    </row>
    <row r="115" spans="1:54" ht="14.45">
      <c r="A115" s="413">
        <v>114</v>
      </c>
      <c r="B115" s="413"/>
      <c r="C115" s="414" t="s">
        <v>17</v>
      </c>
      <c r="D115" s="414" t="s">
        <v>3648</v>
      </c>
      <c r="E115" s="414"/>
      <c r="F115" s="414"/>
      <c r="G115" s="414" t="s">
        <v>2196</v>
      </c>
      <c r="H115" s="414"/>
      <c r="I115" s="414"/>
      <c r="J115" s="414"/>
      <c r="K115" s="414"/>
      <c r="L115" s="415" t="s">
        <v>4066</v>
      </c>
      <c r="M115" s="416" t="s">
        <v>3762</v>
      </c>
      <c r="N115" s="416"/>
      <c r="O115" s="421"/>
      <c r="P115" s="416">
        <v>4590013196</v>
      </c>
      <c r="Q115" s="418">
        <v>45188</v>
      </c>
      <c r="R115" s="334" t="s">
        <v>3907</v>
      </c>
      <c r="S115" s="458">
        <v>49376</v>
      </c>
      <c r="T115" s="420" t="s">
        <v>2156</v>
      </c>
      <c r="U115" s="414" t="s">
        <v>4067</v>
      </c>
      <c r="V115" s="414" t="s">
        <v>4068</v>
      </c>
      <c r="W115" s="415"/>
      <c r="X115" s="415"/>
      <c r="Y115" s="421" t="s">
        <v>3652</v>
      </c>
      <c r="Z115" s="421" t="s">
        <v>3652</v>
      </c>
      <c r="AA115" s="259"/>
      <c r="AB115" s="414" t="s">
        <v>4069</v>
      </c>
      <c r="AC115" s="421" t="s">
        <v>4070</v>
      </c>
      <c r="AD115" s="421"/>
      <c r="AE115" s="420"/>
      <c r="AF115" s="421"/>
      <c r="AG115" s="420"/>
      <c r="AH115" s="421" t="s">
        <v>4070</v>
      </c>
      <c r="AI115" s="420"/>
      <c r="AJ115" s="413">
        <f t="shared" si="3"/>
        <v>4590013196</v>
      </c>
      <c r="AK115" s="423"/>
      <c r="AL115" s="413"/>
      <c r="AM115" s="221"/>
      <c r="AN115" s="424"/>
      <c r="AO115" s="423"/>
      <c r="AP115" s="413"/>
      <c r="AQ115" s="222"/>
      <c r="AR115" s="424"/>
      <c r="AS115" s="614">
        <f ca="1">表格1_6[[#This Row],[total amount]]/表格1_6[[#This Row],[PO$]]</f>
        <v>0</v>
      </c>
      <c r="AT115" s="223">
        <f ca="1">表格1_6[[#This Row],[invoice amount]]+表格1_6[[#This Row],[invoice amount2]]</f>
        <v>0</v>
      </c>
      <c r="AU115" s="224"/>
      <c r="AV115" s="423"/>
      <c r="AW115" s="423" t="e">
        <f ca="1">VLOOKUP(表格1_6[[#This Row],[TI tool ID2]],工作表1!A:A,1,FALSE)</f>
        <v>#N/A</v>
      </c>
      <c r="AX115" s="425" t="e">
        <f ca="1">VLOOKUP(表格1_6[[#This Row],[PO+ITEM]],工作表1!B:E,2,FALSE)</f>
        <v>#N/A</v>
      </c>
      <c r="AY115" s="425" t="e">
        <f ca="1">VLOOKUP(表格1_6[[#This Row],[PO+ITEM]],工作表1!B:E,3,FALSE)</f>
        <v>#N/A</v>
      </c>
      <c r="AZ115" s="423" t="e">
        <f ca="1">VLOOKUP(表格1_6[[#This Row],[PO+ITEM]],工作表1!B:E,4,FALSE)</f>
        <v>#N/A</v>
      </c>
      <c r="BA115" s="425" t="e">
        <f ca="1">INDEX(工作表1!G:G, MATCH(表格1_6[[#This Row],[invoice number]]&amp;表格1_6[[#This Row],[invoice number2]],工作表1!G:G, 0))</f>
        <v>#N/A</v>
      </c>
      <c r="BB115" s="423" t="e">
        <f ca="1">VLOOKUP(表格1_6[[#This Row],[PO+ITEM]],工作表1!F:H,2,FALSE)</f>
        <v>#N/A</v>
      </c>
    </row>
    <row r="116" spans="1:54" ht="14.45">
      <c r="A116" s="413">
        <v>115</v>
      </c>
      <c r="B116" s="413"/>
      <c r="C116" s="414" t="s">
        <v>17</v>
      </c>
      <c r="D116" s="414" t="s">
        <v>3648</v>
      </c>
      <c r="E116" s="414"/>
      <c r="F116" s="414"/>
      <c r="G116" s="414" t="s">
        <v>2196</v>
      </c>
      <c r="H116" s="414"/>
      <c r="I116" s="414"/>
      <c r="J116" s="414"/>
      <c r="K116" s="414"/>
      <c r="L116" s="415" t="s">
        <v>4071</v>
      </c>
      <c r="M116" s="416" t="s">
        <v>4072</v>
      </c>
      <c r="N116" s="416"/>
      <c r="O116" s="421"/>
      <c r="P116" s="416">
        <v>4590013438</v>
      </c>
      <c r="Q116" s="418">
        <v>45203</v>
      </c>
      <c r="R116" s="419">
        <v>1</v>
      </c>
      <c r="S116" s="458">
        <v>8784.0300000000007</v>
      </c>
      <c r="T116" s="420" t="s">
        <v>2160</v>
      </c>
      <c r="U116" s="414" t="s">
        <v>3713</v>
      </c>
      <c r="V116" s="414" t="s">
        <v>3714</v>
      </c>
      <c r="W116" s="415" t="s">
        <v>3715</v>
      </c>
      <c r="X116" s="415"/>
      <c r="Y116" s="421" t="s">
        <v>3652</v>
      </c>
      <c r="Z116" s="421" t="s">
        <v>3652</v>
      </c>
      <c r="AA116" s="416"/>
      <c r="AB116" s="414" t="s">
        <v>4073</v>
      </c>
      <c r="AC116" s="421" t="s">
        <v>4074</v>
      </c>
      <c r="AD116" s="421"/>
      <c r="AE116" s="420"/>
      <c r="AF116" s="421"/>
      <c r="AG116" s="420"/>
      <c r="AH116" s="421" t="s">
        <v>4074</v>
      </c>
      <c r="AI116" s="420"/>
      <c r="AJ116" s="413">
        <f t="shared" si="3"/>
        <v>4590013438</v>
      </c>
      <c r="AK116" s="423" t="s">
        <v>4075</v>
      </c>
      <c r="AL116" s="559">
        <v>45498</v>
      </c>
      <c r="AM116" s="221">
        <v>8784.0300000000007</v>
      </c>
      <c r="AN116" s="424" t="s">
        <v>3805</v>
      </c>
      <c r="AO116" s="423"/>
      <c r="AP116" s="413"/>
      <c r="AQ116" s="222"/>
      <c r="AR116" s="424"/>
      <c r="AS116" s="614">
        <f ca="1">表格1_6[[#This Row],[total amount]]/表格1_6[[#This Row],[PO$]]</f>
        <v>1</v>
      </c>
      <c r="AT116" s="223">
        <f ca="1">表格1_6[[#This Row],[invoice amount]]+表格1_6[[#This Row],[invoice amount2]]</f>
        <v>8784.0300000000007</v>
      </c>
      <c r="AU116" s="224" t="s">
        <v>3752</v>
      </c>
      <c r="AV116" s="423"/>
      <c r="AW116" s="423" t="e">
        <f ca="1">VLOOKUP(表格1_6[[#This Row],[TI tool ID2]],工作表1!A:A,1,FALSE)</f>
        <v>#N/A</v>
      </c>
      <c r="AX116" s="425" t="e">
        <f ca="1">VLOOKUP(表格1_6[[#This Row],[PO+ITEM]],工作表1!B:E,2,FALSE)</f>
        <v>#N/A</v>
      </c>
      <c r="AY116" s="425" t="e">
        <f ca="1">VLOOKUP(表格1_6[[#This Row],[PO+ITEM]],工作表1!B:E,3,FALSE)</f>
        <v>#N/A</v>
      </c>
      <c r="AZ116" s="423" t="e">
        <f ca="1">VLOOKUP(表格1_6[[#This Row],[PO+ITEM]],工作表1!B:E,4,FALSE)</f>
        <v>#N/A</v>
      </c>
      <c r="BA116" s="425" t="e">
        <f ca="1">INDEX(工作表1!G:G, MATCH(表格1_6[[#This Row],[invoice number]]&amp;表格1_6[[#This Row],[invoice number2]],工作表1!G:G, 0))</f>
        <v>#N/A</v>
      </c>
      <c r="BB116" s="423" t="e">
        <f ca="1">VLOOKUP(表格1_6[[#This Row],[PO+ITEM]],工作表1!F:H,2,FALSE)</f>
        <v>#N/A</v>
      </c>
    </row>
    <row r="117" spans="1:54" ht="29.1">
      <c r="A117" s="413">
        <v>116</v>
      </c>
      <c r="B117" s="413"/>
      <c r="C117" s="414" t="s">
        <v>17</v>
      </c>
      <c r="D117" s="414" t="s">
        <v>3648</v>
      </c>
      <c r="E117" s="414"/>
      <c r="F117" s="414"/>
      <c r="G117" s="414" t="s">
        <v>2196</v>
      </c>
      <c r="H117" s="414"/>
      <c r="I117" s="414"/>
      <c r="J117" s="414"/>
      <c r="K117" s="414"/>
      <c r="L117" s="415" t="s">
        <v>4076</v>
      </c>
      <c r="M117" s="416" t="s">
        <v>2888</v>
      </c>
      <c r="N117" s="416"/>
      <c r="O117" s="421"/>
      <c r="P117" s="416">
        <v>4590013731</v>
      </c>
      <c r="Q117" s="418">
        <v>45233</v>
      </c>
      <c r="R117" s="419">
        <v>1</v>
      </c>
      <c r="S117" s="458">
        <v>7950.88</v>
      </c>
      <c r="T117" s="420" t="s">
        <v>2156</v>
      </c>
      <c r="U117" s="414" t="s">
        <v>3669</v>
      </c>
      <c r="V117" s="414" t="s">
        <v>3670</v>
      </c>
      <c r="W117" s="417" t="s">
        <v>3667</v>
      </c>
      <c r="X117" s="417"/>
      <c r="Y117" s="421" t="s">
        <v>3652</v>
      </c>
      <c r="Z117" s="421" t="s">
        <v>3652</v>
      </c>
      <c r="AA117" s="416"/>
      <c r="AB117" s="414" t="s">
        <v>4077</v>
      </c>
      <c r="AC117" s="421"/>
      <c r="AD117" s="421"/>
      <c r="AE117" s="420"/>
      <c r="AF117" s="421"/>
      <c r="AG117" s="442" t="s">
        <v>4078</v>
      </c>
      <c r="AH117" s="421" t="s">
        <v>19</v>
      </c>
      <c r="AI117" s="420"/>
      <c r="AJ117" s="413">
        <f t="shared" si="3"/>
        <v>4590013731</v>
      </c>
      <c r="AK117" s="425" t="s">
        <v>4079</v>
      </c>
      <c r="AL117" s="424">
        <v>45555</v>
      </c>
      <c r="AM117" s="221">
        <v>7950.88</v>
      </c>
      <c r="AN117" s="424"/>
      <c r="AO117" s="423"/>
      <c r="AP117" s="413"/>
      <c r="AQ117" s="222"/>
      <c r="AR117" s="424"/>
      <c r="AS117" s="614">
        <f ca="1">表格1_6[[#This Row],[total amount]]/表格1_6[[#This Row],[PO$]]</f>
        <v>1</v>
      </c>
      <c r="AT117" s="223">
        <f ca="1">表格1_6[[#This Row],[invoice amount]]+表格1_6[[#This Row],[invoice amount2]]</f>
        <v>7950.88</v>
      </c>
      <c r="AU117" s="224" t="s">
        <v>3752</v>
      </c>
      <c r="AV117" s="423"/>
      <c r="AW117" s="423" t="e">
        <f ca="1">VLOOKUP(表格1_6[[#This Row],[TI tool ID2]],工作表1!A:A,1,FALSE)</f>
        <v>#N/A</v>
      </c>
      <c r="AX117" s="425" t="e">
        <f ca="1">VLOOKUP(表格1_6[[#This Row],[PO+ITEM]],工作表1!B:E,2,FALSE)</f>
        <v>#N/A</v>
      </c>
      <c r="AY117" s="425" t="e">
        <f ca="1">VLOOKUP(表格1_6[[#This Row],[PO+ITEM]],工作表1!B:E,3,FALSE)</f>
        <v>#N/A</v>
      </c>
      <c r="AZ117" s="423" t="e">
        <f ca="1">VLOOKUP(表格1_6[[#This Row],[PO+ITEM]],工作表1!B:E,4,FALSE)</f>
        <v>#N/A</v>
      </c>
      <c r="BA117" s="425" t="e">
        <f ca="1">INDEX(工作表1!G:G, MATCH(表格1_6[[#This Row],[invoice number]]&amp;表格1_6[[#This Row],[invoice number2]],工作表1!G:G, 0))</f>
        <v>#N/A</v>
      </c>
      <c r="BB117" s="423" t="e">
        <f ca="1">VLOOKUP(表格1_6[[#This Row],[PO+ITEM]],工作表1!F:H,2,FALSE)</f>
        <v>#N/A</v>
      </c>
    </row>
    <row r="118" spans="1:54" ht="15.6">
      <c r="A118" s="413">
        <v>117</v>
      </c>
      <c r="B118" s="413" t="s">
        <v>3674</v>
      </c>
      <c r="C118" s="414" t="s">
        <v>17</v>
      </c>
      <c r="D118" s="414" t="s">
        <v>3648</v>
      </c>
      <c r="E118" s="414"/>
      <c r="F118" s="414"/>
      <c r="G118" s="414" t="s">
        <v>2196</v>
      </c>
      <c r="H118" s="414"/>
      <c r="I118" s="414"/>
      <c r="J118" s="414"/>
      <c r="K118" s="414"/>
      <c r="L118" s="415" t="s">
        <v>4080</v>
      </c>
      <c r="M118" s="416" t="s">
        <v>2206</v>
      </c>
      <c r="N118" s="416"/>
      <c r="O118" s="421"/>
      <c r="P118" s="416">
        <v>4590013908</v>
      </c>
      <c r="Q118" s="418">
        <v>45239</v>
      </c>
      <c r="R118" s="419">
        <v>1</v>
      </c>
      <c r="S118" s="458">
        <v>22954.42</v>
      </c>
      <c r="T118" s="420" t="s">
        <v>2156</v>
      </c>
      <c r="U118" s="414" t="s">
        <v>4030</v>
      </c>
      <c r="V118" s="414" t="s">
        <v>4031</v>
      </c>
      <c r="W118" s="415" t="s">
        <v>4038</v>
      </c>
      <c r="X118" s="415"/>
      <c r="Y118" s="421" t="s">
        <v>3652</v>
      </c>
      <c r="Z118" s="421" t="s">
        <v>3652</v>
      </c>
      <c r="AA118" s="416" t="s">
        <v>4081</v>
      </c>
      <c r="AB118" s="414" t="s">
        <v>4082</v>
      </c>
      <c r="AC118" s="421"/>
      <c r="AD118" s="421" t="s">
        <v>4083</v>
      </c>
      <c r="AE118" s="421"/>
      <c r="AF118" s="421">
        <v>90393</v>
      </c>
      <c r="AG118" s="420" t="s">
        <v>2568</v>
      </c>
      <c r="AH118" s="421" t="s">
        <v>3711</v>
      </c>
      <c r="AI118" s="420" t="s">
        <v>846</v>
      </c>
      <c r="AJ118" s="413">
        <f t="shared" si="3"/>
        <v>4590013908</v>
      </c>
      <c r="AK118" s="423" t="s">
        <v>4084</v>
      </c>
      <c r="AL118" s="424">
        <v>45412</v>
      </c>
      <c r="AM118" s="221">
        <v>21470.42</v>
      </c>
      <c r="AN118" s="431">
        <v>45534</v>
      </c>
      <c r="AO118" s="423"/>
      <c r="AP118" s="413"/>
      <c r="AQ118" s="222"/>
      <c r="AR118" s="424" t="s">
        <v>3765</v>
      </c>
      <c r="AS118" s="614">
        <f ca="1">表格1_6[[#This Row],[total amount]]/表格1_6[[#This Row],[PO$]]</f>
        <v>0.93535014171562603</v>
      </c>
      <c r="AT118" s="223">
        <f ca="1">表格1_6[[#This Row],[invoice amount]]+表格1_6[[#This Row],[invoice amount2]]</f>
        <v>21470.42</v>
      </c>
      <c r="AU118" s="224" t="s">
        <v>4085</v>
      </c>
      <c r="AV118" s="423" t="s">
        <v>4086</v>
      </c>
      <c r="AW118" s="423" t="e">
        <f ca="1">VLOOKUP(表格1_6[[#This Row],[TI tool ID2]],工作表1!A:A,1,FALSE)</f>
        <v>#N/A</v>
      </c>
      <c r="AX118" s="425" t="e">
        <f ca="1">VLOOKUP(表格1_6[[#This Row],[PO+ITEM]],工作表1!B:E,2,FALSE)</f>
        <v>#N/A</v>
      </c>
      <c r="AY118" s="425" t="e">
        <f ca="1">VLOOKUP(表格1_6[[#This Row],[PO+ITEM]],工作表1!B:E,3,FALSE)</f>
        <v>#N/A</v>
      </c>
      <c r="AZ118" s="423" t="e">
        <f ca="1">VLOOKUP(表格1_6[[#This Row],[PO+ITEM]],工作表1!B:E,4,FALSE)</f>
        <v>#N/A</v>
      </c>
      <c r="BA118" s="425" t="e">
        <f ca="1">INDEX(工作表1!G:G, MATCH(表格1_6[[#This Row],[invoice number]]&amp;表格1_6[[#This Row],[invoice number2]],工作表1!G:G, 0))</f>
        <v>#N/A</v>
      </c>
      <c r="BB118" s="423" t="e">
        <f ca="1">VLOOKUP(表格1_6[[#This Row],[PO+ITEM]],工作表1!F:H,2,FALSE)</f>
        <v>#N/A</v>
      </c>
    </row>
    <row r="119" spans="1:54" ht="14.45">
      <c r="A119" s="413">
        <v>118</v>
      </c>
      <c r="B119" s="413" t="s">
        <v>3674</v>
      </c>
      <c r="C119" s="414" t="s">
        <v>17</v>
      </c>
      <c r="D119" s="414" t="s">
        <v>3648</v>
      </c>
      <c r="E119" s="414"/>
      <c r="F119" s="414"/>
      <c r="G119" s="414" t="s">
        <v>2196</v>
      </c>
      <c r="H119" s="414"/>
      <c r="I119" s="414"/>
      <c r="J119" s="414"/>
      <c r="K119" s="414"/>
      <c r="L119" s="415" t="s">
        <v>4087</v>
      </c>
      <c r="M119" s="416" t="s">
        <v>4088</v>
      </c>
      <c r="N119" s="416"/>
      <c r="O119" s="421"/>
      <c r="P119" s="416">
        <v>4590013926</v>
      </c>
      <c r="Q119" s="418">
        <v>45240</v>
      </c>
      <c r="R119" s="419">
        <v>1</v>
      </c>
      <c r="S119" s="349">
        <v>1506</v>
      </c>
      <c r="T119" s="420" t="s">
        <v>2156</v>
      </c>
      <c r="U119" s="414" t="s">
        <v>3713</v>
      </c>
      <c r="V119" s="414" t="s">
        <v>3714</v>
      </c>
      <c r="W119" s="415" t="s">
        <v>3715</v>
      </c>
      <c r="X119" s="415"/>
      <c r="Y119" s="421" t="s">
        <v>3652</v>
      </c>
      <c r="Z119" s="421" t="s">
        <v>3652</v>
      </c>
      <c r="AA119" s="416" t="s">
        <v>4089</v>
      </c>
      <c r="AB119" s="414" t="s">
        <v>4090</v>
      </c>
      <c r="AC119" s="421"/>
      <c r="AD119" s="421" t="s">
        <v>4083</v>
      </c>
      <c r="AE119" s="421"/>
      <c r="AF119" s="421">
        <v>90130</v>
      </c>
      <c r="AG119" s="420" t="s">
        <v>4091</v>
      </c>
      <c r="AH119" s="421" t="s">
        <v>3828</v>
      </c>
      <c r="AI119" s="420" t="s">
        <v>3719</v>
      </c>
      <c r="AJ119" s="413">
        <f t="shared" si="3"/>
        <v>4590013926</v>
      </c>
      <c r="AK119" s="423" t="s">
        <v>4092</v>
      </c>
      <c r="AL119" s="424">
        <v>45429</v>
      </c>
      <c r="AM119" s="221">
        <v>1506</v>
      </c>
      <c r="AN119" s="424">
        <v>45565</v>
      </c>
      <c r="AO119" s="423"/>
      <c r="AP119" s="413"/>
      <c r="AQ119" s="222"/>
      <c r="AR119" s="424"/>
      <c r="AS119" s="614">
        <f ca="1">表格1_6[[#This Row],[total amount]]/表格1_6[[#This Row],[PO$]]</f>
        <v>1</v>
      </c>
      <c r="AT119" s="223">
        <f ca="1">表格1_6[[#This Row],[invoice amount]]+表格1_6[[#This Row],[invoice amount2]]</f>
        <v>1506</v>
      </c>
      <c r="AU119" s="224" t="s">
        <v>3725</v>
      </c>
      <c r="AV119" s="423" t="s">
        <v>4093</v>
      </c>
      <c r="AW119" s="423" t="e">
        <f ca="1">VLOOKUP(表格1_6[[#This Row],[TI tool ID2]],工作表1!A:A,1,FALSE)</f>
        <v>#N/A</v>
      </c>
      <c r="AX119" s="425" t="e">
        <f ca="1">VLOOKUP(表格1_6[[#This Row],[PO+ITEM]],工作表1!B:E,2,FALSE)</f>
        <v>#N/A</v>
      </c>
      <c r="AY119" s="425" t="e">
        <f ca="1">VLOOKUP(表格1_6[[#This Row],[PO+ITEM]],工作表1!B:E,3,FALSE)</f>
        <v>#N/A</v>
      </c>
      <c r="AZ119" s="423" t="e">
        <f ca="1">VLOOKUP(表格1_6[[#This Row],[PO+ITEM]],工作表1!B:E,4,FALSE)</f>
        <v>#N/A</v>
      </c>
      <c r="BA119" s="425" t="e">
        <f ca="1">INDEX(工作表1!G:G, MATCH(表格1_6[[#This Row],[invoice number]]&amp;表格1_6[[#This Row],[invoice number2]],工作表1!G:G, 0))</f>
        <v>#N/A</v>
      </c>
      <c r="BB119" s="423" t="e">
        <f ca="1">VLOOKUP(表格1_6[[#This Row],[PO+ITEM]],工作表1!F:H,2,FALSE)</f>
        <v>#N/A</v>
      </c>
    </row>
    <row r="120" spans="1:54" ht="15.6">
      <c r="A120" s="413">
        <v>119</v>
      </c>
      <c r="B120" s="413" t="s">
        <v>3674</v>
      </c>
      <c r="C120" s="414" t="s">
        <v>17</v>
      </c>
      <c r="D120" s="414" t="s">
        <v>3648</v>
      </c>
      <c r="E120" s="414"/>
      <c r="F120" s="414"/>
      <c r="G120" s="414" t="s">
        <v>2196</v>
      </c>
      <c r="H120" s="414"/>
      <c r="I120" s="414"/>
      <c r="J120" s="414"/>
      <c r="K120" s="414"/>
      <c r="L120" s="415" t="s">
        <v>4094</v>
      </c>
      <c r="M120" s="416" t="s">
        <v>2206</v>
      </c>
      <c r="N120" s="416"/>
      <c r="O120" s="421"/>
      <c r="P120" s="416">
        <v>4590013927</v>
      </c>
      <c r="Q120" s="418">
        <v>45240</v>
      </c>
      <c r="R120" s="419">
        <v>1</v>
      </c>
      <c r="S120" s="458">
        <v>646</v>
      </c>
      <c r="T120" s="420" t="s">
        <v>2156</v>
      </c>
      <c r="U120" s="414" t="s">
        <v>4030</v>
      </c>
      <c r="V120" s="414" t="s">
        <v>4031</v>
      </c>
      <c r="W120" s="415" t="s">
        <v>4038</v>
      </c>
      <c r="X120" s="415"/>
      <c r="Y120" s="421" t="s">
        <v>3652</v>
      </c>
      <c r="Z120" s="421" t="s">
        <v>3652</v>
      </c>
      <c r="AA120" s="416"/>
      <c r="AB120" s="414" t="s">
        <v>4095</v>
      </c>
      <c r="AC120" s="421"/>
      <c r="AD120" s="421" t="s">
        <v>4083</v>
      </c>
      <c r="AE120" s="421"/>
      <c r="AF120" s="421">
        <v>90144</v>
      </c>
      <c r="AG120" s="420" t="s">
        <v>2557</v>
      </c>
      <c r="AH120" s="421" t="s">
        <v>3932</v>
      </c>
      <c r="AI120" s="420" t="s">
        <v>846</v>
      </c>
      <c r="AJ120" s="413">
        <f t="shared" si="3"/>
        <v>4590013927</v>
      </c>
      <c r="AK120" s="423" t="s">
        <v>4096</v>
      </c>
      <c r="AL120" s="424">
        <v>45345</v>
      </c>
      <c r="AM120" s="221">
        <v>646</v>
      </c>
      <c r="AN120" s="244">
        <v>45380</v>
      </c>
      <c r="AO120" s="423"/>
      <c r="AP120" s="413"/>
      <c r="AQ120" s="222"/>
      <c r="AR120" s="424"/>
      <c r="AS120" s="614">
        <f ca="1">表格1_6[[#This Row],[total amount]]/表格1_6[[#This Row],[PO$]]</f>
        <v>1</v>
      </c>
      <c r="AT120" s="223">
        <f ca="1">表格1_6[[#This Row],[invoice amount]]+表格1_6[[#This Row],[invoice amount2]]</f>
        <v>646</v>
      </c>
      <c r="AU120" s="224" t="s">
        <v>3673</v>
      </c>
      <c r="AV120" s="423"/>
      <c r="AW120" s="423" t="e">
        <f ca="1">VLOOKUP(表格1_6[[#This Row],[TI tool ID2]],工作表1!A:A,1,FALSE)</f>
        <v>#N/A</v>
      </c>
      <c r="AX120" s="425" t="e">
        <f ca="1">VLOOKUP(表格1_6[[#This Row],[PO+ITEM]],工作表1!B:E,2,FALSE)</f>
        <v>#N/A</v>
      </c>
      <c r="AY120" s="425" t="e">
        <f ca="1">VLOOKUP(表格1_6[[#This Row],[PO+ITEM]],工作表1!B:E,3,FALSE)</f>
        <v>#N/A</v>
      </c>
      <c r="AZ120" s="423" t="e">
        <f ca="1">VLOOKUP(表格1_6[[#This Row],[PO+ITEM]],工作表1!B:E,4,FALSE)</f>
        <v>#N/A</v>
      </c>
      <c r="BA120" s="425" t="e">
        <f ca="1">INDEX(工作表1!G:G, MATCH(表格1_6[[#This Row],[invoice number]]&amp;表格1_6[[#This Row],[invoice number2]],工作表1!G:G, 0))</f>
        <v>#N/A</v>
      </c>
      <c r="BB120" s="423" t="e">
        <f ca="1">VLOOKUP(表格1_6[[#This Row],[PO+ITEM]],工作表1!F:H,2,FALSE)</f>
        <v>#N/A</v>
      </c>
    </row>
    <row r="121" spans="1:54" ht="14.45">
      <c r="A121" s="413">
        <v>120</v>
      </c>
      <c r="B121" s="413"/>
      <c r="C121" s="414" t="s">
        <v>17</v>
      </c>
      <c r="D121" s="414" t="s">
        <v>3648</v>
      </c>
      <c r="E121" s="414"/>
      <c r="F121" s="414"/>
      <c r="G121" s="414" t="s">
        <v>2196</v>
      </c>
      <c r="H121" s="414"/>
      <c r="I121" s="414"/>
      <c r="J121" s="414"/>
      <c r="K121" s="414"/>
      <c r="L121" s="415" t="s">
        <v>4097</v>
      </c>
      <c r="M121" s="416" t="s">
        <v>4072</v>
      </c>
      <c r="N121" s="416"/>
      <c r="O121" s="421"/>
      <c r="P121" s="416">
        <v>4590013950</v>
      </c>
      <c r="Q121" s="418">
        <v>45241</v>
      </c>
      <c r="R121" s="334" t="s">
        <v>3907</v>
      </c>
      <c r="S121" s="458">
        <v>32208.11</v>
      </c>
      <c r="T121" s="420" t="s">
        <v>2156</v>
      </c>
      <c r="U121" s="414" t="s">
        <v>4098</v>
      </c>
      <c r="V121" s="414" t="s">
        <v>3714</v>
      </c>
      <c r="W121" s="415" t="s">
        <v>3715</v>
      </c>
      <c r="X121" s="415"/>
      <c r="Y121" s="421" t="s">
        <v>3652</v>
      </c>
      <c r="Z121" s="421" t="s">
        <v>3652</v>
      </c>
      <c r="AA121" s="416"/>
      <c r="AB121" s="414" t="s">
        <v>4073</v>
      </c>
      <c r="AC121" s="421"/>
      <c r="AD121" s="421"/>
      <c r="AE121" s="421"/>
      <c r="AF121" s="421"/>
      <c r="AG121" s="420"/>
      <c r="AH121" s="421"/>
      <c r="AI121" s="420"/>
      <c r="AJ121" s="413">
        <f t="shared" si="3"/>
        <v>4590013950</v>
      </c>
      <c r="AK121" s="423" t="s">
        <v>4099</v>
      </c>
      <c r="AL121" s="559">
        <v>45498</v>
      </c>
      <c r="AM121" s="560">
        <v>32208.11</v>
      </c>
      <c r="AN121" s="424" t="s">
        <v>3805</v>
      </c>
      <c r="AO121" s="423"/>
      <c r="AP121" s="413"/>
      <c r="AQ121" s="222"/>
      <c r="AR121" s="424"/>
      <c r="AS121" s="614">
        <f ca="1">表格1_6[[#This Row],[total amount]]/表格1_6[[#This Row],[PO$]]</f>
        <v>1</v>
      </c>
      <c r="AT121" s="223">
        <f ca="1">表格1_6[[#This Row],[invoice amount]]+表格1_6[[#This Row],[invoice amount2]]</f>
        <v>32208.11</v>
      </c>
      <c r="AU121" s="224" t="s">
        <v>3752</v>
      </c>
      <c r="AV121" s="423"/>
      <c r="AW121" s="423" t="e">
        <f ca="1">VLOOKUP(表格1_6[[#This Row],[TI tool ID2]],工作表1!A:A,1,FALSE)</f>
        <v>#N/A</v>
      </c>
      <c r="AX121" s="425" t="e">
        <f ca="1">VLOOKUP(表格1_6[[#This Row],[PO+ITEM]],工作表1!B:E,2,FALSE)</f>
        <v>#N/A</v>
      </c>
      <c r="AY121" s="425" t="e">
        <f ca="1">VLOOKUP(表格1_6[[#This Row],[PO+ITEM]],工作表1!B:E,3,FALSE)</f>
        <v>#N/A</v>
      </c>
      <c r="AZ121" s="423" t="e">
        <f ca="1">VLOOKUP(表格1_6[[#This Row],[PO+ITEM]],工作表1!B:E,4,FALSE)</f>
        <v>#N/A</v>
      </c>
      <c r="BA121" s="425" t="e">
        <f ca="1">INDEX(工作表1!G:G, MATCH(表格1_6[[#This Row],[invoice number]]&amp;表格1_6[[#This Row],[invoice number2]],工作表1!G:G, 0))</f>
        <v>#N/A</v>
      </c>
      <c r="BB121" s="423" t="e">
        <f ca="1">VLOOKUP(表格1_6[[#This Row],[PO+ITEM]],工作表1!F:H,2,FALSE)</f>
        <v>#N/A</v>
      </c>
    </row>
    <row r="122" spans="1:54" ht="14.45">
      <c r="A122" s="413">
        <v>121</v>
      </c>
      <c r="B122" s="413" t="s">
        <v>3674</v>
      </c>
      <c r="C122" s="414" t="s">
        <v>17</v>
      </c>
      <c r="D122" s="414" t="s">
        <v>3648</v>
      </c>
      <c r="E122" s="414"/>
      <c r="F122" s="414"/>
      <c r="G122" s="414" t="s">
        <v>2196</v>
      </c>
      <c r="H122" s="414"/>
      <c r="I122" s="414"/>
      <c r="J122" s="414"/>
      <c r="K122" s="414"/>
      <c r="L122" s="415" t="s">
        <v>4100</v>
      </c>
      <c r="M122" s="416" t="s">
        <v>2206</v>
      </c>
      <c r="N122" s="416"/>
      <c r="O122" s="421"/>
      <c r="P122" s="416">
        <v>4590013968</v>
      </c>
      <c r="Q122" s="418">
        <v>45244</v>
      </c>
      <c r="R122" s="419">
        <v>1</v>
      </c>
      <c r="S122" s="458">
        <v>29498.12</v>
      </c>
      <c r="T122" s="420" t="s">
        <v>2156</v>
      </c>
      <c r="U122" s="414" t="s">
        <v>4030</v>
      </c>
      <c r="V122" s="414" t="s">
        <v>4031</v>
      </c>
      <c r="W122" s="415" t="s">
        <v>4038</v>
      </c>
      <c r="X122" s="415"/>
      <c r="Y122" s="421" t="s">
        <v>3652</v>
      </c>
      <c r="Z122" s="421" t="s">
        <v>3652</v>
      </c>
      <c r="AA122" s="416" t="s">
        <v>4089</v>
      </c>
      <c r="AB122" s="414" t="s">
        <v>4101</v>
      </c>
      <c r="AC122" s="421"/>
      <c r="AD122" s="421" t="s">
        <v>4083</v>
      </c>
      <c r="AE122" s="421"/>
      <c r="AF122" s="421">
        <v>90059</v>
      </c>
      <c r="AG122" s="420" t="s">
        <v>2587</v>
      </c>
      <c r="AH122" s="421" t="s">
        <v>4102</v>
      </c>
      <c r="AI122" s="420" t="s">
        <v>846</v>
      </c>
      <c r="AJ122" s="413">
        <f t="shared" si="3"/>
        <v>4590013968</v>
      </c>
      <c r="AK122" s="423" t="s">
        <v>4103</v>
      </c>
      <c r="AL122" s="424">
        <v>45345</v>
      </c>
      <c r="AM122" s="221">
        <v>29498.12</v>
      </c>
      <c r="AN122" s="424">
        <v>45471</v>
      </c>
      <c r="AO122" s="423"/>
      <c r="AP122" s="413"/>
      <c r="AQ122" s="222"/>
      <c r="AR122" s="424"/>
      <c r="AS122" s="614">
        <f ca="1">表格1_6[[#This Row],[total amount]]/表格1_6[[#This Row],[PO$]]</f>
        <v>1</v>
      </c>
      <c r="AT122" s="223">
        <f ca="1">表格1_6[[#This Row],[invoice amount]]+表格1_6[[#This Row],[invoice amount2]]</f>
        <v>29498.12</v>
      </c>
      <c r="AU122" s="224" t="s">
        <v>3673</v>
      </c>
      <c r="AV122" s="423"/>
      <c r="AW122" s="423" t="e">
        <f ca="1">VLOOKUP(表格1_6[[#This Row],[TI tool ID2]],工作表1!A:A,1,FALSE)</f>
        <v>#N/A</v>
      </c>
      <c r="AX122" s="425" t="e">
        <f ca="1">VLOOKUP(表格1_6[[#This Row],[PO+ITEM]],工作表1!B:E,2,FALSE)</f>
        <v>#N/A</v>
      </c>
      <c r="AY122" s="425" t="e">
        <f ca="1">VLOOKUP(表格1_6[[#This Row],[PO+ITEM]],工作表1!B:E,3,FALSE)</f>
        <v>#N/A</v>
      </c>
      <c r="AZ122" s="423" t="e">
        <f ca="1">VLOOKUP(表格1_6[[#This Row],[PO+ITEM]],工作表1!B:E,4,FALSE)</f>
        <v>#N/A</v>
      </c>
      <c r="BA122" s="425" t="e">
        <f ca="1">INDEX(工作表1!G:G, MATCH(表格1_6[[#This Row],[invoice number]]&amp;表格1_6[[#This Row],[invoice number2]],工作表1!G:G, 0))</f>
        <v>#N/A</v>
      </c>
      <c r="BB122" s="423" t="e">
        <f ca="1">VLOOKUP(表格1_6[[#This Row],[PO+ITEM]],工作表1!F:H,2,FALSE)</f>
        <v>#N/A</v>
      </c>
    </row>
    <row r="123" spans="1:54" ht="14.45">
      <c r="A123" s="413">
        <v>122</v>
      </c>
      <c r="B123" s="413" t="s">
        <v>3674</v>
      </c>
      <c r="C123" s="414" t="s">
        <v>17</v>
      </c>
      <c r="D123" s="414" t="s">
        <v>3648</v>
      </c>
      <c r="E123" s="414"/>
      <c r="F123" s="414"/>
      <c r="G123" s="414" t="s">
        <v>2196</v>
      </c>
      <c r="H123" s="414"/>
      <c r="I123" s="414"/>
      <c r="J123" s="414"/>
      <c r="K123" s="414"/>
      <c r="L123" s="415" t="s">
        <v>4104</v>
      </c>
      <c r="M123" s="416" t="s">
        <v>4105</v>
      </c>
      <c r="N123" s="416"/>
      <c r="O123" s="421"/>
      <c r="P123" s="416">
        <v>4590013977</v>
      </c>
      <c r="Q123" s="418">
        <v>45245</v>
      </c>
      <c r="R123" s="334" t="s">
        <v>3907</v>
      </c>
      <c r="S123" s="458">
        <v>2165</v>
      </c>
      <c r="T123" s="420" t="s">
        <v>2156</v>
      </c>
      <c r="U123" s="414" t="s">
        <v>4106</v>
      </c>
      <c r="V123" s="414" t="s">
        <v>4031</v>
      </c>
      <c r="W123" s="415"/>
      <c r="X123" s="415"/>
      <c r="Y123" s="421"/>
      <c r="Z123" s="421" t="s">
        <v>3652</v>
      </c>
      <c r="AA123" s="416" t="s">
        <v>4107</v>
      </c>
      <c r="AB123" s="414" t="s">
        <v>4108</v>
      </c>
      <c r="AC123" s="421" t="s">
        <v>3164</v>
      </c>
      <c r="AD123" s="421" t="s">
        <v>4083</v>
      </c>
      <c r="AE123" s="421"/>
      <c r="AF123" s="421">
        <v>90505</v>
      </c>
      <c r="AG123" s="420" t="s">
        <v>3164</v>
      </c>
      <c r="AH123" s="421" t="s">
        <v>4109</v>
      </c>
      <c r="AI123" s="420" t="s">
        <v>3666</v>
      </c>
      <c r="AJ123" s="413">
        <f t="shared" si="3"/>
        <v>4590013977</v>
      </c>
      <c r="AK123" s="423" t="s">
        <v>4110</v>
      </c>
      <c r="AL123" s="424">
        <v>45320</v>
      </c>
      <c r="AM123" s="221">
        <v>2165</v>
      </c>
      <c r="AN123" s="424">
        <v>45442</v>
      </c>
      <c r="AO123" s="423"/>
      <c r="AP123" s="413"/>
      <c r="AQ123" s="222"/>
      <c r="AR123" s="424"/>
      <c r="AS123" s="614">
        <f ca="1">表格1_6[[#This Row],[total amount]]/表格1_6[[#This Row],[PO$]]</f>
        <v>1</v>
      </c>
      <c r="AT123" s="223">
        <f ca="1">表格1_6[[#This Row],[invoice amount]]+表格1_6[[#This Row],[invoice amount2]]</f>
        <v>2165</v>
      </c>
      <c r="AU123" s="224" t="s">
        <v>3725</v>
      </c>
      <c r="AV123" s="423"/>
      <c r="AW123" s="423" t="e">
        <f ca="1">VLOOKUP(表格1_6[[#This Row],[TI tool ID2]],工作表1!A:A,1,FALSE)</f>
        <v>#N/A</v>
      </c>
      <c r="AX123" s="425" t="e">
        <f ca="1">VLOOKUP(表格1_6[[#This Row],[PO+ITEM]],工作表1!B:E,2,FALSE)</f>
        <v>#N/A</v>
      </c>
      <c r="AY123" s="425" t="e">
        <f ca="1">VLOOKUP(表格1_6[[#This Row],[PO+ITEM]],工作表1!B:E,3,FALSE)</f>
        <v>#N/A</v>
      </c>
      <c r="AZ123" s="423" t="e">
        <f ca="1">VLOOKUP(表格1_6[[#This Row],[PO+ITEM]],工作表1!B:E,4,FALSE)</f>
        <v>#N/A</v>
      </c>
      <c r="BA123" s="425" t="e">
        <f ca="1">INDEX(工作表1!G:G, MATCH(表格1_6[[#This Row],[invoice number]]&amp;表格1_6[[#This Row],[invoice number2]],工作表1!G:G, 0))</f>
        <v>#N/A</v>
      </c>
      <c r="BB123" s="423" t="e">
        <f ca="1">VLOOKUP(表格1_6[[#This Row],[PO+ITEM]],工作表1!F:H,2,FALSE)</f>
        <v>#N/A</v>
      </c>
    </row>
    <row r="124" spans="1:54" ht="14.45">
      <c r="A124" s="413">
        <v>123</v>
      </c>
      <c r="B124" s="413" t="s">
        <v>3674</v>
      </c>
      <c r="C124" s="414" t="s">
        <v>17</v>
      </c>
      <c r="D124" s="414" t="s">
        <v>3648</v>
      </c>
      <c r="E124" s="414"/>
      <c r="F124" s="414"/>
      <c r="G124" s="414" t="s">
        <v>2196</v>
      </c>
      <c r="H124" s="414"/>
      <c r="I124" s="414"/>
      <c r="J124" s="414"/>
      <c r="K124" s="414"/>
      <c r="L124" s="415" t="s">
        <v>4111</v>
      </c>
      <c r="M124" s="416" t="s">
        <v>4105</v>
      </c>
      <c r="N124" s="416"/>
      <c r="O124" s="421"/>
      <c r="P124" s="416">
        <v>4590013978</v>
      </c>
      <c r="Q124" s="418">
        <v>45245</v>
      </c>
      <c r="R124" s="334" t="s">
        <v>3907</v>
      </c>
      <c r="S124" s="458">
        <v>5418.75</v>
      </c>
      <c r="T124" s="420" t="s">
        <v>2156</v>
      </c>
      <c r="U124" s="414" t="s">
        <v>4112</v>
      </c>
      <c r="V124" s="414" t="s">
        <v>4031</v>
      </c>
      <c r="W124" s="415"/>
      <c r="X124" s="415"/>
      <c r="Y124" s="421"/>
      <c r="Z124" s="421" t="s">
        <v>3652</v>
      </c>
      <c r="AA124" s="416" t="s">
        <v>4107</v>
      </c>
      <c r="AB124" s="414" t="s">
        <v>4113</v>
      </c>
      <c r="AC124" s="421" t="s">
        <v>3167</v>
      </c>
      <c r="AD124" s="421" t="s">
        <v>4083</v>
      </c>
      <c r="AE124" s="421"/>
      <c r="AF124" s="421">
        <v>90514</v>
      </c>
      <c r="AG124" s="420" t="s">
        <v>3167</v>
      </c>
      <c r="AH124" s="421" t="s">
        <v>4109</v>
      </c>
      <c r="AI124" s="420" t="s">
        <v>3666</v>
      </c>
      <c r="AJ124" s="413">
        <f t="shared" si="3"/>
        <v>4590013978</v>
      </c>
      <c r="AK124" s="423" t="s">
        <v>4114</v>
      </c>
      <c r="AL124" s="424">
        <v>45320</v>
      </c>
      <c r="AM124" s="221">
        <v>5418.75</v>
      </c>
      <c r="AN124" s="424">
        <v>45442</v>
      </c>
      <c r="AO124" s="423"/>
      <c r="AP124" s="413"/>
      <c r="AQ124" s="222"/>
      <c r="AR124" s="424"/>
      <c r="AS124" s="614">
        <f ca="1">表格1_6[[#This Row],[total amount]]/表格1_6[[#This Row],[PO$]]</f>
        <v>1</v>
      </c>
      <c r="AT124" s="223">
        <f ca="1">表格1_6[[#This Row],[invoice amount]]+表格1_6[[#This Row],[invoice amount2]]</f>
        <v>5418.75</v>
      </c>
      <c r="AU124" s="224" t="s">
        <v>3725</v>
      </c>
      <c r="AV124" s="423"/>
      <c r="AW124" s="423" t="e">
        <f ca="1">VLOOKUP(表格1_6[[#This Row],[TI tool ID2]],工作表1!A:A,1,FALSE)</f>
        <v>#N/A</v>
      </c>
      <c r="AX124" s="425" t="e">
        <f ca="1">VLOOKUP(表格1_6[[#This Row],[PO+ITEM]],工作表1!B:E,2,FALSE)</f>
        <v>#N/A</v>
      </c>
      <c r="AY124" s="425" t="e">
        <f ca="1">VLOOKUP(表格1_6[[#This Row],[PO+ITEM]],工作表1!B:E,3,FALSE)</f>
        <v>#N/A</v>
      </c>
      <c r="AZ124" s="423" t="e">
        <f ca="1">VLOOKUP(表格1_6[[#This Row],[PO+ITEM]],工作表1!B:E,4,FALSE)</f>
        <v>#N/A</v>
      </c>
      <c r="BA124" s="425" t="e">
        <f ca="1">INDEX(工作表1!G:G, MATCH(表格1_6[[#This Row],[invoice number]]&amp;表格1_6[[#This Row],[invoice number2]],工作表1!G:G, 0))</f>
        <v>#N/A</v>
      </c>
      <c r="BB124" s="423" t="e">
        <f ca="1">VLOOKUP(表格1_6[[#This Row],[PO+ITEM]],工作表1!F:H,2,FALSE)</f>
        <v>#N/A</v>
      </c>
    </row>
    <row r="125" spans="1:54" ht="15.6">
      <c r="A125" s="413">
        <v>124</v>
      </c>
      <c r="B125" s="413" t="s">
        <v>3674</v>
      </c>
      <c r="C125" s="414" t="s">
        <v>17</v>
      </c>
      <c r="D125" s="414" t="s">
        <v>3648</v>
      </c>
      <c r="E125" s="414"/>
      <c r="F125" s="414"/>
      <c r="G125" s="414" t="s">
        <v>2196</v>
      </c>
      <c r="H125" s="414"/>
      <c r="I125" s="414"/>
      <c r="J125" s="414"/>
      <c r="K125" s="414"/>
      <c r="L125" s="415" t="s">
        <v>4115</v>
      </c>
      <c r="M125" s="416" t="s">
        <v>3547</v>
      </c>
      <c r="N125" s="416"/>
      <c r="O125" s="421"/>
      <c r="P125" s="416">
        <v>4590013979</v>
      </c>
      <c r="Q125" s="418">
        <v>45245</v>
      </c>
      <c r="R125" s="419">
        <v>1</v>
      </c>
      <c r="S125" s="458">
        <v>2478</v>
      </c>
      <c r="T125" s="420" t="s">
        <v>2156</v>
      </c>
      <c r="U125" s="414" t="s">
        <v>4116</v>
      </c>
      <c r="V125" s="414" t="s">
        <v>3714</v>
      </c>
      <c r="W125" s="415"/>
      <c r="X125" s="415"/>
      <c r="Y125" s="421"/>
      <c r="Z125" s="421" t="s">
        <v>3652</v>
      </c>
      <c r="AA125" s="416"/>
      <c r="AB125" s="414" t="s">
        <v>4117</v>
      </c>
      <c r="AC125" s="421"/>
      <c r="AD125" s="421" t="s">
        <v>4083</v>
      </c>
      <c r="AE125" s="421"/>
      <c r="AF125" s="421">
        <v>90605</v>
      </c>
      <c r="AG125" s="420" t="s">
        <v>4118</v>
      </c>
      <c r="AH125" s="421" t="s">
        <v>3718</v>
      </c>
      <c r="AI125" s="420" t="s">
        <v>3719</v>
      </c>
      <c r="AJ125" s="413">
        <f t="shared" si="3"/>
        <v>4590013979</v>
      </c>
      <c r="AK125" s="423" t="s">
        <v>4119</v>
      </c>
      <c r="AL125" s="424">
        <v>45320</v>
      </c>
      <c r="AM125" s="221">
        <v>2478</v>
      </c>
      <c r="AN125" s="244">
        <v>45351</v>
      </c>
      <c r="AO125" s="423"/>
      <c r="AP125" s="413"/>
      <c r="AQ125" s="222"/>
      <c r="AR125" s="424"/>
      <c r="AS125" s="614">
        <f ca="1">表格1_6[[#This Row],[total amount]]/表格1_6[[#This Row],[PO$]]</f>
        <v>1</v>
      </c>
      <c r="AT125" s="223">
        <f ca="1">表格1_6[[#This Row],[invoice amount]]+表格1_6[[#This Row],[invoice amount2]]</f>
        <v>2478</v>
      </c>
      <c r="AU125" s="224" t="s">
        <v>3673</v>
      </c>
      <c r="AV125" s="423"/>
      <c r="AW125" s="423" t="e">
        <f ca="1">VLOOKUP(表格1_6[[#This Row],[TI tool ID2]],工作表1!A:A,1,FALSE)</f>
        <v>#N/A</v>
      </c>
      <c r="AX125" s="425" t="e">
        <f ca="1">VLOOKUP(表格1_6[[#This Row],[PO+ITEM]],工作表1!B:E,2,FALSE)</f>
        <v>#N/A</v>
      </c>
      <c r="AY125" s="425" t="e">
        <f ca="1">VLOOKUP(表格1_6[[#This Row],[PO+ITEM]],工作表1!B:E,3,FALSE)</f>
        <v>#N/A</v>
      </c>
      <c r="AZ125" s="423" t="e">
        <f ca="1">VLOOKUP(表格1_6[[#This Row],[PO+ITEM]],工作表1!B:E,4,FALSE)</f>
        <v>#N/A</v>
      </c>
      <c r="BA125" s="425" t="e">
        <f ca="1">INDEX(工作表1!G:G, MATCH(表格1_6[[#This Row],[invoice number]]&amp;表格1_6[[#This Row],[invoice number2]],工作表1!G:G, 0))</f>
        <v>#N/A</v>
      </c>
      <c r="BB125" s="423" t="e">
        <f ca="1">VLOOKUP(表格1_6[[#This Row],[PO+ITEM]],工作表1!F:H,2,FALSE)</f>
        <v>#N/A</v>
      </c>
    </row>
    <row r="126" spans="1:54" ht="15.6">
      <c r="A126" s="413">
        <v>125</v>
      </c>
      <c r="B126" s="413" t="s">
        <v>3674</v>
      </c>
      <c r="C126" s="414" t="s">
        <v>17</v>
      </c>
      <c r="D126" s="414" t="s">
        <v>3648</v>
      </c>
      <c r="E126" s="414"/>
      <c r="F126" s="414"/>
      <c r="G126" s="414" t="s">
        <v>2196</v>
      </c>
      <c r="H126" s="414"/>
      <c r="I126" s="414"/>
      <c r="J126" s="414"/>
      <c r="K126" s="414"/>
      <c r="L126" s="415" t="s">
        <v>4120</v>
      </c>
      <c r="M126" s="416" t="s">
        <v>3547</v>
      </c>
      <c r="N126" s="416"/>
      <c r="O126" s="421"/>
      <c r="P126" s="416">
        <v>4590013980</v>
      </c>
      <c r="Q126" s="418">
        <v>45245</v>
      </c>
      <c r="R126" s="419">
        <v>1</v>
      </c>
      <c r="S126" s="458">
        <v>4954</v>
      </c>
      <c r="T126" s="420" t="s">
        <v>2156</v>
      </c>
      <c r="U126" s="414" t="s">
        <v>4121</v>
      </c>
      <c r="V126" s="414" t="s">
        <v>3914</v>
      </c>
      <c r="W126" s="415"/>
      <c r="X126" s="415"/>
      <c r="Y126" s="421"/>
      <c r="Z126" s="421" t="s">
        <v>3652</v>
      </c>
      <c r="AA126" s="416"/>
      <c r="AB126" s="414" t="s">
        <v>4122</v>
      </c>
      <c r="AC126" s="421"/>
      <c r="AD126" s="421" t="s">
        <v>4083</v>
      </c>
      <c r="AE126" s="421"/>
      <c r="AF126" s="421">
        <v>90830</v>
      </c>
      <c r="AG126" s="420" t="s">
        <v>4123</v>
      </c>
      <c r="AH126" s="421" t="s">
        <v>3718</v>
      </c>
      <c r="AI126" s="420" t="s">
        <v>3919</v>
      </c>
      <c r="AJ126" s="413">
        <f t="shared" si="3"/>
        <v>4590013980</v>
      </c>
      <c r="AK126" s="423" t="s">
        <v>4124</v>
      </c>
      <c r="AL126" s="424">
        <v>45320</v>
      </c>
      <c r="AM126" s="221">
        <v>4954</v>
      </c>
      <c r="AN126" s="244">
        <v>45351</v>
      </c>
      <c r="AO126" s="423"/>
      <c r="AP126" s="413"/>
      <c r="AQ126" s="222"/>
      <c r="AR126" s="424"/>
      <c r="AS126" s="614">
        <f ca="1">表格1_6[[#This Row],[total amount]]/表格1_6[[#This Row],[PO$]]</f>
        <v>1</v>
      </c>
      <c r="AT126" s="223">
        <f ca="1">表格1_6[[#This Row],[invoice amount]]+表格1_6[[#This Row],[invoice amount2]]</f>
        <v>4954</v>
      </c>
      <c r="AU126" s="224" t="s">
        <v>3673</v>
      </c>
      <c r="AV126" s="423"/>
      <c r="AW126" s="423" t="e">
        <f ca="1">VLOOKUP(表格1_6[[#This Row],[TI tool ID2]],工作表1!A:A,1,FALSE)</f>
        <v>#N/A</v>
      </c>
      <c r="AX126" s="425" t="e">
        <f ca="1">VLOOKUP(表格1_6[[#This Row],[PO+ITEM]],工作表1!B:E,2,FALSE)</f>
        <v>#N/A</v>
      </c>
      <c r="AY126" s="425" t="e">
        <f ca="1">VLOOKUP(表格1_6[[#This Row],[PO+ITEM]],工作表1!B:E,3,FALSE)</f>
        <v>#N/A</v>
      </c>
      <c r="AZ126" s="423" t="e">
        <f ca="1">VLOOKUP(表格1_6[[#This Row],[PO+ITEM]],工作表1!B:E,4,FALSE)</f>
        <v>#N/A</v>
      </c>
      <c r="BA126" s="425" t="e">
        <f ca="1">INDEX(工作表1!G:G, MATCH(表格1_6[[#This Row],[invoice number]]&amp;表格1_6[[#This Row],[invoice number2]],工作表1!G:G, 0))</f>
        <v>#N/A</v>
      </c>
      <c r="BB126" s="423" t="e">
        <f ca="1">VLOOKUP(表格1_6[[#This Row],[PO+ITEM]],工作表1!F:H,2,FALSE)</f>
        <v>#N/A</v>
      </c>
    </row>
    <row r="127" spans="1:54" ht="14.45">
      <c r="A127" s="413">
        <v>126</v>
      </c>
      <c r="B127" s="413"/>
      <c r="C127" s="414" t="s">
        <v>17</v>
      </c>
      <c r="D127" s="414" t="s">
        <v>3648</v>
      </c>
      <c r="E127" s="414"/>
      <c r="F127" s="414"/>
      <c r="G127" s="414"/>
      <c r="H127" s="414"/>
      <c r="I127" s="414"/>
      <c r="J127" s="414"/>
      <c r="K127" s="414"/>
      <c r="L127" s="415" t="s">
        <v>4125</v>
      </c>
      <c r="M127" s="416" t="s">
        <v>2888</v>
      </c>
      <c r="N127" s="416"/>
      <c r="O127" s="421"/>
      <c r="P127" s="416">
        <v>4590014113</v>
      </c>
      <c r="Q127" s="418">
        <v>45252</v>
      </c>
      <c r="R127" s="419">
        <v>1</v>
      </c>
      <c r="S127" s="458">
        <v>55904.52</v>
      </c>
      <c r="T127" s="420"/>
      <c r="U127" s="414" t="s">
        <v>3669</v>
      </c>
      <c r="V127" s="414" t="s">
        <v>3670</v>
      </c>
      <c r="W127" s="417" t="s">
        <v>3667</v>
      </c>
      <c r="X127" s="417"/>
      <c r="Y127" s="421" t="s">
        <v>3652</v>
      </c>
      <c r="Z127" s="421" t="s">
        <v>3652</v>
      </c>
      <c r="AA127" s="416"/>
      <c r="AB127" s="414" t="s">
        <v>4126</v>
      </c>
      <c r="AC127" s="421"/>
      <c r="AD127" s="421"/>
      <c r="AE127" s="421"/>
      <c r="AF127" s="421"/>
      <c r="AG127" s="420" t="s">
        <v>4127</v>
      </c>
      <c r="AH127" s="421"/>
      <c r="AI127" s="420"/>
      <c r="AJ127" s="413">
        <f t="shared" si="3"/>
        <v>4590014113</v>
      </c>
      <c r="AK127" s="423"/>
      <c r="AL127" s="413"/>
      <c r="AM127" s="221"/>
      <c r="AN127" s="424"/>
      <c r="AO127" s="423"/>
      <c r="AP127" s="413"/>
      <c r="AQ127" s="222"/>
      <c r="AR127" s="424"/>
      <c r="AS127" s="614">
        <f ca="1">表格1_6[[#This Row],[total amount]]/表格1_6[[#This Row],[PO$]]</f>
        <v>0</v>
      </c>
      <c r="AT127" s="223">
        <f ca="1">表格1_6[[#This Row],[invoice amount]]+表格1_6[[#This Row],[invoice amount2]]</f>
        <v>0</v>
      </c>
      <c r="AU127" s="224"/>
      <c r="AV127" s="423"/>
      <c r="AW127" s="423" t="e">
        <f ca="1">VLOOKUP(表格1_6[[#This Row],[TI tool ID2]],工作表1!A:A,1,FALSE)</f>
        <v>#N/A</v>
      </c>
      <c r="AX127" s="425" t="e">
        <f ca="1">VLOOKUP(表格1_6[[#This Row],[PO+ITEM]],工作表1!B:E,2,FALSE)</f>
        <v>#N/A</v>
      </c>
      <c r="AY127" s="425" t="e">
        <f ca="1">VLOOKUP(表格1_6[[#This Row],[PO+ITEM]],工作表1!B:E,3,FALSE)</f>
        <v>#N/A</v>
      </c>
      <c r="AZ127" s="423" t="e">
        <f ca="1">VLOOKUP(表格1_6[[#This Row],[PO+ITEM]],工作表1!B:E,4,FALSE)</f>
        <v>#N/A</v>
      </c>
      <c r="BA127" s="425" t="e">
        <f ca="1">INDEX(工作表1!G:G, MATCH(表格1_6[[#This Row],[invoice number]]&amp;表格1_6[[#This Row],[invoice number2]],工作表1!G:G, 0))</f>
        <v>#N/A</v>
      </c>
      <c r="BB127" s="423" t="e">
        <f ca="1">VLOOKUP(表格1_6[[#This Row],[PO+ITEM]],工作表1!F:H,2,FALSE)</f>
        <v>#N/A</v>
      </c>
    </row>
    <row r="128" spans="1:54" ht="14.45">
      <c r="A128" s="413">
        <v>127</v>
      </c>
      <c r="B128" s="413"/>
      <c r="C128" s="414" t="s">
        <v>17</v>
      </c>
      <c r="D128" s="414" t="s">
        <v>3648</v>
      </c>
      <c r="E128" s="414"/>
      <c r="F128" s="414"/>
      <c r="G128" s="414" t="s">
        <v>2196</v>
      </c>
      <c r="H128" s="414"/>
      <c r="I128" s="414"/>
      <c r="J128" s="414"/>
      <c r="K128" s="414"/>
      <c r="L128" s="415" t="s">
        <v>4128</v>
      </c>
      <c r="M128" s="416" t="s">
        <v>4129</v>
      </c>
      <c r="N128" s="416"/>
      <c r="O128" s="421"/>
      <c r="P128" s="416">
        <v>4590014127</v>
      </c>
      <c r="Q128" s="418">
        <v>45253</v>
      </c>
      <c r="R128" s="334" t="s">
        <v>3907</v>
      </c>
      <c r="S128" s="458">
        <v>3786.84</v>
      </c>
      <c r="T128" s="420"/>
      <c r="U128" s="414" t="s">
        <v>4130</v>
      </c>
      <c r="V128" s="414" t="s">
        <v>3714</v>
      </c>
      <c r="W128" s="415" t="s">
        <v>4131</v>
      </c>
      <c r="X128" s="415"/>
      <c r="Y128" s="421"/>
      <c r="Z128" s="421" t="s">
        <v>3652</v>
      </c>
      <c r="AA128" s="416"/>
      <c r="AB128" s="414" t="s">
        <v>4132</v>
      </c>
      <c r="AC128" s="421" t="s">
        <v>4133</v>
      </c>
      <c r="AD128" s="421"/>
      <c r="AE128" s="421"/>
      <c r="AF128" s="421"/>
      <c r="AG128" s="420"/>
      <c r="AH128" s="421" t="s">
        <v>3828</v>
      </c>
      <c r="AI128" s="420"/>
      <c r="AJ128" s="413">
        <f t="shared" si="3"/>
        <v>4590014127</v>
      </c>
      <c r="AK128" s="423"/>
      <c r="AL128" s="413"/>
      <c r="AM128" s="221"/>
      <c r="AN128" s="424"/>
      <c r="AO128" s="423"/>
      <c r="AP128" s="413"/>
      <c r="AQ128" s="222"/>
      <c r="AR128" s="424"/>
      <c r="AS128" s="614">
        <f ca="1">表格1_6[[#This Row],[total amount]]/表格1_6[[#This Row],[PO$]]</f>
        <v>0</v>
      </c>
      <c r="AT128" s="223">
        <f ca="1">表格1_6[[#This Row],[invoice amount]]+表格1_6[[#This Row],[invoice amount2]]</f>
        <v>0</v>
      </c>
      <c r="AU128" s="224"/>
      <c r="AV128" s="423"/>
      <c r="AW128" s="423" t="e">
        <f ca="1">VLOOKUP(表格1_6[[#This Row],[TI tool ID2]],工作表1!A:A,1,FALSE)</f>
        <v>#N/A</v>
      </c>
      <c r="AX128" s="425" t="e">
        <f ca="1">VLOOKUP(表格1_6[[#This Row],[PO+ITEM]],工作表1!B:E,2,FALSE)</f>
        <v>#N/A</v>
      </c>
      <c r="AY128" s="425" t="e">
        <f ca="1">VLOOKUP(表格1_6[[#This Row],[PO+ITEM]],工作表1!B:E,3,FALSE)</f>
        <v>#N/A</v>
      </c>
      <c r="AZ128" s="423" t="e">
        <f ca="1">VLOOKUP(表格1_6[[#This Row],[PO+ITEM]],工作表1!B:E,4,FALSE)</f>
        <v>#N/A</v>
      </c>
      <c r="BA128" s="425" t="e">
        <f ca="1">INDEX(工作表1!G:G, MATCH(表格1_6[[#This Row],[invoice number]]&amp;表格1_6[[#This Row],[invoice number2]],工作表1!G:G, 0))</f>
        <v>#N/A</v>
      </c>
      <c r="BB128" s="423" t="e">
        <f ca="1">VLOOKUP(表格1_6[[#This Row],[PO+ITEM]],工作表1!F:H,2,FALSE)</f>
        <v>#N/A</v>
      </c>
    </row>
    <row r="129" spans="1:54" ht="14.45">
      <c r="A129" s="413">
        <v>128</v>
      </c>
      <c r="B129" s="413"/>
      <c r="C129" s="414" t="s">
        <v>17</v>
      </c>
      <c r="D129" s="414" t="s">
        <v>3648</v>
      </c>
      <c r="E129" s="414"/>
      <c r="F129" s="414"/>
      <c r="G129" s="414" t="s">
        <v>2196</v>
      </c>
      <c r="H129" s="414"/>
      <c r="I129" s="414"/>
      <c r="J129" s="414"/>
      <c r="K129" s="414"/>
      <c r="L129" s="415" t="s">
        <v>4134</v>
      </c>
      <c r="M129" s="416" t="s">
        <v>4129</v>
      </c>
      <c r="N129" s="416"/>
      <c r="O129" s="421"/>
      <c r="P129" s="416">
        <v>4590014204</v>
      </c>
      <c r="Q129" s="418">
        <v>45265</v>
      </c>
      <c r="R129" s="334" t="s">
        <v>3907</v>
      </c>
      <c r="S129" s="458">
        <v>7172.64</v>
      </c>
      <c r="T129" s="420"/>
      <c r="U129" s="414" t="s">
        <v>4135</v>
      </c>
      <c r="V129" s="414" t="s">
        <v>3714</v>
      </c>
      <c r="W129" s="415" t="s">
        <v>4136</v>
      </c>
      <c r="X129" s="415"/>
      <c r="Y129" s="421" t="s">
        <v>4137</v>
      </c>
      <c r="Z129" s="421" t="s">
        <v>3652</v>
      </c>
      <c r="AA129" s="416"/>
      <c r="AB129" s="414" t="s">
        <v>4138</v>
      </c>
      <c r="AC129" s="421" t="s">
        <v>4139</v>
      </c>
      <c r="AD129" s="421"/>
      <c r="AE129" s="421"/>
      <c r="AF129" s="421"/>
      <c r="AG129" s="420"/>
      <c r="AH129" s="421"/>
      <c r="AI129" s="420"/>
      <c r="AJ129" s="413">
        <f t="shared" si="3"/>
        <v>4590014204</v>
      </c>
      <c r="AK129" s="423"/>
      <c r="AL129" s="413"/>
      <c r="AM129" s="221"/>
      <c r="AN129" s="424"/>
      <c r="AO129" s="423"/>
      <c r="AP129" s="413"/>
      <c r="AQ129" s="222"/>
      <c r="AR129" s="424"/>
      <c r="AS129" s="614">
        <f ca="1">表格1_6[[#This Row],[total amount]]/表格1_6[[#This Row],[PO$]]</f>
        <v>0</v>
      </c>
      <c r="AT129" s="223">
        <f ca="1">表格1_6[[#This Row],[invoice amount]]+表格1_6[[#This Row],[invoice amount2]]</f>
        <v>0</v>
      </c>
      <c r="AU129" s="224"/>
      <c r="AV129" s="423"/>
      <c r="AW129" s="423" t="e">
        <f ca="1">VLOOKUP(表格1_6[[#This Row],[TI tool ID2]],工作表1!A:A,1,FALSE)</f>
        <v>#N/A</v>
      </c>
      <c r="AX129" s="425" t="e">
        <f ca="1">VLOOKUP(表格1_6[[#This Row],[PO+ITEM]],工作表1!B:E,2,FALSE)</f>
        <v>#N/A</v>
      </c>
      <c r="AY129" s="425" t="e">
        <f ca="1">VLOOKUP(表格1_6[[#This Row],[PO+ITEM]],工作表1!B:E,3,FALSE)</f>
        <v>#N/A</v>
      </c>
      <c r="AZ129" s="423" t="e">
        <f ca="1">VLOOKUP(表格1_6[[#This Row],[PO+ITEM]],工作表1!B:E,4,FALSE)</f>
        <v>#N/A</v>
      </c>
      <c r="BA129" s="425" t="e">
        <f ca="1">INDEX(工作表1!G:G, MATCH(表格1_6[[#This Row],[invoice number]]&amp;表格1_6[[#This Row],[invoice number2]],工作表1!G:G, 0))</f>
        <v>#N/A</v>
      </c>
      <c r="BB129" s="423" t="e">
        <f ca="1">VLOOKUP(表格1_6[[#This Row],[PO+ITEM]],工作表1!F:H,2,FALSE)</f>
        <v>#N/A</v>
      </c>
    </row>
    <row r="130" spans="1:54" ht="14.45">
      <c r="A130" s="413">
        <v>129</v>
      </c>
      <c r="B130" s="413"/>
      <c r="C130" s="414" t="s">
        <v>17</v>
      </c>
      <c r="D130" s="414" t="s">
        <v>3648</v>
      </c>
      <c r="E130" s="414"/>
      <c r="F130" s="414"/>
      <c r="G130" s="414" t="s">
        <v>2196</v>
      </c>
      <c r="H130" s="414"/>
      <c r="I130" s="414"/>
      <c r="J130" s="414"/>
      <c r="K130" s="414"/>
      <c r="L130" s="415" t="s">
        <v>4134</v>
      </c>
      <c r="M130" s="416" t="s">
        <v>4129</v>
      </c>
      <c r="N130" s="416"/>
      <c r="O130" s="421"/>
      <c r="P130" s="416">
        <v>4590014205</v>
      </c>
      <c r="Q130" s="418">
        <v>45261</v>
      </c>
      <c r="R130" s="334" t="s">
        <v>3907</v>
      </c>
      <c r="S130" s="458">
        <v>9563.6200000000008</v>
      </c>
      <c r="T130" s="442"/>
      <c r="U130" s="414" t="s">
        <v>4140</v>
      </c>
      <c r="V130" s="414" t="s">
        <v>3714</v>
      </c>
      <c r="W130" s="415" t="s">
        <v>4141</v>
      </c>
      <c r="X130" s="415"/>
      <c r="Y130" s="421" t="s">
        <v>4137</v>
      </c>
      <c r="Z130" s="421" t="s">
        <v>3652</v>
      </c>
      <c r="AA130" s="416"/>
      <c r="AB130" s="414" t="s">
        <v>4138</v>
      </c>
      <c r="AC130" s="421" t="s">
        <v>4142</v>
      </c>
      <c r="AD130" s="421"/>
      <c r="AE130" s="421"/>
      <c r="AF130" s="421"/>
      <c r="AG130" s="420"/>
      <c r="AH130" s="421"/>
      <c r="AI130" s="420"/>
      <c r="AJ130" s="413">
        <f t="shared" ref="AJ130:AJ145" si="4">P130</f>
        <v>4590014205</v>
      </c>
      <c r="AK130" s="423"/>
      <c r="AL130" s="413"/>
      <c r="AM130" s="221"/>
      <c r="AN130" s="424"/>
      <c r="AO130" s="423"/>
      <c r="AP130" s="413"/>
      <c r="AQ130" s="222"/>
      <c r="AR130" s="424"/>
      <c r="AS130" s="614">
        <f ca="1">表格1_6[[#This Row],[total amount]]/表格1_6[[#This Row],[PO$]]</f>
        <v>0</v>
      </c>
      <c r="AT130" s="223">
        <f ca="1">表格1_6[[#This Row],[invoice amount]]+表格1_6[[#This Row],[invoice amount2]]</f>
        <v>0</v>
      </c>
      <c r="AU130" s="224"/>
      <c r="AV130" s="423"/>
      <c r="AW130" s="423" t="e">
        <f ca="1">VLOOKUP(表格1_6[[#This Row],[TI tool ID2]],工作表1!A:A,1,FALSE)</f>
        <v>#N/A</v>
      </c>
      <c r="AX130" s="425" t="e">
        <f ca="1">VLOOKUP(表格1_6[[#This Row],[PO+ITEM]],工作表1!B:E,2,FALSE)</f>
        <v>#N/A</v>
      </c>
      <c r="AY130" s="425" t="e">
        <f ca="1">VLOOKUP(表格1_6[[#This Row],[PO+ITEM]],工作表1!B:E,3,FALSE)</f>
        <v>#N/A</v>
      </c>
      <c r="AZ130" s="423" t="e">
        <f ca="1">VLOOKUP(表格1_6[[#This Row],[PO+ITEM]],工作表1!B:E,4,FALSE)</f>
        <v>#N/A</v>
      </c>
      <c r="BA130" s="425" t="e">
        <f ca="1">INDEX(工作表1!G:G, MATCH(表格1_6[[#This Row],[invoice number]]&amp;表格1_6[[#This Row],[invoice number2]],工作表1!G:G, 0))</f>
        <v>#N/A</v>
      </c>
      <c r="BB130" s="423" t="e">
        <f ca="1">VLOOKUP(表格1_6[[#This Row],[PO+ITEM]],工作表1!F:H,2,FALSE)</f>
        <v>#N/A</v>
      </c>
    </row>
    <row r="131" spans="1:54" ht="14.45">
      <c r="A131" s="413">
        <v>130</v>
      </c>
      <c r="B131" s="413" t="s">
        <v>3674</v>
      </c>
      <c r="C131" s="414" t="s">
        <v>17</v>
      </c>
      <c r="D131" s="414" t="s">
        <v>3648</v>
      </c>
      <c r="E131" s="414"/>
      <c r="F131" s="414"/>
      <c r="G131" s="414" t="s">
        <v>2196</v>
      </c>
      <c r="H131" s="414"/>
      <c r="I131" s="414"/>
      <c r="J131" s="414"/>
      <c r="K131" s="414"/>
      <c r="L131" s="415" t="s">
        <v>4143</v>
      </c>
      <c r="M131" s="416" t="s">
        <v>2659</v>
      </c>
      <c r="N131" s="416"/>
      <c r="O131" s="421"/>
      <c r="P131" s="416">
        <v>4590014281</v>
      </c>
      <c r="Q131" s="418">
        <v>45260</v>
      </c>
      <c r="R131" s="334" t="s">
        <v>3907</v>
      </c>
      <c r="S131" s="458">
        <v>12949.08</v>
      </c>
      <c r="T131" s="420"/>
      <c r="U131" s="414" t="s">
        <v>4144</v>
      </c>
      <c r="V131" s="414" t="s">
        <v>4031</v>
      </c>
      <c r="W131" s="415"/>
      <c r="X131" s="415"/>
      <c r="Y131" s="421" t="s">
        <v>4145</v>
      </c>
      <c r="Z131" s="421" t="s">
        <v>3652</v>
      </c>
      <c r="AA131" s="416"/>
      <c r="AB131" s="414" t="s">
        <v>4146</v>
      </c>
      <c r="AC131" s="421"/>
      <c r="AD131" s="421" t="s">
        <v>4083</v>
      </c>
      <c r="AE131" s="421"/>
      <c r="AF131" s="421">
        <v>90155</v>
      </c>
      <c r="AG131" s="420" t="s">
        <v>2571</v>
      </c>
      <c r="AH131" s="421" t="s">
        <v>3665</v>
      </c>
      <c r="AI131" s="420" t="s">
        <v>846</v>
      </c>
      <c r="AJ131" s="413">
        <f t="shared" si="4"/>
        <v>4590014281</v>
      </c>
      <c r="AK131" s="423"/>
      <c r="AL131" s="413"/>
      <c r="AM131" s="221"/>
      <c r="AN131" s="424"/>
      <c r="AO131" s="423"/>
      <c r="AP131" s="413"/>
      <c r="AQ131" s="222"/>
      <c r="AR131" s="424"/>
      <c r="AS131" s="614">
        <f ca="1">表格1_6[[#This Row],[total amount]]/表格1_6[[#This Row],[PO$]]</f>
        <v>0</v>
      </c>
      <c r="AT131" s="223">
        <f ca="1">表格1_6[[#This Row],[invoice amount]]+表格1_6[[#This Row],[invoice amount2]]</f>
        <v>0</v>
      </c>
      <c r="AU131" s="224"/>
      <c r="AV131" s="423"/>
      <c r="AW131" s="423" t="e">
        <f ca="1">VLOOKUP(表格1_6[[#This Row],[TI tool ID2]],工作表1!A:A,1,FALSE)</f>
        <v>#N/A</v>
      </c>
      <c r="AX131" s="425" t="e">
        <f ca="1">VLOOKUP(表格1_6[[#This Row],[PO+ITEM]],工作表1!B:E,2,FALSE)</f>
        <v>#N/A</v>
      </c>
      <c r="AY131" s="425" t="e">
        <f ca="1">VLOOKUP(表格1_6[[#This Row],[PO+ITEM]],工作表1!B:E,3,FALSE)</f>
        <v>#N/A</v>
      </c>
      <c r="AZ131" s="423" t="e">
        <f ca="1">VLOOKUP(表格1_6[[#This Row],[PO+ITEM]],工作表1!B:E,4,FALSE)</f>
        <v>#N/A</v>
      </c>
      <c r="BA131" s="425" t="e">
        <f ca="1">INDEX(工作表1!G:G, MATCH(表格1_6[[#This Row],[invoice number]]&amp;表格1_6[[#This Row],[invoice number2]],工作表1!G:G, 0))</f>
        <v>#N/A</v>
      </c>
      <c r="BB131" s="423" t="e">
        <f ca="1">VLOOKUP(表格1_6[[#This Row],[PO+ITEM]],工作表1!F:H,2,FALSE)</f>
        <v>#N/A</v>
      </c>
    </row>
    <row r="132" spans="1:54" ht="15.6">
      <c r="A132" s="413">
        <v>131</v>
      </c>
      <c r="B132" s="413" t="s">
        <v>3674</v>
      </c>
      <c r="C132" s="414" t="s">
        <v>17</v>
      </c>
      <c r="D132" s="414" t="s">
        <v>3648</v>
      </c>
      <c r="E132" s="414"/>
      <c r="F132" s="414"/>
      <c r="G132" s="414" t="s">
        <v>2196</v>
      </c>
      <c r="H132" s="414"/>
      <c r="I132" s="414"/>
      <c r="J132" s="414"/>
      <c r="K132" s="414"/>
      <c r="L132" s="415" t="s">
        <v>4147</v>
      </c>
      <c r="M132" s="416" t="s">
        <v>4088</v>
      </c>
      <c r="N132" s="416"/>
      <c r="O132" s="421"/>
      <c r="P132" s="416">
        <v>4590014282</v>
      </c>
      <c r="Q132" s="418">
        <v>45261</v>
      </c>
      <c r="R132" s="419">
        <v>1</v>
      </c>
      <c r="S132" s="349">
        <v>5449</v>
      </c>
      <c r="T132" s="420"/>
      <c r="U132" s="414" t="s">
        <v>3713</v>
      </c>
      <c r="V132" s="421" t="s">
        <v>3714</v>
      </c>
      <c r="W132" s="415" t="s">
        <v>3715</v>
      </c>
      <c r="X132" s="415"/>
      <c r="Y132" s="421" t="s">
        <v>4137</v>
      </c>
      <c r="Z132" s="421" t="s">
        <v>3652</v>
      </c>
      <c r="AA132" s="416" t="s">
        <v>4148</v>
      </c>
      <c r="AB132" s="414" t="s">
        <v>4149</v>
      </c>
      <c r="AC132" s="421"/>
      <c r="AD132" s="421" t="s">
        <v>4083</v>
      </c>
      <c r="AE132" s="421"/>
      <c r="AF132" s="421">
        <v>90084</v>
      </c>
      <c r="AG132" s="420" t="s">
        <v>4150</v>
      </c>
      <c r="AH132" s="421" t="s">
        <v>3665</v>
      </c>
      <c r="AI132" s="420" t="s">
        <v>3719</v>
      </c>
      <c r="AJ132" s="413">
        <f t="shared" si="4"/>
        <v>4590014282</v>
      </c>
      <c r="AK132" s="423" t="s">
        <v>4151</v>
      </c>
      <c r="AL132" s="424">
        <v>45345</v>
      </c>
      <c r="AM132" s="221">
        <v>0</v>
      </c>
      <c r="AN132" s="431" t="s">
        <v>3788</v>
      </c>
      <c r="AO132" s="423" t="s">
        <v>4152</v>
      </c>
      <c r="AP132" s="424">
        <v>45441</v>
      </c>
      <c r="AQ132" s="222">
        <v>2492</v>
      </c>
      <c r="AR132" s="424">
        <v>45580</v>
      </c>
      <c r="AS132" s="614">
        <f ca="1">表格1_6[[#This Row],[total amount]]/表格1_6[[#This Row],[PO$]]</f>
        <v>0.45733162048082215</v>
      </c>
      <c r="AT132" s="223">
        <f ca="1">表格1_6[[#This Row],[invoice amount]]+表格1_6[[#This Row],[invoice amount2]]</f>
        <v>2492</v>
      </c>
      <c r="AU132" s="224" t="s">
        <v>3725</v>
      </c>
      <c r="AV132" s="423" t="s">
        <v>4153</v>
      </c>
      <c r="AW132" s="423" t="e">
        <f ca="1">VLOOKUP(表格1_6[[#This Row],[TI tool ID2]],工作表1!A:A,1,FALSE)</f>
        <v>#N/A</v>
      </c>
      <c r="AX132" s="425" t="e">
        <f ca="1">VLOOKUP(表格1_6[[#This Row],[PO+ITEM]],工作表1!B:E,2,FALSE)</f>
        <v>#N/A</v>
      </c>
      <c r="AY132" s="425" t="e">
        <f ca="1">VLOOKUP(表格1_6[[#This Row],[PO+ITEM]],工作表1!B:E,3,FALSE)</f>
        <v>#N/A</v>
      </c>
      <c r="AZ132" s="423" t="e">
        <f ca="1">VLOOKUP(表格1_6[[#This Row],[PO+ITEM]],工作表1!B:E,4,FALSE)</f>
        <v>#N/A</v>
      </c>
      <c r="BA132" s="425" t="e">
        <f ca="1">INDEX(工作表1!G:G, MATCH(表格1_6[[#This Row],[invoice number]]&amp;表格1_6[[#This Row],[invoice number2]],工作表1!G:G, 0))</f>
        <v>#N/A</v>
      </c>
      <c r="BB132" s="423" t="str">
        <f ca="1">VLOOKUP(表格1_6[[#This Row],[PO+ITEM]],工作表1!F:H,2,FALSE)</f>
        <v>MICUINT202402027(MICUINT202405095)</v>
      </c>
    </row>
    <row r="133" spans="1:54" ht="14.45">
      <c r="A133" s="413">
        <v>132</v>
      </c>
      <c r="B133" s="413" t="s">
        <v>3674</v>
      </c>
      <c r="C133" s="414" t="s">
        <v>17</v>
      </c>
      <c r="D133" s="414" t="s">
        <v>3648</v>
      </c>
      <c r="E133" s="414"/>
      <c r="F133" s="414"/>
      <c r="G133" s="414" t="s">
        <v>2196</v>
      </c>
      <c r="H133" s="414"/>
      <c r="I133" s="414"/>
      <c r="J133" s="414"/>
      <c r="K133" s="414"/>
      <c r="L133" s="415" t="s">
        <v>4154</v>
      </c>
      <c r="M133" s="416" t="s">
        <v>4129</v>
      </c>
      <c r="N133" s="416"/>
      <c r="O133" s="421"/>
      <c r="P133" s="416">
        <v>4590014334</v>
      </c>
      <c r="Q133" s="418">
        <v>45262</v>
      </c>
      <c r="R133" s="334" t="s">
        <v>3907</v>
      </c>
      <c r="S133" s="349">
        <v>2865.41</v>
      </c>
      <c r="T133" s="420" t="s">
        <v>2156</v>
      </c>
      <c r="U133" s="414" t="s">
        <v>4155</v>
      </c>
      <c r="V133" s="414" t="s">
        <v>4031</v>
      </c>
      <c r="W133" s="415"/>
      <c r="X133" s="415"/>
      <c r="Y133" s="421" t="s">
        <v>3652</v>
      </c>
      <c r="Z133" s="421" t="s">
        <v>3652</v>
      </c>
      <c r="AA133" s="416"/>
      <c r="AB133" s="414" t="s">
        <v>4156</v>
      </c>
      <c r="AC133" s="421"/>
      <c r="AD133" s="421" t="s">
        <v>4083</v>
      </c>
      <c r="AE133" s="421"/>
      <c r="AF133" s="421">
        <v>90637</v>
      </c>
      <c r="AG133" s="420" t="s">
        <v>3273</v>
      </c>
      <c r="AH133" s="421" t="s">
        <v>3828</v>
      </c>
      <c r="AI133" s="420" t="s">
        <v>3666</v>
      </c>
      <c r="AJ133" s="413">
        <f t="shared" si="4"/>
        <v>4590014334</v>
      </c>
      <c r="AK133" s="425" t="s">
        <v>4157</v>
      </c>
      <c r="AL133" s="424">
        <v>45534</v>
      </c>
      <c r="AM133" s="221">
        <v>2865.41</v>
      </c>
      <c r="AN133" s="424">
        <v>45580</v>
      </c>
      <c r="AO133" s="423"/>
      <c r="AP133" s="413"/>
      <c r="AQ133" s="222"/>
      <c r="AR133" s="424"/>
      <c r="AS133" s="614">
        <f ca="1">表格1_6[[#This Row],[total amount]]/表格1_6[[#This Row],[PO$]]</f>
        <v>1</v>
      </c>
      <c r="AT133" s="223">
        <f ca="1">表格1_6[[#This Row],[invoice amount]]+表格1_6[[#This Row],[invoice amount2]]</f>
        <v>2865.41</v>
      </c>
      <c r="AU133" s="224" t="s">
        <v>3725</v>
      </c>
      <c r="AV133" s="423"/>
      <c r="AW133" s="423" t="e">
        <f ca="1">VLOOKUP(表格1_6[[#This Row],[TI tool ID2]],工作表1!A:A,1,FALSE)</f>
        <v>#N/A</v>
      </c>
      <c r="AX133" s="425" t="e">
        <f ca="1">VLOOKUP(表格1_6[[#This Row],[PO+ITEM]],工作表1!B:E,2,FALSE)</f>
        <v>#N/A</v>
      </c>
      <c r="AY133" s="425" t="e">
        <f ca="1">VLOOKUP(表格1_6[[#This Row],[PO+ITEM]],工作表1!B:E,3,FALSE)</f>
        <v>#N/A</v>
      </c>
      <c r="AZ133" s="423" t="e">
        <f ca="1">VLOOKUP(表格1_6[[#This Row],[PO+ITEM]],工作表1!B:E,4,FALSE)</f>
        <v>#N/A</v>
      </c>
      <c r="BA133" s="425" t="str">
        <f ca="1">INDEX(工作表1!G:G, MATCH(表格1_6[[#This Row],[invoice number]]&amp;表格1_6[[#This Row],[invoice number2]],工作表1!G:G, 0))</f>
        <v>MICUINT202408125</v>
      </c>
      <c r="BB133" s="423" t="str">
        <f ca="1">VLOOKUP(表格1_6[[#This Row],[PO+ITEM]],工作表1!F:H,2,FALSE)</f>
        <v>MICUINT202408125</v>
      </c>
    </row>
    <row r="134" spans="1:54">
      <c r="A134" s="413">
        <v>133</v>
      </c>
      <c r="B134" s="413" t="s">
        <v>3674</v>
      </c>
      <c r="C134" s="414" t="s">
        <v>17</v>
      </c>
      <c r="D134" s="414" t="s">
        <v>3648</v>
      </c>
      <c r="E134" s="414"/>
      <c r="F134" s="414"/>
      <c r="G134" s="414" t="s">
        <v>2196</v>
      </c>
      <c r="H134" s="414"/>
      <c r="I134" s="414"/>
      <c r="J134" s="414"/>
      <c r="K134" s="414"/>
      <c r="L134" s="415" t="s">
        <v>4158</v>
      </c>
      <c r="M134" s="416" t="s">
        <v>4159</v>
      </c>
      <c r="N134" s="416"/>
      <c r="O134" s="421"/>
      <c r="P134" s="416">
        <v>4590014335</v>
      </c>
      <c r="Q134" s="418">
        <v>45262</v>
      </c>
      <c r="R134" s="334" t="s">
        <v>3907</v>
      </c>
      <c r="S134" s="458">
        <v>2865.41</v>
      </c>
      <c r="T134" s="420" t="s">
        <v>2156</v>
      </c>
      <c r="U134" s="414" t="s">
        <v>4160</v>
      </c>
      <c r="V134" s="414" t="s">
        <v>4031</v>
      </c>
      <c r="W134" s="415"/>
      <c r="X134" s="415"/>
      <c r="Y134" s="421" t="s">
        <v>3652</v>
      </c>
      <c r="Z134" s="421" t="s">
        <v>3652</v>
      </c>
      <c r="AA134" s="416" t="s">
        <v>4161</v>
      </c>
      <c r="AB134" s="414" t="s">
        <v>4162</v>
      </c>
      <c r="AC134" s="421"/>
      <c r="AD134" s="421" t="s">
        <v>4083</v>
      </c>
      <c r="AE134" s="421"/>
      <c r="AF134" s="421">
        <v>90631</v>
      </c>
      <c r="AG134" s="420" t="s">
        <v>3155</v>
      </c>
      <c r="AH134" s="421" t="s">
        <v>3828</v>
      </c>
      <c r="AI134" s="420" t="s">
        <v>3666</v>
      </c>
      <c r="AJ134" s="413">
        <f t="shared" si="4"/>
        <v>4590014335</v>
      </c>
      <c r="AK134" s="423" t="s">
        <v>4163</v>
      </c>
      <c r="AL134" s="424">
        <v>45345</v>
      </c>
      <c r="AM134" s="221">
        <v>2865.41</v>
      </c>
      <c r="AN134" s="424">
        <v>45580</v>
      </c>
      <c r="AO134" s="423"/>
      <c r="AP134" s="413"/>
      <c r="AQ134" s="222"/>
      <c r="AR134" s="424"/>
      <c r="AS134" s="614">
        <f ca="1">表格1_6[[#This Row],[total amount]]/表格1_6[[#This Row],[PO$]]</f>
        <v>1</v>
      </c>
      <c r="AT134" s="223">
        <f ca="1">表格1_6[[#This Row],[invoice amount]]+表格1_6[[#This Row],[invoice amount2]]</f>
        <v>2865.41</v>
      </c>
      <c r="AU134" s="224" t="s">
        <v>3725</v>
      </c>
      <c r="AV134" s="423" t="s">
        <v>4164</v>
      </c>
      <c r="AW134" s="423" t="e">
        <f ca="1">VLOOKUP(表格1_6[[#This Row],[TI tool ID2]],工作表1!A:A,1,FALSE)</f>
        <v>#N/A</v>
      </c>
      <c r="AX134" s="425" t="e">
        <f ca="1">VLOOKUP(表格1_6[[#This Row],[PO+ITEM]],工作表1!B:E,2,FALSE)</f>
        <v>#N/A</v>
      </c>
      <c r="AY134" s="425" t="e">
        <f ca="1">VLOOKUP(表格1_6[[#This Row],[PO+ITEM]],工作表1!B:E,3,FALSE)</f>
        <v>#N/A</v>
      </c>
      <c r="AZ134" s="423" t="e">
        <f ca="1">VLOOKUP(表格1_6[[#This Row],[PO+ITEM]],工作表1!B:E,4,FALSE)</f>
        <v>#N/A</v>
      </c>
      <c r="BA134" s="425" t="str">
        <f ca="1">INDEX(工作表1!G:G, MATCH(表格1_6[[#This Row],[invoice number]]&amp;表格1_6[[#This Row],[invoice number2]],工作表1!G:G, 0))</f>
        <v>MICUINT202402025</v>
      </c>
      <c r="BB134" s="423" t="str">
        <f ca="1">VLOOKUP(表格1_6[[#This Row],[PO+ITEM]],工作表1!F:H,2,FALSE)</f>
        <v>MICUINT202402025</v>
      </c>
    </row>
    <row r="135" spans="1:54" ht="14.45">
      <c r="A135" s="413">
        <v>134</v>
      </c>
      <c r="B135" s="413" t="s">
        <v>3674</v>
      </c>
      <c r="C135" s="414" t="s">
        <v>17</v>
      </c>
      <c r="D135" s="414" t="s">
        <v>3648</v>
      </c>
      <c r="E135" s="414"/>
      <c r="F135" s="414"/>
      <c r="G135" s="414" t="s">
        <v>2196</v>
      </c>
      <c r="H135" s="414"/>
      <c r="I135" s="414"/>
      <c r="J135" s="414"/>
      <c r="K135" s="414"/>
      <c r="L135" s="415" t="s">
        <v>4165</v>
      </c>
      <c r="M135" s="416" t="s">
        <v>4166</v>
      </c>
      <c r="N135" s="416"/>
      <c r="O135" s="421"/>
      <c r="P135" s="416">
        <v>4590014546</v>
      </c>
      <c r="Q135" s="418">
        <v>45272</v>
      </c>
      <c r="R135" s="334" t="s">
        <v>3907</v>
      </c>
      <c r="S135" s="458">
        <v>4568.6899999999996</v>
      </c>
      <c r="T135" s="420" t="s">
        <v>2156</v>
      </c>
      <c r="U135" s="414" t="s">
        <v>4167</v>
      </c>
      <c r="V135" s="414" t="s">
        <v>4031</v>
      </c>
      <c r="W135" s="415"/>
      <c r="X135" s="415"/>
      <c r="Y135" s="421" t="s">
        <v>3652</v>
      </c>
      <c r="Z135" s="421" t="s">
        <v>3652</v>
      </c>
      <c r="AA135" s="416" t="s">
        <v>4168</v>
      </c>
      <c r="AB135" s="414" t="s">
        <v>4169</v>
      </c>
      <c r="AC135" s="421"/>
      <c r="AD135" s="421" t="s">
        <v>4083</v>
      </c>
      <c r="AE135" s="421"/>
      <c r="AF135" s="421">
        <v>90052</v>
      </c>
      <c r="AG135" s="420" t="s">
        <v>2817</v>
      </c>
      <c r="AH135" s="421" t="s">
        <v>3681</v>
      </c>
      <c r="AI135" s="420" t="s">
        <v>32</v>
      </c>
      <c r="AJ135" s="413">
        <f t="shared" si="4"/>
        <v>4590014546</v>
      </c>
      <c r="AK135" s="423" t="s">
        <v>4170</v>
      </c>
      <c r="AL135" s="424">
        <v>45345</v>
      </c>
      <c r="AM135" s="221">
        <v>4568.6899999999996</v>
      </c>
      <c r="AN135" s="424">
        <v>45442</v>
      </c>
      <c r="AO135" s="423"/>
      <c r="AP135" s="413"/>
      <c r="AQ135" s="222"/>
      <c r="AR135" s="424"/>
      <c r="AS135" s="614">
        <f ca="1">表格1_6[[#This Row],[total amount]]/表格1_6[[#This Row],[PO$]]</f>
        <v>1</v>
      </c>
      <c r="AT135" s="223">
        <f ca="1">表格1_6[[#This Row],[invoice amount]]+表格1_6[[#This Row],[invoice amount2]]</f>
        <v>4568.6899999999996</v>
      </c>
      <c r="AU135" s="224" t="s">
        <v>3725</v>
      </c>
      <c r="AV135" s="423"/>
      <c r="AW135" s="423" t="e">
        <f ca="1">VLOOKUP(表格1_6[[#This Row],[TI tool ID2]],工作表1!A:A,1,FALSE)</f>
        <v>#N/A</v>
      </c>
      <c r="AX135" s="425" t="e">
        <f ca="1">VLOOKUP(表格1_6[[#This Row],[PO+ITEM]],工作表1!B:E,2,FALSE)</f>
        <v>#N/A</v>
      </c>
      <c r="AY135" s="425" t="e">
        <f ca="1">VLOOKUP(表格1_6[[#This Row],[PO+ITEM]],工作表1!B:E,3,FALSE)</f>
        <v>#N/A</v>
      </c>
      <c r="AZ135" s="423" t="e">
        <f ca="1">VLOOKUP(表格1_6[[#This Row],[PO+ITEM]],工作表1!B:E,4,FALSE)</f>
        <v>#N/A</v>
      </c>
      <c r="BA135" s="425" t="e">
        <f ca="1">INDEX(工作表1!G:G, MATCH(表格1_6[[#This Row],[invoice number]]&amp;表格1_6[[#This Row],[invoice number2]],工作表1!G:G, 0))</f>
        <v>#N/A</v>
      </c>
      <c r="BB135" s="423" t="e">
        <f ca="1">VLOOKUP(表格1_6[[#This Row],[PO+ITEM]],工作表1!F:H,2,FALSE)</f>
        <v>#N/A</v>
      </c>
    </row>
    <row r="136" spans="1:54" ht="15.6">
      <c r="A136" s="413">
        <v>135</v>
      </c>
      <c r="B136" s="413" t="s">
        <v>3674</v>
      </c>
      <c r="C136" s="414" t="s">
        <v>17</v>
      </c>
      <c r="D136" s="414" t="s">
        <v>3648</v>
      </c>
      <c r="E136" s="414"/>
      <c r="F136" s="414"/>
      <c r="G136" s="414" t="s">
        <v>2196</v>
      </c>
      <c r="H136" s="414"/>
      <c r="I136" s="414"/>
      <c r="J136" s="414"/>
      <c r="K136" s="414"/>
      <c r="L136" s="415" t="s">
        <v>4171</v>
      </c>
      <c r="M136" s="416" t="s">
        <v>2206</v>
      </c>
      <c r="N136" s="416"/>
      <c r="O136" s="421"/>
      <c r="P136" s="416">
        <v>4590014925</v>
      </c>
      <c r="Q136" s="418">
        <v>45296</v>
      </c>
      <c r="R136" s="419">
        <v>1</v>
      </c>
      <c r="S136" s="458">
        <v>30202.91</v>
      </c>
      <c r="T136" s="420" t="s">
        <v>2156</v>
      </c>
      <c r="U136" s="414" t="s">
        <v>4030</v>
      </c>
      <c r="V136" s="414" t="s">
        <v>4031</v>
      </c>
      <c r="W136" s="415" t="s">
        <v>4038</v>
      </c>
      <c r="X136" s="415"/>
      <c r="Y136" s="421" t="s">
        <v>3652</v>
      </c>
      <c r="Z136" s="421" t="s">
        <v>3652</v>
      </c>
      <c r="AA136" s="416" t="s">
        <v>4172</v>
      </c>
      <c r="AB136" s="414" t="s">
        <v>4173</v>
      </c>
      <c r="AC136" s="421"/>
      <c r="AD136" s="421" t="s">
        <v>4083</v>
      </c>
      <c r="AE136" s="421"/>
      <c r="AF136" s="421">
        <v>90572</v>
      </c>
      <c r="AG136" s="420" t="s">
        <v>2555</v>
      </c>
      <c r="AH136" s="421" t="s">
        <v>3911</v>
      </c>
      <c r="AI136" s="420" t="s">
        <v>846</v>
      </c>
      <c r="AJ136" s="413">
        <f t="shared" si="4"/>
        <v>4590014925</v>
      </c>
      <c r="AK136" s="423" t="s">
        <v>4174</v>
      </c>
      <c r="AL136" s="424">
        <v>45345</v>
      </c>
      <c r="AM136" s="221">
        <v>30202.91</v>
      </c>
      <c r="AN136" s="432">
        <v>45458</v>
      </c>
      <c r="AO136" s="423"/>
      <c r="AP136" s="413"/>
      <c r="AQ136" s="222"/>
      <c r="AR136" s="424"/>
      <c r="AS136" s="614">
        <f ca="1">表格1_6[[#This Row],[total amount]]/表格1_6[[#This Row],[PO$]]</f>
        <v>1</v>
      </c>
      <c r="AT136" s="223">
        <f ca="1">表格1_6[[#This Row],[invoice amount]]+表格1_6[[#This Row],[invoice amount2]]</f>
        <v>30202.91</v>
      </c>
      <c r="AU136" s="224" t="s">
        <v>3725</v>
      </c>
      <c r="AV136" s="423"/>
      <c r="AW136" s="423" t="e">
        <f ca="1">VLOOKUP(表格1_6[[#This Row],[TI tool ID2]],工作表1!A:A,1,FALSE)</f>
        <v>#N/A</v>
      </c>
      <c r="AX136" s="425" t="e">
        <f ca="1">VLOOKUP(表格1_6[[#This Row],[PO+ITEM]],工作表1!B:E,2,FALSE)</f>
        <v>#N/A</v>
      </c>
      <c r="AY136" s="425" t="e">
        <f ca="1">VLOOKUP(表格1_6[[#This Row],[PO+ITEM]],工作表1!B:E,3,FALSE)</f>
        <v>#N/A</v>
      </c>
      <c r="AZ136" s="423" t="e">
        <f ca="1">VLOOKUP(表格1_6[[#This Row],[PO+ITEM]],工作表1!B:E,4,FALSE)</f>
        <v>#N/A</v>
      </c>
      <c r="BA136" s="425" t="e">
        <f ca="1">INDEX(工作表1!G:G, MATCH(表格1_6[[#This Row],[invoice number]]&amp;表格1_6[[#This Row],[invoice number2]],工作表1!G:G, 0))</f>
        <v>#N/A</v>
      </c>
      <c r="BB136" s="423" t="e">
        <f ca="1">VLOOKUP(表格1_6[[#This Row],[PO+ITEM]],工作表1!F:H,2,FALSE)</f>
        <v>#N/A</v>
      </c>
    </row>
    <row r="137" spans="1:54" ht="14.45">
      <c r="A137" s="413">
        <v>136</v>
      </c>
      <c r="B137" s="413" t="s">
        <v>3674</v>
      </c>
      <c r="C137" s="414" t="s">
        <v>17</v>
      </c>
      <c r="D137" s="414" t="s">
        <v>3648</v>
      </c>
      <c r="E137" s="414"/>
      <c r="F137" s="414"/>
      <c r="G137" s="414" t="s">
        <v>2196</v>
      </c>
      <c r="H137" s="414"/>
      <c r="I137" s="414"/>
      <c r="J137" s="414"/>
      <c r="K137" s="414"/>
      <c r="L137" s="415" t="s">
        <v>4175</v>
      </c>
      <c r="M137" s="416" t="s">
        <v>4105</v>
      </c>
      <c r="N137" s="416"/>
      <c r="O137" s="421"/>
      <c r="P137" s="416">
        <v>4590015105</v>
      </c>
      <c r="Q137" s="418">
        <v>45308</v>
      </c>
      <c r="R137" s="334" t="s">
        <v>3907</v>
      </c>
      <c r="S137" s="458">
        <v>2580.67</v>
      </c>
      <c r="T137" s="420" t="s">
        <v>2156</v>
      </c>
      <c r="U137" s="414" t="s">
        <v>4176</v>
      </c>
      <c r="V137" s="414" t="s">
        <v>4031</v>
      </c>
      <c r="W137" s="415"/>
      <c r="X137" s="415"/>
      <c r="Y137" s="421" t="s">
        <v>3652</v>
      </c>
      <c r="Z137" s="421" t="s">
        <v>3652</v>
      </c>
      <c r="AA137" s="416" t="s">
        <v>4177</v>
      </c>
      <c r="AB137" s="414" t="s">
        <v>4178</v>
      </c>
      <c r="AC137" s="421"/>
      <c r="AD137" s="421"/>
      <c r="AE137" s="421"/>
      <c r="AF137" s="421"/>
      <c r="AG137" s="420" t="s">
        <v>3164</v>
      </c>
      <c r="AH137" s="421" t="s">
        <v>4109</v>
      </c>
      <c r="AI137" s="420" t="s">
        <v>3666</v>
      </c>
      <c r="AJ137" s="413">
        <f t="shared" si="4"/>
        <v>4590015105</v>
      </c>
      <c r="AK137" s="423" t="s">
        <v>4179</v>
      </c>
      <c r="AL137" s="424">
        <v>45345</v>
      </c>
      <c r="AM137" s="311">
        <v>2580.67</v>
      </c>
      <c r="AN137" s="424">
        <v>45427</v>
      </c>
      <c r="AO137" s="423"/>
      <c r="AP137" s="413"/>
      <c r="AQ137" s="222"/>
      <c r="AR137" s="424"/>
      <c r="AS137" s="614">
        <f ca="1">表格1_6[[#This Row],[total amount]]/表格1_6[[#This Row],[PO$]]</f>
        <v>1</v>
      </c>
      <c r="AT137" s="223">
        <f ca="1">表格1_6[[#This Row],[invoice amount]]+表格1_6[[#This Row],[invoice amount2]]</f>
        <v>2580.67</v>
      </c>
      <c r="AU137" s="224" t="s">
        <v>3725</v>
      </c>
      <c r="AV137" s="423"/>
      <c r="AW137" s="423" t="e">
        <f ca="1">VLOOKUP(表格1_6[[#This Row],[TI tool ID2]],工作表1!A:A,1,FALSE)</f>
        <v>#N/A</v>
      </c>
      <c r="AX137" s="425" t="e">
        <f ca="1">VLOOKUP(表格1_6[[#This Row],[PO+ITEM]],工作表1!B:E,2,FALSE)</f>
        <v>#N/A</v>
      </c>
      <c r="AY137" s="425" t="e">
        <f ca="1">VLOOKUP(表格1_6[[#This Row],[PO+ITEM]],工作表1!B:E,3,FALSE)</f>
        <v>#N/A</v>
      </c>
      <c r="AZ137" s="423" t="e">
        <f ca="1">VLOOKUP(表格1_6[[#This Row],[PO+ITEM]],工作表1!B:E,4,FALSE)</f>
        <v>#N/A</v>
      </c>
      <c r="BA137" s="425" t="e">
        <f ca="1">INDEX(工作表1!G:G, MATCH(表格1_6[[#This Row],[invoice number]]&amp;表格1_6[[#This Row],[invoice number2]],工作表1!G:G, 0))</f>
        <v>#N/A</v>
      </c>
      <c r="BB137" s="423" t="e">
        <f ca="1">VLOOKUP(表格1_6[[#This Row],[PO+ITEM]],工作表1!F:H,2,FALSE)</f>
        <v>#N/A</v>
      </c>
    </row>
    <row r="138" spans="1:54" ht="14.45">
      <c r="A138" s="413">
        <v>137</v>
      </c>
      <c r="B138" s="413"/>
      <c r="C138" s="414" t="s">
        <v>10</v>
      </c>
      <c r="D138" s="414" t="s">
        <v>3648</v>
      </c>
      <c r="E138" s="414"/>
      <c r="F138" s="414"/>
      <c r="G138" s="414"/>
      <c r="H138" s="414"/>
      <c r="I138" s="414"/>
      <c r="J138" s="414"/>
      <c r="K138" s="414"/>
      <c r="L138" s="415" t="s">
        <v>4180</v>
      </c>
      <c r="M138" s="416" t="s">
        <v>2888</v>
      </c>
      <c r="N138" s="416"/>
      <c r="O138" s="421"/>
      <c r="P138" s="416">
        <v>4590015106</v>
      </c>
      <c r="Q138" s="418">
        <v>45308</v>
      </c>
      <c r="R138" s="419">
        <v>1</v>
      </c>
      <c r="S138" s="349">
        <v>1519.24</v>
      </c>
      <c r="T138" s="420" t="s">
        <v>2156</v>
      </c>
      <c r="U138" s="414" t="s">
        <v>3650</v>
      </c>
      <c r="V138" s="414" t="s">
        <v>3651</v>
      </c>
      <c r="W138" s="417" t="s">
        <v>3649</v>
      </c>
      <c r="X138" s="417"/>
      <c r="Y138" s="421" t="s">
        <v>3652</v>
      </c>
      <c r="Z138" s="421" t="s">
        <v>3652</v>
      </c>
      <c r="AA138" s="416"/>
      <c r="AB138" s="414" t="s">
        <v>4181</v>
      </c>
      <c r="AC138" s="421"/>
      <c r="AD138" s="421"/>
      <c r="AE138" s="421"/>
      <c r="AF138" s="421"/>
      <c r="AG138" s="420" t="s">
        <v>4182</v>
      </c>
      <c r="AH138" s="421" t="s">
        <v>3654</v>
      </c>
      <c r="AI138" s="421"/>
      <c r="AJ138" s="413">
        <f t="shared" si="4"/>
        <v>4590015106</v>
      </c>
      <c r="AK138" s="420" t="s">
        <v>4183</v>
      </c>
      <c r="AL138" s="424">
        <v>45471</v>
      </c>
      <c r="AM138" s="221">
        <v>1519.24</v>
      </c>
      <c r="AN138" s="424">
        <v>45503</v>
      </c>
      <c r="AO138" s="423"/>
      <c r="AP138" s="413"/>
      <c r="AQ138" s="222"/>
      <c r="AR138" s="424"/>
      <c r="AS138" s="614">
        <f ca="1">表格1_6[[#This Row],[total amount]]/表格1_6[[#This Row],[PO$]]</f>
        <v>1</v>
      </c>
      <c r="AT138" s="223">
        <f ca="1">表格1_6[[#This Row],[invoice amount]]+表格1_6[[#This Row],[invoice amount2]]</f>
        <v>1519.24</v>
      </c>
      <c r="AU138" s="224" t="s">
        <v>3725</v>
      </c>
      <c r="AV138" s="423"/>
      <c r="AW138" s="423" t="e">
        <f ca="1">VLOOKUP(表格1_6[[#This Row],[TI tool ID2]],工作表1!A:A,1,FALSE)</f>
        <v>#N/A</v>
      </c>
      <c r="AX138" s="425" t="e">
        <f ca="1">VLOOKUP(表格1_6[[#This Row],[PO+ITEM]],工作表1!B:E,2,FALSE)</f>
        <v>#N/A</v>
      </c>
      <c r="AY138" s="425" t="e">
        <f ca="1">VLOOKUP(表格1_6[[#This Row],[PO+ITEM]],工作表1!B:E,3,FALSE)</f>
        <v>#N/A</v>
      </c>
      <c r="AZ138" s="423" t="e">
        <f ca="1">VLOOKUP(表格1_6[[#This Row],[PO+ITEM]],工作表1!B:E,4,FALSE)</f>
        <v>#N/A</v>
      </c>
      <c r="BA138" s="425" t="e">
        <f ca="1">INDEX(工作表1!G:G, MATCH(表格1_6[[#This Row],[invoice number]]&amp;表格1_6[[#This Row],[invoice number2]],工作表1!G:G, 0))</f>
        <v>#N/A</v>
      </c>
      <c r="BB138" s="423" t="e">
        <f ca="1">VLOOKUP(表格1_6[[#This Row],[PO+ITEM]],工作表1!F:H,2,FALSE)</f>
        <v>#N/A</v>
      </c>
    </row>
    <row r="139" spans="1:54" ht="14.45">
      <c r="A139" s="413">
        <v>138</v>
      </c>
      <c r="B139" s="413" t="s">
        <v>3674</v>
      </c>
      <c r="C139" s="414" t="s">
        <v>17</v>
      </c>
      <c r="D139" s="414" t="s">
        <v>3648</v>
      </c>
      <c r="E139" s="414"/>
      <c r="F139" s="414"/>
      <c r="G139" s="414" t="s">
        <v>2196</v>
      </c>
      <c r="H139" s="414"/>
      <c r="I139" s="414"/>
      <c r="J139" s="414"/>
      <c r="K139" s="414"/>
      <c r="L139" s="415" t="s">
        <v>4184</v>
      </c>
      <c r="M139" s="416" t="s">
        <v>3547</v>
      </c>
      <c r="N139" s="416"/>
      <c r="O139" s="421"/>
      <c r="P139" s="416">
        <v>4590015107</v>
      </c>
      <c r="Q139" s="418">
        <v>45308</v>
      </c>
      <c r="R139" s="419">
        <v>1</v>
      </c>
      <c r="S139" s="458">
        <v>2870.4</v>
      </c>
      <c r="T139" s="420" t="s">
        <v>2156</v>
      </c>
      <c r="U139" s="414" t="s">
        <v>3913</v>
      </c>
      <c r="V139" s="414" t="s">
        <v>3914</v>
      </c>
      <c r="W139" s="415" t="s">
        <v>3915</v>
      </c>
      <c r="X139" s="415"/>
      <c r="Y139" s="421" t="s">
        <v>3652</v>
      </c>
      <c r="Z139" s="421" t="s">
        <v>3652</v>
      </c>
      <c r="AA139" s="416" t="s">
        <v>4185</v>
      </c>
      <c r="AB139" s="414" t="s">
        <v>4186</v>
      </c>
      <c r="AC139" s="421"/>
      <c r="AD139" s="421" t="s">
        <v>4083</v>
      </c>
      <c r="AE139" s="421"/>
      <c r="AF139" s="421">
        <v>90730</v>
      </c>
      <c r="AG139" s="420" t="s">
        <v>4187</v>
      </c>
      <c r="AH139" s="421" t="s">
        <v>3918</v>
      </c>
      <c r="AI139" s="420" t="s">
        <v>3919</v>
      </c>
      <c r="AJ139" s="413">
        <f t="shared" si="4"/>
        <v>4590015107</v>
      </c>
      <c r="AK139" s="423" t="s">
        <v>4188</v>
      </c>
      <c r="AL139" s="424">
        <v>45377</v>
      </c>
      <c r="AM139" s="221">
        <v>2870.4</v>
      </c>
      <c r="AN139" s="424">
        <v>45471</v>
      </c>
      <c r="AO139" s="423"/>
      <c r="AP139" s="413"/>
      <c r="AQ139" s="222"/>
      <c r="AR139" s="424"/>
      <c r="AS139" s="614">
        <f ca="1">表格1_6[[#This Row],[total amount]]/表格1_6[[#This Row],[PO$]]</f>
        <v>1</v>
      </c>
      <c r="AT139" s="223">
        <f ca="1">表格1_6[[#This Row],[invoice amount]]+表格1_6[[#This Row],[invoice amount2]]</f>
        <v>2870.4</v>
      </c>
      <c r="AU139" s="224" t="s">
        <v>3673</v>
      </c>
      <c r="AV139" s="423"/>
      <c r="AW139" s="423" t="e">
        <f ca="1">VLOOKUP(表格1_6[[#This Row],[TI tool ID2]],工作表1!A:A,1,FALSE)</f>
        <v>#N/A</v>
      </c>
      <c r="AX139" s="425" t="e">
        <f ca="1">VLOOKUP(表格1_6[[#This Row],[PO+ITEM]],工作表1!B:E,2,FALSE)</f>
        <v>#N/A</v>
      </c>
      <c r="AY139" s="425" t="e">
        <f ca="1">VLOOKUP(表格1_6[[#This Row],[PO+ITEM]],工作表1!B:E,3,FALSE)</f>
        <v>#N/A</v>
      </c>
      <c r="AZ139" s="423" t="e">
        <f ca="1">VLOOKUP(表格1_6[[#This Row],[PO+ITEM]],工作表1!B:E,4,FALSE)</f>
        <v>#N/A</v>
      </c>
      <c r="BA139" s="425" t="e">
        <f ca="1">INDEX(工作表1!G:G, MATCH(表格1_6[[#This Row],[invoice number]]&amp;表格1_6[[#This Row],[invoice number2]],工作表1!G:G, 0))</f>
        <v>#N/A</v>
      </c>
      <c r="BB139" s="423" t="e">
        <f ca="1">VLOOKUP(表格1_6[[#This Row],[PO+ITEM]],工作表1!F:H,2,FALSE)</f>
        <v>#N/A</v>
      </c>
    </row>
    <row r="140" spans="1:54" ht="14.45">
      <c r="A140" s="413">
        <v>139</v>
      </c>
      <c r="B140" s="413" t="s">
        <v>3674</v>
      </c>
      <c r="C140" s="414" t="s">
        <v>17</v>
      </c>
      <c r="D140" s="414" t="s">
        <v>3648</v>
      </c>
      <c r="E140" s="414"/>
      <c r="F140" s="414"/>
      <c r="G140" s="414" t="s">
        <v>2196</v>
      </c>
      <c r="H140" s="414"/>
      <c r="I140" s="414"/>
      <c r="J140" s="414"/>
      <c r="K140" s="414"/>
      <c r="L140" s="415" t="s">
        <v>4189</v>
      </c>
      <c r="M140" s="416" t="s">
        <v>3547</v>
      </c>
      <c r="N140" s="416"/>
      <c r="O140" s="421"/>
      <c r="P140" s="416">
        <v>4590015108</v>
      </c>
      <c r="Q140" s="418">
        <v>45308</v>
      </c>
      <c r="R140" s="419">
        <v>1</v>
      </c>
      <c r="S140" s="458">
        <v>2870.4</v>
      </c>
      <c r="T140" s="420" t="s">
        <v>2156</v>
      </c>
      <c r="U140" s="414" t="s">
        <v>3913</v>
      </c>
      <c r="V140" s="414" t="s">
        <v>3914</v>
      </c>
      <c r="W140" s="415" t="s">
        <v>3915</v>
      </c>
      <c r="X140" s="415"/>
      <c r="Y140" s="421" t="s">
        <v>3652</v>
      </c>
      <c r="Z140" s="421" t="s">
        <v>3652</v>
      </c>
      <c r="AA140" s="416" t="s">
        <v>4185</v>
      </c>
      <c r="AB140" s="414" t="s">
        <v>4190</v>
      </c>
      <c r="AC140" s="421"/>
      <c r="AD140" s="421" t="s">
        <v>4083</v>
      </c>
      <c r="AE140" s="421"/>
      <c r="AF140" s="421">
        <v>90729</v>
      </c>
      <c r="AG140" s="420" t="s">
        <v>4191</v>
      </c>
      <c r="AH140" s="421" t="s">
        <v>3918</v>
      </c>
      <c r="AI140" s="420" t="s">
        <v>3919</v>
      </c>
      <c r="AJ140" s="413">
        <f t="shared" si="4"/>
        <v>4590015108</v>
      </c>
      <c r="AK140" s="423" t="s">
        <v>4192</v>
      </c>
      <c r="AL140" s="424">
        <v>45377</v>
      </c>
      <c r="AM140" s="221">
        <v>2870.4</v>
      </c>
      <c r="AN140" s="424">
        <v>45471</v>
      </c>
      <c r="AO140" s="423"/>
      <c r="AP140" s="413"/>
      <c r="AQ140" s="222"/>
      <c r="AR140" s="424"/>
      <c r="AS140" s="614">
        <f ca="1">表格1_6[[#This Row],[total amount]]/表格1_6[[#This Row],[PO$]]</f>
        <v>1</v>
      </c>
      <c r="AT140" s="223">
        <f ca="1">表格1_6[[#This Row],[invoice amount]]+表格1_6[[#This Row],[invoice amount2]]</f>
        <v>2870.4</v>
      </c>
      <c r="AU140" s="224" t="s">
        <v>3673</v>
      </c>
      <c r="AV140" s="423"/>
      <c r="AW140" s="423" t="e">
        <f ca="1">VLOOKUP(表格1_6[[#This Row],[TI tool ID2]],工作表1!A:A,1,FALSE)</f>
        <v>#N/A</v>
      </c>
      <c r="AX140" s="425" t="e">
        <f ca="1">VLOOKUP(表格1_6[[#This Row],[PO+ITEM]],工作表1!B:E,2,FALSE)</f>
        <v>#N/A</v>
      </c>
      <c r="AY140" s="425" t="e">
        <f ca="1">VLOOKUP(表格1_6[[#This Row],[PO+ITEM]],工作表1!B:E,3,FALSE)</f>
        <v>#N/A</v>
      </c>
      <c r="AZ140" s="423" t="e">
        <f ca="1">VLOOKUP(表格1_6[[#This Row],[PO+ITEM]],工作表1!B:E,4,FALSE)</f>
        <v>#N/A</v>
      </c>
      <c r="BA140" s="425" t="e">
        <f ca="1">INDEX(工作表1!G:G, MATCH(表格1_6[[#This Row],[invoice number]]&amp;表格1_6[[#This Row],[invoice number2]],工作表1!G:G, 0))</f>
        <v>#N/A</v>
      </c>
      <c r="BB140" s="423" t="e">
        <f ca="1">VLOOKUP(表格1_6[[#This Row],[PO+ITEM]],工作表1!F:H,2,FALSE)</f>
        <v>#N/A</v>
      </c>
    </row>
    <row r="141" spans="1:54" ht="14.45">
      <c r="A141" s="413">
        <v>140</v>
      </c>
      <c r="B141" s="413"/>
      <c r="C141" s="414" t="s">
        <v>10</v>
      </c>
      <c r="D141" s="414" t="s">
        <v>3648</v>
      </c>
      <c r="E141" s="414"/>
      <c r="F141" s="414"/>
      <c r="G141" s="414"/>
      <c r="H141" s="414"/>
      <c r="I141" s="414"/>
      <c r="J141" s="414"/>
      <c r="K141" s="414"/>
      <c r="L141" s="415" t="s">
        <v>4193</v>
      </c>
      <c r="M141" s="416" t="s">
        <v>2888</v>
      </c>
      <c r="N141" s="416"/>
      <c r="O141" s="421"/>
      <c r="P141" s="416">
        <v>4590015110</v>
      </c>
      <c r="Q141" s="418">
        <v>45308</v>
      </c>
      <c r="R141" s="419">
        <v>1</v>
      </c>
      <c r="S141" s="349">
        <v>5111.7</v>
      </c>
      <c r="T141" s="420" t="s">
        <v>2156</v>
      </c>
      <c r="U141" s="414" t="s">
        <v>3650</v>
      </c>
      <c r="V141" s="414" t="s">
        <v>3651</v>
      </c>
      <c r="W141" s="417" t="s">
        <v>3649</v>
      </c>
      <c r="X141" s="417"/>
      <c r="Y141" s="421" t="s">
        <v>3652</v>
      </c>
      <c r="Z141" s="421" t="s">
        <v>3652</v>
      </c>
      <c r="AA141" s="416"/>
      <c r="AB141" s="414" t="s">
        <v>4194</v>
      </c>
      <c r="AC141" s="421"/>
      <c r="AD141" s="421"/>
      <c r="AE141" s="421"/>
      <c r="AF141" s="421"/>
      <c r="AG141" s="420" t="s">
        <v>2553</v>
      </c>
      <c r="AH141" s="421" t="s">
        <v>3654</v>
      </c>
      <c r="AI141" s="420"/>
      <c r="AJ141" s="413">
        <f t="shared" si="4"/>
        <v>4590015110</v>
      </c>
      <c r="AK141" s="420" t="s">
        <v>4195</v>
      </c>
      <c r="AL141" s="424">
        <v>45471</v>
      </c>
      <c r="AM141" s="221">
        <v>5111.7</v>
      </c>
      <c r="AN141" s="424">
        <v>45519</v>
      </c>
      <c r="AO141" s="423"/>
      <c r="AP141" s="413"/>
      <c r="AQ141" s="222"/>
      <c r="AR141" s="424"/>
      <c r="AS141" s="614">
        <f ca="1">表格1_6[[#This Row],[total amount]]/表格1_6[[#This Row],[PO$]]</f>
        <v>1</v>
      </c>
      <c r="AT141" s="223">
        <f ca="1">表格1_6[[#This Row],[invoice amount]]+表格1_6[[#This Row],[invoice amount2]]</f>
        <v>5111.7</v>
      </c>
      <c r="AU141" s="224" t="s">
        <v>3657</v>
      </c>
      <c r="AV141" s="423"/>
      <c r="AW141" s="423" t="e">
        <f ca="1">VLOOKUP(表格1_6[[#This Row],[TI tool ID2]],工作表1!A:A,1,FALSE)</f>
        <v>#N/A</v>
      </c>
      <c r="AX141" s="425" t="e">
        <f ca="1">VLOOKUP(表格1_6[[#This Row],[PO+ITEM]],工作表1!B:E,2,FALSE)</f>
        <v>#N/A</v>
      </c>
      <c r="AY141" s="425" t="e">
        <f ca="1">VLOOKUP(表格1_6[[#This Row],[PO+ITEM]],工作表1!B:E,3,FALSE)</f>
        <v>#N/A</v>
      </c>
      <c r="AZ141" s="423" t="e">
        <f ca="1">VLOOKUP(表格1_6[[#This Row],[PO+ITEM]],工作表1!B:E,4,FALSE)</f>
        <v>#N/A</v>
      </c>
      <c r="BA141" s="425" t="e">
        <f ca="1">INDEX(工作表1!G:G, MATCH(表格1_6[[#This Row],[invoice number]]&amp;表格1_6[[#This Row],[invoice number2]],工作表1!G:G, 0))</f>
        <v>#N/A</v>
      </c>
      <c r="BB141" s="423" t="e">
        <f ca="1">VLOOKUP(表格1_6[[#This Row],[PO+ITEM]],工作表1!F:H,2,FALSE)</f>
        <v>#N/A</v>
      </c>
    </row>
    <row r="142" spans="1:54" ht="14.45">
      <c r="A142" s="413">
        <v>141</v>
      </c>
      <c r="B142" s="413" t="s">
        <v>3674</v>
      </c>
      <c r="C142" s="414" t="s">
        <v>17</v>
      </c>
      <c r="D142" s="414" t="s">
        <v>3648</v>
      </c>
      <c r="E142" s="414"/>
      <c r="F142" s="414"/>
      <c r="G142" s="414" t="s">
        <v>2196</v>
      </c>
      <c r="H142" s="414"/>
      <c r="I142" s="414"/>
      <c r="J142" s="414"/>
      <c r="K142" s="414"/>
      <c r="L142" s="415" t="s">
        <v>4196</v>
      </c>
      <c r="M142" s="416" t="s">
        <v>3547</v>
      </c>
      <c r="N142" s="416"/>
      <c r="O142" s="421"/>
      <c r="P142" s="416">
        <v>4590015915</v>
      </c>
      <c r="Q142" s="418">
        <v>45350</v>
      </c>
      <c r="R142" s="334" t="s">
        <v>3907</v>
      </c>
      <c r="S142" s="459">
        <v>11064</v>
      </c>
      <c r="T142" s="420" t="s">
        <v>2156</v>
      </c>
      <c r="U142" s="414" t="s">
        <v>4197</v>
      </c>
      <c r="V142" s="414" t="s">
        <v>4031</v>
      </c>
      <c r="W142" s="415"/>
      <c r="X142" s="415"/>
      <c r="Y142" s="421" t="s">
        <v>3652</v>
      </c>
      <c r="Z142" s="421" t="s">
        <v>3652</v>
      </c>
      <c r="AA142" s="416" t="s">
        <v>4198</v>
      </c>
      <c r="AB142" s="414" t="s">
        <v>4199</v>
      </c>
      <c r="AC142" s="421" t="s">
        <v>3888</v>
      </c>
      <c r="AD142" s="421" t="s">
        <v>4083</v>
      </c>
      <c r="AE142" s="421"/>
      <c r="AF142" s="421">
        <v>73845</v>
      </c>
      <c r="AG142" s="420" t="s">
        <v>3888</v>
      </c>
      <c r="AH142" s="421" t="s">
        <v>2250</v>
      </c>
      <c r="AI142" s="420" t="s">
        <v>3875</v>
      </c>
      <c r="AJ142" s="413">
        <f t="shared" si="4"/>
        <v>4590015915</v>
      </c>
      <c r="AK142" s="423" t="s">
        <v>4200</v>
      </c>
      <c r="AL142" s="424">
        <v>45351</v>
      </c>
      <c r="AM142" s="221">
        <v>11064</v>
      </c>
      <c r="AN142" s="424">
        <v>45519</v>
      </c>
      <c r="AO142" s="423"/>
      <c r="AP142" s="413"/>
      <c r="AQ142" s="222"/>
      <c r="AR142" s="424"/>
      <c r="AS142" s="614">
        <f ca="1">表格1_6[[#This Row],[total amount]]/表格1_6[[#This Row],[PO$]]</f>
        <v>1</v>
      </c>
      <c r="AT142" s="223">
        <f ca="1">表格1_6[[#This Row],[invoice amount]]+表格1_6[[#This Row],[invoice amount2]]</f>
        <v>11064</v>
      </c>
      <c r="AU142" s="224" t="s">
        <v>3657</v>
      </c>
      <c r="AV142" s="423"/>
      <c r="AW142" s="423" t="e">
        <f ca="1">VLOOKUP(表格1_6[[#This Row],[TI tool ID2]],工作表1!A:A,1,FALSE)</f>
        <v>#N/A</v>
      </c>
      <c r="AX142" s="425" t="e">
        <f ca="1">VLOOKUP(表格1_6[[#This Row],[PO+ITEM]],工作表1!B:E,2,FALSE)</f>
        <v>#N/A</v>
      </c>
      <c r="AY142" s="425" t="e">
        <f ca="1">VLOOKUP(表格1_6[[#This Row],[PO+ITEM]],工作表1!B:E,3,FALSE)</f>
        <v>#N/A</v>
      </c>
      <c r="AZ142" s="423" t="e">
        <f ca="1">VLOOKUP(表格1_6[[#This Row],[PO+ITEM]],工作表1!B:E,4,FALSE)</f>
        <v>#N/A</v>
      </c>
      <c r="BA142" s="425" t="e">
        <f ca="1">INDEX(工作表1!G:G, MATCH(表格1_6[[#This Row],[invoice number]]&amp;表格1_6[[#This Row],[invoice number2]],工作表1!G:G, 0))</f>
        <v>#N/A</v>
      </c>
      <c r="BB142" s="423" t="e">
        <f ca="1">VLOOKUP(表格1_6[[#This Row],[PO+ITEM]],工作表1!F:H,2,FALSE)</f>
        <v>#N/A</v>
      </c>
    </row>
    <row r="143" spans="1:54" ht="14.45">
      <c r="A143" s="413">
        <v>142</v>
      </c>
      <c r="B143" s="413" t="s">
        <v>3674</v>
      </c>
      <c r="C143" s="414" t="s">
        <v>17</v>
      </c>
      <c r="D143" s="414" t="s">
        <v>3648</v>
      </c>
      <c r="E143" s="414"/>
      <c r="F143" s="414"/>
      <c r="G143" s="414" t="s">
        <v>2196</v>
      </c>
      <c r="H143" s="414"/>
      <c r="I143" s="414"/>
      <c r="J143" s="414"/>
      <c r="K143" s="414"/>
      <c r="L143" s="415" t="s">
        <v>4201</v>
      </c>
      <c r="M143" s="416" t="s">
        <v>3547</v>
      </c>
      <c r="N143" s="416"/>
      <c r="O143" s="421"/>
      <c r="P143" s="416">
        <v>4590015917</v>
      </c>
      <c r="Q143" s="418">
        <v>45350</v>
      </c>
      <c r="R143" s="334" t="s">
        <v>3907</v>
      </c>
      <c r="S143" s="459">
        <v>11064</v>
      </c>
      <c r="T143" s="420" t="s">
        <v>2156</v>
      </c>
      <c r="U143" s="414" t="s">
        <v>4202</v>
      </c>
      <c r="V143" s="414" t="s">
        <v>4031</v>
      </c>
      <c r="W143" s="415"/>
      <c r="X143" s="415"/>
      <c r="Y143" s="421" t="s">
        <v>3652</v>
      </c>
      <c r="Z143" s="421" t="s">
        <v>3652</v>
      </c>
      <c r="AA143" s="416" t="s">
        <v>4198</v>
      </c>
      <c r="AB143" s="414" t="s">
        <v>4203</v>
      </c>
      <c r="AC143" s="421" t="s">
        <v>3892</v>
      </c>
      <c r="AD143" s="421" t="s">
        <v>4083</v>
      </c>
      <c r="AE143" s="421"/>
      <c r="AF143" s="421">
        <v>73848</v>
      </c>
      <c r="AG143" s="420" t="s">
        <v>3892</v>
      </c>
      <c r="AH143" s="421" t="s">
        <v>2250</v>
      </c>
      <c r="AI143" s="420" t="s">
        <v>3875</v>
      </c>
      <c r="AJ143" s="413">
        <f t="shared" si="4"/>
        <v>4590015917</v>
      </c>
      <c r="AK143" s="425" t="s">
        <v>4204</v>
      </c>
      <c r="AL143" s="424">
        <v>45534</v>
      </c>
      <c r="AM143" s="221">
        <v>11064</v>
      </c>
      <c r="AN143" s="424" t="s">
        <v>3805</v>
      </c>
      <c r="AO143" s="423"/>
      <c r="AP143" s="413"/>
      <c r="AQ143" s="222"/>
      <c r="AR143" s="424"/>
      <c r="AS143" s="614">
        <f ca="1">表格1_6[[#This Row],[total amount]]/表格1_6[[#This Row],[PO$]]</f>
        <v>1</v>
      </c>
      <c r="AT143" s="223">
        <f ca="1">表格1_6[[#This Row],[invoice amount]]+表格1_6[[#This Row],[invoice amount2]]</f>
        <v>11064</v>
      </c>
      <c r="AU143" s="224" t="s">
        <v>3752</v>
      </c>
      <c r="AV143" s="423"/>
      <c r="AW143" s="423" t="e">
        <f ca="1">VLOOKUP(表格1_6[[#This Row],[TI tool ID2]],工作表1!A:A,1,FALSE)</f>
        <v>#N/A</v>
      </c>
      <c r="AX143" s="425" t="e">
        <f ca="1">VLOOKUP(表格1_6[[#This Row],[PO+ITEM]],工作表1!B:E,2,FALSE)</f>
        <v>#N/A</v>
      </c>
      <c r="AY143" s="425" t="e">
        <f ca="1">VLOOKUP(表格1_6[[#This Row],[PO+ITEM]],工作表1!B:E,3,FALSE)</f>
        <v>#N/A</v>
      </c>
      <c r="AZ143" s="423" t="e">
        <f ca="1">VLOOKUP(表格1_6[[#This Row],[PO+ITEM]],工作表1!B:E,4,FALSE)</f>
        <v>#N/A</v>
      </c>
      <c r="BA143" s="425" t="e">
        <f ca="1">INDEX(工作表1!G:G, MATCH(表格1_6[[#This Row],[invoice number]]&amp;表格1_6[[#This Row],[invoice number2]],工作表1!G:G, 0))</f>
        <v>#N/A</v>
      </c>
      <c r="BB143" s="423" t="e">
        <f ca="1">VLOOKUP(表格1_6[[#This Row],[PO+ITEM]],工作表1!F:H,2,FALSE)</f>
        <v>#N/A</v>
      </c>
    </row>
    <row r="144" spans="1:54" ht="14.45">
      <c r="A144" s="413">
        <v>143</v>
      </c>
      <c r="B144" s="413" t="s">
        <v>3674</v>
      </c>
      <c r="C144" s="414" t="s">
        <v>17</v>
      </c>
      <c r="D144" s="414" t="s">
        <v>3648</v>
      </c>
      <c r="E144" s="414"/>
      <c r="F144" s="414"/>
      <c r="G144" s="414" t="s">
        <v>2196</v>
      </c>
      <c r="H144" s="414"/>
      <c r="I144" s="414"/>
      <c r="J144" s="414"/>
      <c r="K144" s="414"/>
      <c r="L144" s="415" t="s">
        <v>4205</v>
      </c>
      <c r="M144" s="416" t="s">
        <v>3547</v>
      </c>
      <c r="N144" s="416"/>
      <c r="O144" s="421"/>
      <c r="P144" s="416">
        <v>4590015918</v>
      </c>
      <c r="Q144" s="418">
        <v>45350</v>
      </c>
      <c r="R144" s="334" t="s">
        <v>3907</v>
      </c>
      <c r="S144" s="459">
        <v>11064</v>
      </c>
      <c r="T144" s="420" t="s">
        <v>2156</v>
      </c>
      <c r="U144" s="414" t="s">
        <v>4206</v>
      </c>
      <c r="V144" s="414" t="s">
        <v>4031</v>
      </c>
      <c r="W144" s="415"/>
      <c r="X144" s="415"/>
      <c r="Y144" s="421" t="s">
        <v>3652</v>
      </c>
      <c r="Z144" s="421" t="s">
        <v>3652</v>
      </c>
      <c r="AA144" s="416" t="s">
        <v>4198</v>
      </c>
      <c r="AB144" s="414" t="s">
        <v>4207</v>
      </c>
      <c r="AC144" s="443" t="s">
        <v>3874</v>
      </c>
      <c r="AD144" s="421" t="s">
        <v>4083</v>
      </c>
      <c r="AE144" s="421"/>
      <c r="AF144" s="421">
        <v>90875</v>
      </c>
      <c r="AG144" s="420" t="s">
        <v>3874</v>
      </c>
      <c r="AH144" s="421" t="s">
        <v>2250</v>
      </c>
      <c r="AI144" s="420" t="s">
        <v>3875</v>
      </c>
      <c r="AJ144" s="413">
        <f t="shared" si="4"/>
        <v>4590015918</v>
      </c>
      <c r="AK144" s="423" t="s">
        <v>4208</v>
      </c>
      <c r="AL144" s="424">
        <v>45422</v>
      </c>
      <c r="AM144" s="221">
        <v>11064</v>
      </c>
      <c r="AN144" s="424">
        <v>45519</v>
      </c>
      <c r="AO144" s="423"/>
      <c r="AP144" s="413"/>
      <c r="AQ144" s="222"/>
      <c r="AR144" s="424"/>
      <c r="AS144" s="614">
        <f ca="1">表格1_6[[#This Row],[total amount]]/表格1_6[[#This Row],[PO$]]</f>
        <v>1</v>
      </c>
      <c r="AT144" s="223">
        <f ca="1">表格1_6[[#This Row],[invoice amount]]+表格1_6[[#This Row],[invoice amount2]]</f>
        <v>11064</v>
      </c>
      <c r="AU144" s="224" t="s">
        <v>3657</v>
      </c>
      <c r="AV144" s="423"/>
      <c r="AW144" s="423" t="e">
        <f ca="1">VLOOKUP(表格1_6[[#This Row],[TI tool ID2]],工作表1!A:A,1,FALSE)</f>
        <v>#N/A</v>
      </c>
      <c r="AX144" s="425" t="e">
        <f ca="1">VLOOKUP(表格1_6[[#This Row],[PO+ITEM]],工作表1!B:E,2,FALSE)</f>
        <v>#N/A</v>
      </c>
      <c r="AY144" s="425" t="e">
        <f ca="1">VLOOKUP(表格1_6[[#This Row],[PO+ITEM]],工作表1!B:E,3,FALSE)</f>
        <v>#N/A</v>
      </c>
      <c r="AZ144" s="423" t="e">
        <f ca="1">VLOOKUP(表格1_6[[#This Row],[PO+ITEM]],工作表1!B:E,4,FALSE)</f>
        <v>#N/A</v>
      </c>
      <c r="BA144" s="425" t="e">
        <f ca="1">INDEX(工作表1!G:G, MATCH(表格1_6[[#This Row],[invoice number]]&amp;表格1_6[[#This Row],[invoice number2]],工作表1!G:G, 0))</f>
        <v>#N/A</v>
      </c>
      <c r="BB144" s="423" t="e">
        <f ca="1">VLOOKUP(表格1_6[[#This Row],[PO+ITEM]],工作表1!F:H,2,FALSE)</f>
        <v>#N/A</v>
      </c>
    </row>
    <row r="145" spans="1:54" ht="14.45">
      <c r="A145" s="413">
        <v>144</v>
      </c>
      <c r="B145" s="413"/>
      <c r="C145" s="414" t="s">
        <v>10</v>
      </c>
      <c r="D145" s="414" t="s">
        <v>3648</v>
      </c>
      <c r="E145" s="414"/>
      <c r="F145" s="414"/>
      <c r="G145" s="414" t="s">
        <v>2196</v>
      </c>
      <c r="H145" s="414"/>
      <c r="I145" s="414"/>
      <c r="J145" s="414"/>
      <c r="K145" s="414"/>
      <c r="L145" s="415" t="s">
        <v>4209</v>
      </c>
      <c r="M145" s="416" t="s">
        <v>2888</v>
      </c>
      <c r="N145" s="416"/>
      <c r="O145" s="421"/>
      <c r="P145" s="416">
        <v>4590016044</v>
      </c>
      <c r="Q145" s="418">
        <v>45356</v>
      </c>
      <c r="R145" s="419">
        <v>1</v>
      </c>
      <c r="S145" s="459">
        <v>3379.2</v>
      </c>
      <c r="T145" s="420" t="s">
        <v>2156</v>
      </c>
      <c r="U145" s="414" t="s">
        <v>4210</v>
      </c>
      <c r="V145" s="414" t="s">
        <v>3651</v>
      </c>
      <c r="W145" s="415"/>
      <c r="X145" s="415"/>
      <c r="Y145" s="421" t="s">
        <v>3652</v>
      </c>
      <c r="Z145" s="421" t="s">
        <v>3652</v>
      </c>
      <c r="AA145" s="416"/>
      <c r="AB145" s="414" t="s">
        <v>4211</v>
      </c>
      <c r="AC145" s="421"/>
      <c r="AD145" s="421"/>
      <c r="AE145" s="421"/>
      <c r="AF145" s="421"/>
      <c r="AG145" s="420"/>
      <c r="AH145" s="414" t="s">
        <v>10</v>
      </c>
      <c r="AI145" s="421"/>
      <c r="AJ145" s="413">
        <f t="shared" si="4"/>
        <v>4590016044</v>
      </c>
      <c r="AK145" s="423"/>
      <c r="AL145" s="413"/>
      <c r="AM145" s="221"/>
      <c r="AN145" s="424"/>
      <c r="AO145" s="423"/>
      <c r="AP145" s="413"/>
      <c r="AQ145" s="222"/>
      <c r="AR145" s="424"/>
      <c r="AS145" s="614">
        <f ca="1">表格1_6[[#This Row],[total amount]]/表格1_6[[#This Row],[PO$]]</f>
        <v>0</v>
      </c>
      <c r="AT145" s="223">
        <f ca="1">表格1_6[[#This Row],[invoice amount]]+表格1_6[[#This Row],[invoice amount2]]</f>
        <v>0</v>
      </c>
      <c r="AU145" s="224"/>
      <c r="AV145" s="423"/>
      <c r="AW145" s="423" t="e">
        <f ca="1">VLOOKUP(表格1_6[[#This Row],[TI tool ID2]],工作表1!A:A,1,FALSE)</f>
        <v>#N/A</v>
      </c>
      <c r="AX145" s="425" t="e">
        <f ca="1">VLOOKUP(表格1_6[[#This Row],[PO+ITEM]],工作表1!B:E,2,FALSE)</f>
        <v>#N/A</v>
      </c>
      <c r="AY145" s="425" t="e">
        <f ca="1">VLOOKUP(表格1_6[[#This Row],[PO+ITEM]],工作表1!B:E,3,FALSE)</f>
        <v>#N/A</v>
      </c>
      <c r="AZ145" s="423" t="e">
        <f ca="1">VLOOKUP(表格1_6[[#This Row],[PO+ITEM]],工作表1!B:E,4,FALSE)</f>
        <v>#N/A</v>
      </c>
      <c r="BA145" s="425" t="e">
        <f ca="1">INDEX(工作表1!G:G, MATCH(表格1_6[[#This Row],[invoice number]]&amp;表格1_6[[#This Row],[invoice number2]],工作表1!G:G, 0))</f>
        <v>#N/A</v>
      </c>
      <c r="BB145" s="423" t="e">
        <f ca="1">VLOOKUP(表格1_6[[#This Row],[PO+ITEM]],工作表1!F:H,2,FALSE)</f>
        <v>#N/A</v>
      </c>
    </row>
    <row r="146" spans="1:54">
      <c r="A146" s="413">
        <v>145</v>
      </c>
      <c r="B146" s="413" t="s">
        <v>3674</v>
      </c>
      <c r="C146" s="414" t="s">
        <v>16</v>
      </c>
      <c r="D146" s="414" t="s">
        <v>3648</v>
      </c>
      <c r="E146" s="414"/>
      <c r="F146" s="414"/>
      <c r="G146" s="414"/>
      <c r="H146" s="414"/>
      <c r="I146" s="414"/>
      <c r="J146" s="414"/>
      <c r="K146" s="414"/>
      <c r="L146" s="415" t="s">
        <v>4212</v>
      </c>
      <c r="M146" s="416" t="s">
        <v>2206</v>
      </c>
      <c r="N146" s="416" t="s">
        <v>2999</v>
      </c>
      <c r="O146" s="417"/>
      <c r="P146" s="416">
        <v>4590004396</v>
      </c>
      <c r="Q146" s="418">
        <v>44801</v>
      </c>
      <c r="R146" s="419">
        <v>1</v>
      </c>
      <c r="S146" s="458">
        <v>7832.76</v>
      </c>
      <c r="T146" s="420" t="s">
        <v>2156</v>
      </c>
      <c r="U146" s="414" t="s">
        <v>4004</v>
      </c>
      <c r="V146" s="414" t="s">
        <v>4005</v>
      </c>
      <c r="W146" s="417" t="s">
        <v>4006</v>
      </c>
      <c r="X146" s="417"/>
      <c r="Y146" s="421" t="s">
        <v>3652</v>
      </c>
      <c r="Z146" s="421" t="s">
        <v>3652</v>
      </c>
      <c r="AA146" s="416" t="s">
        <v>4213</v>
      </c>
      <c r="AB146" s="414" t="s">
        <v>3664</v>
      </c>
      <c r="AC146" s="422"/>
      <c r="AD146" s="421"/>
      <c r="AE146" s="420"/>
      <c r="AF146" s="421">
        <v>90197</v>
      </c>
      <c r="AG146" s="420" t="s">
        <v>4214</v>
      </c>
      <c r="AH146" s="421" t="s">
        <v>4215</v>
      </c>
      <c r="AI146" s="420" t="s">
        <v>846</v>
      </c>
      <c r="AJ146" s="413" t="str">
        <f t="shared" ref="AJ146:AJ154" si="5">P146&amp;"_00"&amp;R146</f>
        <v>4590004396_001</v>
      </c>
      <c r="AK146" s="423" t="s">
        <v>4216</v>
      </c>
      <c r="AL146" s="424">
        <v>45133</v>
      </c>
      <c r="AM146" s="221">
        <v>3133.1040000000003</v>
      </c>
      <c r="AN146" s="264">
        <v>45212</v>
      </c>
      <c r="AO146" s="423"/>
      <c r="AP146" s="413"/>
      <c r="AQ146" s="222"/>
      <c r="AR146" s="424"/>
      <c r="AS146" s="614">
        <f ca="1">表格1_6[[#This Row],[total amount]]/表格1_6[[#This Row],[PO$]]</f>
        <v>0.4</v>
      </c>
      <c r="AT146" s="223">
        <f ca="1">表格1_6[[#This Row],[invoice amount]]+表格1_6[[#This Row],[invoice amount2]]</f>
        <v>3133.1040000000003</v>
      </c>
      <c r="AU146" s="224" t="s">
        <v>3673</v>
      </c>
      <c r="AV146" s="423"/>
      <c r="AW146" s="423" t="e">
        <f ca="1">VLOOKUP(表格1_6[[#This Row],[TI tool ID2]],工作表1!A:A,1,FALSE)</f>
        <v>#N/A</v>
      </c>
      <c r="AX146" s="425" t="e">
        <f ca="1">VLOOKUP(表格1_6[[#This Row],[PO+ITEM]],工作表1!B:E,2,FALSE)</f>
        <v>#N/A</v>
      </c>
      <c r="AY146" s="425" t="e">
        <f ca="1">VLOOKUP(表格1_6[[#This Row],[PO+ITEM]],工作表1!B:E,3,FALSE)</f>
        <v>#N/A</v>
      </c>
      <c r="AZ146" s="423" t="e">
        <f ca="1">VLOOKUP(表格1_6[[#This Row],[PO+ITEM]],工作表1!B:E,4,FALSE)</f>
        <v>#N/A</v>
      </c>
      <c r="BA146" s="425" t="e">
        <f ca="1">INDEX(工作表1!G:G, MATCH(表格1_6[[#This Row],[invoice number]]&amp;表格1_6[[#This Row],[invoice number2]],工作表1!G:G, 0))</f>
        <v>#N/A</v>
      </c>
      <c r="BB146" s="423" t="e">
        <f ca="1">VLOOKUP(表格1_6[[#This Row],[PO+ITEM]],工作表1!F:H,2,FALSE)</f>
        <v>#N/A</v>
      </c>
    </row>
    <row r="147" spans="1:54" ht="15.6">
      <c r="A147" s="413">
        <v>146</v>
      </c>
      <c r="B147" s="413" t="s">
        <v>3674</v>
      </c>
      <c r="C147" s="414" t="s">
        <v>16</v>
      </c>
      <c r="D147" s="414" t="s">
        <v>3648</v>
      </c>
      <c r="E147" s="414"/>
      <c r="F147" s="414"/>
      <c r="G147" s="414"/>
      <c r="H147" s="414"/>
      <c r="I147" s="414"/>
      <c r="J147" s="414"/>
      <c r="K147" s="414"/>
      <c r="L147" s="415" t="s">
        <v>4217</v>
      </c>
      <c r="M147" s="416" t="s">
        <v>4003</v>
      </c>
      <c r="N147" s="416" t="s">
        <v>2999</v>
      </c>
      <c r="O147" s="417"/>
      <c r="P147" s="416">
        <v>4590004396</v>
      </c>
      <c r="Q147" s="418">
        <v>44801</v>
      </c>
      <c r="R147" s="419">
        <v>2</v>
      </c>
      <c r="S147" s="458">
        <v>9866.19</v>
      </c>
      <c r="T147" s="420" t="s">
        <v>2156</v>
      </c>
      <c r="U147" s="414" t="s">
        <v>4004</v>
      </c>
      <c r="V147" s="414" t="s">
        <v>4005</v>
      </c>
      <c r="W147" s="417" t="s">
        <v>4006</v>
      </c>
      <c r="X147" s="417"/>
      <c r="Y147" s="421" t="s">
        <v>3652</v>
      </c>
      <c r="Z147" s="421" t="s">
        <v>3652</v>
      </c>
      <c r="AA147" s="416" t="s">
        <v>4218</v>
      </c>
      <c r="AB147" s="414" t="s">
        <v>3664</v>
      </c>
      <c r="AC147" s="422"/>
      <c r="AD147" s="421"/>
      <c r="AE147" s="420"/>
      <c r="AF147" s="421">
        <v>90374</v>
      </c>
      <c r="AG147" s="420" t="s">
        <v>4219</v>
      </c>
      <c r="AH147" s="421" t="s">
        <v>4215</v>
      </c>
      <c r="AI147" s="420" t="s">
        <v>36</v>
      </c>
      <c r="AJ147" s="413" t="str">
        <f t="shared" si="5"/>
        <v>4590004396_002</v>
      </c>
      <c r="AK147" s="423" t="s">
        <v>4220</v>
      </c>
      <c r="AL147" s="424">
        <v>45133</v>
      </c>
      <c r="AM147" s="221">
        <v>3946.4760000000006</v>
      </c>
      <c r="AN147" s="244">
        <v>45198</v>
      </c>
      <c r="AO147" s="423" t="s">
        <v>4221</v>
      </c>
      <c r="AP147" s="424">
        <v>45351</v>
      </c>
      <c r="AQ147" s="222">
        <v>5919.7139999999999</v>
      </c>
      <c r="AR147" s="244">
        <v>45412</v>
      </c>
      <c r="AS147" s="614">
        <f ca="1">表格1_6[[#This Row],[total amount]]/表格1_6[[#This Row],[PO$]]</f>
        <v>1</v>
      </c>
      <c r="AT147" s="223">
        <f ca="1">表格1_6[[#This Row],[invoice amount]]+表格1_6[[#This Row],[invoice amount2]]</f>
        <v>9866.19</v>
      </c>
      <c r="AU147" s="224" t="s">
        <v>3673</v>
      </c>
      <c r="AV147" s="423"/>
      <c r="AW147" s="423" t="e">
        <f ca="1">VLOOKUP(表格1_6[[#This Row],[TI tool ID2]],工作表1!A:A,1,FALSE)</f>
        <v>#N/A</v>
      </c>
      <c r="AX147" s="425" t="e">
        <f ca="1">VLOOKUP(表格1_6[[#This Row],[PO+ITEM]],工作表1!B:E,2,FALSE)</f>
        <v>#N/A</v>
      </c>
      <c r="AY147" s="425" t="e">
        <f ca="1">VLOOKUP(表格1_6[[#This Row],[PO+ITEM]],工作表1!B:E,3,FALSE)</f>
        <v>#N/A</v>
      </c>
      <c r="AZ147" s="423" t="e">
        <f ca="1">VLOOKUP(表格1_6[[#This Row],[PO+ITEM]],工作表1!B:E,4,FALSE)</f>
        <v>#N/A</v>
      </c>
      <c r="BA147" s="425" t="e">
        <f ca="1">INDEX(工作表1!G:G, MATCH(表格1_6[[#This Row],[invoice number]]&amp;表格1_6[[#This Row],[invoice number2]],工作表1!G:G, 0))</f>
        <v>#N/A</v>
      </c>
      <c r="BB147" s="423" t="e">
        <f ca="1">VLOOKUP(表格1_6[[#This Row],[PO+ITEM]],工作表1!F:H,2,FALSE)</f>
        <v>#N/A</v>
      </c>
    </row>
    <row r="148" spans="1:54" ht="15.6">
      <c r="A148" s="413">
        <v>147</v>
      </c>
      <c r="B148" s="413" t="s">
        <v>3674</v>
      </c>
      <c r="C148" s="414" t="s">
        <v>16</v>
      </c>
      <c r="D148" s="414" t="s">
        <v>3648</v>
      </c>
      <c r="E148" s="414"/>
      <c r="F148" s="414"/>
      <c r="G148" s="414"/>
      <c r="H148" s="414"/>
      <c r="I148" s="414"/>
      <c r="J148" s="414"/>
      <c r="K148" s="414"/>
      <c r="L148" s="415" t="s">
        <v>4222</v>
      </c>
      <c r="M148" s="416" t="s">
        <v>4003</v>
      </c>
      <c r="N148" s="416" t="s">
        <v>2999</v>
      </c>
      <c r="O148" s="417"/>
      <c r="P148" s="416">
        <v>4590004396</v>
      </c>
      <c r="Q148" s="418">
        <v>44801</v>
      </c>
      <c r="R148" s="419">
        <v>3</v>
      </c>
      <c r="S148" s="458">
        <v>9866.19</v>
      </c>
      <c r="T148" s="420" t="s">
        <v>2156</v>
      </c>
      <c r="U148" s="414" t="s">
        <v>4004</v>
      </c>
      <c r="V148" s="414" t="s">
        <v>4005</v>
      </c>
      <c r="W148" s="417" t="s">
        <v>4006</v>
      </c>
      <c r="X148" s="417"/>
      <c r="Y148" s="421" t="s">
        <v>3652</v>
      </c>
      <c r="Z148" s="421" t="s">
        <v>3652</v>
      </c>
      <c r="AA148" s="416" t="s">
        <v>4213</v>
      </c>
      <c r="AB148" s="414" t="s">
        <v>3664</v>
      </c>
      <c r="AC148" s="422"/>
      <c r="AD148" s="421"/>
      <c r="AE148" s="420"/>
      <c r="AF148" s="421">
        <v>90373</v>
      </c>
      <c r="AG148" s="420" t="s">
        <v>4223</v>
      </c>
      <c r="AH148" s="421" t="s">
        <v>4215</v>
      </c>
      <c r="AI148" s="420" t="s">
        <v>36</v>
      </c>
      <c r="AJ148" s="413" t="str">
        <f t="shared" si="5"/>
        <v>4590004396_003</v>
      </c>
      <c r="AK148" s="423" t="s">
        <v>4224</v>
      </c>
      <c r="AL148" s="424">
        <v>45133</v>
      </c>
      <c r="AM148" s="221">
        <v>3946.4760000000006</v>
      </c>
      <c r="AN148" s="244">
        <v>45198</v>
      </c>
      <c r="AO148" s="423"/>
      <c r="AP148" s="413"/>
      <c r="AQ148" s="222"/>
      <c r="AR148" s="424"/>
      <c r="AS148" s="614">
        <f ca="1">表格1_6[[#This Row],[total amount]]/表格1_6[[#This Row],[PO$]]</f>
        <v>0.4</v>
      </c>
      <c r="AT148" s="223">
        <f ca="1">表格1_6[[#This Row],[invoice amount]]+表格1_6[[#This Row],[invoice amount2]]</f>
        <v>3946.4760000000006</v>
      </c>
      <c r="AU148" s="224" t="s">
        <v>3673</v>
      </c>
      <c r="AV148" s="423"/>
      <c r="AW148" s="423" t="e">
        <f ca="1">VLOOKUP(表格1_6[[#This Row],[TI tool ID2]],工作表1!A:A,1,FALSE)</f>
        <v>#N/A</v>
      </c>
      <c r="AX148" s="425" t="e">
        <f ca="1">VLOOKUP(表格1_6[[#This Row],[PO+ITEM]],工作表1!B:E,2,FALSE)</f>
        <v>#N/A</v>
      </c>
      <c r="AY148" s="425" t="e">
        <f ca="1">VLOOKUP(表格1_6[[#This Row],[PO+ITEM]],工作表1!B:E,3,FALSE)</f>
        <v>#N/A</v>
      </c>
      <c r="AZ148" s="423" t="e">
        <f ca="1">VLOOKUP(表格1_6[[#This Row],[PO+ITEM]],工作表1!B:E,4,FALSE)</f>
        <v>#N/A</v>
      </c>
      <c r="BA148" s="425" t="e">
        <f ca="1">INDEX(工作表1!G:G, MATCH(表格1_6[[#This Row],[invoice number]]&amp;表格1_6[[#This Row],[invoice number2]],工作表1!G:G, 0))</f>
        <v>#N/A</v>
      </c>
      <c r="BB148" s="423" t="e">
        <f ca="1">VLOOKUP(表格1_6[[#This Row],[PO+ITEM]],工作表1!F:H,2,FALSE)</f>
        <v>#N/A</v>
      </c>
    </row>
    <row r="149" spans="1:54" ht="15.6">
      <c r="A149" s="413">
        <v>148</v>
      </c>
      <c r="B149" s="413" t="s">
        <v>3674</v>
      </c>
      <c r="C149" s="414" t="s">
        <v>16</v>
      </c>
      <c r="D149" s="414" t="s">
        <v>3648</v>
      </c>
      <c r="E149" s="414"/>
      <c r="F149" s="414"/>
      <c r="G149" s="414"/>
      <c r="H149" s="414"/>
      <c r="I149" s="414"/>
      <c r="J149" s="414"/>
      <c r="K149" s="414"/>
      <c r="L149" s="415" t="s">
        <v>4225</v>
      </c>
      <c r="M149" s="416" t="s">
        <v>4003</v>
      </c>
      <c r="N149" s="416" t="s">
        <v>2999</v>
      </c>
      <c r="O149" s="417"/>
      <c r="P149" s="416">
        <v>4590004396</v>
      </c>
      <c r="Q149" s="418">
        <v>44801</v>
      </c>
      <c r="R149" s="419">
        <v>4</v>
      </c>
      <c r="S149" s="458">
        <v>9866.19</v>
      </c>
      <c r="T149" s="420" t="s">
        <v>2156</v>
      </c>
      <c r="U149" s="414" t="s">
        <v>4004</v>
      </c>
      <c r="V149" s="414" t="s">
        <v>4005</v>
      </c>
      <c r="W149" s="417" t="s">
        <v>4006</v>
      </c>
      <c r="X149" s="417"/>
      <c r="Y149" s="421" t="s">
        <v>3652</v>
      </c>
      <c r="Z149" s="421" t="s">
        <v>3652</v>
      </c>
      <c r="AA149" s="416" t="s">
        <v>4213</v>
      </c>
      <c r="AB149" s="414" t="s">
        <v>3664</v>
      </c>
      <c r="AC149" s="422"/>
      <c r="AD149" s="421"/>
      <c r="AE149" s="420"/>
      <c r="AF149" s="421">
        <v>90454</v>
      </c>
      <c r="AG149" s="420" t="s">
        <v>4226</v>
      </c>
      <c r="AH149" s="421" t="s">
        <v>4215</v>
      </c>
      <c r="AI149" s="420" t="s">
        <v>36</v>
      </c>
      <c r="AJ149" s="413" t="str">
        <f t="shared" si="5"/>
        <v>4590004396_004</v>
      </c>
      <c r="AK149" s="423" t="s">
        <v>4227</v>
      </c>
      <c r="AL149" s="424">
        <v>45133</v>
      </c>
      <c r="AM149" s="221">
        <v>3946.4760000000006</v>
      </c>
      <c r="AN149" s="244">
        <v>45198</v>
      </c>
      <c r="AO149" s="423"/>
      <c r="AP149" s="413"/>
      <c r="AQ149" s="222"/>
      <c r="AR149" s="424"/>
      <c r="AS149" s="614">
        <f ca="1">表格1_6[[#This Row],[total amount]]/表格1_6[[#This Row],[PO$]]</f>
        <v>0.4</v>
      </c>
      <c r="AT149" s="223">
        <f ca="1">表格1_6[[#This Row],[invoice amount]]+表格1_6[[#This Row],[invoice amount2]]</f>
        <v>3946.4760000000006</v>
      </c>
      <c r="AU149" s="224" t="s">
        <v>3673</v>
      </c>
      <c r="AV149" s="423"/>
      <c r="AW149" s="423" t="e">
        <f ca="1">VLOOKUP(表格1_6[[#This Row],[TI tool ID2]],工作表1!A:A,1,FALSE)</f>
        <v>#N/A</v>
      </c>
      <c r="AX149" s="425" t="e">
        <f ca="1">VLOOKUP(表格1_6[[#This Row],[PO+ITEM]],工作表1!B:E,2,FALSE)</f>
        <v>#N/A</v>
      </c>
      <c r="AY149" s="425" t="e">
        <f ca="1">VLOOKUP(表格1_6[[#This Row],[PO+ITEM]],工作表1!B:E,3,FALSE)</f>
        <v>#N/A</v>
      </c>
      <c r="AZ149" s="423" t="e">
        <f ca="1">VLOOKUP(表格1_6[[#This Row],[PO+ITEM]],工作表1!B:E,4,FALSE)</f>
        <v>#N/A</v>
      </c>
      <c r="BA149" s="425" t="e">
        <f ca="1">INDEX(工作表1!G:G, MATCH(表格1_6[[#This Row],[invoice number]]&amp;表格1_6[[#This Row],[invoice number2]],工作表1!G:G, 0))</f>
        <v>#N/A</v>
      </c>
      <c r="BB149" s="423" t="e">
        <f ca="1">VLOOKUP(表格1_6[[#This Row],[PO+ITEM]],工作表1!F:H,2,FALSE)</f>
        <v>#N/A</v>
      </c>
    </row>
    <row r="150" spans="1:54" ht="15.6">
      <c r="A150" s="413">
        <v>149</v>
      </c>
      <c r="B150" s="413" t="s">
        <v>3659</v>
      </c>
      <c r="C150" s="414" t="s">
        <v>16</v>
      </c>
      <c r="D150" s="414" t="s">
        <v>3648</v>
      </c>
      <c r="E150" s="414"/>
      <c r="F150" s="414"/>
      <c r="G150" s="414"/>
      <c r="H150" s="414"/>
      <c r="I150" s="414"/>
      <c r="J150" s="414"/>
      <c r="K150" s="414"/>
      <c r="L150" s="415" t="s">
        <v>4228</v>
      </c>
      <c r="M150" s="416" t="s">
        <v>4003</v>
      </c>
      <c r="N150" s="416" t="s">
        <v>2999</v>
      </c>
      <c r="O150" s="417"/>
      <c r="P150" s="416">
        <v>4590004396</v>
      </c>
      <c r="Q150" s="418">
        <v>44801</v>
      </c>
      <c r="R150" s="419">
        <v>5</v>
      </c>
      <c r="S150" s="458">
        <v>9866.19</v>
      </c>
      <c r="T150" s="420" t="s">
        <v>2156</v>
      </c>
      <c r="U150" s="414" t="s">
        <v>4004</v>
      </c>
      <c r="V150" s="414" t="s">
        <v>4005</v>
      </c>
      <c r="W150" s="417" t="s">
        <v>4006</v>
      </c>
      <c r="X150" s="417"/>
      <c r="Y150" s="421" t="s">
        <v>3652</v>
      </c>
      <c r="Z150" s="421" t="s">
        <v>3652</v>
      </c>
      <c r="AA150" s="416" t="s">
        <v>4218</v>
      </c>
      <c r="AB150" s="414" t="s">
        <v>3664</v>
      </c>
      <c r="AC150" s="422"/>
      <c r="AD150" s="421"/>
      <c r="AE150" s="420"/>
      <c r="AF150" s="421">
        <v>90455</v>
      </c>
      <c r="AG150" s="420" t="s">
        <v>4229</v>
      </c>
      <c r="AH150" s="421" t="s">
        <v>4215</v>
      </c>
      <c r="AI150" s="420" t="s">
        <v>36</v>
      </c>
      <c r="AJ150" s="413" t="str">
        <f t="shared" si="5"/>
        <v>4590004396_005</v>
      </c>
      <c r="AK150" s="423" t="s">
        <v>4230</v>
      </c>
      <c r="AL150" s="424">
        <v>45133</v>
      </c>
      <c r="AM150" s="221">
        <v>3946.4760000000006</v>
      </c>
      <c r="AN150" s="244">
        <v>45198</v>
      </c>
      <c r="AO150" s="423"/>
      <c r="AP150" s="413"/>
      <c r="AQ150" s="222"/>
      <c r="AR150" s="424"/>
      <c r="AS150" s="614">
        <f ca="1">表格1_6[[#This Row],[total amount]]/表格1_6[[#This Row],[PO$]]</f>
        <v>0.4</v>
      </c>
      <c r="AT150" s="223">
        <f ca="1">表格1_6[[#This Row],[invoice amount]]+表格1_6[[#This Row],[invoice amount2]]</f>
        <v>3946.4760000000006</v>
      </c>
      <c r="AU150" s="224" t="s">
        <v>3673</v>
      </c>
      <c r="AV150" s="423"/>
      <c r="AW150" s="423" t="e">
        <f ca="1">VLOOKUP(表格1_6[[#This Row],[TI tool ID2]],工作表1!A:A,1,FALSE)</f>
        <v>#N/A</v>
      </c>
      <c r="AX150" s="425" t="e">
        <f ca="1">VLOOKUP(表格1_6[[#This Row],[PO+ITEM]],工作表1!B:E,2,FALSE)</f>
        <v>#N/A</v>
      </c>
      <c r="AY150" s="425" t="e">
        <f ca="1">VLOOKUP(表格1_6[[#This Row],[PO+ITEM]],工作表1!B:E,3,FALSE)</f>
        <v>#N/A</v>
      </c>
      <c r="AZ150" s="423" t="e">
        <f ca="1">VLOOKUP(表格1_6[[#This Row],[PO+ITEM]],工作表1!B:E,4,FALSE)</f>
        <v>#N/A</v>
      </c>
      <c r="BA150" s="425" t="e">
        <f ca="1">INDEX(工作表1!G:G, MATCH(表格1_6[[#This Row],[invoice number]]&amp;表格1_6[[#This Row],[invoice number2]],工作表1!G:G, 0))</f>
        <v>#N/A</v>
      </c>
      <c r="BB150" s="423" t="e">
        <f ca="1">VLOOKUP(表格1_6[[#This Row],[PO+ITEM]],工作表1!F:H,2,FALSE)</f>
        <v>#N/A</v>
      </c>
    </row>
    <row r="151" spans="1:54" ht="15.6">
      <c r="A151" s="413">
        <v>150</v>
      </c>
      <c r="B151" s="413" t="s">
        <v>3674</v>
      </c>
      <c r="C151" s="414" t="s">
        <v>16</v>
      </c>
      <c r="D151" s="414" t="s">
        <v>3648</v>
      </c>
      <c r="E151" s="414"/>
      <c r="F151" s="414"/>
      <c r="G151" s="414"/>
      <c r="H151" s="414"/>
      <c r="I151" s="414"/>
      <c r="J151" s="414"/>
      <c r="K151" s="414"/>
      <c r="L151" s="415" t="s">
        <v>4231</v>
      </c>
      <c r="M151" s="416" t="s">
        <v>4003</v>
      </c>
      <c r="N151" s="416" t="s">
        <v>2999</v>
      </c>
      <c r="O151" s="417"/>
      <c r="P151" s="416">
        <v>4590004396</v>
      </c>
      <c r="Q151" s="418">
        <v>44801</v>
      </c>
      <c r="R151" s="419">
        <v>6</v>
      </c>
      <c r="S151" s="458">
        <v>1403.87</v>
      </c>
      <c r="T151" s="420" t="s">
        <v>2156</v>
      </c>
      <c r="U151" s="414" t="s">
        <v>4004</v>
      </c>
      <c r="V151" s="414" t="s">
        <v>4005</v>
      </c>
      <c r="W151" s="417" t="s">
        <v>4006</v>
      </c>
      <c r="X151" s="417"/>
      <c r="Y151" s="421" t="s">
        <v>3652</v>
      </c>
      <c r="Z151" s="421" t="s">
        <v>3652</v>
      </c>
      <c r="AA151" s="416" t="s">
        <v>4218</v>
      </c>
      <c r="AB151" s="414" t="s">
        <v>3664</v>
      </c>
      <c r="AC151" s="422"/>
      <c r="AD151" s="421"/>
      <c r="AE151" s="420"/>
      <c r="AF151" s="421">
        <v>90380</v>
      </c>
      <c r="AG151" s="420" t="s">
        <v>4232</v>
      </c>
      <c r="AH151" s="421" t="s">
        <v>4215</v>
      </c>
      <c r="AI151" s="420" t="s">
        <v>36</v>
      </c>
      <c r="AJ151" s="413" t="str">
        <f t="shared" si="5"/>
        <v>4590004396_006</v>
      </c>
      <c r="AK151" s="423" t="s">
        <v>4233</v>
      </c>
      <c r="AL151" s="424">
        <v>45079</v>
      </c>
      <c r="AM151" s="221">
        <v>561.548</v>
      </c>
      <c r="AN151" s="228">
        <v>45121</v>
      </c>
      <c r="AO151" s="423" t="s">
        <v>4234</v>
      </c>
      <c r="AP151" s="424">
        <v>45496</v>
      </c>
      <c r="AQ151" s="222">
        <v>842.32</v>
      </c>
      <c r="AR151" s="424" t="s">
        <v>3805</v>
      </c>
      <c r="AS151" s="614">
        <f ca="1">表格1_6[[#This Row],[total amount]]/表格1_6[[#This Row],[PO$]]</f>
        <v>0.99999857536666503</v>
      </c>
      <c r="AT151" s="223">
        <f ca="1">表格1_6[[#This Row],[invoice amount]]+表格1_6[[#This Row],[invoice amount2]]</f>
        <v>1403.8679999999999</v>
      </c>
      <c r="AU151" s="224" t="s">
        <v>4235</v>
      </c>
      <c r="AV151" s="423"/>
      <c r="AW151" s="423" t="e">
        <f ca="1">VLOOKUP(表格1_6[[#This Row],[TI tool ID2]],工作表1!A:A,1,FALSE)</f>
        <v>#N/A</v>
      </c>
      <c r="AX151" s="425" t="e">
        <f ca="1">VLOOKUP(表格1_6[[#This Row],[PO+ITEM]],工作表1!B:E,2,FALSE)</f>
        <v>#N/A</v>
      </c>
      <c r="AY151" s="425" t="e">
        <f ca="1">VLOOKUP(表格1_6[[#This Row],[PO+ITEM]],工作表1!B:E,3,FALSE)</f>
        <v>#N/A</v>
      </c>
      <c r="AZ151" s="423" t="e">
        <f ca="1">VLOOKUP(表格1_6[[#This Row],[PO+ITEM]],工作表1!B:E,4,FALSE)</f>
        <v>#N/A</v>
      </c>
      <c r="BA151" s="425" t="e">
        <f ca="1">INDEX(工作表1!G:G, MATCH(表格1_6[[#This Row],[invoice number]]&amp;表格1_6[[#This Row],[invoice number2]],工作表1!G:G, 0))</f>
        <v>#N/A</v>
      </c>
      <c r="BB151" s="423" t="e">
        <f ca="1">VLOOKUP(表格1_6[[#This Row],[PO+ITEM]],工作表1!F:H,2,FALSE)</f>
        <v>#N/A</v>
      </c>
    </row>
    <row r="152" spans="1:54" ht="15.6">
      <c r="A152" s="413">
        <v>151</v>
      </c>
      <c r="B152" s="413" t="s">
        <v>3659</v>
      </c>
      <c r="C152" s="414" t="s">
        <v>16</v>
      </c>
      <c r="D152" s="414" t="s">
        <v>3648</v>
      </c>
      <c r="E152" s="414"/>
      <c r="F152" s="414"/>
      <c r="G152" s="414"/>
      <c r="H152" s="414"/>
      <c r="I152" s="414"/>
      <c r="J152" s="414"/>
      <c r="K152" s="414"/>
      <c r="L152" s="415" t="s">
        <v>4236</v>
      </c>
      <c r="M152" s="416" t="s">
        <v>4003</v>
      </c>
      <c r="N152" s="416" t="s">
        <v>2999</v>
      </c>
      <c r="O152" s="417"/>
      <c r="P152" s="416">
        <v>4590004396</v>
      </c>
      <c r="Q152" s="418">
        <v>44801</v>
      </c>
      <c r="R152" s="419">
        <v>7</v>
      </c>
      <c r="S152" s="458">
        <v>1403.87</v>
      </c>
      <c r="T152" s="420" t="s">
        <v>2156</v>
      </c>
      <c r="U152" s="414" t="s">
        <v>4004</v>
      </c>
      <c r="V152" s="414" t="s">
        <v>4005</v>
      </c>
      <c r="W152" s="417" t="s">
        <v>4006</v>
      </c>
      <c r="X152" s="417"/>
      <c r="Y152" s="421" t="s">
        <v>3652</v>
      </c>
      <c r="Z152" s="421" t="s">
        <v>3652</v>
      </c>
      <c r="AA152" s="416" t="s">
        <v>4218</v>
      </c>
      <c r="AB152" s="414" t="s">
        <v>3664</v>
      </c>
      <c r="AC152" s="422"/>
      <c r="AD152" s="421"/>
      <c r="AE152" s="420"/>
      <c r="AF152" s="421">
        <v>90379</v>
      </c>
      <c r="AG152" s="420" t="s">
        <v>4237</v>
      </c>
      <c r="AH152" s="421" t="s">
        <v>4215</v>
      </c>
      <c r="AI152" s="420" t="s">
        <v>36</v>
      </c>
      <c r="AJ152" s="413" t="str">
        <f t="shared" si="5"/>
        <v>4590004396_007</v>
      </c>
      <c r="AK152" s="423" t="s">
        <v>4238</v>
      </c>
      <c r="AL152" s="424">
        <v>45079</v>
      </c>
      <c r="AM152" s="221">
        <v>561.548</v>
      </c>
      <c r="AN152" s="228">
        <v>45121</v>
      </c>
      <c r="AO152" s="423"/>
      <c r="AP152" s="413"/>
      <c r="AQ152" s="222"/>
      <c r="AR152" s="424"/>
      <c r="AS152" s="614">
        <f ca="1">表格1_6[[#This Row],[total amount]]/表格1_6[[#This Row],[PO$]]</f>
        <v>0.4</v>
      </c>
      <c r="AT152" s="223">
        <f ca="1">表格1_6[[#This Row],[invoice amount]]+表格1_6[[#This Row],[invoice amount2]]</f>
        <v>561.548</v>
      </c>
      <c r="AU152" s="224" t="s">
        <v>3673</v>
      </c>
      <c r="AV152" s="423"/>
      <c r="AW152" s="423" t="e">
        <f ca="1">VLOOKUP(表格1_6[[#This Row],[TI tool ID2]],工作表1!A:A,1,FALSE)</f>
        <v>#N/A</v>
      </c>
      <c r="AX152" s="425" t="e">
        <f ca="1">VLOOKUP(表格1_6[[#This Row],[PO+ITEM]],工作表1!B:E,2,FALSE)</f>
        <v>#N/A</v>
      </c>
      <c r="AY152" s="425" t="e">
        <f ca="1">VLOOKUP(表格1_6[[#This Row],[PO+ITEM]],工作表1!B:E,3,FALSE)</f>
        <v>#N/A</v>
      </c>
      <c r="AZ152" s="423" t="e">
        <f ca="1">VLOOKUP(表格1_6[[#This Row],[PO+ITEM]],工作表1!B:E,4,FALSE)</f>
        <v>#N/A</v>
      </c>
      <c r="BA152" s="425" t="e">
        <f ca="1">INDEX(工作表1!G:G, MATCH(表格1_6[[#This Row],[invoice number]]&amp;表格1_6[[#This Row],[invoice number2]],工作表1!G:G, 0))</f>
        <v>#N/A</v>
      </c>
      <c r="BB152" s="423" t="e">
        <f ca="1">VLOOKUP(表格1_6[[#This Row],[PO+ITEM]],工作表1!F:H,2,FALSE)</f>
        <v>#N/A</v>
      </c>
    </row>
    <row r="153" spans="1:54" ht="15.6">
      <c r="A153" s="413">
        <v>152</v>
      </c>
      <c r="B153" s="413" t="s">
        <v>3674</v>
      </c>
      <c r="C153" s="414" t="s">
        <v>16</v>
      </c>
      <c r="D153" s="414" t="s">
        <v>3648</v>
      </c>
      <c r="E153" s="414"/>
      <c r="F153" s="414"/>
      <c r="G153" s="414"/>
      <c r="H153" s="414"/>
      <c r="I153" s="414"/>
      <c r="J153" s="414"/>
      <c r="K153" s="414"/>
      <c r="L153" s="415" t="s">
        <v>4239</v>
      </c>
      <c r="M153" s="416" t="s">
        <v>4003</v>
      </c>
      <c r="N153" s="416" t="s">
        <v>2999</v>
      </c>
      <c r="O153" s="417"/>
      <c r="P153" s="416">
        <v>4590004396</v>
      </c>
      <c r="Q153" s="418">
        <v>44801</v>
      </c>
      <c r="R153" s="419">
        <v>8</v>
      </c>
      <c r="S153" s="458">
        <v>2807.74</v>
      </c>
      <c r="T153" s="420" t="s">
        <v>2156</v>
      </c>
      <c r="U153" s="414" t="s">
        <v>4004</v>
      </c>
      <c r="V153" s="414" t="s">
        <v>4005</v>
      </c>
      <c r="W153" s="417" t="s">
        <v>4006</v>
      </c>
      <c r="X153" s="417"/>
      <c r="Y153" s="421" t="s">
        <v>3652</v>
      </c>
      <c r="Z153" s="421" t="s">
        <v>3652</v>
      </c>
      <c r="AA153" s="416" t="s">
        <v>4218</v>
      </c>
      <c r="AB153" s="414" t="s">
        <v>3664</v>
      </c>
      <c r="AC153" s="422"/>
      <c r="AD153" s="421"/>
      <c r="AE153" s="420"/>
      <c r="AF153" s="421">
        <v>90199</v>
      </c>
      <c r="AG153" s="420" t="s">
        <v>4240</v>
      </c>
      <c r="AH153" s="421" t="s">
        <v>4215</v>
      </c>
      <c r="AI153" s="420" t="s">
        <v>36</v>
      </c>
      <c r="AJ153" s="413" t="str">
        <f t="shared" si="5"/>
        <v>4590004396_008</v>
      </c>
      <c r="AK153" s="423" t="s">
        <v>4241</v>
      </c>
      <c r="AL153" s="424">
        <v>45079</v>
      </c>
      <c r="AM153" s="221">
        <v>1123.096</v>
      </c>
      <c r="AN153" s="228">
        <v>45121</v>
      </c>
      <c r="AO153" s="423" t="s">
        <v>4242</v>
      </c>
      <c r="AP153" s="424">
        <v>45496</v>
      </c>
      <c r="AQ153" s="222">
        <v>1684.64</v>
      </c>
      <c r="AR153" s="424" t="s">
        <v>3805</v>
      </c>
      <c r="AS153" s="614">
        <f ca="1">表格1_6[[#This Row],[total amount]]/表格1_6[[#This Row],[PO$]]</f>
        <v>0.99999857536666503</v>
      </c>
      <c r="AT153" s="223">
        <f ca="1">表格1_6[[#This Row],[invoice amount]]+表格1_6[[#This Row],[invoice amount2]]</f>
        <v>2807.7359999999999</v>
      </c>
      <c r="AU153" s="224" t="s">
        <v>4235</v>
      </c>
      <c r="AV153" s="423"/>
      <c r="AW153" s="423" t="e">
        <f ca="1">VLOOKUP(表格1_6[[#This Row],[TI tool ID2]],工作表1!A:A,1,FALSE)</f>
        <v>#N/A</v>
      </c>
      <c r="AX153" s="425" t="e">
        <f ca="1">VLOOKUP(表格1_6[[#This Row],[PO+ITEM]],工作表1!B:E,2,FALSE)</f>
        <v>#N/A</v>
      </c>
      <c r="AY153" s="425" t="e">
        <f ca="1">VLOOKUP(表格1_6[[#This Row],[PO+ITEM]],工作表1!B:E,3,FALSE)</f>
        <v>#N/A</v>
      </c>
      <c r="AZ153" s="423" t="e">
        <f ca="1">VLOOKUP(表格1_6[[#This Row],[PO+ITEM]],工作表1!B:E,4,FALSE)</f>
        <v>#N/A</v>
      </c>
      <c r="BA153" s="425" t="e">
        <f ca="1">INDEX(工作表1!G:G, MATCH(表格1_6[[#This Row],[invoice number]]&amp;表格1_6[[#This Row],[invoice number2]],工作表1!G:G, 0))</f>
        <v>#N/A</v>
      </c>
      <c r="BB153" s="423" t="e">
        <f ca="1">VLOOKUP(表格1_6[[#This Row],[PO+ITEM]],工作表1!F:H,2,FALSE)</f>
        <v>#N/A</v>
      </c>
    </row>
    <row r="154" spans="1:54" ht="15.6">
      <c r="A154" s="413">
        <v>153</v>
      </c>
      <c r="B154" s="413" t="s">
        <v>3674</v>
      </c>
      <c r="C154" s="414" t="s">
        <v>16</v>
      </c>
      <c r="D154" s="414" t="s">
        <v>3648</v>
      </c>
      <c r="E154" s="414"/>
      <c r="F154" s="414"/>
      <c r="G154" s="414"/>
      <c r="H154" s="414"/>
      <c r="I154" s="414"/>
      <c r="J154" s="414"/>
      <c r="K154" s="414"/>
      <c r="L154" s="415" t="s">
        <v>4243</v>
      </c>
      <c r="M154" s="416" t="s">
        <v>4003</v>
      </c>
      <c r="N154" s="416" t="s">
        <v>2999</v>
      </c>
      <c r="O154" s="417"/>
      <c r="P154" s="416">
        <v>4590004396</v>
      </c>
      <c r="Q154" s="418">
        <v>44801</v>
      </c>
      <c r="R154" s="419">
        <v>9</v>
      </c>
      <c r="S154" s="458">
        <v>1403.87</v>
      </c>
      <c r="T154" s="420" t="s">
        <v>2156</v>
      </c>
      <c r="U154" s="414" t="s">
        <v>4004</v>
      </c>
      <c r="V154" s="414" t="s">
        <v>4005</v>
      </c>
      <c r="W154" s="417" t="s">
        <v>4006</v>
      </c>
      <c r="X154" s="417"/>
      <c r="Y154" s="421" t="s">
        <v>3652</v>
      </c>
      <c r="Z154" s="421" t="s">
        <v>3652</v>
      </c>
      <c r="AA154" s="416" t="s">
        <v>4218</v>
      </c>
      <c r="AB154" s="414" t="s">
        <v>3664</v>
      </c>
      <c r="AC154" s="422"/>
      <c r="AD154" s="421"/>
      <c r="AE154" s="420"/>
      <c r="AF154" s="421">
        <v>90200</v>
      </c>
      <c r="AG154" s="420" t="s">
        <v>4244</v>
      </c>
      <c r="AH154" s="421" t="s">
        <v>4215</v>
      </c>
      <c r="AI154" s="420" t="s">
        <v>36</v>
      </c>
      <c r="AJ154" s="413" t="str">
        <f t="shared" si="5"/>
        <v>4590004396_009</v>
      </c>
      <c r="AK154" s="423" t="s">
        <v>4245</v>
      </c>
      <c r="AL154" s="424">
        <v>45079</v>
      </c>
      <c r="AM154" s="221">
        <v>561.548</v>
      </c>
      <c r="AN154" s="228">
        <v>45121</v>
      </c>
      <c r="AO154" s="423" t="s">
        <v>4246</v>
      </c>
      <c r="AP154" s="424">
        <v>45496</v>
      </c>
      <c r="AQ154" s="222">
        <v>842.32</v>
      </c>
      <c r="AR154" s="424" t="s">
        <v>3805</v>
      </c>
      <c r="AS154" s="614">
        <f ca="1">表格1_6[[#This Row],[total amount]]/表格1_6[[#This Row],[PO$]]</f>
        <v>0.99999857536666503</v>
      </c>
      <c r="AT154" s="223">
        <f ca="1">表格1_6[[#This Row],[invoice amount]]+表格1_6[[#This Row],[invoice amount2]]</f>
        <v>1403.8679999999999</v>
      </c>
      <c r="AU154" s="224" t="s">
        <v>4235</v>
      </c>
      <c r="AV154" s="423"/>
      <c r="AW154" s="423" t="e">
        <f ca="1">VLOOKUP(表格1_6[[#This Row],[TI tool ID2]],工作表1!A:A,1,FALSE)</f>
        <v>#N/A</v>
      </c>
      <c r="AX154" s="425" t="e">
        <f ca="1">VLOOKUP(表格1_6[[#This Row],[PO+ITEM]],工作表1!B:E,2,FALSE)</f>
        <v>#N/A</v>
      </c>
      <c r="AY154" s="425" t="e">
        <f ca="1">VLOOKUP(表格1_6[[#This Row],[PO+ITEM]],工作表1!B:E,3,FALSE)</f>
        <v>#N/A</v>
      </c>
      <c r="AZ154" s="423" t="e">
        <f ca="1">VLOOKUP(表格1_6[[#This Row],[PO+ITEM]],工作表1!B:E,4,FALSE)</f>
        <v>#N/A</v>
      </c>
      <c r="BA154" s="425" t="e">
        <f ca="1">INDEX(工作表1!G:G, MATCH(表格1_6[[#This Row],[invoice number]]&amp;表格1_6[[#This Row],[invoice number2]],工作表1!G:G, 0))</f>
        <v>#N/A</v>
      </c>
      <c r="BB154" s="423" t="e">
        <f ca="1">VLOOKUP(表格1_6[[#This Row],[PO+ITEM]],工作表1!F:H,2,FALSE)</f>
        <v>#N/A</v>
      </c>
    </row>
    <row r="155" spans="1:54" ht="15.6">
      <c r="A155" s="413">
        <v>154</v>
      </c>
      <c r="B155" s="413" t="s">
        <v>3674</v>
      </c>
      <c r="C155" s="414" t="s">
        <v>16</v>
      </c>
      <c r="D155" s="414" t="s">
        <v>3648</v>
      </c>
      <c r="E155" s="414"/>
      <c r="F155" s="414"/>
      <c r="G155" s="414"/>
      <c r="H155" s="414"/>
      <c r="I155" s="414"/>
      <c r="J155" s="414"/>
      <c r="K155" s="414"/>
      <c r="L155" s="415" t="s">
        <v>4247</v>
      </c>
      <c r="M155" s="416" t="s">
        <v>4003</v>
      </c>
      <c r="N155" s="416" t="s">
        <v>2999</v>
      </c>
      <c r="O155" s="417"/>
      <c r="P155" s="416">
        <v>4590004396</v>
      </c>
      <c r="Q155" s="418">
        <v>44801</v>
      </c>
      <c r="R155" s="419">
        <v>10</v>
      </c>
      <c r="S155" s="458">
        <v>1403.87</v>
      </c>
      <c r="T155" s="420" t="s">
        <v>2156</v>
      </c>
      <c r="U155" s="414" t="s">
        <v>4004</v>
      </c>
      <c r="V155" s="414" t="s">
        <v>4005</v>
      </c>
      <c r="W155" s="417" t="s">
        <v>4006</v>
      </c>
      <c r="X155" s="417"/>
      <c r="Y155" s="421" t="s">
        <v>3652</v>
      </c>
      <c r="Z155" s="421" t="s">
        <v>3652</v>
      </c>
      <c r="AA155" s="416" t="s">
        <v>4213</v>
      </c>
      <c r="AB155" s="414" t="s">
        <v>3664</v>
      </c>
      <c r="AC155" s="422"/>
      <c r="AD155" s="421"/>
      <c r="AE155" s="420"/>
      <c r="AF155" s="421">
        <v>90202</v>
      </c>
      <c r="AG155" s="420" t="s">
        <v>4248</v>
      </c>
      <c r="AH155" s="421" t="s">
        <v>4215</v>
      </c>
      <c r="AI155" s="420" t="s">
        <v>36</v>
      </c>
      <c r="AJ155" s="413" t="str">
        <f t="shared" ref="AJ155:AJ160" si="6">P155&amp;"_0"&amp;R155</f>
        <v>4590004396_010</v>
      </c>
      <c r="AK155" s="423" t="s">
        <v>4249</v>
      </c>
      <c r="AL155" s="424">
        <v>45079</v>
      </c>
      <c r="AM155" s="221">
        <v>561.548</v>
      </c>
      <c r="AN155" s="228">
        <v>45121</v>
      </c>
      <c r="AO155" s="423"/>
      <c r="AP155" s="413"/>
      <c r="AQ155" s="222"/>
      <c r="AR155" s="424"/>
      <c r="AS155" s="614">
        <f ca="1">表格1_6[[#This Row],[total amount]]/表格1_6[[#This Row],[PO$]]</f>
        <v>0.4</v>
      </c>
      <c r="AT155" s="223">
        <f ca="1">表格1_6[[#This Row],[invoice amount]]+表格1_6[[#This Row],[invoice amount2]]</f>
        <v>561.548</v>
      </c>
      <c r="AU155" s="224" t="s">
        <v>3673</v>
      </c>
      <c r="AV155" s="423"/>
      <c r="AW155" s="423" t="e">
        <f ca="1">VLOOKUP(表格1_6[[#This Row],[TI tool ID2]],工作表1!A:A,1,FALSE)</f>
        <v>#N/A</v>
      </c>
      <c r="AX155" s="425" t="e">
        <f ca="1">VLOOKUP(表格1_6[[#This Row],[PO+ITEM]],工作表1!B:E,2,FALSE)</f>
        <v>#N/A</v>
      </c>
      <c r="AY155" s="425" t="e">
        <f ca="1">VLOOKUP(表格1_6[[#This Row],[PO+ITEM]],工作表1!B:E,3,FALSE)</f>
        <v>#N/A</v>
      </c>
      <c r="AZ155" s="423" t="e">
        <f ca="1">VLOOKUP(表格1_6[[#This Row],[PO+ITEM]],工作表1!B:E,4,FALSE)</f>
        <v>#N/A</v>
      </c>
      <c r="BA155" s="425" t="e">
        <f ca="1">INDEX(工作表1!G:G, MATCH(表格1_6[[#This Row],[invoice number]]&amp;表格1_6[[#This Row],[invoice number2]],工作表1!G:G, 0))</f>
        <v>#N/A</v>
      </c>
      <c r="BB155" s="423" t="e">
        <f ca="1">VLOOKUP(表格1_6[[#This Row],[PO+ITEM]],工作表1!F:H,2,FALSE)</f>
        <v>#N/A</v>
      </c>
    </row>
    <row r="156" spans="1:54" ht="14.45">
      <c r="A156" s="413">
        <v>155</v>
      </c>
      <c r="B156" s="413" t="s">
        <v>3674</v>
      </c>
      <c r="C156" s="414" t="s">
        <v>16</v>
      </c>
      <c r="D156" s="414" t="s">
        <v>3648</v>
      </c>
      <c r="E156" s="414"/>
      <c r="F156" s="414"/>
      <c r="G156" s="414"/>
      <c r="H156" s="414"/>
      <c r="I156" s="414"/>
      <c r="J156" s="414"/>
      <c r="K156" s="414"/>
      <c r="L156" s="415" t="s">
        <v>4250</v>
      </c>
      <c r="M156" s="416" t="s">
        <v>4003</v>
      </c>
      <c r="N156" s="416" t="s">
        <v>2999</v>
      </c>
      <c r="O156" s="417"/>
      <c r="P156" s="416">
        <v>4590004396</v>
      </c>
      <c r="Q156" s="418">
        <v>44801</v>
      </c>
      <c r="R156" s="419">
        <v>11</v>
      </c>
      <c r="S156" s="458">
        <v>1403.87</v>
      </c>
      <c r="T156" s="420" t="s">
        <v>2156</v>
      </c>
      <c r="U156" s="414" t="s">
        <v>4004</v>
      </c>
      <c r="V156" s="414" t="s">
        <v>4005</v>
      </c>
      <c r="W156" s="417" t="s">
        <v>4006</v>
      </c>
      <c r="X156" s="417"/>
      <c r="Y156" s="421" t="s">
        <v>3652</v>
      </c>
      <c r="Z156" s="421" t="s">
        <v>3652</v>
      </c>
      <c r="AA156" s="416" t="s">
        <v>4218</v>
      </c>
      <c r="AB156" s="414" t="s">
        <v>3664</v>
      </c>
      <c r="AC156" s="422"/>
      <c r="AD156" s="421"/>
      <c r="AE156" s="420"/>
      <c r="AF156" s="421">
        <v>90381</v>
      </c>
      <c r="AG156" s="420" t="s">
        <v>4251</v>
      </c>
      <c r="AH156" s="421" t="s">
        <v>4215</v>
      </c>
      <c r="AI156" s="420" t="s">
        <v>36</v>
      </c>
      <c r="AJ156" s="413" t="str">
        <f t="shared" si="6"/>
        <v>4590004396_011</v>
      </c>
      <c r="AK156" s="423" t="s">
        <v>4252</v>
      </c>
      <c r="AL156" s="424">
        <v>45496</v>
      </c>
      <c r="AM156" s="222">
        <v>1403.87</v>
      </c>
      <c r="AN156" s="424" t="s">
        <v>3805</v>
      </c>
      <c r="AO156" s="423"/>
      <c r="AP156" s="424"/>
      <c r="AQ156" s="222"/>
      <c r="AR156" s="424"/>
      <c r="AS156" s="614">
        <f ca="1">表格1_6[[#This Row],[total amount]]/表格1_6[[#This Row],[PO$]]</f>
        <v>1</v>
      </c>
      <c r="AT156" s="223">
        <f ca="1">表格1_6[[#This Row],[invoice amount]]+表格1_6[[#This Row],[invoice amount2]]</f>
        <v>1403.87</v>
      </c>
      <c r="AU156" s="224" t="s">
        <v>3752</v>
      </c>
      <c r="AV156" s="423"/>
      <c r="AW156" s="423" t="e">
        <f ca="1">VLOOKUP(表格1_6[[#This Row],[TI tool ID2]],工作表1!A:A,1,FALSE)</f>
        <v>#N/A</v>
      </c>
      <c r="AX156" s="425" t="e">
        <f ca="1">VLOOKUP(表格1_6[[#This Row],[PO+ITEM]],工作表1!B:E,2,FALSE)</f>
        <v>#N/A</v>
      </c>
      <c r="AY156" s="425" t="e">
        <f ca="1">VLOOKUP(表格1_6[[#This Row],[PO+ITEM]],工作表1!B:E,3,FALSE)</f>
        <v>#N/A</v>
      </c>
      <c r="AZ156" s="423" t="e">
        <f ca="1">VLOOKUP(表格1_6[[#This Row],[PO+ITEM]],工作表1!B:E,4,FALSE)</f>
        <v>#N/A</v>
      </c>
      <c r="BA156" s="425" t="e">
        <f ca="1">INDEX(工作表1!G:G, MATCH(表格1_6[[#This Row],[invoice number]]&amp;表格1_6[[#This Row],[invoice number2]],工作表1!G:G, 0))</f>
        <v>#N/A</v>
      </c>
      <c r="BB156" s="423" t="e">
        <f ca="1">VLOOKUP(表格1_6[[#This Row],[PO+ITEM]],工作表1!F:H,2,FALSE)</f>
        <v>#N/A</v>
      </c>
    </row>
    <row r="157" spans="1:54" ht="14.45">
      <c r="A157" s="413">
        <v>156</v>
      </c>
      <c r="B157" s="413" t="s">
        <v>3674</v>
      </c>
      <c r="C157" s="414" t="s">
        <v>16</v>
      </c>
      <c r="D157" s="414" t="s">
        <v>3648</v>
      </c>
      <c r="E157" s="414"/>
      <c r="F157" s="414"/>
      <c r="G157" s="414"/>
      <c r="H157" s="414"/>
      <c r="I157" s="414"/>
      <c r="J157" s="414"/>
      <c r="K157" s="414"/>
      <c r="L157" s="415" t="s">
        <v>4253</v>
      </c>
      <c r="M157" s="416" t="s">
        <v>4003</v>
      </c>
      <c r="N157" s="416" t="s">
        <v>2999</v>
      </c>
      <c r="O157" s="417"/>
      <c r="P157" s="416">
        <v>4590004396</v>
      </c>
      <c r="Q157" s="418">
        <v>44801</v>
      </c>
      <c r="R157" s="419">
        <v>12</v>
      </c>
      <c r="S157" s="458">
        <v>1403.87</v>
      </c>
      <c r="T157" s="420" t="s">
        <v>2156</v>
      </c>
      <c r="U157" s="414" t="s">
        <v>4004</v>
      </c>
      <c r="V157" s="414" t="s">
        <v>4005</v>
      </c>
      <c r="W157" s="417" t="s">
        <v>4006</v>
      </c>
      <c r="X157" s="417"/>
      <c r="Y157" s="421" t="s">
        <v>3652</v>
      </c>
      <c r="Z157" s="421" t="s">
        <v>3652</v>
      </c>
      <c r="AA157" s="416" t="s">
        <v>4218</v>
      </c>
      <c r="AB157" s="414" t="s">
        <v>3664</v>
      </c>
      <c r="AC157" s="422"/>
      <c r="AD157" s="421"/>
      <c r="AE157" s="420"/>
      <c r="AF157" s="421">
        <v>90378</v>
      </c>
      <c r="AG157" s="420" t="s">
        <v>4254</v>
      </c>
      <c r="AH157" s="421" t="s">
        <v>4215</v>
      </c>
      <c r="AI157" s="420" t="s">
        <v>36</v>
      </c>
      <c r="AJ157" s="413" t="str">
        <f t="shared" si="6"/>
        <v>4590004396_012</v>
      </c>
      <c r="AK157" s="423" t="s">
        <v>4255</v>
      </c>
      <c r="AL157" s="424">
        <v>45496</v>
      </c>
      <c r="AM157" s="222">
        <v>1403.87</v>
      </c>
      <c r="AN157" s="424" t="s">
        <v>3805</v>
      </c>
      <c r="AO157" s="423"/>
      <c r="AP157" s="424"/>
      <c r="AQ157" s="222"/>
      <c r="AR157" s="424"/>
      <c r="AS157" s="614">
        <f ca="1">表格1_6[[#This Row],[total amount]]/表格1_6[[#This Row],[PO$]]</f>
        <v>1</v>
      </c>
      <c r="AT157" s="223">
        <f ca="1">表格1_6[[#This Row],[invoice amount]]+表格1_6[[#This Row],[invoice amount2]]</f>
        <v>1403.87</v>
      </c>
      <c r="AU157" s="224" t="s">
        <v>3752</v>
      </c>
      <c r="AV157" s="423"/>
      <c r="AW157" s="423" t="e">
        <f ca="1">VLOOKUP(表格1_6[[#This Row],[TI tool ID2]],工作表1!A:A,1,FALSE)</f>
        <v>#N/A</v>
      </c>
      <c r="AX157" s="425" t="e">
        <f ca="1">VLOOKUP(表格1_6[[#This Row],[PO+ITEM]],工作表1!B:E,2,FALSE)</f>
        <v>#N/A</v>
      </c>
      <c r="AY157" s="425" t="e">
        <f ca="1">VLOOKUP(表格1_6[[#This Row],[PO+ITEM]],工作表1!B:E,3,FALSE)</f>
        <v>#N/A</v>
      </c>
      <c r="AZ157" s="423" t="e">
        <f ca="1">VLOOKUP(表格1_6[[#This Row],[PO+ITEM]],工作表1!B:E,4,FALSE)</f>
        <v>#N/A</v>
      </c>
      <c r="BA157" s="425" t="e">
        <f ca="1">INDEX(工作表1!G:G, MATCH(表格1_6[[#This Row],[invoice number]]&amp;表格1_6[[#This Row],[invoice number2]],工作表1!G:G, 0))</f>
        <v>#N/A</v>
      </c>
      <c r="BB157" s="423" t="e">
        <f ca="1">VLOOKUP(表格1_6[[#This Row],[PO+ITEM]],工作表1!F:H,2,FALSE)</f>
        <v>#N/A</v>
      </c>
    </row>
    <row r="158" spans="1:54" ht="15.6">
      <c r="A158" s="413">
        <v>157</v>
      </c>
      <c r="B158" s="413" t="s">
        <v>3674</v>
      </c>
      <c r="C158" s="414" t="s">
        <v>16</v>
      </c>
      <c r="D158" s="414" t="s">
        <v>3648</v>
      </c>
      <c r="E158" s="414"/>
      <c r="F158" s="414"/>
      <c r="G158" s="414"/>
      <c r="H158" s="414"/>
      <c r="I158" s="414"/>
      <c r="J158" s="414"/>
      <c r="K158" s="414"/>
      <c r="L158" s="415" t="s">
        <v>4256</v>
      </c>
      <c r="M158" s="416" t="s">
        <v>4003</v>
      </c>
      <c r="N158" s="416" t="s">
        <v>2999</v>
      </c>
      <c r="O158" s="417"/>
      <c r="P158" s="416">
        <v>4590004396</v>
      </c>
      <c r="Q158" s="418">
        <v>44801</v>
      </c>
      <c r="R158" s="419">
        <v>13</v>
      </c>
      <c r="S158" s="458">
        <v>1403.87</v>
      </c>
      <c r="T158" s="420" t="s">
        <v>2156</v>
      </c>
      <c r="U158" s="414" t="s">
        <v>4004</v>
      </c>
      <c r="V158" s="414" t="s">
        <v>4005</v>
      </c>
      <c r="W158" s="417" t="s">
        <v>4006</v>
      </c>
      <c r="X158" s="417"/>
      <c r="Y158" s="421" t="s">
        <v>3652</v>
      </c>
      <c r="Z158" s="421" t="s">
        <v>3652</v>
      </c>
      <c r="AA158" s="416" t="s">
        <v>4218</v>
      </c>
      <c r="AB158" s="414" t="s">
        <v>3664</v>
      </c>
      <c r="AC158" s="422"/>
      <c r="AD158" s="421"/>
      <c r="AE158" s="420"/>
      <c r="AF158" s="421">
        <v>90377</v>
      </c>
      <c r="AG158" s="420" t="s">
        <v>4257</v>
      </c>
      <c r="AH158" s="421" t="s">
        <v>4215</v>
      </c>
      <c r="AI158" s="420" t="s">
        <v>36</v>
      </c>
      <c r="AJ158" s="413" t="str">
        <f t="shared" si="6"/>
        <v>4590004396_013</v>
      </c>
      <c r="AK158" s="423" t="s">
        <v>4258</v>
      </c>
      <c r="AL158" s="424">
        <v>45079</v>
      </c>
      <c r="AM158" s="221">
        <v>561.548</v>
      </c>
      <c r="AN158" s="228">
        <v>45121</v>
      </c>
      <c r="AO158" s="423" t="s">
        <v>4259</v>
      </c>
      <c r="AP158" s="424">
        <v>45496</v>
      </c>
      <c r="AQ158" s="222">
        <v>842.32</v>
      </c>
      <c r="AR158" s="424" t="s">
        <v>3805</v>
      </c>
      <c r="AS158" s="614">
        <f ca="1">表格1_6[[#This Row],[total amount]]/表格1_6[[#This Row],[PO$]]</f>
        <v>0.99999857536666503</v>
      </c>
      <c r="AT158" s="223">
        <f ca="1">表格1_6[[#This Row],[invoice amount]]+表格1_6[[#This Row],[invoice amount2]]</f>
        <v>1403.8679999999999</v>
      </c>
      <c r="AU158" s="224" t="s">
        <v>4235</v>
      </c>
      <c r="AV158" s="423"/>
      <c r="AW158" s="423" t="e">
        <f ca="1">VLOOKUP(表格1_6[[#This Row],[TI tool ID2]],工作表1!A:A,1,FALSE)</f>
        <v>#N/A</v>
      </c>
      <c r="AX158" s="425" t="e">
        <f ca="1">VLOOKUP(表格1_6[[#This Row],[PO+ITEM]],工作表1!B:E,2,FALSE)</f>
        <v>#N/A</v>
      </c>
      <c r="AY158" s="425" t="e">
        <f ca="1">VLOOKUP(表格1_6[[#This Row],[PO+ITEM]],工作表1!B:E,3,FALSE)</f>
        <v>#N/A</v>
      </c>
      <c r="AZ158" s="423" t="e">
        <f ca="1">VLOOKUP(表格1_6[[#This Row],[PO+ITEM]],工作表1!B:E,4,FALSE)</f>
        <v>#N/A</v>
      </c>
      <c r="BA158" s="425" t="e">
        <f ca="1">INDEX(工作表1!G:G, MATCH(表格1_6[[#This Row],[invoice number]]&amp;表格1_6[[#This Row],[invoice number2]],工作表1!G:G, 0))</f>
        <v>#N/A</v>
      </c>
      <c r="BB158" s="423" t="e">
        <f ca="1">VLOOKUP(表格1_6[[#This Row],[PO+ITEM]],工作表1!F:H,2,FALSE)</f>
        <v>#N/A</v>
      </c>
    </row>
    <row r="159" spans="1:54" ht="15.6">
      <c r="A159" s="413">
        <v>158</v>
      </c>
      <c r="B159" s="413" t="s">
        <v>3674</v>
      </c>
      <c r="C159" s="414" t="s">
        <v>16</v>
      </c>
      <c r="D159" s="414" t="s">
        <v>3648</v>
      </c>
      <c r="E159" s="414"/>
      <c r="F159" s="414"/>
      <c r="G159" s="414"/>
      <c r="H159" s="414"/>
      <c r="I159" s="414"/>
      <c r="J159" s="414"/>
      <c r="K159" s="414"/>
      <c r="L159" s="415" t="s">
        <v>4260</v>
      </c>
      <c r="M159" s="416" t="s">
        <v>4003</v>
      </c>
      <c r="N159" s="416" t="s">
        <v>2999</v>
      </c>
      <c r="O159" s="417"/>
      <c r="P159" s="416">
        <v>4590004396</v>
      </c>
      <c r="Q159" s="418">
        <v>44801</v>
      </c>
      <c r="R159" s="419">
        <v>14</v>
      </c>
      <c r="S159" s="458">
        <v>1403.87</v>
      </c>
      <c r="T159" s="420" t="s">
        <v>2156</v>
      </c>
      <c r="U159" s="414" t="s">
        <v>4004</v>
      </c>
      <c r="V159" s="414" t="s">
        <v>4005</v>
      </c>
      <c r="W159" s="417" t="s">
        <v>4006</v>
      </c>
      <c r="X159" s="417"/>
      <c r="Y159" s="421" t="s">
        <v>3652</v>
      </c>
      <c r="Z159" s="421" t="s">
        <v>3652</v>
      </c>
      <c r="AA159" s="416" t="s">
        <v>4218</v>
      </c>
      <c r="AB159" s="414" t="s">
        <v>3664</v>
      </c>
      <c r="AC159" s="422"/>
      <c r="AD159" s="421"/>
      <c r="AE159" s="420"/>
      <c r="AF159" s="421">
        <v>90376</v>
      </c>
      <c r="AG159" s="420" t="s">
        <v>4261</v>
      </c>
      <c r="AH159" s="421" t="s">
        <v>4215</v>
      </c>
      <c r="AI159" s="420" t="s">
        <v>36</v>
      </c>
      <c r="AJ159" s="413" t="str">
        <f t="shared" si="6"/>
        <v>4590004396_014</v>
      </c>
      <c r="AK159" s="423" t="s">
        <v>4262</v>
      </c>
      <c r="AL159" s="424">
        <v>45079</v>
      </c>
      <c r="AM159" s="221">
        <v>561.548</v>
      </c>
      <c r="AN159" s="228">
        <v>45121</v>
      </c>
      <c r="AO159" s="423" t="s">
        <v>4263</v>
      </c>
      <c r="AP159" s="424">
        <v>45496</v>
      </c>
      <c r="AQ159" s="222">
        <v>842.32</v>
      </c>
      <c r="AR159" s="424" t="s">
        <v>3805</v>
      </c>
      <c r="AS159" s="614">
        <f ca="1">表格1_6[[#This Row],[total amount]]/表格1_6[[#This Row],[PO$]]</f>
        <v>0.99999857536666503</v>
      </c>
      <c r="AT159" s="223">
        <f ca="1">表格1_6[[#This Row],[invoice amount]]+表格1_6[[#This Row],[invoice amount2]]</f>
        <v>1403.8679999999999</v>
      </c>
      <c r="AU159" s="224" t="s">
        <v>4235</v>
      </c>
      <c r="AV159" s="423"/>
      <c r="AW159" s="423" t="e">
        <f ca="1">VLOOKUP(表格1_6[[#This Row],[TI tool ID2]],工作表1!A:A,1,FALSE)</f>
        <v>#N/A</v>
      </c>
      <c r="AX159" s="425" t="e">
        <f ca="1">VLOOKUP(表格1_6[[#This Row],[PO+ITEM]],工作表1!B:E,2,FALSE)</f>
        <v>#N/A</v>
      </c>
      <c r="AY159" s="425" t="e">
        <f ca="1">VLOOKUP(表格1_6[[#This Row],[PO+ITEM]],工作表1!B:E,3,FALSE)</f>
        <v>#N/A</v>
      </c>
      <c r="AZ159" s="423" t="e">
        <f ca="1">VLOOKUP(表格1_6[[#This Row],[PO+ITEM]],工作表1!B:E,4,FALSE)</f>
        <v>#N/A</v>
      </c>
      <c r="BA159" s="425" t="e">
        <f ca="1">INDEX(工作表1!G:G, MATCH(表格1_6[[#This Row],[invoice number]]&amp;表格1_6[[#This Row],[invoice number2]],工作表1!G:G, 0))</f>
        <v>#N/A</v>
      </c>
      <c r="BB159" s="423" t="e">
        <f ca="1">VLOOKUP(表格1_6[[#This Row],[PO+ITEM]],工作表1!F:H,2,FALSE)</f>
        <v>#N/A</v>
      </c>
    </row>
    <row r="160" spans="1:54" ht="15.6">
      <c r="A160" s="413">
        <v>159</v>
      </c>
      <c r="B160" s="413" t="s">
        <v>3674</v>
      </c>
      <c r="C160" s="414" t="s">
        <v>16</v>
      </c>
      <c r="D160" s="414" t="s">
        <v>3648</v>
      </c>
      <c r="E160" s="414"/>
      <c r="F160" s="414"/>
      <c r="G160" s="414"/>
      <c r="H160" s="414"/>
      <c r="I160" s="414"/>
      <c r="J160" s="414"/>
      <c r="K160" s="414"/>
      <c r="L160" s="420" t="s">
        <v>4264</v>
      </c>
      <c r="M160" s="416" t="s">
        <v>4003</v>
      </c>
      <c r="N160" s="416" t="s">
        <v>2999</v>
      </c>
      <c r="O160" s="417"/>
      <c r="P160" s="416">
        <v>4590004396</v>
      </c>
      <c r="Q160" s="418">
        <v>44801</v>
      </c>
      <c r="R160" s="419">
        <v>15</v>
      </c>
      <c r="S160" s="458">
        <v>1403.87</v>
      </c>
      <c r="T160" s="420" t="s">
        <v>2156</v>
      </c>
      <c r="U160" s="414" t="s">
        <v>4004</v>
      </c>
      <c r="V160" s="414" t="s">
        <v>4005</v>
      </c>
      <c r="W160" s="417" t="s">
        <v>4006</v>
      </c>
      <c r="X160" s="417"/>
      <c r="Y160" s="421" t="s">
        <v>3652</v>
      </c>
      <c r="Z160" s="421" t="s">
        <v>3652</v>
      </c>
      <c r="AA160" s="416" t="s">
        <v>4218</v>
      </c>
      <c r="AB160" s="414" t="s">
        <v>3664</v>
      </c>
      <c r="AC160" s="422"/>
      <c r="AD160" s="421"/>
      <c r="AE160" s="420"/>
      <c r="AF160" s="421">
        <v>90375</v>
      </c>
      <c r="AG160" s="420" t="s">
        <v>4265</v>
      </c>
      <c r="AH160" s="421" t="s">
        <v>4215</v>
      </c>
      <c r="AI160" s="420" t="s">
        <v>36</v>
      </c>
      <c r="AJ160" s="413" t="str">
        <f t="shared" si="6"/>
        <v>4590004396_015</v>
      </c>
      <c r="AK160" s="423" t="s">
        <v>4266</v>
      </c>
      <c r="AL160" s="424">
        <v>45079</v>
      </c>
      <c r="AM160" s="221">
        <v>561.548</v>
      </c>
      <c r="AN160" s="228">
        <v>45121</v>
      </c>
      <c r="AO160" s="423" t="s">
        <v>4267</v>
      </c>
      <c r="AP160" s="424">
        <v>45496</v>
      </c>
      <c r="AQ160" s="222">
        <v>842.32</v>
      </c>
      <c r="AR160" s="424" t="s">
        <v>3805</v>
      </c>
      <c r="AS160" s="614">
        <f ca="1">表格1_6[[#This Row],[total amount]]/表格1_6[[#This Row],[PO$]]</f>
        <v>0.99999857536666503</v>
      </c>
      <c r="AT160" s="223">
        <f ca="1">表格1_6[[#This Row],[invoice amount]]+表格1_6[[#This Row],[invoice amount2]]</f>
        <v>1403.8679999999999</v>
      </c>
      <c r="AU160" s="224" t="s">
        <v>4235</v>
      </c>
      <c r="AV160" s="423"/>
      <c r="AW160" s="423" t="e">
        <f ca="1">VLOOKUP(表格1_6[[#This Row],[TI tool ID2]],工作表1!A:A,1,FALSE)</f>
        <v>#N/A</v>
      </c>
      <c r="AX160" s="425" t="e">
        <f ca="1">VLOOKUP(表格1_6[[#This Row],[PO+ITEM]],工作表1!B:E,2,FALSE)</f>
        <v>#N/A</v>
      </c>
      <c r="AY160" s="425" t="e">
        <f ca="1">VLOOKUP(表格1_6[[#This Row],[PO+ITEM]],工作表1!B:E,3,FALSE)</f>
        <v>#N/A</v>
      </c>
      <c r="AZ160" s="423" t="e">
        <f ca="1">VLOOKUP(表格1_6[[#This Row],[PO+ITEM]],工作表1!B:E,4,FALSE)</f>
        <v>#N/A</v>
      </c>
      <c r="BA160" s="425" t="e">
        <f ca="1">INDEX(工作表1!G:G, MATCH(表格1_6[[#This Row],[invoice number]]&amp;表格1_6[[#This Row],[invoice number2]],工作表1!G:G, 0))</f>
        <v>#N/A</v>
      </c>
      <c r="BB160" s="423" t="e">
        <f ca="1">VLOOKUP(表格1_6[[#This Row],[PO+ITEM]],工作表1!F:H,2,FALSE)</f>
        <v>#N/A</v>
      </c>
    </row>
    <row r="161" spans="1:54" ht="15.6">
      <c r="A161" s="413">
        <v>160</v>
      </c>
      <c r="B161" s="413" t="s">
        <v>3659</v>
      </c>
      <c r="C161" s="414" t="s">
        <v>16</v>
      </c>
      <c r="D161" s="414" t="s">
        <v>3648</v>
      </c>
      <c r="E161" s="414"/>
      <c r="F161" s="414"/>
      <c r="G161" s="414"/>
      <c r="H161" s="414"/>
      <c r="I161" s="414"/>
      <c r="J161" s="414"/>
      <c r="K161" s="414"/>
      <c r="L161" s="415" t="s">
        <v>4268</v>
      </c>
      <c r="M161" s="416" t="s">
        <v>4269</v>
      </c>
      <c r="N161" s="416" t="s">
        <v>2999</v>
      </c>
      <c r="O161" s="417"/>
      <c r="P161" s="416">
        <v>4590004397</v>
      </c>
      <c r="Q161" s="418">
        <v>44801</v>
      </c>
      <c r="R161" s="419">
        <v>1</v>
      </c>
      <c r="S161" s="458">
        <v>167327.26999999999</v>
      </c>
      <c r="T161" s="420" t="s">
        <v>2156</v>
      </c>
      <c r="U161" s="414" t="s">
        <v>3926</v>
      </c>
      <c r="V161" s="414" t="s">
        <v>3927</v>
      </c>
      <c r="W161" s="417" t="s">
        <v>3928</v>
      </c>
      <c r="X161" s="417"/>
      <c r="Y161" s="421" t="s">
        <v>3652</v>
      </c>
      <c r="Z161" s="421" t="s">
        <v>3652</v>
      </c>
      <c r="AA161" s="416" t="s">
        <v>4270</v>
      </c>
      <c r="AB161" s="414" t="s">
        <v>3664</v>
      </c>
      <c r="AC161" s="422"/>
      <c r="AD161" s="421"/>
      <c r="AE161" s="420"/>
      <c r="AF161" s="421">
        <v>90511</v>
      </c>
      <c r="AG161" s="420" t="s">
        <v>3322</v>
      </c>
      <c r="AH161" s="421" t="s">
        <v>4109</v>
      </c>
      <c r="AI161" s="420" t="s">
        <v>3666</v>
      </c>
      <c r="AJ161" s="413" t="str">
        <f t="shared" ref="AJ161:AJ169" si="7">P161&amp;"_00"&amp;R161</f>
        <v>4590004397_001</v>
      </c>
      <c r="AK161" s="423"/>
      <c r="AL161" s="424">
        <v>45108</v>
      </c>
      <c r="AM161" s="221">
        <v>0</v>
      </c>
      <c r="AN161" s="431" t="s">
        <v>3788</v>
      </c>
      <c r="AO161" s="423"/>
      <c r="AP161" s="413"/>
      <c r="AQ161" s="222"/>
      <c r="AR161" s="424"/>
      <c r="AS161" s="614">
        <f ca="1">表格1_6[[#This Row],[total amount]]/表格1_6[[#This Row],[PO$]]</f>
        <v>0</v>
      </c>
      <c r="AT161" s="223">
        <f ca="1">表格1_6[[#This Row],[invoice amount]]+表格1_6[[#This Row],[invoice amount2]]</f>
        <v>0</v>
      </c>
      <c r="AU161" s="224" t="s">
        <v>3789</v>
      </c>
      <c r="AV161" s="423" t="s">
        <v>4271</v>
      </c>
      <c r="AW161" s="423" t="e">
        <f ca="1">VLOOKUP(表格1_6[[#This Row],[TI tool ID2]],工作表1!A:A,1,FALSE)</f>
        <v>#N/A</v>
      </c>
      <c r="AX161" s="425" t="e">
        <f ca="1">VLOOKUP(表格1_6[[#This Row],[PO+ITEM]],工作表1!B:E,2,FALSE)</f>
        <v>#N/A</v>
      </c>
      <c r="AY161" s="425" t="e">
        <f ca="1">VLOOKUP(表格1_6[[#This Row],[PO+ITEM]],工作表1!B:E,3,FALSE)</f>
        <v>#N/A</v>
      </c>
      <c r="AZ161" s="423" t="e">
        <f ca="1">VLOOKUP(表格1_6[[#This Row],[PO+ITEM]],工作表1!B:E,4,FALSE)</f>
        <v>#N/A</v>
      </c>
      <c r="BA161" s="425" t="e">
        <f ca="1">INDEX(工作表1!G:G, MATCH(表格1_6[[#This Row],[invoice number]]&amp;表格1_6[[#This Row],[invoice number2]],工作表1!G:G, 0))</f>
        <v>#N/A</v>
      </c>
      <c r="BB161" s="423" t="e">
        <f ca="1">VLOOKUP(表格1_6[[#This Row],[PO+ITEM]],工作表1!F:H,2,FALSE)</f>
        <v>#N/A</v>
      </c>
    </row>
    <row r="162" spans="1:54" ht="15.6">
      <c r="A162" s="623">
        <v>161</v>
      </c>
      <c r="B162" s="623" t="s">
        <v>3674</v>
      </c>
      <c r="C162" s="624" t="s">
        <v>16</v>
      </c>
      <c r="D162" s="624" t="s">
        <v>3648</v>
      </c>
      <c r="E162" s="414"/>
      <c r="F162" s="414"/>
      <c r="G162" s="624"/>
      <c r="H162" s="414"/>
      <c r="I162" s="414"/>
      <c r="J162" s="414"/>
      <c r="K162" s="414"/>
      <c r="L162" s="625" t="s">
        <v>4272</v>
      </c>
      <c r="M162" s="416" t="s">
        <v>4269</v>
      </c>
      <c r="N162" s="416" t="s">
        <v>2999</v>
      </c>
      <c r="O162" s="417"/>
      <c r="P162" s="626">
        <v>4590004397</v>
      </c>
      <c r="Q162" s="418">
        <v>44801</v>
      </c>
      <c r="R162" s="627">
        <v>2</v>
      </c>
      <c r="S162" s="628">
        <v>167327.26999999999</v>
      </c>
      <c r="T162" s="420" t="s">
        <v>2156</v>
      </c>
      <c r="U162" s="414" t="s">
        <v>3926</v>
      </c>
      <c r="V162" s="624" t="s">
        <v>3927</v>
      </c>
      <c r="W162" s="417" t="s">
        <v>3928</v>
      </c>
      <c r="X162" s="417"/>
      <c r="Y162" s="421" t="s">
        <v>3652</v>
      </c>
      <c r="Z162" s="421" t="s">
        <v>3652</v>
      </c>
      <c r="AA162" s="626" t="s">
        <v>4270</v>
      </c>
      <c r="AB162" s="414" t="s">
        <v>3664</v>
      </c>
      <c r="AC162" s="422"/>
      <c r="AD162" s="421"/>
      <c r="AE162" s="420"/>
      <c r="AF162" s="421">
        <v>90514</v>
      </c>
      <c r="AG162" s="629" t="s">
        <v>3167</v>
      </c>
      <c r="AH162" s="630" t="s">
        <v>4109</v>
      </c>
      <c r="AI162" s="629" t="s">
        <v>3666</v>
      </c>
      <c r="AJ162" s="623" t="str">
        <f t="shared" si="7"/>
        <v>4590004397_002</v>
      </c>
      <c r="AK162" s="629"/>
      <c r="AL162" s="631">
        <v>45108</v>
      </c>
      <c r="AM162" s="632">
        <v>0</v>
      </c>
      <c r="AN162" s="633" t="s">
        <v>3788</v>
      </c>
      <c r="AO162" s="629" t="s">
        <v>4273</v>
      </c>
      <c r="AP162" s="631">
        <v>45471</v>
      </c>
      <c r="AQ162" s="634">
        <v>167327.26999999999</v>
      </c>
      <c r="AR162" s="631" t="s">
        <v>3805</v>
      </c>
      <c r="AS162" s="635">
        <f ca="1">表格1_6[[#This Row],[total amount]]/表格1_6[[#This Row],[PO$]]</f>
        <v>1</v>
      </c>
      <c r="AT162" s="636">
        <f ca="1">表格1_6[[#This Row],[invoice amount]]+表格1_6[[#This Row],[invoice amount2]]</f>
        <v>167327.26999999999</v>
      </c>
      <c r="AU162" s="637" t="s">
        <v>3752</v>
      </c>
      <c r="AV162" s="638" t="s">
        <v>4271</v>
      </c>
      <c r="AW162" s="423" t="e">
        <f ca="1">VLOOKUP(表格1_6[[#This Row],[TI tool ID2]],工作表1!A:A,1,FALSE)</f>
        <v>#N/A</v>
      </c>
      <c r="AX162" s="425" t="e">
        <f ca="1">VLOOKUP(表格1_6[[#This Row],[PO+ITEM]],工作表1!B:E,2,FALSE)</f>
        <v>#N/A</v>
      </c>
      <c r="AY162" s="425" t="e">
        <f ca="1">VLOOKUP(表格1_6[[#This Row],[PO+ITEM]],工作表1!B:E,3,FALSE)</f>
        <v>#N/A</v>
      </c>
      <c r="AZ162" s="423" t="e">
        <f ca="1">VLOOKUP(表格1_6[[#This Row],[PO+ITEM]],工作表1!B:E,4,FALSE)</f>
        <v>#N/A</v>
      </c>
      <c r="BA162" s="425" t="e">
        <f ca="1">INDEX(工作表1!G:G, MATCH(表格1_6[[#This Row],[invoice number]]&amp;表格1_6[[#This Row],[invoice number2]],工作表1!G:G, 0))</f>
        <v>#N/A</v>
      </c>
      <c r="BB162" s="423" t="e">
        <f ca="1">VLOOKUP(表格1_6[[#This Row],[PO+ITEM]],工作表1!F:H,2,FALSE)</f>
        <v>#N/A</v>
      </c>
    </row>
    <row r="163" spans="1:54" ht="14.45">
      <c r="A163" s="413">
        <v>162</v>
      </c>
      <c r="B163" s="413" t="s">
        <v>3674</v>
      </c>
      <c r="C163" s="414" t="s">
        <v>16</v>
      </c>
      <c r="D163" s="414" t="s">
        <v>3648</v>
      </c>
      <c r="E163" s="414"/>
      <c r="F163" s="414"/>
      <c r="G163" s="414"/>
      <c r="H163" s="414"/>
      <c r="I163" s="414"/>
      <c r="J163" s="414"/>
      <c r="K163" s="414"/>
      <c r="L163" s="415" t="s">
        <v>4274</v>
      </c>
      <c r="M163" s="416" t="s">
        <v>4269</v>
      </c>
      <c r="N163" s="416" t="s">
        <v>2999</v>
      </c>
      <c r="O163" s="417"/>
      <c r="P163" s="416">
        <v>4590004397</v>
      </c>
      <c r="Q163" s="418">
        <v>44801</v>
      </c>
      <c r="R163" s="419">
        <v>3</v>
      </c>
      <c r="S163" s="458">
        <v>15425.47</v>
      </c>
      <c r="T163" s="420" t="s">
        <v>2156</v>
      </c>
      <c r="U163" s="414" t="s">
        <v>3926</v>
      </c>
      <c r="V163" s="414" t="s">
        <v>3927</v>
      </c>
      <c r="W163" s="417" t="s">
        <v>3928</v>
      </c>
      <c r="X163" s="417"/>
      <c r="Y163" s="421" t="s">
        <v>3652</v>
      </c>
      <c r="Z163" s="421" t="s">
        <v>3652</v>
      </c>
      <c r="AA163" s="416"/>
      <c r="AB163" s="414" t="s">
        <v>3664</v>
      </c>
      <c r="AC163" s="422"/>
      <c r="AD163" s="421"/>
      <c r="AE163" s="420"/>
      <c r="AF163" s="421">
        <v>90053</v>
      </c>
      <c r="AG163" s="420" t="s">
        <v>2806</v>
      </c>
      <c r="AH163" s="421" t="s">
        <v>4109</v>
      </c>
      <c r="AI163" s="420" t="s">
        <v>32</v>
      </c>
      <c r="AJ163" s="413" t="str">
        <f t="shared" si="7"/>
        <v>4590004397_003</v>
      </c>
      <c r="AK163" s="423"/>
      <c r="AL163" s="424"/>
      <c r="AM163" s="221"/>
      <c r="AN163" s="424"/>
      <c r="AO163" s="423"/>
      <c r="AP163" s="413"/>
      <c r="AQ163" s="222"/>
      <c r="AR163" s="424"/>
      <c r="AS163" s="614">
        <f ca="1">表格1_6[[#This Row],[total amount]]/表格1_6[[#This Row],[PO$]]</f>
        <v>0</v>
      </c>
      <c r="AT163" s="223">
        <f ca="1">表格1_6[[#This Row],[invoice amount]]+表格1_6[[#This Row],[invoice amount2]]</f>
        <v>0</v>
      </c>
      <c r="AU163" s="224"/>
      <c r="AV163" s="423"/>
      <c r="AW163" s="423" t="e">
        <f ca="1">VLOOKUP(表格1_6[[#This Row],[TI tool ID2]],工作表1!A:A,1,FALSE)</f>
        <v>#N/A</v>
      </c>
      <c r="AX163" s="425" t="e">
        <f ca="1">VLOOKUP(表格1_6[[#This Row],[PO+ITEM]],工作表1!B:E,2,FALSE)</f>
        <v>#N/A</v>
      </c>
      <c r="AY163" s="425" t="e">
        <f ca="1">VLOOKUP(表格1_6[[#This Row],[PO+ITEM]],工作表1!B:E,3,FALSE)</f>
        <v>#N/A</v>
      </c>
      <c r="AZ163" s="423" t="e">
        <f ca="1">VLOOKUP(表格1_6[[#This Row],[PO+ITEM]],工作表1!B:E,4,FALSE)</f>
        <v>#N/A</v>
      </c>
      <c r="BA163" s="425" t="e">
        <f ca="1">INDEX(工作表1!G:G, MATCH(表格1_6[[#This Row],[invoice number]]&amp;表格1_6[[#This Row],[invoice number2]],工作表1!G:G, 0))</f>
        <v>#N/A</v>
      </c>
      <c r="BB163" s="423" t="e">
        <f ca="1">VLOOKUP(表格1_6[[#This Row],[PO+ITEM]],工作表1!F:H,2,FALSE)</f>
        <v>#N/A</v>
      </c>
    </row>
    <row r="164" spans="1:54" ht="15.6">
      <c r="A164" s="413">
        <v>163</v>
      </c>
      <c r="B164" s="413" t="s">
        <v>3674</v>
      </c>
      <c r="C164" s="414" t="s">
        <v>16</v>
      </c>
      <c r="D164" s="414" t="s">
        <v>3648</v>
      </c>
      <c r="E164" s="414"/>
      <c r="F164" s="414"/>
      <c r="G164" s="414"/>
      <c r="H164" s="414"/>
      <c r="I164" s="414"/>
      <c r="J164" s="414"/>
      <c r="K164" s="414"/>
      <c r="L164" s="420" t="s">
        <v>4275</v>
      </c>
      <c r="M164" s="416" t="s">
        <v>2206</v>
      </c>
      <c r="N164" s="416" t="s">
        <v>2999</v>
      </c>
      <c r="O164" s="417"/>
      <c r="P164" s="416">
        <v>4590004397</v>
      </c>
      <c r="Q164" s="418">
        <v>44801</v>
      </c>
      <c r="R164" s="419">
        <v>4</v>
      </c>
      <c r="S164" s="458">
        <v>5223.09</v>
      </c>
      <c r="T164" s="420" t="s">
        <v>2156</v>
      </c>
      <c r="U164" s="414" t="s">
        <v>3926</v>
      </c>
      <c r="V164" s="414" t="s">
        <v>3927</v>
      </c>
      <c r="W164" s="417" t="s">
        <v>3928</v>
      </c>
      <c r="X164" s="417"/>
      <c r="Y164" s="421" t="s">
        <v>3652</v>
      </c>
      <c r="Z164" s="421" t="s">
        <v>3652</v>
      </c>
      <c r="AA164" s="416" t="s">
        <v>4276</v>
      </c>
      <c r="AB164" s="414" t="s">
        <v>3664</v>
      </c>
      <c r="AC164" s="422"/>
      <c r="AD164" s="421"/>
      <c r="AE164" s="420"/>
      <c r="AF164" s="421">
        <v>90093</v>
      </c>
      <c r="AG164" s="420" t="s">
        <v>2673</v>
      </c>
      <c r="AH164" s="421" t="s">
        <v>3932</v>
      </c>
      <c r="AI164" s="420" t="s">
        <v>846</v>
      </c>
      <c r="AJ164" s="413" t="str">
        <f t="shared" si="7"/>
        <v>4590004397_004</v>
      </c>
      <c r="AK164" s="423" t="s">
        <v>4277</v>
      </c>
      <c r="AL164" s="424">
        <v>45079</v>
      </c>
      <c r="AM164" s="221">
        <v>2089.2360000000003</v>
      </c>
      <c r="AN164" s="228">
        <v>45303</v>
      </c>
      <c r="AO164" s="423" t="s">
        <v>4278</v>
      </c>
      <c r="AP164" s="424">
        <v>45408</v>
      </c>
      <c r="AQ164" s="561">
        <v>0</v>
      </c>
      <c r="AR164" s="431" t="s">
        <v>3788</v>
      </c>
      <c r="AS164" s="614">
        <f ca="1">表格1_6[[#This Row],[total amount]]/表格1_6[[#This Row],[PO$]]</f>
        <v>0.40000000000000008</v>
      </c>
      <c r="AT164" s="317">
        <f ca="1">表格1_6[[#This Row],[invoice amount]]+表格1_6[[#This Row],[invoice amount2]]</f>
        <v>2089.2360000000003</v>
      </c>
      <c r="AU164" s="224" t="s">
        <v>3789</v>
      </c>
      <c r="AV164" s="423" t="s">
        <v>4279</v>
      </c>
      <c r="AW164" s="423" t="e">
        <f ca="1">VLOOKUP(表格1_6[[#This Row],[TI tool ID2]],工作表1!A:A,1,FALSE)</f>
        <v>#N/A</v>
      </c>
      <c r="AX164" s="425" t="e">
        <f ca="1">VLOOKUP(表格1_6[[#This Row],[PO+ITEM]],工作表1!B:E,2,FALSE)</f>
        <v>#N/A</v>
      </c>
      <c r="AY164" s="425" t="e">
        <f ca="1">VLOOKUP(表格1_6[[#This Row],[PO+ITEM]],工作表1!B:E,3,FALSE)</f>
        <v>#N/A</v>
      </c>
      <c r="AZ164" s="423" t="e">
        <f ca="1">VLOOKUP(表格1_6[[#This Row],[PO+ITEM]],工作表1!B:E,4,FALSE)</f>
        <v>#N/A</v>
      </c>
      <c r="BA164" s="425" t="e">
        <f ca="1">INDEX(工作表1!G:G, MATCH(表格1_6[[#This Row],[invoice number]]&amp;表格1_6[[#This Row],[invoice number2]],工作表1!G:G, 0))</f>
        <v>#N/A</v>
      </c>
      <c r="BB164" s="423" t="e">
        <f ca="1">VLOOKUP(表格1_6[[#This Row],[PO+ITEM]],工作表1!F:H,2,FALSE)</f>
        <v>#N/A</v>
      </c>
    </row>
    <row r="165" spans="1:54" ht="15.6">
      <c r="A165" s="413">
        <v>164</v>
      </c>
      <c r="B165" s="413" t="s">
        <v>3659</v>
      </c>
      <c r="C165" s="414" t="s">
        <v>16</v>
      </c>
      <c r="D165" s="414" t="s">
        <v>3648</v>
      </c>
      <c r="E165" s="414"/>
      <c r="F165" s="414"/>
      <c r="G165" s="414"/>
      <c r="H165" s="414"/>
      <c r="I165" s="414"/>
      <c r="J165" s="414"/>
      <c r="K165" s="414"/>
      <c r="L165" s="415" t="s">
        <v>4280</v>
      </c>
      <c r="M165" s="416" t="s">
        <v>2206</v>
      </c>
      <c r="N165" s="416" t="s">
        <v>2999</v>
      </c>
      <c r="O165" s="417"/>
      <c r="P165" s="416">
        <v>4590004397</v>
      </c>
      <c r="Q165" s="418">
        <v>44801</v>
      </c>
      <c r="R165" s="419">
        <v>5</v>
      </c>
      <c r="S165" s="458">
        <v>5223.09</v>
      </c>
      <c r="T165" s="420" t="s">
        <v>2156</v>
      </c>
      <c r="U165" s="414" t="s">
        <v>3926</v>
      </c>
      <c r="V165" s="414" t="s">
        <v>3927</v>
      </c>
      <c r="W165" s="417" t="s">
        <v>3928</v>
      </c>
      <c r="X165" s="417"/>
      <c r="Y165" s="421" t="s">
        <v>3652</v>
      </c>
      <c r="Z165" s="421" t="s">
        <v>3652</v>
      </c>
      <c r="AA165" s="416" t="s">
        <v>4270</v>
      </c>
      <c r="AB165" s="414" t="s">
        <v>3664</v>
      </c>
      <c r="AC165" s="422"/>
      <c r="AD165" s="421"/>
      <c r="AE165" s="420"/>
      <c r="AF165" s="421">
        <v>90926</v>
      </c>
      <c r="AG165" s="420" t="s">
        <v>4281</v>
      </c>
      <c r="AH165" s="421" t="s">
        <v>3932</v>
      </c>
      <c r="AI165" s="420" t="s">
        <v>846</v>
      </c>
      <c r="AJ165" s="413" t="str">
        <f t="shared" si="7"/>
        <v>4590004397_005</v>
      </c>
      <c r="AK165" s="423" t="s">
        <v>4282</v>
      </c>
      <c r="AL165" s="424">
        <v>45079</v>
      </c>
      <c r="AM165" s="221">
        <v>2089.2360000000003</v>
      </c>
      <c r="AN165" s="228">
        <v>45303</v>
      </c>
      <c r="AO165" s="423"/>
      <c r="AP165" s="413"/>
      <c r="AQ165" s="222"/>
      <c r="AR165" s="424"/>
      <c r="AS165" s="614">
        <f ca="1">表格1_6[[#This Row],[total amount]]/表格1_6[[#This Row],[PO$]]</f>
        <v>0.40000000000000008</v>
      </c>
      <c r="AT165" s="223">
        <f ca="1">表格1_6[[#This Row],[invoice amount]]+表格1_6[[#This Row],[invoice amount2]]</f>
        <v>2089.2360000000003</v>
      </c>
      <c r="AU165" s="224" t="s">
        <v>3673</v>
      </c>
      <c r="AV165" s="423"/>
      <c r="AW165" s="423" t="e">
        <f ca="1">VLOOKUP(表格1_6[[#This Row],[TI tool ID2]],工作表1!A:A,1,FALSE)</f>
        <v>#N/A</v>
      </c>
      <c r="AX165" s="425" t="e">
        <f ca="1">VLOOKUP(表格1_6[[#This Row],[PO+ITEM]],工作表1!B:E,2,FALSE)</f>
        <v>#N/A</v>
      </c>
      <c r="AY165" s="425" t="e">
        <f ca="1">VLOOKUP(表格1_6[[#This Row],[PO+ITEM]],工作表1!B:E,3,FALSE)</f>
        <v>#N/A</v>
      </c>
      <c r="AZ165" s="423" t="e">
        <f ca="1">VLOOKUP(表格1_6[[#This Row],[PO+ITEM]],工作表1!B:E,4,FALSE)</f>
        <v>#N/A</v>
      </c>
      <c r="BA165" s="425" t="e">
        <f ca="1">INDEX(工作表1!G:G, MATCH(表格1_6[[#This Row],[invoice number]]&amp;表格1_6[[#This Row],[invoice number2]],工作表1!G:G, 0))</f>
        <v>#N/A</v>
      </c>
      <c r="BB165" s="423" t="e">
        <f ca="1">VLOOKUP(表格1_6[[#This Row],[PO+ITEM]],工作表1!F:H,2,FALSE)</f>
        <v>#N/A</v>
      </c>
    </row>
    <row r="166" spans="1:54" ht="15.6">
      <c r="A166" s="413">
        <v>165</v>
      </c>
      <c r="B166" s="413" t="s">
        <v>3674</v>
      </c>
      <c r="C166" s="414" t="s">
        <v>16</v>
      </c>
      <c r="D166" s="414" t="s">
        <v>3648</v>
      </c>
      <c r="E166" s="414"/>
      <c r="F166" s="414"/>
      <c r="G166" s="414"/>
      <c r="H166" s="414"/>
      <c r="I166" s="414"/>
      <c r="J166" s="414"/>
      <c r="K166" s="414"/>
      <c r="L166" s="415" t="s">
        <v>4283</v>
      </c>
      <c r="M166" s="416" t="s">
        <v>2206</v>
      </c>
      <c r="N166" s="416" t="s">
        <v>2999</v>
      </c>
      <c r="O166" s="417"/>
      <c r="P166" s="416">
        <v>4590004397</v>
      </c>
      <c r="Q166" s="418">
        <v>44801</v>
      </c>
      <c r="R166" s="419">
        <v>6</v>
      </c>
      <c r="S166" s="458">
        <v>2611.54</v>
      </c>
      <c r="T166" s="420" t="s">
        <v>2156</v>
      </c>
      <c r="U166" s="414" t="s">
        <v>3926</v>
      </c>
      <c r="V166" s="414" t="s">
        <v>3927</v>
      </c>
      <c r="W166" s="417" t="s">
        <v>3928</v>
      </c>
      <c r="X166" s="417"/>
      <c r="Y166" s="421" t="s">
        <v>3652</v>
      </c>
      <c r="Z166" s="421" t="s">
        <v>3652</v>
      </c>
      <c r="AA166" s="416" t="s">
        <v>4276</v>
      </c>
      <c r="AB166" s="414" t="s">
        <v>3664</v>
      </c>
      <c r="AC166" s="422"/>
      <c r="AD166" s="421"/>
      <c r="AE166" s="420"/>
      <c r="AF166" s="421">
        <v>90094</v>
      </c>
      <c r="AG166" s="420" t="s">
        <v>2624</v>
      </c>
      <c r="AH166" s="421" t="s">
        <v>3932</v>
      </c>
      <c r="AI166" s="420" t="s">
        <v>846</v>
      </c>
      <c r="AJ166" s="413" t="str">
        <f t="shared" si="7"/>
        <v>4590004397_006</v>
      </c>
      <c r="AK166" s="423" t="s">
        <v>4284</v>
      </c>
      <c r="AL166" s="424">
        <v>45079</v>
      </c>
      <c r="AM166" s="221">
        <v>1044.616</v>
      </c>
      <c r="AN166" s="228">
        <v>45303</v>
      </c>
      <c r="AO166" s="423" t="s">
        <v>4285</v>
      </c>
      <c r="AP166" s="424">
        <v>45408</v>
      </c>
      <c r="AQ166" s="561">
        <v>0</v>
      </c>
      <c r="AR166" s="431" t="s">
        <v>3788</v>
      </c>
      <c r="AS166" s="614">
        <f ca="1">表格1_6[[#This Row],[total amount]]/表格1_6[[#This Row],[PO$]]</f>
        <v>0.4</v>
      </c>
      <c r="AT166" s="317">
        <f ca="1">表格1_6[[#This Row],[invoice amount]]+表格1_6[[#This Row],[invoice amount2]]</f>
        <v>1044.616</v>
      </c>
      <c r="AU166" s="224" t="s">
        <v>3789</v>
      </c>
      <c r="AV166" s="423" t="s">
        <v>4279</v>
      </c>
      <c r="AW166" s="423" t="e">
        <f ca="1">VLOOKUP(表格1_6[[#This Row],[TI tool ID2]],工作表1!A:A,1,FALSE)</f>
        <v>#N/A</v>
      </c>
      <c r="AX166" s="425" t="e">
        <f ca="1">VLOOKUP(表格1_6[[#This Row],[PO+ITEM]],工作表1!B:E,2,FALSE)</f>
        <v>#N/A</v>
      </c>
      <c r="AY166" s="425" t="e">
        <f ca="1">VLOOKUP(表格1_6[[#This Row],[PO+ITEM]],工作表1!B:E,3,FALSE)</f>
        <v>#N/A</v>
      </c>
      <c r="AZ166" s="423" t="e">
        <f ca="1">VLOOKUP(表格1_6[[#This Row],[PO+ITEM]],工作表1!B:E,4,FALSE)</f>
        <v>#N/A</v>
      </c>
      <c r="BA166" s="425" t="e">
        <f ca="1">INDEX(工作表1!G:G, MATCH(表格1_6[[#This Row],[invoice number]]&amp;表格1_6[[#This Row],[invoice number2]],工作表1!G:G, 0))</f>
        <v>#N/A</v>
      </c>
      <c r="BB166" s="423" t="e">
        <f ca="1">VLOOKUP(表格1_6[[#This Row],[PO+ITEM]],工作表1!F:H,2,FALSE)</f>
        <v>#N/A</v>
      </c>
    </row>
    <row r="167" spans="1:54" ht="15.6">
      <c r="A167" s="413">
        <v>166</v>
      </c>
      <c r="B167" s="413" t="s">
        <v>3659</v>
      </c>
      <c r="C167" s="414" t="s">
        <v>16</v>
      </c>
      <c r="D167" s="414" t="s">
        <v>3648</v>
      </c>
      <c r="E167" s="414"/>
      <c r="F167" s="414"/>
      <c r="G167" s="414"/>
      <c r="H167" s="414"/>
      <c r="I167" s="414"/>
      <c r="J167" s="414"/>
      <c r="K167" s="414"/>
      <c r="L167" s="415" t="s">
        <v>4286</v>
      </c>
      <c r="M167" s="416" t="s">
        <v>2206</v>
      </c>
      <c r="N167" s="416" t="s">
        <v>2999</v>
      </c>
      <c r="O167" s="417"/>
      <c r="P167" s="416">
        <v>4590004397</v>
      </c>
      <c r="Q167" s="418">
        <v>44801</v>
      </c>
      <c r="R167" s="419">
        <v>7</v>
      </c>
      <c r="S167" s="458">
        <v>2611.54</v>
      </c>
      <c r="T167" s="420" t="s">
        <v>2156</v>
      </c>
      <c r="U167" s="414" t="s">
        <v>3926</v>
      </c>
      <c r="V167" s="414" t="s">
        <v>3927</v>
      </c>
      <c r="W167" s="417" t="s">
        <v>3928</v>
      </c>
      <c r="X167" s="417"/>
      <c r="Y167" s="421" t="s">
        <v>3652</v>
      </c>
      <c r="Z167" s="421" t="s">
        <v>3652</v>
      </c>
      <c r="AA167" s="416" t="s">
        <v>4270</v>
      </c>
      <c r="AB167" s="414" t="s">
        <v>3664</v>
      </c>
      <c r="AC167" s="422"/>
      <c r="AD167" s="421"/>
      <c r="AE167" s="420"/>
      <c r="AF167" s="421">
        <v>90925</v>
      </c>
      <c r="AG167" s="420" t="s">
        <v>4287</v>
      </c>
      <c r="AH167" s="421" t="s">
        <v>3932</v>
      </c>
      <c r="AI167" s="420" t="s">
        <v>846</v>
      </c>
      <c r="AJ167" s="413" t="str">
        <f t="shared" si="7"/>
        <v>4590004397_007</v>
      </c>
      <c r="AK167" s="423" t="s">
        <v>4288</v>
      </c>
      <c r="AL167" s="424">
        <v>45079</v>
      </c>
      <c r="AM167" s="221">
        <v>1044.616</v>
      </c>
      <c r="AN167" s="228">
        <v>45303</v>
      </c>
      <c r="AO167" s="423"/>
      <c r="AP167" s="413"/>
      <c r="AQ167" s="222"/>
      <c r="AR167" s="424"/>
      <c r="AS167" s="614">
        <f ca="1">表格1_6[[#This Row],[total amount]]/表格1_6[[#This Row],[PO$]]</f>
        <v>0.4</v>
      </c>
      <c r="AT167" s="223">
        <f ca="1">表格1_6[[#This Row],[invoice amount]]+表格1_6[[#This Row],[invoice amount2]]</f>
        <v>1044.616</v>
      </c>
      <c r="AU167" s="224" t="s">
        <v>3673</v>
      </c>
      <c r="AV167" s="423"/>
      <c r="AW167" s="423" t="e">
        <f ca="1">VLOOKUP(表格1_6[[#This Row],[TI tool ID2]],工作表1!A:A,1,FALSE)</f>
        <v>#N/A</v>
      </c>
      <c r="AX167" s="425" t="e">
        <f ca="1">VLOOKUP(表格1_6[[#This Row],[PO+ITEM]],工作表1!B:E,2,FALSE)</f>
        <v>#N/A</v>
      </c>
      <c r="AY167" s="425" t="e">
        <f ca="1">VLOOKUP(表格1_6[[#This Row],[PO+ITEM]],工作表1!B:E,3,FALSE)</f>
        <v>#N/A</v>
      </c>
      <c r="AZ167" s="423" t="e">
        <f ca="1">VLOOKUP(表格1_6[[#This Row],[PO+ITEM]],工作表1!B:E,4,FALSE)</f>
        <v>#N/A</v>
      </c>
      <c r="BA167" s="425" t="e">
        <f ca="1">INDEX(工作表1!G:G, MATCH(表格1_6[[#This Row],[invoice number]]&amp;表格1_6[[#This Row],[invoice number2]],工作表1!G:G, 0))</f>
        <v>#N/A</v>
      </c>
      <c r="BB167" s="423" t="e">
        <f ca="1">VLOOKUP(表格1_6[[#This Row],[PO+ITEM]],工作表1!F:H,2,FALSE)</f>
        <v>#N/A</v>
      </c>
    </row>
    <row r="168" spans="1:54" ht="15.6">
      <c r="A168" s="413">
        <v>167</v>
      </c>
      <c r="B168" s="413" t="s">
        <v>3674</v>
      </c>
      <c r="C168" s="414" t="s">
        <v>16</v>
      </c>
      <c r="D168" s="414" t="s">
        <v>3648</v>
      </c>
      <c r="E168" s="414"/>
      <c r="F168" s="414"/>
      <c r="G168" s="414"/>
      <c r="H168" s="414"/>
      <c r="I168" s="414"/>
      <c r="J168" s="414"/>
      <c r="K168" s="414"/>
      <c r="L168" s="420" t="s">
        <v>4289</v>
      </c>
      <c r="M168" s="416" t="s">
        <v>2206</v>
      </c>
      <c r="N168" s="416" t="s">
        <v>2999</v>
      </c>
      <c r="O168" s="417"/>
      <c r="P168" s="416">
        <v>4590004397</v>
      </c>
      <c r="Q168" s="418">
        <v>44801</v>
      </c>
      <c r="R168" s="419">
        <v>8</v>
      </c>
      <c r="S168" s="458">
        <v>7834.63</v>
      </c>
      <c r="T168" s="420" t="s">
        <v>2156</v>
      </c>
      <c r="U168" s="414" t="s">
        <v>3926</v>
      </c>
      <c r="V168" s="414" t="s">
        <v>3927</v>
      </c>
      <c r="W168" s="417" t="s">
        <v>3928</v>
      </c>
      <c r="X168" s="417"/>
      <c r="Y168" s="421" t="s">
        <v>3652</v>
      </c>
      <c r="Z168" s="421" t="s">
        <v>3652</v>
      </c>
      <c r="AA168" s="416" t="s">
        <v>4276</v>
      </c>
      <c r="AB168" s="414" t="s">
        <v>3664</v>
      </c>
      <c r="AC168" s="422"/>
      <c r="AD168" s="421"/>
      <c r="AE168" s="420"/>
      <c r="AF168" s="421">
        <v>90092</v>
      </c>
      <c r="AG168" s="420" t="s">
        <v>2693</v>
      </c>
      <c r="AH168" s="421" t="s">
        <v>3932</v>
      </c>
      <c r="AI168" s="420" t="s">
        <v>846</v>
      </c>
      <c r="AJ168" s="413" t="str">
        <f t="shared" si="7"/>
        <v>4590004397_008</v>
      </c>
      <c r="AK168" s="423" t="s">
        <v>4290</v>
      </c>
      <c r="AL168" s="424">
        <v>45079</v>
      </c>
      <c r="AM168" s="221">
        <v>3133.8520000000003</v>
      </c>
      <c r="AN168" s="228">
        <v>45303</v>
      </c>
      <c r="AO168" s="423" t="s">
        <v>4291</v>
      </c>
      <c r="AP168" s="424">
        <v>45408</v>
      </c>
      <c r="AQ168" s="561">
        <v>0</v>
      </c>
      <c r="AR168" s="431" t="s">
        <v>3788</v>
      </c>
      <c r="AS168" s="614">
        <f ca="1">表格1_6[[#This Row],[total amount]]/表格1_6[[#This Row],[PO$]]</f>
        <v>0.4</v>
      </c>
      <c r="AT168" s="317">
        <f ca="1">表格1_6[[#This Row],[invoice amount]]+表格1_6[[#This Row],[invoice amount2]]</f>
        <v>3133.8520000000003</v>
      </c>
      <c r="AU168" s="224" t="s">
        <v>3789</v>
      </c>
      <c r="AV168" s="423" t="s">
        <v>4279</v>
      </c>
      <c r="AW168" s="423" t="e">
        <f ca="1">VLOOKUP(表格1_6[[#This Row],[TI tool ID2]],工作表1!A:A,1,FALSE)</f>
        <v>#N/A</v>
      </c>
      <c r="AX168" s="425" t="e">
        <f ca="1">VLOOKUP(表格1_6[[#This Row],[PO+ITEM]],工作表1!B:E,2,FALSE)</f>
        <v>#N/A</v>
      </c>
      <c r="AY168" s="425" t="e">
        <f ca="1">VLOOKUP(表格1_6[[#This Row],[PO+ITEM]],工作表1!B:E,3,FALSE)</f>
        <v>#N/A</v>
      </c>
      <c r="AZ168" s="423" t="e">
        <f ca="1">VLOOKUP(表格1_6[[#This Row],[PO+ITEM]],工作表1!B:E,4,FALSE)</f>
        <v>#N/A</v>
      </c>
      <c r="BA168" s="425" t="e">
        <f ca="1">INDEX(工作表1!G:G, MATCH(表格1_6[[#This Row],[invoice number]]&amp;表格1_6[[#This Row],[invoice number2]],工作表1!G:G, 0))</f>
        <v>#N/A</v>
      </c>
      <c r="BB168" s="423" t="e">
        <f ca="1">VLOOKUP(表格1_6[[#This Row],[PO+ITEM]],工作表1!F:H,2,FALSE)</f>
        <v>#N/A</v>
      </c>
    </row>
    <row r="169" spans="1:54" ht="15.6">
      <c r="A169" s="413">
        <v>168</v>
      </c>
      <c r="B169" s="413" t="s">
        <v>3674</v>
      </c>
      <c r="C169" s="414" t="s">
        <v>16</v>
      </c>
      <c r="D169" s="414" t="s">
        <v>3648</v>
      </c>
      <c r="E169" s="414"/>
      <c r="F169" s="414"/>
      <c r="G169" s="414"/>
      <c r="H169" s="414"/>
      <c r="I169" s="414"/>
      <c r="J169" s="414"/>
      <c r="K169" s="414"/>
      <c r="L169" s="415" t="s">
        <v>4292</v>
      </c>
      <c r="M169" s="416" t="s">
        <v>2206</v>
      </c>
      <c r="N169" s="416" t="s">
        <v>2999</v>
      </c>
      <c r="O169" s="417"/>
      <c r="P169" s="416">
        <v>4590004397</v>
      </c>
      <c r="Q169" s="418">
        <v>44801</v>
      </c>
      <c r="R169" s="419">
        <v>9</v>
      </c>
      <c r="S169" s="458">
        <v>67993.850000000006</v>
      </c>
      <c r="T169" s="420" t="s">
        <v>2156</v>
      </c>
      <c r="U169" s="414" t="s">
        <v>3926</v>
      </c>
      <c r="V169" s="414" t="s">
        <v>3927</v>
      </c>
      <c r="W169" s="417" t="s">
        <v>3928</v>
      </c>
      <c r="X169" s="417"/>
      <c r="Y169" s="421" t="s">
        <v>3652</v>
      </c>
      <c r="Z169" s="421" t="s">
        <v>3652</v>
      </c>
      <c r="AA169" s="416" t="s">
        <v>4276</v>
      </c>
      <c r="AB169" s="414" t="s">
        <v>3664</v>
      </c>
      <c r="AC169" s="422"/>
      <c r="AD169" s="421"/>
      <c r="AE169" s="420"/>
      <c r="AF169" s="421">
        <v>90681</v>
      </c>
      <c r="AG169" s="420" t="s">
        <v>2691</v>
      </c>
      <c r="AH169" s="421" t="s">
        <v>3932</v>
      </c>
      <c r="AI169" s="420" t="s">
        <v>846</v>
      </c>
      <c r="AJ169" s="413" t="str">
        <f t="shared" si="7"/>
        <v>4590004397_009</v>
      </c>
      <c r="AK169" s="423"/>
      <c r="AL169" s="424">
        <v>45017</v>
      </c>
      <c r="AM169" s="221">
        <v>0</v>
      </c>
      <c r="AN169" s="431" t="s">
        <v>3788</v>
      </c>
      <c r="AO169" s="423"/>
      <c r="AP169" s="413"/>
      <c r="AQ169" s="222"/>
      <c r="AR169" s="424"/>
      <c r="AS169" s="614">
        <f ca="1">表格1_6[[#This Row],[total amount]]/表格1_6[[#This Row],[PO$]]</f>
        <v>0</v>
      </c>
      <c r="AT169" s="223">
        <f ca="1">表格1_6[[#This Row],[invoice amount]]+表格1_6[[#This Row],[invoice amount2]]</f>
        <v>0</v>
      </c>
      <c r="AU169" s="224" t="s">
        <v>3789</v>
      </c>
      <c r="AV169" s="423" t="s">
        <v>4271</v>
      </c>
      <c r="AW169" s="423" t="e">
        <f ca="1">VLOOKUP(表格1_6[[#This Row],[TI tool ID2]],工作表1!A:A,1,FALSE)</f>
        <v>#N/A</v>
      </c>
      <c r="AX169" s="425" t="e">
        <f ca="1">VLOOKUP(表格1_6[[#This Row],[PO+ITEM]],工作表1!B:E,2,FALSE)</f>
        <v>#N/A</v>
      </c>
      <c r="AY169" s="425" t="e">
        <f ca="1">VLOOKUP(表格1_6[[#This Row],[PO+ITEM]],工作表1!B:E,3,FALSE)</f>
        <v>#N/A</v>
      </c>
      <c r="AZ169" s="423" t="e">
        <f ca="1">VLOOKUP(表格1_6[[#This Row],[PO+ITEM]],工作表1!B:E,4,FALSE)</f>
        <v>#N/A</v>
      </c>
      <c r="BA169" s="425" t="e">
        <f ca="1">INDEX(工作表1!G:G, MATCH(表格1_6[[#This Row],[invoice number]]&amp;表格1_6[[#This Row],[invoice number2]],工作表1!G:G, 0))</f>
        <v>#N/A</v>
      </c>
      <c r="BB169" s="423" t="e">
        <f ca="1">VLOOKUP(表格1_6[[#This Row],[PO+ITEM]],工作表1!F:H,2,FALSE)</f>
        <v>#N/A</v>
      </c>
    </row>
    <row r="170" spans="1:54" ht="15.6">
      <c r="A170" s="413">
        <v>169</v>
      </c>
      <c r="B170" s="413" t="s">
        <v>3659</v>
      </c>
      <c r="C170" s="414" t="s">
        <v>16</v>
      </c>
      <c r="D170" s="414" t="s">
        <v>3648</v>
      </c>
      <c r="E170" s="414"/>
      <c r="F170" s="414"/>
      <c r="G170" s="414"/>
      <c r="H170" s="414"/>
      <c r="I170" s="414"/>
      <c r="J170" s="414"/>
      <c r="K170" s="414"/>
      <c r="L170" s="415" t="s">
        <v>4293</v>
      </c>
      <c r="M170" s="416" t="s">
        <v>2206</v>
      </c>
      <c r="N170" s="416" t="s">
        <v>2999</v>
      </c>
      <c r="O170" s="417"/>
      <c r="P170" s="416">
        <v>4590004397</v>
      </c>
      <c r="Q170" s="418">
        <v>44801</v>
      </c>
      <c r="R170" s="419">
        <v>10</v>
      </c>
      <c r="S170" s="458">
        <v>67993.850000000006</v>
      </c>
      <c r="T170" s="420" t="s">
        <v>2156</v>
      </c>
      <c r="U170" s="414" t="s">
        <v>3926</v>
      </c>
      <c r="V170" s="414" t="s">
        <v>3927</v>
      </c>
      <c r="W170" s="417" t="s">
        <v>3928</v>
      </c>
      <c r="X170" s="417"/>
      <c r="Y170" s="421" t="s">
        <v>3652</v>
      </c>
      <c r="Z170" s="421" t="s">
        <v>3652</v>
      </c>
      <c r="AA170" s="416" t="s">
        <v>4270</v>
      </c>
      <c r="AB170" s="414" t="s">
        <v>3664</v>
      </c>
      <c r="AC170" s="422"/>
      <c r="AD170" s="421"/>
      <c r="AE170" s="420"/>
      <c r="AF170" s="421">
        <v>90682</v>
      </c>
      <c r="AG170" s="420" t="s">
        <v>4294</v>
      </c>
      <c r="AH170" s="421" t="s">
        <v>3932</v>
      </c>
      <c r="AI170" s="420" t="s">
        <v>846</v>
      </c>
      <c r="AJ170" s="413" t="str">
        <f t="shared" ref="AJ170:AJ175" si="8">P170&amp;"_0"&amp;R170</f>
        <v>4590004397_010</v>
      </c>
      <c r="AK170" s="423"/>
      <c r="AL170" s="424">
        <v>45017</v>
      </c>
      <c r="AM170" s="221">
        <v>0</v>
      </c>
      <c r="AN170" s="431" t="s">
        <v>3788</v>
      </c>
      <c r="AO170" s="423"/>
      <c r="AP170" s="413"/>
      <c r="AQ170" s="222"/>
      <c r="AR170" s="424"/>
      <c r="AS170" s="614">
        <f ca="1">表格1_6[[#This Row],[total amount]]/表格1_6[[#This Row],[PO$]]</f>
        <v>0</v>
      </c>
      <c r="AT170" s="223">
        <f ca="1">表格1_6[[#This Row],[invoice amount]]+表格1_6[[#This Row],[invoice amount2]]</f>
        <v>0</v>
      </c>
      <c r="AU170" s="224" t="s">
        <v>3789</v>
      </c>
      <c r="AV170" s="423" t="s">
        <v>4271</v>
      </c>
      <c r="AW170" s="423" t="e">
        <f ca="1">VLOOKUP(表格1_6[[#This Row],[TI tool ID2]],工作表1!A:A,1,FALSE)</f>
        <v>#N/A</v>
      </c>
      <c r="AX170" s="425" t="e">
        <f ca="1">VLOOKUP(表格1_6[[#This Row],[PO+ITEM]],工作表1!B:E,2,FALSE)</f>
        <v>#N/A</v>
      </c>
      <c r="AY170" s="425" t="e">
        <f ca="1">VLOOKUP(表格1_6[[#This Row],[PO+ITEM]],工作表1!B:E,3,FALSE)</f>
        <v>#N/A</v>
      </c>
      <c r="AZ170" s="423" t="e">
        <f ca="1">VLOOKUP(表格1_6[[#This Row],[PO+ITEM]],工作表1!B:E,4,FALSE)</f>
        <v>#N/A</v>
      </c>
      <c r="BA170" s="425" t="e">
        <f ca="1">INDEX(工作表1!G:G, MATCH(表格1_6[[#This Row],[invoice number]]&amp;表格1_6[[#This Row],[invoice number2]],工作表1!G:G, 0))</f>
        <v>#N/A</v>
      </c>
      <c r="BB170" s="423" t="e">
        <f ca="1">VLOOKUP(表格1_6[[#This Row],[PO+ITEM]],工作表1!F:H,2,FALSE)</f>
        <v>#N/A</v>
      </c>
    </row>
    <row r="171" spans="1:54" ht="15.6">
      <c r="A171" s="413">
        <v>170</v>
      </c>
      <c r="B171" s="413" t="s">
        <v>3674</v>
      </c>
      <c r="C171" s="414" t="s">
        <v>16</v>
      </c>
      <c r="D171" s="414" t="s">
        <v>3648</v>
      </c>
      <c r="E171" s="414"/>
      <c r="F171" s="414"/>
      <c r="G171" s="414"/>
      <c r="H171" s="414"/>
      <c r="I171" s="414"/>
      <c r="J171" s="414"/>
      <c r="K171" s="414"/>
      <c r="L171" s="415" t="s">
        <v>4295</v>
      </c>
      <c r="M171" s="416" t="s">
        <v>4269</v>
      </c>
      <c r="N171" s="416" t="s">
        <v>2999</v>
      </c>
      <c r="O171" s="417"/>
      <c r="P171" s="416">
        <v>4590004397</v>
      </c>
      <c r="Q171" s="418">
        <v>44801</v>
      </c>
      <c r="R171" s="419">
        <v>11</v>
      </c>
      <c r="S171" s="349">
        <v>74705.69</v>
      </c>
      <c r="T171" s="420" t="s">
        <v>2156</v>
      </c>
      <c r="U171" s="414" t="s">
        <v>3926</v>
      </c>
      <c r="V171" s="414" t="s">
        <v>3927</v>
      </c>
      <c r="W171" s="417" t="s">
        <v>3928</v>
      </c>
      <c r="X171" s="417"/>
      <c r="Y171" s="421" t="s">
        <v>3652</v>
      </c>
      <c r="Z171" s="421" t="s">
        <v>3652</v>
      </c>
      <c r="AA171" s="416" t="s">
        <v>4270</v>
      </c>
      <c r="AB171" s="414" t="s">
        <v>3664</v>
      </c>
      <c r="AC171" s="422"/>
      <c r="AD171" s="421"/>
      <c r="AE171" s="420"/>
      <c r="AF171" s="421">
        <v>90505</v>
      </c>
      <c r="AG171" s="420" t="s">
        <v>3164</v>
      </c>
      <c r="AH171" s="421" t="s">
        <v>4109</v>
      </c>
      <c r="AI171" s="420" t="s">
        <v>3666</v>
      </c>
      <c r="AJ171" s="413" t="str">
        <f t="shared" si="8"/>
        <v>4590004397_011</v>
      </c>
      <c r="AK171" s="420"/>
      <c r="AL171" s="424">
        <v>45108</v>
      </c>
      <c r="AM171" s="221">
        <v>0</v>
      </c>
      <c r="AN171" s="431" t="s">
        <v>3788</v>
      </c>
      <c r="AO171" s="420" t="s">
        <v>4296</v>
      </c>
      <c r="AP171" s="424">
        <v>45471</v>
      </c>
      <c r="AQ171" s="222">
        <v>74705.69</v>
      </c>
      <c r="AR171" s="424" t="s">
        <v>3805</v>
      </c>
      <c r="AS171" s="614">
        <f ca="1">表格1_6[[#This Row],[total amount]]/表格1_6[[#This Row],[PO$]]</f>
        <v>1</v>
      </c>
      <c r="AT171" s="223">
        <f ca="1">表格1_6[[#This Row],[invoice amount]]+表格1_6[[#This Row],[invoice amount2]]</f>
        <v>74705.69</v>
      </c>
      <c r="AU171" s="224" t="s">
        <v>3752</v>
      </c>
      <c r="AV171" s="423" t="s">
        <v>4271</v>
      </c>
      <c r="AW171" s="423" t="e">
        <f ca="1">VLOOKUP(表格1_6[[#This Row],[TI tool ID2]],工作表1!A:A,1,FALSE)</f>
        <v>#N/A</v>
      </c>
      <c r="AX171" s="425" t="e">
        <f ca="1">VLOOKUP(表格1_6[[#This Row],[PO+ITEM]],工作表1!B:E,2,FALSE)</f>
        <v>#N/A</v>
      </c>
      <c r="AY171" s="425" t="e">
        <f ca="1">VLOOKUP(表格1_6[[#This Row],[PO+ITEM]],工作表1!B:E,3,FALSE)</f>
        <v>#N/A</v>
      </c>
      <c r="AZ171" s="423" t="e">
        <f ca="1">VLOOKUP(表格1_6[[#This Row],[PO+ITEM]],工作表1!B:E,4,FALSE)</f>
        <v>#N/A</v>
      </c>
      <c r="BA171" s="425" t="e">
        <f ca="1">INDEX(工作表1!G:G, MATCH(表格1_6[[#This Row],[invoice number]]&amp;表格1_6[[#This Row],[invoice number2]],工作表1!G:G, 0))</f>
        <v>#N/A</v>
      </c>
      <c r="BB171" s="423" t="e">
        <f ca="1">VLOOKUP(表格1_6[[#This Row],[PO+ITEM]],工作表1!F:H,2,FALSE)</f>
        <v>#N/A</v>
      </c>
    </row>
    <row r="172" spans="1:54" ht="15.6">
      <c r="A172" s="413">
        <v>171</v>
      </c>
      <c r="B172" s="413" t="s">
        <v>3674</v>
      </c>
      <c r="C172" s="414" t="s">
        <v>16</v>
      </c>
      <c r="D172" s="414" t="s">
        <v>3648</v>
      </c>
      <c r="E172" s="414"/>
      <c r="F172" s="414"/>
      <c r="G172" s="414"/>
      <c r="H172" s="414"/>
      <c r="I172" s="414"/>
      <c r="J172" s="414"/>
      <c r="K172" s="414"/>
      <c r="L172" s="415" t="s">
        <v>4297</v>
      </c>
      <c r="M172" s="416" t="s">
        <v>4269</v>
      </c>
      <c r="N172" s="416" t="s">
        <v>2999</v>
      </c>
      <c r="O172" s="417"/>
      <c r="P172" s="416">
        <v>4590004397</v>
      </c>
      <c r="Q172" s="418">
        <v>44801</v>
      </c>
      <c r="R172" s="419">
        <v>12</v>
      </c>
      <c r="S172" s="349">
        <v>74705.69</v>
      </c>
      <c r="T172" s="420" t="s">
        <v>2156</v>
      </c>
      <c r="U172" s="414" t="s">
        <v>3926</v>
      </c>
      <c r="V172" s="414" t="s">
        <v>3927</v>
      </c>
      <c r="W172" s="417" t="s">
        <v>3928</v>
      </c>
      <c r="X172" s="417"/>
      <c r="Y172" s="421" t="s">
        <v>3652</v>
      </c>
      <c r="Z172" s="421" t="s">
        <v>3652</v>
      </c>
      <c r="AA172" s="416" t="s">
        <v>4270</v>
      </c>
      <c r="AB172" s="414" t="s">
        <v>3664</v>
      </c>
      <c r="AC172" s="422"/>
      <c r="AD172" s="421"/>
      <c r="AE172" s="420"/>
      <c r="AF172" s="421">
        <v>90504</v>
      </c>
      <c r="AG172" s="420" t="s">
        <v>3492</v>
      </c>
      <c r="AH172" s="421" t="s">
        <v>4109</v>
      </c>
      <c r="AI172" s="420" t="s">
        <v>3666</v>
      </c>
      <c r="AJ172" s="413" t="str">
        <f t="shared" si="8"/>
        <v>4590004397_012</v>
      </c>
      <c r="AK172" s="420"/>
      <c r="AL172" s="424">
        <v>45108</v>
      </c>
      <c r="AM172" s="221">
        <v>0</v>
      </c>
      <c r="AN172" s="431" t="s">
        <v>3788</v>
      </c>
      <c r="AO172" s="420" t="s">
        <v>4298</v>
      </c>
      <c r="AP172" s="424">
        <v>45471</v>
      </c>
      <c r="AQ172" s="222">
        <v>74705.69</v>
      </c>
      <c r="AR172" s="424" t="s">
        <v>3805</v>
      </c>
      <c r="AS172" s="614">
        <f ca="1">表格1_6[[#This Row],[total amount]]/表格1_6[[#This Row],[PO$]]</f>
        <v>1</v>
      </c>
      <c r="AT172" s="223">
        <f ca="1">表格1_6[[#This Row],[invoice amount]]+表格1_6[[#This Row],[invoice amount2]]</f>
        <v>74705.69</v>
      </c>
      <c r="AU172" s="224" t="s">
        <v>3752</v>
      </c>
      <c r="AV172" s="423" t="s">
        <v>4271</v>
      </c>
      <c r="AW172" s="423" t="e">
        <f ca="1">VLOOKUP(表格1_6[[#This Row],[TI tool ID2]],工作表1!A:A,1,FALSE)</f>
        <v>#N/A</v>
      </c>
      <c r="AX172" s="425" t="e">
        <f ca="1">VLOOKUP(表格1_6[[#This Row],[PO+ITEM]],工作表1!B:E,2,FALSE)</f>
        <v>#N/A</v>
      </c>
      <c r="AY172" s="425" t="e">
        <f ca="1">VLOOKUP(表格1_6[[#This Row],[PO+ITEM]],工作表1!B:E,3,FALSE)</f>
        <v>#N/A</v>
      </c>
      <c r="AZ172" s="423" t="e">
        <f ca="1">VLOOKUP(表格1_6[[#This Row],[PO+ITEM]],工作表1!B:E,4,FALSE)</f>
        <v>#N/A</v>
      </c>
      <c r="BA172" s="425" t="e">
        <f ca="1">INDEX(工作表1!G:G, MATCH(表格1_6[[#This Row],[invoice number]]&amp;表格1_6[[#This Row],[invoice number2]],工作表1!G:G, 0))</f>
        <v>#N/A</v>
      </c>
      <c r="BB172" s="423" t="e">
        <f ca="1">VLOOKUP(表格1_6[[#This Row],[PO+ITEM]],工作表1!F:H,2,FALSE)</f>
        <v>#N/A</v>
      </c>
    </row>
    <row r="173" spans="1:54" ht="15.6">
      <c r="A173" s="413">
        <v>172</v>
      </c>
      <c r="B173" s="413" t="s">
        <v>3674</v>
      </c>
      <c r="C173" s="414" t="s">
        <v>16</v>
      </c>
      <c r="D173" s="414" t="s">
        <v>3648</v>
      </c>
      <c r="E173" s="414"/>
      <c r="F173" s="414"/>
      <c r="G173" s="414"/>
      <c r="H173" s="414"/>
      <c r="I173" s="414"/>
      <c r="J173" s="414"/>
      <c r="K173" s="414"/>
      <c r="L173" s="415" t="s">
        <v>4299</v>
      </c>
      <c r="M173" s="416" t="s">
        <v>2206</v>
      </c>
      <c r="N173" s="416" t="s">
        <v>2999</v>
      </c>
      <c r="O173" s="417"/>
      <c r="P173" s="416">
        <v>4590004397</v>
      </c>
      <c r="Q173" s="418">
        <v>44801</v>
      </c>
      <c r="R173" s="419">
        <v>13</v>
      </c>
      <c r="S173" s="458">
        <v>7834.63</v>
      </c>
      <c r="T173" s="420" t="s">
        <v>2156</v>
      </c>
      <c r="U173" s="414" t="s">
        <v>3926</v>
      </c>
      <c r="V173" s="414" t="s">
        <v>3927</v>
      </c>
      <c r="W173" s="417" t="s">
        <v>3928</v>
      </c>
      <c r="X173" s="417"/>
      <c r="Y173" s="421" t="s">
        <v>3652</v>
      </c>
      <c r="Z173" s="421" t="s">
        <v>3652</v>
      </c>
      <c r="AA173" s="416" t="s">
        <v>4270</v>
      </c>
      <c r="AB173" s="414" t="s">
        <v>3664</v>
      </c>
      <c r="AC173" s="422"/>
      <c r="AD173" s="421"/>
      <c r="AE173" s="420"/>
      <c r="AF173" s="421">
        <v>90146</v>
      </c>
      <c r="AG173" s="420" t="s">
        <v>2615</v>
      </c>
      <c r="AH173" s="421" t="s">
        <v>3932</v>
      </c>
      <c r="AI173" s="420" t="s">
        <v>846</v>
      </c>
      <c r="AJ173" s="413" t="str">
        <f t="shared" si="8"/>
        <v>4590004397_013</v>
      </c>
      <c r="AK173" s="423" t="s">
        <v>4300</v>
      </c>
      <c r="AL173" s="424">
        <v>45079</v>
      </c>
      <c r="AM173" s="221">
        <v>3133.8520000000003</v>
      </c>
      <c r="AN173" s="228">
        <v>45303</v>
      </c>
      <c r="AO173" s="423" t="s">
        <v>4301</v>
      </c>
      <c r="AP173" s="424">
        <v>45483</v>
      </c>
      <c r="AQ173" s="222">
        <v>4700.7780000000002</v>
      </c>
      <c r="AR173" s="424">
        <v>45534</v>
      </c>
      <c r="AS173" s="614">
        <f ca="1">表格1_6[[#This Row],[total amount]]/表格1_6[[#This Row],[PO$]]</f>
        <v>1.0000000000000002</v>
      </c>
      <c r="AT173" s="223">
        <f ca="1">表格1_6[[#This Row],[invoice amount]]+表格1_6[[#This Row],[invoice amount2]]</f>
        <v>7834.630000000001</v>
      </c>
      <c r="AU173" s="224" t="s">
        <v>3673</v>
      </c>
      <c r="AV173" s="423"/>
      <c r="AW173" s="423" t="e">
        <f ca="1">VLOOKUP(表格1_6[[#This Row],[TI tool ID2]],工作表1!A:A,1,FALSE)</f>
        <v>#N/A</v>
      </c>
      <c r="AX173" s="425" t="e">
        <f ca="1">VLOOKUP(表格1_6[[#This Row],[PO+ITEM]],工作表1!B:E,2,FALSE)</f>
        <v>#N/A</v>
      </c>
      <c r="AY173" s="425" t="e">
        <f ca="1">VLOOKUP(表格1_6[[#This Row],[PO+ITEM]],工作表1!B:E,3,FALSE)</f>
        <v>#N/A</v>
      </c>
      <c r="AZ173" s="423" t="e">
        <f ca="1">VLOOKUP(表格1_6[[#This Row],[PO+ITEM]],工作表1!B:E,4,FALSE)</f>
        <v>#N/A</v>
      </c>
      <c r="BA173" s="425" t="e">
        <f ca="1">INDEX(工作表1!G:G, MATCH(表格1_6[[#This Row],[invoice number]]&amp;表格1_6[[#This Row],[invoice number2]],工作表1!G:G, 0))</f>
        <v>#N/A</v>
      </c>
      <c r="BB173" s="423" t="e">
        <f ca="1">VLOOKUP(表格1_6[[#This Row],[PO+ITEM]],工作表1!F:H,2,FALSE)</f>
        <v>#N/A</v>
      </c>
    </row>
    <row r="174" spans="1:54" ht="15.6">
      <c r="A174" s="413">
        <v>173</v>
      </c>
      <c r="B174" s="413" t="s">
        <v>3674</v>
      </c>
      <c r="C174" s="414" t="s">
        <v>16</v>
      </c>
      <c r="D174" s="414" t="s">
        <v>3648</v>
      </c>
      <c r="E174" s="414"/>
      <c r="F174" s="414"/>
      <c r="G174" s="414"/>
      <c r="H174" s="414"/>
      <c r="I174" s="414"/>
      <c r="J174" s="414"/>
      <c r="K174" s="414"/>
      <c r="L174" s="415" t="s">
        <v>4302</v>
      </c>
      <c r="M174" s="416" t="s">
        <v>2206</v>
      </c>
      <c r="N174" s="416" t="s">
        <v>2999</v>
      </c>
      <c r="O174" s="417"/>
      <c r="P174" s="416">
        <v>4590004397</v>
      </c>
      <c r="Q174" s="418">
        <v>44801</v>
      </c>
      <c r="R174" s="419">
        <v>14</v>
      </c>
      <c r="S174" s="458">
        <v>7834.63</v>
      </c>
      <c r="T174" s="420" t="s">
        <v>2156</v>
      </c>
      <c r="U174" s="414" t="s">
        <v>3926</v>
      </c>
      <c r="V174" s="414" t="s">
        <v>3927</v>
      </c>
      <c r="W174" s="417" t="s">
        <v>3928</v>
      </c>
      <c r="X174" s="417"/>
      <c r="Y174" s="421" t="s">
        <v>3652</v>
      </c>
      <c r="Z174" s="421" t="s">
        <v>3652</v>
      </c>
      <c r="AA174" s="416" t="s">
        <v>4270</v>
      </c>
      <c r="AB174" s="414" t="s">
        <v>3664</v>
      </c>
      <c r="AC174" s="422"/>
      <c r="AD174" s="421"/>
      <c r="AE174" s="420"/>
      <c r="AF174" s="421">
        <v>90147</v>
      </c>
      <c r="AG174" s="420" t="s">
        <v>4303</v>
      </c>
      <c r="AH174" s="421" t="s">
        <v>3932</v>
      </c>
      <c r="AI174" s="420" t="s">
        <v>846</v>
      </c>
      <c r="AJ174" s="413" t="str">
        <f t="shared" si="8"/>
        <v>4590004397_014</v>
      </c>
      <c r="AK174" s="423" t="s">
        <v>4304</v>
      </c>
      <c r="AL174" s="424">
        <v>45079</v>
      </c>
      <c r="AM174" s="221">
        <v>3133.8520000000003</v>
      </c>
      <c r="AN174" s="228">
        <v>45303</v>
      </c>
      <c r="AO174" s="423" t="s">
        <v>4305</v>
      </c>
      <c r="AP174" s="424">
        <v>45483</v>
      </c>
      <c r="AQ174" s="222">
        <v>4700.7780000000002</v>
      </c>
      <c r="AR174" s="424">
        <v>45534</v>
      </c>
      <c r="AS174" s="614">
        <f ca="1">表格1_6[[#This Row],[total amount]]/表格1_6[[#This Row],[PO$]]</f>
        <v>1.0000000000000002</v>
      </c>
      <c r="AT174" s="223">
        <f ca="1">表格1_6[[#This Row],[invoice amount]]+表格1_6[[#This Row],[invoice amount2]]</f>
        <v>7834.630000000001</v>
      </c>
      <c r="AU174" s="224" t="s">
        <v>3673</v>
      </c>
      <c r="AV174" s="423"/>
      <c r="AW174" s="423" t="e">
        <f ca="1">VLOOKUP(表格1_6[[#This Row],[TI tool ID2]],工作表1!A:A,1,FALSE)</f>
        <v>#N/A</v>
      </c>
      <c r="AX174" s="425" t="e">
        <f ca="1">VLOOKUP(表格1_6[[#This Row],[PO+ITEM]],工作表1!B:E,2,FALSE)</f>
        <v>#N/A</v>
      </c>
      <c r="AY174" s="425" t="e">
        <f ca="1">VLOOKUP(表格1_6[[#This Row],[PO+ITEM]],工作表1!B:E,3,FALSE)</f>
        <v>#N/A</v>
      </c>
      <c r="AZ174" s="423" t="e">
        <f ca="1">VLOOKUP(表格1_6[[#This Row],[PO+ITEM]],工作表1!B:E,4,FALSE)</f>
        <v>#N/A</v>
      </c>
      <c r="BA174" s="425" t="e">
        <f ca="1">INDEX(工作表1!G:G, MATCH(表格1_6[[#This Row],[invoice number]]&amp;表格1_6[[#This Row],[invoice number2]],工作表1!G:G, 0))</f>
        <v>#N/A</v>
      </c>
      <c r="BB174" s="423" t="e">
        <f ca="1">VLOOKUP(表格1_6[[#This Row],[PO+ITEM]],工作表1!F:H,2,FALSE)</f>
        <v>#N/A</v>
      </c>
    </row>
    <row r="175" spans="1:54" ht="15.6">
      <c r="A175" s="413">
        <v>174</v>
      </c>
      <c r="B175" s="413" t="s">
        <v>3674</v>
      </c>
      <c r="C175" s="414" t="s">
        <v>16</v>
      </c>
      <c r="D175" s="414" t="s">
        <v>3648</v>
      </c>
      <c r="E175" s="414"/>
      <c r="F175" s="414"/>
      <c r="G175" s="414"/>
      <c r="H175" s="414"/>
      <c r="I175" s="414"/>
      <c r="J175" s="414"/>
      <c r="K175" s="414"/>
      <c r="L175" s="415" t="s">
        <v>4306</v>
      </c>
      <c r="M175" s="416" t="s">
        <v>2206</v>
      </c>
      <c r="N175" s="416" t="s">
        <v>2999</v>
      </c>
      <c r="O175" s="417"/>
      <c r="P175" s="416">
        <v>4590004397</v>
      </c>
      <c r="Q175" s="418">
        <v>44801</v>
      </c>
      <c r="R175" s="419">
        <v>15</v>
      </c>
      <c r="S175" s="458">
        <v>7834.63</v>
      </c>
      <c r="T175" s="420" t="s">
        <v>2156</v>
      </c>
      <c r="U175" s="414" t="s">
        <v>3926</v>
      </c>
      <c r="V175" s="414" t="s">
        <v>3927</v>
      </c>
      <c r="W175" s="417" t="s">
        <v>3928</v>
      </c>
      <c r="X175" s="417"/>
      <c r="Y175" s="421" t="s">
        <v>3652</v>
      </c>
      <c r="Z175" s="421" t="s">
        <v>3652</v>
      </c>
      <c r="AA175" s="416" t="s">
        <v>4276</v>
      </c>
      <c r="AB175" s="414" t="s">
        <v>3664</v>
      </c>
      <c r="AC175" s="422"/>
      <c r="AD175" s="421"/>
      <c r="AE175" s="420"/>
      <c r="AF175" s="421">
        <v>90148</v>
      </c>
      <c r="AG175" s="420" t="s">
        <v>2606</v>
      </c>
      <c r="AH175" s="421" t="s">
        <v>3932</v>
      </c>
      <c r="AI175" s="420" t="s">
        <v>846</v>
      </c>
      <c r="AJ175" s="413" t="str">
        <f t="shared" si="8"/>
        <v>4590004397_015</v>
      </c>
      <c r="AK175" s="423" t="s">
        <v>4307</v>
      </c>
      <c r="AL175" s="424">
        <v>45079</v>
      </c>
      <c r="AM175" s="221">
        <v>3133.8520000000003</v>
      </c>
      <c r="AN175" s="228">
        <v>45303</v>
      </c>
      <c r="AO175" s="423"/>
      <c r="AP175" s="413"/>
      <c r="AQ175" s="222"/>
      <c r="AR175" s="424"/>
      <c r="AS175" s="614">
        <f ca="1">表格1_6[[#This Row],[total amount]]/表格1_6[[#This Row],[PO$]]</f>
        <v>0.4</v>
      </c>
      <c r="AT175" s="223">
        <f ca="1">表格1_6[[#This Row],[invoice amount]]+表格1_6[[#This Row],[invoice amount2]]</f>
        <v>3133.8520000000003</v>
      </c>
      <c r="AU175" s="224" t="s">
        <v>3673</v>
      </c>
      <c r="AV175" s="423"/>
      <c r="AW175" s="423" t="e">
        <f ca="1">VLOOKUP(表格1_6[[#This Row],[TI tool ID2]],工作表1!A:A,1,FALSE)</f>
        <v>#N/A</v>
      </c>
      <c r="AX175" s="425" t="e">
        <f ca="1">VLOOKUP(表格1_6[[#This Row],[PO+ITEM]],工作表1!B:E,2,FALSE)</f>
        <v>#N/A</v>
      </c>
      <c r="AY175" s="425" t="e">
        <f ca="1">VLOOKUP(表格1_6[[#This Row],[PO+ITEM]],工作表1!B:E,3,FALSE)</f>
        <v>#N/A</v>
      </c>
      <c r="AZ175" s="423" t="e">
        <f ca="1">VLOOKUP(表格1_6[[#This Row],[PO+ITEM]],工作表1!B:E,4,FALSE)</f>
        <v>#N/A</v>
      </c>
      <c r="BA175" s="425" t="e">
        <f ca="1">INDEX(工作表1!G:G, MATCH(表格1_6[[#This Row],[invoice number]]&amp;表格1_6[[#This Row],[invoice number2]],工作表1!G:G, 0))</f>
        <v>#N/A</v>
      </c>
      <c r="BB175" s="423" t="e">
        <f ca="1">VLOOKUP(表格1_6[[#This Row],[PO+ITEM]],工作表1!F:H,2,FALSE)</f>
        <v>#N/A</v>
      </c>
    </row>
    <row r="176" spans="1:54" ht="14.45">
      <c r="A176" s="413">
        <v>175</v>
      </c>
      <c r="B176" s="413" t="s">
        <v>3674</v>
      </c>
      <c r="C176" s="414" t="s">
        <v>16</v>
      </c>
      <c r="D176" s="414" t="s">
        <v>3648</v>
      </c>
      <c r="E176" s="414"/>
      <c r="F176" s="414"/>
      <c r="G176" s="414"/>
      <c r="H176" s="414"/>
      <c r="I176" s="414"/>
      <c r="J176" s="414"/>
      <c r="K176" s="414"/>
      <c r="L176" s="415" t="s">
        <v>4308</v>
      </c>
      <c r="M176" s="416" t="s">
        <v>2999</v>
      </c>
      <c r="N176" s="416" t="s">
        <v>2999</v>
      </c>
      <c r="O176" s="417"/>
      <c r="P176" s="416">
        <v>4590004398</v>
      </c>
      <c r="Q176" s="418">
        <v>44801</v>
      </c>
      <c r="R176" s="419">
        <v>1</v>
      </c>
      <c r="S176" s="544">
        <v>1039.5999999999999</v>
      </c>
      <c r="T176" s="420" t="s">
        <v>2156</v>
      </c>
      <c r="U176" s="414" t="s">
        <v>3864</v>
      </c>
      <c r="V176" s="414" t="s">
        <v>3865</v>
      </c>
      <c r="W176" s="417" t="s">
        <v>3866</v>
      </c>
      <c r="X176" s="417"/>
      <c r="Y176" s="421" t="s">
        <v>3652</v>
      </c>
      <c r="Z176" s="421" t="s">
        <v>3652</v>
      </c>
      <c r="AA176" s="416"/>
      <c r="AB176" s="414" t="s">
        <v>3664</v>
      </c>
      <c r="AC176" s="422"/>
      <c r="AD176" s="421"/>
      <c r="AE176" s="420"/>
      <c r="AF176" s="421">
        <v>90463</v>
      </c>
      <c r="AG176" s="420" t="s">
        <v>3081</v>
      </c>
      <c r="AH176" s="421" t="s">
        <v>3770</v>
      </c>
      <c r="AI176" s="420" t="s">
        <v>4309</v>
      </c>
      <c r="AJ176" s="413" t="str">
        <f t="shared" ref="AJ176:AJ184" si="9">P176&amp;"_00"&amp;R176</f>
        <v>4590004398_001</v>
      </c>
      <c r="AK176" s="423" t="s">
        <v>4310</v>
      </c>
      <c r="AL176" s="424">
        <v>45520</v>
      </c>
      <c r="AM176" s="221">
        <v>1039.5999999999999</v>
      </c>
      <c r="AN176" s="424" t="s">
        <v>3805</v>
      </c>
      <c r="AO176" s="423"/>
      <c r="AP176" s="413"/>
      <c r="AQ176" s="222"/>
      <c r="AR176" s="424"/>
      <c r="AS176" s="614">
        <f ca="1">表格1_6[[#This Row],[total amount]]/表格1_6[[#This Row],[PO$]]</f>
        <v>1</v>
      </c>
      <c r="AT176" s="223">
        <f ca="1">表格1_6[[#This Row],[invoice amount]]+表格1_6[[#This Row],[invoice amount2]]</f>
        <v>1039.5999999999999</v>
      </c>
      <c r="AU176" s="224" t="s">
        <v>3701</v>
      </c>
      <c r="AV176" s="423"/>
      <c r="AW176" s="423" t="e">
        <f ca="1">VLOOKUP(表格1_6[[#This Row],[TI tool ID2]],工作表1!A:A,1,FALSE)</f>
        <v>#N/A</v>
      </c>
      <c r="AX176" s="425" t="e">
        <f ca="1">VLOOKUP(表格1_6[[#This Row],[PO+ITEM]],工作表1!B:E,2,FALSE)</f>
        <v>#N/A</v>
      </c>
      <c r="AY176" s="425" t="e">
        <f ca="1">VLOOKUP(表格1_6[[#This Row],[PO+ITEM]],工作表1!B:E,3,FALSE)</f>
        <v>#N/A</v>
      </c>
      <c r="AZ176" s="423" t="e">
        <f ca="1">VLOOKUP(表格1_6[[#This Row],[PO+ITEM]],工作表1!B:E,4,FALSE)</f>
        <v>#N/A</v>
      </c>
      <c r="BA176" s="425" t="e">
        <f ca="1">INDEX(工作表1!G:G, MATCH(表格1_6[[#This Row],[invoice number]]&amp;表格1_6[[#This Row],[invoice number2]],工作表1!G:G, 0))</f>
        <v>#N/A</v>
      </c>
      <c r="BB176" s="423" t="e">
        <f ca="1">VLOOKUP(表格1_6[[#This Row],[PO+ITEM]],工作表1!F:H,2,FALSE)</f>
        <v>#N/A</v>
      </c>
    </row>
    <row r="177" spans="1:54" ht="14.45">
      <c r="A177" s="413">
        <v>176</v>
      </c>
      <c r="B177" s="413" t="s">
        <v>3674</v>
      </c>
      <c r="C177" s="414" t="s">
        <v>16</v>
      </c>
      <c r="D177" s="414" t="s">
        <v>3648</v>
      </c>
      <c r="E177" s="414"/>
      <c r="F177" s="414"/>
      <c r="G177" s="414"/>
      <c r="H177" s="414"/>
      <c r="I177" s="414"/>
      <c r="J177" s="414"/>
      <c r="K177" s="414"/>
      <c r="L177" s="415" t="s">
        <v>4311</v>
      </c>
      <c r="M177" s="416" t="s">
        <v>2999</v>
      </c>
      <c r="N177" s="416" t="s">
        <v>2999</v>
      </c>
      <c r="O177" s="417"/>
      <c r="P177" s="416">
        <v>4590004398</v>
      </c>
      <c r="Q177" s="418">
        <v>44801</v>
      </c>
      <c r="R177" s="419">
        <v>2</v>
      </c>
      <c r="S177" s="544">
        <v>1039.5999999999999</v>
      </c>
      <c r="T177" s="420" t="s">
        <v>2156</v>
      </c>
      <c r="U177" s="414" t="s">
        <v>3864</v>
      </c>
      <c r="V177" s="414" t="s">
        <v>3865</v>
      </c>
      <c r="W177" s="417" t="s">
        <v>3866</v>
      </c>
      <c r="X177" s="417"/>
      <c r="Y177" s="421" t="s">
        <v>3652</v>
      </c>
      <c r="Z177" s="421" t="s">
        <v>3652</v>
      </c>
      <c r="AA177" s="416"/>
      <c r="AB177" s="414" t="s">
        <v>3664</v>
      </c>
      <c r="AC177" s="422"/>
      <c r="AD177" s="421"/>
      <c r="AE177" s="420"/>
      <c r="AF177" s="421">
        <v>90467</v>
      </c>
      <c r="AG177" s="420" t="s">
        <v>3084</v>
      </c>
      <c r="AH177" s="421" t="s">
        <v>3770</v>
      </c>
      <c r="AI177" s="420" t="s">
        <v>4309</v>
      </c>
      <c r="AJ177" s="413" t="str">
        <f t="shared" si="9"/>
        <v>4590004398_002</v>
      </c>
      <c r="AK177" s="423" t="s">
        <v>4312</v>
      </c>
      <c r="AL177" s="424">
        <v>45520</v>
      </c>
      <c r="AM177" s="221">
        <v>1039.5999999999999</v>
      </c>
      <c r="AN177" s="424" t="s">
        <v>3805</v>
      </c>
      <c r="AO177" s="423"/>
      <c r="AP177" s="413"/>
      <c r="AQ177" s="222"/>
      <c r="AR177" s="424"/>
      <c r="AS177" s="614">
        <f ca="1">表格1_6[[#This Row],[total amount]]/表格1_6[[#This Row],[PO$]]</f>
        <v>1</v>
      </c>
      <c r="AT177" s="223">
        <f ca="1">表格1_6[[#This Row],[invoice amount]]+表格1_6[[#This Row],[invoice amount2]]</f>
        <v>1039.5999999999999</v>
      </c>
      <c r="AU177" s="224" t="s">
        <v>3701</v>
      </c>
      <c r="AV177" s="423"/>
      <c r="AW177" s="423" t="e">
        <f ca="1">VLOOKUP(表格1_6[[#This Row],[TI tool ID2]],工作表1!A:A,1,FALSE)</f>
        <v>#N/A</v>
      </c>
      <c r="AX177" s="425" t="e">
        <f ca="1">VLOOKUP(表格1_6[[#This Row],[PO+ITEM]],工作表1!B:E,2,FALSE)</f>
        <v>#N/A</v>
      </c>
      <c r="AY177" s="425" t="e">
        <f ca="1">VLOOKUP(表格1_6[[#This Row],[PO+ITEM]],工作表1!B:E,3,FALSE)</f>
        <v>#N/A</v>
      </c>
      <c r="AZ177" s="423" t="e">
        <f ca="1">VLOOKUP(表格1_6[[#This Row],[PO+ITEM]],工作表1!B:E,4,FALSE)</f>
        <v>#N/A</v>
      </c>
      <c r="BA177" s="425" t="e">
        <f ca="1">INDEX(工作表1!G:G, MATCH(表格1_6[[#This Row],[invoice number]]&amp;表格1_6[[#This Row],[invoice number2]],工作表1!G:G, 0))</f>
        <v>#N/A</v>
      </c>
      <c r="BB177" s="423" t="e">
        <f ca="1">VLOOKUP(表格1_6[[#This Row],[PO+ITEM]],工作表1!F:H,2,FALSE)</f>
        <v>#N/A</v>
      </c>
    </row>
    <row r="178" spans="1:54" ht="14.45">
      <c r="A178" s="413">
        <v>177</v>
      </c>
      <c r="B178" s="413" t="s">
        <v>3674</v>
      </c>
      <c r="C178" s="414" t="s">
        <v>16</v>
      </c>
      <c r="D178" s="414" t="s">
        <v>3648</v>
      </c>
      <c r="E178" s="414"/>
      <c r="F178" s="414"/>
      <c r="G178" s="414"/>
      <c r="H178" s="414"/>
      <c r="I178" s="414"/>
      <c r="J178" s="414"/>
      <c r="K178" s="414"/>
      <c r="L178" s="420" t="s">
        <v>4313</v>
      </c>
      <c r="M178" s="416" t="s">
        <v>2999</v>
      </c>
      <c r="N178" s="416" t="s">
        <v>2999</v>
      </c>
      <c r="O178" s="417"/>
      <c r="P178" s="416">
        <v>4590004398</v>
      </c>
      <c r="Q178" s="418">
        <v>44801</v>
      </c>
      <c r="R178" s="419">
        <v>3</v>
      </c>
      <c r="S178" s="544">
        <v>1039.5999999999999</v>
      </c>
      <c r="T178" s="420" t="s">
        <v>2156</v>
      </c>
      <c r="U178" s="414" t="s">
        <v>3864</v>
      </c>
      <c r="V178" s="414" t="s">
        <v>3865</v>
      </c>
      <c r="W178" s="417" t="s">
        <v>3866</v>
      </c>
      <c r="X178" s="417"/>
      <c r="Y178" s="421" t="s">
        <v>3652</v>
      </c>
      <c r="Z178" s="421" t="s">
        <v>3652</v>
      </c>
      <c r="AA178" s="416"/>
      <c r="AB178" s="414" t="s">
        <v>3664</v>
      </c>
      <c r="AC178" s="422"/>
      <c r="AD178" s="421"/>
      <c r="AE178" s="420"/>
      <c r="AF178" s="421">
        <v>90468</v>
      </c>
      <c r="AG178" s="420" t="s">
        <v>3085</v>
      </c>
      <c r="AH178" s="421" t="s">
        <v>3770</v>
      </c>
      <c r="AI178" s="420" t="s">
        <v>4309</v>
      </c>
      <c r="AJ178" s="413" t="str">
        <f t="shared" si="9"/>
        <v>4590004398_003</v>
      </c>
      <c r="AK178" s="423" t="s">
        <v>4314</v>
      </c>
      <c r="AL178" s="424">
        <v>45520</v>
      </c>
      <c r="AM178" s="221">
        <v>1039.5999999999999</v>
      </c>
      <c r="AN178" s="424" t="s">
        <v>3805</v>
      </c>
      <c r="AO178" s="423"/>
      <c r="AP178" s="413"/>
      <c r="AQ178" s="222"/>
      <c r="AR178" s="424"/>
      <c r="AS178" s="614">
        <f ca="1">表格1_6[[#This Row],[total amount]]/表格1_6[[#This Row],[PO$]]</f>
        <v>1</v>
      </c>
      <c r="AT178" s="223">
        <f ca="1">表格1_6[[#This Row],[invoice amount]]+表格1_6[[#This Row],[invoice amount2]]</f>
        <v>1039.5999999999999</v>
      </c>
      <c r="AU178" s="224" t="s">
        <v>3701</v>
      </c>
      <c r="AV178" s="423"/>
      <c r="AW178" s="423" t="e">
        <f ca="1">VLOOKUP(表格1_6[[#This Row],[TI tool ID2]],工作表1!A:A,1,FALSE)</f>
        <v>#N/A</v>
      </c>
      <c r="AX178" s="425" t="e">
        <f ca="1">VLOOKUP(表格1_6[[#This Row],[PO+ITEM]],工作表1!B:E,2,FALSE)</f>
        <v>#N/A</v>
      </c>
      <c r="AY178" s="425" t="e">
        <f ca="1">VLOOKUP(表格1_6[[#This Row],[PO+ITEM]],工作表1!B:E,3,FALSE)</f>
        <v>#N/A</v>
      </c>
      <c r="AZ178" s="423" t="e">
        <f ca="1">VLOOKUP(表格1_6[[#This Row],[PO+ITEM]],工作表1!B:E,4,FALSE)</f>
        <v>#N/A</v>
      </c>
      <c r="BA178" s="425" t="e">
        <f ca="1">INDEX(工作表1!G:G, MATCH(表格1_6[[#This Row],[invoice number]]&amp;表格1_6[[#This Row],[invoice number2]],工作表1!G:G, 0))</f>
        <v>#N/A</v>
      </c>
      <c r="BB178" s="423" t="e">
        <f ca="1">VLOOKUP(表格1_6[[#This Row],[PO+ITEM]],工作表1!F:H,2,FALSE)</f>
        <v>#N/A</v>
      </c>
    </row>
    <row r="179" spans="1:54" ht="14.45">
      <c r="A179" s="413">
        <v>178</v>
      </c>
      <c r="B179" s="413" t="s">
        <v>3674</v>
      </c>
      <c r="C179" s="414" t="s">
        <v>16</v>
      </c>
      <c r="D179" s="414" t="s">
        <v>3648</v>
      </c>
      <c r="E179" s="414"/>
      <c r="F179" s="414"/>
      <c r="G179" s="414"/>
      <c r="H179" s="414"/>
      <c r="I179" s="414"/>
      <c r="J179" s="414"/>
      <c r="K179" s="414"/>
      <c r="L179" s="415" t="s">
        <v>4315</v>
      </c>
      <c r="M179" s="416" t="s">
        <v>2999</v>
      </c>
      <c r="N179" s="416" t="s">
        <v>2999</v>
      </c>
      <c r="O179" s="417"/>
      <c r="P179" s="416">
        <v>4590004398</v>
      </c>
      <c r="Q179" s="418">
        <v>44801</v>
      </c>
      <c r="R179" s="419">
        <v>4</v>
      </c>
      <c r="S179" s="458">
        <v>1039.5999999999999</v>
      </c>
      <c r="T179" s="420" t="s">
        <v>2156</v>
      </c>
      <c r="U179" s="414" t="s">
        <v>3864</v>
      </c>
      <c r="V179" s="414" t="s">
        <v>3865</v>
      </c>
      <c r="W179" s="417" t="s">
        <v>3866</v>
      </c>
      <c r="X179" s="417"/>
      <c r="Y179" s="421" t="s">
        <v>3652</v>
      </c>
      <c r="Z179" s="421" t="s">
        <v>3652</v>
      </c>
      <c r="AA179" s="416" t="s">
        <v>4316</v>
      </c>
      <c r="AB179" s="414" t="s">
        <v>3664</v>
      </c>
      <c r="AC179" s="422"/>
      <c r="AD179" s="421"/>
      <c r="AE179" s="420"/>
      <c r="AF179" s="421">
        <v>90475</v>
      </c>
      <c r="AG179" s="420" t="s">
        <v>3086</v>
      </c>
      <c r="AH179" s="421" t="s">
        <v>3770</v>
      </c>
      <c r="AI179" s="420" t="s">
        <v>4309</v>
      </c>
      <c r="AJ179" s="413" t="str">
        <f t="shared" si="9"/>
        <v>4590004398_004</v>
      </c>
      <c r="AK179" s="423" t="s">
        <v>4317</v>
      </c>
      <c r="AL179" s="424">
        <v>45422</v>
      </c>
      <c r="AM179" s="221">
        <v>1039.5999999999999</v>
      </c>
      <c r="AN179" s="424">
        <v>45519</v>
      </c>
      <c r="AO179" s="423"/>
      <c r="AP179" s="413"/>
      <c r="AQ179" s="222"/>
      <c r="AR179" s="424"/>
      <c r="AS179" s="614">
        <f ca="1">表格1_6[[#This Row],[total amount]]/表格1_6[[#This Row],[PO$]]</f>
        <v>1</v>
      </c>
      <c r="AT179" s="223">
        <f ca="1">表格1_6[[#This Row],[invoice amount]]+表格1_6[[#This Row],[invoice amount2]]</f>
        <v>1039.5999999999999</v>
      </c>
      <c r="AU179" s="224" t="s">
        <v>3657</v>
      </c>
      <c r="AV179" s="423"/>
      <c r="AW179" s="423" t="e">
        <f ca="1">VLOOKUP(表格1_6[[#This Row],[TI tool ID2]],工作表1!A:A,1,FALSE)</f>
        <v>#N/A</v>
      </c>
      <c r="AX179" s="425" t="e">
        <f ca="1">VLOOKUP(表格1_6[[#This Row],[PO+ITEM]],工作表1!B:E,2,FALSE)</f>
        <v>#N/A</v>
      </c>
      <c r="AY179" s="425" t="e">
        <f ca="1">VLOOKUP(表格1_6[[#This Row],[PO+ITEM]],工作表1!B:E,3,FALSE)</f>
        <v>#N/A</v>
      </c>
      <c r="AZ179" s="423" t="e">
        <f ca="1">VLOOKUP(表格1_6[[#This Row],[PO+ITEM]],工作表1!B:E,4,FALSE)</f>
        <v>#N/A</v>
      </c>
      <c r="BA179" s="425" t="e">
        <f ca="1">INDEX(工作表1!G:G, MATCH(表格1_6[[#This Row],[invoice number]]&amp;表格1_6[[#This Row],[invoice number2]],工作表1!G:G, 0))</f>
        <v>#N/A</v>
      </c>
      <c r="BB179" s="423" t="e">
        <f ca="1">VLOOKUP(表格1_6[[#This Row],[PO+ITEM]],工作表1!F:H,2,FALSE)</f>
        <v>#N/A</v>
      </c>
    </row>
    <row r="180" spans="1:54" ht="14.45">
      <c r="A180" s="413">
        <v>179</v>
      </c>
      <c r="B180" s="413" t="s">
        <v>3674</v>
      </c>
      <c r="C180" s="414" t="s">
        <v>16</v>
      </c>
      <c r="D180" s="414" t="s">
        <v>3648</v>
      </c>
      <c r="E180" s="414"/>
      <c r="F180" s="414"/>
      <c r="G180" s="414"/>
      <c r="H180" s="414"/>
      <c r="I180" s="414"/>
      <c r="J180" s="414"/>
      <c r="K180" s="414"/>
      <c r="L180" s="420" t="s">
        <v>4318</v>
      </c>
      <c r="M180" s="416" t="s">
        <v>2999</v>
      </c>
      <c r="N180" s="416" t="s">
        <v>2999</v>
      </c>
      <c r="O180" s="417"/>
      <c r="P180" s="416">
        <v>4590004398</v>
      </c>
      <c r="Q180" s="418">
        <v>44801</v>
      </c>
      <c r="R180" s="419">
        <v>5</v>
      </c>
      <c r="S180" s="544">
        <v>1039.5999999999999</v>
      </c>
      <c r="T180" s="420" t="s">
        <v>2156</v>
      </c>
      <c r="U180" s="414" t="s">
        <v>3864</v>
      </c>
      <c r="V180" s="414" t="s">
        <v>3865</v>
      </c>
      <c r="W180" s="417" t="s">
        <v>3866</v>
      </c>
      <c r="X180" s="417"/>
      <c r="Y180" s="421" t="s">
        <v>3652</v>
      </c>
      <c r="Z180" s="421" t="s">
        <v>3652</v>
      </c>
      <c r="AA180" s="416"/>
      <c r="AB180" s="414" t="s">
        <v>3664</v>
      </c>
      <c r="AC180" s="422"/>
      <c r="AD180" s="421"/>
      <c r="AE180" s="420"/>
      <c r="AF180" s="421">
        <v>90476</v>
      </c>
      <c r="AG180" s="420" t="s">
        <v>3087</v>
      </c>
      <c r="AH180" s="421" t="s">
        <v>3770</v>
      </c>
      <c r="AI180" s="420" t="s">
        <v>4309</v>
      </c>
      <c r="AJ180" s="413" t="str">
        <f t="shared" si="9"/>
        <v>4590004398_005</v>
      </c>
      <c r="AK180" s="423" t="s">
        <v>4319</v>
      </c>
      <c r="AL180" s="424">
        <v>45520</v>
      </c>
      <c r="AM180" s="221">
        <v>1039.5999999999999</v>
      </c>
      <c r="AN180" s="424" t="s">
        <v>3805</v>
      </c>
      <c r="AO180" s="423"/>
      <c r="AP180" s="413"/>
      <c r="AQ180" s="222"/>
      <c r="AR180" s="424"/>
      <c r="AS180" s="614">
        <f ca="1">表格1_6[[#This Row],[total amount]]/表格1_6[[#This Row],[PO$]]</f>
        <v>1</v>
      </c>
      <c r="AT180" s="223">
        <f ca="1">表格1_6[[#This Row],[invoice amount]]+表格1_6[[#This Row],[invoice amount2]]</f>
        <v>1039.5999999999999</v>
      </c>
      <c r="AU180" s="224" t="s">
        <v>3701</v>
      </c>
      <c r="AV180" s="423"/>
      <c r="AW180" s="423" t="e">
        <f ca="1">VLOOKUP(表格1_6[[#This Row],[TI tool ID2]],工作表1!A:A,1,FALSE)</f>
        <v>#N/A</v>
      </c>
      <c r="AX180" s="425" t="e">
        <f ca="1">VLOOKUP(表格1_6[[#This Row],[PO+ITEM]],工作表1!B:E,2,FALSE)</f>
        <v>#N/A</v>
      </c>
      <c r="AY180" s="425" t="e">
        <f ca="1">VLOOKUP(表格1_6[[#This Row],[PO+ITEM]],工作表1!B:E,3,FALSE)</f>
        <v>#N/A</v>
      </c>
      <c r="AZ180" s="423" t="e">
        <f ca="1">VLOOKUP(表格1_6[[#This Row],[PO+ITEM]],工作表1!B:E,4,FALSE)</f>
        <v>#N/A</v>
      </c>
      <c r="BA180" s="425" t="e">
        <f ca="1">INDEX(工作表1!G:G, MATCH(表格1_6[[#This Row],[invoice number]]&amp;表格1_6[[#This Row],[invoice number2]],工作表1!G:G, 0))</f>
        <v>#N/A</v>
      </c>
      <c r="BB180" s="423" t="e">
        <f ca="1">VLOOKUP(表格1_6[[#This Row],[PO+ITEM]],工作表1!F:H,2,FALSE)</f>
        <v>#N/A</v>
      </c>
    </row>
    <row r="181" spans="1:54" ht="14.45">
      <c r="A181" s="413">
        <v>180</v>
      </c>
      <c r="B181" s="413" t="s">
        <v>3674</v>
      </c>
      <c r="C181" s="414" t="s">
        <v>16</v>
      </c>
      <c r="D181" s="414" t="s">
        <v>3648</v>
      </c>
      <c r="E181" s="414"/>
      <c r="F181" s="414"/>
      <c r="G181" s="414"/>
      <c r="H181" s="414"/>
      <c r="I181" s="414"/>
      <c r="J181" s="414"/>
      <c r="K181" s="414"/>
      <c r="L181" s="415" t="s">
        <v>4320</v>
      </c>
      <c r="M181" s="416" t="s">
        <v>2999</v>
      </c>
      <c r="N181" s="416" t="s">
        <v>2999</v>
      </c>
      <c r="O181" s="417"/>
      <c r="P181" s="416">
        <v>4590004398</v>
      </c>
      <c r="Q181" s="418">
        <v>44801</v>
      </c>
      <c r="R181" s="419">
        <v>6</v>
      </c>
      <c r="S181" s="458">
        <v>1039.5999999999999</v>
      </c>
      <c r="T181" s="420" t="s">
        <v>2156</v>
      </c>
      <c r="U181" s="414" t="s">
        <v>3864</v>
      </c>
      <c r="V181" s="414" t="s">
        <v>3865</v>
      </c>
      <c r="W181" s="417" t="s">
        <v>3866</v>
      </c>
      <c r="X181" s="417"/>
      <c r="Y181" s="421" t="s">
        <v>3652</v>
      </c>
      <c r="Z181" s="421" t="s">
        <v>3652</v>
      </c>
      <c r="AA181" s="416" t="s">
        <v>4316</v>
      </c>
      <c r="AB181" s="414" t="s">
        <v>3664</v>
      </c>
      <c r="AC181" s="422"/>
      <c r="AD181" s="421"/>
      <c r="AE181" s="420"/>
      <c r="AF181" s="421">
        <v>90477</v>
      </c>
      <c r="AG181" s="420" t="s">
        <v>3088</v>
      </c>
      <c r="AH181" s="421" t="s">
        <v>3770</v>
      </c>
      <c r="AI181" s="420" t="s">
        <v>4309</v>
      </c>
      <c r="AJ181" s="413" t="str">
        <f t="shared" si="9"/>
        <v>4590004398_006</v>
      </c>
      <c r="AK181" s="423" t="s">
        <v>4321</v>
      </c>
      <c r="AL181" s="424">
        <v>45422</v>
      </c>
      <c r="AM181" s="221">
        <v>1039.5999999999999</v>
      </c>
      <c r="AN181" s="424">
        <v>45519</v>
      </c>
      <c r="AO181" s="423"/>
      <c r="AP181" s="413"/>
      <c r="AQ181" s="222"/>
      <c r="AR181" s="424"/>
      <c r="AS181" s="614">
        <f ca="1">表格1_6[[#This Row],[total amount]]/表格1_6[[#This Row],[PO$]]</f>
        <v>1</v>
      </c>
      <c r="AT181" s="223">
        <f ca="1">表格1_6[[#This Row],[invoice amount]]+表格1_6[[#This Row],[invoice amount2]]</f>
        <v>1039.5999999999999</v>
      </c>
      <c r="AU181" s="224" t="s">
        <v>3657</v>
      </c>
      <c r="AV181" s="423"/>
      <c r="AW181" s="423" t="e">
        <f ca="1">VLOOKUP(表格1_6[[#This Row],[TI tool ID2]],工作表1!A:A,1,FALSE)</f>
        <v>#N/A</v>
      </c>
      <c r="AX181" s="425" t="e">
        <f ca="1">VLOOKUP(表格1_6[[#This Row],[PO+ITEM]],工作表1!B:E,2,FALSE)</f>
        <v>#N/A</v>
      </c>
      <c r="AY181" s="425" t="e">
        <f ca="1">VLOOKUP(表格1_6[[#This Row],[PO+ITEM]],工作表1!B:E,3,FALSE)</f>
        <v>#N/A</v>
      </c>
      <c r="AZ181" s="423" t="e">
        <f ca="1">VLOOKUP(表格1_6[[#This Row],[PO+ITEM]],工作表1!B:E,4,FALSE)</f>
        <v>#N/A</v>
      </c>
      <c r="BA181" s="425" t="e">
        <f ca="1">INDEX(工作表1!G:G, MATCH(表格1_6[[#This Row],[invoice number]]&amp;表格1_6[[#This Row],[invoice number2]],工作表1!G:G, 0))</f>
        <v>#N/A</v>
      </c>
      <c r="BB181" s="423" t="e">
        <f ca="1">VLOOKUP(表格1_6[[#This Row],[PO+ITEM]],工作表1!F:H,2,FALSE)</f>
        <v>#N/A</v>
      </c>
    </row>
    <row r="182" spans="1:54" ht="14.45">
      <c r="A182" s="413">
        <v>181</v>
      </c>
      <c r="B182" s="413" t="s">
        <v>3674</v>
      </c>
      <c r="C182" s="414" t="s">
        <v>16</v>
      </c>
      <c r="D182" s="414" t="s">
        <v>3648</v>
      </c>
      <c r="E182" s="414"/>
      <c r="F182" s="414"/>
      <c r="G182" s="414"/>
      <c r="H182" s="414"/>
      <c r="I182" s="414"/>
      <c r="J182" s="414"/>
      <c r="K182" s="414"/>
      <c r="L182" s="420" t="s">
        <v>4322</v>
      </c>
      <c r="M182" s="416" t="s">
        <v>2999</v>
      </c>
      <c r="N182" s="416" t="s">
        <v>2999</v>
      </c>
      <c r="O182" s="417"/>
      <c r="P182" s="416">
        <v>4590004398</v>
      </c>
      <c r="Q182" s="418">
        <v>44801</v>
      </c>
      <c r="R182" s="419">
        <v>7</v>
      </c>
      <c r="S182" s="458">
        <v>1039.5999999999999</v>
      </c>
      <c r="T182" s="420" t="s">
        <v>2156</v>
      </c>
      <c r="U182" s="414" t="s">
        <v>3864</v>
      </c>
      <c r="V182" s="414" t="s">
        <v>3865</v>
      </c>
      <c r="W182" s="417" t="s">
        <v>3866</v>
      </c>
      <c r="X182" s="417"/>
      <c r="Y182" s="421" t="s">
        <v>3652</v>
      </c>
      <c r="Z182" s="421" t="s">
        <v>3652</v>
      </c>
      <c r="AA182" s="416" t="s">
        <v>4316</v>
      </c>
      <c r="AB182" s="414" t="s">
        <v>3664</v>
      </c>
      <c r="AC182" s="422"/>
      <c r="AD182" s="421"/>
      <c r="AE182" s="420"/>
      <c r="AF182" s="421">
        <v>90478</v>
      </c>
      <c r="AG182" s="420" t="s">
        <v>3089</v>
      </c>
      <c r="AH182" s="421" t="s">
        <v>3770</v>
      </c>
      <c r="AI182" s="420" t="s">
        <v>4309</v>
      </c>
      <c r="AJ182" s="413" t="str">
        <f t="shared" si="9"/>
        <v>4590004398_007</v>
      </c>
      <c r="AK182" s="423" t="s">
        <v>4323</v>
      </c>
      <c r="AL182" s="424">
        <v>45422</v>
      </c>
      <c r="AM182" s="221">
        <v>1039.5999999999999</v>
      </c>
      <c r="AN182" s="424">
        <v>45519</v>
      </c>
      <c r="AO182" s="423"/>
      <c r="AP182" s="413"/>
      <c r="AQ182" s="222"/>
      <c r="AR182" s="424"/>
      <c r="AS182" s="614">
        <f ca="1">表格1_6[[#This Row],[total amount]]/表格1_6[[#This Row],[PO$]]</f>
        <v>1</v>
      </c>
      <c r="AT182" s="223">
        <f ca="1">表格1_6[[#This Row],[invoice amount]]+表格1_6[[#This Row],[invoice amount2]]</f>
        <v>1039.5999999999999</v>
      </c>
      <c r="AU182" s="224" t="s">
        <v>3657</v>
      </c>
      <c r="AV182" s="423"/>
      <c r="AW182" s="423" t="e">
        <f ca="1">VLOOKUP(表格1_6[[#This Row],[TI tool ID2]],工作表1!A:A,1,FALSE)</f>
        <v>#N/A</v>
      </c>
      <c r="AX182" s="425" t="e">
        <f ca="1">VLOOKUP(表格1_6[[#This Row],[PO+ITEM]],工作表1!B:E,2,FALSE)</f>
        <v>#N/A</v>
      </c>
      <c r="AY182" s="425" t="e">
        <f ca="1">VLOOKUP(表格1_6[[#This Row],[PO+ITEM]],工作表1!B:E,3,FALSE)</f>
        <v>#N/A</v>
      </c>
      <c r="AZ182" s="423" t="e">
        <f ca="1">VLOOKUP(表格1_6[[#This Row],[PO+ITEM]],工作表1!B:E,4,FALSE)</f>
        <v>#N/A</v>
      </c>
      <c r="BA182" s="425" t="e">
        <f ca="1">INDEX(工作表1!G:G, MATCH(表格1_6[[#This Row],[invoice number]]&amp;表格1_6[[#This Row],[invoice number2]],工作表1!G:G, 0))</f>
        <v>#N/A</v>
      </c>
      <c r="BB182" s="423" t="e">
        <f ca="1">VLOOKUP(表格1_6[[#This Row],[PO+ITEM]],工作表1!F:H,2,FALSE)</f>
        <v>#N/A</v>
      </c>
    </row>
    <row r="183" spans="1:54" ht="14.45">
      <c r="A183" s="413">
        <v>182</v>
      </c>
      <c r="B183" s="413" t="s">
        <v>3659</v>
      </c>
      <c r="C183" s="414" t="s">
        <v>16</v>
      </c>
      <c r="D183" s="414" t="s">
        <v>3648</v>
      </c>
      <c r="E183" s="414"/>
      <c r="F183" s="414"/>
      <c r="G183" s="414"/>
      <c r="H183" s="414"/>
      <c r="I183" s="414"/>
      <c r="J183" s="414"/>
      <c r="K183" s="414"/>
      <c r="L183" s="415" t="s">
        <v>4324</v>
      </c>
      <c r="M183" s="416" t="s">
        <v>2999</v>
      </c>
      <c r="N183" s="416" t="s">
        <v>2999</v>
      </c>
      <c r="O183" s="417"/>
      <c r="P183" s="416">
        <v>4590004398</v>
      </c>
      <c r="Q183" s="418">
        <v>44801</v>
      </c>
      <c r="R183" s="419">
        <v>8</v>
      </c>
      <c r="S183" s="458">
        <v>1039.5999999999999</v>
      </c>
      <c r="T183" s="420" t="s">
        <v>2156</v>
      </c>
      <c r="U183" s="414" t="s">
        <v>3864</v>
      </c>
      <c r="V183" s="414" t="s">
        <v>3865</v>
      </c>
      <c r="W183" s="417" t="s">
        <v>3866</v>
      </c>
      <c r="X183" s="417"/>
      <c r="Y183" s="421" t="s">
        <v>3652</v>
      </c>
      <c r="Z183" s="421" t="s">
        <v>3652</v>
      </c>
      <c r="AA183" s="416"/>
      <c r="AB183" s="414" t="s">
        <v>3664</v>
      </c>
      <c r="AC183" s="422"/>
      <c r="AD183" s="421"/>
      <c r="AE183" s="420"/>
      <c r="AF183" s="421">
        <v>90480</v>
      </c>
      <c r="AG183" s="420" t="s">
        <v>3090</v>
      </c>
      <c r="AH183" s="421" t="s">
        <v>3770</v>
      </c>
      <c r="AI183" s="420" t="s">
        <v>4309</v>
      </c>
      <c r="AJ183" s="413" t="str">
        <f t="shared" si="9"/>
        <v>4590004398_008</v>
      </c>
      <c r="AK183" s="423"/>
      <c r="AL183" s="413"/>
      <c r="AM183" s="221"/>
      <c r="AN183" s="424"/>
      <c r="AO183" s="423"/>
      <c r="AP183" s="413"/>
      <c r="AQ183" s="222"/>
      <c r="AR183" s="424"/>
      <c r="AS183" s="614">
        <f ca="1">表格1_6[[#This Row],[total amount]]/表格1_6[[#This Row],[PO$]]</f>
        <v>0</v>
      </c>
      <c r="AT183" s="223">
        <f ca="1">表格1_6[[#This Row],[invoice amount]]+表格1_6[[#This Row],[invoice amount2]]</f>
        <v>0</v>
      </c>
      <c r="AU183" s="224"/>
      <c r="AV183" s="423"/>
      <c r="AW183" s="423" t="e">
        <f ca="1">VLOOKUP(表格1_6[[#This Row],[TI tool ID2]],工作表1!A:A,1,FALSE)</f>
        <v>#N/A</v>
      </c>
      <c r="AX183" s="425" t="e">
        <f ca="1">VLOOKUP(表格1_6[[#This Row],[PO+ITEM]],工作表1!B:E,2,FALSE)</f>
        <v>#N/A</v>
      </c>
      <c r="AY183" s="425" t="e">
        <f ca="1">VLOOKUP(表格1_6[[#This Row],[PO+ITEM]],工作表1!B:E,3,FALSE)</f>
        <v>#N/A</v>
      </c>
      <c r="AZ183" s="423" t="e">
        <f ca="1">VLOOKUP(表格1_6[[#This Row],[PO+ITEM]],工作表1!B:E,4,FALSE)</f>
        <v>#N/A</v>
      </c>
      <c r="BA183" s="425" t="e">
        <f ca="1">INDEX(工作表1!G:G, MATCH(表格1_6[[#This Row],[invoice number]]&amp;表格1_6[[#This Row],[invoice number2]],工作表1!G:G, 0))</f>
        <v>#N/A</v>
      </c>
      <c r="BB183" s="423" t="e">
        <f ca="1">VLOOKUP(表格1_6[[#This Row],[PO+ITEM]],工作表1!F:H,2,FALSE)</f>
        <v>#N/A</v>
      </c>
    </row>
    <row r="184" spans="1:54" ht="14.45">
      <c r="A184" s="413">
        <v>183</v>
      </c>
      <c r="B184" s="413" t="s">
        <v>3659</v>
      </c>
      <c r="C184" s="414" t="s">
        <v>16</v>
      </c>
      <c r="D184" s="414" t="s">
        <v>3648</v>
      </c>
      <c r="E184" s="414"/>
      <c r="F184" s="414"/>
      <c r="G184" s="414"/>
      <c r="H184" s="414"/>
      <c r="I184" s="414"/>
      <c r="J184" s="414"/>
      <c r="K184" s="414"/>
      <c r="L184" s="415" t="s">
        <v>4325</v>
      </c>
      <c r="M184" s="416" t="s">
        <v>2999</v>
      </c>
      <c r="N184" s="416" t="s">
        <v>2999</v>
      </c>
      <c r="O184" s="417"/>
      <c r="P184" s="416">
        <v>4590004398</v>
      </c>
      <c r="Q184" s="418">
        <v>44801</v>
      </c>
      <c r="R184" s="419">
        <v>9</v>
      </c>
      <c r="S184" s="458">
        <v>1039.5999999999999</v>
      </c>
      <c r="T184" s="420" t="s">
        <v>2156</v>
      </c>
      <c r="U184" s="414" t="s">
        <v>3864</v>
      </c>
      <c r="V184" s="414" t="s">
        <v>3865</v>
      </c>
      <c r="W184" s="417" t="s">
        <v>3866</v>
      </c>
      <c r="X184" s="417"/>
      <c r="Y184" s="421" t="s">
        <v>3652</v>
      </c>
      <c r="Z184" s="421" t="s">
        <v>3652</v>
      </c>
      <c r="AA184" s="416"/>
      <c r="AB184" s="414" t="s">
        <v>3664</v>
      </c>
      <c r="AC184" s="422"/>
      <c r="AD184" s="421"/>
      <c r="AE184" s="420"/>
      <c r="AF184" s="421">
        <v>90482</v>
      </c>
      <c r="AG184" s="420" t="s">
        <v>3091</v>
      </c>
      <c r="AH184" s="421" t="s">
        <v>3770</v>
      </c>
      <c r="AI184" s="420" t="s">
        <v>4309</v>
      </c>
      <c r="AJ184" s="413" t="str">
        <f t="shared" si="9"/>
        <v>4590004398_009</v>
      </c>
      <c r="AK184" s="423"/>
      <c r="AL184" s="413"/>
      <c r="AM184" s="221"/>
      <c r="AN184" s="424"/>
      <c r="AO184" s="423"/>
      <c r="AP184" s="413"/>
      <c r="AQ184" s="222"/>
      <c r="AR184" s="424"/>
      <c r="AS184" s="614">
        <f ca="1">表格1_6[[#This Row],[total amount]]/表格1_6[[#This Row],[PO$]]</f>
        <v>0</v>
      </c>
      <c r="AT184" s="223">
        <f ca="1">表格1_6[[#This Row],[invoice amount]]+表格1_6[[#This Row],[invoice amount2]]</f>
        <v>0</v>
      </c>
      <c r="AU184" s="224"/>
      <c r="AV184" s="423"/>
      <c r="AW184" s="423" t="e">
        <f ca="1">VLOOKUP(表格1_6[[#This Row],[TI tool ID2]],工作表1!A:A,1,FALSE)</f>
        <v>#N/A</v>
      </c>
      <c r="AX184" s="425" t="e">
        <f ca="1">VLOOKUP(表格1_6[[#This Row],[PO+ITEM]],工作表1!B:E,2,FALSE)</f>
        <v>#N/A</v>
      </c>
      <c r="AY184" s="425" t="e">
        <f ca="1">VLOOKUP(表格1_6[[#This Row],[PO+ITEM]],工作表1!B:E,3,FALSE)</f>
        <v>#N/A</v>
      </c>
      <c r="AZ184" s="423" t="e">
        <f ca="1">VLOOKUP(表格1_6[[#This Row],[PO+ITEM]],工作表1!B:E,4,FALSE)</f>
        <v>#N/A</v>
      </c>
      <c r="BA184" s="425" t="e">
        <f ca="1">INDEX(工作表1!G:G, MATCH(表格1_6[[#This Row],[invoice number]]&amp;表格1_6[[#This Row],[invoice number2]],工作表1!G:G, 0))</f>
        <v>#N/A</v>
      </c>
      <c r="BB184" s="423" t="e">
        <f ca="1">VLOOKUP(表格1_6[[#This Row],[PO+ITEM]],工作表1!F:H,2,FALSE)</f>
        <v>#N/A</v>
      </c>
    </row>
    <row r="185" spans="1:54" ht="14.45">
      <c r="A185" s="413">
        <v>184</v>
      </c>
      <c r="B185" s="413" t="s">
        <v>3674</v>
      </c>
      <c r="C185" s="414" t="s">
        <v>16</v>
      </c>
      <c r="D185" s="414" t="s">
        <v>3648</v>
      </c>
      <c r="E185" s="414"/>
      <c r="F185" s="414"/>
      <c r="G185" s="414"/>
      <c r="H185" s="414"/>
      <c r="I185" s="414"/>
      <c r="J185" s="414"/>
      <c r="K185" s="414"/>
      <c r="L185" s="415" t="s">
        <v>4326</v>
      </c>
      <c r="M185" s="416" t="s">
        <v>2999</v>
      </c>
      <c r="N185" s="416" t="s">
        <v>2999</v>
      </c>
      <c r="O185" s="417"/>
      <c r="P185" s="416">
        <v>4590004398</v>
      </c>
      <c r="Q185" s="418">
        <v>44801</v>
      </c>
      <c r="R185" s="419">
        <v>10</v>
      </c>
      <c r="S185" s="544">
        <v>343.07</v>
      </c>
      <c r="T185" s="420" t="s">
        <v>2156</v>
      </c>
      <c r="U185" s="414" t="s">
        <v>3864</v>
      </c>
      <c r="V185" s="414" t="s">
        <v>3865</v>
      </c>
      <c r="W185" s="417" t="s">
        <v>3866</v>
      </c>
      <c r="X185" s="417"/>
      <c r="Y185" s="421" t="s">
        <v>3652</v>
      </c>
      <c r="Z185" s="421" t="s">
        <v>3652</v>
      </c>
      <c r="AA185" s="416"/>
      <c r="AB185" s="414" t="s">
        <v>3664</v>
      </c>
      <c r="AC185" s="422"/>
      <c r="AD185" s="421"/>
      <c r="AE185" s="420"/>
      <c r="AF185" s="421">
        <v>90481</v>
      </c>
      <c r="AG185" s="420" t="s">
        <v>3100</v>
      </c>
      <c r="AH185" s="421" t="s">
        <v>3770</v>
      </c>
      <c r="AI185" s="420" t="s">
        <v>4309</v>
      </c>
      <c r="AJ185" s="413" t="str">
        <f t="shared" ref="AJ185:AJ202" si="10">P185&amp;"_0"&amp;R185</f>
        <v>4590004398_010</v>
      </c>
      <c r="AK185" s="423" t="s">
        <v>4327</v>
      </c>
      <c r="AL185" s="424">
        <v>45520</v>
      </c>
      <c r="AM185" s="221">
        <v>343.07</v>
      </c>
      <c r="AN185" s="424" t="s">
        <v>3805</v>
      </c>
      <c r="AO185" s="423"/>
      <c r="AP185" s="413"/>
      <c r="AQ185" s="222"/>
      <c r="AR185" s="424"/>
      <c r="AS185" s="614">
        <f ca="1">表格1_6[[#This Row],[total amount]]/表格1_6[[#This Row],[PO$]]</f>
        <v>1</v>
      </c>
      <c r="AT185" s="223">
        <f ca="1">表格1_6[[#This Row],[invoice amount]]+表格1_6[[#This Row],[invoice amount2]]</f>
        <v>343.07</v>
      </c>
      <c r="AU185" s="224" t="s">
        <v>3701</v>
      </c>
      <c r="AV185" s="423"/>
      <c r="AW185" s="423" t="e">
        <f ca="1">VLOOKUP(表格1_6[[#This Row],[TI tool ID2]],工作表1!A:A,1,FALSE)</f>
        <v>#N/A</v>
      </c>
      <c r="AX185" s="425" t="e">
        <f ca="1">VLOOKUP(表格1_6[[#This Row],[PO+ITEM]],工作表1!B:E,2,FALSE)</f>
        <v>#N/A</v>
      </c>
      <c r="AY185" s="425" t="e">
        <f ca="1">VLOOKUP(表格1_6[[#This Row],[PO+ITEM]],工作表1!B:E,3,FALSE)</f>
        <v>#N/A</v>
      </c>
      <c r="AZ185" s="423" t="e">
        <f ca="1">VLOOKUP(表格1_6[[#This Row],[PO+ITEM]],工作表1!B:E,4,FALSE)</f>
        <v>#N/A</v>
      </c>
      <c r="BA185" s="425" t="e">
        <f ca="1">INDEX(工作表1!G:G, MATCH(表格1_6[[#This Row],[invoice number]]&amp;表格1_6[[#This Row],[invoice number2]],工作表1!G:G, 0))</f>
        <v>#N/A</v>
      </c>
      <c r="BB185" s="423" t="e">
        <f ca="1">VLOOKUP(表格1_6[[#This Row],[PO+ITEM]],工作表1!F:H,2,FALSE)</f>
        <v>#N/A</v>
      </c>
    </row>
    <row r="186" spans="1:54" ht="14.45">
      <c r="A186" s="413">
        <v>185</v>
      </c>
      <c r="B186" s="413" t="s">
        <v>3674</v>
      </c>
      <c r="C186" s="414" t="s">
        <v>16</v>
      </c>
      <c r="D186" s="414" t="s">
        <v>3648</v>
      </c>
      <c r="E186" s="414"/>
      <c r="F186" s="414"/>
      <c r="G186" s="414"/>
      <c r="H186" s="414"/>
      <c r="I186" s="414"/>
      <c r="J186" s="414"/>
      <c r="K186" s="414"/>
      <c r="L186" s="415" t="s">
        <v>4328</v>
      </c>
      <c r="M186" s="416" t="s">
        <v>2999</v>
      </c>
      <c r="N186" s="416" t="s">
        <v>2999</v>
      </c>
      <c r="O186" s="417"/>
      <c r="P186" s="416">
        <v>4590004398</v>
      </c>
      <c r="Q186" s="418">
        <v>44801</v>
      </c>
      <c r="R186" s="419">
        <v>11</v>
      </c>
      <c r="S186" s="349">
        <v>343.07</v>
      </c>
      <c r="T186" s="420" t="s">
        <v>2156</v>
      </c>
      <c r="U186" s="414" t="s">
        <v>3864</v>
      </c>
      <c r="V186" s="414" t="s">
        <v>3865</v>
      </c>
      <c r="W186" s="417" t="s">
        <v>3866</v>
      </c>
      <c r="X186" s="417"/>
      <c r="Y186" s="421" t="s">
        <v>3652</v>
      </c>
      <c r="Z186" s="421" t="s">
        <v>3652</v>
      </c>
      <c r="AA186" s="416"/>
      <c r="AB186" s="414" t="s">
        <v>3664</v>
      </c>
      <c r="AC186" s="422"/>
      <c r="AD186" s="421"/>
      <c r="AE186" s="420"/>
      <c r="AF186" s="421">
        <v>90484</v>
      </c>
      <c r="AG186" s="420" t="s">
        <v>3102</v>
      </c>
      <c r="AH186" s="421" t="s">
        <v>3770</v>
      </c>
      <c r="AI186" s="420" t="s">
        <v>4309</v>
      </c>
      <c r="AJ186" s="413" t="str">
        <f t="shared" si="10"/>
        <v>4590004398_011</v>
      </c>
      <c r="AK186" s="420" t="s">
        <v>4329</v>
      </c>
      <c r="AL186" s="424">
        <v>45471</v>
      </c>
      <c r="AM186" s="221">
        <v>343.07</v>
      </c>
      <c r="AN186" s="424" t="s">
        <v>3805</v>
      </c>
      <c r="AO186" s="423"/>
      <c r="AP186" s="413"/>
      <c r="AQ186" s="222"/>
      <c r="AR186" s="424"/>
      <c r="AS186" s="614">
        <f ca="1">表格1_6[[#This Row],[total amount]]/表格1_6[[#This Row],[PO$]]</f>
        <v>1</v>
      </c>
      <c r="AT186" s="223">
        <f ca="1">表格1_6[[#This Row],[invoice amount]]+表格1_6[[#This Row],[invoice amount2]]</f>
        <v>343.07</v>
      </c>
      <c r="AU186" s="224" t="s">
        <v>3752</v>
      </c>
      <c r="AV186" s="423"/>
      <c r="AW186" s="423" t="e">
        <f ca="1">VLOOKUP(表格1_6[[#This Row],[TI tool ID2]],工作表1!A:A,1,FALSE)</f>
        <v>#N/A</v>
      </c>
      <c r="AX186" s="425" t="e">
        <f ca="1">VLOOKUP(表格1_6[[#This Row],[PO+ITEM]],工作表1!B:E,2,FALSE)</f>
        <v>#N/A</v>
      </c>
      <c r="AY186" s="425" t="e">
        <f ca="1">VLOOKUP(表格1_6[[#This Row],[PO+ITEM]],工作表1!B:E,3,FALSE)</f>
        <v>#N/A</v>
      </c>
      <c r="AZ186" s="423" t="e">
        <f ca="1">VLOOKUP(表格1_6[[#This Row],[PO+ITEM]],工作表1!B:E,4,FALSE)</f>
        <v>#N/A</v>
      </c>
      <c r="BA186" s="425" t="e">
        <f ca="1">INDEX(工作表1!G:G, MATCH(表格1_6[[#This Row],[invoice number]]&amp;表格1_6[[#This Row],[invoice number2]],工作表1!G:G, 0))</f>
        <v>#N/A</v>
      </c>
      <c r="BB186" s="423" t="e">
        <f ca="1">VLOOKUP(表格1_6[[#This Row],[PO+ITEM]],工作表1!F:H,2,FALSE)</f>
        <v>#N/A</v>
      </c>
    </row>
    <row r="187" spans="1:54" ht="14.45">
      <c r="A187" s="413">
        <v>186</v>
      </c>
      <c r="B187" s="413" t="s">
        <v>3674</v>
      </c>
      <c r="C187" s="414" t="s">
        <v>16</v>
      </c>
      <c r="D187" s="414" t="s">
        <v>3648</v>
      </c>
      <c r="E187" s="414"/>
      <c r="F187" s="414"/>
      <c r="G187" s="414"/>
      <c r="H187" s="414"/>
      <c r="I187" s="414"/>
      <c r="J187" s="414"/>
      <c r="K187" s="414"/>
      <c r="L187" s="415" t="s">
        <v>4330</v>
      </c>
      <c r="M187" s="416" t="s">
        <v>2999</v>
      </c>
      <c r="N187" s="416" t="s">
        <v>2999</v>
      </c>
      <c r="O187" s="417"/>
      <c r="P187" s="416">
        <v>4590004398</v>
      </c>
      <c r="Q187" s="418">
        <v>44801</v>
      </c>
      <c r="R187" s="419">
        <v>12</v>
      </c>
      <c r="S187" s="458">
        <v>343.07</v>
      </c>
      <c r="T187" s="420" t="s">
        <v>2156</v>
      </c>
      <c r="U187" s="414" t="s">
        <v>3864</v>
      </c>
      <c r="V187" s="414" t="s">
        <v>3865</v>
      </c>
      <c r="W187" s="417" t="s">
        <v>3866</v>
      </c>
      <c r="X187" s="417"/>
      <c r="Y187" s="421" t="s">
        <v>3652</v>
      </c>
      <c r="Z187" s="421" t="s">
        <v>3652</v>
      </c>
      <c r="AA187" s="416"/>
      <c r="AB187" s="414" t="s">
        <v>3664</v>
      </c>
      <c r="AC187" s="422"/>
      <c r="AD187" s="421"/>
      <c r="AE187" s="420"/>
      <c r="AF187" s="421">
        <v>90483</v>
      </c>
      <c r="AG187" s="420" t="s">
        <v>3135</v>
      </c>
      <c r="AH187" s="421" t="s">
        <v>3770</v>
      </c>
      <c r="AI187" s="420" t="s">
        <v>4309</v>
      </c>
      <c r="AJ187" s="413" t="str">
        <f t="shared" si="10"/>
        <v>4590004398_012</v>
      </c>
      <c r="AK187" s="423" t="s">
        <v>4331</v>
      </c>
      <c r="AL187" s="424">
        <v>45401</v>
      </c>
      <c r="AM187" s="221">
        <v>343.07</v>
      </c>
      <c r="AN187" s="424" t="s">
        <v>3805</v>
      </c>
      <c r="AO187" s="423"/>
      <c r="AP187" s="413"/>
      <c r="AQ187" s="222"/>
      <c r="AR187" s="424"/>
      <c r="AS187" s="614">
        <f ca="1">表格1_6[[#This Row],[total amount]]/表格1_6[[#This Row],[PO$]]</f>
        <v>1</v>
      </c>
      <c r="AT187" s="223">
        <f ca="1">表格1_6[[#This Row],[invoice amount]]+表格1_6[[#This Row],[invoice amount2]]</f>
        <v>343.07</v>
      </c>
      <c r="AU187" s="224" t="s">
        <v>3806</v>
      </c>
      <c r="AV187" s="423"/>
      <c r="AW187" s="423" t="e">
        <f ca="1">VLOOKUP(表格1_6[[#This Row],[TI tool ID2]],工作表1!A:A,1,FALSE)</f>
        <v>#N/A</v>
      </c>
      <c r="AX187" s="425" t="e">
        <f ca="1">VLOOKUP(表格1_6[[#This Row],[PO+ITEM]],工作表1!B:E,2,FALSE)</f>
        <v>#N/A</v>
      </c>
      <c r="AY187" s="425" t="e">
        <f ca="1">VLOOKUP(表格1_6[[#This Row],[PO+ITEM]],工作表1!B:E,3,FALSE)</f>
        <v>#N/A</v>
      </c>
      <c r="AZ187" s="423" t="e">
        <f ca="1">VLOOKUP(表格1_6[[#This Row],[PO+ITEM]],工作表1!B:E,4,FALSE)</f>
        <v>#N/A</v>
      </c>
      <c r="BA187" s="425" t="e">
        <f ca="1">INDEX(工作表1!G:G, MATCH(表格1_6[[#This Row],[invoice number]]&amp;表格1_6[[#This Row],[invoice number2]],工作表1!G:G, 0))</f>
        <v>#N/A</v>
      </c>
      <c r="BB187" s="423" t="e">
        <f ca="1">VLOOKUP(表格1_6[[#This Row],[PO+ITEM]],工作表1!F:H,2,FALSE)</f>
        <v>#N/A</v>
      </c>
    </row>
    <row r="188" spans="1:54" ht="14.45">
      <c r="A188" s="413">
        <v>187</v>
      </c>
      <c r="B188" s="413" t="s">
        <v>3674</v>
      </c>
      <c r="C188" s="414" t="s">
        <v>16</v>
      </c>
      <c r="D188" s="414" t="s">
        <v>3648</v>
      </c>
      <c r="E188" s="414"/>
      <c r="F188" s="414"/>
      <c r="G188" s="414"/>
      <c r="H188" s="414"/>
      <c r="I188" s="414"/>
      <c r="J188" s="414"/>
      <c r="K188" s="414"/>
      <c r="L188" s="415" t="s">
        <v>4332</v>
      </c>
      <c r="M188" s="416" t="s">
        <v>2999</v>
      </c>
      <c r="N188" s="416" t="s">
        <v>2999</v>
      </c>
      <c r="O188" s="417"/>
      <c r="P188" s="416">
        <v>4590004398</v>
      </c>
      <c r="Q188" s="418">
        <v>44801</v>
      </c>
      <c r="R188" s="419">
        <v>13</v>
      </c>
      <c r="S188" s="458">
        <v>343.07</v>
      </c>
      <c r="T188" s="420" t="s">
        <v>2156</v>
      </c>
      <c r="U188" s="414" t="s">
        <v>3864</v>
      </c>
      <c r="V188" s="414" t="s">
        <v>3865</v>
      </c>
      <c r="W188" s="417" t="s">
        <v>3866</v>
      </c>
      <c r="X188" s="417"/>
      <c r="Y188" s="421" t="s">
        <v>3652</v>
      </c>
      <c r="Z188" s="421" t="s">
        <v>3652</v>
      </c>
      <c r="AA188" s="416"/>
      <c r="AB188" s="414" t="s">
        <v>3664</v>
      </c>
      <c r="AC188" s="422"/>
      <c r="AD188" s="421"/>
      <c r="AE188" s="420"/>
      <c r="AF188" s="421">
        <v>90479</v>
      </c>
      <c r="AG188" s="420" t="s">
        <v>3137</v>
      </c>
      <c r="AH188" s="421" t="s">
        <v>3770</v>
      </c>
      <c r="AI188" s="420" t="s">
        <v>4309</v>
      </c>
      <c r="AJ188" s="413" t="str">
        <f t="shared" si="10"/>
        <v>4590004398_013</v>
      </c>
      <c r="AK188" s="423" t="s">
        <v>4333</v>
      </c>
      <c r="AL188" s="424">
        <v>45401</v>
      </c>
      <c r="AM188" s="221">
        <v>343.07</v>
      </c>
      <c r="AN188" s="424" t="s">
        <v>3805</v>
      </c>
      <c r="AO188" s="423"/>
      <c r="AP188" s="413"/>
      <c r="AQ188" s="222"/>
      <c r="AR188" s="424"/>
      <c r="AS188" s="614">
        <f ca="1">表格1_6[[#This Row],[total amount]]/表格1_6[[#This Row],[PO$]]</f>
        <v>1</v>
      </c>
      <c r="AT188" s="223">
        <f ca="1">表格1_6[[#This Row],[invoice amount]]+表格1_6[[#This Row],[invoice amount2]]</f>
        <v>343.07</v>
      </c>
      <c r="AU188" s="224" t="s">
        <v>3806</v>
      </c>
      <c r="AV188" s="423"/>
      <c r="AW188" s="423" t="e">
        <f ca="1">VLOOKUP(表格1_6[[#This Row],[TI tool ID2]],工作表1!A:A,1,FALSE)</f>
        <v>#N/A</v>
      </c>
      <c r="AX188" s="425" t="e">
        <f ca="1">VLOOKUP(表格1_6[[#This Row],[PO+ITEM]],工作表1!B:E,2,FALSE)</f>
        <v>#N/A</v>
      </c>
      <c r="AY188" s="425" t="e">
        <f ca="1">VLOOKUP(表格1_6[[#This Row],[PO+ITEM]],工作表1!B:E,3,FALSE)</f>
        <v>#N/A</v>
      </c>
      <c r="AZ188" s="423" t="e">
        <f ca="1">VLOOKUP(表格1_6[[#This Row],[PO+ITEM]],工作表1!B:E,4,FALSE)</f>
        <v>#N/A</v>
      </c>
      <c r="BA188" s="425" t="e">
        <f ca="1">INDEX(工作表1!G:G, MATCH(表格1_6[[#This Row],[invoice number]]&amp;表格1_6[[#This Row],[invoice number2]],工作表1!G:G, 0))</f>
        <v>#N/A</v>
      </c>
      <c r="BB188" s="423" t="e">
        <f ca="1">VLOOKUP(表格1_6[[#This Row],[PO+ITEM]],工作表1!F:H,2,FALSE)</f>
        <v>#N/A</v>
      </c>
    </row>
    <row r="189" spans="1:54" ht="14.45">
      <c r="A189" s="413">
        <v>188</v>
      </c>
      <c r="B189" s="413" t="s">
        <v>3674</v>
      </c>
      <c r="C189" s="414" t="s">
        <v>16</v>
      </c>
      <c r="D189" s="414" t="s">
        <v>3648</v>
      </c>
      <c r="E189" s="414"/>
      <c r="F189" s="414"/>
      <c r="G189" s="414"/>
      <c r="H189" s="414"/>
      <c r="I189" s="414"/>
      <c r="J189" s="414"/>
      <c r="K189" s="414"/>
      <c r="L189" s="415" t="s">
        <v>4334</v>
      </c>
      <c r="M189" s="416" t="s">
        <v>2999</v>
      </c>
      <c r="N189" s="416" t="s">
        <v>2999</v>
      </c>
      <c r="O189" s="417"/>
      <c r="P189" s="416">
        <v>4590004398</v>
      </c>
      <c r="Q189" s="418">
        <v>44801</v>
      </c>
      <c r="R189" s="419">
        <v>14</v>
      </c>
      <c r="S189" s="458">
        <v>343.07</v>
      </c>
      <c r="T189" s="420" t="s">
        <v>2156</v>
      </c>
      <c r="U189" s="414" t="s">
        <v>3864</v>
      </c>
      <c r="V189" s="414" t="s">
        <v>3865</v>
      </c>
      <c r="W189" s="417" t="s">
        <v>3866</v>
      </c>
      <c r="X189" s="417"/>
      <c r="Y189" s="421" t="s">
        <v>3652</v>
      </c>
      <c r="Z189" s="421" t="s">
        <v>3652</v>
      </c>
      <c r="AA189" s="416"/>
      <c r="AB189" s="414" t="s">
        <v>3664</v>
      </c>
      <c r="AC189" s="422"/>
      <c r="AD189" s="421"/>
      <c r="AE189" s="420"/>
      <c r="AF189" s="421">
        <v>90474</v>
      </c>
      <c r="AG189" s="420" t="s">
        <v>3138</v>
      </c>
      <c r="AH189" s="421" t="s">
        <v>3770</v>
      </c>
      <c r="AI189" s="420" t="s">
        <v>4309</v>
      </c>
      <c r="AJ189" s="413" t="str">
        <f t="shared" si="10"/>
        <v>4590004398_014</v>
      </c>
      <c r="AK189" s="423" t="s">
        <v>4335</v>
      </c>
      <c r="AL189" s="424">
        <v>45401</v>
      </c>
      <c r="AM189" s="221">
        <v>343.07</v>
      </c>
      <c r="AN189" s="424" t="s">
        <v>3805</v>
      </c>
      <c r="AO189" s="423"/>
      <c r="AP189" s="413"/>
      <c r="AQ189" s="222"/>
      <c r="AR189" s="424"/>
      <c r="AS189" s="614">
        <f ca="1">表格1_6[[#This Row],[total amount]]/表格1_6[[#This Row],[PO$]]</f>
        <v>1</v>
      </c>
      <c r="AT189" s="223">
        <f ca="1">表格1_6[[#This Row],[invoice amount]]+表格1_6[[#This Row],[invoice amount2]]</f>
        <v>343.07</v>
      </c>
      <c r="AU189" s="224" t="s">
        <v>3806</v>
      </c>
      <c r="AV189" s="423"/>
      <c r="AW189" s="423" t="e">
        <f ca="1">VLOOKUP(表格1_6[[#This Row],[TI tool ID2]],工作表1!A:A,1,FALSE)</f>
        <v>#N/A</v>
      </c>
      <c r="AX189" s="425" t="e">
        <f ca="1">VLOOKUP(表格1_6[[#This Row],[PO+ITEM]],工作表1!B:E,2,FALSE)</f>
        <v>#N/A</v>
      </c>
      <c r="AY189" s="425" t="e">
        <f ca="1">VLOOKUP(表格1_6[[#This Row],[PO+ITEM]],工作表1!B:E,3,FALSE)</f>
        <v>#N/A</v>
      </c>
      <c r="AZ189" s="423" t="e">
        <f ca="1">VLOOKUP(表格1_6[[#This Row],[PO+ITEM]],工作表1!B:E,4,FALSE)</f>
        <v>#N/A</v>
      </c>
      <c r="BA189" s="425" t="e">
        <f ca="1">INDEX(工作表1!G:G, MATCH(表格1_6[[#This Row],[invoice number]]&amp;表格1_6[[#This Row],[invoice number2]],工作表1!G:G, 0))</f>
        <v>#N/A</v>
      </c>
      <c r="BB189" s="423" t="e">
        <f ca="1">VLOOKUP(表格1_6[[#This Row],[PO+ITEM]],工作表1!F:H,2,FALSE)</f>
        <v>#N/A</v>
      </c>
    </row>
    <row r="190" spans="1:54" ht="14.45">
      <c r="A190" s="413">
        <v>189</v>
      </c>
      <c r="B190" s="413" t="s">
        <v>3674</v>
      </c>
      <c r="C190" s="414" t="s">
        <v>16</v>
      </c>
      <c r="D190" s="414" t="s">
        <v>3648</v>
      </c>
      <c r="E190" s="414"/>
      <c r="F190" s="414"/>
      <c r="G190" s="414"/>
      <c r="H190" s="414"/>
      <c r="I190" s="414"/>
      <c r="J190" s="414"/>
      <c r="K190" s="414"/>
      <c r="L190" s="415" t="s">
        <v>4336</v>
      </c>
      <c r="M190" s="416" t="s">
        <v>2999</v>
      </c>
      <c r="N190" s="416" t="s">
        <v>2999</v>
      </c>
      <c r="O190" s="417"/>
      <c r="P190" s="416">
        <v>4590004398</v>
      </c>
      <c r="Q190" s="418">
        <v>44801</v>
      </c>
      <c r="R190" s="419">
        <v>15</v>
      </c>
      <c r="S190" s="458">
        <v>343.07</v>
      </c>
      <c r="T190" s="420" t="s">
        <v>2156</v>
      </c>
      <c r="U190" s="414" t="s">
        <v>3864</v>
      </c>
      <c r="V190" s="414" t="s">
        <v>3865</v>
      </c>
      <c r="W190" s="417" t="s">
        <v>3866</v>
      </c>
      <c r="X190" s="417"/>
      <c r="Y190" s="421" t="s">
        <v>3652</v>
      </c>
      <c r="Z190" s="421" t="s">
        <v>3652</v>
      </c>
      <c r="AA190" s="416"/>
      <c r="AB190" s="414" t="s">
        <v>3664</v>
      </c>
      <c r="AC190" s="422"/>
      <c r="AD190" s="421"/>
      <c r="AE190" s="420"/>
      <c r="AF190" s="421">
        <v>90471</v>
      </c>
      <c r="AG190" s="420" t="s">
        <v>3136</v>
      </c>
      <c r="AH190" s="421" t="s">
        <v>3770</v>
      </c>
      <c r="AI190" s="420" t="s">
        <v>4309</v>
      </c>
      <c r="AJ190" s="413" t="str">
        <f t="shared" si="10"/>
        <v>4590004398_015</v>
      </c>
      <c r="AK190" s="423" t="s">
        <v>4337</v>
      </c>
      <c r="AL190" s="424">
        <v>45401</v>
      </c>
      <c r="AM190" s="221">
        <v>343.07</v>
      </c>
      <c r="AN190" s="424" t="s">
        <v>3805</v>
      </c>
      <c r="AO190" s="423"/>
      <c r="AP190" s="413"/>
      <c r="AQ190" s="222"/>
      <c r="AR190" s="424"/>
      <c r="AS190" s="614">
        <f ca="1">表格1_6[[#This Row],[total amount]]/表格1_6[[#This Row],[PO$]]</f>
        <v>1</v>
      </c>
      <c r="AT190" s="223">
        <f ca="1">表格1_6[[#This Row],[invoice amount]]+表格1_6[[#This Row],[invoice amount2]]</f>
        <v>343.07</v>
      </c>
      <c r="AU190" s="224" t="s">
        <v>3806</v>
      </c>
      <c r="AV190" s="423"/>
      <c r="AW190" s="423" t="e">
        <f ca="1">VLOOKUP(表格1_6[[#This Row],[TI tool ID2]],工作表1!A:A,1,FALSE)</f>
        <v>#N/A</v>
      </c>
      <c r="AX190" s="425" t="e">
        <f ca="1">VLOOKUP(表格1_6[[#This Row],[PO+ITEM]],工作表1!B:E,2,FALSE)</f>
        <v>#N/A</v>
      </c>
      <c r="AY190" s="425" t="e">
        <f ca="1">VLOOKUP(表格1_6[[#This Row],[PO+ITEM]],工作表1!B:E,3,FALSE)</f>
        <v>#N/A</v>
      </c>
      <c r="AZ190" s="423" t="e">
        <f ca="1">VLOOKUP(表格1_6[[#This Row],[PO+ITEM]],工作表1!B:E,4,FALSE)</f>
        <v>#N/A</v>
      </c>
      <c r="BA190" s="425" t="e">
        <f ca="1">INDEX(工作表1!G:G, MATCH(表格1_6[[#This Row],[invoice number]]&amp;表格1_6[[#This Row],[invoice number2]],工作表1!G:G, 0))</f>
        <v>#N/A</v>
      </c>
      <c r="BB190" s="423" t="e">
        <f ca="1">VLOOKUP(表格1_6[[#This Row],[PO+ITEM]],工作表1!F:H,2,FALSE)</f>
        <v>#N/A</v>
      </c>
    </row>
    <row r="191" spans="1:54" ht="14.45">
      <c r="A191" s="413">
        <v>190</v>
      </c>
      <c r="B191" s="413" t="s">
        <v>3674</v>
      </c>
      <c r="C191" s="414" t="s">
        <v>16</v>
      </c>
      <c r="D191" s="414" t="s">
        <v>3648</v>
      </c>
      <c r="E191" s="414"/>
      <c r="F191" s="414"/>
      <c r="G191" s="414"/>
      <c r="H191" s="414"/>
      <c r="I191" s="414"/>
      <c r="J191" s="414"/>
      <c r="K191" s="414"/>
      <c r="L191" s="415" t="s">
        <v>4338</v>
      </c>
      <c r="M191" s="416" t="s">
        <v>2999</v>
      </c>
      <c r="N191" s="416" t="s">
        <v>2999</v>
      </c>
      <c r="O191" s="417"/>
      <c r="P191" s="416">
        <v>4590004398</v>
      </c>
      <c r="Q191" s="418">
        <v>44801</v>
      </c>
      <c r="R191" s="419">
        <v>16</v>
      </c>
      <c r="S191" s="349">
        <v>343.07</v>
      </c>
      <c r="T191" s="420" t="s">
        <v>2156</v>
      </c>
      <c r="U191" s="414" t="s">
        <v>3864</v>
      </c>
      <c r="V191" s="414" t="s">
        <v>3865</v>
      </c>
      <c r="W191" s="417" t="s">
        <v>3866</v>
      </c>
      <c r="X191" s="417"/>
      <c r="Y191" s="421" t="s">
        <v>3652</v>
      </c>
      <c r="Z191" s="421" t="s">
        <v>3652</v>
      </c>
      <c r="AA191" s="416"/>
      <c r="AB191" s="414" t="s">
        <v>3664</v>
      </c>
      <c r="AC191" s="422"/>
      <c r="AD191" s="421"/>
      <c r="AE191" s="420"/>
      <c r="AF191" s="421">
        <v>90470</v>
      </c>
      <c r="AG191" s="420" t="s">
        <v>3103</v>
      </c>
      <c r="AH191" s="421" t="s">
        <v>3770</v>
      </c>
      <c r="AI191" s="420" t="s">
        <v>4309</v>
      </c>
      <c r="AJ191" s="413" t="str">
        <f t="shared" si="10"/>
        <v>4590004398_016</v>
      </c>
      <c r="AK191" s="420" t="s">
        <v>4339</v>
      </c>
      <c r="AL191" s="424">
        <v>45471</v>
      </c>
      <c r="AM191" s="221">
        <v>343.07</v>
      </c>
      <c r="AN191" s="424" t="s">
        <v>3805</v>
      </c>
      <c r="AO191" s="423"/>
      <c r="AP191" s="413"/>
      <c r="AQ191" s="222"/>
      <c r="AR191" s="424"/>
      <c r="AS191" s="614">
        <f ca="1">表格1_6[[#This Row],[total amount]]/表格1_6[[#This Row],[PO$]]</f>
        <v>1</v>
      </c>
      <c r="AT191" s="223">
        <f ca="1">表格1_6[[#This Row],[invoice amount]]+表格1_6[[#This Row],[invoice amount2]]</f>
        <v>343.07</v>
      </c>
      <c r="AU191" s="224" t="s">
        <v>3752</v>
      </c>
      <c r="AV191" s="423"/>
      <c r="AW191" s="423" t="e">
        <f ca="1">VLOOKUP(表格1_6[[#This Row],[TI tool ID2]],工作表1!A:A,1,FALSE)</f>
        <v>#N/A</v>
      </c>
      <c r="AX191" s="425" t="e">
        <f ca="1">VLOOKUP(表格1_6[[#This Row],[PO+ITEM]],工作表1!B:E,2,FALSE)</f>
        <v>#N/A</v>
      </c>
      <c r="AY191" s="425" t="e">
        <f ca="1">VLOOKUP(表格1_6[[#This Row],[PO+ITEM]],工作表1!B:E,3,FALSE)</f>
        <v>#N/A</v>
      </c>
      <c r="AZ191" s="423" t="e">
        <f ca="1">VLOOKUP(表格1_6[[#This Row],[PO+ITEM]],工作表1!B:E,4,FALSE)</f>
        <v>#N/A</v>
      </c>
      <c r="BA191" s="425" t="e">
        <f ca="1">INDEX(工作表1!G:G, MATCH(表格1_6[[#This Row],[invoice number]]&amp;表格1_6[[#This Row],[invoice number2]],工作表1!G:G, 0))</f>
        <v>#N/A</v>
      </c>
      <c r="BB191" s="423" t="e">
        <f ca="1">VLOOKUP(表格1_6[[#This Row],[PO+ITEM]],工作表1!F:H,2,FALSE)</f>
        <v>#N/A</v>
      </c>
    </row>
    <row r="192" spans="1:54" ht="14.45">
      <c r="A192" s="413">
        <v>191</v>
      </c>
      <c r="B192" s="413" t="s">
        <v>3674</v>
      </c>
      <c r="C192" s="414" t="s">
        <v>16</v>
      </c>
      <c r="D192" s="414" t="s">
        <v>3648</v>
      </c>
      <c r="E192" s="414"/>
      <c r="F192" s="414"/>
      <c r="G192" s="414"/>
      <c r="H192" s="414"/>
      <c r="I192" s="414"/>
      <c r="J192" s="414"/>
      <c r="K192" s="414"/>
      <c r="L192" s="415" t="s">
        <v>4340</v>
      </c>
      <c r="M192" s="416" t="s">
        <v>2999</v>
      </c>
      <c r="N192" s="416" t="s">
        <v>2999</v>
      </c>
      <c r="O192" s="417"/>
      <c r="P192" s="416">
        <v>4590004398</v>
      </c>
      <c r="Q192" s="418">
        <v>44801</v>
      </c>
      <c r="R192" s="419">
        <v>17</v>
      </c>
      <c r="S192" s="544">
        <v>815.01</v>
      </c>
      <c r="T192" s="420" t="s">
        <v>2156</v>
      </c>
      <c r="U192" s="414" t="s">
        <v>3864</v>
      </c>
      <c r="V192" s="414" t="s">
        <v>3865</v>
      </c>
      <c r="W192" s="417" t="s">
        <v>3866</v>
      </c>
      <c r="X192" s="417"/>
      <c r="Y192" s="421" t="s">
        <v>3652</v>
      </c>
      <c r="Z192" s="421" t="s">
        <v>3652</v>
      </c>
      <c r="AA192" s="416"/>
      <c r="AB192" s="414" t="s">
        <v>3664</v>
      </c>
      <c r="AC192" s="422"/>
      <c r="AD192" s="421"/>
      <c r="AE192" s="420"/>
      <c r="AF192" s="421">
        <v>90481</v>
      </c>
      <c r="AG192" s="420" t="s">
        <v>3100</v>
      </c>
      <c r="AH192" s="421" t="s">
        <v>3770</v>
      </c>
      <c r="AI192" s="420" t="s">
        <v>4309</v>
      </c>
      <c r="AJ192" s="413" t="str">
        <f t="shared" si="10"/>
        <v>4590004398_017</v>
      </c>
      <c r="AK192" s="423" t="s">
        <v>4341</v>
      </c>
      <c r="AL192" s="424">
        <v>45520</v>
      </c>
      <c r="AM192" s="221">
        <v>815.01</v>
      </c>
      <c r="AN192" s="424" t="s">
        <v>3805</v>
      </c>
      <c r="AO192" s="423"/>
      <c r="AP192" s="413"/>
      <c r="AQ192" s="222"/>
      <c r="AR192" s="424"/>
      <c r="AS192" s="614">
        <f ca="1">表格1_6[[#This Row],[total amount]]/表格1_6[[#This Row],[PO$]]</f>
        <v>1</v>
      </c>
      <c r="AT192" s="223">
        <f ca="1">表格1_6[[#This Row],[invoice amount]]+表格1_6[[#This Row],[invoice amount2]]</f>
        <v>815.01</v>
      </c>
      <c r="AU192" s="224" t="s">
        <v>3701</v>
      </c>
      <c r="AV192" s="423"/>
      <c r="AW192" s="423" t="e">
        <f ca="1">VLOOKUP(表格1_6[[#This Row],[TI tool ID2]],工作表1!A:A,1,FALSE)</f>
        <v>#N/A</v>
      </c>
      <c r="AX192" s="425" t="e">
        <f ca="1">VLOOKUP(表格1_6[[#This Row],[PO+ITEM]],工作表1!B:E,2,FALSE)</f>
        <v>#N/A</v>
      </c>
      <c r="AY192" s="425" t="e">
        <f ca="1">VLOOKUP(表格1_6[[#This Row],[PO+ITEM]],工作表1!B:E,3,FALSE)</f>
        <v>#N/A</v>
      </c>
      <c r="AZ192" s="423" t="e">
        <f ca="1">VLOOKUP(表格1_6[[#This Row],[PO+ITEM]],工作表1!B:E,4,FALSE)</f>
        <v>#N/A</v>
      </c>
      <c r="BA192" s="425" t="e">
        <f ca="1">INDEX(工作表1!G:G, MATCH(表格1_6[[#This Row],[invoice number]]&amp;表格1_6[[#This Row],[invoice number2]],工作表1!G:G, 0))</f>
        <v>#N/A</v>
      </c>
      <c r="BB192" s="423" t="e">
        <f ca="1">VLOOKUP(表格1_6[[#This Row],[PO+ITEM]],工作表1!F:H,2,FALSE)</f>
        <v>#N/A</v>
      </c>
    </row>
    <row r="193" spans="1:54" ht="14.45">
      <c r="A193" s="413">
        <v>192</v>
      </c>
      <c r="B193" s="413" t="s">
        <v>3674</v>
      </c>
      <c r="C193" s="414" t="s">
        <v>16</v>
      </c>
      <c r="D193" s="414" t="s">
        <v>3648</v>
      </c>
      <c r="E193" s="414"/>
      <c r="F193" s="414"/>
      <c r="G193" s="414"/>
      <c r="H193" s="414"/>
      <c r="I193" s="414"/>
      <c r="J193" s="414"/>
      <c r="K193" s="414"/>
      <c r="L193" s="415" t="s">
        <v>4342</v>
      </c>
      <c r="M193" s="416" t="s">
        <v>2999</v>
      </c>
      <c r="N193" s="416" t="s">
        <v>2999</v>
      </c>
      <c r="O193" s="417"/>
      <c r="P193" s="416">
        <v>4590004398</v>
      </c>
      <c r="Q193" s="418">
        <v>44801</v>
      </c>
      <c r="R193" s="419">
        <v>18</v>
      </c>
      <c r="S193" s="458">
        <v>815.01</v>
      </c>
      <c r="T193" s="420" t="s">
        <v>2156</v>
      </c>
      <c r="U193" s="414" t="s">
        <v>3864</v>
      </c>
      <c r="V193" s="414" t="s">
        <v>3865</v>
      </c>
      <c r="W193" s="417" t="s">
        <v>3866</v>
      </c>
      <c r="X193" s="417"/>
      <c r="Y193" s="421" t="s">
        <v>3652</v>
      </c>
      <c r="Z193" s="421" t="s">
        <v>3652</v>
      </c>
      <c r="AA193" s="416"/>
      <c r="AB193" s="414" t="s">
        <v>3664</v>
      </c>
      <c r="AC193" s="422"/>
      <c r="AD193" s="421"/>
      <c r="AE193" s="420"/>
      <c r="AF193" s="421">
        <v>90479</v>
      </c>
      <c r="AG193" s="420" t="s">
        <v>3137</v>
      </c>
      <c r="AH193" s="421" t="s">
        <v>3770</v>
      </c>
      <c r="AI193" s="420" t="s">
        <v>4309</v>
      </c>
      <c r="AJ193" s="413" t="str">
        <f t="shared" si="10"/>
        <v>4590004398_018</v>
      </c>
      <c r="AK193" s="425" t="s">
        <v>4343</v>
      </c>
      <c r="AL193" s="424">
        <v>45555</v>
      </c>
      <c r="AM193" s="221">
        <v>815.01</v>
      </c>
      <c r="AN193" s="424"/>
      <c r="AO193" s="423"/>
      <c r="AP193" s="413"/>
      <c r="AQ193" s="222"/>
      <c r="AR193" s="424"/>
      <c r="AS193" s="614">
        <f ca="1">表格1_6[[#This Row],[total amount]]/表格1_6[[#This Row],[PO$]]</f>
        <v>1</v>
      </c>
      <c r="AT193" s="223">
        <f ca="1">表格1_6[[#This Row],[invoice amount]]+表格1_6[[#This Row],[invoice amount2]]</f>
        <v>815.01</v>
      </c>
      <c r="AU193" s="224"/>
      <c r="AV193" s="423"/>
      <c r="AW193" s="423" t="e">
        <f ca="1">VLOOKUP(表格1_6[[#This Row],[TI tool ID2]],工作表1!A:A,1,FALSE)</f>
        <v>#N/A</v>
      </c>
      <c r="AX193" s="425" t="e">
        <f ca="1">VLOOKUP(表格1_6[[#This Row],[PO+ITEM]],工作表1!B:E,2,FALSE)</f>
        <v>#N/A</v>
      </c>
      <c r="AY193" s="425" t="e">
        <f ca="1">VLOOKUP(表格1_6[[#This Row],[PO+ITEM]],工作表1!B:E,3,FALSE)</f>
        <v>#N/A</v>
      </c>
      <c r="AZ193" s="423" t="e">
        <f ca="1">VLOOKUP(表格1_6[[#This Row],[PO+ITEM]],工作表1!B:E,4,FALSE)</f>
        <v>#N/A</v>
      </c>
      <c r="BA193" s="425" t="e">
        <f ca="1">INDEX(工作表1!G:G, MATCH(表格1_6[[#This Row],[invoice number]]&amp;表格1_6[[#This Row],[invoice number2]],工作表1!G:G, 0))</f>
        <v>#N/A</v>
      </c>
      <c r="BB193" s="423" t="e">
        <f ca="1">VLOOKUP(表格1_6[[#This Row],[PO+ITEM]],工作表1!F:H,2,FALSE)</f>
        <v>#N/A</v>
      </c>
    </row>
    <row r="194" spans="1:54" ht="14.45">
      <c r="A194" s="413">
        <v>193</v>
      </c>
      <c r="B194" s="413" t="s">
        <v>3674</v>
      </c>
      <c r="C194" s="414" t="s">
        <v>16</v>
      </c>
      <c r="D194" s="414" t="s">
        <v>3648</v>
      </c>
      <c r="E194" s="414"/>
      <c r="F194" s="414"/>
      <c r="G194" s="414"/>
      <c r="H194" s="414"/>
      <c r="I194" s="414"/>
      <c r="J194" s="414"/>
      <c r="K194" s="414"/>
      <c r="L194" s="415" t="s">
        <v>4344</v>
      </c>
      <c r="M194" s="416" t="s">
        <v>2999</v>
      </c>
      <c r="N194" s="416" t="s">
        <v>2999</v>
      </c>
      <c r="O194" s="417"/>
      <c r="P194" s="416">
        <v>4590004398</v>
      </c>
      <c r="Q194" s="418">
        <v>44801</v>
      </c>
      <c r="R194" s="419">
        <v>19</v>
      </c>
      <c r="S194" s="458">
        <v>407.51</v>
      </c>
      <c r="T194" s="420" t="s">
        <v>2156</v>
      </c>
      <c r="U194" s="414" t="s">
        <v>3864</v>
      </c>
      <c r="V194" s="414" t="s">
        <v>3865</v>
      </c>
      <c r="W194" s="417" t="s">
        <v>3866</v>
      </c>
      <c r="X194" s="417"/>
      <c r="Y194" s="421" t="s">
        <v>3652</v>
      </c>
      <c r="Z194" s="421" t="s">
        <v>3652</v>
      </c>
      <c r="AA194" s="416"/>
      <c r="AB194" s="414" t="s">
        <v>3664</v>
      </c>
      <c r="AC194" s="422"/>
      <c r="AD194" s="421"/>
      <c r="AE194" s="420"/>
      <c r="AF194" s="421">
        <v>90474</v>
      </c>
      <c r="AG194" s="420" t="s">
        <v>3138</v>
      </c>
      <c r="AH194" s="421" t="s">
        <v>3770</v>
      </c>
      <c r="AI194" s="420" t="s">
        <v>4309</v>
      </c>
      <c r="AJ194" s="413" t="str">
        <f t="shared" si="10"/>
        <v>4590004398_019</v>
      </c>
      <c r="AK194" s="425" t="s">
        <v>4345</v>
      </c>
      <c r="AL194" s="424">
        <v>45555</v>
      </c>
      <c r="AM194" s="221">
        <v>407.51</v>
      </c>
      <c r="AN194" s="424"/>
      <c r="AO194" s="423"/>
      <c r="AP194" s="413"/>
      <c r="AQ194" s="222"/>
      <c r="AR194" s="424"/>
      <c r="AS194" s="614">
        <f ca="1">表格1_6[[#This Row],[total amount]]/表格1_6[[#This Row],[PO$]]</f>
        <v>1</v>
      </c>
      <c r="AT194" s="223">
        <f ca="1">表格1_6[[#This Row],[invoice amount]]+表格1_6[[#This Row],[invoice amount2]]</f>
        <v>407.51</v>
      </c>
      <c r="AU194" s="224"/>
      <c r="AV194" s="423"/>
      <c r="AW194" s="423" t="e">
        <f ca="1">VLOOKUP(表格1_6[[#This Row],[TI tool ID2]],工作表1!A:A,1,FALSE)</f>
        <v>#N/A</v>
      </c>
      <c r="AX194" s="425" t="e">
        <f ca="1">VLOOKUP(表格1_6[[#This Row],[PO+ITEM]],工作表1!B:E,2,FALSE)</f>
        <v>#N/A</v>
      </c>
      <c r="AY194" s="425" t="e">
        <f ca="1">VLOOKUP(表格1_6[[#This Row],[PO+ITEM]],工作表1!B:E,3,FALSE)</f>
        <v>#N/A</v>
      </c>
      <c r="AZ194" s="423" t="e">
        <f ca="1">VLOOKUP(表格1_6[[#This Row],[PO+ITEM]],工作表1!B:E,4,FALSE)</f>
        <v>#N/A</v>
      </c>
      <c r="BA194" s="425" t="e">
        <f ca="1">INDEX(工作表1!G:G, MATCH(表格1_6[[#This Row],[invoice number]]&amp;表格1_6[[#This Row],[invoice number2]],工作表1!G:G, 0))</f>
        <v>#N/A</v>
      </c>
      <c r="BB194" s="423" t="e">
        <f ca="1">VLOOKUP(表格1_6[[#This Row],[PO+ITEM]],工作表1!F:H,2,FALSE)</f>
        <v>#N/A</v>
      </c>
    </row>
    <row r="195" spans="1:54" ht="14.45">
      <c r="A195" s="413">
        <v>194</v>
      </c>
      <c r="B195" s="413" t="s">
        <v>3674</v>
      </c>
      <c r="C195" s="414" t="s">
        <v>16</v>
      </c>
      <c r="D195" s="414" t="s">
        <v>3648</v>
      </c>
      <c r="E195" s="414"/>
      <c r="F195" s="414"/>
      <c r="G195" s="414"/>
      <c r="H195" s="414"/>
      <c r="I195" s="414"/>
      <c r="J195" s="414"/>
      <c r="K195" s="414"/>
      <c r="L195" s="415" t="s">
        <v>4346</v>
      </c>
      <c r="M195" s="416" t="s">
        <v>2999</v>
      </c>
      <c r="N195" s="416" t="s">
        <v>2999</v>
      </c>
      <c r="O195" s="417"/>
      <c r="P195" s="416">
        <v>4590004398</v>
      </c>
      <c r="Q195" s="418">
        <v>44801</v>
      </c>
      <c r="R195" s="419">
        <v>20</v>
      </c>
      <c r="S195" s="458">
        <v>815.01</v>
      </c>
      <c r="T195" s="420" t="s">
        <v>2156</v>
      </c>
      <c r="U195" s="414" t="s">
        <v>3864</v>
      </c>
      <c r="V195" s="414" t="s">
        <v>3865</v>
      </c>
      <c r="W195" s="417" t="s">
        <v>3866</v>
      </c>
      <c r="X195" s="417"/>
      <c r="Y195" s="421" t="s">
        <v>3652</v>
      </c>
      <c r="Z195" s="421" t="s">
        <v>3652</v>
      </c>
      <c r="AA195" s="416"/>
      <c r="AB195" s="414" t="s">
        <v>3664</v>
      </c>
      <c r="AC195" s="422"/>
      <c r="AD195" s="421"/>
      <c r="AE195" s="420"/>
      <c r="AF195" s="421">
        <v>90471</v>
      </c>
      <c r="AG195" s="420" t="s">
        <v>3136</v>
      </c>
      <c r="AH195" s="421" t="s">
        <v>3770</v>
      </c>
      <c r="AI195" s="420" t="s">
        <v>4309</v>
      </c>
      <c r="AJ195" s="413" t="str">
        <f t="shared" si="10"/>
        <v>4590004398_020</v>
      </c>
      <c r="AK195" s="425" t="s">
        <v>4347</v>
      </c>
      <c r="AL195" s="424">
        <v>45555</v>
      </c>
      <c r="AM195" s="221">
        <v>815.01</v>
      </c>
      <c r="AN195" s="424"/>
      <c r="AO195" s="423"/>
      <c r="AP195" s="413"/>
      <c r="AQ195" s="222"/>
      <c r="AR195" s="424"/>
      <c r="AS195" s="614">
        <f ca="1">表格1_6[[#This Row],[total amount]]/表格1_6[[#This Row],[PO$]]</f>
        <v>1</v>
      </c>
      <c r="AT195" s="223">
        <f ca="1">表格1_6[[#This Row],[invoice amount]]+表格1_6[[#This Row],[invoice amount2]]</f>
        <v>815.01</v>
      </c>
      <c r="AU195" s="224"/>
      <c r="AV195" s="423"/>
      <c r="AW195" s="423" t="e">
        <f ca="1">VLOOKUP(表格1_6[[#This Row],[TI tool ID2]],工作表1!A:A,1,FALSE)</f>
        <v>#N/A</v>
      </c>
      <c r="AX195" s="425" t="e">
        <f ca="1">VLOOKUP(表格1_6[[#This Row],[PO+ITEM]],工作表1!B:E,2,FALSE)</f>
        <v>#N/A</v>
      </c>
      <c r="AY195" s="425" t="e">
        <f ca="1">VLOOKUP(表格1_6[[#This Row],[PO+ITEM]],工作表1!B:E,3,FALSE)</f>
        <v>#N/A</v>
      </c>
      <c r="AZ195" s="423" t="e">
        <f ca="1">VLOOKUP(表格1_6[[#This Row],[PO+ITEM]],工作表1!B:E,4,FALSE)</f>
        <v>#N/A</v>
      </c>
      <c r="BA195" s="425" t="e">
        <f ca="1">INDEX(工作表1!G:G, MATCH(表格1_6[[#This Row],[invoice number]]&amp;表格1_6[[#This Row],[invoice number2]],工作表1!G:G, 0))</f>
        <v>#N/A</v>
      </c>
      <c r="BB195" s="423" t="e">
        <f ca="1">VLOOKUP(表格1_6[[#This Row],[PO+ITEM]],工作表1!F:H,2,FALSE)</f>
        <v>#N/A</v>
      </c>
    </row>
    <row r="196" spans="1:54" ht="14.45">
      <c r="A196" s="413">
        <v>195</v>
      </c>
      <c r="B196" s="413" t="s">
        <v>3674</v>
      </c>
      <c r="C196" s="414" t="s">
        <v>16</v>
      </c>
      <c r="D196" s="414" t="s">
        <v>3648</v>
      </c>
      <c r="E196" s="414"/>
      <c r="F196" s="414"/>
      <c r="G196" s="414"/>
      <c r="H196" s="414"/>
      <c r="I196" s="414"/>
      <c r="J196" s="414"/>
      <c r="K196" s="414"/>
      <c r="L196" s="415" t="s">
        <v>4348</v>
      </c>
      <c r="M196" s="416" t="s">
        <v>2999</v>
      </c>
      <c r="N196" s="416" t="s">
        <v>2999</v>
      </c>
      <c r="O196" s="417"/>
      <c r="P196" s="416">
        <v>4590004398</v>
      </c>
      <c r="Q196" s="418">
        <v>44801</v>
      </c>
      <c r="R196" s="419">
        <v>21</v>
      </c>
      <c r="S196" s="349">
        <v>815.01</v>
      </c>
      <c r="T196" s="420" t="s">
        <v>2156</v>
      </c>
      <c r="U196" s="414" t="s">
        <v>3864</v>
      </c>
      <c r="V196" s="414" t="s">
        <v>3865</v>
      </c>
      <c r="W196" s="417" t="s">
        <v>3866</v>
      </c>
      <c r="X196" s="417"/>
      <c r="Y196" s="421" t="s">
        <v>3652</v>
      </c>
      <c r="Z196" s="421" t="s">
        <v>3652</v>
      </c>
      <c r="AA196" s="416"/>
      <c r="AB196" s="414" t="s">
        <v>3664</v>
      </c>
      <c r="AC196" s="422"/>
      <c r="AD196" s="421"/>
      <c r="AE196" s="420"/>
      <c r="AF196" s="421">
        <v>90470</v>
      </c>
      <c r="AG196" s="420" t="s">
        <v>3103</v>
      </c>
      <c r="AH196" s="421" t="s">
        <v>3770</v>
      </c>
      <c r="AI196" s="420" t="s">
        <v>4309</v>
      </c>
      <c r="AJ196" s="413" t="str">
        <f t="shared" si="10"/>
        <v>4590004398_021</v>
      </c>
      <c r="AK196" s="420" t="s">
        <v>4349</v>
      </c>
      <c r="AL196" s="424">
        <v>45471</v>
      </c>
      <c r="AM196" s="221">
        <v>815.01</v>
      </c>
      <c r="AN196" s="424" t="s">
        <v>3805</v>
      </c>
      <c r="AO196" s="423"/>
      <c r="AP196" s="413"/>
      <c r="AQ196" s="222"/>
      <c r="AR196" s="424"/>
      <c r="AS196" s="614">
        <f ca="1">表格1_6[[#This Row],[total amount]]/表格1_6[[#This Row],[PO$]]</f>
        <v>1</v>
      </c>
      <c r="AT196" s="223">
        <f ca="1">表格1_6[[#This Row],[invoice amount]]+表格1_6[[#This Row],[invoice amount2]]</f>
        <v>815.01</v>
      </c>
      <c r="AU196" s="224" t="s">
        <v>3752</v>
      </c>
      <c r="AV196" s="423"/>
      <c r="AW196" s="423" t="e">
        <f ca="1">VLOOKUP(表格1_6[[#This Row],[TI tool ID2]],工作表1!A:A,1,FALSE)</f>
        <v>#N/A</v>
      </c>
      <c r="AX196" s="425" t="e">
        <f ca="1">VLOOKUP(表格1_6[[#This Row],[PO+ITEM]],工作表1!B:E,2,FALSE)</f>
        <v>#N/A</v>
      </c>
      <c r="AY196" s="425" t="e">
        <f ca="1">VLOOKUP(表格1_6[[#This Row],[PO+ITEM]],工作表1!B:E,3,FALSE)</f>
        <v>#N/A</v>
      </c>
      <c r="AZ196" s="423" t="e">
        <f ca="1">VLOOKUP(表格1_6[[#This Row],[PO+ITEM]],工作表1!B:E,4,FALSE)</f>
        <v>#N/A</v>
      </c>
      <c r="BA196" s="425" t="e">
        <f ca="1">INDEX(工作表1!G:G, MATCH(表格1_6[[#This Row],[invoice number]]&amp;表格1_6[[#This Row],[invoice number2]],工作表1!G:G, 0))</f>
        <v>#N/A</v>
      </c>
      <c r="BB196" s="423" t="e">
        <f ca="1">VLOOKUP(表格1_6[[#This Row],[PO+ITEM]],工作表1!F:H,2,FALSE)</f>
        <v>#N/A</v>
      </c>
    </row>
    <row r="197" spans="1:54" ht="14.45">
      <c r="A197" s="413">
        <v>196</v>
      </c>
      <c r="B197" s="413" t="s">
        <v>3674</v>
      </c>
      <c r="C197" s="414" t="s">
        <v>16</v>
      </c>
      <c r="D197" s="414" t="s">
        <v>3648</v>
      </c>
      <c r="E197" s="414"/>
      <c r="F197" s="414"/>
      <c r="G197" s="414"/>
      <c r="H197" s="414"/>
      <c r="I197" s="414"/>
      <c r="J197" s="414"/>
      <c r="K197" s="414"/>
      <c r="L197" s="415" t="s">
        <v>4350</v>
      </c>
      <c r="M197" s="416" t="s">
        <v>2999</v>
      </c>
      <c r="N197" s="416" t="s">
        <v>2999</v>
      </c>
      <c r="O197" s="417"/>
      <c r="P197" s="416">
        <v>4590004398</v>
      </c>
      <c r="Q197" s="418">
        <v>44801</v>
      </c>
      <c r="R197" s="419">
        <v>22</v>
      </c>
      <c r="S197" s="544">
        <v>1164.3499999999999</v>
      </c>
      <c r="T197" s="420" t="s">
        <v>2156</v>
      </c>
      <c r="U197" s="414" t="s">
        <v>3864</v>
      </c>
      <c r="V197" s="414" t="s">
        <v>3865</v>
      </c>
      <c r="W197" s="417" t="s">
        <v>3866</v>
      </c>
      <c r="X197" s="417"/>
      <c r="Y197" s="421" t="s">
        <v>3652</v>
      </c>
      <c r="Z197" s="421" t="s">
        <v>3652</v>
      </c>
      <c r="AA197" s="416"/>
      <c r="AB197" s="414" t="s">
        <v>3664</v>
      </c>
      <c r="AC197" s="422"/>
      <c r="AD197" s="421"/>
      <c r="AE197" s="420"/>
      <c r="AF197" s="421">
        <v>90595</v>
      </c>
      <c r="AG197" s="420" t="s">
        <v>3013</v>
      </c>
      <c r="AH197" s="421" t="s">
        <v>3770</v>
      </c>
      <c r="AI197" s="420" t="s">
        <v>4351</v>
      </c>
      <c r="AJ197" s="413" t="str">
        <f t="shared" si="10"/>
        <v>4590004398_022</v>
      </c>
      <c r="AK197" s="423" t="s">
        <v>4352</v>
      </c>
      <c r="AL197" s="424">
        <v>45520</v>
      </c>
      <c r="AM197" s="221">
        <v>1164.3499999999999</v>
      </c>
      <c r="AN197" s="424" t="s">
        <v>3805</v>
      </c>
      <c r="AO197" s="423"/>
      <c r="AP197" s="413"/>
      <c r="AQ197" s="222"/>
      <c r="AR197" s="424"/>
      <c r="AS197" s="614">
        <f ca="1">表格1_6[[#This Row],[total amount]]/表格1_6[[#This Row],[PO$]]</f>
        <v>1</v>
      </c>
      <c r="AT197" s="223">
        <f ca="1">表格1_6[[#This Row],[invoice amount]]+表格1_6[[#This Row],[invoice amount2]]</f>
        <v>1164.3499999999999</v>
      </c>
      <c r="AU197" s="224" t="s">
        <v>3701</v>
      </c>
      <c r="AV197" s="423"/>
      <c r="AW197" s="423" t="e">
        <f ca="1">VLOOKUP(表格1_6[[#This Row],[TI tool ID2]],工作表1!A:A,1,FALSE)</f>
        <v>#N/A</v>
      </c>
      <c r="AX197" s="425" t="e">
        <f ca="1">VLOOKUP(表格1_6[[#This Row],[PO+ITEM]],工作表1!B:E,2,FALSE)</f>
        <v>#N/A</v>
      </c>
      <c r="AY197" s="425" t="e">
        <f ca="1">VLOOKUP(表格1_6[[#This Row],[PO+ITEM]],工作表1!B:E,3,FALSE)</f>
        <v>#N/A</v>
      </c>
      <c r="AZ197" s="423" t="e">
        <f ca="1">VLOOKUP(表格1_6[[#This Row],[PO+ITEM]],工作表1!B:E,4,FALSE)</f>
        <v>#N/A</v>
      </c>
      <c r="BA197" s="425" t="e">
        <f ca="1">INDEX(工作表1!G:G, MATCH(表格1_6[[#This Row],[invoice number]]&amp;表格1_6[[#This Row],[invoice number2]],工作表1!G:G, 0))</f>
        <v>#N/A</v>
      </c>
      <c r="BB197" s="423" t="e">
        <f ca="1">VLOOKUP(表格1_6[[#This Row],[PO+ITEM]],工作表1!F:H,2,FALSE)</f>
        <v>#N/A</v>
      </c>
    </row>
    <row r="198" spans="1:54" ht="14.45">
      <c r="A198" s="413">
        <v>197</v>
      </c>
      <c r="B198" s="413" t="s">
        <v>3674</v>
      </c>
      <c r="C198" s="414" t="s">
        <v>16</v>
      </c>
      <c r="D198" s="414" t="s">
        <v>3648</v>
      </c>
      <c r="E198" s="414"/>
      <c r="F198" s="414"/>
      <c r="G198" s="414"/>
      <c r="H198" s="414"/>
      <c r="I198" s="414"/>
      <c r="J198" s="414"/>
      <c r="K198" s="414"/>
      <c r="L198" s="415" t="s">
        <v>4353</v>
      </c>
      <c r="M198" s="416" t="s">
        <v>2999</v>
      </c>
      <c r="N198" s="416" t="s">
        <v>2999</v>
      </c>
      <c r="O198" s="417"/>
      <c r="P198" s="416">
        <v>4590004398</v>
      </c>
      <c r="Q198" s="418">
        <v>44801</v>
      </c>
      <c r="R198" s="419">
        <v>23</v>
      </c>
      <c r="S198" s="544">
        <v>1164.3499999999999</v>
      </c>
      <c r="T198" s="420" t="s">
        <v>2156</v>
      </c>
      <c r="U198" s="414" t="s">
        <v>3864</v>
      </c>
      <c r="V198" s="414" t="s">
        <v>3865</v>
      </c>
      <c r="W198" s="417" t="s">
        <v>3866</v>
      </c>
      <c r="X198" s="417"/>
      <c r="Y198" s="421" t="s">
        <v>3652</v>
      </c>
      <c r="Z198" s="421" t="s">
        <v>3652</v>
      </c>
      <c r="AA198" s="416"/>
      <c r="AB198" s="414" t="s">
        <v>3664</v>
      </c>
      <c r="AC198" s="422"/>
      <c r="AD198" s="421"/>
      <c r="AE198" s="420"/>
      <c r="AF198" s="421">
        <v>90596</v>
      </c>
      <c r="AG198" s="420" t="s">
        <v>3015</v>
      </c>
      <c r="AH198" s="421" t="s">
        <v>3770</v>
      </c>
      <c r="AI198" s="420" t="s">
        <v>4351</v>
      </c>
      <c r="AJ198" s="413" t="str">
        <f t="shared" si="10"/>
        <v>4590004398_023</v>
      </c>
      <c r="AK198" s="423" t="s">
        <v>4354</v>
      </c>
      <c r="AL198" s="424">
        <v>45520</v>
      </c>
      <c r="AM198" s="221">
        <v>1164.3499999999999</v>
      </c>
      <c r="AN198" s="424" t="s">
        <v>3805</v>
      </c>
      <c r="AO198" s="423"/>
      <c r="AP198" s="413"/>
      <c r="AQ198" s="222"/>
      <c r="AR198" s="424"/>
      <c r="AS198" s="614">
        <f ca="1">表格1_6[[#This Row],[total amount]]/表格1_6[[#This Row],[PO$]]</f>
        <v>1</v>
      </c>
      <c r="AT198" s="223">
        <f ca="1">表格1_6[[#This Row],[invoice amount]]+表格1_6[[#This Row],[invoice amount2]]</f>
        <v>1164.3499999999999</v>
      </c>
      <c r="AU198" s="224" t="s">
        <v>3701</v>
      </c>
      <c r="AV198" s="423"/>
      <c r="AW198" s="423" t="e">
        <f ca="1">VLOOKUP(表格1_6[[#This Row],[TI tool ID2]],工作表1!A:A,1,FALSE)</f>
        <v>#N/A</v>
      </c>
      <c r="AX198" s="425" t="e">
        <f ca="1">VLOOKUP(表格1_6[[#This Row],[PO+ITEM]],工作表1!B:E,2,FALSE)</f>
        <v>#N/A</v>
      </c>
      <c r="AY198" s="425" t="e">
        <f ca="1">VLOOKUP(表格1_6[[#This Row],[PO+ITEM]],工作表1!B:E,3,FALSE)</f>
        <v>#N/A</v>
      </c>
      <c r="AZ198" s="423" t="e">
        <f ca="1">VLOOKUP(表格1_6[[#This Row],[PO+ITEM]],工作表1!B:E,4,FALSE)</f>
        <v>#N/A</v>
      </c>
      <c r="BA198" s="425" t="e">
        <f ca="1">INDEX(工作表1!G:G, MATCH(表格1_6[[#This Row],[invoice number]]&amp;表格1_6[[#This Row],[invoice number2]],工作表1!G:G, 0))</f>
        <v>#N/A</v>
      </c>
      <c r="BB198" s="423" t="e">
        <f ca="1">VLOOKUP(表格1_6[[#This Row],[PO+ITEM]],工作表1!F:H,2,FALSE)</f>
        <v>#N/A</v>
      </c>
    </row>
    <row r="199" spans="1:54" ht="14.45">
      <c r="A199" s="413">
        <v>198</v>
      </c>
      <c r="B199" s="413" t="s">
        <v>3674</v>
      </c>
      <c r="C199" s="414" t="s">
        <v>16</v>
      </c>
      <c r="D199" s="414" t="s">
        <v>3648</v>
      </c>
      <c r="E199" s="414"/>
      <c r="F199" s="414"/>
      <c r="G199" s="414"/>
      <c r="H199" s="414"/>
      <c r="I199" s="414"/>
      <c r="J199" s="414"/>
      <c r="K199" s="414"/>
      <c r="L199" s="415" t="s">
        <v>4355</v>
      </c>
      <c r="M199" s="416" t="s">
        <v>2999</v>
      </c>
      <c r="N199" s="416" t="s">
        <v>2999</v>
      </c>
      <c r="O199" s="417"/>
      <c r="P199" s="416">
        <v>4590004398</v>
      </c>
      <c r="Q199" s="418">
        <v>44801</v>
      </c>
      <c r="R199" s="419">
        <v>24</v>
      </c>
      <c r="S199" s="458">
        <v>113844.96</v>
      </c>
      <c r="T199" s="420" t="s">
        <v>2156</v>
      </c>
      <c r="U199" s="414" t="s">
        <v>3864</v>
      </c>
      <c r="V199" s="414" t="s">
        <v>3865</v>
      </c>
      <c r="W199" s="417" t="s">
        <v>3866</v>
      </c>
      <c r="X199" s="417"/>
      <c r="Y199" s="421" t="s">
        <v>3652</v>
      </c>
      <c r="Z199" s="421" t="s">
        <v>3652</v>
      </c>
      <c r="AA199" s="416" t="s">
        <v>4316</v>
      </c>
      <c r="AB199" s="414" t="s">
        <v>3664</v>
      </c>
      <c r="AC199" s="422"/>
      <c r="AD199" s="421"/>
      <c r="AE199" s="420"/>
      <c r="AF199" s="421">
        <v>90475</v>
      </c>
      <c r="AG199" s="420" t="s">
        <v>3086</v>
      </c>
      <c r="AH199" s="421" t="s">
        <v>3770</v>
      </c>
      <c r="AI199" s="420" t="s">
        <v>4309</v>
      </c>
      <c r="AJ199" s="413" t="str">
        <f t="shared" si="10"/>
        <v>4590004398_024</v>
      </c>
      <c r="AK199" s="423" t="s">
        <v>4356</v>
      </c>
      <c r="AL199" s="424">
        <v>45422</v>
      </c>
      <c r="AM199" s="221">
        <v>113844.96</v>
      </c>
      <c r="AN199" s="424">
        <v>45519</v>
      </c>
      <c r="AO199" s="423"/>
      <c r="AP199" s="413"/>
      <c r="AQ199" s="222"/>
      <c r="AR199" s="424"/>
      <c r="AS199" s="614">
        <f ca="1">表格1_6[[#This Row],[total amount]]/表格1_6[[#This Row],[PO$]]</f>
        <v>1</v>
      </c>
      <c r="AT199" s="223">
        <f ca="1">表格1_6[[#This Row],[invoice amount]]+表格1_6[[#This Row],[invoice amount2]]</f>
        <v>113844.96</v>
      </c>
      <c r="AU199" s="224" t="s">
        <v>3657</v>
      </c>
      <c r="AV199" s="423"/>
      <c r="AW199" s="423" t="e">
        <f ca="1">VLOOKUP(表格1_6[[#This Row],[TI tool ID2]],工作表1!A:A,1,FALSE)</f>
        <v>#N/A</v>
      </c>
      <c r="AX199" s="425" t="e">
        <f ca="1">VLOOKUP(表格1_6[[#This Row],[PO+ITEM]],工作表1!B:E,2,FALSE)</f>
        <v>#N/A</v>
      </c>
      <c r="AY199" s="425" t="e">
        <f ca="1">VLOOKUP(表格1_6[[#This Row],[PO+ITEM]],工作表1!B:E,3,FALSE)</f>
        <v>#N/A</v>
      </c>
      <c r="AZ199" s="423" t="e">
        <f ca="1">VLOOKUP(表格1_6[[#This Row],[PO+ITEM]],工作表1!B:E,4,FALSE)</f>
        <v>#N/A</v>
      </c>
      <c r="BA199" s="425" t="e">
        <f ca="1">INDEX(工作表1!G:G, MATCH(表格1_6[[#This Row],[invoice number]]&amp;表格1_6[[#This Row],[invoice number2]],工作表1!G:G, 0))</f>
        <v>#N/A</v>
      </c>
      <c r="BB199" s="423" t="e">
        <f ca="1">VLOOKUP(表格1_6[[#This Row],[PO+ITEM]],工作表1!F:H,2,FALSE)</f>
        <v>#N/A</v>
      </c>
    </row>
    <row r="200" spans="1:54" ht="14.45">
      <c r="A200" s="413">
        <v>199</v>
      </c>
      <c r="B200" s="413" t="s">
        <v>3674</v>
      </c>
      <c r="C200" s="414" t="s">
        <v>16</v>
      </c>
      <c r="D200" s="414" t="s">
        <v>3648</v>
      </c>
      <c r="E200" s="414"/>
      <c r="F200" s="414"/>
      <c r="G200" s="414"/>
      <c r="H200" s="414"/>
      <c r="I200" s="414"/>
      <c r="J200" s="414"/>
      <c r="K200" s="414"/>
      <c r="L200" s="415" t="s">
        <v>4357</v>
      </c>
      <c r="M200" s="416" t="s">
        <v>2999</v>
      </c>
      <c r="N200" s="416" t="s">
        <v>2999</v>
      </c>
      <c r="O200" s="417"/>
      <c r="P200" s="416">
        <v>4590004398</v>
      </c>
      <c r="Q200" s="418">
        <v>44801</v>
      </c>
      <c r="R200" s="419">
        <v>25</v>
      </c>
      <c r="S200" s="544">
        <v>113844.96</v>
      </c>
      <c r="T200" s="420" t="s">
        <v>2156</v>
      </c>
      <c r="U200" s="414" t="s">
        <v>3864</v>
      </c>
      <c r="V200" s="414" t="s">
        <v>3865</v>
      </c>
      <c r="W200" s="417" t="s">
        <v>3866</v>
      </c>
      <c r="X200" s="417"/>
      <c r="Y200" s="421" t="s">
        <v>3652</v>
      </c>
      <c r="Z200" s="421" t="s">
        <v>3652</v>
      </c>
      <c r="AA200" s="416"/>
      <c r="AB200" s="414" t="s">
        <v>3664</v>
      </c>
      <c r="AC200" s="422"/>
      <c r="AD200" s="421"/>
      <c r="AE200" s="420"/>
      <c r="AF200" s="421">
        <v>90463</v>
      </c>
      <c r="AG200" s="420" t="s">
        <v>3081</v>
      </c>
      <c r="AH200" s="421" t="s">
        <v>3770</v>
      </c>
      <c r="AI200" s="420" t="s">
        <v>4309</v>
      </c>
      <c r="AJ200" s="413" t="str">
        <f t="shared" si="10"/>
        <v>4590004398_025</v>
      </c>
      <c r="AK200" s="425" t="s">
        <v>4358</v>
      </c>
      <c r="AL200" s="424">
        <v>45520</v>
      </c>
      <c r="AM200" s="221">
        <v>113844.96</v>
      </c>
      <c r="AN200" s="424" t="s">
        <v>3805</v>
      </c>
      <c r="AO200" s="423"/>
      <c r="AP200" s="413"/>
      <c r="AQ200" s="222"/>
      <c r="AR200" s="424"/>
      <c r="AS200" s="614">
        <f ca="1">表格1_6[[#This Row],[total amount]]/表格1_6[[#This Row],[PO$]]</f>
        <v>1</v>
      </c>
      <c r="AT200" s="223">
        <f ca="1">表格1_6[[#This Row],[invoice amount]]+表格1_6[[#This Row],[invoice amount2]]</f>
        <v>113844.96</v>
      </c>
      <c r="AU200" s="224" t="s">
        <v>3701</v>
      </c>
      <c r="AV200" s="423"/>
      <c r="AW200" s="423" t="e">
        <f ca="1">VLOOKUP(表格1_6[[#This Row],[TI tool ID2]],工作表1!A:A,1,FALSE)</f>
        <v>#N/A</v>
      </c>
      <c r="AX200" s="425" t="e">
        <f ca="1">VLOOKUP(表格1_6[[#This Row],[PO+ITEM]],工作表1!B:E,2,FALSE)</f>
        <v>#N/A</v>
      </c>
      <c r="AY200" s="425" t="e">
        <f ca="1">VLOOKUP(表格1_6[[#This Row],[PO+ITEM]],工作表1!B:E,3,FALSE)</f>
        <v>#N/A</v>
      </c>
      <c r="AZ200" s="423" t="e">
        <f ca="1">VLOOKUP(表格1_6[[#This Row],[PO+ITEM]],工作表1!B:E,4,FALSE)</f>
        <v>#N/A</v>
      </c>
      <c r="BA200" s="425" t="e">
        <f ca="1">INDEX(工作表1!G:G, MATCH(表格1_6[[#This Row],[invoice number]]&amp;表格1_6[[#This Row],[invoice number2]],工作表1!G:G, 0))</f>
        <v>#N/A</v>
      </c>
      <c r="BB200" s="423" t="e">
        <f ca="1">VLOOKUP(表格1_6[[#This Row],[PO+ITEM]],工作表1!F:H,2,FALSE)</f>
        <v>#N/A</v>
      </c>
    </row>
    <row r="201" spans="1:54" ht="14.45">
      <c r="A201" s="413">
        <v>200</v>
      </c>
      <c r="B201" s="413" t="s">
        <v>3674</v>
      </c>
      <c r="C201" s="414" t="s">
        <v>16</v>
      </c>
      <c r="D201" s="414" t="s">
        <v>3648</v>
      </c>
      <c r="E201" s="414"/>
      <c r="F201" s="414"/>
      <c r="G201" s="414"/>
      <c r="H201" s="414"/>
      <c r="I201" s="414"/>
      <c r="J201" s="414"/>
      <c r="K201" s="414"/>
      <c r="L201" s="415" t="s">
        <v>4359</v>
      </c>
      <c r="M201" s="416" t="s">
        <v>2999</v>
      </c>
      <c r="N201" s="416" t="s">
        <v>2999</v>
      </c>
      <c r="O201" s="417"/>
      <c r="P201" s="416">
        <v>4590004398</v>
      </c>
      <c r="Q201" s="418">
        <v>44801</v>
      </c>
      <c r="R201" s="419">
        <v>26</v>
      </c>
      <c r="S201" s="544">
        <v>113844.96</v>
      </c>
      <c r="T201" s="420" t="s">
        <v>2156</v>
      </c>
      <c r="U201" s="414" t="s">
        <v>3864</v>
      </c>
      <c r="V201" s="414" t="s">
        <v>3865</v>
      </c>
      <c r="W201" s="417" t="s">
        <v>3866</v>
      </c>
      <c r="X201" s="417"/>
      <c r="Y201" s="421" t="s">
        <v>3652</v>
      </c>
      <c r="Z201" s="421" t="s">
        <v>3652</v>
      </c>
      <c r="AA201" s="416"/>
      <c r="AB201" s="414" t="s">
        <v>3664</v>
      </c>
      <c r="AC201" s="422"/>
      <c r="AD201" s="421"/>
      <c r="AE201" s="420"/>
      <c r="AF201" s="421">
        <v>90468</v>
      </c>
      <c r="AG201" s="420" t="s">
        <v>3085</v>
      </c>
      <c r="AH201" s="421" t="s">
        <v>3770</v>
      </c>
      <c r="AI201" s="420" t="s">
        <v>4309</v>
      </c>
      <c r="AJ201" s="413" t="str">
        <f t="shared" si="10"/>
        <v>4590004398_026</v>
      </c>
      <c r="AK201" s="423" t="s">
        <v>4360</v>
      </c>
      <c r="AL201" s="424">
        <v>45520</v>
      </c>
      <c r="AM201" s="221">
        <v>113844.96</v>
      </c>
      <c r="AN201" s="424" t="s">
        <v>3805</v>
      </c>
      <c r="AO201" s="423"/>
      <c r="AP201" s="413"/>
      <c r="AQ201" s="222"/>
      <c r="AR201" s="424"/>
      <c r="AS201" s="614">
        <f ca="1">表格1_6[[#This Row],[total amount]]/表格1_6[[#This Row],[PO$]]</f>
        <v>1</v>
      </c>
      <c r="AT201" s="223">
        <f ca="1">表格1_6[[#This Row],[invoice amount]]+表格1_6[[#This Row],[invoice amount2]]</f>
        <v>113844.96</v>
      </c>
      <c r="AU201" s="224" t="s">
        <v>3701</v>
      </c>
      <c r="AV201" s="423"/>
      <c r="AW201" s="423" t="e">
        <f ca="1">VLOOKUP(表格1_6[[#This Row],[TI tool ID2]],工作表1!A:A,1,FALSE)</f>
        <v>#N/A</v>
      </c>
      <c r="AX201" s="425" t="e">
        <f ca="1">VLOOKUP(表格1_6[[#This Row],[PO+ITEM]],工作表1!B:E,2,FALSE)</f>
        <v>#N/A</v>
      </c>
      <c r="AY201" s="425" t="e">
        <f ca="1">VLOOKUP(表格1_6[[#This Row],[PO+ITEM]],工作表1!B:E,3,FALSE)</f>
        <v>#N/A</v>
      </c>
      <c r="AZ201" s="423" t="e">
        <f ca="1">VLOOKUP(表格1_6[[#This Row],[PO+ITEM]],工作表1!B:E,4,FALSE)</f>
        <v>#N/A</v>
      </c>
      <c r="BA201" s="425" t="e">
        <f ca="1">INDEX(工作表1!G:G, MATCH(表格1_6[[#This Row],[invoice number]]&amp;表格1_6[[#This Row],[invoice number2]],工作表1!G:G, 0))</f>
        <v>#N/A</v>
      </c>
      <c r="BB201" s="423" t="e">
        <f ca="1">VLOOKUP(表格1_6[[#This Row],[PO+ITEM]],工作表1!F:H,2,FALSE)</f>
        <v>#N/A</v>
      </c>
    </row>
    <row r="202" spans="1:54" ht="14.45">
      <c r="A202" s="413">
        <v>201</v>
      </c>
      <c r="B202" s="413" t="s">
        <v>3674</v>
      </c>
      <c r="C202" s="414" t="s">
        <v>16</v>
      </c>
      <c r="D202" s="414" t="s">
        <v>3648</v>
      </c>
      <c r="E202" s="414"/>
      <c r="F202" s="414"/>
      <c r="G202" s="414"/>
      <c r="H202" s="414"/>
      <c r="I202" s="414"/>
      <c r="J202" s="414"/>
      <c r="K202" s="414"/>
      <c r="L202" s="415" t="s">
        <v>4361</v>
      </c>
      <c r="M202" s="416" t="s">
        <v>2999</v>
      </c>
      <c r="N202" s="416" t="s">
        <v>2999</v>
      </c>
      <c r="O202" s="417"/>
      <c r="P202" s="416">
        <v>4590004398</v>
      </c>
      <c r="Q202" s="418">
        <v>44801</v>
      </c>
      <c r="R202" s="419">
        <v>27</v>
      </c>
      <c r="S202" s="544">
        <v>113844.96</v>
      </c>
      <c r="T202" s="420" t="s">
        <v>2156</v>
      </c>
      <c r="U202" s="414" t="s">
        <v>3864</v>
      </c>
      <c r="V202" s="414" t="s">
        <v>3865</v>
      </c>
      <c r="W202" s="417" t="s">
        <v>3866</v>
      </c>
      <c r="X202" s="417"/>
      <c r="Y202" s="421" t="s">
        <v>3652</v>
      </c>
      <c r="Z202" s="421" t="s">
        <v>3652</v>
      </c>
      <c r="AA202" s="416"/>
      <c r="AB202" s="414" t="s">
        <v>3664</v>
      </c>
      <c r="AC202" s="422"/>
      <c r="AD202" s="421"/>
      <c r="AE202" s="420"/>
      <c r="AF202" s="421">
        <v>90467</v>
      </c>
      <c r="AG202" s="420" t="s">
        <v>3084</v>
      </c>
      <c r="AH202" s="421" t="s">
        <v>3770</v>
      </c>
      <c r="AI202" s="420" t="s">
        <v>4309</v>
      </c>
      <c r="AJ202" s="413" t="str">
        <f t="shared" si="10"/>
        <v>4590004398_027</v>
      </c>
      <c r="AK202" s="423" t="s">
        <v>4362</v>
      </c>
      <c r="AL202" s="424">
        <v>45520</v>
      </c>
      <c r="AM202" s="221">
        <v>113844.96</v>
      </c>
      <c r="AN202" s="424" t="s">
        <v>3805</v>
      </c>
      <c r="AO202" s="423"/>
      <c r="AP202" s="413"/>
      <c r="AQ202" s="222"/>
      <c r="AR202" s="424"/>
      <c r="AS202" s="614">
        <f ca="1">表格1_6[[#This Row],[total amount]]/表格1_6[[#This Row],[PO$]]</f>
        <v>1</v>
      </c>
      <c r="AT202" s="223">
        <f ca="1">表格1_6[[#This Row],[invoice amount]]+表格1_6[[#This Row],[invoice amount2]]</f>
        <v>113844.96</v>
      </c>
      <c r="AU202" s="224" t="s">
        <v>3701</v>
      </c>
      <c r="AV202" s="423"/>
      <c r="AW202" s="423" t="e">
        <f ca="1">VLOOKUP(表格1_6[[#This Row],[TI tool ID2]],工作表1!A:A,1,FALSE)</f>
        <v>#N/A</v>
      </c>
      <c r="AX202" s="425" t="e">
        <f ca="1">VLOOKUP(表格1_6[[#This Row],[PO+ITEM]],工作表1!B:E,2,FALSE)</f>
        <v>#N/A</v>
      </c>
      <c r="AY202" s="425" t="e">
        <f ca="1">VLOOKUP(表格1_6[[#This Row],[PO+ITEM]],工作表1!B:E,3,FALSE)</f>
        <v>#N/A</v>
      </c>
      <c r="AZ202" s="423" t="e">
        <f ca="1">VLOOKUP(表格1_6[[#This Row],[PO+ITEM]],工作表1!B:E,4,FALSE)</f>
        <v>#N/A</v>
      </c>
      <c r="BA202" s="425" t="e">
        <f ca="1">INDEX(工作表1!G:G, MATCH(表格1_6[[#This Row],[invoice number]]&amp;表格1_6[[#This Row],[invoice number2]],工作表1!G:G, 0))</f>
        <v>#N/A</v>
      </c>
      <c r="BB202" s="423" t="e">
        <f ca="1">VLOOKUP(表格1_6[[#This Row],[PO+ITEM]],工作表1!F:H,2,FALSE)</f>
        <v>#N/A</v>
      </c>
    </row>
    <row r="203" spans="1:54" ht="14.45">
      <c r="A203" s="413">
        <v>202</v>
      </c>
      <c r="B203" s="413" t="s">
        <v>3674</v>
      </c>
      <c r="C203" s="414" t="s">
        <v>16</v>
      </c>
      <c r="D203" s="414" t="s">
        <v>3648</v>
      </c>
      <c r="E203" s="414"/>
      <c r="F203" s="414"/>
      <c r="G203" s="414"/>
      <c r="H203" s="414"/>
      <c r="I203" s="414"/>
      <c r="J203" s="414"/>
      <c r="K203" s="414"/>
      <c r="L203" s="415" t="s">
        <v>4363</v>
      </c>
      <c r="M203" s="416" t="s">
        <v>2999</v>
      </c>
      <c r="N203" s="416" t="s">
        <v>2999</v>
      </c>
      <c r="O203" s="417"/>
      <c r="P203" s="416">
        <v>4590004399</v>
      </c>
      <c r="Q203" s="418">
        <v>44801</v>
      </c>
      <c r="R203" s="419">
        <v>1</v>
      </c>
      <c r="S203" s="458">
        <v>343.07</v>
      </c>
      <c r="T203" s="420" t="s">
        <v>2156</v>
      </c>
      <c r="U203" s="414" t="s">
        <v>3864</v>
      </c>
      <c r="V203" s="414" t="s">
        <v>3865</v>
      </c>
      <c r="W203" s="417" t="s">
        <v>3866</v>
      </c>
      <c r="X203" s="417"/>
      <c r="Y203" s="421" t="s">
        <v>3652</v>
      </c>
      <c r="Z203" s="421" t="s">
        <v>3652</v>
      </c>
      <c r="AA203" s="416"/>
      <c r="AB203" s="414" t="s">
        <v>3664</v>
      </c>
      <c r="AC203" s="422"/>
      <c r="AD203" s="421"/>
      <c r="AE203" s="420"/>
      <c r="AF203" s="421">
        <v>90473</v>
      </c>
      <c r="AG203" s="420" t="s">
        <v>3140</v>
      </c>
      <c r="AH203" s="421" t="s">
        <v>3770</v>
      </c>
      <c r="AI203" s="420" t="s">
        <v>4309</v>
      </c>
      <c r="AJ203" s="413" t="str">
        <f t="shared" ref="AJ203:AJ211" si="11">P203&amp;"_00"&amp;R203</f>
        <v>4590004399_001</v>
      </c>
      <c r="AK203" s="423" t="s">
        <v>4364</v>
      </c>
      <c r="AL203" s="424">
        <v>45401</v>
      </c>
      <c r="AM203" s="221">
        <v>343.07</v>
      </c>
      <c r="AN203" s="424">
        <v>45565</v>
      </c>
      <c r="AO203" s="423"/>
      <c r="AP203" s="413"/>
      <c r="AQ203" s="222"/>
      <c r="AR203" s="424"/>
      <c r="AS203" s="614">
        <f ca="1">表格1_6[[#This Row],[total amount]]/表格1_6[[#This Row],[PO$]]</f>
        <v>1</v>
      </c>
      <c r="AT203" s="223">
        <f ca="1">表格1_6[[#This Row],[invoice amount]]+表格1_6[[#This Row],[invoice amount2]]</f>
        <v>343.07</v>
      </c>
      <c r="AU203" s="224" t="s">
        <v>3725</v>
      </c>
      <c r="AV203" s="423"/>
      <c r="AW203" s="423" t="e">
        <f ca="1">VLOOKUP(表格1_6[[#This Row],[TI tool ID2]],工作表1!A:A,1,FALSE)</f>
        <v>#N/A</v>
      </c>
      <c r="AX203" s="425" t="e">
        <f ca="1">VLOOKUP(表格1_6[[#This Row],[PO+ITEM]],工作表1!B:E,2,FALSE)</f>
        <v>#N/A</v>
      </c>
      <c r="AY203" s="425" t="e">
        <f ca="1">VLOOKUP(表格1_6[[#This Row],[PO+ITEM]],工作表1!B:E,3,FALSE)</f>
        <v>#N/A</v>
      </c>
      <c r="AZ203" s="423" t="e">
        <f ca="1">VLOOKUP(表格1_6[[#This Row],[PO+ITEM]],工作表1!B:E,4,FALSE)</f>
        <v>#N/A</v>
      </c>
      <c r="BA203" s="425" t="e">
        <f ca="1">INDEX(工作表1!G:G, MATCH(表格1_6[[#This Row],[invoice number]]&amp;表格1_6[[#This Row],[invoice number2]],工作表1!G:G, 0))</f>
        <v>#N/A</v>
      </c>
      <c r="BB203" s="423" t="e">
        <f ca="1">VLOOKUP(表格1_6[[#This Row],[PO+ITEM]],工作表1!F:H,2,FALSE)</f>
        <v>#N/A</v>
      </c>
    </row>
    <row r="204" spans="1:54" ht="14.45">
      <c r="A204" s="413">
        <v>203</v>
      </c>
      <c r="B204" s="413" t="s">
        <v>3674</v>
      </c>
      <c r="C204" s="414" t="s">
        <v>16</v>
      </c>
      <c r="D204" s="414" t="s">
        <v>3648</v>
      </c>
      <c r="E204" s="414"/>
      <c r="F204" s="414"/>
      <c r="G204" s="414"/>
      <c r="H204" s="414"/>
      <c r="I204" s="414"/>
      <c r="J204" s="414"/>
      <c r="K204" s="414"/>
      <c r="L204" s="415" t="s">
        <v>4365</v>
      </c>
      <c r="M204" s="416" t="s">
        <v>2999</v>
      </c>
      <c r="N204" s="416" t="s">
        <v>2999</v>
      </c>
      <c r="O204" s="417"/>
      <c r="P204" s="416">
        <v>4590004399</v>
      </c>
      <c r="Q204" s="418">
        <v>44801</v>
      </c>
      <c r="R204" s="419">
        <v>2</v>
      </c>
      <c r="S204" s="458">
        <v>343.07</v>
      </c>
      <c r="T204" s="420" t="s">
        <v>2156</v>
      </c>
      <c r="U204" s="414" t="s">
        <v>3864</v>
      </c>
      <c r="V204" s="414" t="s">
        <v>3865</v>
      </c>
      <c r="W204" s="417" t="s">
        <v>3866</v>
      </c>
      <c r="X204" s="417"/>
      <c r="Y204" s="421" t="s">
        <v>3652</v>
      </c>
      <c r="Z204" s="421" t="s">
        <v>3652</v>
      </c>
      <c r="AA204" s="416"/>
      <c r="AB204" s="414" t="s">
        <v>3664</v>
      </c>
      <c r="AC204" s="422"/>
      <c r="AD204" s="421"/>
      <c r="AE204" s="420"/>
      <c r="AF204" s="421">
        <v>90472</v>
      </c>
      <c r="AG204" s="420" t="s">
        <v>3107</v>
      </c>
      <c r="AH204" s="421" t="s">
        <v>3770</v>
      </c>
      <c r="AI204" s="420" t="s">
        <v>4309</v>
      </c>
      <c r="AJ204" s="413" t="str">
        <f t="shared" si="11"/>
        <v>4590004399_002</v>
      </c>
      <c r="AK204" s="425" t="s">
        <v>4366</v>
      </c>
      <c r="AL204" s="424">
        <v>45541</v>
      </c>
      <c r="AM204" s="221">
        <v>343.07</v>
      </c>
      <c r="AN204" s="424" t="s">
        <v>3805</v>
      </c>
      <c r="AO204" s="423"/>
      <c r="AP204" s="413"/>
      <c r="AQ204" s="222"/>
      <c r="AR204" s="424"/>
      <c r="AS204" s="614">
        <f ca="1">表格1_6[[#This Row],[total amount]]/表格1_6[[#This Row],[PO$]]</f>
        <v>1</v>
      </c>
      <c r="AT204" s="223">
        <f ca="1">表格1_6[[#This Row],[invoice amount]]+表格1_6[[#This Row],[invoice amount2]]</f>
        <v>343.07</v>
      </c>
      <c r="AU204" s="224" t="s">
        <v>3701</v>
      </c>
      <c r="AV204" s="423"/>
      <c r="AW204" s="423" t="e">
        <f ca="1">VLOOKUP(表格1_6[[#This Row],[TI tool ID2]],工作表1!A:A,1,FALSE)</f>
        <v>#N/A</v>
      </c>
      <c r="AX204" s="425" t="e">
        <f ca="1">VLOOKUP(表格1_6[[#This Row],[PO+ITEM]],工作表1!B:E,2,FALSE)</f>
        <v>#N/A</v>
      </c>
      <c r="AY204" s="425" t="e">
        <f ca="1">VLOOKUP(表格1_6[[#This Row],[PO+ITEM]],工作表1!B:E,3,FALSE)</f>
        <v>#N/A</v>
      </c>
      <c r="AZ204" s="423" t="e">
        <f ca="1">VLOOKUP(表格1_6[[#This Row],[PO+ITEM]],工作表1!B:E,4,FALSE)</f>
        <v>#N/A</v>
      </c>
      <c r="BA204" s="425" t="e">
        <f ca="1">INDEX(工作表1!G:G, MATCH(表格1_6[[#This Row],[invoice number]]&amp;表格1_6[[#This Row],[invoice number2]],工作表1!G:G, 0))</f>
        <v>#N/A</v>
      </c>
      <c r="BB204" s="423" t="e">
        <f ca="1">VLOOKUP(表格1_6[[#This Row],[PO+ITEM]],工作表1!F:H,2,FALSE)</f>
        <v>#N/A</v>
      </c>
    </row>
    <row r="205" spans="1:54" ht="15.6">
      <c r="A205" s="413">
        <v>204</v>
      </c>
      <c r="B205" s="413" t="s">
        <v>3674</v>
      </c>
      <c r="C205" s="414" t="s">
        <v>16</v>
      </c>
      <c r="D205" s="414" t="s">
        <v>3648</v>
      </c>
      <c r="E205" s="414"/>
      <c r="F205" s="414"/>
      <c r="G205" s="414"/>
      <c r="H205" s="414"/>
      <c r="I205" s="414"/>
      <c r="J205" s="414"/>
      <c r="K205" s="414"/>
      <c r="L205" s="415" t="s">
        <v>4367</v>
      </c>
      <c r="M205" s="416" t="s">
        <v>2999</v>
      </c>
      <c r="N205" s="416" t="s">
        <v>2999</v>
      </c>
      <c r="O205" s="417"/>
      <c r="P205" s="416">
        <v>4590004399</v>
      </c>
      <c r="Q205" s="418">
        <v>44801</v>
      </c>
      <c r="R205" s="419">
        <v>3</v>
      </c>
      <c r="S205" s="458">
        <v>4307.99</v>
      </c>
      <c r="T205" s="420" t="s">
        <v>2156</v>
      </c>
      <c r="U205" s="414" t="s">
        <v>3864</v>
      </c>
      <c r="V205" s="414" t="s">
        <v>3865</v>
      </c>
      <c r="W205" s="417" t="s">
        <v>3866</v>
      </c>
      <c r="X205" s="417"/>
      <c r="Y205" s="421" t="s">
        <v>3652</v>
      </c>
      <c r="Z205" s="421" t="s">
        <v>3652</v>
      </c>
      <c r="AA205" s="416" t="s">
        <v>3767</v>
      </c>
      <c r="AB205" s="414" t="s">
        <v>3664</v>
      </c>
      <c r="AC205" s="422"/>
      <c r="AD205" s="421"/>
      <c r="AE205" s="420"/>
      <c r="AF205" s="421">
        <v>90817</v>
      </c>
      <c r="AG205" s="420" t="s">
        <v>3769</v>
      </c>
      <c r="AH205" s="421" t="s">
        <v>3770</v>
      </c>
      <c r="AI205" s="420" t="s">
        <v>3719</v>
      </c>
      <c r="AJ205" s="413" t="str">
        <f t="shared" si="11"/>
        <v>4590004399_003</v>
      </c>
      <c r="AK205" s="423"/>
      <c r="AL205" s="424">
        <v>45017</v>
      </c>
      <c r="AM205" s="221">
        <v>1723.1959999999999</v>
      </c>
      <c r="AN205" s="424">
        <v>45245</v>
      </c>
      <c r="AO205" s="423" t="s">
        <v>4368</v>
      </c>
      <c r="AP205" s="424">
        <v>45401</v>
      </c>
      <c r="AQ205" s="221">
        <v>2584.79</v>
      </c>
      <c r="AR205" s="432">
        <v>45458</v>
      </c>
      <c r="AS205" s="614">
        <f ca="1">表格1_6[[#This Row],[total amount]]/表格1_6[[#This Row],[PO$]]</f>
        <v>0.99999907149273792</v>
      </c>
      <c r="AT205" s="223">
        <f ca="1">表格1_6[[#This Row],[invoice amount]]+表格1_6[[#This Row],[invoice amount2]]</f>
        <v>4307.9859999999999</v>
      </c>
      <c r="AU205" s="224" t="s">
        <v>3725</v>
      </c>
      <c r="AV205" s="423"/>
      <c r="AW205" s="423" t="e">
        <f ca="1">VLOOKUP(表格1_6[[#This Row],[TI tool ID2]],工作表1!A:A,1,FALSE)</f>
        <v>#N/A</v>
      </c>
      <c r="AX205" s="425" t="e">
        <f ca="1">VLOOKUP(表格1_6[[#This Row],[PO+ITEM]],工作表1!B:E,2,FALSE)</f>
        <v>#N/A</v>
      </c>
      <c r="AY205" s="425" t="e">
        <f ca="1">VLOOKUP(表格1_6[[#This Row],[PO+ITEM]],工作表1!B:E,3,FALSE)</f>
        <v>#N/A</v>
      </c>
      <c r="AZ205" s="423" t="e">
        <f ca="1">VLOOKUP(表格1_6[[#This Row],[PO+ITEM]],工作表1!B:E,4,FALSE)</f>
        <v>#N/A</v>
      </c>
      <c r="BA205" s="425" t="e">
        <f ca="1">INDEX(工作表1!G:G, MATCH(表格1_6[[#This Row],[invoice number]]&amp;表格1_6[[#This Row],[invoice number2]],工作表1!G:G, 0))</f>
        <v>#N/A</v>
      </c>
      <c r="BB205" s="423" t="e">
        <f ca="1">VLOOKUP(表格1_6[[#This Row],[PO+ITEM]],工作表1!F:H,2,FALSE)</f>
        <v>#N/A</v>
      </c>
    </row>
    <row r="206" spans="1:54" ht="14.45">
      <c r="A206" s="413">
        <v>205</v>
      </c>
      <c r="B206" s="413" t="s">
        <v>3674</v>
      </c>
      <c r="C206" s="414" t="s">
        <v>16</v>
      </c>
      <c r="D206" s="414" t="s">
        <v>3648</v>
      </c>
      <c r="E206" s="414"/>
      <c r="F206" s="414"/>
      <c r="G206" s="414"/>
      <c r="H206" s="414"/>
      <c r="I206" s="414"/>
      <c r="J206" s="414"/>
      <c r="K206" s="414"/>
      <c r="L206" s="415" t="s">
        <v>4369</v>
      </c>
      <c r="M206" s="416" t="s">
        <v>2999</v>
      </c>
      <c r="N206" s="416" t="s">
        <v>2999</v>
      </c>
      <c r="O206" s="417"/>
      <c r="P206" s="416">
        <v>4590004399</v>
      </c>
      <c r="Q206" s="418">
        <v>44801</v>
      </c>
      <c r="R206" s="419">
        <v>4</v>
      </c>
      <c r="S206" s="544">
        <v>14109.38</v>
      </c>
      <c r="T206" s="420" t="s">
        <v>2156</v>
      </c>
      <c r="U206" s="414" t="s">
        <v>3864</v>
      </c>
      <c r="V206" s="414" t="s">
        <v>3865</v>
      </c>
      <c r="W206" s="417" t="s">
        <v>3866</v>
      </c>
      <c r="X206" s="417"/>
      <c r="Y206" s="421" t="s">
        <v>3652</v>
      </c>
      <c r="Z206" s="421" t="s">
        <v>3652</v>
      </c>
      <c r="AA206" s="416" t="s">
        <v>3767</v>
      </c>
      <c r="AB206" s="414" t="s">
        <v>3664</v>
      </c>
      <c r="AC206" s="422"/>
      <c r="AD206" s="421"/>
      <c r="AE206" s="420"/>
      <c r="AF206" s="421">
        <v>90802</v>
      </c>
      <c r="AG206" s="420" t="s">
        <v>3808</v>
      </c>
      <c r="AH206" s="421" t="s">
        <v>3770</v>
      </c>
      <c r="AI206" s="420" t="s">
        <v>3719</v>
      </c>
      <c r="AJ206" s="413" t="str">
        <f t="shared" si="11"/>
        <v>4590004399_004</v>
      </c>
      <c r="AK206" s="423"/>
      <c r="AL206" s="424">
        <v>45017</v>
      </c>
      <c r="AM206" s="221">
        <v>5643.7520000000004</v>
      </c>
      <c r="AN206" s="424">
        <v>45245</v>
      </c>
      <c r="AO206" s="425" t="s">
        <v>4370</v>
      </c>
      <c r="AP206" s="424">
        <v>45520</v>
      </c>
      <c r="AQ206" s="222">
        <v>8465.6279999999988</v>
      </c>
      <c r="AR206" s="424" t="s">
        <v>3805</v>
      </c>
      <c r="AS206" s="614">
        <f ca="1">表格1_6[[#This Row],[total amount]]/表格1_6[[#This Row],[PO$]]</f>
        <v>1</v>
      </c>
      <c r="AT206" s="223">
        <f ca="1">表格1_6[[#This Row],[invoice amount]]+表格1_6[[#This Row],[invoice amount2]]</f>
        <v>14109.38</v>
      </c>
      <c r="AU206" s="224" t="s">
        <v>4371</v>
      </c>
      <c r="AV206" s="423"/>
      <c r="AW206" s="423" t="e">
        <f ca="1">VLOOKUP(表格1_6[[#This Row],[TI tool ID2]],工作表1!A:A,1,FALSE)</f>
        <v>#N/A</v>
      </c>
      <c r="AX206" s="425" t="e">
        <f ca="1">VLOOKUP(表格1_6[[#This Row],[PO+ITEM]],工作表1!B:E,2,FALSE)</f>
        <v>#N/A</v>
      </c>
      <c r="AY206" s="425" t="e">
        <f ca="1">VLOOKUP(表格1_6[[#This Row],[PO+ITEM]],工作表1!B:E,3,FALSE)</f>
        <v>#N/A</v>
      </c>
      <c r="AZ206" s="423" t="e">
        <f ca="1">VLOOKUP(表格1_6[[#This Row],[PO+ITEM]],工作表1!B:E,4,FALSE)</f>
        <v>#N/A</v>
      </c>
      <c r="BA206" s="425" t="e">
        <f ca="1">INDEX(工作表1!G:G, MATCH(表格1_6[[#This Row],[invoice number]]&amp;表格1_6[[#This Row],[invoice number2]],工作表1!G:G, 0))</f>
        <v>#N/A</v>
      </c>
      <c r="BB206" s="423" t="e">
        <f ca="1">VLOOKUP(表格1_6[[#This Row],[PO+ITEM]],工作表1!F:H,2,FALSE)</f>
        <v>#N/A</v>
      </c>
    </row>
    <row r="207" spans="1:54" ht="14.45">
      <c r="A207" s="413">
        <v>206</v>
      </c>
      <c r="B207" s="413" t="s">
        <v>3674</v>
      </c>
      <c r="C207" s="414" t="s">
        <v>16</v>
      </c>
      <c r="D207" s="414" t="s">
        <v>3648</v>
      </c>
      <c r="E207" s="414"/>
      <c r="F207" s="414"/>
      <c r="G207" s="414"/>
      <c r="H207" s="414"/>
      <c r="I207" s="414"/>
      <c r="J207" s="414"/>
      <c r="K207" s="414"/>
      <c r="L207" s="415" t="s">
        <v>4372</v>
      </c>
      <c r="M207" s="416" t="s">
        <v>2999</v>
      </c>
      <c r="N207" s="416" t="s">
        <v>2999</v>
      </c>
      <c r="O207" s="417"/>
      <c r="P207" s="416">
        <v>4590004399</v>
      </c>
      <c r="Q207" s="418">
        <v>44801</v>
      </c>
      <c r="R207" s="419">
        <v>5</v>
      </c>
      <c r="S207" s="458">
        <v>14109.38</v>
      </c>
      <c r="T207" s="420" t="s">
        <v>2156</v>
      </c>
      <c r="U207" s="414" t="s">
        <v>3864</v>
      </c>
      <c r="V207" s="414" t="s">
        <v>3865</v>
      </c>
      <c r="W207" s="417" t="s">
        <v>3866</v>
      </c>
      <c r="X207" s="417"/>
      <c r="Y207" s="421" t="s">
        <v>3652</v>
      </c>
      <c r="Z207" s="421" t="s">
        <v>3652</v>
      </c>
      <c r="AA207" s="416" t="s">
        <v>3767</v>
      </c>
      <c r="AB207" s="414" t="s">
        <v>3664</v>
      </c>
      <c r="AC207" s="422"/>
      <c r="AD207" s="421"/>
      <c r="AE207" s="420"/>
      <c r="AF207" s="421">
        <v>90803</v>
      </c>
      <c r="AG207" s="420" t="s">
        <v>3811</v>
      </c>
      <c r="AH207" s="421" t="s">
        <v>3770</v>
      </c>
      <c r="AI207" s="420" t="s">
        <v>3719</v>
      </c>
      <c r="AJ207" s="413" t="str">
        <f t="shared" si="11"/>
        <v>4590004399_005</v>
      </c>
      <c r="AK207" s="423"/>
      <c r="AL207" s="424">
        <v>45017</v>
      </c>
      <c r="AM207" s="221">
        <v>5643.7520000000004</v>
      </c>
      <c r="AN207" s="424">
        <v>45245</v>
      </c>
      <c r="AO207" s="423" t="s">
        <v>4373</v>
      </c>
      <c r="AP207" s="424">
        <v>45401</v>
      </c>
      <c r="AQ207" s="221">
        <v>8465.6299999999992</v>
      </c>
      <c r="AR207" s="424">
        <v>45565</v>
      </c>
      <c r="AS207" s="614">
        <f ca="1">表格1_6[[#This Row],[total amount]]/表格1_6[[#This Row],[PO$]]</f>
        <v>1.0000001417496729</v>
      </c>
      <c r="AT207" s="223">
        <f ca="1">表格1_6[[#This Row],[invoice amount]]+表格1_6[[#This Row],[invoice amount2]]</f>
        <v>14109.382</v>
      </c>
      <c r="AU207" s="224" t="s">
        <v>3725</v>
      </c>
      <c r="AV207" s="423"/>
      <c r="AW207" s="423" t="e">
        <f ca="1">VLOOKUP(表格1_6[[#This Row],[TI tool ID2]],工作表1!A:A,1,FALSE)</f>
        <v>#N/A</v>
      </c>
      <c r="AX207" s="425" t="e">
        <f ca="1">VLOOKUP(表格1_6[[#This Row],[PO+ITEM]],工作表1!B:E,2,FALSE)</f>
        <v>#N/A</v>
      </c>
      <c r="AY207" s="425" t="e">
        <f ca="1">VLOOKUP(表格1_6[[#This Row],[PO+ITEM]],工作表1!B:E,3,FALSE)</f>
        <v>#N/A</v>
      </c>
      <c r="AZ207" s="423" t="e">
        <f ca="1">VLOOKUP(表格1_6[[#This Row],[PO+ITEM]],工作表1!B:E,4,FALSE)</f>
        <v>#N/A</v>
      </c>
      <c r="BA207" s="425" t="e">
        <f ca="1">INDEX(工作表1!G:G, MATCH(表格1_6[[#This Row],[invoice number]]&amp;表格1_6[[#This Row],[invoice number2]],工作表1!G:G, 0))</f>
        <v>#N/A</v>
      </c>
      <c r="BB207" s="423" t="e">
        <f ca="1">VLOOKUP(表格1_6[[#This Row],[PO+ITEM]],工作表1!F:H,2,FALSE)</f>
        <v>#N/A</v>
      </c>
    </row>
    <row r="208" spans="1:54" ht="15.6">
      <c r="A208" s="413">
        <v>207</v>
      </c>
      <c r="B208" s="413" t="s">
        <v>3674</v>
      </c>
      <c r="C208" s="414" t="s">
        <v>16</v>
      </c>
      <c r="D208" s="414" t="s">
        <v>3648</v>
      </c>
      <c r="E208" s="414"/>
      <c r="F208" s="414"/>
      <c r="G208" s="414"/>
      <c r="H208" s="414"/>
      <c r="I208" s="414"/>
      <c r="J208" s="414"/>
      <c r="K208" s="414"/>
      <c r="L208" s="415" t="s">
        <v>4374</v>
      </c>
      <c r="M208" s="416" t="s">
        <v>2999</v>
      </c>
      <c r="N208" s="416" t="s">
        <v>2999</v>
      </c>
      <c r="O208" s="417"/>
      <c r="P208" s="416">
        <v>4590004399</v>
      </c>
      <c r="Q208" s="418">
        <v>44801</v>
      </c>
      <c r="R208" s="419">
        <v>6</v>
      </c>
      <c r="S208" s="458">
        <v>14109.38</v>
      </c>
      <c r="T208" s="420" t="s">
        <v>2156</v>
      </c>
      <c r="U208" s="414" t="s">
        <v>3864</v>
      </c>
      <c r="V208" s="414" t="s">
        <v>3865</v>
      </c>
      <c r="W208" s="417" t="s">
        <v>3866</v>
      </c>
      <c r="X208" s="417"/>
      <c r="Y208" s="421" t="s">
        <v>3652</v>
      </c>
      <c r="Z208" s="421" t="s">
        <v>3652</v>
      </c>
      <c r="AA208" s="416" t="s">
        <v>3767</v>
      </c>
      <c r="AB208" s="414" t="s">
        <v>3664</v>
      </c>
      <c r="AC208" s="422"/>
      <c r="AD208" s="421"/>
      <c r="AE208" s="420"/>
      <c r="AF208" s="421">
        <v>90557</v>
      </c>
      <c r="AG208" s="420" t="s">
        <v>4375</v>
      </c>
      <c r="AH208" s="421" t="s">
        <v>3770</v>
      </c>
      <c r="AI208" s="420" t="s">
        <v>3719</v>
      </c>
      <c r="AJ208" s="413" t="str">
        <f t="shared" si="11"/>
        <v>4590004399_006</v>
      </c>
      <c r="AK208" s="423"/>
      <c r="AL208" s="424">
        <v>45017</v>
      </c>
      <c r="AM208" s="221">
        <v>5643.7520000000004</v>
      </c>
      <c r="AN208" s="424">
        <v>45245</v>
      </c>
      <c r="AO208" s="423" t="s">
        <v>4376</v>
      </c>
      <c r="AP208" s="424">
        <v>45401</v>
      </c>
      <c r="AQ208" s="221">
        <v>8465.6299999999992</v>
      </c>
      <c r="AR208" s="432">
        <v>45458</v>
      </c>
      <c r="AS208" s="614">
        <f ca="1">表格1_6[[#This Row],[total amount]]/表格1_6[[#This Row],[PO$]]</f>
        <v>1.0000001417496729</v>
      </c>
      <c r="AT208" s="223">
        <f ca="1">表格1_6[[#This Row],[invoice amount]]+表格1_6[[#This Row],[invoice amount2]]</f>
        <v>14109.382</v>
      </c>
      <c r="AU208" s="224" t="s">
        <v>3725</v>
      </c>
      <c r="AV208" s="423"/>
      <c r="AW208" s="423" t="e">
        <f ca="1">VLOOKUP(表格1_6[[#This Row],[TI tool ID2]],工作表1!A:A,1,FALSE)</f>
        <v>#N/A</v>
      </c>
      <c r="AX208" s="425" t="e">
        <f ca="1">VLOOKUP(表格1_6[[#This Row],[PO+ITEM]],工作表1!B:E,2,FALSE)</f>
        <v>#N/A</v>
      </c>
      <c r="AY208" s="425" t="e">
        <f ca="1">VLOOKUP(表格1_6[[#This Row],[PO+ITEM]],工作表1!B:E,3,FALSE)</f>
        <v>#N/A</v>
      </c>
      <c r="AZ208" s="423" t="e">
        <f ca="1">VLOOKUP(表格1_6[[#This Row],[PO+ITEM]],工作表1!B:E,4,FALSE)</f>
        <v>#N/A</v>
      </c>
      <c r="BA208" s="425" t="e">
        <f ca="1">INDEX(工作表1!G:G, MATCH(表格1_6[[#This Row],[invoice number]]&amp;表格1_6[[#This Row],[invoice number2]],工作表1!G:G, 0))</f>
        <v>#N/A</v>
      </c>
      <c r="BB208" s="423" t="e">
        <f ca="1">VLOOKUP(表格1_6[[#This Row],[PO+ITEM]],工作表1!F:H,2,FALSE)</f>
        <v>#N/A</v>
      </c>
    </row>
    <row r="209" spans="1:54" ht="15.6">
      <c r="A209" s="413">
        <v>208</v>
      </c>
      <c r="B209" s="413" t="s">
        <v>3674</v>
      </c>
      <c r="C209" s="414" t="s">
        <v>16</v>
      </c>
      <c r="D209" s="414" t="s">
        <v>3648</v>
      </c>
      <c r="E209" s="414"/>
      <c r="F209" s="414"/>
      <c r="G209" s="414"/>
      <c r="H209" s="414"/>
      <c r="I209" s="414"/>
      <c r="J209" s="414"/>
      <c r="K209" s="414"/>
      <c r="L209" s="415" t="s">
        <v>4377</v>
      </c>
      <c r="M209" s="416" t="s">
        <v>2999</v>
      </c>
      <c r="N209" s="416" t="s">
        <v>2999</v>
      </c>
      <c r="O209" s="417"/>
      <c r="P209" s="416">
        <v>4590004399</v>
      </c>
      <c r="Q209" s="418">
        <v>44801</v>
      </c>
      <c r="R209" s="419">
        <v>7</v>
      </c>
      <c r="S209" s="458">
        <v>14109.38</v>
      </c>
      <c r="T209" s="420" t="s">
        <v>2156</v>
      </c>
      <c r="U209" s="414" t="s">
        <v>3864</v>
      </c>
      <c r="V209" s="414" t="s">
        <v>3865</v>
      </c>
      <c r="W209" s="417" t="s">
        <v>3866</v>
      </c>
      <c r="X209" s="417"/>
      <c r="Y209" s="421" t="s">
        <v>3652</v>
      </c>
      <c r="Z209" s="421" t="s">
        <v>3652</v>
      </c>
      <c r="AA209" s="416" t="s">
        <v>3767</v>
      </c>
      <c r="AB209" s="414" t="s">
        <v>3664</v>
      </c>
      <c r="AC209" s="422"/>
      <c r="AD209" s="421"/>
      <c r="AE209" s="420"/>
      <c r="AF209" s="421">
        <v>90558</v>
      </c>
      <c r="AG209" s="420" t="s">
        <v>4378</v>
      </c>
      <c r="AH209" s="421" t="s">
        <v>3770</v>
      </c>
      <c r="AI209" s="420" t="s">
        <v>3719</v>
      </c>
      <c r="AJ209" s="413" t="str">
        <f t="shared" si="11"/>
        <v>4590004399_007</v>
      </c>
      <c r="AK209" s="423"/>
      <c r="AL209" s="424">
        <v>45017</v>
      </c>
      <c r="AM209" s="221">
        <v>5643.7520000000004</v>
      </c>
      <c r="AN209" s="424">
        <v>45245</v>
      </c>
      <c r="AO209" s="423" t="s">
        <v>4379</v>
      </c>
      <c r="AP209" s="424">
        <v>45401</v>
      </c>
      <c r="AQ209" s="221">
        <v>8465.6299999999992</v>
      </c>
      <c r="AR209" s="432">
        <v>45458</v>
      </c>
      <c r="AS209" s="614">
        <f ca="1">表格1_6[[#This Row],[total amount]]/表格1_6[[#This Row],[PO$]]</f>
        <v>1.0000001417496729</v>
      </c>
      <c r="AT209" s="223">
        <f ca="1">表格1_6[[#This Row],[invoice amount]]+表格1_6[[#This Row],[invoice amount2]]</f>
        <v>14109.382</v>
      </c>
      <c r="AU209" s="224" t="s">
        <v>3725</v>
      </c>
      <c r="AV209" s="423"/>
      <c r="AW209" s="423" t="e">
        <f ca="1">VLOOKUP(表格1_6[[#This Row],[TI tool ID2]],工作表1!A:A,1,FALSE)</f>
        <v>#N/A</v>
      </c>
      <c r="AX209" s="425" t="e">
        <f ca="1">VLOOKUP(表格1_6[[#This Row],[PO+ITEM]],工作表1!B:E,2,FALSE)</f>
        <v>#N/A</v>
      </c>
      <c r="AY209" s="425" t="e">
        <f ca="1">VLOOKUP(表格1_6[[#This Row],[PO+ITEM]],工作表1!B:E,3,FALSE)</f>
        <v>#N/A</v>
      </c>
      <c r="AZ209" s="423" t="e">
        <f ca="1">VLOOKUP(表格1_6[[#This Row],[PO+ITEM]],工作表1!B:E,4,FALSE)</f>
        <v>#N/A</v>
      </c>
      <c r="BA209" s="425" t="e">
        <f ca="1">INDEX(工作表1!G:G, MATCH(表格1_6[[#This Row],[invoice number]]&amp;表格1_6[[#This Row],[invoice number2]],工作表1!G:G, 0))</f>
        <v>#N/A</v>
      </c>
      <c r="BB209" s="423" t="e">
        <f ca="1">VLOOKUP(表格1_6[[#This Row],[PO+ITEM]],工作表1!F:H,2,FALSE)</f>
        <v>#N/A</v>
      </c>
    </row>
    <row r="210" spans="1:54" ht="15.6">
      <c r="A210" s="413">
        <v>209</v>
      </c>
      <c r="B210" s="413" t="s">
        <v>3674</v>
      </c>
      <c r="C210" s="414" t="s">
        <v>16</v>
      </c>
      <c r="D210" s="414" t="s">
        <v>3648</v>
      </c>
      <c r="E210" s="414"/>
      <c r="F210" s="414"/>
      <c r="G210" s="414"/>
      <c r="H210" s="414"/>
      <c r="I210" s="414"/>
      <c r="J210" s="414"/>
      <c r="K210" s="414"/>
      <c r="L210" s="415" t="s">
        <v>4380</v>
      </c>
      <c r="M210" s="416" t="s">
        <v>2999</v>
      </c>
      <c r="N210" s="416" t="s">
        <v>2999</v>
      </c>
      <c r="O210" s="417"/>
      <c r="P210" s="416">
        <v>4590004399</v>
      </c>
      <c r="Q210" s="418">
        <v>44801</v>
      </c>
      <c r="R210" s="419">
        <v>8</v>
      </c>
      <c r="S210" s="458">
        <v>14109.38</v>
      </c>
      <c r="T210" s="420" t="s">
        <v>2156</v>
      </c>
      <c r="U210" s="414" t="s">
        <v>3864</v>
      </c>
      <c r="V210" s="414" t="s">
        <v>3865</v>
      </c>
      <c r="W210" s="417" t="s">
        <v>3866</v>
      </c>
      <c r="X210" s="417"/>
      <c r="Y210" s="421" t="s">
        <v>3652</v>
      </c>
      <c r="Z210" s="421" t="s">
        <v>3652</v>
      </c>
      <c r="AA210" s="416" t="s">
        <v>3767</v>
      </c>
      <c r="AB210" s="414" t="s">
        <v>3664</v>
      </c>
      <c r="AC210" s="422"/>
      <c r="AD210" s="421"/>
      <c r="AE210" s="420"/>
      <c r="AF210" s="421">
        <v>90559</v>
      </c>
      <c r="AG210" s="420" t="s">
        <v>4381</v>
      </c>
      <c r="AH210" s="421" t="s">
        <v>3770</v>
      </c>
      <c r="AI210" s="420" t="s">
        <v>3719</v>
      </c>
      <c r="AJ210" s="413" t="str">
        <f t="shared" si="11"/>
        <v>4590004399_008</v>
      </c>
      <c r="AK210" s="423"/>
      <c r="AL210" s="424">
        <v>45017</v>
      </c>
      <c r="AM210" s="221">
        <v>5643.7520000000004</v>
      </c>
      <c r="AN210" s="424">
        <v>45245</v>
      </c>
      <c r="AO210" s="423" t="s">
        <v>4382</v>
      </c>
      <c r="AP210" s="424">
        <v>45401</v>
      </c>
      <c r="AQ210" s="221">
        <v>8465.6299999999992</v>
      </c>
      <c r="AR210" s="432">
        <v>45458</v>
      </c>
      <c r="AS210" s="614">
        <f ca="1">表格1_6[[#This Row],[total amount]]/表格1_6[[#This Row],[PO$]]</f>
        <v>1.0000001417496729</v>
      </c>
      <c r="AT210" s="223">
        <f ca="1">表格1_6[[#This Row],[invoice amount]]+表格1_6[[#This Row],[invoice amount2]]</f>
        <v>14109.382</v>
      </c>
      <c r="AU210" s="224" t="s">
        <v>3725</v>
      </c>
      <c r="AV210" s="423"/>
      <c r="AW210" s="423" t="e">
        <f ca="1">VLOOKUP(表格1_6[[#This Row],[TI tool ID2]],工作表1!A:A,1,FALSE)</f>
        <v>#N/A</v>
      </c>
      <c r="AX210" s="425" t="e">
        <f ca="1">VLOOKUP(表格1_6[[#This Row],[PO+ITEM]],工作表1!B:E,2,FALSE)</f>
        <v>#N/A</v>
      </c>
      <c r="AY210" s="425" t="e">
        <f ca="1">VLOOKUP(表格1_6[[#This Row],[PO+ITEM]],工作表1!B:E,3,FALSE)</f>
        <v>#N/A</v>
      </c>
      <c r="AZ210" s="423" t="e">
        <f ca="1">VLOOKUP(表格1_6[[#This Row],[PO+ITEM]],工作表1!B:E,4,FALSE)</f>
        <v>#N/A</v>
      </c>
      <c r="BA210" s="425" t="e">
        <f ca="1">INDEX(工作表1!G:G, MATCH(表格1_6[[#This Row],[invoice number]]&amp;表格1_6[[#This Row],[invoice number2]],工作表1!G:G, 0))</f>
        <v>#N/A</v>
      </c>
      <c r="BB210" s="423" t="e">
        <f ca="1">VLOOKUP(表格1_6[[#This Row],[PO+ITEM]],工作表1!F:H,2,FALSE)</f>
        <v>#N/A</v>
      </c>
    </row>
    <row r="211" spans="1:54" ht="15.6">
      <c r="A211" s="413">
        <v>210</v>
      </c>
      <c r="B211" s="413" t="s">
        <v>3674</v>
      </c>
      <c r="C211" s="414" t="s">
        <v>16</v>
      </c>
      <c r="D211" s="414" t="s">
        <v>3648</v>
      </c>
      <c r="E211" s="414"/>
      <c r="F211" s="414"/>
      <c r="G211" s="414"/>
      <c r="H211" s="414"/>
      <c r="I211" s="414"/>
      <c r="J211" s="414"/>
      <c r="K211" s="414"/>
      <c r="L211" s="415" t="s">
        <v>4383</v>
      </c>
      <c r="M211" s="416" t="s">
        <v>2999</v>
      </c>
      <c r="N211" s="416" t="s">
        <v>2999</v>
      </c>
      <c r="O211" s="417"/>
      <c r="P211" s="416">
        <v>4590004399</v>
      </c>
      <c r="Q211" s="418">
        <v>44801</v>
      </c>
      <c r="R211" s="419">
        <v>9</v>
      </c>
      <c r="S211" s="458">
        <v>14109.38</v>
      </c>
      <c r="T211" s="420" t="s">
        <v>2156</v>
      </c>
      <c r="U211" s="414" t="s">
        <v>3864</v>
      </c>
      <c r="V211" s="414" t="s">
        <v>3865</v>
      </c>
      <c r="W211" s="417" t="s">
        <v>3866</v>
      </c>
      <c r="X211" s="417"/>
      <c r="Y211" s="421" t="s">
        <v>3652</v>
      </c>
      <c r="Z211" s="421" t="s">
        <v>3652</v>
      </c>
      <c r="AA211" s="416" t="s">
        <v>3767</v>
      </c>
      <c r="AB211" s="414" t="s">
        <v>3664</v>
      </c>
      <c r="AC211" s="422"/>
      <c r="AD211" s="421"/>
      <c r="AE211" s="420"/>
      <c r="AF211" s="421">
        <v>90560</v>
      </c>
      <c r="AG211" s="420" t="s">
        <v>4384</v>
      </c>
      <c r="AH211" s="421" t="s">
        <v>3770</v>
      </c>
      <c r="AI211" s="420" t="s">
        <v>3719</v>
      </c>
      <c r="AJ211" s="413" t="str">
        <f t="shared" si="11"/>
        <v>4590004399_009</v>
      </c>
      <c r="AK211" s="423"/>
      <c r="AL211" s="424">
        <v>45017</v>
      </c>
      <c r="AM211" s="221">
        <v>5643.7520000000004</v>
      </c>
      <c r="AN211" s="424">
        <v>45245</v>
      </c>
      <c r="AO211" s="423" t="s">
        <v>4385</v>
      </c>
      <c r="AP211" s="424">
        <v>45401</v>
      </c>
      <c r="AQ211" s="221">
        <v>8465.6299999999992</v>
      </c>
      <c r="AR211" s="432">
        <v>45458</v>
      </c>
      <c r="AS211" s="614">
        <f ca="1">表格1_6[[#This Row],[total amount]]/表格1_6[[#This Row],[PO$]]</f>
        <v>1.0000001417496729</v>
      </c>
      <c r="AT211" s="223">
        <f ca="1">表格1_6[[#This Row],[invoice amount]]+表格1_6[[#This Row],[invoice amount2]]</f>
        <v>14109.382</v>
      </c>
      <c r="AU211" s="224" t="s">
        <v>3725</v>
      </c>
      <c r="AV211" s="423"/>
      <c r="AW211" s="423" t="e">
        <f ca="1">VLOOKUP(表格1_6[[#This Row],[TI tool ID2]],工作表1!A:A,1,FALSE)</f>
        <v>#N/A</v>
      </c>
      <c r="AX211" s="425" t="e">
        <f ca="1">VLOOKUP(表格1_6[[#This Row],[PO+ITEM]],工作表1!B:E,2,FALSE)</f>
        <v>#N/A</v>
      </c>
      <c r="AY211" s="425" t="e">
        <f ca="1">VLOOKUP(表格1_6[[#This Row],[PO+ITEM]],工作表1!B:E,3,FALSE)</f>
        <v>#N/A</v>
      </c>
      <c r="AZ211" s="423" t="e">
        <f ca="1">VLOOKUP(表格1_6[[#This Row],[PO+ITEM]],工作表1!B:E,4,FALSE)</f>
        <v>#N/A</v>
      </c>
      <c r="BA211" s="425" t="e">
        <f ca="1">INDEX(工作表1!G:G, MATCH(表格1_6[[#This Row],[invoice number]]&amp;表格1_6[[#This Row],[invoice number2]],工作表1!G:G, 0))</f>
        <v>#N/A</v>
      </c>
      <c r="BB211" s="423" t="e">
        <f ca="1">VLOOKUP(表格1_6[[#This Row],[PO+ITEM]],工作表1!F:H,2,FALSE)</f>
        <v>#N/A</v>
      </c>
    </row>
    <row r="212" spans="1:54" ht="15.6">
      <c r="A212" s="413">
        <v>211</v>
      </c>
      <c r="B212" s="413" t="s">
        <v>3674</v>
      </c>
      <c r="C212" s="414" t="s">
        <v>16</v>
      </c>
      <c r="D212" s="414" t="s">
        <v>3648</v>
      </c>
      <c r="E212" s="414"/>
      <c r="F212" s="414"/>
      <c r="G212" s="414"/>
      <c r="H212" s="414"/>
      <c r="I212" s="414"/>
      <c r="J212" s="414"/>
      <c r="K212" s="414"/>
      <c r="L212" s="415" t="s">
        <v>4386</v>
      </c>
      <c r="M212" s="416" t="s">
        <v>2999</v>
      </c>
      <c r="N212" s="416" t="s">
        <v>2999</v>
      </c>
      <c r="O212" s="417"/>
      <c r="P212" s="416">
        <v>4590004399</v>
      </c>
      <c r="Q212" s="418">
        <v>44801</v>
      </c>
      <c r="R212" s="419">
        <v>10</v>
      </c>
      <c r="S212" s="458">
        <v>14109.38</v>
      </c>
      <c r="T212" s="420" t="s">
        <v>2156</v>
      </c>
      <c r="U212" s="414" t="s">
        <v>3864</v>
      </c>
      <c r="V212" s="414" t="s">
        <v>3865</v>
      </c>
      <c r="W212" s="417" t="s">
        <v>3866</v>
      </c>
      <c r="X212" s="417"/>
      <c r="Y212" s="421" t="s">
        <v>3652</v>
      </c>
      <c r="Z212" s="421" t="s">
        <v>3652</v>
      </c>
      <c r="AA212" s="416" t="s">
        <v>3767</v>
      </c>
      <c r="AB212" s="414" t="s">
        <v>3664</v>
      </c>
      <c r="AC212" s="422"/>
      <c r="AD212" s="421"/>
      <c r="AE212" s="420"/>
      <c r="AF212" s="421">
        <v>90555</v>
      </c>
      <c r="AG212" s="420" t="s">
        <v>3820</v>
      </c>
      <c r="AH212" s="421" t="s">
        <v>3770</v>
      </c>
      <c r="AI212" s="420" t="s">
        <v>3719</v>
      </c>
      <c r="AJ212" s="413" t="str">
        <f t="shared" ref="AJ212:AJ231" si="12">P212&amp;"_0"&amp;R212</f>
        <v>4590004399_010</v>
      </c>
      <c r="AK212" s="423"/>
      <c r="AL212" s="424">
        <v>45017</v>
      </c>
      <c r="AM212" s="221">
        <v>5643.7520000000004</v>
      </c>
      <c r="AN212" s="424">
        <v>45245</v>
      </c>
      <c r="AO212" s="423" t="s">
        <v>4387</v>
      </c>
      <c r="AP212" s="424">
        <v>45401</v>
      </c>
      <c r="AQ212" s="221">
        <v>8465.6299999999992</v>
      </c>
      <c r="AR212" s="432">
        <v>45458</v>
      </c>
      <c r="AS212" s="614">
        <f ca="1">表格1_6[[#This Row],[total amount]]/表格1_6[[#This Row],[PO$]]</f>
        <v>1.0000001417496729</v>
      </c>
      <c r="AT212" s="223">
        <f ca="1">表格1_6[[#This Row],[invoice amount]]+表格1_6[[#This Row],[invoice amount2]]</f>
        <v>14109.382</v>
      </c>
      <c r="AU212" s="224" t="s">
        <v>3725</v>
      </c>
      <c r="AV212" s="423"/>
      <c r="AW212" s="423" t="e">
        <f ca="1">VLOOKUP(表格1_6[[#This Row],[TI tool ID2]],工作表1!A:A,1,FALSE)</f>
        <v>#N/A</v>
      </c>
      <c r="AX212" s="425" t="e">
        <f ca="1">VLOOKUP(表格1_6[[#This Row],[PO+ITEM]],工作表1!B:E,2,FALSE)</f>
        <v>#N/A</v>
      </c>
      <c r="AY212" s="425" t="e">
        <f ca="1">VLOOKUP(表格1_6[[#This Row],[PO+ITEM]],工作表1!B:E,3,FALSE)</f>
        <v>#N/A</v>
      </c>
      <c r="AZ212" s="423" t="e">
        <f ca="1">VLOOKUP(表格1_6[[#This Row],[PO+ITEM]],工作表1!B:E,4,FALSE)</f>
        <v>#N/A</v>
      </c>
      <c r="BA212" s="425" t="e">
        <f ca="1">INDEX(工作表1!G:G, MATCH(表格1_6[[#This Row],[invoice number]]&amp;表格1_6[[#This Row],[invoice number2]],工作表1!G:G, 0))</f>
        <v>#N/A</v>
      </c>
      <c r="BB212" s="423" t="e">
        <f ca="1">VLOOKUP(表格1_6[[#This Row],[PO+ITEM]],工作表1!F:H,2,FALSE)</f>
        <v>#N/A</v>
      </c>
    </row>
    <row r="213" spans="1:54" ht="15.6">
      <c r="A213" s="413">
        <v>212</v>
      </c>
      <c r="B213" s="413" t="s">
        <v>3674</v>
      </c>
      <c r="C213" s="414" t="s">
        <v>16</v>
      </c>
      <c r="D213" s="414" t="s">
        <v>3648</v>
      </c>
      <c r="E213" s="414"/>
      <c r="F213" s="414"/>
      <c r="G213" s="414"/>
      <c r="H213" s="414"/>
      <c r="I213" s="414"/>
      <c r="J213" s="414"/>
      <c r="K213" s="414"/>
      <c r="L213" s="415" t="s">
        <v>4388</v>
      </c>
      <c r="M213" s="416" t="s">
        <v>2999</v>
      </c>
      <c r="N213" s="416" t="s">
        <v>2999</v>
      </c>
      <c r="O213" s="417"/>
      <c r="P213" s="416">
        <v>4590004399</v>
      </c>
      <c r="Q213" s="418">
        <v>44801</v>
      </c>
      <c r="R213" s="419">
        <v>11</v>
      </c>
      <c r="S213" s="458">
        <v>14109.38</v>
      </c>
      <c r="T213" s="420" t="s">
        <v>2156</v>
      </c>
      <c r="U213" s="414" t="s">
        <v>3864</v>
      </c>
      <c r="V213" s="414" t="s">
        <v>3865</v>
      </c>
      <c r="W213" s="417" t="s">
        <v>3866</v>
      </c>
      <c r="X213" s="417"/>
      <c r="Y213" s="421" t="s">
        <v>3652</v>
      </c>
      <c r="Z213" s="421" t="s">
        <v>3652</v>
      </c>
      <c r="AA213" s="416" t="s">
        <v>3767</v>
      </c>
      <c r="AB213" s="414" t="s">
        <v>3664</v>
      </c>
      <c r="AC213" s="422"/>
      <c r="AD213" s="421"/>
      <c r="AE213" s="420"/>
      <c r="AF213" s="421">
        <v>90556</v>
      </c>
      <c r="AG213" s="420" t="s">
        <v>3823</v>
      </c>
      <c r="AH213" s="421" t="s">
        <v>3770</v>
      </c>
      <c r="AI213" s="420" t="s">
        <v>3719</v>
      </c>
      <c r="AJ213" s="413" t="str">
        <f t="shared" si="12"/>
        <v>4590004399_011</v>
      </c>
      <c r="AK213" s="423"/>
      <c r="AL213" s="424">
        <v>45017</v>
      </c>
      <c r="AM213" s="221">
        <v>5643.7520000000004</v>
      </c>
      <c r="AN213" s="424">
        <v>45245</v>
      </c>
      <c r="AO213" s="423" t="s">
        <v>4389</v>
      </c>
      <c r="AP213" s="424">
        <v>45401</v>
      </c>
      <c r="AQ213" s="221">
        <v>8465.6299999999992</v>
      </c>
      <c r="AR213" s="432">
        <v>45458</v>
      </c>
      <c r="AS213" s="614">
        <f ca="1">表格1_6[[#This Row],[total amount]]/表格1_6[[#This Row],[PO$]]</f>
        <v>1.0000001417496729</v>
      </c>
      <c r="AT213" s="223">
        <f ca="1">表格1_6[[#This Row],[invoice amount]]+表格1_6[[#This Row],[invoice amount2]]</f>
        <v>14109.382</v>
      </c>
      <c r="AU213" s="224" t="s">
        <v>3725</v>
      </c>
      <c r="AV213" s="423"/>
      <c r="AW213" s="423" t="e">
        <f ca="1">VLOOKUP(表格1_6[[#This Row],[TI tool ID2]],工作表1!A:A,1,FALSE)</f>
        <v>#N/A</v>
      </c>
      <c r="AX213" s="425" t="e">
        <f ca="1">VLOOKUP(表格1_6[[#This Row],[PO+ITEM]],工作表1!B:E,2,FALSE)</f>
        <v>#N/A</v>
      </c>
      <c r="AY213" s="425" t="e">
        <f ca="1">VLOOKUP(表格1_6[[#This Row],[PO+ITEM]],工作表1!B:E,3,FALSE)</f>
        <v>#N/A</v>
      </c>
      <c r="AZ213" s="423" t="e">
        <f ca="1">VLOOKUP(表格1_6[[#This Row],[PO+ITEM]],工作表1!B:E,4,FALSE)</f>
        <v>#N/A</v>
      </c>
      <c r="BA213" s="425" t="e">
        <f ca="1">INDEX(工作表1!G:G, MATCH(表格1_6[[#This Row],[invoice number]]&amp;表格1_6[[#This Row],[invoice number2]],工作表1!G:G, 0))</f>
        <v>#N/A</v>
      </c>
      <c r="BB213" s="423" t="e">
        <f ca="1">VLOOKUP(表格1_6[[#This Row],[PO+ITEM]],工作表1!F:H,2,FALSE)</f>
        <v>#N/A</v>
      </c>
    </row>
    <row r="214" spans="1:54" ht="15.6">
      <c r="A214" s="413">
        <v>213</v>
      </c>
      <c r="B214" s="413" t="s">
        <v>3674</v>
      </c>
      <c r="C214" s="414" t="s">
        <v>16</v>
      </c>
      <c r="D214" s="414" t="s">
        <v>3648</v>
      </c>
      <c r="E214" s="414"/>
      <c r="F214" s="414"/>
      <c r="G214" s="414"/>
      <c r="H214" s="414"/>
      <c r="I214" s="414"/>
      <c r="J214" s="414"/>
      <c r="K214" s="414"/>
      <c r="L214" s="415" t="s">
        <v>4390</v>
      </c>
      <c r="M214" s="416" t="s">
        <v>2999</v>
      </c>
      <c r="N214" s="416" t="s">
        <v>2999</v>
      </c>
      <c r="O214" s="417"/>
      <c r="P214" s="416">
        <v>4590004399</v>
      </c>
      <c r="Q214" s="418">
        <v>44801</v>
      </c>
      <c r="R214" s="419">
        <v>12</v>
      </c>
      <c r="S214" s="458">
        <v>14109.38</v>
      </c>
      <c r="T214" s="420" t="s">
        <v>2156</v>
      </c>
      <c r="U214" s="414" t="s">
        <v>3864</v>
      </c>
      <c r="V214" s="414" t="s">
        <v>3865</v>
      </c>
      <c r="W214" s="417" t="s">
        <v>3866</v>
      </c>
      <c r="X214" s="417"/>
      <c r="Y214" s="421" t="s">
        <v>3652</v>
      </c>
      <c r="Z214" s="421" t="s">
        <v>3652</v>
      </c>
      <c r="AA214" s="416" t="s">
        <v>3767</v>
      </c>
      <c r="AB214" s="414" t="s">
        <v>3664</v>
      </c>
      <c r="AC214" s="422"/>
      <c r="AD214" s="421"/>
      <c r="AE214" s="420"/>
      <c r="AF214" s="421">
        <v>90569</v>
      </c>
      <c r="AG214" s="420" t="s">
        <v>4391</v>
      </c>
      <c r="AH214" s="421" t="s">
        <v>3770</v>
      </c>
      <c r="AI214" s="420" t="s">
        <v>3719</v>
      </c>
      <c r="AJ214" s="413" t="str">
        <f t="shared" si="12"/>
        <v>4590004399_012</v>
      </c>
      <c r="AK214" s="423"/>
      <c r="AL214" s="424">
        <v>45017</v>
      </c>
      <c r="AM214" s="221">
        <v>5643.7520000000004</v>
      </c>
      <c r="AN214" s="424">
        <v>45245</v>
      </c>
      <c r="AO214" s="423" t="s">
        <v>4392</v>
      </c>
      <c r="AP214" s="424">
        <v>45401</v>
      </c>
      <c r="AQ214" s="221">
        <v>8465.6299999999992</v>
      </c>
      <c r="AR214" s="432">
        <v>45458</v>
      </c>
      <c r="AS214" s="614">
        <f ca="1">表格1_6[[#This Row],[total amount]]/表格1_6[[#This Row],[PO$]]</f>
        <v>1.0000001417496729</v>
      </c>
      <c r="AT214" s="223">
        <f ca="1">表格1_6[[#This Row],[invoice amount]]+表格1_6[[#This Row],[invoice amount2]]</f>
        <v>14109.382</v>
      </c>
      <c r="AU214" s="224" t="s">
        <v>3725</v>
      </c>
      <c r="AV214" s="423"/>
      <c r="AW214" s="423" t="e">
        <f ca="1">VLOOKUP(表格1_6[[#This Row],[TI tool ID2]],工作表1!A:A,1,FALSE)</f>
        <v>#N/A</v>
      </c>
      <c r="AX214" s="425" t="e">
        <f ca="1">VLOOKUP(表格1_6[[#This Row],[PO+ITEM]],工作表1!B:E,2,FALSE)</f>
        <v>#N/A</v>
      </c>
      <c r="AY214" s="425" t="e">
        <f ca="1">VLOOKUP(表格1_6[[#This Row],[PO+ITEM]],工作表1!B:E,3,FALSE)</f>
        <v>#N/A</v>
      </c>
      <c r="AZ214" s="423" t="e">
        <f ca="1">VLOOKUP(表格1_6[[#This Row],[PO+ITEM]],工作表1!B:E,4,FALSE)</f>
        <v>#N/A</v>
      </c>
      <c r="BA214" s="425" t="e">
        <f ca="1">INDEX(工作表1!G:G, MATCH(表格1_6[[#This Row],[invoice number]]&amp;表格1_6[[#This Row],[invoice number2]],工作表1!G:G, 0))</f>
        <v>#N/A</v>
      </c>
      <c r="BB214" s="423" t="e">
        <f ca="1">VLOOKUP(表格1_6[[#This Row],[PO+ITEM]],工作表1!F:H,2,FALSE)</f>
        <v>#N/A</v>
      </c>
    </row>
    <row r="215" spans="1:54" ht="14.45">
      <c r="A215" s="413">
        <v>214</v>
      </c>
      <c r="B215" s="413" t="s">
        <v>3674</v>
      </c>
      <c r="C215" s="414" t="s">
        <v>16</v>
      </c>
      <c r="D215" s="414" t="s">
        <v>3648</v>
      </c>
      <c r="E215" s="414"/>
      <c r="F215" s="414"/>
      <c r="G215" s="414"/>
      <c r="H215" s="414"/>
      <c r="I215" s="414"/>
      <c r="J215" s="414"/>
      <c r="K215" s="414"/>
      <c r="L215" s="415" t="s">
        <v>4393</v>
      </c>
      <c r="M215" s="416" t="s">
        <v>2999</v>
      </c>
      <c r="N215" s="416" t="s">
        <v>2999</v>
      </c>
      <c r="O215" s="417"/>
      <c r="P215" s="416">
        <v>4590004399</v>
      </c>
      <c r="Q215" s="418">
        <v>44801</v>
      </c>
      <c r="R215" s="419">
        <v>13</v>
      </c>
      <c r="S215" s="458">
        <v>13701.87</v>
      </c>
      <c r="T215" s="420" t="s">
        <v>2156</v>
      </c>
      <c r="U215" s="414" t="s">
        <v>3864</v>
      </c>
      <c r="V215" s="414" t="s">
        <v>3865</v>
      </c>
      <c r="W215" s="417" t="s">
        <v>3866</v>
      </c>
      <c r="X215" s="417"/>
      <c r="Y215" s="421" t="s">
        <v>3652</v>
      </c>
      <c r="Z215" s="421" t="s">
        <v>3652</v>
      </c>
      <c r="AA215" s="416" t="s">
        <v>3767</v>
      </c>
      <c r="AB215" s="414" t="s">
        <v>3664</v>
      </c>
      <c r="AC215" s="422"/>
      <c r="AD215" s="421"/>
      <c r="AE215" s="420"/>
      <c r="AF215" s="421">
        <v>90570</v>
      </c>
      <c r="AG215" s="420" t="s">
        <v>3798</v>
      </c>
      <c r="AH215" s="421" t="s">
        <v>3770</v>
      </c>
      <c r="AI215" s="420" t="s">
        <v>3719</v>
      </c>
      <c r="AJ215" s="413" t="str">
        <f t="shared" si="12"/>
        <v>4590004399_013</v>
      </c>
      <c r="AK215" s="420"/>
      <c r="AL215" s="424">
        <v>45017</v>
      </c>
      <c r="AM215" s="221">
        <v>5480.7480000000005</v>
      </c>
      <c r="AN215" s="424">
        <v>45245</v>
      </c>
      <c r="AO215" s="420" t="s">
        <v>4394</v>
      </c>
      <c r="AP215" s="424">
        <v>45471</v>
      </c>
      <c r="AQ215" s="222">
        <v>8221.1200000000008</v>
      </c>
      <c r="AR215" s="424">
        <v>45565</v>
      </c>
      <c r="AS215" s="614">
        <f ca="1">表格1_6[[#This Row],[total amount]]/表格1_6[[#This Row],[PO$]]</f>
        <v>0.99999985403452241</v>
      </c>
      <c r="AT215" s="223">
        <f ca="1">表格1_6[[#This Row],[invoice amount]]+表格1_6[[#This Row],[invoice amount2]]</f>
        <v>13701.868000000002</v>
      </c>
      <c r="AU215" s="224" t="s">
        <v>3725</v>
      </c>
      <c r="AV215" s="423"/>
      <c r="AW215" s="423" t="e">
        <f ca="1">VLOOKUP(表格1_6[[#This Row],[TI tool ID2]],工作表1!A:A,1,FALSE)</f>
        <v>#N/A</v>
      </c>
      <c r="AX215" s="425" t="e">
        <f ca="1">VLOOKUP(表格1_6[[#This Row],[PO+ITEM]],工作表1!B:E,2,FALSE)</f>
        <v>#N/A</v>
      </c>
      <c r="AY215" s="425" t="e">
        <f ca="1">VLOOKUP(表格1_6[[#This Row],[PO+ITEM]],工作表1!B:E,3,FALSE)</f>
        <v>#N/A</v>
      </c>
      <c r="AZ215" s="423" t="e">
        <f ca="1">VLOOKUP(表格1_6[[#This Row],[PO+ITEM]],工作表1!B:E,4,FALSE)</f>
        <v>#N/A</v>
      </c>
      <c r="BA215" s="425" t="e">
        <f ca="1">INDEX(工作表1!G:G, MATCH(表格1_6[[#This Row],[invoice number]]&amp;表格1_6[[#This Row],[invoice number2]],工作表1!G:G, 0))</f>
        <v>#N/A</v>
      </c>
      <c r="BB215" s="423" t="e">
        <f ca="1">VLOOKUP(表格1_6[[#This Row],[PO+ITEM]],工作表1!F:H,2,FALSE)</f>
        <v>#N/A</v>
      </c>
    </row>
    <row r="216" spans="1:54" ht="15.6">
      <c r="A216" s="413">
        <v>215</v>
      </c>
      <c r="B216" s="413" t="s">
        <v>3674</v>
      </c>
      <c r="C216" s="414" t="s">
        <v>16</v>
      </c>
      <c r="D216" s="414" t="s">
        <v>3648</v>
      </c>
      <c r="E216" s="414"/>
      <c r="F216" s="414"/>
      <c r="G216" s="414"/>
      <c r="H216" s="414"/>
      <c r="I216" s="414"/>
      <c r="J216" s="414"/>
      <c r="K216" s="414"/>
      <c r="L216" s="415" t="s">
        <v>4395</v>
      </c>
      <c r="M216" s="416" t="s">
        <v>2999</v>
      </c>
      <c r="N216" s="416" t="s">
        <v>2999</v>
      </c>
      <c r="O216" s="417"/>
      <c r="P216" s="416">
        <v>4590004399</v>
      </c>
      <c r="Q216" s="418">
        <v>44801</v>
      </c>
      <c r="R216" s="419">
        <v>14</v>
      </c>
      <c r="S216" s="458">
        <v>14109.38</v>
      </c>
      <c r="T216" s="420" t="s">
        <v>2156</v>
      </c>
      <c r="U216" s="414" t="s">
        <v>3864</v>
      </c>
      <c r="V216" s="414" t="s">
        <v>3865</v>
      </c>
      <c r="W216" s="417" t="s">
        <v>3866</v>
      </c>
      <c r="X216" s="417"/>
      <c r="Y216" s="421" t="s">
        <v>3652</v>
      </c>
      <c r="Z216" s="421" t="s">
        <v>3652</v>
      </c>
      <c r="AA216" s="416" t="s">
        <v>3767</v>
      </c>
      <c r="AB216" s="414" t="s">
        <v>3664</v>
      </c>
      <c r="AC216" s="422"/>
      <c r="AD216" s="421"/>
      <c r="AE216" s="420"/>
      <c r="AF216" s="421">
        <v>90813</v>
      </c>
      <c r="AG216" s="420" t="s">
        <v>4396</v>
      </c>
      <c r="AH216" s="421" t="s">
        <v>3770</v>
      </c>
      <c r="AI216" s="420" t="s">
        <v>3719</v>
      </c>
      <c r="AJ216" s="413" t="str">
        <f t="shared" si="12"/>
        <v>4590004399_014</v>
      </c>
      <c r="AK216" s="423"/>
      <c r="AL216" s="424">
        <v>45017</v>
      </c>
      <c r="AM216" s="221">
        <v>5643.7520000000004</v>
      </c>
      <c r="AN216" s="424">
        <v>45245</v>
      </c>
      <c r="AO216" s="423" t="s">
        <v>4397</v>
      </c>
      <c r="AP216" s="424">
        <v>45401</v>
      </c>
      <c r="AQ216" s="221">
        <v>8465.6299999999992</v>
      </c>
      <c r="AR216" s="432">
        <v>45458</v>
      </c>
      <c r="AS216" s="614">
        <f ca="1">表格1_6[[#This Row],[total amount]]/表格1_6[[#This Row],[PO$]]</f>
        <v>1.0000001417496729</v>
      </c>
      <c r="AT216" s="223">
        <f ca="1">表格1_6[[#This Row],[invoice amount]]+表格1_6[[#This Row],[invoice amount2]]</f>
        <v>14109.382</v>
      </c>
      <c r="AU216" s="224" t="s">
        <v>3725</v>
      </c>
      <c r="AV216" s="423"/>
      <c r="AW216" s="423" t="e">
        <f ca="1">VLOOKUP(表格1_6[[#This Row],[TI tool ID2]],工作表1!A:A,1,FALSE)</f>
        <v>#N/A</v>
      </c>
      <c r="AX216" s="425" t="e">
        <f ca="1">VLOOKUP(表格1_6[[#This Row],[PO+ITEM]],工作表1!B:E,2,FALSE)</f>
        <v>#N/A</v>
      </c>
      <c r="AY216" s="425" t="e">
        <f ca="1">VLOOKUP(表格1_6[[#This Row],[PO+ITEM]],工作表1!B:E,3,FALSE)</f>
        <v>#N/A</v>
      </c>
      <c r="AZ216" s="423" t="e">
        <f ca="1">VLOOKUP(表格1_6[[#This Row],[PO+ITEM]],工作表1!B:E,4,FALSE)</f>
        <v>#N/A</v>
      </c>
      <c r="BA216" s="425" t="e">
        <f ca="1">INDEX(工作表1!G:G, MATCH(表格1_6[[#This Row],[invoice number]]&amp;表格1_6[[#This Row],[invoice number2]],工作表1!G:G, 0))</f>
        <v>#N/A</v>
      </c>
      <c r="BB216" s="423" t="e">
        <f ca="1">VLOOKUP(表格1_6[[#This Row],[PO+ITEM]],工作表1!F:H,2,FALSE)</f>
        <v>#N/A</v>
      </c>
    </row>
    <row r="217" spans="1:54" ht="14.45">
      <c r="A217" s="413">
        <v>216</v>
      </c>
      <c r="B217" s="413" t="s">
        <v>3674</v>
      </c>
      <c r="C217" s="414" t="s">
        <v>16</v>
      </c>
      <c r="D217" s="414" t="s">
        <v>3648</v>
      </c>
      <c r="E217" s="414"/>
      <c r="F217" s="414"/>
      <c r="G217" s="414"/>
      <c r="H217" s="414"/>
      <c r="I217" s="414"/>
      <c r="J217" s="414"/>
      <c r="K217" s="414"/>
      <c r="L217" s="415" t="s">
        <v>4398</v>
      </c>
      <c r="M217" s="416" t="s">
        <v>2999</v>
      </c>
      <c r="N217" s="416" t="s">
        <v>2999</v>
      </c>
      <c r="O217" s="417"/>
      <c r="P217" s="416">
        <v>4590004399</v>
      </c>
      <c r="Q217" s="418">
        <v>44801</v>
      </c>
      <c r="R217" s="419">
        <v>15</v>
      </c>
      <c r="S217" s="458">
        <v>14109.38</v>
      </c>
      <c r="T217" s="420" t="s">
        <v>2156</v>
      </c>
      <c r="U217" s="414" t="s">
        <v>3864</v>
      </c>
      <c r="V217" s="414" t="s">
        <v>3865</v>
      </c>
      <c r="W217" s="417" t="s">
        <v>3866</v>
      </c>
      <c r="X217" s="417"/>
      <c r="Y217" s="421" t="s">
        <v>3652</v>
      </c>
      <c r="Z217" s="421" t="s">
        <v>3652</v>
      </c>
      <c r="AA217" s="416" t="s">
        <v>3767</v>
      </c>
      <c r="AB217" s="414" t="s">
        <v>3664</v>
      </c>
      <c r="AC217" s="422"/>
      <c r="AD217" s="421"/>
      <c r="AE217" s="420"/>
      <c r="AF217" s="421">
        <v>90814</v>
      </c>
      <c r="AG217" s="420" t="s">
        <v>4399</v>
      </c>
      <c r="AH217" s="421" t="s">
        <v>3770</v>
      </c>
      <c r="AI217" s="420" t="s">
        <v>3719</v>
      </c>
      <c r="AJ217" s="413" t="str">
        <f t="shared" si="12"/>
        <v>4590004399_015</v>
      </c>
      <c r="AK217" s="420"/>
      <c r="AL217" s="424">
        <v>45017</v>
      </c>
      <c r="AM217" s="221">
        <v>5643.7520000000004</v>
      </c>
      <c r="AN217" s="424">
        <v>45245</v>
      </c>
      <c r="AO217" s="420" t="s">
        <v>4400</v>
      </c>
      <c r="AP217" s="424">
        <v>45471</v>
      </c>
      <c r="AQ217" s="222">
        <v>8465.6299999999992</v>
      </c>
      <c r="AR217" s="424">
        <v>45565</v>
      </c>
      <c r="AS217" s="614">
        <f ca="1">表格1_6[[#This Row],[total amount]]/表格1_6[[#This Row],[PO$]]</f>
        <v>1.0000001417496729</v>
      </c>
      <c r="AT217" s="223">
        <f ca="1">表格1_6[[#This Row],[invoice amount]]+表格1_6[[#This Row],[invoice amount2]]</f>
        <v>14109.382</v>
      </c>
      <c r="AU217" s="224" t="s">
        <v>3725</v>
      </c>
      <c r="AV217" s="423"/>
      <c r="AW217" s="423" t="e">
        <f ca="1">VLOOKUP(表格1_6[[#This Row],[TI tool ID2]],工作表1!A:A,1,FALSE)</f>
        <v>#N/A</v>
      </c>
      <c r="AX217" s="425" t="e">
        <f ca="1">VLOOKUP(表格1_6[[#This Row],[PO+ITEM]],工作表1!B:E,2,FALSE)</f>
        <v>#N/A</v>
      </c>
      <c r="AY217" s="425" t="e">
        <f ca="1">VLOOKUP(表格1_6[[#This Row],[PO+ITEM]],工作表1!B:E,3,FALSE)</f>
        <v>#N/A</v>
      </c>
      <c r="AZ217" s="423" t="e">
        <f ca="1">VLOOKUP(表格1_6[[#This Row],[PO+ITEM]],工作表1!B:E,4,FALSE)</f>
        <v>#N/A</v>
      </c>
      <c r="BA217" s="425" t="e">
        <f ca="1">INDEX(工作表1!G:G, MATCH(表格1_6[[#This Row],[invoice number]]&amp;表格1_6[[#This Row],[invoice number2]],工作表1!G:G, 0))</f>
        <v>#N/A</v>
      </c>
      <c r="BB217" s="423" t="e">
        <f ca="1">VLOOKUP(表格1_6[[#This Row],[PO+ITEM]],工作表1!F:H,2,FALSE)</f>
        <v>#N/A</v>
      </c>
    </row>
    <row r="218" spans="1:54" ht="14.45">
      <c r="A218" s="413">
        <v>217</v>
      </c>
      <c r="B218" s="413" t="s">
        <v>3674</v>
      </c>
      <c r="C218" s="414" t="s">
        <v>16</v>
      </c>
      <c r="D218" s="414" t="s">
        <v>3648</v>
      </c>
      <c r="E218" s="414"/>
      <c r="F218" s="414"/>
      <c r="G218" s="414"/>
      <c r="H218" s="414"/>
      <c r="I218" s="414"/>
      <c r="J218" s="414"/>
      <c r="K218" s="414"/>
      <c r="L218" s="420" t="s">
        <v>4401</v>
      </c>
      <c r="M218" s="416" t="s">
        <v>2999</v>
      </c>
      <c r="N218" s="416" t="s">
        <v>2999</v>
      </c>
      <c r="O218" s="417"/>
      <c r="P218" s="416">
        <v>4590004399</v>
      </c>
      <c r="Q218" s="418">
        <v>44801</v>
      </c>
      <c r="R218" s="419">
        <v>16</v>
      </c>
      <c r="S218" s="544">
        <v>14109.38</v>
      </c>
      <c r="T218" s="420" t="s">
        <v>2156</v>
      </c>
      <c r="U218" s="414" t="s">
        <v>3864</v>
      </c>
      <c r="V218" s="414" t="s">
        <v>3865</v>
      </c>
      <c r="W218" s="417" t="s">
        <v>3866</v>
      </c>
      <c r="X218" s="417"/>
      <c r="Y218" s="421" t="s">
        <v>3652</v>
      </c>
      <c r="Z218" s="421" t="s">
        <v>3652</v>
      </c>
      <c r="AA218" s="416" t="s">
        <v>3767</v>
      </c>
      <c r="AB218" s="414" t="s">
        <v>3664</v>
      </c>
      <c r="AC218" s="422"/>
      <c r="AD218" s="421"/>
      <c r="AE218" s="420"/>
      <c r="AF218" s="421">
        <v>90791</v>
      </c>
      <c r="AG218" s="420" t="s">
        <v>4402</v>
      </c>
      <c r="AH218" s="421" t="s">
        <v>3770</v>
      </c>
      <c r="AI218" s="420" t="s">
        <v>3719</v>
      </c>
      <c r="AJ218" s="413" t="str">
        <f t="shared" si="12"/>
        <v>4590004399_016</v>
      </c>
      <c r="AK218" s="423"/>
      <c r="AL218" s="424">
        <v>45017</v>
      </c>
      <c r="AM218" s="221">
        <v>5643.7520000000004</v>
      </c>
      <c r="AN218" s="424">
        <v>45245</v>
      </c>
      <c r="AO218" s="425" t="s">
        <v>4403</v>
      </c>
      <c r="AP218" s="424">
        <v>45520</v>
      </c>
      <c r="AQ218" s="222">
        <v>8465.6279999999988</v>
      </c>
      <c r="AR218" s="424" t="s">
        <v>3805</v>
      </c>
      <c r="AS218" s="614">
        <f ca="1">表格1_6[[#This Row],[total amount]]/表格1_6[[#This Row],[PO$]]</f>
        <v>1</v>
      </c>
      <c r="AT218" s="223">
        <f ca="1">表格1_6[[#This Row],[invoice amount]]+表格1_6[[#This Row],[invoice amount2]]</f>
        <v>14109.38</v>
      </c>
      <c r="AU218" s="224" t="s">
        <v>4371</v>
      </c>
      <c r="AV218" s="423"/>
      <c r="AW218" s="423" t="e">
        <f ca="1">VLOOKUP(表格1_6[[#This Row],[TI tool ID2]],工作表1!A:A,1,FALSE)</f>
        <v>#N/A</v>
      </c>
      <c r="AX218" s="425" t="e">
        <f ca="1">VLOOKUP(表格1_6[[#This Row],[PO+ITEM]],工作表1!B:E,2,FALSE)</f>
        <v>#N/A</v>
      </c>
      <c r="AY218" s="425" t="e">
        <f ca="1">VLOOKUP(表格1_6[[#This Row],[PO+ITEM]],工作表1!B:E,3,FALSE)</f>
        <v>#N/A</v>
      </c>
      <c r="AZ218" s="423" t="e">
        <f ca="1">VLOOKUP(表格1_6[[#This Row],[PO+ITEM]],工作表1!B:E,4,FALSE)</f>
        <v>#N/A</v>
      </c>
      <c r="BA218" s="425" t="e">
        <f ca="1">INDEX(工作表1!G:G, MATCH(表格1_6[[#This Row],[invoice number]]&amp;表格1_6[[#This Row],[invoice number2]],工作表1!G:G, 0))</f>
        <v>#N/A</v>
      </c>
      <c r="BB218" s="423" t="e">
        <f ca="1">VLOOKUP(表格1_6[[#This Row],[PO+ITEM]],工作表1!F:H,2,FALSE)</f>
        <v>#N/A</v>
      </c>
    </row>
    <row r="219" spans="1:54" ht="15.6">
      <c r="A219" s="413">
        <v>218</v>
      </c>
      <c r="B219" s="413" t="s">
        <v>3674</v>
      </c>
      <c r="C219" s="414" t="s">
        <v>16</v>
      </c>
      <c r="D219" s="414" t="s">
        <v>3648</v>
      </c>
      <c r="E219" s="414"/>
      <c r="F219" s="414"/>
      <c r="G219" s="414"/>
      <c r="H219" s="414"/>
      <c r="I219" s="414"/>
      <c r="J219" s="414"/>
      <c r="K219" s="414"/>
      <c r="L219" s="415" t="s">
        <v>4404</v>
      </c>
      <c r="M219" s="416" t="s">
        <v>2999</v>
      </c>
      <c r="N219" s="416" t="s">
        <v>2999</v>
      </c>
      <c r="O219" s="417"/>
      <c r="P219" s="416">
        <v>4590004399</v>
      </c>
      <c r="Q219" s="418">
        <v>44801</v>
      </c>
      <c r="R219" s="419">
        <v>17</v>
      </c>
      <c r="S219" s="458">
        <v>14109.38</v>
      </c>
      <c r="T219" s="420" t="s">
        <v>2156</v>
      </c>
      <c r="U219" s="414" t="s">
        <v>3864</v>
      </c>
      <c r="V219" s="414" t="s">
        <v>3865</v>
      </c>
      <c r="W219" s="417" t="s">
        <v>3866</v>
      </c>
      <c r="X219" s="417"/>
      <c r="Y219" s="421" t="s">
        <v>3652</v>
      </c>
      <c r="Z219" s="421" t="s">
        <v>3652</v>
      </c>
      <c r="AA219" s="416" t="s">
        <v>3767</v>
      </c>
      <c r="AB219" s="414" t="s">
        <v>3664</v>
      </c>
      <c r="AC219" s="422"/>
      <c r="AD219" s="421"/>
      <c r="AE219" s="420"/>
      <c r="AF219" s="421">
        <v>90792</v>
      </c>
      <c r="AG219" s="420" t="s">
        <v>4405</v>
      </c>
      <c r="AH219" s="421" t="s">
        <v>3770</v>
      </c>
      <c r="AI219" s="420" t="s">
        <v>3719</v>
      </c>
      <c r="AJ219" s="413" t="str">
        <f t="shared" si="12"/>
        <v>4590004399_017</v>
      </c>
      <c r="AK219" s="423"/>
      <c r="AL219" s="424">
        <v>45017</v>
      </c>
      <c r="AM219" s="221">
        <v>5643.7520000000004</v>
      </c>
      <c r="AN219" s="424">
        <v>45245</v>
      </c>
      <c r="AO219" s="423" t="s">
        <v>4406</v>
      </c>
      <c r="AP219" s="424">
        <v>45401</v>
      </c>
      <c r="AQ219" s="221">
        <v>8465.6299999999992</v>
      </c>
      <c r="AR219" s="432">
        <v>45458</v>
      </c>
      <c r="AS219" s="614">
        <f ca="1">表格1_6[[#This Row],[total amount]]/表格1_6[[#This Row],[PO$]]</f>
        <v>1.0000001417496729</v>
      </c>
      <c r="AT219" s="223">
        <f ca="1">表格1_6[[#This Row],[invoice amount]]+表格1_6[[#This Row],[invoice amount2]]</f>
        <v>14109.382</v>
      </c>
      <c r="AU219" s="224" t="s">
        <v>3725</v>
      </c>
      <c r="AV219" s="423"/>
      <c r="AW219" s="423" t="e">
        <f ca="1">VLOOKUP(表格1_6[[#This Row],[TI tool ID2]],工作表1!A:A,1,FALSE)</f>
        <v>#N/A</v>
      </c>
      <c r="AX219" s="425" t="e">
        <f ca="1">VLOOKUP(表格1_6[[#This Row],[PO+ITEM]],工作表1!B:E,2,FALSE)</f>
        <v>#N/A</v>
      </c>
      <c r="AY219" s="425" t="e">
        <f ca="1">VLOOKUP(表格1_6[[#This Row],[PO+ITEM]],工作表1!B:E,3,FALSE)</f>
        <v>#N/A</v>
      </c>
      <c r="AZ219" s="423" t="e">
        <f ca="1">VLOOKUP(表格1_6[[#This Row],[PO+ITEM]],工作表1!B:E,4,FALSE)</f>
        <v>#N/A</v>
      </c>
      <c r="BA219" s="425" t="e">
        <f ca="1">INDEX(工作表1!G:G, MATCH(表格1_6[[#This Row],[invoice number]]&amp;表格1_6[[#This Row],[invoice number2]],工作表1!G:G, 0))</f>
        <v>#N/A</v>
      </c>
      <c r="BB219" s="423" t="e">
        <f ca="1">VLOOKUP(表格1_6[[#This Row],[PO+ITEM]],工作表1!F:H,2,FALSE)</f>
        <v>#N/A</v>
      </c>
    </row>
    <row r="220" spans="1:54" ht="14.45">
      <c r="A220" s="413">
        <v>219</v>
      </c>
      <c r="B220" s="413" t="s">
        <v>3674</v>
      </c>
      <c r="C220" s="414" t="s">
        <v>16</v>
      </c>
      <c r="D220" s="414" t="s">
        <v>3648</v>
      </c>
      <c r="E220" s="414"/>
      <c r="F220" s="414"/>
      <c r="G220" s="414"/>
      <c r="H220" s="414"/>
      <c r="I220" s="414"/>
      <c r="J220" s="414"/>
      <c r="K220" s="414"/>
      <c r="L220" s="420" t="s">
        <v>4407</v>
      </c>
      <c r="M220" s="416" t="s">
        <v>2999</v>
      </c>
      <c r="N220" s="416" t="s">
        <v>2999</v>
      </c>
      <c r="O220" s="417"/>
      <c r="P220" s="416">
        <v>4590004399</v>
      </c>
      <c r="Q220" s="418">
        <v>44801</v>
      </c>
      <c r="R220" s="419">
        <v>18</v>
      </c>
      <c r="S220" s="458">
        <v>14109.38</v>
      </c>
      <c r="T220" s="420" t="s">
        <v>2156</v>
      </c>
      <c r="U220" s="414" t="s">
        <v>3864</v>
      </c>
      <c r="V220" s="414" t="s">
        <v>3865</v>
      </c>
      <c r="W220" s="417" t="s">
        <v>3866</v>
      </c>
      <c r="X220" s="417"/>
      <c r="Y220" s="421" t="s">
        <v>3652</v>
      </c>
      <c r="Z220" s="421" t="s">
        <v>3652</v>
      </c>
      <c r="AA220" s="416" t="s">
        <v>3767</v>
      </c>
      <c r="AB220" s="414" t="s">
        <v>3664</v>
      </c>
      <c r="AC220" s="422"/>
      <c r="AD220" s="421"/>
      <c r="AE220" s="420"/>
      <c r="AF220" s="421">
        <v>90793</v>
      </c>
      <c r="AG220" s="420" t="s">
        <v>4408</v>
      </c>
      <c r="AH220" s="421" t="s">
        <v>3770</v>
      </c>
      <c r="AI220" s="420" t="s">
        <v>3719</v>
      </c>
      <c r="AJ220" s="413" t="str">
        <f t="shared" si="12"/>
        <v>4590004399_018</v>
      </c>
      <c r="AK220" s="423"/>
      <c r="AL220" s="424">
        <v>45017</v>
      </c>
      <c r="AM220" s="221">
        <v>5643.7520000000004</v>
      </c>
      <c r="AN220" s="424">
        <v>45245</v>
      </c>
      <c r="AO220" s="423" t="s">
        <v>4409</v>
      </c>
      <c r="AP220" s="424">
        <v>45436</v>
      </c>
      <c r="AQ220" s="222">
        <v>8465.6279999999988</v>
      </c>
      <c r="AR220" s="424">
        <v>45565</v>
      </c>
      <c r="AS220" s="614">
        <f ca="1">表格1_6[[#This Row],[total amount]]/表格1_6[[#This Row],[PO$]]</f>
        <v>1</v>
      </c>
      <c r="AT220" s="223">
        <f ca="1">表格1_6[[#This Row],[invoice amount]]+表格1_6[[#This Row],[invoice amount2]]</f>
        <v>14109.38</v>
      </c>
      <c r="AU220" s="224" t="s">
        <v>3725</v>
      </c>
      <c r="AV220" s="423"/>
      <c r="AW220" s="423" t="e">
        <f ca="1">VLOOKUP(表格1_6[[#This Row],[TI tool ID2]],工作表1!A:A,1,FALSE)</f>
        <v>#N/A</v>
      </c>
      <c r="AX220" s="425" t="e">
        <f ca="1">VLOOKUP(表格1_6[[#This Row],[PO+ITEM]],工作表1!B:E,2,FALSE)</f>
        <v>#N/A</v>
      </c>
      <c r="AY220" s="425" t="e">
        <f ca="1">VLOOKUP(表格1_6[[#This Row],[PO+ITEM]],工作表1!B:E,3,FALSE)</f>
        <v>#N/A</v>
      </c>
      <c r="AZ220" s="423" t="e">
        <f ca="1">VLOOKUP(表格1_6[[#This Row],[PO+ITEM]],工作表1!B:E,4,FALSE)</f>
        <v>#N/A</v>
      </c>
      <c r="BA220" s="425" t="e">
        <f ca="1">INDEX(工作表1!G:G, MATCH(表格1_6[[#This Row],[invoice number]]&amp;表格1_6[[#This Row],[invoice number2]],工作表1!G:G, 0))</f>
        <v>#N/A</v>
      </c>
      <c r="BB220" s="423" t="e">
        <f ca="1">VLOOKUP(表格1_6[[#This Row],[PO+ITEM]],工作表1!F:H,2,FALSE)</f>
        <v>#N/A</v>
      </c>
    </row>
    <row r="221" spans="1:54" ht="14.45">
      <c r="A221" s="413">
        <v>220</v>
      </c>
      <c r="B221" s="413" t="s">
        <v>3659</v>
      </c>
      <c r="C221" s="414" t="s">
        <v>16</v>
      </c>
      <c r="D221" s="414" t="s">
        <v>3648</v>
      </c>
      <c r="E221" s="414"/>
      <c r="F221" s="414"/>
      <c r="G221" s="414"/>
      <c r="H221" s="414"/>
      <c r="I221" s="414"/>
      <c r="J221" s="414"/>
      <c r="K221" s="414"/>
      <c r="L221" s="420" t="s">
        <v>4410</v>
      </c>
      <c r="M221" s="416" t="s">
        <v>2999</v>
      </c>
      <c r="N221" s="416" t="s">
        <v>2999</v>
      </c>
      <c r="O221" s="417"/>
      <c r="P221" s="416">
        <v>4590004399</v>
      </c>
      <c r="Q221" s="418">
        <v>44801</v>
      </c>
      <c r="R221" s="419">
        <v>19</v>
      </c>
      <c r="S221" s="458">
        <v>14109.38</v>
      </c>
      <c r="T221" s="420" t="s">
        <v>2156</v>
      </c>
      <c r="U221" s="414" t="s">
        <v>3864</v>
      </c>
      <c r="V221" s="414" t="s">
        <v>3865</v>
      </c>
      <c r="W221" s="417" t="s">
        <v>3866</v>
      </c>
      <c r="X221" s="417"/>
      <c r="Y221" s="421" t="s">
        <v>3652</v>
      </c>
      <c r="Z221" s="421" t="s">
        <v>3652</v>
      </c>
      <c r="AA221" s="416" t="s">
        <v>3767</v>
      </c>
      <c r="AB221" s="414" t="s">
        <v>3664</v>
      </c>
      <c r="AC221" s="422"/>
      <c r="AD221" s="421"/>
      <c r="AE221" s="420"/>
      <c r="AF221" s="421">
        <v>90794</v>
      </c>
      <c r="AG221" s="420" t="s">
        <v>4411</v>
      </c>
      <c r="AH221" s="421" t="s">
        <v>3770</v>
      </c>
      <c r="AI221" s="420" t="s">
        <v>3719</v>
      </c>
      <c r="AJ221" s="413" t="str">
        <f t="shared" si="12"/>
        <v>4590004399_019</v>
      </c>
      <c r="AK221" s="423"/>
      <c r="AL221" s="424">
        <v>45017</v>
      </c>
      <c r="AM221" s="221">
        <v>5643.7520000000004</v>
      </c>
      <c r="AN221" s="424">
        <v>45245</v>
      </c>
      <c r="AO221" s="423"/>
      <c r="AP221" s="413"/>
      <c r="AQ221" s="222"/>
      <c r="AR221" s="424"/>
      <c r="AS221" s="614">
        <f ca="1">表格1_6[[#This Row],[total amount]]/表格1_6[[#This Row],[PO$]]</f>
        <v>0.40000000000000008</v>
      </c>
      <c r="AT221" s="223">
        <f ca="1">表格1_6[[#This Row],[invoice amount]]+表格1_6[[#This Row],[invoice amount2]]</f>
        <v>5643.7520000000004</v>
      </c>
      <c r="AU221" s="224" t="s">
        <v>3673</v>
      </c>
      <c r="AV221" s="423"/>
      <c r="AW221" s="423" t="e">
        <f ca="1">VLOOKUP(表格1_6[[#This Row],[TI tool ID2]],工作表1!A:A,1,FALSE)</f>
        <v>#N/A</v>
      </c>
      <c r="AX221" s="425" t="e">
        <f ca="1">VLOOKUP(表格1_6[[#This Row],[PO+ITEM]],工作表1!B:E,2,FALSE)</f>
        <v>#N/A</v>
      </c>
      <c r="AY221" s="425" t="e">
        <f ca="1">VLOOKUP(表格1_6[[#This Row],[PO+ITEM]],工作表1!B:E,3,FALSE)</f>
        <v>#N/A</v>
      </c>
      <c r="AZ221" s="423" t="e">
        <f ca="1">VLOOKUP(表格1_6[[#This Row],[PO+ITEM]],工作表1!B:E,4,FALSE)</f>
        <v>#N/A</v>
      </c>
      <c r="BA221" s="425" t="e">
        <f ca="1">INDEX(工作表1!G:G, MATCH(表格1_6[[#This Row],[invoice number]]&amp;表格1_6[[#This Row],[invoice number2]],工作表1!G:G, 0))</f>
        <v>#N/A</v>
      </c>
      <c r="BB221" s="423" t="e">
        <f ca="1">VLOOKUP(表格1_6[[#This Row],[PO+ITEM]],工作表1!F:H,2,FALSE)</f>
        <v>#N/A</v>
      </c>
    </row>
    <row r="222" spans="1:54" ht="14.45">
      <c r="A222" s="413">
        <v>221</v>
      </c>
      <c r="B222" s="413" t="s">
        <v>3674</v>
      </c>
      <c r="C222" s="414" t="s">
        <v>16</v>
      </c>
      <c r="D222" s="414" t="s">
        <v>3648</v>
      </c>
      <c r="E222" s="414"/>
      <c r="F222" s="414"/>
      <c r="G222" s="414"/>
      <c r="H222" s="414"/>
      <c r="I222" s="414"/>
      <c r="J222" s="414"/>
      <c r="K222" s="414"/>
      <c r="L222" s="415" t="s">
        <v>4412</v>
      </c>
      <c r="M222" s="416" t="s">
        <v>2999</v>
      </c>
      <c r="N222" s="416" t="s">
        <v>2999</v>
      </c>
      <c r="O222" s="417"/>
      <c r="P222" s="416">
        <v>4590004399</v>
      </c>
      <c r="Q222" s="418">
        <v>44801</v>
      </c>
      <c r="R222" s="419">
        <v>20</v>
      </c>
      <c r="S222" s="544">
        <v>14109.38</v>
      </c>
      <c r="T222" s="420" t="s">
        <v>2156</v>
      </c>
      <c r="U222" s="414" t="s">
        <v>3864</v>
      </c>
      <c r="V222" s="414" t="s">
        <v>3865</v>
      </c>
      <c r="W222" s="417" t="s">
        <v>3866</v>
      </c>
      <c r="X222" s="417"/>
      <c r="Y222" s="421" t="s">
        <v>3652</v>
      </c>
      <c r="Z222" s="421" t="s">
        <v>3652</v>
      </c>
      <c r="AA222" s="416" t="s">
        <v>3767</v>
      </c>
      <c r="AB222" s="414" t="s">
        <v>3664</v>
      </c>
      <c r="AC222" s="422"/>
      <c r="AD222" s="421"/>
      <c r="AE222" s="420"/>
      <c r="AF222" s="421">
        <v>90566</v>
      </c>
      <c r="AG222" s="420" t="s">
        <v>3783</v>
      </c>
      <c r="AH222" s="421" t="s">
        <v>3770</v>
      </c>
      <c r="AI222" s="420" t="s">
        <v>3719</v>
      </c>
      <c r="AJ222" s="413" t="str">
        <f t="shared" si="12"/>
        <v>4590004399_020</v>
      </c>
      <c r="AK222" s="423"/>
      <c r="AL222" s="424">
        <v>45017</v>
      </c>
      <c r="AM222" s="221">
        <v>5643.7520000000004</v>
      </c>
      <c r="AN222" s="424">
        <v>45245</v>
      </c>
      <c r="AO222" s="425" t="s">
        <v>4413</v>
      </c>
      <c r="AP222" s="424">
        <v>45520</v>
      </c>
      <c r="AQ222" s="222">
        <v>8465.6279999999988</v>
      </c>
      <c r="AR222" s="424" t="s">
        <v>3805</v>
      </c>
      <c r="AS222" s="614">
        <f ca="1">表格1_6[[#This Row],[total amount]]/表格1_6[[#This Row],[PO$]]</f>
        <v>1</v>
      </c>
      <c r="AT222" s="223">
        <f ca="1">表格1_6[[#This Row],[invoice amount]]+表格1_6[[#This Row],[invoice amount2]]</f>
        <v>14109.38</v>
      </c>
      <c r="AU222" s="224" t="s">
        <v>4371</v>
      </c>
      <c r="AV222" s="423"/>
      <c r="AW222" s="423" t="e">
        <f ca="1">VLOOKUP(表格1_6[[#This Row],[TI tool ID2]],工作表1!A:A,1,FALSE)</f>
        <v>#N/A</v>
      </c>
      <c r="AX222" s="425" t="e">
        <f ca="1">VLOOKUP(表格1_6[[#This Row],[PO+ITEM]],工作表1!B:E,2,FALSE)</f>
        <v>#N/A</v>
      </c>
      <c r="AY222" s="425" t="e">
        <f ca="1">VLOOKUP(表格1_6[[#This Row],[PO+ITEM]],工作表1!B:E,3,FALSE)</f>
        <v>#N/A</v>
      </c>
      <c r="AZ222" s="423" t="e">
        <f ca="1">VLOOKUP(表格1_6[[#This Row],[PO+ITEM]],工作表1!B:E,4,FALSE)</f>
        <v>#N/A</v>
      </c>
      <c r="BA222" s="425" t="e">
        <f ca="1">INDEX(工作表1!G:G, MATCH(表格1_6[[#This Row],[invoice number]]&amp;表格1_6[[#This Row],[invoice number2]],工作表1!G:G, 0))</f>
        <v>#N/A</v>
      </c>
      <c r="BB222" s="423" t="e">
        <f ca="1">VLOOKUP(表格1_6[[#This Row],[PO+ITEM]],工作表1!F:H,2,FALSE)</f>
        <v>#N/A</v>
      </c>
    </row>
    <row r="223" spans="1:54" ht="14.45">
      <c r="A223" s="413">
        <v>222</v>
      </c>
      <c r="B223" s="413" t="s">
        <v>3674</v>
      </c>
      <c r="C223" s="414" t="s">
        <v>16</v>
      </c>
      <c r="D223" s="414" t="s">
        <v>3648</v>
      </c>
      <c r="E223" s="414"/>
      <c r="F223" s="414"/>
      <c r="G223" s="414"/>
      <c r="H223" s="414"/>
      <c r="I223" s="414"/>
      <c r="J223" s="414"/>
      <c r="K223" s="414"/>
      <c r="L223" s="420" t="s">
        <v>4414</v>
      </c>
      <c r="M223" s="416" t="s">
        <v>2999</v>
      </c>
      <c r="N223" s="416" t="s">
        <v>2999</v>
      </c>
      <c r="O223" s="417"/>
      <c r="P223" s="416">
        <v>4590004399</v>
      </c>
      <c r="Q223" s="418">
        <v>44801</v>
      </c>
      <c r="R223" s="419">
        <v>21</v>
      </c>
      <c r="S223" s="544">
        <v>20621.14</v>
      </c>
      <c r="T223" s="420" t="s">
        <v>2156</v>
      </c>
      <c r="U223" s="414" t="s">
        <v>3864</v>
      </c>
      <c r="V223" s="414" t="s">
        <v>3865</v>
      </c>
      <c r="W223" s="417" t="s">
        <v>3866</v>
      </c>
      <c r="X223" s="417"/>
      <c r="Y223" s="421" t="s">
        <v>3652</v>
      </c>
      <c r="Z223" s="421" t="s">
        <v>3652</v>
      </c>
      <c r="AA223" s="416" t="s">
        <v>3767</v>
      </c>
      <c r="AB223" s="414" t="s">
        <v>3664</v>
      </c>
      <c r="AC223" s="422"/>
      <c r="AD223" s="421"/>
      <c r="AE223" s="420"/>
      <c r="AF223" s="421">
        <v>90566</v>
      </c>
      <c r="AG223" s="420" t="s">
        <v>3783</v>
      </c>
      <c r="AH223" s="421" t="s">
        <v>3770</v>
      </c>
      <c r="AI223" s="420" t="s">
        <v>3719</v>
      </c>
      <c r="AJ223" s="413" t="str">
        <f t="shared" si="12"/>
        <v>4590004399_021</v>
      </c>
      <c r="AK223" s="423"/>
      <c r="AL223" s="424">
        <v>45047</v>
      </c>
      <c r="AM223" s="221">
        <v>8248.4560000000001</v>
      </c>
      <c r="AN223" s="424">
        <v>45168</v>
      </c>
      <c r="AO223" s="425" t="s">
        <v>4415</v>
      </c>
      <c r="AP223" s="424">
        <v>45520</v>
      </c>
      <c r="AQ223" s="222">
        <v>12372.683999999999</v>
      </c>
      <c r="AR223" s="424" t="s">
        <v>3805</v>
      </c>
      <c r="AS223" s="614">
        <f ca="1">表格1_6[[#This Row],[total amount]]/表格1_6[[#This Row],[PO$]]</f>
        <v>1</v>
      </c>
      <c r="AT223" s="223">
        <f ca="1">表格1_6[[#This Row],[invoice amount]]+表格1_6[[#This Row],[invoice amount2]]</f>
        <v>20621.14</v>
      </c>
      <c r="AU223" s="224" t="s">
        <v>4371</v>
      </c>
      <c r="AV223" s="423"/>
      <c r="AW223" s="423" t="e">
        <f ca="1">VLOOKUP(表格1_6[[#This Row],[TI tool ID2]],工作表1!A:A,1,FALSE)</f>
        <v>#N/A</v>
      </c>
      <c r="AX223" s="425" t="e">
        <f ca="1">VLOOKUP(表格1_6[[#This Row],[PO+ITEM]],工作表1!B:E,2,FALSE)</f>
        <v>#N/A</v>
      </c>
      <c r="AY223" s="425" t="e">
        <f ca="1">VLOOKUP(表格1_6[[#This Row],[PO+ITEM]],工作表1!B:E,3,FALSE)</f>
        <v>#N/A</v>
      </c>
      <c r="AZ223" s="423" t="e">
        <f ca="1">VLOOKUP(表格1_6[[#This Row],[PO+ITEM]],工作表1!B:E,4,FALSE)</f>
        <v>#N/A</v>
      </c>
      <c r="BA223" s="425" t="e">
        <f ca="1">INDEX(工作表1!G:G, MATCH(表格1_6[[#This Row],[invoice number]]&amp;表格1_6[[#This Row],[invoice number2]],工作表1!G:G, 0))</f>
        <v>#N/A</v>
      </c>
      <c r="BB223" s="423" t="e">
        <f ca="1">VLOOKUP(表格1_6[[#This Row],[PO+ITEM]],工作表1!F:H,2,FALSE)</f>
        <v>#N/A</v>
      </c>
    </row>
    <row r="224" spans="1:54" ht="14.45">
      <c r="A224" s="413">
        <v>223</v>
      </c>
      <c r="B224" s="413" t="s">
        <v>3674</v>
      </c>
      <c r="C224" s="414" t="s">
        <v>16</v>
      </c>
      <c r="D224" s="414" t="s">
        <v>3648</v>
      </c>
      <c r="E224" s="414"/>
      <c r="F224" s="414"/>
      <c r="G224" s="414"/>
      <c r="H224" s="414"/>
      <c r="I224" s="414"/>
      <c r="J224" s="414"/>
      <c r="K224" s="414"/>
      <c r="L224" s="415" t="s">
        <v>4416</v>
      </c>
      <c r="M224" s="416" t="s">
        <v>2999</v>
      </c>
      <c r="N224" s="416" t="s">
        <v>2999</v>
      </c>
      <c r="O224" s="417"/>
      <c r="P224" s="416">
        <v>4590004399</v>
      </c>
      <c r="Q224" s="418">
        <v>44801</v>
      </c>
      <c r="R224" s="419">
        <v>22</v>
      </c>
      <c r="S224" s="544">
        <v>14516.89</v>
      </c>
      <c r="T224" s="420" t="s">
        <v>2156</v>
      </c>
      <c r="U224" s="414" t="s">
        <v>3864</v>
      </c>
      <c r="V224" s="414" t="s">
        <v>3865</v>
      </c>
      <c r="W224" s="417" t="s">
        <v>3866</v>
      </c>
      <c r="X224" s="417"/>
      <c r="Y224" s="421" t="s">
        <v>3652</v>
      </c>
      <c r="Z224" s="421" t="s">
        <v>3652</v>
      </c>
      <c r="AA224" s="416" t="s">
        <v>3767</v>
      </c>
      <c r="AB224" s="414" t="s">
        <v>3664</v>
      </c>
      <c r="AC224" s="422"/>
      <c r="AD224" s="421"/>
      <c r="AE224" s="420"/>
      <c r="AF224" s="421">
        <v>90807</v>
      </c>
      <c r="AG224" s="420" t="s">
        <v>4417</v>
      </c>
      <c r="AH224" s="421" t="s">
        <v>3770</v>
      </c>
      <c r="AI224" s="420" t="s">
        <v>3719</v>
      </c>
      <c r="AJ224" s="413" t="str">
        <f t="shared" si="12"/>
        <v>4590004399_022</v>
      </c>
      <c r="AK224" s="423"/>
      <c r="AL224" s="424">
        <v>45017</v>
      </c>
      <c r="AM224" s="221">
        <v>5806.7560000000003</v>
      </c>
      <c r="AN224" s="424">
        <v>45245</v>
      </c>
      <c r="AO224" s="425" t="s">
        <v>4418</v>
      </c>
      <c r="AP224" s="424">
        <v>45520</v>
      </c>
      <c r="AQ224" s="222">
        <v>8710.134</v>
      </c>
      <c r="AR224" s="424" t="s">
        <v>3805</v>
      </c>
      <c r="AS224" s="614">
        <f ca="1">表格1_6[[#This Row],[total amount]]/表格1_6[[#This Row],[PO$]]</f>
        <v>1</v>
      </c>
      <c r="AT224" s="223">
        <f ca="1">表格1_6[[#This Row],[invoice amount]]+表格1_6[[#This Row],[invoice amount2]]</f>
        <v>14516.89</v>
      </c>
      <c r="AU224" s="224" t="s">
        <v>4371</v>
      </c>
      <c r="AV224" s="423"/>
      <c r="AW224" s="423" t="e">
        <f ca="1">VLOOKUP(表格1_6[[#This Row],[TI tool ID2]],工作表1!A:A,1,FALSE)</f>
        <v>#N/A</v>
      </c>
      <c r="AX224" s="425" t="e">
        <f ca="1">VLOOKUP(表格1_6[[#This Row],[PO+ITEM]],工作表1!B:E,2,FALSE)</f>
        <v>#N/A</v>
      </c>
      <c r="AY224" s="425" t="e">
        <f ca="1">VLOOKUP(表格1_6[[#This Row],[PO+ITEM]],工作表1!B:E,3,FALSE)</f>
        <v>#N/A</v>
      </c>
      <c r="AZ224" s="423" t="e">
        <f ca="1">VLOOKUP(表格1_6[[#This Row],[PO+ITEM]],工作表1!B:E,4,FALSE)</f>
        <v>#N/A</v>
      </c>
      <c r="BA224" s="425" t="e">
        <f ca="1">INDEX(工作表1!G:G, MATCH(表格1_6[[#This Row],[invoice number]]&amp;表格1_6[[#This Row],[invoice number2]],工作表1!G:G, 0))</f>
        <v>#N/A</v>
      </c>
      <c r="BB224" s="423" t="e">
        <f ca="1">VLOOKUP(表格1_6[[#This Row],[PO+ITEM]],工作表1!F:H,2,FALSE)</f>
        <v>#N/A</v>
      </c>
    </row>
    <row r="225" spans="1:54" ht="14.45">
      <c r="A225" s="413">
        <v>224</v>
      </c>
      <c r="B225" s="413" t="s">
        <v>3674</v>
      </c>
      <c r="C225" s="414" t="s">
        <v>16</v>
      </c>
      <c r="D225" s="414" t="s">
        <v>3648</v>
      </c>
      <c r="E225" s="414"/>
      <c r="F225" s="414"/>
      <c r="G225" s="414"/>
      <c r="H225" s="414"/>
      <c r="I225" s="414"/>
      <c r="J225" s="414"/>
      <c r="K225" s="414"/>
      <c r="L225" s="420" t="s">
        <v>4419</v>
      </c>
      <c r="M225" s="416" t="s">
        <v>2999</v>
      </c>
      <c r="N225" s="416" t="s">
        <v>2999</v>
      </c>
      <c r="O225" s="417"/>
      <c r="P225" s="416">
        <v>4590004399</v>
      </c>
      <c r="Q225" s="418">
        <v>44801</v>
      </c>
      <c r="R225" s="419">
        <v>23</v>
      </c>
      <c r="S225" s="458">
        <v>14516.89</v>
      </c>
      <c r="T225" s="420" t="s">
        <v>2156</v>
      </c>
      <c r="U225" s="414" t="s">
        <v>3864</v>
      </c>
      <c r="V225" s="414" t="s">
        <v>3865</v>
      </c>
      <c r="W225" s="417" t="s">
        <v>3866</v>
      </c>
      <c r="X225" s="417"/>
      <c r="Y225" s="421" t="s">
        <v>3652</v>
      </c>
      <c r="Z225" s="421" t="s">
        <v>3652</v>
      </c>
      <c r="AA225" s="416" t="s">
        <v>3767</v>
      </c>
      <c r="AB225" s="414" t="s">
        <v>3664</v>
      </c>
      <c r="AC225" s="422"/>
      <c r="AD225" s="421"/>
      <c r="AE225" s="420"/>
      <c r="AF225" s="421">
        <v>90808</v>
      </c>
      <c r="AG225" s="420" t="s">
        <v>4420</v>
      </c>
      <c r="AH225" s="421" t="s">
        <v>3770</v>
      </c>
      <c r="AI225" s="420" t="s">
        <v>3719</v>
      </c>
      <c r="AJ225" s="413" t="str">
        <f t="shared" si="12"/>
        <v>4590004399_023</v>
      </c>
      <c r="AK225" s="423"/>
      <c r="AL225" s="424">
        <v>45017</v>
      </c>
      <c r="AM225" s="221">
        <v>5806.7560000000003</v>
      </c>
      <c r="AN225" s="424">
        <v>45245</v>
      </c>
      <c r="AO225" s="423" t="s">
        <v>4421</v>
      </c>
      <c r="AP225" s="424">
        <v>45422</v>
      </c>
      <c r="AQ225" s="222">
        <v>8710.1339999999982</v>
      </c>
      <c r="AR225" s="424">
        <v>45565</v>
      </c>
      <c r="AS225" s="614">
        <f ca="1">表格1_6[[#This Row],[total amount]]/表格1_6[[#This Row],[PO$]]</f>
        <v>1</v>
      </c>
      <c r="AT225" s="223">
        <f ca="1">表格1_6[[#This Row],[invoice amount]]+表格1_6[[#This Row],[invoice amount2]]</f>
        <v>14516.89</v>
      </c>
      <c r="AU225" s="224" t="s">
        <v>3725</v>
      </c>
      <c r="AV225" s="423" t="s">
        <v>3657</v>
      </c>
      <c r="AW225" s="423" t="e">
        <f ca="1">VLOOKUP(表格1_6[[#This Row],[TI tool ID2]],工作表1!A:A,1,FALSE)</f>
        <v>#N/A</v>
      </c>
      <c r="AX225" s="425" t="e">
        <f ca="1">VLOOKUP(表格1_6[[#This Row],[PO+ITEM]],工作表1!B:E,2,FALSE)</f>
        <v>#N/A</v>
      </c>
      <c r="AY225" s="425" t="e">
        <f ca="1">VLOOKUP(表格1_6[[#This Row],[PO+ITEM]],工作表1!B:E,3,FALSE)</f>
        <v>#N/A</v>
      </c>
      <c r="AZ225" s="423" t="e">
        <f ca="1">VLOOKUP(表格1_6[[#This Row],[PO+ITEM]],工作表1!B:E,4,FALSE)</f>
        <v>#N/A</v>
      </c>
      <c r="BA225" s="425" t="e">
        <f ca="1">INDEX(工作表1!G:G, MATCH(表格1_6[[#This Row],[invoice number]]&amp;表格1_6[[#This Row],[invoice number2]],工作表1!G:G, 0))</f>
        <v>#N/A</v>
      </c>
      <c r="BB225" s="423" t="e">
        <f ca="1">VLOOKUP(表格1_6[[#This Row],[PO+ITEM]],工作表1!F:H,2,FALSE)</f>
        <v>#N/A</v>
      </c>
    </row>
    <row r="226" spans="1:54" ht="14.45">
      <c r="A226" s="413">
        <v>225</v>
      </c>
      <c r="B226" s="413" t="s">
        <v>3674</v>
      </c>
      <c r="C226" s="414" t="s">
        <v>16</v>
      </c>
      <c r="D226" s="414" t="s">
        <v>3648</v>
      </c>
      <c r="E226" s="414"/>
      <c r="F226" s="414"/>
      <c r="G226" s="414"/>
      <c r="H226" s="414"/>
      <c r="I226" s="414"/>
      <c r="J226" s="414"/>
      <c r="K226" s="414"/>
      <c r="L226" s="415" t="s">
        <v>4422</v>
      </c>
      <c r="M226" s="416" t="s">
        <v>2999</v>
      </c>
      <c r="N226" s="416" t="s">
        <v>2999</v>
      </c>
      <c r="O226" s="417"/>
      <c r="P226" s="416">
        <v>4590004399</v>
      </c>
      <c r="Q226" s="418">
        <v>44801</v>
      </c>
      <c r="R226" s="419">
        <v>24</v>
      </c>
      <c r="S226" s="544">
        <v>14516.89</v>
      </c>
      <c r="T226" s="420" t="s">
        <v>2156</v>
      </c>
      <c r="U226" s="414" t="s">
        <v>3864</v>
      </c>
      <c r="V226" s="414" t="s">
        <v>3865</v>
      </c>
      <c r="W226" s="417" t="s">
        <v>3866</v>
      </c>
      <c r="X226" s="417"/>
      <c r="Y226" s="421" t="s">
        <v>3652</v>
      </c>
      <c r="Z226" s="421" t="s">
        <v>3652</v>
      </c>
      <c r="AA226" s="416" t="s">
        <v>3767</v>
      </c>
      <c r="AB226" s="414" t="s">
        <v>3664</v>
      </c>
      <c r="AC226" s="422"/>
      <c r="AD226" s="421"/>
      <c r="AE226" s="420"/>
      <c r="AF226" s="421">
        <v>90809</v>
      </c>
      <c r="AG226" s="420" t="s">
        <v>4423</v>
      </c>
      <c r="AH226" s="421" t="s">
        <v>3770</v>
      </c>
      <c r="AI226" s="420" t="s">
        <v>3719</v>
      </c>
      <c r="AJ226" s="413" t="str">
        <f t="shared" si="12"/>
        <v>4590004399_024</v>
      </c>
      <c r="AK226" s="423"/>
      <c r="AL226" s="424">
        <v>45017</v>
      </c>
      <c r="AM226" s="221">
        <v>5806.7560000000003</v>
      </c>
      <c r="AN226" s="424">
        <v>45245</v>
      </c>
      <c r="AO226" s="425" t="s">
        <v>4424</v>
      </c>
      <c r="AP226" s="424">
        <v>45520</v>
      </c>
      <c r="AQ226" s="222">
        <v>8710.134</v>
      </c>
      <c r="AR226" s="424" t="s">
        <v>3805</v>
      </c>
      <c r="AS226" s="614">
        <f ca="1">表格1_6[[#This Row],[total amount]]/表格1_6[[#This Row],[PO$]]</f>
        <v>1</v>
      </c>
      <c r="AT226" s="223">
        <f ca="1">表格1_6[[#This Row],[invoice amount]]+表格1_6[[#This Row],[invoice amount2]]</f>
        <v>14516.89</v>
      </c>
      <c r="AU226" s="224" t="s">
        <v>4371</v>
      </c>
      <c r="AV226" s="423"/>
      <c r="AW226" s="423" t="e">
        <f ca="1">VLOOKUP(表格1_6[[#This Row],[TI tool ID2]],工作表1!A:A,1,FALSE)</f>
        <v>#N/A</v>
      </c>
      <c r="AX226" s="425" t="e">
        <f ca="1">VLOOKUP(表格1_6[[#This Row],[PO+ITEM]],工作表1!B:E,2,FALSE)</f>
        <v>#N/A</v>
      </c>
      <c r="AY226" s="425" t="e">
        <f ca="1">VLOOKUP(表格1_6[[#This Row],[PO+ITEM]],工作表1!B:E,3,FALSE)</f>
        <v>#N/A</v>
      </c>
      <c r="AZ226" s="423" t="e">
        <f ca="1">VLOOKUP(表格1_6[[#This Row],[PO+ITEM]],工作表1!B:E,4,FALSE)</f>
        <v>#N/A</v>
      </c>
      <c r="BA226" s="425" t="e">
        <f ca="1">INDEX(工作表1!G:G, MATCH(表格1_6[[#This Row],[invoice number]]&amp;表格1_6[[#This Row],[invoice number2]],工作表1!G:G, 0))</f>
        <v>#N/A</v>
      </c>
      <c r="BB226" s="423" t="e">
        <f ca="1">VLOOKUP(表格1_6[[#This Row],[PO+ITEM]],工作表1!F:H,2,FALSE)</f>
        <v>#N/A</v>
      </c>
    </row>
    <row r="227" spans="1:54" ht="14.45">
      <c r="A227" s="413">
        <v>226</v>
      </c>
      <c r="B227" s="413" t="s">
        <v>3674</v>
      </c>
      <c r="C227" s="414" t="s">
        <v>16</v>
      </c>
      <c r="D227" s="414" t="s">
        <v>3648</v>
      </c>
      <c r="E227" s="414"/>
      <c r="F227" s="414"/>
      <c r="G227" s="414"/>
      <c r="H227" s="414"/>
      <c r="I227" s="414"/>
      <c r="J227" s="414"/>
      <c r="K227" s="414"/>
      <c r="L227" s="420" t="s">
        <v>4425</v>
      </c>
      <c r="M227" s="416" t="s">
        <v>2999</v>
      </c>
      <c r="N227" s="416" t="s">
        <v>2999</v>
      </c>
      <c r="O227" s="417"/>
      <c r="P227" s="416">
        <v>4590004399</v>
      </c>
      <c r="Q227" s="418">
        <v>44801</v>
      </c>
      <c r="R227" s="419">
        <v>25</v>
      </c>
      <c r="S227" s="544">
        <v>20621.14</v>
      </c>
      <c r="T227" s="420" t="s">
        <v>2156</v>
      </c>
      <c r="U227" s="414" t="s">
        <v>3864</v>
      </c>
      <c r="V227" s="414" t="s">
        <v>3865</v>
      </c>
      <c r="W227" s="417" t="s">
        <v>3866</v>
      </c>
      <c r="X227" s="417"/>
      <c r="Y227" s="421" t="s">
        <v>3652</v>
      </c>
      <c r="Z227" s="421" t="s">
        <v>3652</v>
      </c>
      <c r="AA227" s="416" t="s">
        <v>3767</v>
      </c>
      <c r="AB227" s="414" t="s">
        <v>3664</v>
      </c>
      <c r="AC227" s="422"/>
      <c r="AD227" s="421"/>
      <c r="AE227" s="420"/>
      <c r="AF227" s="421">
        <v>90807</v>
      </c>
      <c r="AG227" s="420" t="s">
        <v>4417</v>
      </c>
      <c r="AH227" s="421" t="s">
        <v>3770</v>
      </c>
      <c r="AI227" s="420" t="s">
        <v>3719</v>
      </c>
      <c r="AJ227" s="413" t="str">
        <f t="shared" si="12"/>
        <v>4590004399_025</v>
      </c>
      <c r="AK227" s="423"/>
      <c r="AL227" s="424">
        <v>45047</v>
      </c>
      <c r="AM227" s="221">
        <v>8248.4560000000001</v>
      </c>
      <c r="AN227" s="424">
        <v>45168</v>
      </c>
      <c r="AO227" s="425" t="s">
        <v>4426</v>
      </c>
      <c r="AP227" s="424">
        <v>45520</v>
      </c>
      <c r="AQ227" s="222">
        <v>12372.683999999999</v>
      </c>
      <c r="AR227" s="424" t="s">
        <v>3805</v>
      </c>
      <c r="AS227" s="614">
        <f ca="1">表格1_6[[#This Row],[total amount]]/表格1_6[[#This Row],[PO$]]</f>
        <v>1</v>
      </c>
      <c r="AT227" s="223">
        <f ca="1">表格1_6[[#This Row],[invoice amount]]+表格1_6[[#This Row],[invoice amount2]]</f>
        <v>20621.14</v>
      </c>
      <c r="AU227" s="224" t="s">
        <v>4371</v>
      </c>
      <c r="AV227" s="423"/>
      <c r="AW227" s="423" t="e">
        <f ca="1">VLOOKUP(表格1_6[[#This Row],[TI tool ID2]],工作表1!A:A,1,FALSE)</f>
        <v>#N/A</v>
      </c>
      <c r="AX227" s="425" t="e">
        <f ca="1">VLOOKUP(表格1_6[[#This Row],[PO+ITEM]],工作表1!B:E,2,FALSE)</f>
        <v>#N/A</v>
      </c>
      <c r="AY227" s="425" t="e">
        <f ca="1">VLOOKUP(表格1_6[[#This Row],[PO+ITEM]],工作表1!B:E,3,FALSE)</f>
        <v>#N/A</v>
      </c>
      <c r="AZ227" s="423" t="e">
        <f ca="1">VLOOKUP(表格1_6[[#This Row],[PO+ITEM]],工作表1!B:E,4,FALSE)</f>
        <v>#N/A</v>
      </c>
      <c r="BA227" s="425" t="e">
        <f ca="1">INDEX(工作表1!G:G, MATCH(表格1_6[[#This Row],[invoice number]]&amp;表格1_6[[#This Row],[invoice number2]],工作表1!G:G, 0))</f>
        <v>#N/A</v>
      </c>
      <c r="BB227" s="423" t="e">
        <f ca="1">VLOOKUP(表格1_6[[#This Row],[PO+ITEM]],工作表1!F:H,2,FALSE)</f>
        <v>#N/A</v>
      </c>
    </row>
    <row r="228" spans="1:54" ht="14.45">
      <c r="A228" s="413">
        <v>227</v>
      </c>
      <c r="B228" s="413" t="s">
        <v>3674</v>
      </c>
      <c r="C228" s="414" t="s">
        <v>16</v>
      </c>
      <c r="D228" s="414" t="s">
        <v>3648</v>
      </c>
      <c r="E228" s="414"/>
      <c r="F228" s="414"/>
      <c r="G228" s="414"/>
      <c r="H228" s="414"/>
      <c r="I228" s="414"/>
      <c r="J228" s="414"/>
      <c r="K228" s="414"/>
      <c r="L228" s="415" t="s">
        <v>4427</v>
      </c>
      <c r="M228" s="416" t="s">
        <v>2999</v>
      </c>
      <c r="N228" s="416" t="s">
        <v>2999</v>
      </c>
      <c r="O228" s="417"/>
      <c r="P228" s="416">
        <v>4590004399</v>
      </c>
      <c r="Q228" s="418">
        <v>44801</v>
      </c>
      <c r="R228" s="419">
        <v>26</v>
      </c>
      <c r="S228" s="458">
        <v>13701.87</v>
      </c>
      <c r="T228" s="420" t="s">
        <v>2156</v>
      </c>
      <c r="U228" s="414" t="s">
        <v>3864</v>
      </c>
      <c r="V228" s="414" t="s">
        <v>3865</v>
      </c>
      <c r="W228" s="417" t="s">
        <v>3866</v>
      </c>
      <c r="X228" s="417"/>
      <c r="Y228" s="421" t="s">
        <v>3652</v>
      </c>
      <c r="Z228" s="421" t="s">
        <v>3652</v>
      </c>
      <c r="AA228" s="416" t="s">
        <v>3767</v>
      </c>
      <c r="AB228" s="414" t="s">
        <v>3664</v>
      </c>
      <c r="AC228" s="422"/>
      <c r="AD228" s="421"/>
      <c r="AE228" s="420"/>
      <c r="AF228" s="421">
        <v>90815</v>
      </c>
      <c r="AG228" s="420" t="s">
        <v>3775</v>
      </c>
      <c r="AH228" s="421" t="s">
        <v>3770</v>
      </c>
      <c r="AI228" s="420" t="s">
        <v>3719</v>
      </c>
      <c r="AJ228" s="413" t="str">
        <f t="shared" si="12"/>
        <v>4590004399_026</v>
      </c>
      <c r="AK228" s="423"/>
      <c r="AL228" s="424">
        <v>45017</v>
      </c>
      <c r="AM228" s="221">
        <v>5480.7480000000005</v>
      </c>
      <c r="AN228" s="424">
        <v>45245</v>
      </c>
      <c r="AO228" s="423" t="s">
        <v>4428</v>
      </c>
      <c r="AP228" s="424">
        <v>45401</v>
      </c>
      <c r="AQ228" s="221">
        <v>8221.1200000000008</v>
      </c>
      <c r="AR228" s="424">
        <v>45565</v>
      </c>
      <c r="AS228" s="614">
        <f ca="1">表格1_6[[#This Row],[total amount]]/表格1_6[[#This Row],[PO$]]</f>
        <v>0.99999985403452241</v>
      </c>
      <c r="AT228" s="223">
        <f ca="1">表格1_6[[#This Row],[invoice amount]]+表格1_6[[#This Row],[invoice amount2]]</f>
        <v>13701.868000000002</v>
      </c>
      <c r="AU228" s="224" t="s">
        <v>3725</v>
      </c>
      <c r="AV228" s="423"/>
      <c r="AW228" s="423" t="e">
        <f ca="1">VLOOKUP(表格1_6[[#This Row],[TI tool ID2]],工作表1!A:A,1,FALSE)</f>
        <v>#N/A</v>
      </c>
      <c r="AX228" s="425" t="e">
        <f ca="1">VLOOKUP(表格1_6[[#This Row],[PO+ITEM]],工作表1!B:E,2,FALSE)</f>
        <v>#N/A</v>
      </c>
      <c r="AY228" s="425" t="e">
        <f ca="1">VLOOKUP(表格1_6[[#This Row],[PO+ITEM]],工作表1!B:E,3,FALSE)</f>
        <v>#N/A</v>
      </c>
      <c r="AZ228" s="423" t="e">
        <f ca="1">VLOOKUP(表格1_6[[#This Row],[PO+ITEM]],工作表1!B:E,4,FALSE)</f>
        <v>#N/A</v>
      </c>
      <c r="BA228" s="425" t="e">
        <f ca="1">INDEX(工作表1!G:G, MATCH(表格1_6[[#This Row],[invoice number]]&amp;表格1_6[[#This Row],[invoice number2]],工作表1!G:G, 0))</f>
        <v>#N/A</v>
      </c>
      <c r="BB228" s="423" t="e">
        <f ca="1">VLOOKUP(表格1_6[[#This Row],[PO+ITEM]],工作表1!F:H,2,FALSE)</f>
        <v>#N/A</v>
      </c>
    </row>
    <row r="229" spans="1:54" ht="14.45">
      <c r="A229" s="413">
        <v>228</v>
      </c>
      <c r="B229" s="413" t="s">
        <v>3674</v>
      </c>
      <c r="C229" s="414" t="s">
        <v>16</v>
      </c>
      <c r="D229" s="414" t="s">
        <v>3648</v>
      </c>
      <c r="E229" s="414"/>
      <c r="F229" s="414"/>
      <c r="G229" s="414"/>
      <c r="H229" s="414"/>
      <c r="I229" s="414"/>
      <c r="J229" s="414"/>
      <c r="K229" s="414"/>
      <c r="L229" s="415" t="s">
        <v>4429</v>
      </c>
      <c r="M229" s="416" t="s">
        <v>2999</v>
      </c>
      <c r="N229" s="416" t="s">
        <v>2999</v>
      </c>
      <c r="O229" s="417"/>
      <c r="P229" s="416">
        <v>4590004399</v>
      </c>
      <c r="Q229" s="418">
        <v>44801</v>
      </c>
      <c r="R229" s="419">
        <v>27</v>
      </c>
      <c r="S229" s="458">
        <v>13701.87</v>
      </c>
      <c r="T229" s="420" t="s">
        <v>2156</v>
      </c>
      <c r="U229" s="414" t="s">
        <v>3864</v>
      </c>
      <c r="V229" s="414" t="s">
        <v>3865</v>
      </c>
      <c r="W229" s="417" t="s">
        <v>3866</v>
      </c>
      <c r="X229" s="417"/>
      <c r="Y229" s="421" t="s">
        <v>3652</v>
      </c>
      <c r="Z229" s="421" t="s">
        <v>3652</v>
      </c>
      <c r="AA229" s="416" t="s">
        <v>3767</v>
      </c>
      <c r="AB229" s="414" t="s">
        <v>3664</v>
      </c>
      <c r="AC229" s="422"/>
      <c r="AD229" s="421"/>
      <c r="AE229" s="420"/>
      <c r="AF229" s="421">
        <v>90816</v>
      </c>
      <c r="AG229" s="420" t="s">
        <v>3778</v>
      </c>
      <c r="AH229" s="421" t="s">
        <v>3770</v>
      </c>
      <c r="AI229" s="420" t="s">
        <v>3719</v>
      </c>
      <c r="AJ229" s="413" t="str">
        <f t="shared" si="12"/>
        <v>4590004399_027</v>
      </c>
      <c r="AK229" s="423"/>
      <c r="AL229" s="424">
        <v>45017</v>
      </c>
      <c r="AM229" s="221">
        <v>5480.7480000000005</v>
      </c>
      <c r="AN229" s="424">
        <v>45245</v>
      </c>
      <c r="AO229" s="423" t="s">
        <v>4430</v>
      </c>
      <c r="AP229" s="424">
        <v>45422</v>
      </c>
      <c r="AQ229" s="222">
        <v>8221.1219999999994</v>
      </c>
      <c r="AR229" s="424">
        <v>45519</v>
      </c>
      <c r="AS229" s="614">
        <f ca="1">表格1_6[[#This Row],[total amount]]/表格1_6[[#This Row],[PO$]]</f>
        <v>0.99999999999999989</v>
      </c>
      <c r="AT229" s="223">
        <f ca="1">表格1_6[[#This Row],[invoice amount]]+表格1_6[[#This Row],[invoice amount2]]</f>
        <v>13701.869999999999</v>
      </c>
      <c r="AU229" s="224" t="s">
        <v>3657</v>
      </c>
      <c r="AV229" s="423"/>
      <c r="AW229" s="423" t="e">
        <f ca="1">VLOOKUP(表格1_6[[#This Row],[TI tool ID2]],工作表1!A:A,1,FALSE)</f>
        <v>#N/A</v>
      </c>
      <c r="AX229" s="425" t="e">
        <f ca="1">VLOOKUP(表格1_6[[#This Row],[PO+ITEM]],工作表1!B:E,2,FALSE)</f>
        <v>#N/A</v>
      </c>
      <c r="AY229" s="425" t="e">
        <f ca="1">VLOOKUP(表格1_6[[#This Row],[PO+ITEM]],工作表1!B:E,3,FALSE)</f>
        <v>#N/A</v>
      </c>
      <c r="AZ229" s="423" t="e">
        <f ca="1">VLOOKUP(表格1_6[[#This Row],[PO+ITEM]],工作表1!B:E,4,FALSE)</f>
        <v>#N/A</v>
      </c>
      <c r="BA229" s="425" t="e">
        <f ca="1">INDEX(工作表1!G:G, MATCH(表格1_6[[#This Row],[invoice number]]&amp;表格1_6[[#This Row],[invoice number2]],工作表1!G:G, 0))</f>
        <v>#N/A</v>
      </c>
      <c r="BB229" s="423" t="e">
        <f ca="1">VLOOKUP(表格1_6[[#This Row],[PO+ITEM]],工作表1!F:H,2,FALSE)</f>
        <v>#N/A</v>
      </c>
    </row>
    <row r="230" spans="1:54" ht="14.45">
      <c r="A230" s="413">
        <v>229</v>
      </c>
      <c r="B230" s="413" t="s">
        <v>3674</v>
      </c>
      <c r="C230" s="414" t="s">
        <v>16</v>
      </c>
      <c r="D230" s="414" t="s">
        <v>3648</v>
      </c>
      <c r="E230" s="414"/>
      <c r="F230" s="414"/>
      <c r="G230" s="414"/>
      <c r="H230" s="414"/>
      <c r="I230" s="414"/>
      <c r="J230" s="414"/>
      <c r="K230" s="414"/>
      <c r="L230" s="415" t="s">
        <v>4431</v>
      </c>
      <c r="M230" s="416" t="s">
        <v>2999</v>
      </c>
      <c r="N230" s="416" t="s">
        <v>2999</v>
      </c>
      <c r="O230" s="417"/>
      <c r="P230" s="416">
        <v>4590004399</v>
      </c>
      <c r="Q230" s="418">
        <v>44801</v>
      </c>
      <c r="R230" s="419">
        <v>28</v>
      </c>
      <c r="S230" s="544">
        <v>13701.87</v>
      </c>
      <c r="T230" s="420" t="s">
        <v>2156</v>
      </c>
      <c r="U230" s="414" t="s">
        <v>3864</v>
      </c>
      <c r="V230" s="414" t="s">
        <v>3865</v>
      </c>
      <c r="W230" s="417" t="s">
        <v>3866</v>
      </c>
      <c r="X230" s="417"/>
      <c r="Y230" s="421" t="s">
        <v>3652</v>
      </c>
      <c r="Z230" s="421" t="s">
        <v>3652</v>
      </c>
      <c r="AA230" s="416" t="s">
        <v>3767</v>
      </c>
      <c r="AB230" s="414" t="s">
        <v>3664</v>
      </c>
      <c r="AC230" s="422"/>
      <c r="AD230" s="421"/>
      <c r="AE230" s="420"/>
      <c r="AF230" s="421">
        <v>90567</v>
      </c>
      <c r="AG230" s="420" t="s">
        <v>3792</v>
      </c>
      <c r="AH230" s="421" t="s">
        <v>3770</v>
      </c>
      <c r="AI230" s="420" t="s">
        <v>3719</v>
      </c>
      <c r="AJ230" s="413" t="str">
        <f t="shared" si="12"/>
        <v>4590004399_028</v>
      </c>
      <c r="AK230" s="423"/>
      <c r="AL230" s="424">
        <v>45017</v>
      </c>
      <c r="AM230" s="221">
        <v>5480.7480000000005</v>
      </c>
      <c r="AN230" s="424">
        <v>45153</v>
      </c>
      <c r="AO230" s="425" t="s">
        <v>4432</v>
      </c>
      <c r="AP230" s="424">
        <v>45520</v>
      </c>
      <c r="AQ230" s="222">
        <v>8221.1219999999994</v>
      </c>
      <c r="AR230" s="424" t="s">
        <v>3805</v>
      </c>
      <c r="AS230" s="614">
        <f ca="1">表格1_6[[#This Row],[total amount]]/表格1_6[[#This Row],[PO$]]</f>
        <v>0.99999999999999989</v>
      </c>
      <c r="AT230" s="223">
        <f ca="1">表格1_6[[#This Row],[invoice amount]]+表格1_6[[#This Row],[invoice amount2]]</f>
        <v>13701.869999999999</v>
      </c>
      <c r="AU230" s="224" t="s">
        <v>4371</v>
      </c>
      <c r="AV230" s="423"/>
      <c r="AW230" s="423" t="e">
        <f ca="1">VLOOKUP(表格1_6[[#This Row],[TI tool ID2]],工作表1!A:A,1,FALSE)</f>
        <v>#N/A</v>
      </c>
      <c r="AX230" s="425" t="e">
        <f ca="1">VLOOKUP(表格1_6[[#This Row],[PO+ITEM]],工作表1!B:E,2,FALSE)</f>
        <v>#N/A</v>
      </c>
      <c r="AY230" s="425" t="e">
        <f ca="1">VLOOKUP(表格1_6[[#This Row],[PO+ITEM]],工作表1!B:E,3,FALSE)</f>
        <v>#N/A</v>
      </c>
      <c r="AZ230" s="423" t="e">
        <f ca="1">VLOOKUP(表格1_6[[#This Row],[PO+ITEM]],工作表1!B:E,4,FALSE)</f>
        <v>#N/A</v>
      </c>
      <c r="BA230" s="425" t="e">
        <f ca="1">INDEX(工作表1!G:G, MATCH(表格1_6[[#This Row],[invoice number]]&amp;表格1_6[[#This Row],[invoice number2]],工作表1!G:G, 0))</f>
        <v>#N/A</v>
      </c>
      <c r="BB230" s="423" t="e">
        <f ca="1">VLOOKUP(表格1_6[[#This Row],[PO+ITEM]],工作表1!F:H,2,FALSE)</f>
        <v>#N/A</v>
      </c>
    </row>
    <row r="231" spans="1:54" ht="15.6">
      <c r="A231" s="413">
        <v>230</v>
      </c>
      <c r="B231" s="413" t="s">
        <v>3674</v>
      </c>
      <c r="C231" s="414" t="s">
        <v>16</v>
      </c>
      <c r="D231" s="414" t="s">
        <v>3648</v>
      </c>
      <c r="E231" s="414"/>
      <c r="F231" s="414"/>
      <c r="G231" s="414"/>
      <c r="H231" s="414"/>
      <c r="I231" s="414"/>
      <c r="J231" s="414"/>
      <c r="K231" s="414"/>
      <c r="L231" s="415" t="s">
        <v>4433</v>
      </c>
      <c r="M231" s="416" t="s">
        <v>2999</v>
      </c>
      <c r="N231" s="416" t="s">
        <v>2999</v>
      </c>
      <c r="O231" s="417"/>
      <c r="P231" s="416">
        <v>4590004399</v>
      </c>
      <c r="Q231" s="418">
        <v>44801</v>
      </c>
      <c r="R231" s="419">
        <v>29</v>
      </c>
      <c r="S231" s="458">
        <v>13701.87</v>
      </c>
      <c r="T231" s="420" t="s">
        <v>2156</v>
      </c>
      <c r="U231" s="414" t="s">
        <v>3864</v>
      </c>
      <c r="V231" s="414" t="s">
        <v>3865</v>
      </c>
      <c r="W231" s="417" t="s">
        <v>3866</v>
      </c>
      <c r="X231" s="417"/>
      <c r="Y231" s="421" t="s">
        <v>3652</v>
      </c>
      <c r="Z231" s="421" t="s">
        <v>3652</v>
      </c>
      <c r="AA231" s="416" t="s">
        <v>3767</v>
      </c>
      <c r="AB231" s="414" t="s">
        <v>3664</v>
      </c>
      <c r="AC231" s="422"/>
      <c r="AD231" s="421"/>
      <c r="AE231" s="420"/>
      <c r="AF231" s="421">
        <v>90568</v>
      </c>
      <c r="AG231" s="420" t="s">
        <v>3795</v>
      </c>
      <c r="AH231" s="421" t="s">
        <v>3770</v>
      </c>
      <c r="AI231" s="420" t="s">
        <v>3719</v>
      </c>
      <c r="AJ231" s="413" t="str">
        <f t="shared" si="12"/>
        <v>4590004399_029</v>
      </c>
      <c r="AK231" s="423"/>
      <c r="AL231" s="424">
        <v>45017</v>
      </c>
      <c r="AM231" s="221">
        <v>5480.7480000000005</v>
      </c>
      <c r="AN231" s="424">
        <v>45245</v>
      </c>
      <c r="AO231" s="423" t="s">
        <v>4434</v>
      </c>
      <c r="AP231" s="424">
        <v>45414</v>
      </c>
      <c r="AQ231" s="221">
        <v>8221.1200000000008</v>
      </c>
      <c r="AR231" s="432">
        <v>45458</v>
      </c>
      <c r="AS231" s="614">
        <f ca="1">表格1_6[[#This Row],[total amount]]/表格1_6[[#This Row],[PO$]]</f>
        <v>0.99999985403452241</v>
      </c>
      <c r="AT231" s="223">
        <f ca="1">表格1_6[[#This Row],[invoice amount]]+表格1_6[[#This Row],[invoice amount2]]</f>
        <v>13701.868000000002</v>
      </c>
      <c r="AU231" s="224" t="s">
        <v>3725</v>
      </c>
      <c r="AV231" s="423" t="s">
        <v>4435</v>
      </c>
      <c r="AW231" s="423" t="e">
        <f ca="1">VLOOKUP(表格1_6[[#This Row],[TI tool ID2]],工作表1!A:A,1,FALSE)</f>
        <v>#N/A</v>
      </c>
      <c r="AX231" s="425" t="e">
        <f ca="1">VLOOKUP(表格1_6[[#This Row],[PO+ITEM]],工作表1!B:E,2,FALSE)</f>
        <v>#N/A</v>
      </c>
      <c r="AY231" s="425" t="e">
        <f ca="1">VLOOKUP(表格1_6[[#This Row],[PO+ITEM]],工作表1!B:E,3,FALSE)</f>
        <v>#N/A</v>
      </c>
      <c r="AZ231" s="423" t="e">
        <f ca="1">VLOOKUP(表格1_6[[#This Row],[PO+ITEM]],工作表1!B:E,4,FALSE)</f>
        <v>#N/A</v>
      </c>
      <c r="BA231" s="425" t="e">
        <f ca="1">INDEX(工作表1!G:G, MATCH(表格1_6[[#This Row],[invoice number]]&amp;表格1_6[[#This Row],[invoice number2]],工作表1!G:G, 0))</f>
        <v>#N/A</v>
      </c>
      <c r="BB231" s="423" t="e">
        <f ca="1">VLOOKUP(表格1_6[[#This Row],[PO+ITEM]],工作表1!F:H,2,FALSE)</f>
        <v>#N/A</v>
      </c>
    </row>
    <row r="232" spans="1:54" ht="15.6">
      <c r="A232" s="413">
        <v>231</v>
      </c>
      <c r="B232" s="413" t="s">
        <v>3674</v>
      </c>
      <c r="C232" s="414" t="s">
        <v>16</v>
      </c>
      <c r="D232" s="414" t="s">
        <v>3648</v>
      </c>
      <c r="E232" s="414"/>
      <c r="F232" s="414"/>
      <c r="G232" s="414"/>
      <c r="H232" s="414"/>
      <c r="I232" s="414"/>
      <c r="J232" s="414"/>
      <c r="K232" s="414"/>
      <c r="L232" s="415" t="s">
        <v>4436</v>
      </c>
      <c r="M232" s="416" t="s">
        <v>2206</v>
      </c>
      <c r="N232" s="416" t="s">
        <v>2999</v>
      </c>
      <c r="O232" s="417"/>
      <c r="P232" s="416">
        <v>4590004400</v>
      </c>
      <c r="Q232" s="418">
        <v>44801</v>
      </c>
      <c r="R232" s="419">
        <v>1</v>
      </c>
      <c r="S232" s="458">
        <v>2452.0500000000002</v>
      </c>
      <c r="T232" s="420" t="s">
        <v>2156</v>
      </c>
      <c r="U232" s="414" t="s">
        <v>3864</v>
      </c>
      <c r="V232" s="414" t="s">
        <v>3865</v>
      </c>
      <c r="W232" s="417" t="s">
        <v>3866</v>
      </c>
      <c r="X232" s="417"/>
      <c r="Y232" s="421" t="s">
        <v>3652</v>
      </c>
      <c r="Z232" s="421" t="s">
        <v>3652</v>
      </c>
      <c r="AA232" s="416" t="s">
        <v>4437</v>
      </c>
      <c r="AB232" s="414" t="s">
        <v>3664</v>
      </c>
      <c r="AC232" s="422"/>
      <c r="AD232" s="421"/>
      <c r="AE232" s="420"/>
      <c r="AF232" s="421">
        <v>90833</v>
      </c>
      <c r="AG232" s="420" t="s">
        <v>4438</v>
      </c>
      <c r="AH232" s="421" t="s">
        <v>3681</v>
      </c>
      <c r="AI232" s="420" t="s">
        <v>846</v>
      </c>
      <c r="AJ232" s="413" t="str">
        <f t="shared" ref="AJ232:AJ240" si="13">P232&amp;"_00"&amp;R232</f>
        <v>4590004400_001</v>
      </c>
      <c r="AK232" s="423"/>
      <c r="AL232" s="424">
        <v>45170</v>
      </c>
      <c r="AM232" s="221">
        <v>2452.0500000000002</v>
      </c>
      <c r="AN232" s="228">
        <v>45303</v>
      </c>
      <c r="AO232" s="423"/>
      <c r="AP232" s="413"/>
      <c r="AQ232" s="222"/>
      <c r="AR232" s="424"/>
      <c r="AS232" s="614">
        <f ca="1">表格1_6[[#This Row],[total amount]]/表格1_6[[#This Row],[PO$]]</f>
        <v>1</v>
      </c>
      <c r="AT232" s="223">
        <f ca="1">表格1_6[[#This Row],[invoice amount]]+表格1_6[[#This Row],[invoice amount2]]</f>
        <v>2452.0500000000002</v>
      </c>
      <c r="AU232" s="224" t="s">
        <v>3673</v>
      </c>
      <c r="AV232" s="423"/>
      <c r="AW232" s="423" t="e">
        <f ca="1">VLOOKUP(表格1_6[[#This Row],[TI tool ID2]],工作表1!A:A,1,FALSE)</f>
        <v>#N/A</v>
      </c>
      <c r="AX232" s="425" t="e">
        <f ca="1">VLOOKUP(表格1_6[[#This Row],[PO+ITEM]],工作表1!B:E,2,FALSE)</f>
        <v>#N/A</v>
      </c>
      <c r="AY232" s="425" t="e">
        <f ca="1">VLOOKUP(表格1_6[[#This Row],[PO+ITEM]],工作表1!B:E,3,FALSE)</f>
        <v>#N/A</v>
      </c>
      <c r="AZ232" s="423" t="e">
        <f ca="1">VLOOKUP(表格1_6[[#This Row],[PO+ITEM]],工作表1!B:E,4,FALSE)</f>
        <v>#N/A</v>
      </c>
      <c r="BA232" s="425" t="e">
        <f ca="1">INDEX(工作表1!G:G, MATCH(表格1_6[[#This Row],[invoice number]]&amp;表格1_6[[#This Row],[invoice number2]],工作表1!G:G, 0))</f>
        <v>#N/A</v>
      </c>
      <c r="BB232" s="423" t="e">
        <f ca="1">VLOOKUP(表格1_6[[#This Row],[PO+ITEM]],工作表1!F:H,2,FALSE)</f>
        <v>#N/A</v>
      </c>
    </row>
    <row r="233" spans="1:54" ht="14.45">
      <c r="A233" s="413">
        <v>232</v>
      </c>
      <c r="B233" s="413" t="s">
        <v>3674</v>
      </c>
      <c r="C233" s="414" t="s">
        <v>16</v>
      </c>
      <c r="D233" s="414" t="s">
        <v>3648</v>
      </c>
      <c r="E233" s="414"/>
      <c r="F233" s="414"/>
      <c r="G233" s="414"/>
      <c r="H233" s="414"/>
      <c r="I233" s="414"/>
      <c r="J233" s="414"/>
      <c r="K233" s="414"/>
      <c r="L233" s="415" t="s">
        <v>4439</v>
      </c>
      <c r="M233" s="416" t="s">
        <v>4440</v>
      </c>
      <c r="N233" s="416" t="s">
        <v>2999</v>
      </c>
      <c r="O233" s="417"/>
      <c r="P233" s="416">
        <v>4590004400</v>
      </c>
      <c r="Q233" s="418">
        <v>44801</v>
      </c>
      <c r="R233" s="419">
        <v>2</v>
      </c>
      <c r="S233" s="458">
        <v>82970.73</v>
      </c>
      <c r="T233" s="420" t="s">
        <v>2156</v>
      </c>
      <c r="U233" s="414" t="s">
        <v>3864</v>
      </c>
      <c r="V233" s="414" t="s">
        <v>3865</v>
      </c>
      <c r="W233" s="417" t="s">
        <v>3866</v>
      </c>
      <c r="X233" s="417"/>
      <c r="Y233" s="421" t="s">
        <v>3652</v>
      </c>
      <c r="Z233" s="421" t="s">
        <v>3652</v>
      </c>
      <c r="AA233" s="416"/>
      <c r="AB233" s="414" t="s">
        <v>3664</v>
      </c>
      <c r="AC233" s="422"/>
      <c r="AD233" s="421"/>
      <c r="AE233" s="420"/>
      <c r="AF233" s="421">
        <v>90048</v>
      </c>
      <c r="AG233" s="420" t="s">
        <v>2870</v>
      </c>
      <c r="AH233" s="421" t="s">
        <v>3681</v>
      </c>
      <c r="AI233" s="420" t="s">
        <v>32</v>
      </c>
      <c r="AJ233" s="413" t="str">
        <f t="shared" si="13"/>
        <v>4590004400_002</v>
      </c>
      <c r="AK233" s="423" t="s">
        <v>4441</v>
      </c>
      <c r="AL233" s="424">
        <v>45408</v>
      </c>
      <c r="AM233" s="265">
        <v>82970.73</v>
      </c>
      <c r="AN233" s="424">
        <v>45488</v>
      </c>
      <c r="AO233" s="423"/>
      <c r="AP233" s="413"/>
      <c r="AR233" s="424"/>
      <c r="AS233" s="614">
        <f ca="1">表格1_6[[#This Row],[total amount]]/表格1_6[[#This Row],[PO$]]</f>
        <v>1</v>
      </c>
      <c r="AT233" s="223">
        <f ca="1">表格1_6[[#This Row],[invoice amount]]+表格1_6[[#This Row],[invoice amount2]]</f>
        <v>82970.73</v>
      </c>
      <c r="AU233" s="224" t="s">
        <v>3673</v>
      </c>
      <c r="AV233" s="423"/>
      <c r="AW233" s="423" t="e">
        <f ca="1">VLOOKUP(表格1_6[[#This Row],[TI tool ID2]],工作表1!A:A,1,FALSE)</f>
        <v>#N/A</v>
      </c>
      <c r="AX233" s="425" t="e">
        <f ca="1">VLOOKUP(表格1_6[[#This Row],[PO+ITEM]],工作表1!B:E,2,FALSE)</f>
        <v>#N/A</v>
      </c>
      <c r="AY233" s="425" t="e">
        <f ca="1">VLOOKUP(表格1_6[[#This Row],[PO+ITEM]],工作表1!B:E,3,FALSE)</f>
        <v>#N/A</v>
      </c>
      <c r="AZ233" s="423" t="e">
        <f ca="1">VLOOKUP(表格1_6[[#This Row],[PO+ITEM]],工作表1!B:E,4,FALSE)</f>
        <v>#N/A</v>
      </c>
      <c r="BA233" s="425" t="e">
        <f ca="1">INDEX(工作表1!G:G, MATCH(表格1_6[[#This Row],[invoice number]]&amp;表格1_6[[#This Row],[invoice number2]],工作表1!G:G, 0))</f>
        <v>#N/A</v>
      </c>
      <c r="BB233" s="423" t="e">
        <f ca="1">VLOOKUP(表格1_6[[#This Row],[PO+ITEM]],工作表1!F:H,2,FALSE)</f>
        <v>#N/A</v>
      </c>
    </row>
    <row r="234" spans="1:54" ht="14.45">
      <c r="A234" s="413">
        <v>233</v>
      </c>
      <c r="B234" s="413" t="s">
        <v>3659</v>
      </c>
      <c r="C234" s="414" t="s">
        <v>16</v>
      </c>
      <c r="D234" s="414" t="s">
        <v>3648</v>
      </c>
      <c r="E234" s="414"/>
      <c r="F234" s="414"/>
      <c r="G234" s="414"/>
      <c r="H234" s="414"/>
      <c r="I234" s="414"/>
      <c r="J234" s="414"/>
      <c r="K234" s="414"/>
      <c r="L234" s="415" t="s">
        <v>4442</v>
      </c>
      <c r="M234" s="416" t="s">
        <v>4440</v>
      </c>
      <c r="N234" s="416" t="s">
        <v>2999</v>
      </c>
      <c r="O234" s="417"/>
      <c r="P234" s="416">
        <v>4590004400</v>
      </c>
      <c r="Q234" s="418">
        <v>44801</v>
      </c>
      <c r="R234" s="419">
        <v>3</v>
      </c>
      <c r="S234" s="458">
        <v>82970.73</v>
      </c>
      <c r="T234" s="420" t="s">
        <v>2156</v>
      </c>
      <c r="U234" s="414" t="s">
        <v>3864</v>
      </c>
      <c r="V234" s="414" t="s">
        <v>3865</v>
      </c>
      <c r="W234" s="417" t="s">
        <v>3866</v>
      </c>
      <c r="X234" s="417"/>
      <c r="Y234" s="421" t="s">
        <v>3652</v>
      </c>
      <c r="Z234" s="421" t="s">
        <v>3652</v>
      </c>
      <c r="AA234" s="416"/>
      <c r="AB234" s="414" t="s">
        <v>3664</v>
      </c>
      <c r="AC234" s="422"/>
      <c r="AD234" s="421"/>
      <c r="AE234" s="420"/>
      <c r="AF234" s="421">
        <v>90049</v>
      </c>
      <c r="AG234" s="420" t="s">
        <v>2874</v>
      </c>
      <c r="AH234" s="421" t="s">
        <v>3681</v>
      </c>
      <c r="AI234" s="420" t="s">
        <v>32</v>
      </c>
      <c r="AJ234" s="413" t="str">
        <f t="shared" si="13"/>
        <v>4590004400_003</v>
      </c>
      <c r="AK234" s="423"/>
      <c r="AL234" s="413"/>
      <c r="AM234" s="221"/>
      <c r="AN234" s="424"/>
      <c r="AO234" s="423"/>
      <c r="AP234" s="413"/>
      <c r="AQ234" s="222"/>
      <c r="AR234" s="424"/>
      <c r="AS234" s="614">
        <f ca="1">表格1_6[[#This Row],[total amount]]/表格1_6[[#This Row],[PO$]]</f>
        <v>0</v>
      </c>
      <c r="AT234" s="223">
        <f ca="1">表格1_6[[#This Row],[invoice amount]]+表格1_6[[#This Row],[invoice amount2]]</f>
        <v>0</v>
      </c>
      <c r="AU234" s="224"/>
      <c r="AV234" s="423"/>
      <c r="AW234" s="423" t="e">
        <f ca="1">VLOOKUP(表格1_6[[#This Row],[TI tool ID2]],工作表1!A:A,1,FALSE)</f>
        <v>#N/A</v>
      </c>
      <c r="AX234" s="425" t="e">
        <f ca="1">VLOOKUP(表格1_6[[#This Row],[PO+ITEM]],工作表1!B:E,2,FALSE)</f>
        <v>#N/A</v>
      </c>
      <c r="AY234" s="425" t="e">
        <f ca="1">VLOOKUP(表格1_6[[#This Row],[PO+ITEM]],工作表1!B:E,3,FALSE)</f>
        <v>#N/A</v>
      </c>
      <c r="AZ234" s="423" t="e">
        <f ca="1">VLOOKUP(表格1_6[[#This Row],[PO+ITEM]],工作表1!B:E,4,FALSE)</f>
        <v>#N/A</v>
      </c>
      <c r="BA234" s="425" t="e">
        <f ca="1">INDEX(工作表1!G:G, MATCH(表格1_6[[#This Row],[invoice number]]&amp;表格1_6[[#This Row],[invoice number2]],工作表1!G:G, 0))</f>
        <v>#N/A</v>
      </c>
      <c r="BB234" s="423" t="e">
        <f ca="1">VLOOKUP(表格1_6[[#This Row],[PO+ITEM]],工作表1!F:H,2,FALSE)</f>
        <v>#N/A</v>
      </c>
    </row>
    <row r="235" spans="1:54" ht="15.6">
      <c r="A235" s="413">
        <v>234</v>
      </c>
      <c r="B235" s="413" t="s">
        <v>3674</v>
      </c>
      <c r="C235" s="414" t="s">
        <v>16</v>
      </c>
      <c r="D235" s="414" t="s">
        <v>3648</v>
      </c>
      <c r="E235" s="414"/>
      <c r="F235" s="414"/>
      <c r="G235" s="414"/>
      <c r="H235" s="414"/>
      <c r="I235" s="414"/>
      <c r="J235" s="414"/>
      <c r="K235" s="414"/>
      <c r="L235" s="415" t="s">
        <v>4443</v>
      </c>
      <c r="M235" s="416" t="s">
        <v>4440</v>
      </c>
      <c r="N235" s="416" t="s">
        <v>2999</v>
      </c>
      <c r="O235" s="417"/>
      <c r="P235" s="416">
        <v>4590004400</v>
      </c>
      <c r="Q235" s="418">
        <v>44801</v>
      </c>
      <c r="R235" s="419">
        <v>4</v>
      </c>
      <c r="S235" s="544">
        <v>12411</v>
      </c>
      <c r="T235" s="420" t="s">
        <v>2156</v>
      </c>
      <c r="U235" s="414" t="s">
        <v>3864</v>
      </c>
      <c r="V235" s="414" t="s">
        <v>3865</v>
      </c>
      <c r="W235" s="417" t="s">
        <v>3866</v>
      </c>
      <c r="X235" s="417"/>
      <c r="Y235" s="421" t="s">
        <v>3652</v>
      </c>
      <c r="Z235" s="421" t="s">
        <v>3652</v>
      </c>
      <c r="AA235" s="416" t="s">
        <v>4437</v>
      </c>
      <c r="AB235" s="414" t="s">
        <v>3664</v>
      </c>
      <c r="AC235" s="422"/>
      <c r="AD235" s="421"/>
      <c r="AE235" s="420"/>
      <c r="AF235" s="421">
        <v>90242</v>
      </c>
      <c r="AG235" s="420" t="s">
        <v>3533</v>
      </c>
      <c r="AH235" s="421" t="s">
        <v>3681</v>
      </c>
      <c r="AI235" s="420" t="s">
        <v>4444</v>
      </c>
      <c r="AJ235" s="413" t="str">
        <f t="shared" si="13"/>
        <v>4590004400_004</v>
      </c>
      <c r="AK235" s="423"/>
      <c r="AL235" s="424">
        <v>45108</v>
      </c>
      <c r="AM235" s="221">
        <v>4964.4000000000005</v>
      </c>
      <c r="AN235" s="244">
        <v>45351</v>
      </c>
      <c r="AO235" s="425" t="s">
        <v>4445</v>
      </c>
      <c r="AP235" s="424">
        <v>45520</v>
      </c>
      <c r="AQ235" s="222">
        <v>7446.5999999999995</v>
      </c>
      <c r="AR235" s="424">
        <v>45565</v>
      </c>
      <c r="AS235" s="614">
        <f ca="1">表格1_6[[#This Row],[total amount]]/表格1_6[[#This Row],[PO$]]</f>
        <v>1</v>
      </c>
      <c r="AT235" s="223">
        <f ca="1">表格1_6[[#This Row],[invoice amount]]+表格1_6[[#This Row],[invoice amount2]]</f>
        <v>12411</v>
      </c>
      <c r="AU235" s="224" t="s">
        <v>3725</v>
      </c>
      <c r="AV235" s="423"/>
      <c r="AW235" s="423" t="e">
        <f ca="1">VLOOKUP(表格1_6[[#This Row],[TI tool ID2]],工作表1!A:A,1,FALSE)</f>
        <v>#N/A</v>
      </c>
      <c r="AX235" s="425" t="e">
        <f ca="1">VLOOKUP(表格1_6[[#This Row],[PO+ITEM]],工作表1!B:E,2,FALSE)</f>
        <v>#N/A</v>
      </c>
      <c r="AY235" s="425" t="e">
        <f ca="1">VLOOKUP(表格1_6[[#This Row],[PO+ITEM]],工作表1!B:E,3,FALSE)</f>
        <v>#N/A</v>
      </c>
      <c r="AZ235" s="423" t="e">
        <f ca="1">VLOOKUP(表格1_6[[#This Row],[PO+ITEM]],工作表1!B:E,4,FALSE)</f>
        <v>#N/A</v>
      </c>
      <c r="BA235" s="425" t="e">
        <f ca="1">INDEX(工作表1!G:G, MATCH(表格1_6[[#This Row],[invoice number]]&amp;表格1_6[[#This Row],[invoice number2]],工作表1!G:G, 0))</f>
        <v>#N/A</v>
      </c>
      <c r="BB235" s="423" t="e">
        <f ca="1">VLOOKUP(表格1_6[[#This Row],[PO+ITEM]],工作表1!F:H,2,FALSE)</f>
        <v>#N/A</v>
      </c>
    </row>
    <row r="236" spans="1:54" ht="14.45">
      <c r="A236" s="413">
        <v>235</v>
      </c>
      <c r="B236" s="413" t="s">
        <v>3659</v>
      </c>
      <c r="C236" s="414" t="s">
        <v>16</v>
      </c>
      <c r="D236" s="414" t="s">
        <v>3648</v>
      </c>
      <c r="E236" s="414"/>
      <c r="F236" s="414"/>
      <c r="G236" s="414"/>
      <c r="H236" s="414"/>
      <c r="I236" s="414"/>
      <c r="J236" s="414"/>
      <c r="K236" s="414"/>
      <c r="L236" s="415" t="s">
        <v>4446</v>
      </c>
      <c r="M236" s="416" t="s">
        <v>4440</v>
      </c>
      <c r="N236" s="416" t="s">
        <v>2999</v>
      </c>
      <c r="O236" s="417"/>
      <c r="P236" s="416">
        <v>4590004400</v>
      </c>
      <c r="Q236" s="418">
        <v>44801</v>
      </c>
      <c r="R236" s="419">
        <v>5</v>
      </c>
      <c r="S236" s="458">
        <v>12411</v>
      </c>
      <c r="T236" s="420" t="s">
        <v>2156</v>
      </c>
      <c r="U236" s="414" t="s">
        <v>3864</v>
      </c>
      <c r="V236" s="414" t="s">
        <v>3865</v>
      </c>
      <c r="W236" s="417" t="s">
        <v>3866</v>
      </c>
      <c r="X236" s="417"/>
      <c r="Y236" s="421" t="s">
        <v>3652</v>
      </c>
      <c r="Z236" s="421" t="s">
        <v>3652</v>
      </c>
      <c r="AA236" s="416"/>
      <c r="AB236" s="414" t="s">
        <v>3664</v>
      </c>
      <c r="AC236" s="422"/>
      <c r="AD236" s="421"/>
      <c r="AE236" s="420"/>
      <c r="AF236" s="421">
        <v>90240</v>
      </c>
      <c r="AG236" s="420" t="s">
        <v>4447</v>
      </c>
      <c r="AH236" s="421" t="s">
        <v>3681</v>
      </c>
      <c r="AI236" s="420" t="s">
        <v>4444</v>
      </c>
      <c r="AJ236" s="413" t="str">
        <f t="shared" si="13"/>
        <v>4590004400_005</v>
      </c>
      <c r="AK236" s="423"/>
      <c r="AL236" s="413"/>
      <c r="AM236" s="221"/>
      <c r="AN236" s="424"/>
      <c r="AO236" s="423"/>
      <c r="AP236" s="413"/>
      <c r="AQ236" s="222"/>
      <c r="AR236" s="424"/>
      <c r="AS236" s="614">
        <f ca="1">表格1_6[[#This Row],[total amount]]/表格1_6[[#This Row],[PO$]]</f>
        <v>0</v>
      </c>
      <c r="AT236" s="223">
        <f ca="1">表格1_6[[#This Row],[invoice amount]]+表格1_6[[#This Row],[invoice amount2]]</f>
        <v>0</v>
      </c>
      <c r="AU236" s="224"/>
      <c r="AV236" s="423"/>
      <c r="AW236" s="423" t="e">
        <f ca="1">VLOOKUP(表格1_6[[#This Row],[TI tool ID2]],工作表1!A:A,1,FALSE)</f>
        <v>#N/A</v>
      </c>
      <c r="AX236" s="425" t="e">
        <f ca="1">VLOOKUP(表格1_6[[#This Row],[PO+ITEM]],工作表1!B:E,2,FALSE)</f>
        <v>#N/A</v>
      </c>
      <c r="AY236" s="425" t="e">
        <f ca="1">VLOOKUP(表格1_6[[#This Row],[PO+ITEM]],工作表1!B:E,3,FALSE)</f>
        <v>#N/A</v>
      </c>
      <c r="AZ236" s="423" t="e">
        <f ca="1">VLOOKUP(表格1_6[[#This Row],[PO+ITEM]],工作表1!B:E,4,FALSE)</f>
        <v>#N/A</v>
      </c>
      <c r="BA236" s="425" t="e">
        <f ca="1">INDEX(工作表1!G:G, MATCH(表格1_6[[#This Row],[invoice number]]&amp;表格1_6[[#This Row],[invoice number2]],工作表1!G:G, 0))</f>
        <v>#N/A</v>
      </c>
      <c r="BB236" s="423" t="e">
        <f ca="1">VLOOKUP(表格1_6[[#This Row],[PO+ITEM]],工作表1!F:H,2,FALSE)</f>
        <v>#N/A</v>
      </c>
    </row>
    <row r="237" spans="1:54" ht="15.6">
      <c r="A237" s="413">
        <v>236</v>
      </c>
      <c r="B237" s="413" t="s">
        <v>3674</v>
      </c>
      <c r="C237" s="414" t="s">
        <v>16</v>
      </c>
      <c r="D237" s="414" t="s">
        <v>3648</v>
      </c>
      <c r="E237" s="414"/>
      <c r="F237" s="414"/>
      <c r="G237" s="414"/>
      <c r="H237" s="414"/>
      <c r="I237" s="414"/>
      <c r="J237" s="414"/>
      <c r="K237" s="414"/>
      <c r="L237" s="415" t="s">
        <v>4448</v>
      </c>
      <c r="M237" s="416" t="s">
        <v>4440</v>
      </c>
      <c r="N237" s="416" t="s">
        <v>2999</v>
      </c>
      <c r="O237" s="417"/>
      <c r="P237" s="416">
        <v>4590004400</v>
      </c>
      <c r="Q237" s="418">
        <v>44801</v>
      </c>
      <c r="R237" s="419">
        <v>6</v>
      </c>
      <c r="S237" s="544">
        <v>12411</v>
      </c>
      <c r="T237" s="420" t="s">
        <v>2156</v>
      </c>
      <c r="U237" s="414" t="s">
        <v>3864</v>
      </c>
      <c r="V237" s="414" t="s">
        <v>3865</v>
      </c>
      <c r="W237" s="417" t="s">
        <v>3866</v>
      </c>
      <c r="X237" s="417"/>
      <c r="Y237" s="421" t="s">
        <v>3652</v>
      </c>
      <c r="Z237" s="421" t="s">
        <v>3652</v>
      </c>
      <c r="AA237" s="416" t="s">
        <v>4437</v>
      </c>
      <c r="AB237" s="414" t="s">
        <v>3664</v>
      </c>
      <c r="AC237" s="422"/>
      <c r="AD237" s="421"/>
      <c r="AE237" s="420"/>
      <c r="AF237" s="421">
        <v>90241</v>
      </c>
      <c r="AG237" s="420" t="s">
        <v>3515</v>
      </c>
      <c r="AH237" s="421" t="s">
        <v>3681</v>
      </c>
      <c r="AI237" s="420" t="s">
        <v>4444</v>
      </c>
      <c r="AJ237" s="413" t="str">
        <f t="shared" si="13"/>
        <v>4590004400_006</v>
      </c>
      <c r="AK237" s="423"/>
      <c r="AL237" s="424">
        <v>45108</v>
      </c>
      <c r="AM237" s="221">
        <v>4964.4000000000005</v>
      </c>
      <c r="AN237" s="244">
        <v>45351</v>
      </c>
      <c r="AO237" s="425" t="s">
        <v>4449</v>
      </c>
      <c r="AP237" s="424">
        <v>45520</v>
      </c>
      <c r="AQ237" s="222">
        <v>7446.5999999999995</v>
      </c>
      <c r="AR237" s="424">
        <v>45565</v>
      </c>
      <c r="AS237" s="614">
        <f ca="1">表格1_6[[#This Row],[total amount]]/表格1_6[[#This Row],[PO$]]</f>
        <v>1</v>
      </c>
      <c r="AT237" s="223">
        <f ca="1">表格1_6[[#This Row],[invoice amount]]+表格1_6[[#This Row],[invoice amount2]]</f>
        <v>12411</v>
      </c>
      <c r="AU237" s="224" t="s">
        <v>3725</v>
      </c>
      <c r="AV237" s="423"/>
      <c r="AW237" s="423" t="e">
        <f ca="1">VLOOKUP(表格1_6[[#This Row],[TI tool ID2]],工作表1!A:A,1,FALSE)</f>
        <v>#N/A</v>
      </c>
      <c r="AX237" s="425" t="e">
        <f ca="1">VLOOKUP(表格1_6[[#This Row],[PO+ITEM]],工作表1!B:E,2,FALSE)</f>
        <v>#N/A</v>
      </c>
      <c r="AY237" s="425" t="e">
        <f ca="1">VLOOKUP(表格1_6[[#This Row],[PO+ITEM]],工作表1!B:E,3,FALSE)</f>
        <v>#N/A</v>
      </c>
      <c r="AZ237" s="423" t="e">
        <f ca="1">VLOOKUP(表格1_6[[#This Row],[PO+ITEM]],工作表1!B:E,4,FALSE)</f>
        <v>#N/A</v>
      </c>
      <c r="BA237" s="425" t="e">
        <f ca="1">INDEX(工作表1!G:G, MATCH(表格1_6[[#This Row],[invoice number]]&amp;表格1_6[[#This Row],[invoice number2]],工作表1!G:G, 0))</f>
        <v>#N/A</v>
      </c>
      <c r="BB237" s="423" t="e">
        <f ca="1">VLOOKUP(表格1_6[[#This Row],[PO+ITEM]],工作表1!F:H,2,FALSE)</f>
        <v>#N/A</v>
      </c>
    </row>
    <row r="238" spans="1:54" ht="15.6">
      <c r="A238" s="413">
        <v>237</v>
      </c>
      <c r="B238" s="413" t="s">
        <v>3674</v>
      </c>
      <c r="C238" s="414" t="s">
        <v>16</v>
      </c>
      <c r="D238" s="414" t="s">
        <v>3648</v>
      </c>
      <c r="E238" s="414"/>
      <c r="F238" s="414"/>
      <c r="G238" s="414"/>
      <c r="H238" s="414"/>
      <c r="I238" s="414"/>
      <c r="J238" s="414"/>
      <c r="K238" s="414"/>
      <c r="L238" s="415" t="s">
        <v>4450</v>
      </c>
      <c r="M238" s="416" t="s">
        <v>2206</v>
      </c>
      <c r="N238" s="416" t="s">
        <v>2999</v>
      </c>
      <c r="O238" s="417"/>
      <c r="P238" s="416">
        <v>4590004400</v>
      </c>
      <c r="Q238" s="418">
        <v>44801</v>
      </c>
      <c r="R238" s="419">
        <v>7</v>
      </c>
      <c r="S238" s="458">
        <v>2452.0500000000002</v>
      </c>
      <c r="T238" s="420" t="s">
        <v>2156</v>
      </c>
      <c r="U238" s="414" t="s">
        <v>3864</v>
      </c>
      <c r="V238" s="414" t="s">
        <v>3865</v>
      </c>
      <c r="W238" s="417" t="s">
        <v>3866</v>
      </c>
      <c r="X238" s="417"/>
      <c r="Y238" s="421" t="s">
        <v>3652</v>
      </c>
      <c r="Z238" s="421" t="s">
        <v>3652</v>
      </c>
      <c r="AA238" s="416" t="s">
        <v>4437</v>
      </c>
      <c r="AB238" s="414" t="s">
        <v>3664</v>
      </c>
      <c r="AC238" s="422"/>
      <c r="AD238" s="421"/>
      <c r="AE238" s="420"/>
      <c r="AF238" s="421">
        <v>90787</v>
      </c>
      <c r="AG238" s="420" t="s">
        <v>4451</v>
      </c>
      <c r="AH238" s="421" t="s">
        <v>3681</v>
      </c>
      <c r="AI238" s="420" t="s">
        <v>846</v>
      </c>
      <c r="AJ238" s="413" t="str">
        <f t="shared" si="13"/>
        <v>4590004400_007</v>
      </c>
      <c r="AK238" s="423"/>
      <c r="AL238" s="424">
        <v>45047</v>
      </c>
      <c r="AM238" s="221">
        <v>980.82000000000016</v>
      </c>
      <c r="AN238" s="228">
        <v>45303</v>
      </c>
      <c r="AO238" s="423" t="s">
        <v>4452</v>
      </c>
      <c r="AP238" s="424">
        <v>45372</v>
      </c>
      <c r="AQ238" s="222">
        <v>1471.23</v>
      </c>
      <c r="AR238" s="432">
        <v>45458</v>
      </c>
      <c r="AS238" s="614">
        <f ca="1">表格1_6[[#This Row],[total amount]]/表格1_6[[#This Row],[PO$]]</f>
        <v>1</v>
      </c>
      <c r="AT238" s="223">
        <f ca="1">表格1_6[[#This Row],[invoice amount]]+表格1_6[[#This Row],[invoice amount2]]</f>
        <v>2452.0500000000002</v>
      </c>
      <c r="AU238" s="224" t="s">
        <v>3725</v>
      </c>
      <c r="AV238" s="423"/>
      <c r="AW238" s="423" t="e">
        <f ca="1">VLOOKUP(表格1_6[[#This Row],[TI tool ID2]],工作表1!A:A,1,FALSE)</f>
        <v>#N/A</v>
      </c>
      <c r="AX238" s="425" t="e">
        <f ca="1">VLOOKUP(表格1_6[[#This Row],[PO+ITEM]],工作表1!B:E,2,FALSE)</f>
        <v>#N/A</v>
      </c>
      <c r="AY238" s="425" t="e">
        <f ca="1">VLOOKUP(表格1_6[[#This Row],[PO+ITEM]],工作表1!B:E,3,FALSE)</f>
        <v>#N/A</v>
      </c>
      <c r="AZ238" s="423" t="e">
        <f ca="1">VLOOKUP(表格1_6[[#This Row],[PO+ITEM]],工作表1!B:E,4,FALSE)</f>
        <v>#N/A</v>
      </c>
      <c r="BA238" s="425" t="e">
        <f ca="1">INDEX(工作表1!G:G, MATCH(表格1_6[[#This Row],[invoice number]]&amp;表格1_6[[#This Row],[invoice number2]],工作表1!G:G, 0))</f>
        <v>#N/A</v>
      </c>
      <c r="BB238" s="423" t="e">
        <f ca="1">VLOOKUP(表格1_6[[#This Row],[PO+ITEM]],工作表1!F:H,2,FALSE)</f>
        <v>#N/A</v>
      </c>
    </row>
    <row r="239" spans="1:54" ht="15.6">
      <c r="A239" s="413">
        <v>238</v>
      </c>
      <c r="B239" s="413" t="s">
        <v>3674</v>
      </c>
      <c r="C239" s="414" t="s">
        <v>16</v>
      </c>
      <c r="D239" s="414" t="s">
        <v>3648</v>
      </c>
      <c r="E239" s="414"/>
      <c r="F239" s="414"/>
      <c r="G239" s="414"/>
      <c r="H239" s="414"/>
      <c r="I239" s="414"/>
      <c r="J239" s="414"/>
      <c r="K239" s="414"/>
      <c r="L239" s="415" t="s">
        <v>4453</v>
      </c>
      <c r="M239" s="416" t="s">
        <v>2206</v>
      </c>
      <c r="N239" s="416" t="s">
        <v>2999</v>
      </c>
      <c r="O239" s="417"/>
      <c r="P239" s="416">
        <v>4590004400</v>
      </c>
      <c r="Q239" s="418">
        <v>44801</v>
      </c>
      <c r="R239" s="419">
        <v>8</v>
      </c>
      <c r="S239" s="458">
        <v>6719.7</v>
      </c>
      <c r="T239" s="420" t="s">
        <v>2156</v>
      </c>
      <c r="U239" s="414" t="s">
        <v>3864</v>
      </c>
      <c r="V239" s="414" t="s">
        <v>3865</v>
      </c>
      <c r="W239" s="417" t="s">
        <v>3866</v>
      </c>
      <c r="X239" s="417"/>
      <c r="Y239" s="421" t="s">
        <v>3652</v>
      </c>
      <c r="Z239" s="421" t="s">
        <v>3652</v>
      </c>
      <c r="AA239" s="416" t="s">
        <v>4437</v>
      </c>
      <c r="AB239" s="414" t="s">
        <v>3664</v>
      </c>
      <c r="AC239" s="422"/>
      <c r="AD239" s="421"/>
      <c r="AE239" s="420"/>
      <c r="AF239" s="421">
        <v>90232</v>
      </c>
      <c r="AG239" s="420" t="s">
        <v>2634</v>
      </c>
      <c r="AH239" s="421" t="s">
        <v>3681</v>
      </c>
      <c r="AI239" s="420" t="s">
        <v>846</v>
      </c>
      <c r="AJ239" s="413" t="str">
        <f t="shared" si="13"/>
        <v>4590004400_008</v>
      </c>
      <c r="AK239" s="423"/>
      <c r="AL239" s="424">
        <v>45078</v>
      </c>
      <c r="AM239" s="221">
        <v>2687.88</v>
      </c>
      <c r="AN239" s="244">
        <v>45351</v>
      </c>
      <c r="AO239" s="423" t="s">
        <v>4454</v>
      </c>
      <c r="AP239" s="424">
        <v>45345</v>
      </c>
      <c r="AQ239" s="222">
        <v>4031.8199999999997</v>
      </c>
      <c r="AR239" s="424">
        <v>45442</v>
      </c>
      <c r="AS239" s="614">
        <f ca="1">表格1_6[[#This Row],[total amount]]/表格1_6[[#This Row],[PO$]]</f>
        <v>1</v>
      </c>
      <c r="AT239" s="223">
        <f ca="1">表格1_6[[#This Row],[invoice amount]]+表格1_6[[#This Row],[invoice amount2]]</f>
        <v>6719.7</v>
      </c>
      <c r="AU239" s="224" t="s">
        <v>3673</v>
      </c>
      <c r="AV239" s="423"/>
      <c r="AW239" s="423" t="e">
        <f ca="1">VLOOKUP(表格1_6[[#This Row],[TI tool ID2]],工作表1!A:A,1,FALSE)</f>
        <v>#N/A</v>
      </c>
      <c r="AX239" s="425" t="e">
        <f ca="1">VLOOKUP(表格1_6[[#This Row],[PO+ITEM]],工作表1!B:E,2,FALSE)</f>
        <v>#N/A</v>
      </c>
      <c r="AY239" s="425" t="e">
        <f ca="1">VLOOKUP(表格1_6[[#This Row],[PO+ITEM]],工作表1!B:E,3,FALSE)</f>
        <v>#N/A</v>
      </c>
      <c r="AZ239" s="423" t="e">
        <f ca="1">VLOOKUP(表格1_6[[#This Row],[PO+ITEM]],工作表1!B:E,4,FALSE)</f>
        <v>#N/A</v>
      </c>
      <c r="BA239" s="425" t="e">
        <f ca="1">INDEX(工作表1!G:G, MATCH(表格1_6[[#This Row],[invoice number]]&amp;表格1_6[[#This Row],[invoice number2]],工作表1!G:G, 0))</f>
        <v>#N/A</v>
      </c>
      <c r="BB239" s="423" t="e">
        <f ca="1">VLOOKUP(表格1_6[[#This Row],[PO+ITEM]],工作表1!F:H,2,FALSE)</f>
        <v>#N/A</v>
      </c>
    </row>
    <row r="240" spans="1:54" ht="15.6">
      <c r="A240" s="413">
        <v>239</v>
      </c>
      <c r="B240" s="413" t="s">
        <v>3659</v>
      </c>
      <c r="C240" s="414" t="s">
        <v>16</v>
      </c>
      <c r="D240" s="414" t="s">
        <v>3648</v>
      </c>
      <c r="E240" s="414"/>
      <c r="F240" s="414"/>
      <c r="G240" s="414"/>
      <c r="H240" s="414"/>
      <c r="I240" s="414"/>
      <c r="J240" s="414"/>
      <c r="K240" s="414"/>
      <c r="L240" s="415" t="s">
        <v>4455</v>
      </c>
      <c r="M240" s="416" t="s">
        <v>2206</v>
      </c>
      <c r="N240" s="416" t="s">
        <v>2999</v>
      </c>
      <c r="O240" s="417"/>
      <c r="P240" s="416">
        <v>4590004400</v>
      </c>
      <c r="Q240" s="418">
        <v>44801</v>
      </c>
      <c r="R240" s="419">
        <v>9</v>
      </c>
      <c r="S240" s="458">
        <v>6719.7</v>
      </c>
      <c r="T240" s="420" t="s">
        <v>2156</v>
      </c>
      <c r="U240" s="414" t="s">
        <v>3864</v>
      </c>
      <c r="V240" s="414" t="s">
        <v>3865</v>
      </c>
      <c r="W240" s="417" t="s">
        <v>3866</v>
      </c>
      <c r="X240" s="417"/>
      <c r="Y240" s="421" t="s">
        <v>3652</v>
      </c>
      <c r="Z240" s="421" t="s">
        <v>3652</v>
      </c>
      <c r="AA240" s="416" t="s">
        <v>4437</v>
      </c>
      <c r="AB240" s="414" t="s">
        <v>3664</v>
      </c>
      <c r="AC240" s="422"/>
      <c r="AD240" s="421"/>
      <c r="AE240" s="420"/>
      <c r="AF240" s="421">
        <v>90233</v>
      </c>
      <c r="AG240" s="420" t="s">
        <v>4456</v>
      </c>
      <c r="AH240" s="421" t="s">
        <v>3681</v>
      </c>
      <c r="AI240" s="420" t="s">
        <v>846</v>
      </c>
      <c r="AJ240" s="413" t="str">
        <f t="shared" si="13"/>
        <v>4590004400_009</v>
      </c>
      <c r="AK240" s="423"/>
      <c r="AL240" s="424">
        <v>45047</v>
      </c>
      <c r="AM240" s="221">
        <v>2687.88</v>
      </c>
      <c r="AN240" s="228">
        <v>45303</v>
      </c>
      <c r="AO240" s="423"/>
      <c r="AP240" s="413"/>
      <c r="AQ240" s="222"/>
      <c r="AR240" s="424"/>
      <c r="AS240" s="614">
        <f ca="1">表格1_6[[#This Row],[total amount]]/表格1_6[[#This Row],[PO$]]</f>
        <v>0.4</v>
      </c>
      <c r="AT240" s="223">
        <f ca="1">表格1_6[[#This Row],[invoice amount]]+表格1_6[[#This Row],[invoice amount2]]</f>
        <v>2687.88</v>
      </c>
      <c r="AU240" s="224" t="s">
        <v>3673</v>
      </c>
      <c r="AV240" s="423"/>
      <c r="AW240" s="423" t="e">
        <f ca="1">VLOOKUP(表格1_6[[#This Row],[TI tool ID2]],工作表1!A:A,1,FALSE)</f>
        <v>#N/A</v>
      </c>
      <c r="AX240" s="425" t="e">
        <f ca="1">VLOOKUP(表格1_6[[#This Row],[PO+ITEM]],工作表1!B:E,2,FALSE)</f>
        <v>#N/A</v>
      </c>
      <c r="AY240" s="425" t="e">
        <f ca="1">VLOOKUP(表格1_6[[#This Row],[PO+ITEM]],工作表1!B:E,3,FALSE)</f>
        <v>#N/A</v>
      </c>
      <c r="AZ240" s="423" t="e">
        <f ca="1">VLOOKUP(表格1_6[[#This Row],[PO+ITEM]],工作表1!B:E,4,FALSE)</f>
        <v>#N/A</v>
      </c>
      <c r="BA240" s="425" t="e">
        <f ca="1">INDEX(工作表1!G:G, MATCH(表格1_6[[#This Row],[invoice number]]&amp;表格1_6[[#This Row],[invoice number2]],工作表1!G:G, 0))</f>
        <v>#N/A</v>
      </c>
      <c r="BB240" s="423" t="e">
        <f ca="1">VLOOKUP(表格1_6[[#This Row],[PO+ITEM]],工作表1!F:H,2,FALSE)</f>
        <v>#N/A</v>
      </c>
    </row>
    <row r="241" spans="1:54" ht="15.6">
      <c r="A241" s="413">
        <v>240</v>
      </c>
      <c r="B241" s="413" t="s">
        <v>3674</v>
      </c>
      <c r="C241" s="414" t="s">
        <v>16</v>
      </c>
      <c r="D241" s="414" t="s">
        <v>3648</v>
      </c>
      <c r="E241" s="414"/>
      <c r="F241" s="414"/>
      <c r="G241" s="414"/>
      <c r="H241" s="414"/>
      <c r="I241" s="414"/>
      <c r="J241" s="414"/>
      <c r="K241" s="414"/>
      <c r="L241" s="415" t="s">
        <v>4457</v>
      </c>
      <c r="M241" s="416" t="s">
        <v>2206</v>
      </c>
      <c r="N241" s="416" t="s">
        <v>2999</v>
      </c>
      <c r="O241" s="417"/>
      <c r="P241" s="416">
        <v>4590004400</v>
      </c>
      <c r="Q241" s="418">
        <v>44801</v>
      </c>
      <c r="R241" s="419">
        <v>10</v>
      </c>
      <c r="S241" s="458">
        <v>6719.7</v>
      </c>
      <c r="T241" s="420" t="s">
        <v>2156</v>
      </c>
      <c r="U241" s="414" t="s">
        <v>3864</v>
      </c>
      <c r="V241" s="414" t="s">
        <v>3865</v>
      </c>
      <c r="W241" s="417" t="s">
        <v>3866</v>
      </c>
      <c r="X241" s="417"/>
      <c r="Y241" s="421" t="s">
        <v>3652</v>
      </c>
      <c r="Z241" s="421" t="s">
        <v>3652</v>
      </c>
      <c r="AA241" s="416" t="s">
        <v>4437</v>
      </c>
      <c r="AB241" s="414" t="s">
        <v>3664</v>
      </c>
      <c r="AC241" s="422"/>
      <c r="AD241" s="421"/>
      <c r="AE241" s="420"/>
      <c r="AF241" s="421">
        <v>90234</v>
      </c>
      <c r="AG241" s="420" t="s">
        <v>2763</v>
      </c>
      <c r="AH241" s="421" t="s">
        <v>3681</v>
      </c>
      <c r="AI241" s="420" t="s">
        <v>846</v>
      </c>
      <c r="AJ241" s="413" t="str">
        <f t="shared" ref="AJ241:AJ246" si="14">P241&amp;"_0"&amp;R241</f>
        <v>4590004400_010</v>
      </c>
      <c r="AK241" s="423"/>
      <c r="AL241" s="424">
        <v>45047</v>
      </c>
      <c r="AM241" s="221">
        <v>2687.88</v>
      </c>
      <c r="AN241" s="228">
        <v>45303</v>
      </c>
      <c r="AO241" s="423" t="s">
        <v>4458</v>
      </c>
      <c r="AP241" s="424">
        <v>45372</v>
      </c>
      <c r="AQ241" s="222">
        <v>4031.7999999999997</v>
      </c>
      <c r="AR241" s="424">
        <v>45519</v>
      </c>
      <c r="AS241" s="614">
        <f ca="1">表格1_6[[#This Row],[total amount]]/表格1_6[[#This Row],[PO$]]</f>
        <v>0.99999702367665233</v>
      </c>
      <c r="AT241" s="223">
        <f ca="1">表格1_6[[#This Row],[invoice amount]]+表格1_6[[#This Row],[invoice amount2]]</f>
        <v>6719.68</v>
      </c>
      <c r="AU241" s="224" t="s">
        <v>3657</v>
      </c>
      <c r="AV241" s="423"/>
      <c r="AW241" s="423" t="e">
        <f ca="1">VLOOKUP(表格1_6[[#This Row],[TI tool ID2]],工作表1!A:A,1,FALSE)</f>
        <v>#N/A</v>
      </c>
      <c r="AX241" s="425" t="e">
        <f ca="1">VLOOKUP(表格1_6[[#This Row],[PO+ITEM]],工作表1!B:E,2,FALSE)</f>
        <v>#N/A</v>
      </c>
      <c r="AY241" s="425" t="e">
        <f ca="1">VLOOKUP(表格1_6[[#This Row],[PO+ITEM]],工作表1!B:E,3,FALSE)</f>
        <v>#N/A</v>
      </c>
      <c r="AZ241" s="423" t="e">
        <f ca="1">VLOOKUP(表格1_6[[#This Row],[PO+ITEM]],工作表1!B:E,4,FALSE)</f>
        <v>#N/A</v>
      </c>
      <c r="BA241" s="425" t="e">
        <f ca="1">INDEX(工作表1!G:G, MATCH(表格1_6[[#This Row],[invoice number]]&amp;表格1_6[[#This Row],[invoice number2]],工作表1!G:G, 0))</f>
        <v>#N/A</v>
      </c>
      <c r="BB241" s="423" t="e">
        <f ca="1">VLOOKUP(表格1_6[[#This Row],[PO+ITEM]],工作表1!F:H,2,FALSE)</f>
        <v>#N/A</v>
      </c>
    </row>
    <row r="242" spans="1:54" ht="15.6">
      <c r="A242" s="413">
        <v>241</v>
      </c>
      <c r="B242" s="413" t="s">
        <v>3674</v>
      </c>
      <c r="C242" s="414" t="s">
        <v>16</v>
      </c>
      <c r="D242" s="414" t="s">
        <v>3648</v>
      </c>
      <c r="E242" s="414"/>
      <c r="F242" s="414"/>
      <c r="G242" s="414"/>
      <c r="H242" s="414"/>
      <c r="I242" s="414"/>
      <c r="J242" s="414"/>
      <c r="K242" s="414"/>
      <c r="L242" s="415" t="s">
        <v>4459</v>
      </c>
      <c r="M242" s="416" t="s">
        <v>2206</v>
      </c>
      <c r="N242" s="416" t="s">
        <v>2999</v>
      </c>
      <c r="O242" s="417"/>
      <c r="P242" s="416">
        <v>4590004400</v>
      </c>
      <c r="Q242" s="418">
        <v>44801</v>
      </c>
      <c r="R242" s="419">
        <v>11</v>
      </c>
      <c r="S242" s="458">
        <v>6719.7</v>
      </c>
      <c r="T242" s="420" t="s">
        <v>2156</v>
      </c>
      <c r="U242" s="414" t="s">
        <v>3864</v>
      </c>
      <c r="V242" s="414" t="s">
        <v>3865</v>
      </c>
      <c r="W242" s="417" t="s">
        <v>3866</v>
      </c>
      <c r="X242" s="417"/>
      <c r="Y242" s="421" t="s">
        <v>3652</v>
      </c>
      <c r="Z242" s="421" t="s">
        <v>3652</v>
      </c>
      <c r="AA242" s="416" t="s">
        <v>4460</v>
      </c>
      <c r="AB242" s="414" t="s">
        <v>3664</v>
      </c>
      <c r="AC242" s="422"/>
      <c r="AD242" s="421"/>
      <c r="AE242" s="420"/>
      <c r="AF242" s="421">
        <v>90235</v>
      </c>
      <c r="AG242" s="420" t="s">
        <v>2737</v>
      </c>
      <c r="AH242" s="421" t="s">
        <v>3681</v>
      </c>
      <c r="AI242" s="420" t="s">
        <v>846</v>
      </c>
      <c r="AJ242" s="413" t="str">
        <f t="shared" si="14"/>
        <v>4590004400_011</v>
      </c>
      <c r="AK242" s="423"/>
      <c r="AL242" s="424">
        <v>45047</v>
      </c>
      <c r="AM242" s="221">
        <v>2687.88</v>
      </c>
      <c r="AN242" s="228">
        <v>45303</v>
      </c>
      <c r="AO242" s="423"/>
      <c r="AP242" s="413"/>
      <c r="AQ242" s="222"/>
      <c r="AR242" s="424"/>
      <c r="AS242" s="614">
        <f ca="1">表格1_6[[#This Row],[total amount]]/表格1_6[[#This Row],[PO$]]</f>
        <v>0.4</v>
      </c>
      <c r="AT242" s="223">
        <f ca="1">表格1_6[[#This Row],[invoice amount]]+表格1_6[[#This Row],[invoice amount2]]</f>
        <v>2687.88</v>
      </c>
      <c r="AU242" s="224" t="s">
        <v>3673</v>
      </c>
      <c r="AV242" s="423"/>
      <c r="AW242" s="423" t="e">
        <f ca="1">VLOOKUP(表格1_6[[#This Row],[TI tool ID2]],工作表1!A:A,1,FALSE)</f>
        <v>#N/A</v>
      </c>
      <c r="AX242" s="425" t="e">
        <f ca="1">VLOOKUP(表格1_6[[#This Row],[PO+ITEM]],工作表1!B:E,2,FALSE)</f>
        <v>#N/A</v>
      </c>
      <c r="AY242" s="425" t="e">
        <f ca="1">VLOOKUP(表格1_6[[#This Row],[PO+ITEM]],工作表1!B:E,3,FALSE)</f>
        <v>#N/A</v>
      </c>
      <c r="AZ242" s="423" t="e">
        <f ca="1">VLOOKUP(表格1_6[[#This Row],[PO+ITEM]],工作表1!B:E,4,FALSE)</f>
        <v>#N/A</v>
      </c>
      <c r="BA242" s="425" t="e">
        <f ca="1">INDEX(工作表1!G:G, MATCH(表格1_6[[#This Row],[invoice number]]&amp;表格1_6[[#This Row],[invoice number2]],工作表1!G:G, 0))</f>
        <v>#N/A</v>
      </c>
      <c r="BB242" s="423" t="e">
        <f ca="1">VLOOKUP(表格1_6[[#This Row],[PO+ITEM]],工作表1!F:H,2,FALSE)</f>
        <v>#N/A</v>
      </c>
    </row>
    <row r="243" spans="1:54" ht="15.6">
      <c r="A243" s="413">
        <v>242</v>
      </c>
      <c r="B243" s="413" t="s">
        <v>3674</v>
      </c>
      <c r="C243" s="414" t="s">
        <v>16</v>
      </c>
      <c r="D243" s="414" t="s">
        <v>3648</v>
      </c>
      <c r="E243" s="414"/>
      <c r="F243" s="414"/>
      <c r="G243" s="414"/>
      <c r="H243" s="414"/>
      <c r="I243" s="414"/>
      <c r="J243" s="414"/>
      <c r="K243" s="414"/>
      <c r="L243" s="420" t="s">
        <v>4461</v>
      </c>
      <c r="M243" s="416" t="s">
        <v>2206</v>
      </c>
      <c r="N243" s="416" t="s">
        <v>2999</v>
      </c>
      <c r="O243" s="417"/>
      <c r="P243" s="416">
        <v>4590004400</v>
      </c>
      <c r="Q243" s="418">
        <v>44801</v>
      </c>
      <c r="R243" s="419">
        <v>12</v>
      </c>
      <c r="S243" s="458">
        <v>6719.7</v>
      </c>
      <c r="T243" s="420" t="s">
        <v>2156</v>
      </c>
      <c r="U243" s="414" t="s">
        <v>3864</v>
      </c>
      <c r="V243" s="414" t="s">
        <v>3865</v>
      </c>
      <c r="W243" s="417" t="s">
        <v>3866</v>
      </c>
      <c r="X243" s="417"/>
      <c r="Y243" s="421" t="s">
        <v>3652</v>
      </c>
      <c r="Z243" s="421" t="s">
        <v>3652</v>
      </c>
      <c r="AA243" s="416" t="s">
        <v>4460</v>
      </c>
      <c r="AB243" s="414" t="s">
        <v>3664</v>
      </c>
      <c r="AC243" s="422"/>
      <c r="AD243" s="421"/>
      <c r="AE243" s="420"/>
      <c r="AF243" s="421">
        <v>90231</v>
      </c>
      <c r="AG243" s="420" t="s">
        <v>2585</v>
      </c>
      <c r="AH243" s="421" t="s">
        <v>3681</v>
      </c>
      <c r="AI243" s="420" t="s">
        <v>846</v>
      </c>
      <c r="AJ243" s="413" t="str">
        <f t="shared" si="14"/>
        <v>4590004400_012</v>
      </c>
      <c r="AK243" s="423"/>
      <c r="AL243" s="424">
        <v>45047</v>
      </c>
      <c r="AM243" s="221">
        <v>2687.88</v>
      </c>
      <c r="AN243" s="228">
        <v>45303</v>
      </c>
      <c r="AO243" s="423"/>
      <c r="AP243" s="413"/>
      <c r="AQ243" s="222"/>
      <c r="AR243" s="424"/>
      <c r="AS243" s="614">
        <f ca="1">表格1_6[[#This Row],[total amount]]/表格1_6[[#This Row],[PO$]]</f>
        <v>0.4</v>
      </c>
      <c r="AT243" s="223">
        <f ca="1">表格1_6[[#This Row],[invoice amount]]+表格1_6[[#This Row],[invoice amount2]]</f>
        <v>2687.88</v>
      </c>
      <c r="AU243" s="224" t="s">
        <v>3673</v>
      </c>
      <c r="AV243" s="423"/>
      <c r="AW243" s="423" t="e">
        <f ca="1">VLOOKUP(表格1_6[[#This Row],[TI tool ID2]],工作表1!A:A,1,FALSE)</f>
        <v>#N/A</v>
      </c>
      <c r="AX243" s="425" t="e">
        <f ca="1">VLOOKUP(表格1_6[[#This Row],[PO+ITEM]],工作表1!B:E,2,FALSE)</f>
        <v>#N/A</v>
      </c>
      <c r="AY243" s="425" t="e">
        <f ca="1">VLOOKUP(表格1_6[[#This Row],[PO+ITEM]],工作表1!B:E,3,FALSE)</f>
        <v>#N/A</v>
      </c>
      <c r="AZ243" s="423" t="e">
        <f ca="1">VLOOKUP(表格1_6[[#This Row],[PO+ITEM]],工作表1!B:E,4,FALSE)</f>
        <v>#N/A</v>
      </c>
      <c r="BA243" s="425" t="e">
        <f ca="1">INDEX(工作表1!G:G, MATCH(表格1_6[[#This Row],[invoice number]]&amp;表格1_6[[#This Row],[invoice number2]],工作表1!G:G, 0))</f>
        <v>#N/A</v>
      </c>
      <c r="BB243" s="423" t="e">
        <f ca="1">VLOOKUP(表格1_6[[#This Row],[PO+ITEM]],工作表1!F:H,2,FALSE)</f>
        <v>#N/A</v>
      </c>
    </row>
    <row r="244" spans="1:54" ht="15.6">
      <c r="A244" s="413">
        <v>243</v>
      </c>
      <c r="B244" s="413" t="s">
        <v>3674</v>
      </c>
      <c r="C244" s="414" t="s">
        <v>16</v>
      </c>
      <c r="D244" s="414" t="s">
        <v>3648</v>
      </c>
      <c r="E244" s="414"/>
      <c r="F244" s="414"/>
      <c r="G244" s="414"/>
      <c r="H244" s="414"/>
      <c r="I244" s="414"/>
      <c r="J244" s="414"/>
      <c r="K244" s="414"/>
      <c r="L244" s="415" t="s">
        <v>4462</v>
      </c>
      <c r="M244" s="416" t="s">
        <v>2206</v>
      </c>
      <c r="N244" s="416" t="s">
        <v>2999</v>
      </c>
      <c r="O244" s="417"/>
      <c r="P244" s="416">
        <v>4590004400</v>
      </c>
      <c r="Q244" s="418">
        <v>44801</v>
      </c>
      <c r="R244" s="419">
        <v>13</v>
      </c>
      <c r="S244" s="458">
        <v>6719.7</v>
      </c>
      <c r="T244" s="420" t="s">
        <v>2156</v>
      </c>
      <c r="U244" s="414" t="s">
        <v>3864</v>
      </c>
      <c r="V244" s="414" t="s">
        <v>3865</v>
      </c>
      <c r="W244" s="417" t="s">
        <v>3866</v>
      </c>
      <c r="X244" s="417"/>
      <c r="Y244" s="421" t="s">
        <v>3652</v>
      </c>
      <c r="Z244" s="421" t="s">
        <v>3652</v>
      </c>
      <c r="AA244" s="416" t="s">
        <v>4460</v>
      </c>
      <c r="AB244" s="414" t="s">
        <v>3664</v>
      </c>
      <c r="AC244" s="422"/>
      <c r="AD244" s="421"/>
      <c r="AE244" s="420"/>
      <c r="AF244" s="421">
        <v>90497</v>
      </c>
      <c r="AG244" s="420" t="s">
        <v>2637</v>
      </c>
      <c r="AH244" s="421" t="s">
        <v>3681</v>
      </c>
      <c r="AI244" s="420" t="s">
        <v>846</v>
      </c>
      <c r="AJ244" s="413" t="str">
        <f t="shared" si="14"/>
        <v>4590004400_013</v>
      </c>
      <c r="AK244" s="423"/>
      <c r="AL244" s="424">
        <v>45047</v>
      </c>
      <c r="AM244" s="221">
        <v>2687.88</v>
      </c>
      <c r="AN244" s="228">
        <v>45303</v>
      </c>
      <c r="AO244" s="423"/>
      <c r="AP244" s="413"/>
      <c r="AQ244" s="222"/>
      <c r="AR244" s="424"/>
      <c r="AS244" s="614">
        <f ca="1">表格1_6[[#This Row],[total amount]]/表格1_6[[#This Row],[PO$]]</f>
        <v>0.4</v>
      </c>
      <c r="AT244" s="223">
        <f ca="1">表格1_6[[#This Row],[invoice amount]]+表格1_6[[#This Row],[invoice amount2]]</f>
        <v>2687.88</v>
      </c>
      <c r="AU244" s="224" t="s">
        <v>3673</v>
      </c>
      <c r="AV244" s="423"/>
      <c r="AW244" s="423" t="e">
        <f ca="1">VLOOKUP(表格1_6[[#This Row],[TI tool ID2]],工作表1!A:A,1,FALSE)</f>
        <v>#N/A</v>
      </c>
      <c r="AX244" s="425" t="e">
        <f ca="1">VLOOKUP(表格1_6[[#This Row],[PO+ITEM]],工作表1!B:E,2,FALSE)</f>
        <v>#N/A</v>
      </c>
      <c r="AY244" s="425" t="e">
        <f ca="1">VLOOKUP(表格1_6[[#This Row],[PO+ITEM]],工作表1!B:E,3,FALSE)</f>
        <v>#N/A</v>
      </c>
      <c r="AZ244" s="423" t="e">
        <f ca="1">VLOOKUP(表格1_6[[#This Row],[PO+ITEM]],工作表1!B:E,4,FALSE)</f>
        <v>#N/A</v>
      </c>
      <c r="BA244" s="425" t="e">
        <f ca="1">INDEX(工作表1!G:G, MATCH(表格1_6[[#This Row],[invoice number]]&amp;表格1_6[[#This Row],[invoice number2]],工作表1!G:G, 0))</f>
        <v>#N/A</v>
      </c>
      <c r="BB244" s="423" t="e">
        <f ca="1">VLOOKUP(表格1_6[[#This Row],[PO+ITEM]],工作表1!F:H,2,FALSE)</f>
        <v>#N/A</v>
      </c>
    </row>
    <row r="245" spans="1:54" ht="15.6">
      <c r="A245" s="413">
        <v>244</v>
      </c>
      <c r="B245" s="413" t="s">
        <v>3674</v>
      </c>
      <c r="C245" s="414" t="s">
        <v>16</v>
      </c>
      <c r="D245" s="414" t="s">
        <v>3648</v>
      </c>
      <c r="E245" s="414"/>
      <c r="F245" s="414"/>
      <c r="G245" s="414"/>
      <c r="H245" s="414"/>
      <c r="I245" s="414"/>
      <c r="J245" s="414"/>
      <c r="K245" s="414"/>
      <c r="L245" s="420" t="s">
        <v>4463</v>
      </c>
      <c r="M245" s="416" t="s">
        <v>2206</v>
      </c>
      <c r="N245" s="416" t="s">
        <v>2999</v>
      </c>
      <c r="O245" s="417"/>
      <c r="P245" s="416">
        <v>4590004400</v>
      </c>
      <c r="Q245" s="418">
        <v>44801</v>
      </c>
      <c r="R245" s="419">
        <v>14</v>
      </c>
      <c r="S245" s="458">
        <v>1679.93</v>
      </c>
      <c r="T245" s="420" t="s">
        <v>2156</v>
      </c>
      <c r="U245" s="414" t="s">
        <v>3864</v>
      </c>
      <c r="V245" s="414" t="s">
        <v>3865</v>
      </c>
      <c r="W245" s="417" t="s">
        <v>3866</v>
      </c>
      <c r="X245" s="417"/>
      <c r="Y245" s="421" t="s">
        <v>3652</v>
      </c>
      <c r="Z245" s="421" t="s">
        <v>3652</v>
      </c>
      <c r="AA245" s="416" t="s">
        <v>4437</v>
      </c>
      <c r="AB245" s="414" t="s">
        <v>3664</v>
      </c>
      <c r="AC245" s="422"/>
      <c r="AD245" s="421"/>
      <c r="AE245" s="420"/>
      <c r="AF245" s="421">
        <v>90776</v>
      </c>
      <c r="AG245" s="420" t="s">
        <v>2602</v>
      </c>
      <c r="AH245" s="421" t="s">
        <v>3681</v>
      </c>
      <c r="AI245" s="420" t="s">
        <v>846</v>
      </c>
      <c r="AJ245" s="413" t="str">
        <f t="shared" si="14"/>
        <v>4590004400_014</v>
      </c>
      <c r="AK245" s="423"/>
      <c r="AL245" s="424">
        <v>45047</v>
      </c>
      <c r="AM245" s="221">
        <v>671.97200000000009</v>
      </c>
      <c r="AN245" s="228">
        <v>45303</v>
      </c>
      <c r="AO245" s="423" t="s">
        <v>4464</v>
      </c>
      <c r="AP245" s="424">
        <v>45372</v>
      </c>
      <c r="AQ245" s="222">
        <v>1007.96</v>
      </c>
      <c r="AR245" s="432">
        <v>45458</v>
      </c>
      <c r="AS245" s="614">
        <f ca="1">表格1_6[[#This Row],[total amount]]/表格1_6[[#This Row],[PO$]]</f>
        <v>1.0000011905257957</v>
      </c>
      <c r="AT245" s="223">
        <f ca="1">表格1_6[[#This Row],[invoice amount]]+表格1_6[[#This Row],[invoice amount2]]</f>
        <v>1679.9320000000002</v>
      </c>
      <c r="AU245" s="224" t="s">
        <v>3725</v>
      </c>
      <c r="AV245" s="423"/>
      <c r="AW245" s="423" t="e">
        <f ca="1">VLOOKUP(表格1_6[[#This Row],[TI tool ID2]],工作表1!A:A,1,FALSE)</f>
        <v>#N/A</v>
      </c>
      <c r="AX245" s="425" t="e">
        <f ca="1">VLOOKUP(表格1_6[[#This Row],[PO+ITEM]],工作表1!B:E,2,FALSE)</f>
        <v>#N/A</v>
      </c>
      <c r="AY245" s="425" t="e">
        <f ca="1">VLOOKUP(表格1_6[[#This Row],[PO+ITEM]],工作表1!B:E,3,FALSE)</f>
        <v>#N/A</v>
      </c>
      <c r="AZ245" s="423" t="e">
        <f ca="1">VLOOKUP(表格1_6[[#This Row],[PO+ITEM]],工作表1!B:E,4,FALSE)</f>
        <v>#N/A</v>
      </c>
      <c r="BA245" s="425" t="e">
        <f ca="1">INDEX(工作表1!G:G, MATCH(表格1_6[[#This Row],[invoice number]]&amp;表格1_6[[#This Row],[invoice number2]],工作表1!G:G, 0))</f>
        <v>#N/A</v>
      </c>
      <c r="BB245" s="423" t="e">
        <f ca="1">VLOOKUP(表格1_6[[#This Row],[PO+ITEM]],工作表1!F:H,2,FALSE)</f>
        <v>#N/A</v>
      </c>
    </row>
    <row r="246" spans="1:54" ht="15.6">
      <c r="A246" s="413">
        <v>245</v>
      </c>
      <c r="B246" s="413" t="s">
        <v>3659</v>
      </c>
      <c r="C246" s="414" t="s">
        <v>16</v>
      </c>
      <c r="D246" s="414" t="s">
        <v>3648</v>
      </c>
      <c r="E246" s="414"/>
      <c r="F246" s="414"/>
      <c r="G246" s="414"/>
      <c r="H246" s="414"/>
      <c r="I246" s="414"/>
      <c r="J246" s="414"/>
      <c r="K246" s="414"/>
      <c r="L246" s="420" t="s">
        <v>4465</v>
      </c>
      <c r="M246" s="416" t="s">
        <v>2206</v>
      </c>
      <c r="N246" s="416" t="s">
        <v>2999</v>
      </c>
      <c r="O246" s="417"/>
      <c r="P246" s="416">
        <v>4590004400</v>
      </c>
      <c r="Q246" s="418">
        <v>44801</v>
      </c>
      <c r="R246" s="419">
        <v>15</v>
      </c>
      <c r="S246" s="458">
        <v>1679.93</v>
      </c>
      <c r="T246" s="420" t="s">
        <v>2156</v>
      </c>
      <c r="U246" s="414" t="s">
        <v>3864</v>
      </c>
      <c r="V246" s="414" t="s">
        <v>3865</v>
      </c>
      <c r="W246" s="417" t="s">
        <v>3866</v>
      </c>
      <c r="X246" s="417"/>
      <c r="Y246" s="421" t="s">
        <v>3652</v>
      </c>
      <c r="Z246" s="421" t="s">
        <v>3652</v>
      </c>
      <c r="AA246" s="416" t="s">
        <v>4437</v>
      </c>
      <c r="AB246" s="414" t="s">
        <v>3664</v>
      </c>
      <c r="AC246" s="422"/>
      <c r="AD246" s="421"/>
      <c r="AE246" s="420"/>
      <c r="AF246" s="421">
        <v>90777</v>
      </c>
      <c r="AG246" s="420" t="s">
        <v>4466</v>
      </c>
      <c r="AH246" s="421" t="s">
        <v>3681</v>
      </c>
      <c r="AI246" s="420" t="s">
        <v>846</v>
      </c>
      <c r="AJ246" s="413" t="str">
        <f t="shared" si="14"/>
        <v>4590004400_015</v>
      </c>
      <c r="AK246" s="423"/>
      <c r="AL246" s="424">
        <v>45047</v>
      </c>
      <c r="AM246" s="221">
        <v>671.97200000000009</v>
      </c>
      <c r="AN246" s="228">
        <v>45303</v>
      </c>
      <c r="AO246" s="423"/>
      <c r="AP246" s="413"/>
      <c r="AQ246" s="222"/>
      <c r="AR246" s="424"/>
      <c r="AS246" s="614">
        <f ca="1">表格1_6[[#This Row],[total amount]]/表格1_6[[#This Row],[PO$]]</f>
        <v>0.4</v>
      </c>
      <c r="AT246" s="223">
        <f ca="1">表格1_6[[#This Row],[invoice amount]]+表格1_6[[#This Row],[invoice amount2]]</f>
        <v>671.97200000000009</v>
      </c>
      <c r="AU246" s="224" t="s">
        <v>3673</v>
      </c>
      <c r="AV246" s="423"/>
      <c r="AW246" s="423" t="e">
        <f ca="1">VLOOKUP(表格1_6[[#This Row],[TI tool ID2]],工作表1!A:A,1,FALSE)</f>
        <v>#N/A</v>
      </c>
      <c r="AX246" s="425" t="e">
        <f ca="1">VLOOKUP(表格1_6[[#This Row],[PO+ITEM]],工作表1!B:E,2,FALSE)</f>
        <v>#N/A</v>
      </c>
      <c r="AY246" s="425" t="e">
        <f ca="1">VLOOKUP(表格1_6[[#This Row],[PO+ITEM]],工作表1!B:E,3,FALSE)</f>
        <v>#N/A</v>
      </c>
      <c r="AZ246" s="423" t="e">
        <f ca="1">VLOOKUP(表格1_6[[#This Row],[PO+ITEM]],工作表1!B:E,4,FALSE)</f>
        <v>#N/A</v>
      </c>
      <c r="BA246" s="425" t="e">
        <f ca="1">INDEX(工作表1!G:G, MATCH(表格1_6[[#This Row],[invoice number]]&amp;表格1_6[[#This Row],[invoice number2]],工作表1!G:G, 0))</f>
        <v>#N/A</v>
      </c>
      <c r="BB246" s="423" t="e">
        <f ca="1">VLOOKUP(表格1_6[[#This Row],[PO+ITEM]],工作表1!F:H,2,FALSE)</f>
        <v>#N/A</v>
      </c>
    </row>
    <row r="247" spans="1:54" ht="14.45">
      <c r="A247" s="413">
        <v>246</v>
      </c>
      <c r="B247" s="413" t="s">
        <v>3674</v>
      </c>
      <c r="C247" s="414" t="s">
        <v>16</v>
      </c>
      <c r="D247" s="414" t="s">
        <v>3648</v>
      </c>
      <c r="E247" s="414"/>
      <c r="F247" s="414"/>
      <c r="G247" s="414"/>
      <c r="H247" s="414"/>
      <c r="I247" s="414"/>
      <c r="J247" s="414"/>
      <c r="K247" s="414"/>
      <c r="L247" s="415" t="s">
        <v>4467</v>
      </c>
      <c r="M247" s="416" t="s">
        <v>2206</v>
      </c>
      <c r="N247" s="416" t="s">
        <v>2999</v>
      </c>
      <c r="O247" s="417"/>
      <c r="P247" s="416">
        <v>4590004401</v>
      </c>
      <c r="Q247" s="418">
        <v>44801</v>
      </c>
      <c r="R247" s="562">
        <v>1</v>
      </c>
      <c r="S247" s="563">
        <v>3788.33</v>
      </c>
      <c r="T247" s="444" t="s">
        <v>2156</v>
      </c>
      <c r="U247" s="414" t="s">
        <v>4468</v>
      </c>
      <c r="V247" s="414" t="s">
        <v>4469</v>
      </c>
      <c r="W247" s="417" t="s">
        <v>4470</v>
      </c>
      <c r="X247" s="417"/>
      <c r="Y247" s="421" t="s">
        <v>3652</v>
      </c>
      <c r="Z247" s="421" t="s">
        <v>3652</v>
      </c>
      <c r="AA247" s="416"/>
      <c r="AB247" s="414" t="s">
        <v>3664</v>
      </c>
      <c r="AC247" s="422"/>
      <c r="AD247" s="421"/>
      <c r="AE247" s="420"/>
      <c r="AF247" s="421">
        <v>90059</v>
      </c>
      <c r="AG247" s="420" t="s">
        <v>2587</v>
      </c>
      <c r="AH247" s="421" t="s">
        <v>4102</v>
      </c>
      <c r="AI247" s="420" t="s">
        <v>846</v>
      </c>
      <c r="AJ247" s="413" t="str">
        <f t="shared" ref="AJ247:AJ260" si="15">P247&amp;"_00"&amp;R247</f>
        <v>4590004401_001</v>
      </c>
      <c r="AK247" s="425" t="s">
        <v>4471</v>
      </c>
      <c r="AL247" s="424">
        <v>45562</v>
      </c>
      <c r="AM247" s="221">
        <v>3788.33</v>
      </c>
      <c r="AN247" s="424"/>
      <c r="AO247" s="423"/>
      <c r="AP247" s="413"/>
      <c r="AQ247" s="222"/>
      <c r="AR247" s="424"/>
      <c r="AS247" s="614">
        <f ca="1">表格1_6[[#This Row],[total amount]]/表格1_6[[#This Row],[PO$]]</f>
        <v>1</v>
      </c>
      <c r="AT247" s="223">
        <f ca="1">表格1_6[[#This Row],[invoice amount]]+表格1_6[[#This Row],[invoice amount2]]</f>
        <v>3788.33</v>
      </c>
      <c r="AU247" s="224" t="s">
        <v>3752</v>
      </c>
      <c r="AV247" s="423"/>
      <c r="AW247" s="423" t="e">
        <f ca="1">VLOOKUP(表格1_6[[#This Row],[TI tool ID2]],工作表1!A:A,1,FALSE)</f>
        <v>#N/A</v>
      </c>
      <c r="AX247" s="425" t="str">
        <f ca="1">VLOOKUP(表格1_6[[#This Row],[PO+ITEM]],工作表1!B:E,2,FALSE)</f>
        <v>MICUINT202409058</v>
      </c>
      <c r="AY247" s="425">
        <f ca="1">VLOOKUP(表格1_6[[#This Row],[PO+ITEM]],工作表1!B:E,3,FALSE)</f>
        <v>45562</v>
      </c>
      <c r="AZ247" s="423" t="e">
        <f ca="1">VLOOKUP(表格1_6[[#This Row],[PO+ITEM]],工作表1!B:E,4,FALSE)</f>
        <v>#REF!</v>
      </c>
      <c r="BA247" s="425" t="e">
        <f ca="1">INDEX(工作表1!G:G, MATCH(表格1_6[[#This Row],[invoice number]]&amp;表格1_6[[#This Row],[invoice number2]],工作表1!G:G, 0))</f>
        <v>#N/A</v>
      </c>
      <c r="BB247" s="423" t="e">
        <f ca="1">VLOOKUP(表格1_6[[#This Row],[PO+ITEM]],工作表1!F:H,2,FALSE)</f>
        <v>#N/A</v>
      </c>
    </row>
    <row r="248" spans="1:54" ht="14.45">
      <c r="A248" s="413">
        <v>247</v>
      </c>
      <c r="B248" s="413" t="s">
        <v>3674</v>
      </c>
      <c r="C248" s="414" t="s">
        <v>16</v>
      </c>
      <c r="D248" s="414" t="s">
        <v>3648</v>
      </c>
      <c r="E248" s="414"/>
      <c r="F248" s="414"/>
      <c r="G248" s="414"/>
      <c r="H248" s="414"/>
      <c r="I248" s="414"/>
      <c r="J248" s="414"/>
      <c r="K248" s="414"/>
      <c r="L248" s="420" t="s">
        <v>4472</v>
      </c>
      <c r="M248" s="416" t="s">
        <v>2206</v>
      </c>
      <c r="N248" s="416" t="s">
        <v>2999</v>
      </c>
      <c r="O248" s="417"/>
      <c r="P248" s="416">
        <v>4590004401</v>
      </c>
      <c r="Q248" s="418">
        <v>44801</v>
      </c>
      <c r="R248" s="562">
        <v>2</v>
      </c>
      <c r="S248" s="563">
        <v>3788.33</v>
      </c>
      <c r="T248" s="444" t="s">
        <v>2156</v>
      </c>
      <c r="U248" s="414" t="s">
        <v>4468</v>
      </c>
      <c r="V248" s="414" t="s">
        <v>4469</v>
      </c>
      <c r="W248" s="417" t="s">
        <v>4470</v>
      </c>
      <c r="X248" s="417"/>
      <c r="Y248" s="421" t="s">
        <v>3652</v>
      </c>
      <c r="Z248" s="421" t="s">
        <v>3652</v>
      </c>
      <c r="AA248" s="416"/>
      <c r="AB248" s="414" t="s">
        <v>3664</v>
      </c>
      <c r="AC248" s="422"/>
      <c r="AD248" s="421"/>
      <c r="AE248" s="420"/>
      <c r="AF248" s="421">
        <v>90058</v>
      </c>
      <c r="AG248" s="420" t="s">
        <v>2627</v>
      </c>
      <c r="AH248" s="421" t="s">
        <v>4102</v>
      </c>
      <c r="AI248" s="420" t="s">
        <v>846</v>
      </c>
      <c r="AJ248" s="413" t="str">
        <f t="shared" si="15"/>
        <v>4590004401_002</v>
      </c>
      <c r="AK248" s="425" t="s">
        <v>4473</v>
      </c>
      <c r="AL248" s="424">
        <v>45562</v>
      </c>
      <c r="AM248" s="221">
        <v>3788.33</v>
      </c>
      <c r="AN248" s="424"/>
      <c r="AO248" s="423"/>
      <c r="AP248" s="413"/>
      <c r="AQ248" s="222"/>
      <c r="AR248" s="424"/>
      <c r="AS248" s="614">
        <f ca="1">表格1_6[[#This Row],[total amount]]/表格1_6[[#This Row],[PO$]]</f>
        <v>1</v>
      </c>
      <c r="AT248" s="223">
        <f ca="1">表格1_6[[#This Row],[invoice amount]]+表格1_6[[#This Row],[invoice amount2]]</f>
        <v>3788.33</v>
      </c>
      <c r="AU248" s="224" t="s">
        <v>3752</v>
      </c>
      <c r="AV248" s="423"/>
      <c r="AW248" s="423" t="e">
        <f ca="1">VLOOKUP(表格1_6[[#This Row],[TI tool ID2]],工作表1!A:A,1,FALSE)</f>
        <v>#N/A</v>
      </c>
      <c r="AX248" s="425" t="str">
        <f ca="1">VLOOKUP(表格1_6[[#This Row],[PO+ITEM]],工作表1!B:E,2,FALSE)</f>
        <v>MICUINT202409059</v>
      </c>
      <c r="AY248" s="425">
        <f ca="1">VLOOKUP(表格1_6[[#This Row],[PO+ITEM]],工作表1!B:E,3,FALSE)</f>
        <v>45562</v>
      </c>
      <c r="AZ248" s="423" t="e">
        <f ca="1">VLOOKUP(表格1_6[[#This Row],[PO+ITEM]],工作表1!B:E,4,FALSE)</f>
        <v>#REF!</v>
      </c>
      <c r="BA248" s="425" t="e">
        <f ca="1">INDEX(工作表1!G:G, MATCH(表格1_6[[#This Row],[invoice number]]&amp;表格1_6[[#This Row],[invoice number2]],工作表1!G:G, 0))</f>
        <v>#N/A</v>
      </c>
      <c r="BB248" s="423" t="e">
        <f ca="1">VLOOKUP(表格1_6[[#This Row],[PO+ITEM]],工作表1!F:H,2,FALSE)</f>
        <v>#N/A</v>
      </c>
    </row>
    <row r="249" spans="1:54" ht="14.45">
      <c r="A249" s="413">
        <v>248</v>
      </c>
      <c r="B249" s="413" t="s">
        <v>3674</v>
      </c>
      <c r="C249" s="414" t="s">
        <v>16</v>
      </c>
      <c r="D249" s="414" t="s">
        <v>3648</v>
      </c>
      <c r="E249" s="414"/>
      <c r="F249" s="414"/>
      <c r="G249" s="414"/>
      <c r="H249" s="414"/>
      <c r="I249" s="414"/>
      <c r="J249" s="414"/>
      <c r="K249" s="414"/>
      <c r="L249" s="415" t="s">
        <v>4474</v>
      </c>
      <c r="M249" s="416" t="s">
        <v>2206</v>
      </c>
      <c r="N249" s="416" t="s">
        <v>2999</v>
      </c>
      <c r="O249" s="417"/>
      <c r="P249" s="416">
        <v>4590004401</v>
      </c>
      <c r="Q249" s="418">
        <v>44801</v>
      </c>
      <c r="R249" s="562">
        <v>3</v>
      </c>
      <c r="S249" s="563">
        <v>2664.88</v>
      </c>
      <c r="T249" s="444" t="s">
        <v>2156</v>
      </c>
      <c r="U249" s="414" t="s">
        <v>4468</v>
      </c>
      <c r="V249" s="414" t="s">
        <v>4469</v>
      </c>
      <c r="W249" s="417" t="s">
        <v>4470</v>
      </c>
      <c r="X249" s="417"/>
      <c r="Y249" s="421" t="s">
        <v>3652</v>
      </c>
      <c r="Z249" s="421" t="s">
        <v>3652</v>
      </c>
      <c r="AA249" s="416"/>
      <c r="AB249" s="414" t="s">
        <v>3664</v>
      </c>
      <c r="AC249" s="422"/>
      <c r="AD249" s="421"/>
      <c r="AE249" s="420"/>
      <c r="AF249" s="421">
        <v>90061</v>
      </c>
      <c r="AG249" s="420" t="s">
        <v>2589</v>
      </c>
      <c r="AH249" s="421" t="s">
        <v>4102</v>
      </c>
      <c r="AI249" s="420" t="s">
        <v>846</v>
      </c>
      <c r="AJ249" s="413" t="str">
        <f t="shared" si="15"/>
        <v>4590004401_003</v>
      </c>
      <c r="AK249" s="425" t="s">
        <v>4475</v>
      </c>
      <c r="AL249" s="424">
        <v>45562</v>
      </c>
      <c r="AM249" s="221">
        <v>2664.88</v>
      </c>
      <c r="AN249" s="424"/>
      <c r="AO249" s="423"/>
      <c r="AP249" s="413"/>
      <c r="AQ249" s="222"/>
      <c r="AR249" s="424"/>
      <c r="AS249" s="614">
        <f ca="1">表格1_6[[#This Row],[total amount]]/表格1_6[[#This Row],[PO$]]</f>
        <v>1</v>
      </c>
      <c r="AT249" s="223">
        <f ca="1">表格1_6[[#This Row],[invoice amount]]+表格1_6[[#This Row],[invoice amount2]]</f>
        <v>2664.88</v>
      </c>
      <c r="AU249" s="224" t="s">
        <v>3752</v>
      </c>
      <c r="AV249" s="423"/>
      <c r="AW249" s="423" t="e">
        <f ca="1">VLOOKUP(表格1_6[[#This Row],[TI tool ID2]],工作表1!A:A,1,FALSE)</f>
        <v>#N/A</v>
      </c>
      <c r="AX249" s="425" t="str">
        <f ca="1">VLOOKUP(表格1_6[[#This Row],[PO+ITEM]],工作表1!B:E,2,FALSE)</f>
        <v>MICUINT202409060</v>
      </c>
      <c r="AY249" s="425">
        <f ca="1">VLOOKUP(表格1_6[[#This Row],[PO+ITEM]],工作表1!B:E,3,FALSE)</f>
        <v>45562</v>
      </c>
      <c r="AZ249" s="423" t="e">
        <f ca="1">VLOOKUP(表格1_6[[#This Row],[PO+ITEM]],工作表1!B:E,4,FALSE)</f>
        <v>#REF!</v>
      </c>
      <c r="BA249" s="425" t="e">
        <f ca="1">INDEX(工作表1!G:G, MATCH(表格1_6[[#This Row],[invoice number]]&amp;表格1_6[[#This Row],[invoice number2]],工作表1!G:G, 0))</f>
        <v>#N/A</v>
      </c>
      <c r="BB249" s="423" t="e">
        <f ca="1">VLOOKUP(表格1_6[[#This Row],[PO+ITEM]],工作表1!F:H,2,FALSE)</f>
        <v>#N/A</v>
      </c>
    </row>
    <row r="250" spans="1:54" ht="14.45">
      <c r="A250" s="413">
        <v>249</v>
      </c>
      <c r="B250" s="413" t="s">
        <v>3674</v>
      </c>
      <c r="C250" s="414" t="s">
        <v>16</v>
      </c>
      <c r="D250" s="414" t="s">
        <v>3648</v>
      </c>
      <c r="E250" s="414"/>
      <c r="F250" s="414"/>
      <c r="G250" s="414"/>
      <c r="H250" s="414"/>
      <c r="I250" s="414"/>
      <c r="J250" s="414"/>
      <c r="K250" s="414"/>
      <c r="L250" s="420" t="s">
        <v>4476</v>
      </c>
      <c r="M250" s="416" t="s">
        <v>2206</v>
      </c>
      <c r="N250" s="416" t="s">
        <v>2999</v>
      </c>
      <c r="O250" s="417"/>
      <c r="P250" s="416">
        <v>4590004401</v>
      </c>
      <c r="Q250" s="418">
        <v>44801</v>
      </c>
      <c r="R250" s="562">
        <v>4</v>
      </c>
      <c r="S250" s="563">
        <v>2664.88</v>
      </c>
      <c r="T250" s="444" t="s">
        <v>2156</v>
      </c>
      <c r="U250" s="414" t="s">
        <v>4468</v>
      </c>
      <c r="V250" s="414" t="s">
        <v>4469</v>
      </c>
      <c r="W250" s="417" t="s">
        <v>4470</v>
      </c>
      <c r="X250" s="417"/>
      <c r="Y250" s="421" t="s">
        <v>3652</v>
      </c>
      <c r="Z250" s="421" t="s">
        <v>3652</v>
      </c>
      <c r="AA250" s="416"/>
      <c r="AB250" s="414" t="s">
        <v>3664</v>
      </c>
      <c r="AC250" s="422"/>
      <c r="AD250" s="421"/>
      <c r="AE250" s="420"/>
      <c r="AF250" s="421">
        <v>90060</v>
      </c>
      <c r="AG250" s="420" t="s">
        <v>2594</v>
      </c>
      <c r="AH250" s="421" t="s">
        <v>4102</v>
      </c>
      <c r="AI250" s="420" t="s">
        <v>846</v>
      </c>
      <c r="AJ250" s="413" t="str">
        <f t="shared" si="15"/>
        <v>4590004401_004</v>
      </c>
      <c r="AK250" s="425" t="s">
        <v>4477</v>
      </c>
      <c r="AL250" s="424">
        <v>45562</v>
      </c>
      <c r="AM250" s="221">
        <v>2664.88</v>
      </c>
      <c r="AN250" s="424"/>
      <c r="AO250" s="423"/>
      <c r="AP250" s="413"/>
      <c r="AQ250" s="222"/>
      <c r="AR250" s="424"/>
      <c r="AS250" s="614">
        <f ca="1">表格1_6[[#This Row],[total amount]]/表格1_6[[#This Row],[PO$]]</f>
        <v>1</v>
      </c>
      <c r="AT250" s="223">
        <f ca="1">表格1_6[[#This Row],[invoice amount]]+表格1_6[[#This Row],[invoice amount2]]</f>
        <v>2664.88</v>
      </c>
      <c r="AU250" s="224" t="s">
        <v>3752</v>
      </c>
      <c r="AV250" s="423"/>
      <c r="AW250" s="423" t="e">
        <f ca="1">VLOOKUP(表格1_6[[#This Row],[TI tool ID2]],工作表1!A:A,1,FALSE)</f>
        <v>#N/A</v>
      </c>
      <c r="AX250" s="425" t="str">
        <f ca="1">VLOOKUP(表格1_6[[#This Row],[PO+ITEM]],工作表1!B:E,2,FALSE)</f>
        <v>MICUINT202409061</v>
      </c>
      <c r="AY250" s="425">
        <f ca="1">VLOOKUP(表格1_6[[#This Row],[PO+ITEM]],工作表1!B:E,3,FALSE)</f>
        <v>45562</v>
      </c>
      <c r="AZ250" s="423" t="e">
        <f ca="1">VLOOKUP(表格1_6[[#This Row],[PO+ITEM]],工作表1!B:E,4,FALSE)</f>
        <v>#REF!</v>
      </c>
      <c r="BA250" s="425" t="e">
        <f ca="1">INDEX(工作表1!G:G, MATCH(表格1_6[[#This Row],[invoice number]]&amp;表格1_6[[#This Row],[invoice number2]],工作表1!G:G, 0))</f>
        <v>#N/A</v>
      </c>
      <c r="BB250" s="423" t="e">
        <f ca="1">VLOOKUP(表格1_6[[#This Row],[PO+ITEM]],工作表1!F:H,2,FALSE)</f>
        <v>#N/A</v>
      </c>
    </row>
    <row r="251" spans="1:54" ht="14.45">
      <c r="A251" s="413">
        <v>250</v>
      </c>
      <c r="B251" s="413" t="s">
        <v>3674</v>
      </c>
      <c r="C251" s="414" t="s">
        <v>16</v>
      </c>
      <c r="D251" s="414" t="s">
        <v>3648</v>
      </c>
      <c r="E251" s="414"/>
      <c r="F251" s="414"/>
      <c r="G251" s="414"/>
      <c r="H251" s="414"/>
      <c r="I251" s="414"/>
      <c r="J251" s="414"/>
      <c r="K251" s="414"/>
      <c r="L251" s="415" t="s">
        <v>4478</v>
      </c>
      <c r="M251" s="416" t="s">
        <v>2206</v>
      </c>
      <c r="N251" s="416" t="s">
        <v>2999</v>
      </c>
      <c r="O251" s="417"/>
      <c r="P251" s="416">
        <v>4590004401</v>
      </c>
      <c r="Q251" s="418">
        <v>44801</v>
      </c>
      <c r="R251" s="419">
        <v>5</v>
      </c>
      <c r="S251" s="458">
        <v>2664.88</v>
      </c>
      <c r="T251" s="420" t="s">
        <v>2156</v>
      </c>
      <c r="U251" s="414" t="s">
        <v>4468</v>
      </c>
      <c r="V251" s="414" t="s">
        <v>4469</v>
      </c>
      <c r="W251" s="417" t="s">
        <v>4470</v>
      </c>
      <c r="X251" s="417"/>
      <c r="Y251" s="421" t="s">
        <v>3652</v>
      </c>
      <c r="Z251" s="421" t="s">
        <v>3652</v>
      </c>
      <c r="AA251" s="416"/>
      <c r="AB251" s="414" t="s">
        <v>3664</v>
      </c>
      <c r="AC251" s="422"/>
      <c r="AD251" s="421"/>
      <c r="AE251" s="420"/>
      <c r="AF251" s="421">
        <v>90057</v>
      </c>
      <c r="AG251" s="420" t="s">
        <v>4479</v>
      </c>
      <c r="AH251" s="421" t="s">
        <v>4102</v>
      </c>
      <c r="AI251" s="420" t="s">
        <v>846</v>
      </c>
      <c r="AJ251" s="413" t="str">
        <f t="shared" si="15"/>
        <v>4590004401_005</v>
      </c>
      <c r="AK251" s="425" t="s">
        <v>4480</v>
      </c>
      <c r="AL251" s="424">
        <v>45562</v>
      </c>
      <c r="AM251" s="221">
        <v>2664.88</v>
      </c>
      <c r="AN251" s="424"/>
      <c r="AO251" s="423"/>
      <c r="AP251" s="413"/>
      <c r="AQ251" s="222"/>
      <c r="AR251" s="424"/>
      <c r="AS251" s="614">
        <f ca="1">表格1_6[[#This Row],[total amount]]/表格1_6[[#This Row],[PO$]]</f>
        <v>1</v>
      </c>
      <c r="AT251" s="223">
        <f ca="1">表格1_6[[#This Row],[invoice amount]]+表格1_6[[#This Row],[invoice amount2]]</f>
        <v>2664.88</v>
      </c>
      <c r="AU251" s="224" t="s">
        <v>3752</v>
      </c>
      <c r="AV251" s="423"/>
      <c r="AW251" s="423" t="e">
        <f ca="1">VLOOKUP(表格1_6[[#This Row],[TI tool ID2]],工作表1!A:A,1,FALSE)</f>
        <v>#N/A</v>
      </c>
      <c r="AX251" s="425" t="str">
        <f ca="1">VLOOKUP(表格1_6[[#This Row],[PO+ITEM]],工作表1!B:E,2,FALSE)</f>
        <v>MICUINT202409062</v>
      </c>
      <c r="AY251" s="425">
        <f ca="1">VLOOKUP(表格1_6[[#This Row],[PO+ITEM]],工作表1!B:E,3,FALSE)</f>
        <v>45562</v>
      </c>
      <c r="AZ251" s="423" t="e">
        <f ca="1">VLOOKUP(表格1_6[[#This Row],[PO+ITEM]],工作表1!B:E,4,FALSE)</f>
        <v>#REF!</v>
      </c>
      <c r="BA251" s="425" t="e">
        <f ca="1">INDEX(工作表1!G:G, MATCH(表格1_6[[#This Row],[invoice number]]&amp;表格1_6[[#This Row],[invoice number2]],工作表1!G:G, 0))</f>
        <v>#N/A</v>
      </c>
      <c r="BB251" s="423" t="e">
        <f ca="1">VLOOKUP(表格1_6[[#This Row],[PO+ITEM]],工作表1!F:H,2,FALSE)</f>
        <v>#N/A</v>
      </c>
    </row>
    <row r="252" spans="1:54" ht="15.6">
      <c r="A252" s="413">
        <v>251</v>
      </c>
      <c r="B252" s="413" t="s">
        <v>3674</v>
      </c>
      <c r="C252" s="414" t="s">
        <v>16</v>
      </c>
      <c r="D252" s="414" t="s">
        <v>3648</v>
      </c>
      <c r="E252" s="414"/>
      <c r="F252" s="414"/>
      <c r="G252" s="414"/>
      <c r="H252" s="414"/>
      <c r="I252" s="414"/>
      <c r="J252" s="414"/>
      <c r="K252" s="414"/>
      <c r="L252" s="415" t="s">
        <v>4481</v>
      </c>
      <c r="M252" s="416" t="s">
        <v>2999</v>
      </c>
      <c r="N252" s="416" t="s">
        <v>2999</v>
      </c>
      <c r="O252" s="417"/>
      <c r="P252" s="416">
        <v>4590004402</v>
      </c>
      <c r="Q252" s="418">
        <v>44801</v>
      </c>
      <c r="R252" s="419">
        <v>1</v>
      </c>
      <c r="S252" s="458">
        <v>3908.12</v>
      </c>
      <c r="T252" s="420" t="s">
        <v>2156</v>
      </c>
      <c r="U252" s="414" t="s">
        <v>3661</v>
      </c>
      <c r="V252" s="414" t="s">
        <v>3662</v>
      </c>
      <c r="W252" s="417" t="s">
        <v>3663</v>
      </c>
      <c r="X252" s="417"/>
      <c r="Y252" s="421" t="s">
        <v>3652</v>
      </c>
      <c r="Z252" s="421" t="s">
        <v>3652</v>
      </c>
      <c r="AA252" s="416" t="s">
        <v>4482</v>
      </c>
      <c r="AB252" s="414" t="s">
        <v>3664</v>
      </c>
      <c r="AC252" s="422"/>
      <c r="AD252" s="421"/>
      <c r="AE252" s="420"/>
      <c r="AF252" s="421">
        <v>90134</v>
      </c>
      <c r="AG252" s="420" t="s">
        <v>4483</v>
      </c>
      <c r="AH252" s="421" t="s">
        <v>3665</v>
      </c>
      <c r="AI252" s="420" t="s">
        <v>3719</v>
      </c>
      <c r="AJ252" s="413" t="str">
        <f t="shared" si="15"/>
        <v>4590004402_001</v>
      </c>
      <c r="AK252" s="423"/>
      <c r="AL252" s="424">
        <v>45047</v>
      </c>
      <c r="AM252" s="221">
        <v>1563.248</v>
      </c>
      <c r="AN252" s="226">
        <v>45153</v>
      </c>
      <c r="AO252" s="423" t="s">
        <v>4484</v>
      </c>
      <c r="AP252" s="424">
        <v>45506</v>
      </c>
      <c r="AQ252" s="222">
        <v>2344.87</v>
      </c>
      <c r="AR252" s="424">
        <v>45565</v>
      </c>
      <c r="AS252" s="614">
        <f ca="1">表格1_6[[#This Row],[total amount]]/表格1_6[[#This Row],[PO$]]</f>
        <v>0.99999948824498741</v>
      </c>
      <c r="AT252" s="223">
        <f ca="1">表格1_6[[#This Row],[invoice amount]]+表格1_6[[#This Row],[invoice amount2]]</f>
        <v>3908.1179999999999</v>
      </c>
      <c r="AU252" s="224" t="s">
        <v>3725</v>
      </c>
      <c r="AV252" s="423"/>
      <c r="AW252" s="423" t="e">
        <f ca="1">VLOOKUP(表格1_6[[#This Row],[TI tool ID2]],工作表1!A:A,1,FALSE)</f>
        <v>#N/A</v>
      </c>
      <c r="AX252" s="425" t="e">
        <f ca="1">VLOOKUP(表格1_6[[#This Row],[PO+ITEM]],工作表1!B:E,2,FALSE)</f>
        <v>#N/A</v>
      </c>
      <c r="AY252" s="425" t="e">
        <f ca="1">VLOOKUP(表格1_6[[#This Row],[PO+ITEM]],工作表1!B:E,3,FALSE)</f>
        <v>#N/A</v>
      </c>
      <c r="AZ252" s="423" t="e">
        <f ca="1">VLOOKUP(表格1_6[[#This Row],[PO+ITEM]],工作表1!B:E,4,FALSE)</f>
        <v>#N/A</v>
      </c>
      <c r="BA252" s="425" t="e">
        <f ca="1">INDEX(工作表1!G:G, MATCH(表格1_6[[#This Row],[invoice number]]&amp;表格1_6[[#This Row],[invoice number2]],工作表1!G:G, 0))</f>
        <v>#N/A</v>
      </c>
      <c r="BB252" s="423" t="e">
        <f ca="1">VLOOKUP(表格1_6[[#This Row],[PO+ITEM]],工作表1!F:H,2,FALSE)</f>
        <v>#N/A</v>
      </c>
    </row>
    <row r="253" spans="1:54" ht="15.6">
      <c r="A253" s="413">
        <v>252</v>
      </c>
      <c r="B253" s="413" t="s">
        <v>3674</v>
      </c>
      <c r="C253" s="414" t="s">
        <v>16</v>
      </c>
      <c r="D253" s="414" t="s">
        <v>3648</v>
      </c>
      <c r="E253" s="414"/>
      <c r="F253" s="414"/>
      <c r="G253" s="414"/>
      <c r="H253" s="414"/>
      <c r="I253" s="414"/>
      <c r="J253" s="414"/>
      <c r="K253" s="414"/>
      <c r="L253" s="415" t="s">
        <v>4485</v>
      </c>
      <c r="M253" s="416" t="s">
        <v>2999</v>
      </c>
      <c r="N253" s="416" t="s">
        <v>2999</v>
      </c>
      <c r="O253" s="417"/>
      <c r="P253" s="416">
        <v>4590004402</v>
      </c>
      <c r="Q253" s="418">
        <v>44801</v>
      </c>
      <c r="R253" s="419">
        <v>2</v>
      </c>
      <c r="S253" s="458">
        <v>3908.12</v>
      </c>
      <c r="T253" s="420" t="s">
        <v>2156</v>
      </c>
      <c r="U253" s="414" t="s">
        <v>3661</v>
      </c>
      <c r="V253" s="414" t="s">
        <v>3662</v>
      </c>
      <c r="W253" s="417" t="s">
        <v>3663</v>
      </c>
      <c r="X253" s="417"/>
      <c r="Y253" s="421" t="s">
        <v>3652</v>
      </c>
      <c r="Z253" s="421" t="s">
        <v>3652</v>
      </c>
      <c r="AA253" s="416" t="s">
        <v>4486</v>
      </c>
      <c r="AB253" s="414" t="s">
        <v>3664</v>
      </c>
      <c r="AC253" s="422"/>
      <c r="AD253" s="421"/>
      <c r="AE253" s="420"/>
      <c r="AF253" s="421">
        <v>90135</v>
      </c>
      <c r="AG253" s="420" t="s">
        <v>4487</v>
      </c>
      <c r="AH253" s="421" t="s">
        <v>3665</v>
      </c>
      <c r="AI253" s="420" t="s">
        <v>3719</v>
      </c>
      <c r="AJ253" s="413" t="str">
        <f t="shared" si="15"/>
        <v>4590004402_002</v>
      </c>
      <c r="AK253" s="423"/>
      <c r="AL253" s="424">
        <v>45047</v>
      </c>
      <c r="AM253" s="221">
        <v>1563.248</v>
      </c>
      <c r="AN253" s="226">
        <v>45153</v>
      </c>
      <c r="AO253" s="425" t="s">
        <v>4488</v>
      </c>
      <c r="AP253" s="424">
        <v>45548</v>
      </c>
      <c r="AQ253" s="273">
        <v>2344.87</v>
      </c>
      <c r="AR253" s="424"/>
      <c r="AS253" s="614">
        <f ca="1">表格1_6[[#This Row],[total amount]]/表格1_6[[#This Row],[PO$]]</f>
        <v>0.99999948824498741</v>
      </c>
      <c r="AT253" s="223">
        <f ca="1">表格1_6[[#This Row],[invoice amount]]+表格1_6[[#This Row],[invoice amount2]]</f>
        <v>3908.1179999999999</v>
      </c>
      <c r="AU253" s="224" t="s">
        <v>4371</v>
      </c>
      <c r="AV253" s="423"/>
      <c r="AW253" s="423" t="e">
        <f ca="1">VLOOKUP(表格1_6[[#This Row],[TI tool ID2]],工作表1!A:A,1,FALSE)</f>
        <v>#N/A</v>
      </c>
      <c r="AX253" s="425" t="e">
        <f ca="1">VLOOKUP(表格1_6[[#This Row],[PO+ITEM]],工作表1!B:E,2,FALSE)</f>
        <v>#N/A</v>
      </c>
      <c r="AY253" s="425" t="e">
        <f ca="1">VLOOKUP(表格1_6[[#This Row],[PO+ITEM]],工作表1!B:E,3,FALSE)</f>
        <v>#N/A</v>
      </c>
      <c r="AZ253" s="423" t="e">
        <f ca="1">VLOOKUP(表格1_6[[#This Row],[PO+ITEM]],工作表1!B:E,4,FALSE)</f>
        <v>#N/A</v>
      </c>
      <c r="BA253" s="425" t="e">
        <f ca="1">INDEX(工作表1!G:G, MATCH(表格1_6[[#This Row],[invoice number]]&amp;表格1_6[[#This Row],[invoice number2]],工作表1!G:G, 0))</f>
        <v>#N/A</v>
      </c>
      <c r="BB253" s="423" t="e">
        <f ca="1">VLOOKUP(表格1_6[[#This Row],[PO+ITEM]],工作表1!F:H,2,FALSE)</f>
        <v>#N/A</v>
      </c>
    </row>
    <row r="254" spans="1:54" ht="15.6">
      <c r="A254" s="413">
        <v>253</v>
      </c>
      <c r="B254" s="413" t="s">
        <v>3674</v>
      </c>
      <c r="C254" s="414" t="s">
        <v>16</v>
      </c>
      <c r="D254" s="414" t="s">
        <v>3648</v>
      </c>
      <c r="E254" s="414"/>
      <c r="F254" s="414"/>
      <c r="G254" s="414"/>
      <c r="H254" s="414"/>
      <c r="I254" s="414"/>
      <c r="J254" s="414"/>
      <c r="K254" s="414"/>
      <c r="L254" s="415" t="s">
        <v>4489</v>
      </c>
      <c r="M254" s="416" t="s">
        <v>2999</v>
      </c>
      <c r="N254" s="416" t="s">
        <v>2999</v>
      </c>
      <c r="O254" s="417"/>
      <c r="P254" s="416">
        <v>4590004402</v>
      </c>
      <c r="Q254" s="418">
        <v>44801</v>
      </c>
      <c r="R254" s="419">
        <v>3</v>
      </c>
      <c r="S254" s="458">
        <v>3908.12</v>
      </c>
      <c r="T254" s="420" t="s">
        <v>2156</v>
      </c>
      <c r="U254" s="414" t="s">
        <v>3661</v>
      </c>
      <c r="V254" s="414" t="s">
        <v>3662</v>
      </c>
      <c r="W254" s="417" t="s">
        <v>3663</v>
      </c>
      <c r="X254" s="417"/>
      <c r="Y254" s="421" t="s">
        <v>3652</v>
      </c>
      <c r="Z254" s="421" t="s">
        <v>3652</v>
      </c>
      <c r="AA254" s="416" t="s">
        <v>4486</v>
      </c>
      <c r="AB254" s="414" t="s">
        <v>3664</v>
      </c>
      <c r="AC254" s="422"/>
      <c r="AD254" s="421"/>
      <c r="AE254" s="420"/>
      <c r="AF254" s="421">
        <v>90131</v>
      </c>
      <c r="AG254" s="420" t="s">
        <v>4490</v>
      </c>
      <c r="AH254" s="421" t="s">
        <v>3665</v>
      </c>
      <c r="AI254" s="420" t="s">
        <v>3719</v>
      </c>
      <c r="AJ254" s="413" t="str">
        <f t="shared" si="15"/>
        <v>4590004402_003</v>
      </c>
      <c r="AK254" s="423"/>
      <c r="AL254" s="424">
        <v>45047</v>
      </c>
      <c r="AM254" s="221">
        <v>1563.25</v>
      </c>
      <c r="AN254" s="226">
        <v>45153</v>
      </c>
      <c r="AO254" s="425" t="s">
        <v>4491</v>
      </c>
      <c r="AP254" s="424">
        <v>45555</v>
      </c>
      <c r="AQ254" s="221">
        <v>2344.87</v>
      </c>
      <c r="AR254" s="424"/>
      <c r="AS254" s="614">
        <f ca="1">表格1_6[[#This Row],[total amount]]/表格1_6[[#This Row],[PO$]]</f>
        <v>1</v>
      </c>
      <c r="AT254" s="223">
        <f ca="1">表格1_6[[#This Row],[invoice amount]]+表格1_6[[#This Row],[invoice amount2]]</f>
        <v>3908.12</v>
      </c>
      <c r="AU254" s="224" t="s">
        <v>3673</v>
      </c>
      <c r="AV254" s="423"/>
      <c r="AW254" s="423" t="e">
        <f ca="1">VLOOKUP(表格1_6[[#This Row],[TI tool ID2]],工作表1!A:A,1,FALSE)</f>
        <v>#N/A</v>
      </c>
      <c r="AX254" s="425" t="e">
        <f ca="1">VLOOKUP(表格1_6[[#This Row],[PO+ITEM]],工作表1!B:E,2,FALSE)</f>
        <v>#N/A</v>
      </c>
      <c r="AY254" s="425" t="e">
        <f ca="1">VLOOKUP(表格1_6[[#This Row],[PO+ITEM]],工作表1!B:E,3,FALSE)</f>
        <v>#N/A</v>
      </c>
      <c r="AZ254" s="423" t="e">
        <f ca="1">VLOOKUP(表格1_6[[#This Row],[PO+ITEM]],工作表1!B:E,4,FALSE)</f>
        <v>#N/A</v>
      </c>
      <c r="BA254" s="425" t="e">
        <f ca="1">INDEX(工作表1!G:G, MATCH(表格1_6[[#This Row],[invoice number]]&amp;表格1_6[[#This Row],[invoice number2]],工作表1!G:G, 0))</f>
        <v>#N/A</v>
      </c>
      <c r="BB254" s="423" t="e">
        <f ca="1">VLOOKUP(表格1_6[[#This Row],[PO+ITEM]],工作表1!F:H,2,FALSE)</f>
        <v>#N/A</v>
      </c>
    </row>
    <row r="255" spans="1:54" ht="15.6">
      <c r="A255" s="413">
        <v>254</v>
      </c>
      <c r="B255" s="413" t="s">
        <v>3674</v>
      </c>
      <c r="C255" s="414" t="s">
        <v>16</v>
      </c>
      <c r="D255" s="414" t="s">
        <v>3648</v>
      </c>
      <c r="E255" s="414"/>
      <c r="F255" s="414"/>
      <c r="G255" s="414"/>
      <c r="H255" s="414"/>
      <c r="I255" s="414"/>
      <c r="J255" s="414"/>
      <c r="K255" s="414"/>
      <c r="L255" s="415" t="s">
        <v>4492</v>
      </c>
      <c r="M255" s="416" t="s">
        <v>2999</v>
      </c>
      <c r="N255" s="416" t="s">
        <v>2999</v>
      </c>
      <c r="O255" s="417"/>
      <c r="P255" s="416">
        <v>4590004402</v>
      </c>
      <c r="Q255" s="418">
        <v>44801</v>
      </c>
      <c r="R255" s="419">
        <v>4</v>
      </c>
      <c r="S255" s="458">
        <v>3908.12</v>
      </c>
      <c r="T255" s="420" t="s">
        <v>2156</v>
      </c>
      <c r="U255" s="414" t="s">
        <v>3661</v>
      </c>
      <c r="V255" s="414" t="s">
        <v>3662</v>
      </c>
      <c r="W255" s="417" t="s">
        <v>3663</v>
      </c>
      <c r="X255" s="417"/>
      <c r="Y255" s="421" t="s">
        <v>3652</v>
      </c>
      <c r="Z255" s="421" t="s">
        <v>3652</v>
      </c>
      <c r="AA255" s="416" t="s">
        <v>4486</v>
      </c>
      <c r="AB255" s="414" t="s">
        <v>3664</v>
      </c>
      <c r="AC255" s="422"/>
      <c r="AD255" s="421"/>
      <c r="AE255" s="420"/>
      <c r="AF255" s="421">
        <v>90133</v>
      </c>
      <c r="AG255" s="420" t="s">
        <v>4493</v>
      </c>
      <c r="AH255" s="421" t="s">
        <v>3665</v>
      </c>
      <c r="AI255" s="420" t="s">
        <v>3719</v>
      </c>
      <c r="AJ255" s="413" t="str">
        <f t="shared" si="15"/>
        <v>4590004402_004</v>
      </c>
      <c r="AK255" s="423"/>
      <c r="AL255" s="424">
        <v>45047</v>
      </c>
      <c r="AM255" s="221">
        <v>1563.248</v>
      </c>
      <c r="AN255" s="226">
        <v>45153</v>
      </c>
      <c r="AO255" s="425" t="s">
        <v>4494</v>
      </c>
      <c r="AP255" s="424">
        <v>45548</v>
      </c>
      <c r="AQ255" s="273">
        <v>2344.87</v>
      </c>
      <c r="AR255" s="424"/>
      <c r="AS255" s="614">
        <f ca="1">表格1_6[[#This Row],[total amount]]/表格1_6[[#This Row],[PO$]]</f>
        <v>0.99999948824498741</v>
      </c>
      <c r="AT255" s="223">
        <f ca="1">表格1_6[[#This Row],[invoice amount]]+表格1_6[[#This Row],[invoice amount2]]</f>
        <v>3908.1179999999999</v>
      </c>
      <c r="AU255" s="224" t="s">
        <v>4371</v>
      </c>
      <c r="AV255" s="423"/>
      <c r="AW255" s="423" t="e">
        <f ca="1">VLOOKUP(表格1_6[[#This Row],[TI tool ID2]],工作表1!A:A,1,FALSE)</f>
        <v>#N/A</v>
      </c>
      <c r="AX255" s="425" t="e">
        <f ca="1">VLOOKUP(表格1_6[[#This Row],[PO+ITEM]],工作表1!B:E,2,FALSE)</f>
        <v>#N/A</v>
      </c>
      <c r="AY255" s="425" t="e">
        <f ca="1">VLOOKUP(表格1_6[[#This Row],[PO+ITEM]],工作表1!B:E,3,FALSE)</f>
        <v>#N/A</v>
      </c>
      <c r="AZ255" s="423" t="e">
        <f ca="1">VLOOKUP(表格1_6[[#This Row],[PO+ITEM]],工作表1!B:E,4,FALSE)</f>
        <v>#N/A</v>
      </c>
      <c r="BA255" s="425" t="e">
        <f ca="1">INDEX(工作表1!G:G, MATCH(表格1_6[[#This Row],[invoice number]]&amp;表格1_6[[#This Row],[invoice number2]],工作表1!G:G, 0))</f>
        <v>#N/A</v>
      </c>
      <c r="BB255" s="423" t="e">
        <f ca="1">VLOOKUP(表格1_6[[#This Row],[PO+ITEM]],工作表1!F:H,2,FALSE)</f>
        <v>#N/A</v>
      </c>
    </row>
    <row r="256" spans="1:54" ht="14.45">
      <c r="A256" s="413">
        <v>255</v>
      </c>
      <c r="B256" s="413" t="s">
        <v>3674</v>
      </c>
      <c r="C256" s="414" t="s">
        <v>16</v>
      </c>
      <c r="D256" s="414" t="s">
        <v>3648</v>
      </c>
      <c r="E256" s="414"/>
      <c r="F256" s="414"/>
      <c r="G256" s="414"/>
      <c r="H256" s="414"/>
      <c r="I256" s="414"/>
      <c r="J256" s="414"/>
      <c r="K256" s="414"/>
      <c r="L256" s="415" t="s">
        <v>4495</v>
      </c>
      <c r="M256" s="416" t="s">
        <v>2999</v>
      </c>
      <c r="N256" s="416" t="s">
        <v>2999</v>
      </c>
      <c r="O256" s="417"/>
      <c r="P256" s="416">
        <v>4590004402</v>
      </c>
      <c r="Q256" s="418">
        <v>44801</v>
      </c>
      <c r="R256" s="419">
        <v>5</v>
      </c>
      <c r="S256" s="458">
        <v>1369.77</v>
      </c>
      <c r="T256" s="420" t="s">
        <v>2156</v>
      </c>
      <c r="U256" s="414" t="s">
        <v>3661</v>
      </c>
      <c r="V256" s="414" t="s">
        <v>3662</v>
      </c>
      <c r="W256" s="417" t="s">
        <v>3663</v>
      </c>
      <c r="X256" s="417"/>
      <c r="Y256" s="421" t="s">
        <v>3652</v>
      </c>
      <c r="Z256" s="421" t="s">
        <v>3652</v>
      </c>
      <c r="AA256" s="416" t="s">
        <v>4482</v>
      </c>
      <c r="AB256" s="414" t="s">
        <v>3664</v>
      </c>
      <c r="AC256" s="422"/>
      <c r="AD256" s="421"/>
      <c r="AE256" s="420"/>
      <c r="AF256" s="421">
        <v>90489</v>
      </c>
      <c r="AG256" s="420" t="s">
        <v>4496</v>
      </c>
      <c r="AH256" s="421" t="s">
        <v>3665</v>
      </c>
      <c r="AI256" s="420" t="s">
        <v>3719</v>
      </c>
      <c r="AJ256" s="413" t="str">
        <f t="shared" si="15"/>
        <v>4590004402_005</v>
      </c>
      <c r="AK256" s="423"/>
      <c r="AL256" s="424">
        <v>45108</v>
      </c>
      <c r="AM256" s="221">
        <v>547.90800000000002</v>
      </c>
      <c r="AN256" s="424">
        <v>45229</v>
      </c>
      <c r="AO256" s="423" t="s">
        <v>4497</v>
      </c>
      <c r="AP256" s="424">
        <v>45506</v>
      </c>
      <c r="AQ256" s="222">
        <v>821.86</v>
      </c>
      <c r="AR256" s="424">
        <v>45565</v>
      </c>
      <c r="AS256" s="614">
        <f ca="1">表格1_6[[#This Row],[total amount]]/表格1_6[[#This Row],[PO$]]</f>
        <v>0.9999985399008593</v>
      </c>
      <c r="AT256" s="223">
        <f ca="1">表格1_6[[#This Row],[invoice amount]]+表格1_6[[#This Row],[invoice amount2]]</f>
        <v>1369.768</v>
      </c>
      <c r="AU256" s="224" t="s">
        <v>3725</v>
      </c>
      <c r="AV256" s="423"/>
      <c r="AW256" s="423" t="e">
        <f ca="1">VLOOKUP(表格1_6[[#This Row],[TI tool ID2]],工作表1!A:A,1,FALSE)</f>
        <v>#N/A</v>
      </c>
      <c r="AX256" s="425" t="e">
        <f ca="1">VLOOKUP(表格1_6[[#This Row],[PO+ITEM]],工作表1!B:E,2,FALSE)</f>
        <v>#N/A</v>
      </c>
      <c r="AY256" s="425" t="e">
        <f ca="1">VLOOKUP(表格1_6[[#This Row],[PO+ITEM]],工作表1!B:E,3,FALSE)</f>
        <v>#N/A</v>
      </c>
      <c r="AZ256" s="423" t="e">
        <f ca="1">VLOOKUP(表格1_6[[#This Row],[PO+ITEM]],工作表1!B:E,4,FALSE)</f>
        <v>#N/A</v>
      </c>
      <c r="BA256" s="425" t="e">
        <f ca="1">INDEX(工作表1!G:G, MATCH(表格1_6[[#This Row],[invoice number]]&amp;表格1_6[[#This Row],[invoice number2]],工作表1!G:G, 0))</f>
        <v>#N/A</v>
      </c>
      <c r="BB256" s="423" t="e">
        <f ca="1">VLOOKUP(表格1_6[[#This Row],[PO+ITEM]],工作表1!F:H,2,FALSE)</f>
        <v>#N/A</v>
      </c>
    </row>
    <row r="257" spans="1:54" ht="14.45">
      <c r="A257" s="413">
        <v>256</v>
      </c>
      <c r="B257" s="413" t="s">
        <v>3674</v>
      </c>
      <c r="C257" s="414" t="s">
        <v>16</v>
      </c>
      <c r="D257" s="414" t="s">
        <v>3648</v>
      </c>
      <c r="E257" s="414"/>
      <c r="F257" s="414"/>
      <c r="G257" s="414"/>
      <c r="H257" s="414"/>
      <c r="I257" s="414"/>
      <c r="J257" s="414"/>
      <c r="K257" s="414"/>
      <c r="L257" s="415" t="s">
        <v>4498</v>
      </c>
      <c r="M257" s="416" t="s">
        <v>2999</v>
      </c>
      <c r="N257" s="416" t="s">
        <v>2999</v>
      </c>
      <c r="O257" s="417"/>
      <c r="P257" s="416">
        <v>4590004402</v>
      </c>
      <c r="Q257" s="418">
        <v>44801</v>
      </c>
      <c r="R257" s="419">
        <v>6</v>
      </c>
      <c r="S257" s="458">
        <v>1369.77</v>
      </c>
      <c r="T257" s="420" t="s">
        <v>2156</v>
      </c>
      <c r="U257" s="414" t="s">
        <v>3661</v>
      </c>
      <c r="V257" s="414" t="s">
        <v>3662</v>
      </c>
      <c r="W257" s="417" t="s">
        <v>3663</v>
      </c>
      <c r="X257" s="417"/>
      <c r="Y257" s="421" t="s">
        <v>3652</v>
      </c>
      <c r="Z257" s="421" t="s">
        <v>3652</v>
      </c>
      <c r="AA257" s="416" t="s">
        <v>4482</v>
      </c>
      <c r="AB257" s="414" t="s">
        <v>3664</v>
      </c>
      <c r="AC257" s="422"/>
      <c r="AD257" s="421"/>
      <c r="AE257" s="420"/>
      <c r="AF257" s="421">
        <v>90082</v>
      </c>
      <c r="AG257" s="420" t="s">
        <v>4499</v>
      </c>
      <c r="AH257" s="421" t="s">
        <v>3665</v>
      </c>
      <c r="AI257" s="420" t="s">
        <v>3719</v>
      </c>
      <c r="AJ257" s="413" t="str">
        <f t="shared" si="15"/>
        <v>4590004402_006</v>
      </c>
      <c r="AK257" s="423"/>
      <c r="AL257" s="424">
        <v>45047</v>
      </c>
      <c r="AM257" s="221">
        <v>547.90800000000002</v>
      </c>
      <c r="AN257" s="424">
        <v>45153</v>
      </c>
      <c r="AO257" s="423" t="s">
        <v>4500</v>
      </c>
      <c r="AP257" s="424">
        <v>45527</v>
      </c>
      <c r="AQ257" s="222">
        <v>821.86199999999997</v>
      </c>
      <c r="AR257" s="424" t="s">
        <v>3805</v>
      </c>
      <c r="AS257" s="614">
        <f ca="1">表格1_6[[#This Row],[total amount]]/表格1_6[[#This Row],[PO$]]</f>
        <v>1</v>
      </c>
      <c r="AT257" s="223">
        <f ca="1">表格1_6[[#This Row],[invoice amount]]+表格1_6[[#This Row],[invoice amount2]]</f>
        <v>1369.77</v>
      </c>
      <c r="AU257" s="224" t="s">
        <v>4235</v>
      </c>
      <c r="AV257" s="423"/>
      <c r="AW257" s="423" t="e">
        <f ca="1">VLOOKUP(表格1_6[[#This Row],[TI tool ID2]],工作表1!A:A,1,FALSE)</f>
        <v>#N/A</v>
      </c>
      <c r="AX257" s="425" t="e">
        <f ca="1">VLOOKUP(表格1_6[[#This Row],[PO+ITEM]],工作表1!B:E,2,FALSE)</f>
        <v>#N/A</v>
      </c>
      <c r="AY257" s="425" t="e">
        <f ca="1">VLOOKUP(表格1_6[[#This Row],[PO+ITEM]],工作表1!B:E,3,FALSE)</f>
        <v>#N/A</v>
      </c>
      <c r="AZ257" s="423" t="e">
        <f ca="1">VLOOKUP(表格1_6[[#This Row],[PO+ITEM]],工作表1!B:E,4,FALSE)</f>
        <v>#N/A</v>
      </c>
      <c r="BA257" s="425" t="e">
        <f ca="1">INDEX(工作表1!G:G, MATCH(表格1_6[[#This Row],[invoice number]]&amp;表格1_6[[#This Row],[invoice number2]],工作表1!G:G, 0))</f>
        <v>#N/A</v>
      </c>
      <c r="BB257" s="423" t="e">
        <f ca="1">VLOOKUP(表格1_6[[#This Row],[PO+ITEM]],工作表1!F:H,2,FALSE)</f>
        <v>#N/A</v>
      </c>
    </row>
    <row r="258" spans="1:54" ht="14.45">
      <c r="A258" s="413">
        <v>257</v>
      </c>
      <c r="B258" s="413" t="s">
        <v>3659</v>
      </c>
      <c r="C258" s="414" t="s">
        <v>16</v>
      </c>
      <c r="D258" s="414" t="s">
        <v>3648</v>
      </c>
      <c r="E258" s="414"/>
      <c r="F258" s="414"/>
      <c r="G258" s="414"/>
      <c r="H258" s="414"/>
      <c r="I258" s="414"/>
      <c r="J258" s="414"/>
      <c r="K258" s="414"/>
      <c r="L258" s="415" t="s">
        <v>4501</v>
      </c>
      <c r="M258" s="416" t="s">
        <v>2999</v>
      </c>
      <c r="N258" s="416" t="s">
        <v>2999</v>
      </c>
      <c r="O258" s="417"/>
      <c r="P258" s="416">
        <v>4590004402</v>
      </c>
      <c r="Q258" s="418">
        <v>44801</v>
      </c>
      <c r="R258" s="419">
        <v>7</v>
      </c>
      <c r="S258" s="458">
        <v>1369.77</v>
      </c>
      <c r="T258" s="420" t="s">
        <v>2156</v>
      </c>
      <c r="U258" s="414" t="s">
        <v>3661</v>
      </c>
      <c r="V258" s="414" t="s">
        <v>3662</v>
      </c>
      <c r="W258" s="417" t="s">
        <v>3663</v>
      </c>
      <c r="X258" s="417"/>
      <c r="Y258" s="421" t="s">
        <v>3652</v>
      </c>
      <c r="Z258" s="421" t="s">
        <v>3652</v>
      </c>
      <c r="AA258" s="416" t="s">
        <v>4482</v>
      </c>
      <c r="AB258" s="414" t="s">
        <v>3664</v>
      </c>
      <c r="AC258" s="422"/>
      <c r="AD258" s="421"/>
      <c r="AE258" s="420"/>
      <c r="AF258" s="421">
        <v>90083</v>
      </c>
      <c r="AG258" s="420" t="s">
        <v>4502</v>
      </c>
      <c r="AH258" s="421" t="s">
        <v>3665</v>
      </c>
      <c r="AI258" s="420" t="s">
        <v>3719</v>
      </c>
      <c r="AJ258" s="413" t="str">
        <f t="shared" si="15"/>
        <v>4590004402_007</v>
      </c>
      <c r="AK258" s="423"/>
      <c r="AL258" s="424">
        <v>45047</v>
      </c>
      <c r="AM258" s="221">
        <v>547.90800000000002</v>
      </c>
      <c r="AN258" s="424">
        <v>45153</v>
      </c>
      <c r="AO258" s="423"/>
      <c r="AP258" s="413"/>
      <c r="AQ258" s="222"/>
      <c r="AR258" s="424"/>
      <c r="AS258" s="614">
        <f ca="1">表格1_6[[#This Row],[total amount]]/表格1_6[[#This Row],[PO$]]</f>
        <v>0.4</v>
      </c>
      <c r="AT258" s="223">
        <f ca="1">表格1_6[[#This Row],[invoice amount]]+表格1_6[[#This Row],[invoice amount2]]</f>
        <v>547.90800000000002</v>
      </c>
      <c r="AU258" s="224" t="s">
        <v>3673</v>
      </c>
      <c r="AV258" s="423"/>
      <c r="AW258" s="423" t="e">
        <f ca="1">VLOOKUP(表格1_6[[#This Row],[TI tool ID2]],工作表1!A:A,1,FALSE)</f>
        <v>#N/A</v>
      </c>
      <c r="AX258" s="425" t="e">
        <f ca="1">VLOOKUP(表格1_6[[#This Row],[PO+ITEM]],工作表1!B:E,2,FALSE)</f>
        <v>#N/A</v>
      </c>
      <c r="AY258" s="425" t="e">
        <f ca="1">VLOOKUP(表格1_6[[#This Row],[PO+ITEM]],工作表1!B:E,3,FALSE)</f>
        <v>#N/A</v>
      </c>
      <c r="AZ258" s="423" t="e">
        <f ca="1">VLOOKUP(表格1_6[[#This Row],[PO+ITEM]],工作表1!B:E,4,FALSE)</f>
        <v>#N/A</v>
      </c>
      <c r="BA258" s="425" t="e">
        <f ca="1">INDEX(工作表1!G:G, MATCH(表格1_6[[#This Row],[invoice number]]&amp;表格1_6[[#This Row],[invoice number2]],工作表1!G:G, 0))</f>
        <v>#N/A</v>
      </c>
      <c r="BB258" s="423" t="e">
        <f ca="1">VLOOKUP(表格1_6[[#This Row],[PO+ITEM]],工作表1!F:H,2,FALSE)</f>
        <v>#N/A</v>
      </c>
    </row>
    <row r="259" spans="1:54" ht="14.45">
      <c r="A259" s="413">
        <v>258</v>
      </c>
      <c r="B259" s="413" t="s">
        <v>3674</v>
      </c>
      <c r="C259" s="414" t="s">
        <v>16</v>
      </c>
      <c r="D259" s="414" t="s">
        <v>3648</v>
      </c>
      <c r="E259" s="414"/>
      <c r="F259" s="414"/>
      <c r="G259" s="414"/>
      <c r="H259" s="414"/>
      <c r="I259" s="414"/>
      <c r="J259" s="414"/>
      <c r="K259" s="414"/>
      <c r="L259" s="415" t="s">
        <v>4503</v>
      </c>
      <c r="M259" s="416" t="s">
        <v>2999</v>
      </c>
      <c r="N259" s="416" t="s">
        <v>2999</v>
      </c>
      <c r="O259" s="417"/>
      <c r="P259" s="416">
        <v>4590004402</v>
      </c>
      <c r="Q259" s="418">
        <v>44801</v>
      </c>
      <c r="R259" s="419">
        <v>8</v>
      </c>
      <c r="S259" s="458">
        <v>1369.77</v>
      </c>
      <c r="T259" s="420" t="s">
        <v>2156</v>
      </c>
      <c r="U259" s="414" t="s">
        <v>3661</v>
      </c>
      <c r="V259" s="414" t="s">
        <v>3662</v>
      </c>
      <c r="W259" s="417" t="s">
        <v>3663</v>
      </c>
      <c r="X259" s="417"/>
      <c r="Y259" s="421" t="s">
        <v>3652</v>
      </c>
      <c r="Z259" s="421" t="s">
        <v>3652</v>
      </c>
      <c r="AA259" s="416" t="s">
        <v>4482</v>
      </c>
      <c r="AB259" s="414" t="s">
        <v>3664</v>
      </c>
      <c r="AC259" s="422"/>
      <c r="AD259" s="421"/>
      <c r="AE259" s="420"/>
      <c r="AF259" s="421">
        <v>90084</v>
      </c>
      <c r="AG259" s="420" t="s">
        <v>4150</v>
      </c>
      <c r="AH259" s="421" t="s">
        <v>3665</v>
      </c>
      <c r="AI259" s="420" t="s">
        <v>3719</v>
      </c>
      <c r="AJ259" s="413" t="str">
        <f t="shared" si="15"/>
        <v>4590004402_008</v>
      </c>
      <c r="AK259" s="423"/>
      <c r="AL259" s="424">
        <v>45047</v>
      </c>
      <c r="AM259" s="221">
        <v>547.90800000000002</v>
      </c>
      <c r="AN259" s="424">
        <v>45153</v>
      </c>
      <c r="AO259" s="423" t="s">
        <v>4504</v>
      </c>
      <c r="AP259" s="424">
        <v>45506</v>
      </c>
      <c r="AQ259" s="222">
        <v>821.86</v>
      </c>
      <c r="AR259" s="424">
        <v>45565</v>
      </c>
      <c r="AS259" s="614">
        <f ca="1">表格1_6[[#This Row],[total amount]]/表格1_6[[#This Row],[PO$]]</f>
        <v>0.9999985399008593</v>
      </c>
      <c r="AT259" s="223">
        <f ca="1">表格1_6[[#This Row],[invoice amount]]+表格1_6[[#This Row],[invoice amount2]]</f>
        <v>1369.768</v>
      </c>
      <c r="AU259" s="224" t="s">
        <v>3725</v>
      </c>
      <c r="AV259" s="423"/>
      <c r="AW259" s="423" t="e">
        <f ca="1">VLOOKUP(表格1_6[[#This Row],[TI tool ID2]],工作表1!A:A,1,FALSE)</f>
        <v>#N/A</v>
      </c>
      <c r="AX259" s="425" t="e">
        <f ca="1">VLOOKUP(表格1_6[[#This Row],[PO+ITEM]],工作表1!B:E,2,FALSE)</f>
        <v>#N/A</v>
      </c>
      <c r="AY259" s="425" t="e">
        <f ca="1">VLOOKUP(表格1_6[[#This Row],[PO+ITEM]],工作表1!B:E,3,FALSE)</f>
        <v>#N/A</v>
      </c>
      <c r="AZ259" s="423" t="e">
        <f ca="1">VLOOKUP(表格1_6[[#This Row],[PO+ITEM]],工作表1!B:E,4,FALSE)</f>
        <v>#N/A</v>
      </c>
      <c r="BA259" s="425" t="e">
        <f ca="1">INDEX(工作表1!G:G, MATCH(表格1_6[[#This Row],[invoice number]]&amp;表格1_6[[#This Row],[invoice number2]],工作表1!G:G, 0))</f>
        <v>#N/A</v>
      </c>
      <c r="BB259" s="423" t="e">
        <f ca="1">VLOOKUP(表格1_6[[#This Row],[PO+ITEM]],工作表1!F:H,2,FALSE)</f>
        <v>#N/A</v>
      </c>
    </row>
    <row r="260" spans="1:54" ht="14.45">
      <c r="A260" s="413">
        <v>259</v>
      </c>
      <c r="B260" s="413" t="s">
        <v>3674</v>
      </c>
      <c r="C260" s="414" t="s">
        <v>16</v>
      </c>
      <c r="D260" s="414" t="s">
        <v>3648</v>
      </c>
      <c r="E260" s="414"/>
      <c r="F260" s="414"/>
      <c r="G260" s="414"/>
      <c r="H260" s="414"/>
      <c r="I260" s="414"/>
      <c r="J260" s="414"/>
      <c r="K260" s="414"/>
      <c r="L260" s="415" t="s">
        <v>4505</v>
      </c>
      <c r="M260" s="416" t="s">
        <v>2999</v>
      </c>
      <c r="N260" s="416" t="s">
        <v>2999</v>
      </c>
      <c r="O260" s="417"/>
      <c r="P260" s="416">
        <v>4590004402</v>
      </c>
      <c r="Q260" s="418">
        <v>44801</v>
      </c>
      <c r="R260" s="419">
        <v>9</v>
      </c>
      <c r="S260" s="544">
        <v>1369.77</v>
      </c>
      <c r="T260" s="420" t="s">
        <v>2156</v>
      </c>
      <c r="U260" s="414" t="s">
        <v>3661</v>
      </c>
      <c r="V260" s="414" t="s">
        <v>3662</v>
      </c>
      <c r="W260" s="417" t="s">
        <v>3663</v>
      </c>
      <c r="X260" s="417"/>
      <c r="Y260" s="421" t="s">
        <v>3652</v>
      </c>
      <c r="Z260" s="421" t="s">
        <v>3652</v>
      </c>
      <c r="AA260" s="416" t="s">
        <v>4482</v>
      </c>
      <c r="AB260" s="414" t="s">
        <v>3664</v>
      </c>
      <c r="AC260" s="422"/>
      <c r="AD260" s="421"/>
      <c r="AE260" s="420"/>
      <c r="AF260" s="421">
        <v>90299</v>
      </c>
      <c r="AG260" s="420" t="s">
        <v>4506</v>
      </c>
      <c r="AH260" s="421" t="s">
        <v>3665</v>
      </c>
      <c r="AI260" s="420" t="s">
        <v>3719</v>
      </c>
      <c r="AJ260" s="413" t="str">
        <f t="shared" si="15"/>
        <v>4590004402_009</v>
      </c>
      <c r="AK260" s="423"/>
      <c r="AL260" s="424">
        <v>45047</v>
      </c>
      <c r="AM260" s="221">
        <v>547.90800000000002</v>
      </c>
      <c r="AN260" s="424">
        <v>45153</v>
      </c>
      <c r="AO260" s="425" t="s">
        <v>4507</v>
      </c>
      <c r="AP260" s="424">
        <v>45520</v>
      </c>
      <c r="AQ260" s="222">
        <v>821.86199999999997</v>
      </c>
      <c r="AR260" s="424" t="s">
        <v>3805</v>
      </c>
      <c r="AS260" s="614">
        <f ca="1">表格1_6[[#This Row],[total amount]]/表格1_6[[#This Row],[PO$]]</f>
        <v>1</v>
      </c>
      <c r="AT260" s="223">
        <f ca="1">表格1_6[[#This Row],[invoice amount]]+表格1_6[[#This Row],[invoice amount2]]</f>
        <v>1369.77</v>
      </c>
      <c r="AU260" s="224" t="s">
        <v>4371</v>
      </c>
      <c r="AV260" s="423"/>
      <c r="AW260" s="423" t="e">
        <f ca="1">VLOOKUP(表格1_6[[#This Row],[TI tool ID2]],工作表1!A:A,1,FALSE)</f>
        <v>#N/A</v>
      </c>
      <c r="AX260" s="425" t="e">
        <f ca="1">VLOOKUP(表格1_6[[#This Row],[PO+ITEM]],工作表1!B:E,2,FALSE)</f>
        <v>#N/A</v>
      </c>
      <c r="AY260" s="425" t="e">
        <f ca="1">VLOOKUP(表格1_6[[#This Row],[PO+ITEM]],工作表1!B:E,3,FALSE)</f>
        <v>#N/A</v>
      </c>
      <c r="AZ260" s="423" t="e">
        <f ca="1">VLOOKUP(表格1_6[[#This Row],[PO+ITEM]],工作表1!B:E,4,FALSE)</f>
        <v>#N/A</v>
      </c>
      <c r="BA260" s="425" t="e">
        <f ca="1">INDEX(工作表1!G:G, MATCH(表格1_6[[#This Row],[invoice number]]&amp;表格1_6[[#This Row],[invoice number2]],工作表1!G:G, 0))</f>
        <v>#N/A</v>
      </c>
      <c r="BB260" s="423" t="e">
        <f ca="1">VLOOKUP(表格1_6[[#This Row],[PO+ITEM]],工作表1!F:H,2,FALSE)</f>
        <v>#N/A</v>
      </c>
    </row>
    <row r="261" spans="1:54" ht="14.45">
      <c r="A261" s="413">
        <v>260</v>
      </c>
      <c r="B261" s="413" t="s">
        <v>3674</v>
      </c>
      <c r="C261" s="414" t="s">
        <v>16</v>
      </c>
      <c r="D261" s="414" t="s">
        <v>3648</v>
      </c>
      <c r="E261" s="414"/>
      <c r="F261" s="414"/>
      <c r="G261" s="414"/>
      <c r="H261" s="414"/>
      <c r="I261" s="414"/>
      <c r="J261" s="414"/>
      <c r="K261" s="414"/>
      <c r="L261" s="415" t="s">
        <v>4508</v>
      </c>
      <c r="M261" s="416" t="s">
        <v>2999</v>
      </c>
      <c r="N261" s="416" t="s">
        <v>2999</v>
      </c>
      <c r="O261" s="417"/>
      <c r="P261" s="416">
        <v>4590004402</v>
      </c>
      <c r="Q261" s="418">
        <v>44801</v>
      </c>
      <c r="R261" s="419">
        <v>10</v>
      </c>
      <c r="S261" s="458">
        <v>1369.77</v>
      </c>
      <c r="T261" s="420" t="s">
        <v>2156</v>
      </c>
      <c r="U261" s="414" t="s">
        <v>3661</v>
      </c>
      <c r="V261" s="414" t="s">
        <v>3662</v>
      </c>
      <c r="W261" s="417" t="s">
        <v>3663</v>
      </c>
      <c r="X261" s="417"/>
      <c r="Y261" s="421" t="s">
        <v>3652</v>
      </c>
      <c r="Z261" s="421" t="s">
        <v>3652</v>
      </c>
      <c r="AA261" s="416" t="s">
        <v>4482</v>
      </c>
      <c r="AB261" s="414" t="s">
        <v>3664</v>
      </c>
      <c r="AC261" s="422"/>
      <c r="AD261" s="421"/>
      <c r="AE261" s="420"/>
      <c r="AF261" s="421">
        <v>90298</v>
      </c>
      <c r="AG261" s="420" t="s">
        <v>4509</v>
      </c>
      <c r="AH261" s="421" t="s">
        <v>3665</v>
      </c>
      <c r="AI261" s="420" t="s">
        <v>3719</v>
      </c>
      <c r="AJ261" s="413" t="str">
        <f>P261&amp;"_0"&amp;R261</f>
        <v>4590004402_010</v>
      </c>
      <c r="AK261" s="423"/>
      <c r="AL261" s="424">
        <v>45047</v>
      </c>
      <c r="AM261" s="221">
        <v>547.90800000000002</v>
      </c>
      <c r="AN261" s="424">
        <v>45153</v>
      </c>
      <c r="AO261" s="423" t="s">
        <v>4510</v>
      </c>
      <c r="AP261" s="559">
        <v>45498</v>
      </c>
      <c r="AQ261" s="298">
        <v>821.86</v>
      </c>
      <c r="AR261" s="424">
        <v>45565</v>
      </c>
      <c r="AS261" s="614">
        <f ca="1">表格1_6[[#This Row],[total amount]]/表格1_6[[#This Row],[PO$]]</f>
        <v>0.9999985399008593</v>
      </c>
      <c r="AT261" s="223">
        <f ca="1">表格1_6[[#This Row],[invoice amount]]+表格1_6[[#This Row],[invoice amount2]]</f>
        <v>1369.768</v>
      </c>
      <c r="AU261" s="224" t="s">
        <v>3725</v>
      </c>
      <c r="AV261" s="423"/>
      <c r="AW261" s="423" t="e">
        <f ca="1">VLOOKUP(表格1_6[[#This Row],[TI tool ID2]],工作表1!A:A,1,FALSE)</f>
        <v>#N/A</v>
      </c>
      <c r="AX261" s="425" t="e">
        <f ca="1">VLOOKUP(表格1_6[[#This Row],[PO+ITEM]],工作表1!B:E,2,FALSE)</f>
        <v>#N/A</v>
      </c>
      <c r="AY261" s="425" t="e">
        <f ca="1">VLOOKUP(表格1_6[[#This Row],[PO+ITEM]],工作表1!B:E,3,FALSE)</f>
        <v>#N/A</v>
      </c>
      <c r="AZ261" s="423" t="e">
        <f ca="1">VLOOKUP(表格1_6[[#This Row],[PO+ITEM]],工作表1!B:E,4,FALSE)</f>
        <v>#N/A</v>
      </c>
      <c r="BA261" s="425" t="e">
        <f ca="1">INDEX(工作表1!G:G, MATCH(表格1_6[[#This Row],[invoice number]]&amp;表格1_6[[#This Row],[invoice number2]],工作表1!G:G, 0))</f>
        <v>#N/A</v>
      </c>
      <c r="BB261" s="423" t="e">
        <f ca="1">VLOOKUP(表格1_6[[#This Row],[PO+ITEM]],工作表1!F:H,2,FALSE)</f>
        <v>#N/A</v>
      </c>
    </row>
    <row r="262" spans="1:54" ht="15.6">
      <c r="A262" s="413">
        <v>261</v>
      </c>
      <c r="B262" s="413" t="s">
        <v>3674</v>
      </c>
      <c r="C262" s="414" t="s">
        <v>16</v>
      </c>
      <c r="D262" s="414" t="s">
        <v>3648</v>
      </c>
      <c r="E262" s="414"/>
      <c r="F262" s="414"/>
      <c r="G262" s="414"/>
      <c r="H262" s="414"/>
      <c r="I262" s="414"/>
      <c r="J262" s="414"/>
      <c r="K262" s="414"/>
      <c r="L262" s="420" t="s">
        <v>4511</v>
      </c>
      <c r="M262" s="416" t="s">
        <v>2206</v>
      </c>
      <c r="N262" s="416" t="s">
        <v>2999</v>
      </c>
      <c r="O262" s="417"/>
      <c r="P262" s="416">
        <v>4590004402</v>
      </c>
      <c r="Q262" s="418">
        <v>44801</v>
      </c>
      <c r="R262" s="419">
        <v>11</v>
      </c>
      <c r="S262" s="458">
        <v>3806.44</v>
      </c>
      <c r="T262" s="420" t="s">
        <v>2156</v>
      </c>
      <c r="U262" s="414" t="s">
        <v>3661</v>
      </c>
      <c r="V262" s="414" t="s">
        <v>3662</v>
      </c>
      <c r="W262" s="417" t="s">
        <v>3663</v>
      </c>
      <c r="X262" s="417"/>
      <c r="Y262" s="421" t="s">
        <v>3652</v>
      </c>
      <c r="Z262" s="421" t="s">
        <v>3652</v>
      </c>
      <c r="AA262" s="416" t="s">
        <v>4486</v>
      </c>
      <c r="AB262" s="414" t="s">
        <v>3664</v>
      </c>
      <c r="AC262" s="422"/>
      <c r="AD262" s="421"/>
      <c r="AE262" s="420"/>
      <c r="AF262" s="421">
        <v>90155</v>
      </c>
      <c r="AG262" s="420" t="s">
        <v>2571</v>
      </c>
      <c r="AH262" s="421" t="s">
        <v>3665</v>
      </c>
      <c r="AI262" s="420" t="s">
        <v>846</v>
      </c>
      <c r="AJ262" s="413" t="str">
        <f>P262&amp;"_0"&amp;R262</f>
        <v>4590004402_011</v>
      </c>
      <c r="AK262" s="423"/>
      <c r="AL262" s="424">
        <v>45047</v>
      </c>
      <c r="AM262" s="221">
        <v>1522.576</v>
      </c>
      <c r="AN262" s="226">
        <v>45153</v>
      </c>
      <c r="AO262" s="423"/>
      <c r="AP262" s="413"/>
      <c r="AQ262" s="222"/>
      <c r="AR262" s="424"/>
      <c r="AS262" s="614">
        <f ca="1">表格1_6[[#This Row],[total amount]]/表格1_6[[#This Row],[PO$]]</f>
        <v>0.4</v>
      </c>
      <c r="AT262" s="223">
        <f ca="1">表格1_6[[#This Row],[invoice amount]]+表格1_6[[#This Row],[invoice amount2]]</f>
        <v>1522.576</v>
      </c>
      <c r="AU262" s="224" t="s">
        <v>3673</v>
      </c>
      <c r="AV262" s="423"/>
      <c r="AW262" s="423" t="e">
        <f ca="1">VLOOKUP(表格1_6[[#This Row],[TI tool ID2]],工作表1!A:A,1,FALSE)</f>
        <v>#N/A</v>
      </c>
      <c r="AX262" s="425" t="e">
        <f ca="1">VLOOKUP(表格1_6[[#This Row],[PO+ITEM]],工作表1!B:E,2,FALSE)</f>
        <v>#N/A</v>
      </c>
      <c r="AY262" s="425" t="e">
        <f ca="1">VLOOKUP(表格1_6[[#This Row],[PO+ITEM]],工作表1!B:E,3,FALSE)</f>
        <v>#N/A</v>
      </c>
      <c r="AZ262" s="423" t="e">
        <f ca="1">VLOOKUP(表格1_6[[#This Row],[PO+ITEM]],工作表1!B:E,4,FALSE)</f>
        <v>#N/A</v>
      </c>
      <c r="BA262" s="425" t="e">
        <f ca="1">INDEX(工作表1!G:G, MATCH(表格1_6[[#This Row],[invoice number]]&amp;表格1_6[[#This Row],[invoice number2]],工作表1!G:G, 0))</f>
        <v>#N/A</v>
      </c>
      <c r="BB262" s="423" t="e">
        <f ca="1">VLOOKUP(表格1_6[[#This Row],[PO+ITEM]],工作表1!F:H,2,FALSE)</f>
        <v>#N/A</v>
      </c>
    </row>
    <row r="263" spans="1:54">
      <c r="A263" s="413">
        <v>262</v>
      </c>
      <c r="B263" s="413" t="s">
        <v>3674</v>
      </c>
      <c r="C263" s="414" t="s">
        <v>16</v>
      </c>
      <c r="D263" s="414" t="s">
        <v>3648</v>
      </c>
      <c r="E263" s="414"/>
      <c r="F263" s="414"/>
      <c r="G263" s="414"/>
      <c r="H263" s="414"/>
      <c r="I263" s="414"/>
      <c r="J263" s="414"/>
      <c r="K263" s="414"/>
      <c r="L263" s="415" t="s">
        <v>4512</v>
      </c>
      <c r="M263" s="416" t="s">
        <v>2206</v>
      </c>
      <c r="N263" s="416" t="s">
        <v>2999</v>
      </c>
      <c r="O263" s="417"/>
      <c r="P263" s="416">
        <v>4590004402</v>
      </c>
      <c r="Q263" s="418">
        <v>44801</v>
      </c>
      <c r="R263" s="419">
        <v>12</v>
      </c>
      <c r="S263" s="458">
        <v>1369.77</v>
      </c>
      <c r="T263" s="420" t="s">
        <v>2156</v>
      </c>
      <c r="U263" s="414" t="s">
        <v>3661</v>
      </c>
      <c r="V263" s="414" t="s">
        <v>3662</v>
      </c>
      <c r="W263" s="417" t="s">
        <v>3663</v>
      </c>
      <c r="X263" s="417"/>
      <c r="Y263" s="421" t="s">
        <v>3652</v>
      </c>
      <c r="Z263" s="421" t="s">
        <v>3652</v>
      </c>
      <c r="AA263" s="416" t="s">
        <v>4486</v>
      </c>
      <c r="AB263" s="414" t="s">
        <v>3664</v>
      </c>
      <c r="AC263" s="422"/>
      <c r="AD263" s="421"/>
      <c r="AE263" s="420"/>
      <c r="AF263" s="421">
        <v>90394</v>
      </c>
      <c r="AG263" s="420" t="s">
        <v>2598</v>
      </c>
      <c r="AH263" s="421" t="s">
        <v>3665</v>
      </c>
      <c r="AI263" s="420" t="s">
        <v>846</v>
      </c>
      <c r="AJ263" s="413" t="str">
        <f>P263&amp;"_0"&amp;R263</f>
        <v>4590004402_012</v>
      </c>
      <c r="AK263" s="423"/>
      <c r="AL263" s="424">
        <v>45047</v>
      </c>
      <c r="AM263" s="221">
        <v>547.90800000000002</v>
      </c>
      <c r="AN263" s="424">
        <v>45153</v>
      </c>
      <c r="AO263" s="423"/>
      <c r="AP263" s="413"/>
      <c r="AQ263" s="222"/>
      <c r="AR263" s="424"/>
      <c r="AS263" s="614">
        <f ca="1">表格1_6[[#This Row],[total amount]]/表格1_6[[#This Row],[PO$]]</f>
        <v>0.4</v>
      </c>
      <c r="AT263" s="223">
        <f ca="1">表格1_6[[#This Row],[invoice amount]]+表格1_6[[#This Row],[invoice amount2]]</f>
        <v>547.90800000000002</v>
      </c>
      <c r="AU263" s="224" t="s">
        <v>3673</v>
      </c>
      <c r="AV263" s="423"/>
      <c r="AW263" s="423" t="e">
        <f ca="1">VLOOKUP(表格1_6[[#This Row],[TI tool ID2]],工作表1!A:A,1,FALSE)</f>
        <v>#N/A</v>
      </c>
      <c r="AX263" s="425" t="e">
        <f ca="1">VLOOKUP(表格1_6[[#This Row],[PO+ITEM]],工作表1!B:E,2,FALSE)</f>
        <v>#N/A</v>
      </c>
      <c r="AY263" s="425" t="e">
        <f ca="1">VLOOKUP(表格1_6[[#This Row],[PO+ITEM]],工作表1!B:E,3,FALSE)</f>
        <v>#N/A</v>
      </c>
      <c r="AZ263" s="423" t="e">
        <f ca="1">VLOOKUP(表格1_6[[#This Row],[PO+ITEM]],工作表1!B:E,4,FALSE)</f>
        <v>#N/A</v>
      </c>
      <c r="BA263" s="425" t="e">
        <f ca="1">INDEX(工作表1!G:G, MATCH(表格1_6[[#This Row],[invoice number]]&amp;表格1_6[[#This Row],[invoice number2]],工作表1!G:G, 0))</f>
        <v>#N/A</v>
      </c>
      <c r="BB263" s="423" t="e">
        <f ca="1">VLOOKUP(表格1_6[[#This Row],[PO+ITEM]],工作表1!F:H,2,FALSE)</f>
        <v>#N/A</v>
      </c>
    </row>
    <row r="264" spans="1:54">
      <c r="A264" s="413">
        <v>263</v>
      </c>
      <c r="B264" s="413" t="s">
        <v>3674</v>
      </c>
      <c r="C264" s="414" t="s">
        <v>16</v>
      </c>
      <c r="D264" s="414" t="s">
        <v>3648</v>
      </c>
      <c r="E264" s="414"/>
      <c r="F264" s="414"/>
      <c r="G264" s="414"/>
      <c r="H264" s="414"/>
      <c r="I264" s="414"/>
      <c r="J264" s="414"/>
      <c r="K264" s="414"/>
      <c r="L264" s="415" t="s">
        <v>4513</v>
      </c>
      <c r="M264" s="416" t="s">
        <v>2206</v>
      </c>
      <c r="N264" s="416" t="s">
        <v>2999</v>
      </c>
      <c r="O264" s="417"/>
      <c r="P264" s="416">
        <v>4590004402</v>
      </c>
      <c r="Q264" s="418">
        <v>44801</v>
      </c>
      <c r="R264" s="419">
        <v>13</v>
      </c>
      <c r="S264" s="458">
        <v>1369.77</v>
      </c>
      <c r="T264" s="420" t="s">
        <v>2156</v>
      </c>
      <c r="U264" s="414" t="s">
        <v>3661</v>
      </c>
      <c r="V264" s="414" t="s">
        <v>3662</v>
      </c>
      <c r="W264" s="417" t="s">
        <v>3663</v>
      </c>
      <c r="X264" s="417"/>
      <c r="Y264" s="421" t="s">
        <v>3652</v>
      </c>
      <c r="Z264" s="421" t="s">
        <v>3652</v>
      </c>
      <c r="AA264" s="416" t="s">
        <v>4486</v>
      </c>
      <c r="AB264" s="414" t="s">
        <v>3664</v>
      </c>
      <c r="AC264" s="422"/>
      <c r="AD264" s="421"/>
      <c r="AE264" s="420"/>
      <c r="AF264" s="421">
        <v>90608</v>
      </c>
      <c r="AG264" s="420" t="s">
        <v>2580</v>
      </c>
      <c r="AH264" s="421" t="s">
        <v>3665</v>
      </c>
      <c r="AI264" s="420" t="s">
        <v>846</v>
      </c>
      <c r="AJ264" s="413" t="str">
        <f>P264&amp;"_0"&amp;R264</f>
        <v>4590004402_013</v>
      </c>
      <c r="AK264" s="423"/>
      <c r="AL264" s="424">
        <v>45047</v>
      </c>
      <c r="AM264" s="221">
        <v>547.90800000000002</v>
      </c>
      <c r="AN264" s="424">
        <v>45153</v>
      </c>
      <c r="AO264" s="423"/>
      <c r="AP264" s="413"/>
      <c r="AQ264" s="222"/>
      <c r="AR264" s="424"/>
      <c r="AS264" s="614">
        <f ca="1">表格1_6[[#This Row],[total amount]]/表格1_6[[#This Row],[PO$]]</f>
        <v>0.4</v>
      </c>
      <c r="AT264" s="223">
        <f ca="1">表格1_6[[#This Row],[invoice amount]]+表格1_6[[#This Row],[invoice amount2]]</f>
        <v>547.90800000000002</v>
      </c>
      <c r="AU264" s="224" t="s">
        <v>3673</v>
      </c>
      <c r="AV264" s="423"/>
      <c r="AW264" s="423" t="e">
        <f ca="1">VLOOKUP(表格1_6[[#This Row],[TI tool ID2]],工作表1!A:A,1,FALSE)</f>
        <v>#N/A</v>
      </c>
      <c r="AX264" s="425" t="e">
        <f ca="1">VLOOKUP(表格1_6[[#This Row],[PO+ITEM]],工作表1!B:E,2,FALSE)</f>
        <v>#N/A</v>
      </c>
      <c r="AY264" s="425" t="e">
        <f ca="1">VLOOKUP(表格1_6[[#This Row],[PO+ITEM]],工作表1!B:E,3,FALSE)</f>
        <v>#N/A</v>
      </c>
      <c r="AZ264" s="423" t="e">
        <f ca="1">VLOOKUP(表格1_6[[#This Row],[PO+ITEM]],工作表1!B:E,4,FALSE)</f>
        <v>#N/A</v>
      </c>
      <c r="BA264" s="425" t="e">
        <f ca="1">INDEX(工作表1!G:G, MATCH(表格1_6[[#This Row],[invoice number]]&amp;表格1_6[[#This Row],[invoice number2]],工作表1!G:G, 0))</f>
        <v>#N/A</v>
      </c>
      <c r="BB264" s="423" t="e">
        <f ca="1">VLOOKUP(表格1_6[[#This Row],[PO+ITEM]],工作表1!F:H,2,FALSE)</f>
        <v>#N/A</v>
      </c>
    </row>
    <row r="265" spans="1:54" ht="14.45">
      <c r="A265" s="413">
        <v>264</v>
      </c>
      <c r="B265" s="413" t="s">
        <v>3659</v>
      </c>
      <c r="C265" s="414" t="s">
        <v>16</v>
      </c>
      <c r="D265" s="414" t="s">
        <v>3648</v>
      </c>
      <c r="E265" s="414"/>
      <c r="F265" s="414"/>
      <c r="G265" s="414"/>
      <c r="H265" s="414"/>
      <c r="I265" s="414"/>
      <c r="J265" s="414"/>
      <c r="K265" s="414"/>
      <c r="L265" s="415" t="s">
        <v>4514</v>
      </c>
      <c r="M265" s="416" t="s">
        <v>2206</v>
      </c>
      <c r="N265" s="416" t="s">
        <v>2999</v>
      </c>
      <c r="O265" s="417"/>
      <c r="P265" s="416">
        <v>4590004402</v>
      </c>
      <c r="Q265" s="418">
        <v>44801</v>
      </c>
      <c r="R265" s="419">
        <v>14</v>
      </c>
      <c r="S265" s="458">
        <v>1369.77</v>
      </c>
      <c r="T265" s="420" t="s">
        <v>2156</v>
      </c>
      <c r="U265" s="414" t="s">
        <v>3661</v>
      </c>
      <c r="V265" s="414" t="s">
        <v>3662</v>
      </c>
      <c r="W265" s="417" t="s">
        <v>3663</v>
      </c>
      <c r="X265" s="417"/>
      <c r="Y265" s="421" t="s">
        <v>3652</v>
      </c>
      <c r="Z265" s="421" t="s">
        <v>3652</v>
      </c>
      <c r="AA265" s="416" t="s">
        <v>4482</v>
      </c>
      <c r="AB265" s="414" t="s">
        <v>3664</v>
      </c>
      <c r="AC265" s="422"/>
      <c r="AD265" s="421"/>
      <c r="AE265" s="420"/>
      <c r="AF265" s="421">
        <v>90607</v>
      </c>
      <c r="AG265" s="420" t="s">
        <v>4515</v>
      </c>
      <c r="AH265" s="421" t="s">
        <v>3665</v>
      </c>
      <c r="AI265" s="420" t="s">
        <v>846</v>
      </c>
      <c r="AJ265" s="413" t="str">
        <f>P265&amp;"_0"&amp;R265</f>
        <v>4590004402_014</v>
      </c>
      <c r="AK265" s="423"/>
      <c r="AL265" s="424">
        <v>45047</v>
      </c>
      <c r="AM265" s="221">
        <v>547.90800000000002</v>
      </c>
      <c r="AN265" s="424">
        <v>45153</v>
      </c>
      <c r="AO265" s="423"/>
      <c r="AP265" s="413"/>
      <c r="AQ265" s="222"/>
      <c r="AR265" s="424"/>
      <c r="AS265" s="614">
        <f ca="1">表格1_6[[#This Row],[total amount]]/表格1_6[[#This Row],[PO$]]</f>
        <v>0.4</v>
      </c>
      <c r="AT265" s="223">
        <f ca="1">表格1_6[[#This Row],[invoice amount]]+表格1_6[[#This Row],[invoice amount2]]</f>
        <v>547.90800000000002</v>
      </c>
      <c r="AU265" s="224" t="s">
        <v>3673</v>
      </c>
      <c r="AV265" s="423"/>
      <c r="AW265" s="423" t="e">
        <f ca="1">VLOOKUP(表格1_6[[#This Row],[TI tool ID2]],工作表1!A:A,1,FALSE)</f>
        <v>#N/A</v>
      </c>
      <c r="AX265" s="425" t="e">
        <f ca="1">VLOOKUP(表格1_6[[#This Row],[PO+ITEM]],工作表1!B:E,2,FALSE)</f>
        <v>#N/A</v>
      </c>
      <c r="AY265" s="425" t="e">
        <f ca="1">VLOOKUP(表格1_6[[#This Row],[PO+ITEM]],工作表1!B:E,3,FALSE)</f>
        <v>#N/A</v>
      </c>
      <c r="AZ265" s="423" t="e">
        <f ca="1">VLOOKUP(表格1_6[[#This Row],[PO+ITEM]],工作表1!B:E,4,FALSE)</f>
        <v>#N/A</v>
      </c>
      <c r="BA265" s="425" t="e">
        <f ca="1">INDEX(工作表1!G:G, MATCH(表格1_6[[#This Row],[invoice number]]&amp;表格1_6[[#This Row],[invoice number2]],工作表1!G:G, 0))</f>
        <v>#N/A</v>
      </c>
      <c r="BB265" s="423" t="e">
        <f ca="1">VLOOKUP(表格1_6[[#This Row],[PO+ITEM]],工作表1!F:H,2,FALSE)</f>
        <v>#N/A</v>
      </c>
    </row>
    <row r="266" spans="1:54" ht="15.6">
      <c r="A266" s="413">
        <v>265</v>
      </c>
      <c r="B266" s="413" t="s">
        <v>3674</v>
      </c>
      <c r="C266" s="414" t="s">
        <v>16</v>
      </c>
      <c r="D266" s="414" t="s">
        <v>3648</v>
      </c>
      <c r="E266" s="414"/>
      <c r="F266" s="414"/>
      <c r="G266" s="414"/>
      <c r="H266" s="414"/>
      <c r="I266" s="414"/>
      <c r="J266" s="414"/>
      <c r="K266" s="414"/>
      <c r="L266" s="415" t="s">
        <v>4516</v>
      </c>
      <c r="M266" s="416" t="s">
        <v>4517</v>
      </c>
      <c r="N266" s="416" t="s">
        <v>2999</v>
      </c>
      <c r="O266" s="417"/>
      <c r="P266" s="416">
        <v>4590004403</v>
      </c>
      <c r="Q266" s="418">
        <v>44801</v>
      </c>
      <c r="R266" s="419">
        <v>1</v>
      </c>
      <c r="S266" s="458">
        <v>2588.64</v>
      </c>
      <c r="T266" s="420" t="s">
        <v>2156</v>
      </c>
      <c r="U266" s="414" t="s">
        <v>3661</v>
      </c>
      <c r="V266" s="414" t="s">
        <v>3662</v>
      </c>
      <c r="W266" s="417" t="s">
        <v>3663</v>
      </c>
      <c r="X266" s="417"/>
      <c r="Y266" s="421" t="s">
        <v>3652</v>
      </c>
      <c r="Z266" s="421" t="s">
        <v>3652</v>
      </c>
      <c r="AA266" s="416" t="s">
        <v>4518</v>
      </c>
      <c r="AB266" s="414" t="s">
        <v>3664</v>
      </c>
      <c r="AC266" s="422"/>
      <c r="AD266" s="421"/>
      <c r="AE266" s="420"/>
      <c r="AF266" s="421">
        <v>90626</v>
      </c>
      <c r="AG266" s="420" t="s">
        <v>3193</v>
      </c>
      <c r="AH266" s="421" t="s">
        <v>3665</v>
      </c>
      <c r="AI266" s="420" t="s">
        <v>3666</v>
      </c>
      <c r="AJ266" s="413" t="str">
        <f t="shared" ref="AJ266:AJ274" si="16">P266&amp;"_00"&amp;R266</f>
        <v>4590004403_001</v>
      </c>
      <c r="AK266" s="423"/>
      <c r="AL266" s="424">
        <v>45047</v>
      </c>
      <c r="AM266" s="221">
        <v>1035.4559999999999</v>
      </c>
      <c r="AN266" s="226">
        <v>45168</v>
      </c>
      <c r="AO266" s="423" t="s">
        <v>4519</v>
      </c>
      <c r="AP266" s="424">
        <v>45506</v>
      </c>
      <c r="AQ266" s="222">
        <v>1553.18</v>
      </c>
      <c r="AR266" s="424">
        <v>45565</v>
      </c>
      <c r="AS266" s="614">
        <f ca="1">表格1_6[[#This Row],[total amount]]/表格1_6[[#This Row],[PO$]]</f>
        <v>0.99999845478706972</v>
      </c>
      <c r="AT266" s="223">
        <f ca="1">表格1_6[[#This Row],[invoice amount]]+表格1_6[[#This Row],[invoice amount2]]</f>
        <v>2588.636</v>
      </c>
      <c r="AU266" s="224" t="s">
        <v>3725</v>
      </c>
      <c r="AV266" s="423"/>
      <c r="AW266" s="423" t="e">
        <f ca="1">VLOOKUP(表格1_6[[#This Row],[TI tool ID2]],工作表1!A:A,1,FALSE)</f>
        <v>#N/A</v>
      </c>
      <c r="AX266" s="425" t="e">
        <f ca="1">VLOOKUP(表格1_6[[#This Row],[PO+ITEM]],工作表1!B:E,2,FALSE)</f>
        <v>#N/A</v>
      </c>
      <c r="AY266" s="425" t="e">
        <f ca="1">VLOOKUP(表格1_6[[#This Row],[PO+ITEM]],工作表1!B:E,3,FALSE)</f>
        <v>#N/A</v>
      </c>
      <c r="AZ266" s="423" t="e">
        <f ca="1">VLOOKUP(表格1_6[[#This Row],[PO+ITEM]],工作表1!B:E,4,FALSE)</f>
        <v>#N/A</v>
      </c>
      <c r="BA266" s="425" t="e">
        <f ca="1">INDEX(工作表1!G:G, MATCH(表格1_6[[#This Row],[invoice number]]&amp;表格1_6[[#This Row],[invoice number2]],工作表1!G:G, 0))</f>
        <v>#N/A</v>
      </c>
      <c r="BB266" s="423" t="e">
        <f ca="1">VLOOKUP(表格1_6[[#This Row],[PO+ITEM]],工作表1!F:H,2,FALSE)</f>
        <v>#N/A</v>
      </c>
    </row>
    <row r="267" spans="1:54" ht="15.6">
      <c r="A267" s="413">
        <v>266</v>
      </c>
      <c r="B267" s="413" t="s">
        <v>3674</v>
      </c>
      <c r="C267" s="414" t="s">
        <v>16</v>
      </c>
      <c r="D267" s="414" t="s">
        <v>3648</v>
      </c>
      <c r="E267" s="414"/>
      <c r="F267" s="414"/>
      <c r="G267" s="414"/>
      <c r="H267" s="414"/>
      <c r="I267" s="414"/>
      <c r="J267" s="414"/>
      <c r="K267" s="414"/>
      <c r="L267" s="420" t="s">
        <v>4520</v>
      </c>
      <c r="M267" s="416" t="s">
        <v>4517</v>
      </c>
      <c r="N267" s="416" t="s">
        <v>2999</v>
      </c>
      <c r="O267" s="417"/>
      <c r="P267" s="416">
        <v>4590004403</v>
      </c>
      <c r="Q267" s="418">
        <v>44801</v>
      </c>
      <c r="R267" s="419">
        <v>2</v>
      </c>
      <c r="S267" s="458">
        <v>2588.64</v>
      </c>
      <c r="T267" s="420" t="s">
        <v>2156</v>
      </c>
      <c r="U267" s="414" t="s">
        <v>3661</v>
      </c>
      <c r="V267" s="414" t="s">
        <v>3662</v>
      </c>
      <c r="W267" s="417" t="s">
        <v>3663</v>
      </c>
      <c r="X267" s="417"/>
      <c r="Y267" s="421" t="s">
        <v>3652</v>
      </c>
      <c r="Z267" s="421" t="s">
        <v>3652</v>
      </c>
      <c r="AA267" s="416" t="s">
        <v>4518</v>
      </c>
      <c r="AB267" s="414" t="s">
        <v>3664</v>
      </c>
      <c r="AC267" s="422"/>
      <c r="AD267" s="421"/>
      <c r="AE267" s="420"/>
      <c r="AF267" s="421">
        <v>90625</v>
      </c>
      <c r="AG267" s="420" t="s">
        <v>3291</v>
      </c>
      <c r="AH267" s="421" t="s">
        <v>3665</v>
      </c>
      <c r="AI267" s="420" t="s">
        <v>3666</v>
      </c>
      <c r="AJ267" s="413" t="str">
        <f t="shared" si="16"/>
        <v>4590004403_002</v>
      </c>
      <c r="AK267" s="423"/>
      <c r="AL267" s="424">
        <v>45047</v>
      </c>
      <c r="AM267" s="221">
        <v>1035.4559999999999</v>
      </c>
      <c r="AN267" s="226">
        <v>45168</v>
      </c>
      <c r="AO267" s="423" t="s">
        <v>4521</v>
      </c>
      <c r="AP267" s="424">
        <v>45513</v>
      </c>
      <c r="AQ267" s="222">
        <v>1553.18</v>
      </c>
      <c r="AR267" s="424">
        <v>45565</v>
      </c>
      <c r="AS267" s="614">
        <f ca="1">表格1_6[[#This Row],[total amount]]/表格1_6[[#This Row],[PO$]]</f>
        <v>0.99999845478706972</v>
      </c>
      <c r="AT267" s="223">
        <f ca="1">表格1_6[[#This Row],[invoice amount]]+表格1_6[[#This Row],[invoice amount2]]</f>
        <v>2588.636</v>
      </c>
      <c r="AU267" s="224" t="s">
        <v>3725</v>
      </c>
      <c r="AV267" s="423"/>
      <c r="AW267" s="423" t="e">
        <f ca="1">VLOOKUP(表格1_6[[#This Row],[TI tool ID2]],工作表1!A:A,1,FALSE)</f>
        <v>#N/A</v>
      </c>
      <c r="AX267" s="425" t="e">
        <f ca="1">VLOOKUP(表格1_6[[#This Row],[PO+ITEM]],工作表1!B:E,2,FALSE)</f>
        <v>#N/A</v>
      </c>
      <c r="AY267" s="424" t="e">
        <f ca="1">VLOOKUP(表格1_6[[#This Row],[PO+ITEM]],工作表1!B:E,3,FALSE)</f>
        <v>#N/A</v>
      </c>
      <c r="AZ267" s="423" t="e">
        <f ca="1">VLOOKUP(表格1_6[[#This Row],[PO+ITEM]],工作表1!B:E,4,FALSE)</f>
        <v>#N/A</v>
      </c>
      <c r="BA267" s="425" t="e">
        <f ca="1">INDEX(工作表1!G:G, MATCH(表格1_6[[#This Row],[invoice number]]&amp;表格1_6[[#This Row],[invoice number2]],工作表1!G:G, 0))</f>
        <v>#N/A</v>
      </c>
      <c r="BB267" s="423" t="e">
        <f ca="1">VLOOKUP(表格1_6[[#This Row],[PO+ITEM]],工作表1!F:H,2,FALSE)</f>
        <v>#N/A</v>
      </c>
    </row>
    <row r="268" spans="1:54" ht="15.6">
      <c r="A268" s="413">
        <v>267</v>
      </c>
      <c r="B268" s="413" t="s">
        <v>3674</v>
      </c>
      <c r="C268" s="414" t="s">
        <v>16</v>
      </c>
      <c r="D268" s="414" t="s">
        <v>3648</v>
      </c>
      <c r="E268" s="414"/>
      <c r="F268" s="414"/>
      <c r="G268" s="414"/>
      <c r="H268" s="414"/>
      <c r="I268" s="414"/>
      <c r="J268" s="414"/>
      <c r="K268" s="414"/>
      <c r="L268" s="415" t="s">
        <v>4522</v>
      </c>
      <c r="M268" s="416" t="s">
        <v>4517</v>
      </c>
      <c r="N268" s="416" t="s">
        <v>2999</v>
      </c>
      <c r="O268" s="417"/>
      <c r="P268" s="416">
        <v>4590004403</v>
      </c>
      <c r="Q268" s="418">
        <v>44801</v>
      </c>
      <c r="R268" s="419">
        <v>3</v>
      </c>
      <c r="S268" s="458">
        <v>2588.64</v>
      </c>
      <c r="T268" s="420" t="s">
        <v>2156</v>
      </c>
      <c r="U268" s="414" t="s">
        <v>3661</v>
      </c>
      <c r="V268" s="414" t="s">
        <v>3662</v>
      </c>
      <c r="W268" s="417" t="s">
        <v>3663</v>
      </c>
      <c r="X268" s="417"/>
      <c r="Y268" s="421" t="s">
        <v>3652</v>
      </c>
      <c r="Z268" s="421" t="s">
        <v>3652</v>
      </c>
      <c r="AA268" s="416" t="s">
        <v>4518</v>
      </c>
      <c r="AB268" s="414" t="s">
        <v>3664</v>
      </c>
      <c r="AC268" s="422"/>
      <c r="AD268" s="421"/>
      <c r="AE268" s="420"/>
      <c r="AF268" s="421">
        <v>90643</v>
      </c>
      <c r="AG268" s="420" t="s">
        <v>3440</v>
      </c>
      <c r="AH268" s="421" t="s">
        <v>3665</v>
      </c>
      <c r="AI268" s="420" t="s">
        <v>3666</v>
      </c>
      <c r="AJ268" s="413" t="str">
        <f t="shared" si="16"/>
        <v>4590004403_003</v>
      </c>
      <c r="AK268" s="423"/>
      <c r="AL268" s="424">
        <v>45047</v>
      </c>
      <c r="AM268" s="221">
        <v>1035.4559999999999</v>
      </c>
      <c r="AN268" s="226">
        <v>45168</v>
      </c>
      <c r="AO268" s="423" t="s">
        <v>4523</v>
      </c>
      <c r="AP268" s="424">
        <v>45506</v>
      </c>
      <c r="AQ268" s="222">
        <v>1553.18</v>
      </c>
      <c r="AR268" s="424">
        <v>45565</v>
      </c>
      <c r="AS268" s="614">
        <f ca="1">表格1_6[[#This Row],[total amount]]/表格1_6[[#This Row],[PO$]]</f>
        <v>0.99999845478706972</v>
      </c>
      <c r="AT268" s="223">
        <f ca="1">表格1_6[[#This Row],[invoice amount]]+表格1_6[[#This Row],[invoice amount2]]</f>
        <v>2588.636</v>
      </c>
      <c r="AU268" s="224" t="s">
        <v>3725</v>
      </c>
      <c r="AV268" s="423"/>
      <c r="AW268" s="423" t="e">
        <f ca="1">VLOOKUP(表格1_6[[#This Row],[TI tool ID2]],工作表1!A:A,1,FALSE)</f>
        <v>#N/A</v>
      </c>
      <c r="AX268" s="425" t="e">
        <f ca="1">VLOOKUP(表格1_6[[#This Row],[PO+ITEM]],工作表1!B:E,2,FALSE)</f>
        <v>#N/A</v>
      </c>
      <c r="AY268" s="425" t="e">
        <f ca="1">VLOOKUP(表格1_6[[#This Row],[PO+ITEM]],工作表1!B:E,3,FALSE)</f>
        <v>#N/A</v>
      </c>
      <c r="AZ268" s="423" t="e">
        <f ca="1">VLOOKUP(表格1_6[[#This Row],[PO+ITEM]],工作表1!B:E,4,FALSE)</f>
        <v>#N/A</v>
      </c>
      <c r="BA268" s="425" t="e">
        <f ca="1">INDEX(工作表1!G:G, MATCH(表格1_6[[#This Row],[invoice number]]&amp;表格1_6[[#This Row],[invoice number2]],工作表1!G:G, 0))</f>
        <v>#N/A</v>
      </c>
      <c r="BB268" s="423" t="e">
        <f ca="1">VLOOKUP(表格1_6[[#This Row],[PO+ITEM]],工作表1!F:H,2,FALSE)</f>
        <v>#N/A</v>
      </c>
    </row>
    <row r="269" spans="1:54" ht="15.6">
      <c r="A269" s="413">
        <v>268</v>
      </c>
      <c r="B269" s="413" t="s">
        <v>3674</v>
      </c>
      <c r="C269" s="414" t="s">
        <v>16</v>
      </c>
      <c r="D269" s="414" t="s">
        <v>3648</v>
      </c>
      <c r="E269" s="414"/>
      <c r="F269" s="414"/>
      <c r="G269" s="414"/>
      <c r="H269" s="414"/>
      <c r="I269" s="414"/>
      <c r="J269" s="414"/>
      <c r="K269" s="414"/>
      <c r="L269" s="415" t="s">
        <v>4524</v>
      </c>
      <c r="M269" s="416" t="s">
        <v>4517</v>
      </c>
      <c r="N269" s="416" t="s">
        <v>2999</v>
      </c>
      <c r="O269" s="417"/>
      <c r="P269" s="416">
        <v>4590004403</v>
      </c>
      <c r="Q269" s="418">
        <v>44801</v>
      </c>
      <c r="R269" s="419">
        <v>4</v>
      </c>
      <c r="S269" s="458">
        <v>2588.64</v>
      </c>
      <c r="T269" s="420" t="s">
        <v>2156</v>
      </c>
      <c r="U269" s="414" t="s">
        <v>3661</v>
      </c>
      <c r="V269" s="414" t="s">
        <v>3662</v>
      </c>
      <c r="W269" s="417" t="s">
        <v>3663</v>
      </c>
      <c r="X269" s="417"/>
      <c r="Y269" s="421" t="s">
        <v>3652</v>
      </c>
      <c r="Z269" s="421" t="s">
        <v>3652</v>
      </c>
      <c r="AA269" s="416" t="s">
        <v>4518</v>
      </c>
      <c r="AB269" s="414" t="s">
        <v>3664</v>
      </c>
      <c r="AC269" s="422"/>
      <c r="AD269" s="421"/>
      <c r="AE269" s="420"/>
      <c r="AF269" s="421">
        <v>90635</v>
      </c>
      <c r="AG269" s="420" t="s">
        <v>3405</v>
      </c>
      <c r="AH269" s="421" t="s">
        <v>3665</v>
      </c>
      <c r="AI269" s="420" t="s">
        <v>3666</v>
      </c>
      <c r="AJ269" s="413" t="str">
        <f t="shared" si="16"/>
        <v>4590004403_004</v>
      </c>
      <c r="AK269" s="423"/>
      <c r="AL269" s="424">
        <v>45047</v>
      </c>
      <c r="AM269" s="221">
        <v>1035.4559999999999</v>
      </c>
      <c r="AN269" s="226">
        <v>45168</v>
      </c>
      <c r="AO269" s="423" t="s">
        <v>4525</v>
      </c>
      <c r="AP269" s="424">
        <v>45506</v>
      </c>
      <c r="AQ269" s="222">
        <v>1553.18</v>
      </c>
      <c r="AR269" s="424">
        <v>45565</v>
      </c>
      <c r="AS269" s="614">
        <f ca="1">表格1_6[[#This Row],[total amount]]/表格1_6[[#This Row],[PO$]]</f>
        <v>0.99999845478706972</v>
      </c>
      <c r="AT269" s="223">
        <f ca="1">表格1_6[[#This Row],[invoice amount]]+表格1_6[[#This Row],[invoice amount2]]</f>
        <v>2588.636</v>
      </c>
      <c r="AU269" s="224" t="s">
        <v>3725</v>
      </c>
      <c r="AV269" s="423"/>
      <c r="AW269" s="423" t="e">
        <f ca="1">VLOOKUP(表格1_6[[#This Row],[TI tool ID2]],工作表1!A:A,1,FALSE)</f>
        <v>#N/A</v>
      </c>
      <c r="AX269" s="425" t="e">
        <f ca="1">VLOOKUP(表格1_6[[#This Row],[PO+ITEM]],工作表1!B:E,2,FALSE)</f>
        <v>#N/A</v>
      </c>
      <c r="AY269" s="425" t="e">
        <f ca="1">VLOOKUP(表格1_6[[#This Row],[PO+ITEM]],工作表1!B:E,3,FALSE)</f>
        <v>#N/A</v>
      </c>
      <c r="AZ269" s="423" t="e">
        <f ca="1">VLOOKUP(表格1_6[[#This Row],[PO+ITEM]],工作表1!B:E,4,FALSE)</f>
        <v>#N/A</v>
      </c>
      <c r="BA269" s="425" t="e">
        <f ca="1">INDEX(工作表1!G:G, MATCH(表格1_6[[#This Row],[invoice number]]&amp;表格1_6[[#This Row],[invoice number2]],工作表1!G:G, 0))</f>
        <v>#N/A</v>
      </c>
      <c r="BB269" s="423" t="e">
        <f ca="1">VLOOKUP(表格1_6[[#This Row],[PO+ITEM]],工作表1!F:H,2,FALSE)</f>
        <v>#N/A</v>
      </c>
    </row>
    <row r="270" spans="1:54" ht="15.6">
      <c r="A270" s="413">
        <v>269</v>
      </c>
      <c r="B270" s="413" t="s">
        <v>3674</v>
      </c>
      <c r="C270" s="414" t="s">
        <v>16</v>
      </c>
      <c r="D270" s="414" t="s">
        <v>3648</v>
      </c>
      <c r="E270" s="414"/>
      <c r="F270" s="414"/>
      <c r="G270" s="414"/>
      <c r="H270" s="414"/>
      <c r="I270" s="414"/>
      <c r="J270" s="414"/>
      <c r="K270" s="414"/>
      <c r="L270" s="415" t="s">
        <v>4526</v>
      </c>
      <c r="M270" s="416" t="s">
        <v>4517</v>
      </c>
      <c r="N270" s="416" t="s">
        <v>2999</v>
      </c>
      <c r="O270" s="417"/>
      <c r="P270" s="416">
        <v>4590004403</v>
      </c>
      <c r="Q270" s="418">
        <v>44801</v>
      </c>
      <c r="R270" s="419">
        <v>5</v>
      </c>
      <c r="S270" s="458">
        <v>2588.64</v>
      </c>
      <c r="T270" s="420" t="s">
        <v>2156</v>
      </c>
      <c r="U270" s="414" t="s">
        <v>3661</v>
      </c>
      <c r="V270" s="414" t="s">
        <v>3662</v>
      </c>
      <c r="W270" s="417" t="s">
        <v>3663</v>
      </c>
      <c r="X270" s="417"/>
      <c r="Y270" s="421" t="s">
        <v>3652</v>
      </c>
      <c r="Z270" s="421" t="s">
        <v>3652</v>
      </c>
      <c r="AA270" s="416" t="s">
        <v>4527</v>
      </c>
      <c r="AB270" s="414" t="s">
        <v>3664</v>
      </c>
      <c r="AC270" s="422"/>
      <c r="AD270" s="421"/>
      <c r="AE270" s="420"/>
      <c r="AF270" s="421">
        <v>90636</v>
      </c>
      <c r="AG270" s="420" t="s">
        <v>3206</v>
      </c>
      <c r="AH270" s="421" t="s">
        <v>3665</v>
      </c>
      <c r="AI270" s="420" t="s">
        <v>3666</v>
      </c>
      <c r="AJ270" s="413" t="str">
        <f t="shared" si="16"/>
        <v>4590004403_005</v>
      </c>
      <c r="AK270" s="423"/>
      <c r="AL270" s="424">
        <v>45108</v>
      </c>
      <c r="AM270" s="221">
        <v>1035.4559999999999</v>
      </c>
      <c r="AN270" s="226">
        <v>45168</v>
      </c>
      <c r="AO270" s="423" t="s">
        <v>4528</v>
      </c>
      <c r="AP270" s="424">
        <v>45506</v>
      </c>
      <c r="AQ270" s="222">
        <v>1553.18</v>
      </c>
      <c r="AR270" s="424">
        <v>45565</v>
      </c>
      <c r="AS270" s="614">
        <f ca="1">表格1_6[[#This Row],[total amount]]/表格1_6[[#This Row],[PO$]]</f>
        <v>0.99999845478706972</v>
      </c>
      <c r="AT270" s="223">
        <f ca="1">表格1_6[[#This Row],[invoice amount]]+表格1_6[[#This Row],[invoice amount2]]</f>
        <v>2588.636</v>
      </c>
      <c r="AU270" s="224" t="s">
        <v>3725</v>
      </c>
      <c r="AV270" s="423"/>
      <c r="AW270" s="423" t="e">
        <f ca="1">VLOOKUP(表格1_6[[#This Row],[TI tool ID2]],工作表1!A:A,1,FALSE)</f>
        <v>#N/A</v>
      </c>
      <c r="AX270" s="425" t="e">
        <f ca="1">VLOOKUP(表格1_6[[#This Row],[PO+ITEM]],工作表1!B:E,2,FALSE)</f>
        <v>#N/A</v>
      </c>
      <c r="AY270" s="425" t="e">
        <f ca="1">VLOOKUP(表格1_6[[#This Row],[PO+ITEM]],工作表1!B:E,3,FALSE)</f>
        <v>#N/A</v>
      </c>
      <c r="AZ270" s="423" t="e">
        <f ca="1">VLOOKUP(表格1_6[[#This Row],[PO+ITEM]],工作表1!B:E,4,FALSE)</f>
        <v>#N/A</v>
      </c>
      <c r="BA270" s="425" t="e">
        <f ca="1">INDEX(工作表1!G:G, MATCH(表格1_6[[#This Row],[invoice number]]&amp;表格1_6[[#This Row],[invoice number2]],工作表1!G:G, 0))</f>
        <v>#N/A</v>
      </c>
      <c r="BB270" s="423" t="e">
        <f ca="1">VLOOKUP(表格1_6[[#This Row],[PO+ITEM]],工作表1!F:H,2,FALSE)</f>
        <v>#N/A</v>
      </c>
    </row>
    <row r="271" spans="1:54" ht="15.6">
      <c r="A271" s="413">
        <v>270</v>
      </c>
      <c r="B271" s="413" t="s">
        <v>3674</v>
      </c>
      <c r="C271" s="414" t="s">
        <v>16</v>
      </c>
      <c r="D271" s="414" t="s">
        <v>3648</v>
      </c>
      <c r="E271" s="414"/>
      <c r="F271" s="414"/>
      <c r="G271" s="414"/>
      <c r="H271" s="414"/>
      <c r="I271" s="414"/>
      <c r="J271" s="414"/>
      <c r="K271" s="414"/>
      <c r="L271" s="420" t="s">
        <v>4529</v>
      </c>
      <c r="M271" s="416" t="s">
        <v>4517</v>
      </c>
      <c r="N271" s="416" t="s">
        <v>2999</v>
      </c>
      <c r="O271" s="417"/>
      <c r="P271" s="416">
        <v>4590004403</v>
      </c>
      <c r="Q271" s="418">
        <v>44801</v>
      </c>
      <c r="R271" s="419">
        <v>6</v>
      </c>
      <c r="S271" s="458">
        <v>1319.47</v>
      </c>
      <c r="T271" s="420" t="s">
        <v>2156</v>
      </c>
      <c r="U271" s="414" t="s">
        <v>3661</v>
      </c>
      <c r="V271" s="414" t="s">
        <v>3662</v>
      </c>
      <c r="W271" s="417" t="s">
        <v>3663</v>
      </c>
      <c r="X271" s="417"/>
      <c r="Y271" s="421" t="s">
        <v>3652</v>
      </c>
      <c r="Z271" s="421" t="s">
        <v>3652</v>
      </c>
      <c r="AA271" s="416" t="s">
        <v>4518</v>
      </c>
      <c r="AB271" s="414" t="s">
        <v>3664</v>
      </c>
      <c r="AC271" s="422"/>
      <c r="AD271" s="421"/>
      <c r="AE271" s="420"/>
      <c r="AF271" s="421">
        <v>90770</v>
      </c>
      <c r="AG271" s="420" t="s">
        <v>3275</v>
      </c>
      <c r="AH271" s="421" t="s">
        <v>3665</v>
      </c>
      <c r="AI271" s="420" t="s">
        <v>3666</v>
      </c>
      <c r="AJ271" s="413" t="str">
        <f t="shared" si="16"/>
        <v>4590004403_006</v>
      </c>
      <c r="AK271" s="423"/>
      <c r="AL271" s="424">
        <v>45047</v>
      </c>
      <c r="AM271" s="221">
        <v>527.78800000000001</v>
      </c>
      <c r="AN271" s="226">
        <v>45168</v>
      </c>
      <c r="AO271" s="423" t="s">
        <v>4530</v>
      </c>
      <c r="AP271" s="424">
        <v>45506</v>
      </c>
      <c r="AQ271" s="222">
        <v>791.68</v>
      </c>
      <c r="AR271" s="424">
        <v>45565</v>
      </c>
      <c r="AS271" s="614">
        <f ca="1">表格1_6[[#This Row],[total amount]]/表格1_6[[#This Row],[PO$]]</f>
        <v>0.99999848423988402</v>
      </c>
      <c r="AT271" s="223">
        <f ca="1">表格1_6[[#This Row],[invoice amount]]+表格1_6[[#This Row],[invoice amount2]]</f>
        <v>1319.4679999999998</v>
      </c>
      <c r="AU271" s="224" t="s">
        <v>3725</v>
      </c>
      <c r="AV271" s="423"/>
      <c r="AW271" s="423" t="e">
        <f ca="1">VLOOKUP(表格1_6[[#This Row],[TI tool ID2]],工作表1!A:A,1,FALSE)</f>
        <v>#N/A</v>
      </c>
      <c r="AX271" s="425" t="e">
        <f ca="1">VLOOKUP(表格1_6[[#This Row],[PO+ITEM]],工作表1!B:E,2,FALSE)</f>
        <v>#N/A</v>
      </c>
      <c r="AY271" s="425" t="e">
        <f ca="1">VLOOKUP(表格1_6[[#This Row],[PO+ITEM]],工作表1!B:E,3,FALSE)</f>
        <v>#N/A</v>
      </c>
      <c r="AZ271" s="423" t="e">
        <f ca="1">VLOOKUP(表格1_6[[#This Row],[PO+ITEM]],工作表1!B:E,4,FALSE)</f>
        <v>#N/A</v>
      </c>
      <c r="BA271" s="425" t="e">
        <f ca="1">INDEX(工作表1!G:G, MATCH(表格1_6[[#This Row],[invoice number]]&amp;表格1_6[[#This Row],[invoice number2]],工作表1!G:G, 0))</f>
        <v>#N/A</v>
      </c>
      <c r="BB271" s="423" t="e">
        <f ca="1">VLOOKUP(表格1_6[[#This Row],[PO+ITEM]],工作表1!F:H,2,FALSE)</f>
        <v>#N/A</v>
      </c>
    </row>
    <row r="272" spans="1:54" ht="15.6">
      <c r="A272" s="413">
        <v>271</v>
      </c>
      <c r="B272" s="413" t="s">
        <v>3659</v>
      </c>
      <c r="C272" s="414" t="s">
        <v>16</v>
      </c>
      <c r="D272" s="414" t="s">
        <v>3648</v>
      </c>
      <c r="E272" s="414"/>
      <c r="F272" s="414"/>
      <c r="G272" s="414"/>
      <c r="H272" s="414"/>
      <c r="I272" s="414"/>
      <c r="J272" s="414"/>
      <c r="K272" s="414"/>
      <c r="L272" s="415" t="s">
        <v>4531</v>
      </c>
      <c r="M272" s="416" t="s">
        <v>4517</v>
      </c>
      <c r="N272" s="416" t="s">
        <v>2999</v>
      </c>
      <c r="O272" s="417"/>
      <c r="P272" s="416">
        <v>4590004403</v>
      </c>
      <c r="Q272" s="418">
        <v>44801</v>
      </c>
      <c r="R272" s="419">
        <v>7</v>
      </c>
      <c r="S272" s="458">
        <v>1319.47</v>
      </c>
      <c r="T272" s="420" t="s">
        <v>2156</v>
      </c>
      <c r="U272" s="414" t="s">
        <v>3661</v>
      </c>
      <c r="V272" s="414" t="s">
        <v>3662</v>
      </c>
      <c r="W272" s="417" t="s">
        <v>3663</v>
      </c>
      <c r="X272" s="417"/>
      <c r="Y272" s="421" t="s">
        <v>3652</v>
      </c>
      <c r="Z272" s="421" t="s">
        <v>3652</v>
      </c>
      <c r="AA272" s="416" t="s">
        <v>4527</v>
      </c>
      <c r="AB272" s="414" t="s">
        <v>3664</v>
      </c>
      <c r="AC272" s="422"/>
      <c r="AD272" s="421"/>
      <c r="AE272" s="420"/>
      <c r="AF272" s="421">
        <v>90771</v>
      </c>
      <c r="AG272" s="420" t="s">
        <v>3185</v>
      </c>
      <c r="AH272" s="421" t="s">
        <v>3665</v>
      </c>
      <c r="AI272" s="420" t="s">
        <v>3666</v>
      </c>
      <c r="AJ272" s="413" t="str">
        <f t="shared" si="16"/>
        <v>4590004403_007</v>
      </c>
      <c r="AK272" s="423"/>
      <c r="AL272" s="424">
        <v>45108</v>
      </c>
      <c r="AM272" s="221">
        <v>527.78800000000001</v>
      </c>
      <c r="AN272" s="226">
        <v>45168</v>
      </c>
      <c r="AO272" s="423"/>
      <c r="AP272" s="413"/>
      <c r="AQ272" s="222"/>
      <c r="AR272" s="424"/>
      <c r="AS272" s="614">
        <f ca="1">表格1_6[[#This Row],[total amount]]/表格1_6[[#This Row],[PO$]]</f>
        <v>0.4</v>
      </c>
      <c r="AT272" s="223">
        <f ca="1">表格1_6[[#This Row],[invoice amount]]+表格1_6[[#This Row],[invoice amount2]]</f>
        <v>527.78800000000001</v>
      </c>
      <c r="AU272" s="224" t="s">
        <v>3673</v>
      </c>
      <c r="AV272" s="423"/>
      <c r="AW272" s="423" t="e">
        <f ca="1">VLOOKUP(表格1_6[[#This Row],[TI tool ID2]],工作表1!A:A,1,FALSE)</f>
        <v>#N/A</v>
      </c>
      <c r="AX272" s="425" t="e">
        <f ca="1">VLOOKUP(表格1_6[[#This Row],[PO+ITEM]],工作表1!B:E,2,FALSE)</f>
        <v>#N/A</v>
      </c>
      <c r="AY272" s="425" t="e">
        <f ca="1">VLOOKUP(表格1_6[[#This Row],[PO+ITEM]],工作表1!B:E,3,FALSE)</f>
        <v>#N/A</v>
      </c>
      <c r="AZ272" s="423" t="e">
        <f ca="1">VLOOKUP(表格1_6[[#This Row],[PO+ITEM]],工作表1!B:E,4,FALSE)</f>
        <v>#N/A</v>
      </c>
      <c r="BA272" s="425" t="e">
        <f ca="1">INDEX(工作表1!G:G, MATCH(表格1_6[[#This Row],[invoice number]]&amp;表格1_6[[#This Row],[invoice number2]],工作表1!G:G, 0))</f>
        <v>#N/A</v>
      </c>
      <c r="BB272" s="423" t="e">
        <f ca="1">VLOOKUP(表格1_6[[#This Row],[PO+ITEM]],工作表1!F:H,2,FALSE)</f>
        <v>#N/A</v>
      </c>
    </row>
    <row r="273" spans="1:54" ht="15.6">
      <c r="A273" s="413">
        <v>272</v>
      </c>
      <c r="B273" s="413" t="s">
        <v>3674</v>
      </c>
      <c r="C273" s="414" t="s">
        <v>16</v>
      </c>
      <c r="D273" s="414" t="s">
        <v>3648</v>
      </c>
      <c r="E273" s="414"/>
      <c r="F273" s="414"/>
      <c r="G273" s="414"/>
      <c r="H273" s="414"/>
      <c r="I273" s="414"/>
      <c r="J273" s="414"/>
      <c r="K273" s="414"/>
      <c r="L273" s="415" t="s">
        <v>4532</v>
      </c>
      <c r="M273" s="416" t="s">
        <v>4517</v>
      </c>
      <c r="N273" s="416" t="s">
        <v>2999</v>
      </c>
      <c r="O273" s="417"/>
      <c r="P273" s="416">
        <v>4590004403</v>
      </c>
      <c r="Q273" s="418">
        <v>44801</v>
      </c>
      <c r="R273" s="419">
        <v>8</v>
      </c>
      <c r="S273" s="458">
        <v>2588.64</v>
      </c>
      <c r="T273" s="420" t="s">
        <v>2156</v>
      </c>
      <c r="U273" s="414" t="s">
        <v>3661</v>
      </c>
      <c r="V273" s="414" t="s">
        <v>3662</v>
      </c>
      <c r="W273" s="417" t="s">
        <v>3663</v>
      </c>
      <c r="X273" s="417"/>
      <c r="Y273" s="421" t="s">
        <v>3652</v>
      </c>
      <c r="Z273" s="421" t="s">
        <v>3652</v>
      </c>
      <c r="AA273" s="416" t="s">
        <v>4518</v>
      </c>
      <c r="AB273" s="414" t="s">
        <v>3664</v>
      </c>
      <c r="AC273" s="422"/>
      <c r="AD273" s="421"/>
      <c r="AE273" s="420"/>
      <c r="AF273" s="421">
        <v>90622</v>
      </c>
      <c r="AG273" s="420" t="s">
        <v>3295</v>
      </c>
      <c r="AH273" s="421" t="s">
        <v>3665</v>
      </c>
      <c r="AI273" s="420" t="s">
        <v>3666</v>
      </c>
      <c r="AJ273" s="413" t="str">
        <f t="shared" si="16"/>
        <v>4590004403_008</v>
      </c>
      <c r="AK273" s="423"/>
      <c r="AL273" s="424">
        <v>45047</v>
      </c>
      <c r="AM273" s="221">
        <v>1035.4559999999999</v>
      </c>
      <c r="AN273" s="226">
        <v>45168</v>
      </c>
      <c r="AO273" s="423" t="s">
        <v>4533</v>
      </c>
      <c r="AP273" s="424">
        <v>45506</v>
      </c>
      <c r="AQ273" s="222">
        <v>1553.18</v>
      </c>
      <c r="AR273" s="424">
        <v>45565</v>
      </c>
      <c r="AS273" s="614">
        <f ca="1">表格1_6[[#This Row],[total amount]]/表格1_6[[#This Row],[PO$]]</f>
        <v>0.99999845478706972</v>
      </c>
      <c r="AT273" s="223">
        <f ca="1">表格1_6[[#This Row],[invoice amount]]+表格1_6[[#This Row],[invoice amount2]]</f>
        <v>2588.636</v>
      </c>
      <c r="AU273" s="224" t="s">
        <v>3725</v>
      </c>
      <c r="AV273" s="423"/>
      <c r="AW273" s="423" t="e">
        <f ca="1">VLOOKUP(表格1_6[[#This Row],[TI tool ID2]],工作表1!A:A,1,FALSE)</f>
        <v>#N/A</v>
      </c>
      <c r="AX273" s="425" t="e">
        <f ca="1">VLOOKUP(表格1_6[[#This Row],[PO+ITEM]],工作表1!B:E,2,FALSE)</f>
        <v>#N/A</v>
      </c>
      <c r="AY273" s="425" t="e">
        <f ca="1">VLOOKUP(表格1_6[[#This Row],[PO+ITEM]],工作表1!B:E,3,FALSE)</f>
        <v>#N/A</v>
      </c>
      <c r="AZ273" s="423" t="e">
        <f ca="1">VLOOKUP(表格1_6[[#This Row],[PO+ITEM]],工作表1!B:E,4,FALSE)</f>
        <v>#N/A</v>
      </c>
      <c r="BA273" s="425" t="e">
        <f ca="1">INDEX(工作表1!G:G, MATCH(表格1_6[[#This Row],[invoice number]]&amp;表格1_6[[#This Row],[invoice number2]],工作表1!G:G, 0))</f>
        <v>#N/A</v>
      </c>
      <c r="BB273" s="423" t="e">
        <f ca="1">VLOOKUP(表格1_6[[#This Row],[PO+ITEM]],工作表1!F:H,2,FALSE)</f>
        <v>#N/A</v>
      </c>
    </row>
    <row r="274" spans="1:54" ht="15.6">
      <c r="A274" s="413">
        <v>273</v>
      </c>
      <c r="B274" s="413" t="s">
        <v>3674</v>
      </c>
      <c r="C274" s="414" t="s">
        <v>16</v>
      </c>
      <c r="D274" s="414" t="s">
        <v>3648</v>
      </c>
      <c r="E274" s="414"/>
      <c r="F274" s="414"/>
      <c r="G274" s="414"/>
      <c r="H274" s="414"/>
      <c r="I274" s="414"/>
      <c r="J274" s="414"/>
      <c r="K274" s="414"/>
      <c r="L274" s="415" t="s">
        <v>4534</v>
      </c>
      <c r="M274" s="416" t="s">
        <v>4517</v>
      </c>
      <c r="N274" s="416" t="s">
        <v>2999</v>
      </c>
      <c r="O274" s="417"/>
      <c r="P274" s="416">
        <v>4590004403</v>
      </c>
      <c r="Q274" s="418">
        <v>44801</v>
      </c>
      <c r="R274" s="419">
        <v>9</v>
      </c>
      <c r="S274" s="458">
        <v>2588.64</v>
      </c>
      <c r="T274" s="420" t="s">
        <v>2156</v>
      </c>
      <c r="U274" s="414" t="s">
        <v>3661</v>
      </c>
      <c r="V274" s="414" t="s">
        <v>3662</v>
      </c>
      <c r="W274" s="417" t="s">
        <v>3663</v>
      </c>
      <c r="X274" s="417"/>
      <c r="Y274" s="421" t="s">
        <v>3652</v>
      </c>
      <c r="Z274" s="421" t="s">
        <v>3652</v>
      </c>
      <c r="AA274" s="416" t="s">
        <v>4518</v>
      </c>
      <c r="AB274" s="414" t="s">
        <v>3664</v>
      </c>
      <c r="AC274" s="422"/>
      <c r="AD274" s="421"/>
      <c r="AE274" s="420"/>
      <c r="AF274" s="421">
        <v>90618</v>
      </c>
      <c r="AG274" s="420" t="s">
        <v>3297</v>
      </c>
      <c r="AH274" s="421" t="s">
        <v>3665</v>
      </c>
      <c r="AI274" s="420" t="s">
        <v>3666</v>
      </c>
      <c r="AJ274" s="413" t="str">
        <f t="shared" si="16"/>
        <v>4590004403_009</v>
      </c>
      <c r="AK274" s="423"/>
      <c r="AL274" s="424">
        <v>45047</v>
      </c>
      <c r="AM274" s="221">
        <v>1035.4559999999999</v>
      </c>
      <c r="AN274" s="226">
        <v>45168</v>
      </c>
      <c r="AO274" s="423" t="s">
        <v>4535</v>
      </c>
      <c r="AP274" s="424">
        <v>45513</v>
      </c>
      <c r="AQ274" s="222">
        <v>1553.18</v>
      </c>
      <c r="AR274" s="424">
        <v>45565</v>
      </c>
      <c r="AS274" s="614">
        <f ca="1">表格1_6[[#This Row],[total amount]]/表格1_6[[#This Row],[PO$]]</f>
        <v>0.99999845478706972</v>
      </c>
      <c r="AT274" s="223">
        <f ca="1">表格1_6[[#This Row],[invoice amount]]+表格1_6[[#This Row],[invoice amount2]]</f>
        <v>2588.636</v>
      </c>
      <c r="AU274" s="224" t="s">
        <v>3725</v>
      </c>
      <c r="AV274" s="423"/>
      <c r="AW274" s="423" t="e">
        <f ca="1">VLOOKUP(表格1_6[[#This Row],[TI tool ID2]],工作表1!A:A,1,FALSE)</f>
        <v>#N/A</v>
      </c>
      <c r="AX274" s="425" t="e">
        <f ca="1">VLOOKUP(表格1_6[[#This Row],[PO+ITEM]],工作表1!B:E,2,FALSE)</f>
        <v>#N/A</v>
      </c>
      <c r="AY274" s="424" t="e">
        <f ca="1">VLOOKUP(表格1_6[[#This Row],[PO+ITEM]],工作表1!B:E,3,FALSE)</f>
        <v>#N/A</v>
      </c>
      <c r="AZ274" s="423" t="e">
        <f ca="1">VLOOKUP(表格1_6[[#This Row],[PO+ITEM]],工作表1!B:E,4,FALSE)</f>
        <v>#N/A</v>
      </c>
      <c r="BA274" s="425" t="e">
        <f ca="1">INDEX(工作表1!G:G, MATCH(表格1_6[[#This Row],[invoice number]]&amp;表格1_6[[#This Row],[invoice number2]],工作表1!G:G, 0))</f>
        <v>#N/A</v>
      </c>
      <c r="BB274" s="423" t="e">
        <f ca="1">VLOOKUP(表格1_6[[#This Row],[PO+ITEM]],工作表1!F:H,2,FALSE)</f>
        <v>#N/A</v>
      </c>
    </row>
    <row r="275" spans="1:54" ht="15.6">
      <c r="A275" s="413">
        <v>274</v>
      </c>
      <c r="B275" s="413" t="s">
        <v>3674</v>
      </c>
      <c r="C275" s="414" t="s">
        <v>16</v>
      </c>
      <c r="D275" s="414" t="s">
        <v>3648</v>
      </c>
      <c r="E275" s="414"/>
      <c r="F275" s="414"/>
      <c r="G275" s="414"/>
      <c r="H275" s="414"/>
      <c r="I275" s="414"/>
      <c r="J275" s="414"/>
      <c r="K275" s="414"/>
      <c r="L275" s="420" t="s">
        <v>4536</v>
      </c>
      <c r="M275" s="416" t="s">
        <v>4517</v>
      </c>
      <c r="N275" s="416" t="s">
        <v>2999</v>
      </c>
      <c r="O275" s="417"/>
      <c r="P275" s="416">
        <v>4590004403</v>
      </c>
      <c r="Q275" s="418">
        <v>44801</v>
      </c>
      <c r="R275" s="419">
        <v>10</v>
      </c>
      <c r="S275" s="458">
        <v>2588.64</v>
      </c>
      <c r="T275" s="420" t="s">
        <v>2156</v>
      </c>
      <c r="U275" s="414" t="s">
        <v>3661</v>
      </c>
      <c r="V275" s="414" t="s">
        <v>3662</v>
      </c>
      <c r="W275" s="417" t="s">
        <v>3663</v>
      </c>
      <c r="X275" s="417"/>
      <c r="Y275" s="421" t="s">
        <v>3652</v>
      </c>
      <c r="Z275" s="421" t="s">
        <v>3652</v>
      </c>
      <c r="AA275" s="416" t="s">
        <v>4518</v>
      </c>
      <c r="AB275" s="414" t="s">
        <v>3664</v>
      </c>
      <c r="AC275" s="422"/>
      <c r="AD275" s="421"/>
      <c r="AE275" s="420"/>
      <c r="AF275" s="421">
        <v>90617</v>
      </c>
      <c r="AG275" s="420" t="s">
        <v>3197</v>
      </c>
      <c r="AH275" s="421" t="s">
        <v>3665</v>
      </c>
      <c r="AI275" s="420" t="s">
        <v>3666</v>
      </c>
      <c r="AJ275" s="413" t="str">
        <f t="shared" ref="AJ275:AJ285" si="17">P275&amp;"_0"&amp;R275</f>
        <v>4590004403_010</v>
      </c>
      <c r="AK275" s="423"/>
      <c r="AL275" s="424">
        <v>45047</v>
      </c>
      <c r="AM275" s="221">
        <v>1035.4559999999999</v>
      </c>
      <c r="AN275" s="226">
        <v>45168</v>
      </c>
      <c r="AO275" s="423" t="s">
        <v>4537</v>
      </c>
      <c r="AP275" s="424">
        <v>45506</v>
      </c>
      <c r="AQ275" s="222">
        <v>1553.18</v>
      </c>
      <c r="AR275" s="424">
        <v>45565</v>
      </c>
      <c r="AS275" s="614">
        <f ca="1">表格1_6[[#This Row],[total amount]]/表格1_6[[#This Row],[PO$]]</f>
        <v>0.99999845478706972</v>
      </c>
      <c r="AT275" s="223">
        <f ca="1">表格1_6[[#This Row],[invoice amount]]+表格1_6[[#This Row],[invoice amount2]]</f>
        <v>2588.636</v>
      </c>
      <c r="AU275" s="224" t="s">
        <v>3725</v>
      </c>
      <c r="AV275" s="423"/>
      <c r="AW275" s="423" t="e">
        <f ca="1">VLOOKUP(表格1_6[[#This Row],[TI tool ID2]],工作表1!A:A,1,FALSE)</f>
        <v>#N/A</v>
      </c>
      <c r="AX275" s="425" t="e">
        <f ca="1">VLOOKUP(表格1_6[[#This Row],[PO+ITEM]],工作表1!B:E,2,FALSE)</f>
        <v>#N/A</v>
      </c>
      <c r="AY275" s="425" t="e">
        <f ca="1">VLOOKUP(表格1_6[[#This Row],[PO+ITEM]],工作表1!B:E,3,FALSE)</f>
        <v>#N/A</v>
      </c>
      <c r="AZ275" s="423" t="e">
        <f ca="1">VLOOKUP(表格1_6[[#This Row],[PO+ITEM]],工作表1!B:E,4,FALSE)</f>
        <v>#N/A</v>
      </c>
      <c r="BA275" s="425" t="e">
        <f ca="1">INDEX(工作表1!G:G, MATCH(表格1_6[[#This Row],[invoice number]]&amp;表格1_6[[#This Row],[invoice number2]],工作表1!G:G, 0))</f>
        <v>#N/A</v>
      </c>
      <c r="BB275" s="423" t="e">
        <f ca="1">VLOOKUP(表格1_6[[#This Row],[PO+ITEM]],工作表1!F:H,2,FALSE)</f>
        <v>#N/A</v>
      </c>
    </row>
    <row r="276" spans="1:54" ht="15.6">
      <c r="A276" s="413">
        <v>275</v>
      </c>
      <c r="B276" s="413" t="s">
        <v>3659</v>
      </c>
      <c r="C276" s="414" t="s">
        <v>16</v>
      </c>
      <c r="D276" s="414" t="s">
        <v>3648</v>
      </c>
      <c r="E276" s="414"/>
      <c r="F276" s="414"/>
      <c r="G276" s="414"/>
      <c r="H276" s="414"/>
      <c r="I276" s="414"/>
      <c r="J276" s="414"/>
      <c r="K276" s="414"/>
      <c r="L276" s="415" t="s">
        <v>4538</v>
      </c>
      <c r="M276" s="416" t="s">
        <v>4517</v>
      </c>
      <c r="N276" s="416" t="s">
        <v>2999</v>
      </c>
      <c r="O276" s="417"/>
      <c r="P276" s="416">
        <v>4590004403</v>
      </c>
      <c r="Q276" s="418">
        <v>44801</v>
      </c>
      <c r="R276" s="419">
        <v>11</v>
      </c>
      <c r="S276" s="458">
        <v>2588.64</v>
      </c>
      <c r="T276" s="420" t="s">
        <v>2156</v>
      </c>
      <c r="U276" s="414" t="s">
        <v>3661</v>
      </c>
      <c r="V276" s="414" t="s">
        <v>3662</v>
      </c>
      <c r="W276" s="417" t="s">
        <v>3663</v>
      </c>
      <c r="X276" s="417"/>
      <c r="Y276" s="421" t="s">
        <v>3652</v>
      </c>
      <c r="Z276" s="421" t="s">
        <v>3652</v>
      </c>
      <c r="AA276" s="416" t="s">
        <v>4518</v>
      </c>
      <c r="AB276" s="414" t="s">
        <v>3664</v>
      </c>
      <c r="AC276" s="422"/>
      <c r="AD276" s="421"/>
      <c r="AE276" s="420"/>
      <c r="AF276" s="421">
        <v>90616</v>
      </c>
      <c r="AG276" s="420" t="s">
        <v>3199</v>
      </c>
      <c r="AH276" s="421" t="s">
        <v>3665</v>
      </c>
      <c r="AI276" s="420" t="s">
        <v>3666</v>
      </c>
      <c r="AJ276" s="413" t="str">
        <f t="shared" si="17"/>
        <v>4590004403_011</v>
      </c>
      <c r="AK276" s="423"/>
      <c r="AL276" s="424">
        <v>45047</v>
      </c>
      <c r="AM276" s="221">
        <v>1035.4559999999999</v>
      </c>
      <c r="AN276" s="226">
        <v>45168</v>
      </c>
      <c r="AO276" s="423"/>
      <c r="AP276" s="413"/>
      <c r="AQ276" s="222"/>
      <c r="AR276" s="424"/>
      <c r="AS276" s="614">
        <f ca="1">表格1_6[[#This Row],[total amount]]/表格1_6[[#This Row],[PO$]]</f>
        <v>0.39999999999999997</v>
      </c>
      <c r="AT276" s="223">
        <f ca="1">表格1_6[[#This Row],[invoice amount]]+表格1_6[[#This Row],[invoice amount2]]</f>
        <v>1035.4559999999999</v>
      </c>
      <c r="AU276" s="224" t="s">
        <v>3673</v>
      </c>
      <c r="AV276" s="423"/>
      <c r="AW276" s="423" t="e">
        <f ca="1">VLOOKUP(表格1_6[[#This Row],[TI tool ID2]],工作表1!A:A,1,FALSE)</f>
        <v>#N/A</v>
      </c>
      <c r="AX276" s="425" t="e">
        <f ca="1">VLOOKUP(表格1_6[[#This Row],[PO+ITEM]],工作表1!B:E,2,FALSE)</f>
        <v>#N/A</v>
      </c>
      <c r="AY276" s="425" t="e">
        <f ca="1">VLOOKUP(表格1_6[[#This Row],[PO+ITEM]],工作表1!B:E,3,FALSE)</f>
        <v>#N/A</v>
      </c>
      <c r="AZ276" s="423" t="e">
        <f ca="1">VLOOKUP(表格1_6[[#This Row],[PO+ITEM]],工作表1!B:E,4,FALSE)</f>
        <v>#N/A</v>
      </c>
      <c r="BA276" s="425" t="e">
        <f ca="1">INDEX(工作表1!G:G, MATCH(表格1_6[[#This Row],[invoice number]]&amp;表格1_6[[#This Row],[invoice number2]],工作表1!G:G, 0))</f>
        <v>#N/A</v>
      </c>
      <c r="BB276" s="423" t="e">
        <f ca="1">VLOOKUP(表格1_6[[#This Row],[PO+ITEM]],工作表1!F:H,2,FALSE)</f>
        <v>#N/A</v>
      </c>
    </row>
    <row r="277" spans="1:54" ht="15.6">
      <c r="A277" s="413">
        <v>276</v>
      </c>
      <c r="B277" s="413" t="s">
        <v>3674</v>
      </c>
      <c r="C277" s="414" t="s">
        <v>16</v>
      </c>
      <c r="D277" s="414" t="s">
        <v>3648</v>
      </c>
      <c r="E277" s="414"/>
      <c r="F277" s="414"/>
      <c r="G277" s="414"/>
      <c r="H277" s="414"/>
      <c r="I277" s="414"/>
      <c r="J277" s="414"/>
      <c r="K277" s="414"/>
      <c r="L277" s="420" t="s">
        <v>4539</v>
      </c>
      <c r="M277" s="416" t="s">
        <v>4517</v>
      </c>
      <c r="N277" s="416" t="s">
        <v>2999</v>
      </c>
      <c r="O277" s="417"/>
      <c r="P277" s="416">
        <v>4590004403</v>
      </c>
      <c r="Q277" s="418">
        <v>44801</v>
      </c>
      <c r="R277" s="419">
        <v>12</v>
      </c>
      <c r="S277" s="458">
        <v>2588.64</v>
      </c>
      <c r="T277" s="420" t="s">
        <v>2156</v>
      </c>
      <c r="U277" s="414" t="s">
        <v>3661</v>
      </c>
      <c r="V277" s="414" t="s">
        <v>3662</v>
      </c>
      <c r="W277" s="417" t="s">
        <v>3663</v>
      </c>
      <c r="X277" s="417"/>
      <c r="Y277" s="421" t="s">
        <v>3652</v>
      </c>
      <c r="Z277" s="421" t="s">
        <v>3652</v>
      </c>
      <c r="AA277" s="416" t="s">
        <v>4518</v>
      </c>
      <c r="AB277" s="414" t="s">
        <v>3664</v>
      </c>
      <c r="AC277" s="422"/>
      <c r="AD277" s="421"/>
      <c r="AE277" s="420"/>
      <c r="AF277" s="421">
        <v>90624</v>
      </c>
      <c r="AG277" s="420" t="s">
        <v>3293</v>
      </c>
      <c r="AH277" s="421" t="s">
        <v>3665</v>
      </c>
      <c r="AI277" s="420" t="s">
        <v>3666</v>
      </c>
      <c r="AJ277" s="413" t="str">
        <f t="shared" si="17"/>
        <v>4590004403_012</v>
      </c>
      <c r="AK277" s="423"/>
      <c r="AL277" s="424">
        <v>45047</v>
      </c>
      <c r="AM277" s="221">
        <v>1035.4559999999999</v>
      </c>
      <c r="AN277" s="226">
        <v>45168</v>
      </c>
      <c r="AO277" s="423" t="s">
        <v>4540</v>
      </c>
      <c r="AP277" s="424">
        <v>45506</v>
      </c>
      <c r="AQ277" s="222">
        <v>1553.18</v>
      </c>
      <c r="AR277" s="424">
        <v>45565</v>
      </c>
      <c r="AS277" s="614">
        <f ca="1">表格1_6[[#This Row],[total amount]]/表格1_6[[#This Row],[PO$]]</f>
        <v>0.99999845478706972</v>
      </c>
      <c r="AT277" s="223">
        <f ca="1">表格1_6[[#This Row],[invoice amount]]+表格1_6[[#This Row],[invoice amount2]]</f>
        <v>2588.636</v>
      </c>
      <c r="AU277" s="224" t="s">
        <v>3725</v>
      </c>
      <c r="AV277" s="423"/>
      <c r="AW277" s="423" t="e">
        <f ca="1">VLOOKUP(表格1_6[[#This Row],[TI tool ID2]],工作表1!A:A,1,FALSE)</f>
        <v>#N/A</v>
      </c>
      <c r="AX277" s="425" t="e">
        <f ca="1">VLOOKUP(表格1_6[[#This Row],[PO+ITEM]],工作表1!B:E,2,FALSE)</f>
        <v>#N/A</v>
      </c>
      <c r="AY277" s="425" t="e">
        <f ca="1">VLOOKUP(表格1_6[[#This Row],[PO+ITEM]],工作表1!B:E,3,FALSE)</f>
        <v>#N/A</v>
      </c>
      <c r="AZ277" s="423" t="e">
        <f ca="1">VLOOKUP(表格1_6[[#This Row],[PO+ITEM]],工作表1!B:E,4,FALSE)</f>
        <v>#N/A</v>
      </c>
      <c r="BA277" s="425" t="e">
        <f ca="1">INDEX(工作表1!G:G, MATCH(表格1_6[[#This Row],[invoice number]]&amp;表格1_6[[#This Row],[invoice number2]],工作表1!G:G, 0))</f>
        <v>#N/A</v>
      </c>
      <c r="BB277" s="423" t="e">
        <f ca="1">VLOOKUP(表格1_6[[#This Row],[PO+ITEM]],工作表1!F:H,2,FALSE)</f>
        <v>#N/A</v>
      </c>
    </row>
    <row r="278" spans="1:54" ht="15.6">
      <c r="A278" s="413">
        <v>277</v>
      </c>
      <c r="B278" s="413" t="s">
        <v>3674</v>
      </c>
      <c r="C278" s="414" t="s">
        <v>16</v>
      </c>
      <c r="D278" s="414" t="s">
        <v>3648</v>
      </c>
      <c r="E278" s="414"/>
      <c r="F278" s="414"/>
      <c r="G278" s="414"/>
      <c r="H278" s="414"/>
      <c r="I278" s="414"/>
      <c r="J278" s="414"/>
      <c r="K278" s="414"/>
      <c r="L278" s="415" t="s">
        <v>4541</v>
      </c>
      <c r="M278" s="416" t="s">
        <v>4517</v>
      </c>
      <c r="N278" s="416" t="s">
        <v>2999</v>
      </c>
      <c r="O278" s="417"/>
      <c r="P278" s="416">
        <v>4590004403</v>
      </c>
      <c r="Q278" s="418">
        <v>44801</v>
      </c>
      <c r="R278" s="419">
        <v>13</v>
      </c>
      <c r="S278" s="458">
        <v>2588.64</v>
      </c>
      <c r="T278" s="420" t="s">
        <v>2156</v>
      </c>
      <c r="U278" s="414" t="s">
        <v>3661</v>
      </c>
      <c r="V278" s="414" t="s">
        <v>3662</v>
      </c>
      <c r="W278" s="417" t="s">
        <v>3663</v>
      </c>
      <c r="X278" s="417"/>
      <c r="Y278" s="421" t="s">
        <v>3652</v>
      </c>
      <c r="Z278" s="421" t="s">
        <v>3652</v>
      </c>
      <c r="AA278" s="416" t="s">
        <v>4518</v>
      </c>
      <c r="AB278" s="414" t="s">
        <v>3664</v>
      </c>
      <c r="AC278" s="422"/>
      <c r="AD278" s="421"/>
      <c r="AE278" s="420"/>
      <c r="AF278" s="421">
        <v>90623</v>
      </c>
      <c r="AG278" s="420" t="s">
        <v>3195</v>
      </c>
      <c r="AH278" s="421" t="s">
        <v>3665</v>
      </c>
      <c r="AI278" s="420" t="s">
        <v>3666</v>
      </c>
      <c r="AJ278" s="413" t="str">
        <f t="shared" si="17"/>
        <v>4590004403_013</v>
      </c>
      <c r="AK278" s="423"/>
      <c r="AL278" s="427">
        <v>45047</v>
      </c>
      <c r="AM278" s="221">
        <v>0</v>
      </c>
      <c r="AN278" s="431" t="s">
        <v>3788</v>
      </c>
      <c r="AO278" s="423" t="s">
        <v>4542</v>
      </c>
      <c r="AP278" s="424">
        <v>45506</v>
      </c>
      <c r="AQ278" s="222">
        <v>2588.64</v>
      </c>
      <c r="AR278" s="424">
        <v>45565</v>
      </c>
      <c r="AS278" s="614">
        <f ca="1">表格1_6[[#This Row],[total amount]]/表格1_6[[#This Row],[PO$]]</f>
        <v>1</v>
      </c>
      <c r="AT278" s="223">
        <f ca="1">表格1_6[[#This Row],[invoice amount]]+表格1_6[[#This Row],[invoice amount2]]</f>
        <v>2588.64</v>
      </c>
      <c r="AU278" s="224" t="s">
        <v>3725</v>
      </c>
      <c r="AV278" s="423" t="s">
        <v>4543</v>
      </c>
      <c r="AW278" s="423" t="e">
        <f ca="1">VLOOKUP(表格1_6[[#This Row],[TI tool ID2]],工作表1!A:A,1,FALSE)</f>
        <v>#N/A</v>
      </c>
      <c r="AX278" s="425" t="e">
        <f ca="1">VLOOKUP(表格1_6[[#This Row],[PO+ITEM]],工作表1!B:E,2,FALSE)</f>
        <v>#N/A</v>
      </c>
      <c r="AY278" s="425" t="e">
        <f ca="1">VLOOKUP(表格1_6[[#This Row],[PO+ITEM]],工作表1!B:E,3,FALSE)</f>
        <v>#N/A</v>
      </c>
      <c r="AZ278" s="423" t="e">
        <f ca="1">VLOOKUP(表格1_6[[#This Row],[PO+ITEM]],工作表1!B:E,4,FALSE)</f>
        <v>#N/A</v>
      </c>
      <c r="BA278" s="425" t="e">
        <f ca="1">INDEX(工作表1!G:G, MATCH(表格1_6[[#This Row],[invoice number]]&amp;表格1_6[[#This Row],[invoice number2]],工作表1!G:G, 0))</f>
        <v>#N/A</v>
      </c>
      <c r="BB278" s="423" t="e">
        <f ca="1">VLOOKUP(表格1_6[[#This Row],[PO+ITEM]],工作表1!F:H,2,FALSE)</f>
        <v>#N/A</v>
      </c>
    </row>
    <row r="279" spans="1:54" ht="15.6">
      <c r="A279" s="413">
        <v>278</v>
      </c>
      <c r="B279" s="413" t="s">
        <v>3674</v>
      </c>
      <c r="C279" s="414" t="s">
        <v>16</v>
      </c>
      <c r="D279" s="414" t="s">
        <v>3648</v>
      </c>
      <c r="E279" s="414"/>
      <c r="F279" s="414"/>
      <c r="G279" s="414"/>
      <c r="H279" s="414"/>
      <c r="I279" s="414"/>
      <c r="J279" s="414"/>
      <c r="K279" s="414"/>
      <c r="L279" s="415" t="s">
        <v>4544</v>
      </c>
      <c r="M279" s="416" t="s">
        <v>4517</v>
      </c>
      <c r="N279" s="416" t="s">
        <v>2999</v>
      </c>
      <c r="O279" s="417"/>
      <c r="P279" s="416">
        <v>4590004403</v>
      </c>
      <c r="Q279" s="418">
        <v>44801</v>
      </c>
      <c r="R279" s="419">
        <v>14</v>
      </c>
      <c r="S279" s="458">
        <v>2588.64</v>
      </c>
      <c r="T279" s="420" t="s">
        <v>2156</v>
      </c>
      <c r="U279" s="414" t="s">
        <v>3661</v>
      </c>
      <c r="V279" s="414" t="s">
        <v>3662</v>
      </c>
      <c r="W279" s="417" t="s">
        <v>3663</v>
      </c>
      <c r="X279" s="417"/>
      <c r="Y279" s="421" t="s">
        <v>3652</v>
      </c>
      <c r="Z279" s="421" t="s">
        <v>3652</v>
      </c>
      <c r="AA279" s="416" t="s">
        <v>4518</v>
      </c>
      <c r="AB279" s="414" t="s">
        <v>3664</v>
      </c>
      <c r="AC279" s="422"/>
      <c r="AD279" s="421"/>
      <c r="AE279" s="420"/>
      <c r="AF279" s="421">
        <v>90615</v>
      </c>
      <c r="AG279" s="420" t="s">
        <v>3307</v>
      </c>
      <c r="AH279" s="421" t="s">
        <v>3665</v>
      </c>
      <c r="AI279" s="420" t="s">
        <v>3666</v>
      </c>
      <c r="AJ279" s="413" t="str">
        <f t="shared" si="17"/>
        <v>4590004403_014</v>
      </c>
      <c r="AK279" s="423"/>
      <c r="AL279" s="424">
        <v>45047</v>
      </c>
      <c r="AM279" s="221">
        <v>1035.4559999999999</v>
      </c>
      <c r="AN279" s="226">
        <v>45168</v>
      </c>
      <c r="AO279" s="423" t="s">
        <v>4545</v>
      </c>
      <c r="AP279" s="424">
        <v>45506</v>
      </c>
      <c r="AQ279" s="222">
        <v>1553.18</v>
      </c>
      <c r="AR279" s="424">
        <v>45565</v>
      </c>
      <c r="AS279" s="614">
        <f ca="1">表格1_6[[#This Row],[total amount]]/表格1_6[[#This Row],[PO$]]</f>
        <v>0.99999845478706972</v>
      </c>
      <c r="AT279" s="223">
        <f ca="1">表格1_6[[#This Row],[invoice amount]]+表格1_6[[#This Row],[invoice amount2]]</f>
        <v>2588.636</v>
      </c>
      <c r="AU279" s="224" t="s">
        <v>3725</v>
      </c>
      <c r="AV279" s="423"/>
      <c r="AW279" s="423" t="e">
        <f ca="1">VLOOKUP(表格1_6[[#This Row],[TI tool ID2]],工作表1!A:A,1,FALSE)</f>
        <v>#N/A</v>
      </c>
      <c r="AX279" s="425" t="e">
        <f ca="1">VLOOKUP(表格1_6[[#This Row],[PO+ITEM]],工作表1!B:E,2,FALSE)</f>
        <v>#N/A</v>
      </c>
      <c r="AY279" s="425" t="e">
        <f ca="1">VLOOKUP(表格1_6[[#This Row],[PO+ITEM]],工作表1!B:E,3,FALSE)</f>
        <v>#N/A</v>
      </c>
      <c r="AZ279" s="423" t="e">
        <f ca="1">VLOOKUP(表格1_6[[#This Row],[PO+ITEM]],工作表1!B:E,4,FALSE)</f>
        <v>#N/A</v>
      </c>
      <c r="BA279" s="425" t="e">
        <f ca="1">INDEX(工作表1!G:G, MATCH(表格1_6[[#This Row],[invoice number]]&amp;表格1_6[[#This Row],[invoice number2]],工作表1!G:G, 0))</f>
        <v>#N/A</v>
      </c>
      <c r="BB279" s="423" t="e">
        <f ca="1">VLOOKUP(表格1_6[[#This Row],[PO+ITEM]],工作表1!F:H,2,FALSE)</f>
        <v>#N/A</v>
      </c>
    </row>
    <row r="280" spans="1:54" ht="15.6">
      <c r="A280" s="413">
        <v>279</v>
      </c>
      <c r="B280" s="413" t="s">
        <v>3674</v>
      </c>
      <c r="C280" s="414" t="s">
        <v>16</v>
      </c>
      <c r="D280" s="414" t="s">
        <v>3648</v>
      </c>
      <c r="E280" s="414"/>
      <c r="F280" s="414"/>
      <c r="G280" s="414"/>
      <c r="H280" s="414"/>
      <c r="I280" s="414"/>
      <c r="J280" s="414"/>
      <c r="K280" s="414"/>
      <c r="L280" s="415" t="s">
        <v>4546</v>
      </c>
      <c r="M280" s="416" t="s">
        <v>4517</v>
      </c>
      <c r="N280" s="416" t="s">
        <v>2999</v>
      </c>
      <c r="O280" s="417"/>
      <c r="P280" s="416">
        <v>4590004403</v>
      </c>
      <c r="Q280" s="418">
        <v>44801</v>
      </c>
      <c r="R280" s="419">
        <v>15</v>
      </c>
      <c r="S280" s="458">
        <v>2588.64</v>
      </c>
      <c r="T280" s="420" t="s">
        <v>2156</v>
      </c>
      <c r="U280" s="414" t="s">
        <v>3661</v>
      </c>
      <c r="V280" s="414" t="s">
        <v>3662</v>
      </c>
      <c r="W280" s="417" t="s">
        <v>3663</v>
      </c>
      <c r="X280" s="417"/>
      <c r="Y280" s="421" t="s">
        <v>3652</v>
      </c>
      <c r="Z280" s="421" t="s">
        <v>3652</v>
      </c>
      <c r="AA280" s="416" t="s">
        <v>4518</v>
      </c>
      <c r="AB280" s="414" t="s">
        <v>3664</v>
      </c>
      <c r="AC280" s="422"/>
      <c r="AD280" s="421"/>
      <c r="AE280" s="420"/>
      <c r="AF280" s="421">
        <v>90619</v>
      </c>
      <c r="AG280" s="420" t="s">
        <v>3316</v>
      </c>
      <c r="AH280" s="421" t="s">
        <v>3665</v>
      </c>
      <c r="AI280" s="420" t="s">
        <v>3666</v>
      </c>
      <c r="AJ280" s="413" t="str">
        <f t="shared" si="17"/>
        <v>4590004403_015</v>
      </c>
      <c r="AK280" s="423"/>
      <c r="AL280" s="424">
        <v>45047</v>
      </c>
      <c r="AM280" s="221">
        <v>1035.4559999999999</v>
      </c>
      <c r="AN280" s="226">
        <v>45168</v>
      </c>
      <c r="AO280" s="425" t="s">
        <v>4547</v>
      </c>
      <c r="AP280" s="424">
        <v>45513</v>
      </c>
      <c r="AQ280" s="423">
        <v>1553.18</v>
      </c>
      <c r="AR280" s="424">
        <v>45565</v>
      </c>
      <c r="AS280" s="614">
        <f ca="1">表格1_6[[#This Row],[total amount]]/表格1_6[[#This Row],[PO$]]</f>
        <v>0.99999845478706972</v>
      </c>
      <c r="AT280" s="223">
        <f ca="1">表格1_6[[#This Row],[invoice amount]]+表格1_6[[#This Row],[invoice amount2]]</f>
        <v>2588.636</v>
      </c>
      <c r="AU280" s="224" t="s">
        <v>3725</v>
      </c>
      <c r="AV280" s="423"/>
      <c r="AW280" s="423" t="e">
        <f ca="1">VLOOKUP(表格1_6[[#This Row],[TI tool ID2]],工作表1!A:A,1,FALSE)</f>
        <v>#N/A</v>
      </c>
      <c r="AX280" s="425" t="e">
        <f ca="1">VLOOKUP(表格1_6[[#This Row],[PO+ITEM]],工作表1!B:E,2,FALSE)</f>
        <v>#N/A</v>
      </c>
      <c r="AY280" s="424" t="e">
        <f ca="1">VLOOKUP(表格1_6[[#This Row],[PO+ITEM]],工作表1!B:E,3,FALSE)</f>
        <v>#N/A</v>
      </c>
      <c r="AZ280" s="423" t="e">
        <f ca="1">VLOOKUP(表格1_6[[#This Row],[PO+ITEM]],工作表1!B:E,4,FALSE)</f>
        <v>#N/A</v>
      </c>
      <c r="BA280" s="425" t="e">
        <f ca="1">INDEX(工作表1!G:G, MATCH(表格1_6[[#This Row],[invoice number]]&amp;表格1_6[[#This Row],[invoice number2]],工作表1!G:G, 0))</f>
        <v>#N/A</v>
      </c>
      <c r="BB280" s="423" t="e">
        <f ca="1">VLOOKUP(表格1_6[[#This Row],[PO+ITEM]],工作表1!F:H,2,FALSE)</f>
        <v>#N/A</v>
      </c>
    </row>
    <row r="281" spans="1:54" ht="15.6">
      <c r="A281" s="413">
        <v>280</v>
      </c>
      <c r="B281" s="413" t="s">
        <v>3674</v>
      </c>
      <c r="C281" s="414" t="s">
        <v>16</v>
      </c>
      <c r="D281" s="414" t="s">
        <v>3648</v>
      </c>
      <c r="E281" s="414"/>
      <c r="F281" s="414"/>
      <c r="G281" s="414"/>
      <c r="H281" s="414"/>
      <c r="I281" s="414"/>
      <c r="J281" s="414"/>
      <c r="K281" s="414"/>
      <c r="L281" s="415" t="s">
        <v>4548</v>
      </c>
      <c r="M281" s="416" t="s">
        <v>4517</v>
      </c>
      <c r="N281" s="416" t="s">
        <v>2999</v>
      </c>
      <c r="O281" s="417"/>
      <c r="P281" s="416">
        <v>4590004403</v>
      </c>
      <c r="Q281" s="418">
        <v>44801</v>
      </c>
      <c r="R281" s="419">
        <v>16</v>
      </c>
      <c r="S281" s="458">
        <v>2588.64</v>
      </c>
      <c r="T281" s="420" t="s">
        <v>2156</v>
      </c>
      <c r="U281" s="414" t="s">
        <v>3661</v>
      </c>
      <c r="V281" s="414" t="s">
        <v>3662</v>
      </c>
      <c r="W281" s="417" t="s">
        <v>3663</v>
      </c>
      <c r="X281" s="417"/>
      <c r="Y281" s="421" t="s">
        <v>3652</v>
      </c>
      <c r="Z281" s="421" t="s">
        <v>3652</v>
      </c>
      <c r="AA281" s="416" t="s">
        <v>4518</v>
      </c>
      <c r="AB281" s="414" t="s">
        <v>3664</v>
      </c>
      <c r="AC281" s="422"/>
      <c r="AD281" s="421"/>
      <c r="AE281" s="420"/>
      <c r="AF281" s="421">
        <v>90620</v>
      </c>
      <c r="AG281" s="420" t="s">
        <v>3326</v>
      </c>
      <c r="AH281" s="421" t="s">
        <v>3665</v>
      </c>
      <c r="AI281" s="420" t="s">
        <v>3666</v>
      </c>
      <c r="AJ281" s="413" t="str">
        <f t="shared" si="17"/>
        <v>4590004403_016</v>
      </c>
      <c r="AK281" s="423"/>
      <c r="AL281" s="424">
        <v>45047</v>
      </c>
      <c r="AM281" s="221">
        <v>1035.4559999999999</v>
      </c>
      <c r="AN281" s="226">
        <v>45168</v>
      </c>
      <c r="AO281" s="423" t="s">
        <v>4549</v>
      </c>
      <c r="AP281" s="424">
        <v>45506</v>
      </c>
      <c r="AQ281" s="222">
        <v>1553.18</v>
      </c>
      <c r="AR281" s="424">
        <v>45565</v>
      </c>
      <c r="AS281" s="614">
        <f ca="1">表格1_6[[#This Row],[total amount]]/表格1_6[[#This Row],[PO$]]</f>
        <v>0.99999845478706972</v>
      </c>
      <c r="AT281" s="223">
        <f ca="1">表格1_6[[#This Row],[invoice amount]]+表格1_6[[#This Row],[invoice amount2]]</f>
        <v>2588.636</v>
      </c>
      <c r="AU281" s="224" t="s">
        <v>3725</v>
      </c>
      <c r="AV281" s="423"/>
      <c r="AW281" s="423" t="e">
        <f ca="1">VLOOKUP(表格1_6[[#This Row],[TI tool ID2]],工作表1!A:A,1,FALSE)</f>
        <v>#N/A</v>
      </c>
      <c r="AX281" s="425" t="e">
        <f ca="1">VLOOKUP(表格1_6[[#This Row],[PO+ITEM]],工作表1!B:E,2,FALSE)</f>
        <v>#N/A</v>
      </c>
      <c r="AY281" s="425" t="e">
        <f ca="1">VLOOKUP(表格1_6[[#This Row],[PO+ITEM]],工作表1!B:E,3,FALSE)</f>
        <v>#N/A</v>
      </c>
      <c r="AZ281" s="423" t="e">
        <f ca="1">VLOOKUP(表格1_6[[#This Row],[PO+ITEM]],工作表1!B:E,4,FALSE)</f>
        <v>#N/A</v>
      </c>
      <c r="BA281" s="425" t="e">
        <f ca="1">INDEX(工作表1!G:G, MATCH(表格1_6[[#This Row],[invoice number]]&amp;表格1_6[[#This Row],[invoice number2]],工作表1!G:G, 0))</f>
        <v>#N/A</v>
      </c>
      <c r="BB281" s="423" t="e">
        <f ca="1">VLOOKUP(表格1_6[[#This Row],[PO+ITEM]],工作表1!F:H,2,FALSE)</f>
        <v>#N/A</v>
      </c>
    </row>
    <row r="282" spans="1:54" ht="15.6">
      <c r="A282" s="413">
        <v>281</v>
      </c>
      <c r="B282" s="413" t="s">
        <v>3674</v>
      </c>
      <c r="C282" s="414" t="s">
        <v>16</v>
      </c>
      <c r="D282" s="414" t="s">
        <v>3648</v>
      </c>
      <c r="E282" s="414"/>
      <c r="F282" s="414"/>
      <c r="G282" s="414"/>
      <c r="H282" s="414"/>
      <c r="I282" s="414"/>
      <c r="J282" s="414"/>
      <c r="K282" s="414"/>
      <c r="L282" s="415" t="s">
        <v>4550</v>
      </c>
      <c r="M282" s="416" t="s">
        <v>4517</v>
      </c>
      <c r="N282" s="416" t="s">
        <v>2999</v>
      </c>
      <c r="O282" s="417"/>
      <c r="P282" s="416">
        <v>4590004403</v>
      </c>
      <c r="Q282" s="418">
        <v>44801</v>
      </c>
      <c r="R282" s="419">
        <v>17</v>
      </c>
      <c r="S282" s="458">
        <v>2588.64</v>
      </c>
      <c r="T282" s="420" t="s">
        <v>2156</v>
      </c>
      <c r="U282" s="414" t="s">
        <v>3661</v>
      </c>
      <c r="V282" s="414" t="s">
        <v>3662</v>
      </c>
      <c r="W282" s="417" t="s">
        <v>3663</v>
      </c>
      <c r="X282" s="417"/>
      <c r="Y282" s="421" t="s">
        <v>3652</v>
      </c>
      <c r="Z282" s="421" t="s">
        <v>3652</v>
      </c>
      <c r="AA282" s="416" t="s">
        <v>4518</v>
      </c>
      <c r="AB282" s="414" t="s">
        <v>3664</v>
      </c>
      <c r="AC282" s="422"/>
      <c r="AD282" s="421"/>
      <c r="AE282" s="420"/>
      <c r="AF282" s="421">
        <v>90758</v>
      </c>
      <c r="AG282" s="420" t="s">
        <v>3363</v>
      </c>
      <c r="AH282" s="421" t="s">
        <v>3665</v>
      </c>
      <c r="AI282" s="420" t="s">
        <v>3666</v>
      </c>
      <c r="AJ282" s="413" t="str">
        <f t="shared" si="17"/>
        <v>4590004403_017</v>
      </c>
      <c r="AK282" s="423"/>
      <c r="AL282" s="424">
        <v>45047</v>
      </c>
      <c r="AM282" s="221">
        <v>1035.4559999999999</v>
      </c>
      <c r="AN282" s="226">
        <v>45168</v>
      </c>
      <c r="AO282" s="423" t="s">
        <v>4551</v>
      </c>
      <c r="AP282" s="424">
        <v>45506</v>
      </c>
      <c r="AQ282" s="222">
        <v>1553.18</v>
      </c>
      <c r="AR282" s="424">
        <v>45565</v>
      </c>
      <c r="AS282" s="614">
        <f ca="1">表格1_6[[#This Row],[total amount]]/表格1_6[[#This Row],[PO$]]</f>
        <v>0.99999845478706972</v>
      </c>
      <c r="AT282" s="223">
        <f ca="1">表格1_6[[#This Row],[invoice amount]]+表格1_6[[#This Row],[invoice amount2]]</f>
        <v>2588.636</v>
      </c>
      <c r="AU282" s="224" t="s">
        <v>3725</v>
      </c>
      <c r="AV282" s="423"/>
      <c r="AW282" s="423" t="e">
        <f ca="1">VLOOKUP(表格1_6[[#This Row],[TI tool ID2]],工作表1!A:A,1,FALSE)</f>
        <v>#N/A</v>
      </c>
      <c r="AX282" s="425" t="e">
        <f ca="1">VLOOKUP(表格1_6[[#This Row],[PO+ITEM]],工作表1!B:E,2,FALSE)</f>
        <v>#N/A</v>
      </c>
      <c r="AY282" s="425" t="e">
        <f ca="1">VLOOKUP(表格1_6[[#This Row],[PO+ITEM]],工作表1!B:E,3,FALSE)</f>
        <v>#N/A</v>
      </c>
      <c r="AZ282" s="423" t="e">
        <f ca="1">VLOOKUP(表格1_6[[#This Row],[PO+ITEM]],工作表1!B:E,4,FALSE)</f>
        <v>#N/A</v>
      </c>
      <c r="BA282" s="425" t="e">
        <f ca="1">INDEX(工作表1!G:G, MATCH(表格1_6[[#This Row],[invoice number]]&amp;表格1_6[[#This Row],[invoice number2]],工作表1!G:G, 0))</f>
        <v>#N/A</v>
      </c>
      <c r="BB282" s="423" t="e">
        <f ca="1">VLOOKUP(表格1_6[[#This Row],[PO+ITEM]],工作表1!F:H,2,FALSE)</f>
        <v>#N/A</v>
      </c>
    </row>
    <row r="283" spans="1:54" ht="15.6">
      <c r="A283" s="413">
        <v>282</v>
      </c>
      <c r="B283" s="413" t="s">
        <v>3674</v>
      </c>
      <c r="C283" s="414" t="s">
        <v>16</v>
      </c>
      <c r="D283" s="414" t="s">
        <v>3648</v>
      </c>
      <c r="E283" s="414"/>
      <c r="F283" s="414"/>
      <c r="G283" s="414"/>
      <c r="H283" s="414"/>
      <c r="I283" s="414"/>
      <c r="J283" s="414"/>
      <c r="K283" s="414"/>
      <c r="L283" s="415" t="s">
        <v>4552</v>
      </c>
      <c r="M283" s="416" t="s">
        <v>4517</v>
      </c>
      <c r="N283" s="416" t="s">
        <v>2999</v>
      </c>
      <c r="O283" s="417"/>
      <c r="P283" s="416">
        <v>4590004403</v>
      </c>
      <c r="Q283" s="418">
        <v>44801</v>
      </c>
      <c r="R283" s="419">
        <v>18</v>
      </c>
      <c r="S283" s="458">
        <v>2588.64</v>
      </c>
      <c r="T283" s="420" t="s">
        <v>2156</v>
      </c>
      <c r="U283" s="414" t="s">
        <v>3661</v>
      </c>
      <c r="V283" s="414" t="s">
        <v>3662</v>
      </c>
      <c r="W283" s="417" t="s">
        <v>3663</v>
      </c>
      <c r="X283" s="417"/>
      <c r="Y283" s="421" t="s">
        <v>3652</v>
      </c>
      <c r="Z283" s="421" t="s">
        <v>3652</v>
      </c>
      <c r="AA283" s="416" t="s">
        <v>4527</v>
      </c>
      <c r="AB283" s="414" t="s">
        <v>3664</v>
      </c>
      <c r="AC283" s="422"/>
      <c r="AD283" s="421"/>
      <c r="AE283" s="420"/>
      <c r="AF283" s="421">
        <v>90621</v>
      </c>
      <c r="AG283" s="420" t="s">
        <v>3149</v>
      </c>
      <c r="AH283" s="421" t="s">
        <v>3665</v>
      </c>
      <c r="AI283" s="420" t="s">
        <v>3666</v>
      </c>
      <c r="AJ283" s="413" t="str">
        <f t="shared" si="17"/>
        <v>4590004403_018</v>
      </c>
      <c r="AK283" s="423"/>
      <c r="AL283" s="424">
        <v>45108</v>
      </c>
      <c r="AM283" s="221">
        <v>1035.4559999999999</v>
      </c>
      <c r="AN283" s="226">
        <v>45168</v>
      </c>
      <c r="AO283" s="423" t="s">
        <v>4553</v>
      </c>
      <c r="AP283" s="424">
        <v>45506</v>
      </c>
      <c r="AQ283" s="222">
        <v>1553.18</v>
      </c>
      <c r="AR283" s="424">
        <v>45565</v>
      </c>
      <c r="AS283" s="614">
        <f ca="1">表格1_6[[#This Row],[total amount]]/表格1_6[[#This Row],[PO$]]</f>
        <v>0.99999845478706972</v>
      </c>
      <c r="AT283" s="223">
        <f ca="1">表格1_6[[#This Row],[invoice amount]]+表格1_6[[#This Row],[invoice amount2]]</f>
        <v>2588.636</v>
      </c>
      <c r="AU283" s="224" t="s">
        <v>3725</v>
      </c>
      <c r="AV283" s="423"/>
      <c r="AW283" s="423" t="e">
        <f ca="1">VLOOKUP(表格1_6[[#This Row],[TI tool ID2]],工作表1!A:A,1,FALSE)</f>
        <v>#N/A</v>
      </c>
      <c r="AX283" s="425" t="e">
        <f ca="1">VLOOKUP(表格1_6[[#This Row],[PO+ITEM]],工作表1!B:E,2,FALSE)</f>
        <v>#N/A</v>
      </c>
      <c r="AY283" s="425" t="e">
        <f ca="1">VLOOKUP(表格1_6[[#This Row],[PO+ITEM]],工作表1!B:E,3,FALSE)</f>
        <v>#N/A</v>
      </c>
      <c r="AZ283" s="423" t="e">
        <f ca="1">VLOOKUP(表格1_6[[#This Row],[PO+ITEM]],工作表1!B:E,4,FALSE)</f>
        <v>#N/A</v>
      </c>
      <c r="BA283" s="425" t="e">
        <f ca="1">INDEX(工作表1!G:G, MATCH(表格1_6[[#This Row],[invoice number]]&amp;表格1_6[[#This Row],[invoice number2]],工作表1!G:G, 0))</f>
        <v>#N/A</v>
      </c>
      <c r="BB283" s="423" t="e">
        <f ca="1">VLOOKUP(表格1_6[[#This Row],[PO+ITEM]],工作表1!F:H,2,FALSE)</f>
        <v>#N/A</v>
      </c>
    </row>
    <row r="284" spans="1:54" ht="15.6">
      <c r="A284" s="413">
        <v>283</v>
      </c>
      <c r="B284" s="413" t="s">
        <v>3674</v>
      </c>
      <c r="C284" s="414" t="s">
        <v>16</v>
      </c>
      <c r="D284" s="414" t="s">
        <v>3648</v>
      </c>
      <c r="E284" s="414"/>
      <c r="F284" s="414"/>
      <c r="G284" s="414"/>
      <c r="H284" s="414"/>
      <c r="I284" s="414"/>
      <c r="J284" s="414"/>
      <c r="K284" s="414"/>
      <c r="L284" s="415" t="s">
        <v>4554</v>
      </c>
      <c r="M284" s="416" t="s">
        <v>4517</v>
      </c>
      <c r="N284" s="416" t="s">
        <v>2999</v>
      </c>
      <c r="O284" s="417"/>
      <c r="P284" s="416">
        <v>4590004403</v>
      </c>
      <c r="Q284" s="418">
        <v>44801</v>
      </c>
      <c r="R284" s="419">
        <v>19</v>
      </c>
      <c r="S284" s="458">
        <v>2588.64</v>
      </c>
      <c r="T284" s="420" t="s">
        <v>2156</v>
      </c>
      <c r="U284" s="414" t="s">
        <v>3661</v>
      </c>
      <c r="V284" s="414" t="s">
        <v>3662</v>
      </c>
      <c r="W284" s="417" t="s">
        <v>3663</v>
      </c>
      <c r="X284" s="417"/>
      <c r="Y284" s="421" t="s">
        <v>3652</v>
      </c>
      <c r="Z284" s="421" t="s">
        <v>3652</v>
      </c>
      <c r="AA284" s="416" t="s">
        <v>4527</v>
      </c>
      <c r="AB284" s="414" t="s">
        <v>3664</v>
      </c>
      <c r="AC284" s="422"/>
      <c r="AD284" s="421"/>
      <c r="AE284" s="420"/>
      <c r="AF284" s="421">
        <v>90632</v>
      </c>
      <c r="AG284" s="420" t="s">
        <v>3204</v>
      </c>
      <c r="AH284" s="421" t="s">
        <v>3665</v>
      </c>
      <c r="AI284" s="420" t="s">
        <v>3666</v>
      </c>
      <c r="AJ284" s="413" t="str">
        <f t="shared" si="17"/>
        <v>4590004403_019</v>
      </c>
      <c r="AK284" s="423"/>
      <c r="AL284" s="424">
        <v>45108</v>
      </c>
      <c r="AM284" s="221">
        <v>1035.4559999999999</v>
      </c>
      <c r="AN284" s="226">
        <v>45168</v>
      </c>
      <c r="AO284" s="423" t="s">
        <v>4555</v>
      </c>
      <c r="AP284" s="424">
        <v>45506</v>
      </c>
      <c r="AQ284" s="222">
        <v>1553.18</v>
      </c>
      <c r="AR284" s="424">
        <v>45565</v>
      </c>
      <c r="AS284" s="614">
        <f ca="1">表格1_6[[#This Row],[total amount]]/表格1_6[[#This Row],[PO$]]</f>
        <v>0.99999845478706972</v>
      </c>
      <c r="AT284" s="223">
        <f ca="1">表格1_6[[#This Row],[invoice amount]]+表格1_6[[#This Row],[invoice amount2]]</f>
        <v>2588.636</v>
      </c>
      <c r="AU284" s="224" t="s">
        <v>3725</v>
      </c>
      <c r="AV284" s="423"/>
      <c r="AW284" s="423" t="e">
        <f ca="1">VLOOKUP(表格1_6[[#This Row],[TI tool ID2]],工作表1!A:A,1,FALSE)</f>
        <v>#N/A</v>
      </c>
      <c r="AX284" s="425" t="e">
        <f ca="1">VLOOKUP(表格1_6[[#This Row],[PO+ITEM]],工作表1!B:E,2,FALSE)</f>
        <v>#N/A</v>
      </c>
      <c r="AY284" s="425" t="e">
        <f ca="1">VLOOKUP(表格1_6[[#This Row],[PO+ITEM]],工作表1!B:E,3,FALSE)</f>
        <v>#N/A</v>
      </c>
      <c r="AZ284" s="423" t="e">
        <f ca="1">VLOOKUP(表格1_6[[#This Row],[PO+ITEM]],工作表1!B:E,4,FALSE)</f>
        <v>#N/A</v>
      </c>
      <c r="BA284" s="425" t="e">
        <f ca="1">INDEX(工作表1!G:G, MATCH(表格1_6[[#This Row],[invoice number]]&amp;表格1_6[[#This Row],[invoice number2]],工作表1!G:G, 0))</f>
        <v>#N/A</v>
      </c>
      <c r="BB284" s="423" t="e">
        <f ca="1">VLOOKUP(表格1_6[[#This Row],[PO+ITEM]],工作表1!F:H,2,FALSE)</f>
        <v>#N/A</v>
      </c>
    </row>
    <row r="285" spans="1:54" ht="15.6">
      <c r="A285" s="413">
        <v>284</v>
      </c>
      <c r="B285" s="413" t="s">
        <v>3674</v>
      </c>
      <c r="C285" s="414" t="s">
        <v>16</v>
      </c>
      <c r="D285" s="414" t="s">
        <v>3648</v>
      </c>
      <c r="E285" s="414"/>
      <c r="F285" s="414"/>
      <c r="G285" s="414"/>
      <c r="H285" s="414"/>
      <c r="I285" s="414"/>
      <c r="J285" s="414"/>
      <c r="K285" s="414"/>
      <c r="L285" s="415" t="s">
        <v>4556</v>
      </c>
      <c r="M285" s="416" t="s">
        <v>4517</v>
      </c>
      <c r="N285" s="416" t="s">
        <v>2999</v>
      </c>
      <c r="O285" s="417"/>
      <c r="P285" s="416">
        <v>4590004403</v>
      </c>
      <c r="Q285" s="418">
        <v>44801</v>
      </c>
      <c r="R285" s="419">
        <v>20</v>
      </c>
      <c r="S285" s="458">
        <v>2588.64</v>
      </c>
      <c r="T285" s="420" t="s">
        <v>2156</v>
      </c>
      <c r="U285" s="414" t="s">
        <v>3661</v>
      </c>
      <c r="V285" s="414" t="s">
        <v>3662</v>
      </c>
      <c r="W285" s="417" t="s">
        <v>3663</v>
      </c>
      <c r="X285" s="417"/>
      <c r="Y285" s="421" t="s">
        <v>3652</v>
      </c>
      <c r="Z285" s="421" t="s">
        <v>3652</v>
      </c>
      <c r="AA285" s="416" t="s">
        <v>4527</v>
      </c>
      <c r="AB285" s="414" t="s">
        <v>3664</v>
      </c>
      <c r="AC285" s="422"/>
      <c r="AD285" s="421"/>
      <c r="AE285" s="420"/>
      <c r="AF285" s="421">
        <v>90633</v>
      </c>
      <c r="AG285" s="420" t="s">
        <v>3365</v>
      </c>
      <c r="AH285" s="421" t="s">
        <v>3665</v>
      </c>
      <c r="AI285" s="420" t="s">
        <v>3666</v>
      </c>
      <c r="AJ285" s="413" t="str">
        <f t="shared" si="17"/>
        <v>4590004403_020</v>
      </c>
      <c r="AK285" s="423"/>
      <c r="AL285" s="424">
        <v>45108</v>
      </c>
      <c r="AM285" s="221">
        <v>1035.4559999999999</v>
      </c>
      <c r="AN285" s="226">
        <v>45168</v>
      </c>
      <c r="AO285" s="423" t="s">
        <v>4557</v>
      </c>
      <c r="AP285" s="424">
        <v>45506</v>
      </c>
      <c r="AQ285" s="222">
        <v>1553.18</v>
      </c>
      <c r="AR285" s="424">
        <v>45565</v>
      </c>
      <c r="AS285" s="614">
        <f ca="1">表格1_6[[#This Row],[total amount]]/表格1_6[[#This Row],[PO$]]</f>
        <v>0.99999845478706972</v>
      </c>
      <c r="AT285" s="223">
        <f ca="1">表格1_6[[#This Row],[invoice amount]]+表格1_6[[#This Row],[invoice amount2]]</f>
        <v>2588.636</v>
      </c>
      <c r="AU285" s="224" t="s">
        <v>3725</v>
      </c>
      <c r="AV285" s="423"/>
      <c r="AW285" s="423" t="e">
        <f ca="1">VLOOKUP(表格1_6[[#This Row],[TI tool ID2]],工作表1!A:A,1,FALSE)</f>
        <v>#N/A</v>
      </c>
      <c r="AX285" s="425" t="e">
        <f ca="1">VLOOKUP(表格1_6[[#This Row],[PO+ITEM]],工作表1!B:E,2,FALSE)</f>
        <v>#N/A</v>
      </c>
      <c r="AY285" s="425" t="e">
        <f ca="1">VLOOKUP(表格1_6[[#This Row],[PO+ITEM]],工作表1!B:E,3,FALSE)</f>
        <v>#N/A</v>
      </c>
      <c r="AZ285" s="423" t="e">
        <f ca="1">VLOOKUP(表格1_6[[#This Row],[PO+ITEM]],工作表1!B:E,4,FALSE)</f>
        <v>#N/A</v>
      </c>
      <c r="BA285" s="425" t="e">
        <f ca="1">INDEX(工作表1!G:G, MATCH(表格1_6[[#This Row],[invoice number]]&amp;表格1_6[[#This Row],[invoice number2]],工作表1!G:G, 0))</f>
        <v>#N/A</v>
      </c>
      <c r="BB285" s="423" t="e">
        <f ca="1">VLOOKUP(表格1_6[[#This Row],[PO+ITEM]],工作表1!F:H,2,FALSE)</f>
        <v>#N/A</v>
      </c>
    </row>
    <row r="286" spans="1:54" ht="15.6">
      <c r="A286" s="413">
        <v>285</v>
      </c>
      <c r="B286" s="413" t="s">
        <v>3674</v>
      </c>
      <c r="C286" s="414" t="s">
        <v>16</v>
      </c>
      <c r="D286" s="414" t="s">
        <v>3648</v>
      </c>
      <c r="E286" s="414"/>
      <c r="F286" s="414"/>
      <c r="G286" s="414"/>
      <c r="H286" s="414"/>
      <c r="I286" s="414"/>
      <c r="J286" s="414"/>
      <c r="K286" s="414"/>
      <c r="L286" s="415" t="s">
        <v>4558</v>
      </c>
      <c r="M286" s="416" t="s">
        <v>4517</v>
      </c>
      <c r="N286" s="416" t="s">
        <v>2999</v>
      </c>
      <c r="O286" s="417"/>
      <c r="P286" s="416">
        <v>4590004413</v>
      </c>
      <c r="Q286" s="418">
        <v>44802</v>
      </c>
      <c r="R286" s="419">
        <v>1</v>
      </c>
      <c r="S286" s="349">
        <v>1240.69</v>
      </c>
      <c r="T286" s="420" t="s">
        <v>2156</v>
      </c>
      <c r="U286" s="414" t="s">
        <v>3661</v>
      </c>
      <c r="V286" s="414" t="s">
        <v>3662</v>
      </c>
      <c r="W286" s="417" t="s">
        <v>3663</v>
      </c>
      <c r="X286" s="417"/>
      <c r="Y286" s="421" t="s">
        <v>3652</v>
      </c>
      <c r="Z286" s="421" t="s">
        <v>3652</v>
      </c>
      <c r="AA286" s="416" t="s">
        <v>4559</v>
      </c>
      <c r="AB286" s="414" t="s">
        <v>3664</v>
      </c>
      <c r="AC286" s="422"/>
      <c r="AD286" s="421"/>
      <c r="AE286" s="420"/>
      <c r="AF286" s="421">
        <v>90573</v>
      </c>
      <c r="AG286" s="420" t="s">
        <v>3480</v>
      </c>
      <c r="AH286" s="421" t="s">
        <v>3828</v>
      </c>
      <c r="AI286" s="420" t="s">
        <v>4560</v>
      </c>
      <c r="AJ286" s="413" t="str">
        <f t="shared" ref="AJ286:AJ294" si="18">P286&amp;"_00"&amp;R286</f>
        <v>4590004413_001</v>
      </c>
      <c r="AK286" s="420"/>
      <c r="AL286" s="424">
        <v>45108</v>
      </c>
      <c r="AM286" s="221">
        <v>496.27600000000007</v>
      </c>
      <c r="AN286" s="244">
        <v>45212</v>
      </c>
      <c r="AO286" s="420" t="s">
        <v>4561</v>
      </c>
      <c r="AP286" s="424">
        <v>45471</v>
      </c>
      <c r="AQ286" s="222">
        <v>744.41</v>
      </c>
      <c r="AR286" s="424">
        <v>45565</v>
      </c>
      <c r="AS286" s="614">
        <f ca="1">表格1_6[[#This Row],[total amount]]/表格1_6[[#This Row],[PO$]]</f>
        <v>0.99999677598755543</v>
      </c>
      <c r="AT286" s="223">
        <f ca="1">表格1_6[[#This Row],[invoice amount]]+表格1_6[[#This Row],[invoice amount2]]</f>
        <v>1240.6860000000001</v>
      </c>
      <c r="AU286" s="224" t="s">
        <v>3725</v>
      </c>
      <c r="AV286" s="423"/>
      <c r="AW286" s="423" t="e">
        <f ca="1">VLOOKUP(表格1_6[[#This Row],[TI tool ID2]],工作表1!A:A,1,FALSE)</f>
        <v>#N/A</v>
      </c>
      <c r="AX286" s="425" t="e">
        <f ca="1">VLOOKUP(表格1_6[[#This Row],[PO+ITEM]],工作表1!B:E,2,FALSE)</f>
        <v>#N/A</v>
      </c>
      <c r="AY286" s="425" t="e">
        <f ca="1">VLOOKUP(表格1_6[[#This Row],[PO+ITEM]],工作表1!B:E,3,FALSE)</f>
        <v>#N/A</v>
      </c>
      <c r="AZ286" s="423" t="e">
        <f ca="1">VLOOKUP(表格1_6[[#This Row],[PO+ITEM]],工作表1!B:E,4,FALSE)</f>
        <v>#N/A</v>
      </c>
      <c r="BA286" s="425" t="e">
        <f ca="1">INDEX(工作表1!G:G, MATCH(表格1_6[[#This Row],[invoice number]]&amp;表格1_6[[#This Row],[invoice number2]],工作表1!G:G, 0))</f>
        <v>#N/A</v>
      </c>
      <c r="BB286" s="423" t="e">
        <f ca="1">VLOOKUP(表格1_6[[#This Row],[PO+ITEM]],工作表1!F:H,2,FALSE)</f>
        <v>#N/A</v>
      </c>
    </row>
    <row r="287" spans="1:54" ht="15.6">
      <c r="A287" s="413">
        <v>286</v>
      </c>
      <c r="B287" s="413" t="s">
        <v>3674</v>
      </c>
      <c r="C287" s="414" t="s">
        <v>16</v>
      </c>
      <c r="D287" s="414" t="s">
        <v>3648</v>
      </c>
      <c r="E287" s="414"/>
      <c r="F287" s="414"/>
      <c r="G287" s="414"/>
      <c r="H287" s="414"/>
      <c r="I287" s="414"/>
      <c r="J287" s="414"/>
      <c r="K287" s="414"/>
      <c r="L287" s="420" t="s">
        <v>4562</v>
      </c>
      <c r="M287" s="416" t="s">
        <v>4517</v>
      </c>
      <c r="N287" s="416" t="s">
        <v>2999</v>
      </c>
      <c r="O287" s="417"/>
      <c r="P287" s="416">
        <v>4590004413</v>
      </c>
      <c r="Q287" s="418">
        <v>44802</v>
      </c>
      <c r="R287" s="419">
        <v>2</v>
      </c>
      <c r="S287" s="458">
        <v>1240.69</v>
      </c>
      <c r="T287" s="420" t="s">
        <v>2156</v>
      </c>
      <c r="U287" s="414" t="s">
        <v>3661</v>
      </c>
      <c r="V287" s="414" t="s">
        <v>3662</v>
      </c>
      <c r="W287" s="417" t="s">
        <v>3663</v>
      </c>
      <c r="X287" s="417"/>
      <c r="Y287" s="421" t="s">
        <v>3652</v>
      </c>
      <c r="Z287" s="421" t="s">
        <v>3652</v>
      </c>
      <c r="AA287" s="416" t="s">
        <v>4563</v>
      </c>
      <c r="AB287" s="414" t="s">
        <v>3664</v>
      </c>
      <c r="AC287" s="422"/>
      <c r="AD287" s="421"/>
      <c r="AE287" s="420"/>
      <c r="AF287" s="421">
        <v>90631</v>
      </c>
      <c r="AG287" s="420" t="s">
        <v>3155</v>
      </c>
      <c r="AH287" s="421" t="s">
        <v>3828</v>
      </c>
      <c r="AI287" s="420" t="s">
        <v>4560</v>
      </c>
      <c r="AJ287" s="413" t="str">
        <f t="shared" si="18"/>
        <v>4590004413_002</v>
      </c>
      <c r="AK287" s="423"/>
      <c r="AL287" s="424">
        <v>45108</v>
      </c>
      <c r="AM287" s="221">
        <v>496.27600000000007</v>
      </c>
      <c r="AN287" s="244">
        <v>45212</v>
      </c>
      <c r="AO287" s="423" t="s">
        <v>4564</v>
      </c>
      <c r="AP287" s="424">
        <v>45422</v>
      </c>
      <c r="AQ287" s="222">
        <v>744.41399999999999</v>
      </c>
      <c r="AR287" s="424">
        <v>45565</v>
      </c>
      <c r="AS287" s="614">
        <f ca="1">表格1_6[[#This Row],[total amount]]/表格1_6[[#This Row],[PO$]]</f>
        <v>1</v>
      </c>
      <c r="AT287" s="223">
        <f ca="1">表格1_6[[#This Row],[invoice amount]]+表格1_6[[#This Row],[invoice amount2]]</f>
        <v>1240.69</v>
      </c>
      <c r="AU287" s="224" t="s">
        <v>3725</v>
      </c>
      <c r="AV287" s="423" t="s">
        <v>3657</v>
      </c>
      <c r="AW287" s="423" t="e">
        <f ca="1">VLOOKUP(表格1_6[[#This Row],[TI tool ID2]],工作表1!A:A,1,FALSE)</f>
        <v>#N/A</v>
      </c>
      <c r="AX287" s="425" t="e">
        <f ca="1">VLOOKUP(表格1_6[[#This Row],[PO+ITEM]],工作表1!B:E,2,FALSE)</f>
        <v>#N/A</v>
      </c>
      <c r="AY287" s="425" t="e">
        <f ca="1">VLOOKUP(表格1_6[[#This Row],[PO+ITEM]],工作表1!B:E,3,FALSE)</f>
        <v>#N/A</v>
      </c>
      <c r="AZ287" s="423" t="e">
        <f ca="1">VLOOKUP(表格1_6[[#This Row],[PO+ITEM]],工作表1!B:E,4,FALSE)</f>
        <v>#N/A</v>
      </c>
      <c r="BA287" s="425" t="e">
        <f ca="1">INDEX(工作表1!G:G, MATCH(表格1_6[[#This Row],[invoice number]]&amp;表格1_6[[#This Row],[invoice number2]],工作表1!G:G, 0))</f>
        <v>#N/A</v>
      </c>
      <c r="BB287" s="423" t="e">
        <f ca="1">VLOOKUP(表格1_6[[#This Row],[PO+ITEM]],工作表1!F:H,2,FALSE)</f>
        <v>#N/A</v>
      </c>
    </row>
    <row r="288" spans="1:54" ht="15.6">
      <c r="A288" s="413">
        <v>287</v>
      </c>
      <c r="B288" s="413" t="s">
        <v>3674</v>
      </c>
      <c r="C288" s="414" t="s">
        <v>16</v>
      </c>
      <c r="D288" s="414" t="s">
        <v>3648</v>
      </c>
      <c r="E288" s="414"/>
      <c r="F288" s="414"/>
      <c r="G288" s="414"/>
      <c r="H288" s="414"/>
      <c r="I288" s="414"/>
      <c r="J288" s="414"/>
      <c r="K288" s="414"/>
      <c r="L288" s="420" t="s">
        <v>4565</v>
      </c>
      <c r="M288" s="416" t="s">
        <v>4517</v>
      </c>
      <c r="N288" s="416" t="s">
        <v>2999</v>
      </c>
      <c r="O288" s="417"/>
      <c r="P288" s="416">
        <v>4590004413</v>
      </c>
      <c r="Q288" s="418">
        <v>44802</v>
      </c>
      <c r="R288" s="419">
        <v>3</v>
      </c>
      <c r="S288" s="349">
        <v>1240.69</v>
      </c>
      <c r="T288" s="420" t="s">
        <v>2156</v>
      </c>
      <c r="U288" s="414" t="s">
        <v>3661</v>
      </c>
      <c r="V288" s="414" t="s">
        <v>3662</v>
      </c>
      <c r="W288" s="417" t="s">
        <v>3663</v>
      </c>
      <c r="X288" s="417"/>
      <c r="Y288" s="421" t="s">
        <v>3652</v>
      </c>
      <c r="Z288" s="421" t="s">
        <v>3652</v>
      </c>
      <c r="AA288" s="416" t="s">
        <v>4563</v>
      </c>
      <c r="AB288" s="414" t="s">
        <v>3664</v>
      </c>
      <c r="AC288" s="422"/>
      <c r="AD288" s="421"/>
      <c r="AE288" s="420"/>
      <c r="AF288" s="421">
        <v>90630</v>
      </c>
      <c r="AG288" s="420" t="s">
        <v>3478</v>
      </c>
      <c r="AH288" s="421" t="s">
        <v>3828</v>
      </c>
      <c r="AI288" s="420" t="s">
        <v>4560</v>
      </c>
      <c r="AJ288" s="413" t="str">
        <f t="shared" si="18"/>
        <v>4590004413_003</v>
      </c>
      <c r="AK288" s="420"/>
      <c r="AL288" s="424">
        <v>45108</v>
      </c>
      <c r="AM288" s="221">
        <v>496.27600000000007</v>
      </c>
      <c r="AN288" s="244">
        <v>45212</v>
      </c>
      <c r="AO288" s="420" t="s">
        <v>4566</v>
      </c>
      <c r="AP288" s="424">
        <v>45471</v>
      </c>
      <c r="AQ288" s="222">
        <v>744.41</v>
      </c>
      <c r="AR288" s="424">
        <v>45565</v>
      </c>
      <c r="AS288" s="614">
        <f ca="1">表格1_6[[#This Row],[total amount]]/表格1_6[[#This Row],[PO$]]</f>
        <v>0.99999677598755543</v>
      </c>
      <c r="AT288" s="223">
        <f ca="1">表格1_6[[#This Row],[invoice amount]]+表格1_6[[#This Row],[invoice amount2]]</f>
        <v>1240.6860000000001</v>
      </c>
      <c r="AU288" s="224" t="s">
        <v>3725</v>
      </c>
      <c r="AV288" s="423"/>
      <c r="AW288" s="423" t="e">
        <f ca="1">VLOOKUP(表格1_6[[#This Row],[TI tool ID2]],工作表1!A:A,1,FALSE)</f>
        <v>#N/A</v>
      </c>
      <c r="AX288" s="425" t="e">
        <f ca="1">VLOOKUP(表格1_6[[#This Row],[PO+ITEM]],工作表1!B:E,2,FALSE)</f>
        <v>#N/A</v>
      </c>
      <c r="AY288" s="425" t="e">
        <f ca="1">VLOOKUP(表格1_6[[#This Row],[PO+ITEM]],工作表1!B:E,3,FALSE)</f>
        <v>#N/A</v>
      </c>
      <c r="AZ288" s="423" t="e">
        <f ca="1">VLOOKUP(表格1_6[[#This Row],[PO+ITEM]],工作表1!B:E,4,FALSE)</f>
        <v>#N/A</v>
      </c>
      <c r="BA288" s="425" t="e">
        <f ca="1">INDEX(工作表1!G:G, MATCH(表格1_6[[#This Row],[invoice number]]&amp;表格1_6[[#This Row],[invoice number2]],工作表1!G:G, 0))</f>
        <v>#N/A</v>
      </c>
      <c r="BB288" s="423" t="e">
        <f ca="1">VLOOKUP(表格1_6[[#This Row],[PO+ITEM]],工作表1!F:H,2,FALSE)</f>
        <v>#N/A</v>
      </c>
    </row>
    <row r="289" spans="1:54" ht="15.6">
      <c r="A289" s="413">
        <v>288</v>
      </c>
      <c r="B289" s="413" t="s">
        <v>3674</v>
      </c>
      <c r="C289" s="414" t="s">
        <v>16</v>
      </c>
      <c r="D289" s="414" t="s">
        <v>3648</v>
      </c>
      <c r="E289" s="414"/>
      <c r="F289" s="414"/>
      <c r="G289" s="414"/>
      <c r="H289" s="414"/>
      <c r="I289" s="414"/>
      <c r="J289" s="414"/>
      <c r="K289" s="414"/>
      <c r="L289" s="415" t="s">
        <v>4567</v>
      </c>
      <c r="M289" s="416" t="s">
        <v>4517</v>
      </c>
      <c r="N289" s="416" t="s">
        <v>2999</v>
      </c>
      <c r="O289" s="417"/>
      <c r="P289" s="416">
        <v>4590004413</v>
      </c>
      <c r="Q289" s="418">
        <v>44802</v>
      </c>
      <c r="R289" s="419">
        <v>4</v>
      </c>
      <c r="S289" s="349">
        <v>1240.69</v>
      </c>
      <c r="T289" s="420" t="s">
        <v>2156</v>
      </c>
      <c r="U289" s="414" t="s">
        <v>3661</v>
      </c>
      <c r="V289" s="414" t="s">
        <v>3662</v>
      </c>
      <c r="W289" s="417" t="s">
        <v>3663</v>
      </c>
      <c r="X289" s="417"/>
      <c r="Y289" s="421" t="s">
        <v>3652</v>
      </c>
      <c r="Z289" s="421" t="s">
        <v>3652</v>
      </c>
      <c r="AA289" s="416" t="s">
        <v>4563</v>
      </c>
      <c r="AB289" s="414" t="s">
        <v>3664</v>
      </c>
      <c r="AC289" s="422"/>
      <c r="AD289" s="421"/>
      <c r="AE289" s="420"/>
      <c r="AF289" s="421">
        <v>90637</v>
      </c>
      <c r="AG289" s="420" t="s">
        <v>3273</v>
      </c>
      <c r="AH289" s="421" t="s">
        <v>3828</v>
      </c>
      <c r="AI289" s="420" t="s">
        <v>4560</v>
      </c>
      <c r="AJ289" s="413" t="str">
        <f t="shared" si="18"/>
        <v>4590004413_004</v>
      </c>
      <c r="AK289" s="420"/>
      <c r="AL289" s="424">
        <v>45108</v>
      </c>
      <c r="AM289" s="221">
        <v>496.27600000000007</v>
      </c>
      <c r="AN289" s="244">
        <v>45212</v>
      </c>
      <c r="AO289" s="420" t="s">
        <v>4568</v>
      </c>
      <c r="AP289" s="424">
        <v>45471</v>
      </c>
      <c r="AQ289" s="222">
        <v>744.41</v>
      </c>
      <c r="AR289" s="424">
        <v>45565</v>
      </c>
      <c r="AS289" s="614">
        <f ca="1">表格1_6[[#This Row],[total amount]]/表格1_6[[#This Row],[PO$]]</f>
        <v>0.99999677598755543</v>
      </c>
      <c r="AT289" s="223">
        <f ca="1">表格1_6[[#This Row],[invoice amount]]+表格1_6[[#This Row],[invoice amount2]]</f>
        <v>1240.6860000000001</v>
      </c>
      <c r="AU289" s="224" t="s">
        <v>3725</v>
      </c>
      <c r="AV289" s="423"/>
      <c r="AW289" s="423" t="e">
        <f ca="1">VLOOKUP(表格1_6[[#This Row],[TI tool ID2]],工作表1!A:A,1,FALSE)</f>
        <v>#N/A</v>
      </c>
      <c r="AX289" s="425" t="e">
        <f ca="1">VLOOKUP(表格1_6[[#This Row],[PO+ITEM]],工作表1!B:E,2,FALSE)</f>
        <v>#N/A</v>
      </c>
      <c r="AY289" s="425" t="e">
        <f ca="1">VLOOKUP(表格1_6[[#This Row],[PO+ITEM]],工作表1!B:E,3,FALSE)</f>
        <v>#N/A</v>
      </c>
      <c r="AZ289" s="423" t="e">
        <f ca="1">VLOOKUP(表格1_6[[#This Row],[PO+ITEM]],工作表1!B:E,4,FALSE)</f>
        <v>#N/A</v>
      </c>
      <c r="BA289" s="425" t="e">
        <f ca="1">INDEX(工作表1!G:G, MATCH(表格1_6[[#This Row],[invoice number]]&amp;表格1_6[[#This Row],[invoice number2]],工作表1!G:G, 0))</f>
        <v>#N/A</v>
      </c>
      <c r="BB289" s="423" t="e">
        <f ca="1">VLOOKUP(表格1_6[[#This Row],[PO+ITEM]],工作表1!F:H,2,FALSE)</f>
        <v>#N/A</v>
      </c>
    </row>
    <row r="290" spans="1:54" ht="15.6">
      <c r="A290" s="413">
        <v>289</v>
      </c>
      <c r="B290" s="413" t="s">
        <v>3674</v>
      </c>
      <c r="C290" s="414" t="s">
        <v>16</v>
      </c>
      <c r="D290" s="414" t="s">
        <v>3648</v>
      </c>
      <c r="E290" s="414"/>
      <c r="F290" s="414"/>
      <c r="G290" s="414"/>
      <c r="H290" s="414"/>
      <c r="I290" s="414"/>
      <c r="J290" s="414"/>
      <c r="K290" s="414"/>
      <c r="L290" s="420" t="s">
        <v>4569</v>
      </c>
      <c r="M290" s="416" t="s">
        <v>4517</v>
      </c>
      <c r="N290" s="416" t="s">
        <v>2999</v>
      </c>
      <c r="O290" s="417"/>
      <c r="P290" s="416">
        <v>4590004413</v>
      </c>
      <c r="Q290" s="418">
        <v>44802</v>
      </c>
      <c r="R290" s="419">
        <v>5</v>
      </c>
      <c r="S290" s="458">
        <v>2459.56</v>
      </c>
      <c r="T290" s="420" t="s">
        <v>2156</v>
      </c>
      <c r="U290" s="414" t="s">
        <v>3661</v>
      </c>
      <c r="V290" s="414" t="s">
        <v>3662</v>
      </c>
      <c r="W290" s="417" t="s">
        <v>3663</v>
      </c>
      <c r="X290" s="417"/>
      <c r="Y290" s="421" t="s">
        <v>3652</v>
      </c>
      <c r="Z290" s="421" t="s">
        <v>3652</v>
      </c>
      <c r="AA290" s="416" t="s">
        <v>4563</v>
      </c>
      <c r="AB290" s="414" t="s">
        <v>3664</v>
      </c>
      <c r="AC290" s="422"/>
      <c r="AD290" s="421"/>
      <c r="AE290" s="420"/>
      <c r="AF290" s="421">
        <v>90574</v>
      </c>
      <c r="AG290" s="420" t="s">
        <v>3152</v>
      </c>
      <c r="AH290" s="421" t="s">
        <v>3828</v>
      </c>
      <c r="AI290" s="420" t="s">
        <v>4560</v>
      </c>
      <c r="AJ290" s="413" t="str">
        <f t="shared" si="18"/>
        <v>4590004413_005</v>
      </c>
      <c r="AK290" s="423"/>
      <c r="AL290" s="424">
        <v>45108</v>
      </c>
      <c r="AM290" s="221">
        <v>983.82400000000007</v>
      </c>
      <c r="AN290" s="244">
        <v>45212</v>
      </c>
      <c r="AO290" s="423" t="s">
        <v>4570</v>
      </c>
      <c r="AP290" s="424">
        <v>45527</v>
      </c>
      <c r="AQ290" s="222">
        <v>1475.7359999999999</v>
      </c>
      <c r="AR290" s="424">
        <v>45565</v>
      </c>
      <c r="AS290" s="614">
        <f ca="1">表格1_6[[#This Row],[total amount]]/表格1_6[[#This Row],[PO$]]</f>
        <v>1</v>
      </c>
      <c r="AT290" s="223">
        <f ca="1">表格1_6[[#This Row],[invoice amount]]+表格1_6[[#This Row],[invoice amount2]]</f>
        <v>2459.56</v>
      </c>
      <c r="AU290" s="224" t="s">
        <v>3725</v>
      </c>
      <c r="AV290" s="423"/>
      <c r="AW290" s="423" t="e">
        <f ca="1">VLOOKUP(表格1_6[[#This Row],[TI tool ID2]],工作表1!A:A,1,FALSE)</f>
        <v>#N/A</v>
      </c>
      <c r="AX290" s="425" t="e">
        <f ca="1">VLOOKUP(表格1_6[[#This Row],[PO+ITEM]],工作表1!B:E,2,FALSE)</f>
        <v>#N/A</v>
      </c>
      <c r="AY290" s="425" t="e">
        <f ca="1">VLOOKUP(表格1_6[[#This Row],[PO+ITEM]],工作表1!B:E,3,FALSE)</f>
        <v>#N/A</v>
      </c>
      <c r="AZ290" s="423" t="e">
        <f ca="1">VLOOKUP(表格1_6[[#This Row],[PO+ITEM]],工作表1!B:E,4,FALSE)</f>
        <v>#N/A</v>
      </c>
      <c r="BA290" s="425" t="e">
        <f ca="1">INDEX(工作表1!G:G, MATCH(表格1_6[[#This Row],[invoice number]]&amp;表格1_6[[#This Row],[invoice number2]],工作表1!G:G, 0))</f>
        <v>#N/A</v>
      </c>
      <c r="BB290" s="423" t="e">
        <f ca="1">VLOOKUP(表格1_6[[#This Row],[PO+ITEM]],工作表1!F:H,2,FALSE)</f>
        <v>#N/A</v>
      </c>
    </row>
    <row r="291" spans="1:54" ht="15.6">
      <c r="A291" s="413">
        <v>290</v>
      </c>
      <c r="B291" s="413" t="s">
        <v>3674</v>
      </c>
      <c r="C291" s="414" t="s">
        <v>16</v>
      </c>
      <c r="D291" s="414" t="s">
        <v>3648</v>
      </c>
      <c r="E291" s="414"/>
      <c r="F291" s="414"/>
      <c r="G291" s="414"/>
      <c r="H291" s="414"/>
      <c r="I291" s="414"/>
      <c r="J291" s="414"/>
      <c r="K291" s="414"/>
      <c r="L291" s="420" t="s">
        <v>4571</v>
      </c>
      <c r="M291" s="416" t="s">
        <v>4517</v>
      </c>
      <c r="N291" s="416" t="s">
        <v>2999</v>
      </c>
      <c r="O291" s="417"/>
      <c r="P291" s="416">
        <v>4590004413</v>
      </c>
      <c r="Q291" s="418">
        <v>44802</v>
      </c>
      <c r="R291" s="419">
        <v>6</v>
      </c>
      <c r="S291" s="458">
        <v>2459.56</v>
      </c>
      <c r="T291" s="420" t="s">
        <v>2156</v>
      </c>
      <c r="U291" s="414" t="s">
        <v>3661</v>
      </c>
      <c r="V291" s="414" t="s">
        <v>3662</v>
      </c>
      <c r="W291" s="417" t="s">
        <v>3663</v>
      </c>
      <c r="X291" s="417"/>
      <c r="Y291" s="421" t="s">
        <v>3652</v>
      </c>
      <c r="Z291" s="421" t="s">
        <v>3652</v>
      </c>
      <c r="AA291" s="416" t="s">
        <v>4563</v>
      </c>
      <c r="AB291" s="414" t="s">
        <v>3664</v>
      </c>
      <c r="AC291" s="422"/>
      <c r="AD291" s="421"/>
      <c r="AE291" s="420"/>
      <c r="AF291" s="421">
        <v>90575</v>
      </c>
      <c r="AG291" s="420" t="s">
        <v>3476</v>
      </c>
      <c r="AH291" s="421" t="s">
        <v>3828</v>
      </c>
      <c r="AI291" s="420" t="s">
        <v>4560</v>
      </c>
      <c r="AJ291" s="413" t="str">
        <f t="shared" si="18"/>
        <v>4590004413_006</v>
      </c>
      <c r="AK291" s="423"/>
      <c r="AL291" s="424">
        <v>45108</v>
      </c>
      <c r="AM291" s="221">
        <v>983.82400000000007</v>
      </c>
      <c r="AN291" s="244">
        <v>45212</v>
      </c>
      <c r="AO291" s="423" t="s">
        <v>4572</v>
      </c>
      <c r="AP291" s="424">
        <v>45513</v>
      </c>
      <c r="AQ291" s="222">
        <v>1475.74</v>
      </c>
      <c r="AR291" s="424">
        <v>45565</v>
      </c>
      <c r="AS291" s="614">
        <f ca="1">表格1_6[[#This Row],[total amount]]/表格1_6[[#This Row],[PO$]]</f>
        <v>1.0000016263071445</v>
      </c>
      <c r="AT291" s="223">
        <f ca="1">表格1_6[[#This Row],[invoice amount]]+表格1_6[[#This Row],[invoice amount2]]</f>
        <v>2459.5640000000003</v>
      </c>
      <c r="AU291" s="224" t="s">
        <v>3725</v>
      </c>
      <c r="AV291" s="423"/>
      <c r="AW291" s="423" t="e">
        <f ca="1">VLOOKUP(表格1_6[[#This Row],[TI tool ID2]],工作表1!A:A,1,FALSE)</f>
        <v>#N/A</v>
      </c>
      <c r="AX291" s="425" t="e">
        <f ca="1">VLOOKUP(表格1_6[[#This Row],[PO+ITEM]],工作表1!B:E,2,FALSE)</f>
        <v>#N/A</v>
      </c>
      <c r="AY291" s="424" t="e">
        <f ca="1">VLOOKUP(表格1_6[[#This Row],[PO+ITEM]],工作表1!B:E,3,FALSE)</f>
        <v>#N/A</v>
      </c>
      <c r="AZ291" s="423" t="e">
        <f ca="1">VLOOKUP(表格1_6[[#This Row],[PO+ITEM]],工作表1!B:E,4,FALSE)</f>
        <v>#N/A</v>
      </c>
      <c r="BA291" s="425" t="e">
        <f ca="1">INDEX(工作表1!G:G, MATCH(表格1_6[[#This Row],[invoice number]]&amp;表格1_6[[#This Row],[invoice number2]],工作表1!G:G, 0))</f>
        <v>#N/A</v>
      </c>
      <c r="BB291" s="423" t="e">
        <f ca="1">VLOOKUP(表格1_6[[#This Row],[PO+ITEM]],工作表1!F:H,2,FALSE)</f>
        <v>#N/A</v>
      </c>
    </row>
    <row r="292" spans="1:54" ht="15.6">
      <c r="A292" s="413">
        <v>291</v>
      </c>
      <c r="B292" s="413" t="s">
        <v>3674</v>
      </c>
      <c r="C292" s="414" t="s">
        <v>16</v>
      </c>
      <c r="D292" s="414" t="s">
        <v>3648</v>
      </c>
      <c r="E292" s="414"/>
      <c r="F292" s="414"/>
      <c r="G292" s="414"/>
      <c r="H292" s="414"/>
      <c r="I292" s="414"/>
      <c r="J292" s="414"/>
      <c r="K292" s="414"/>
      <c r="L292" s="415" t="s">
        <v>4573</v>
      </c>
      <c r="M292" s="416" t="s">
        <v>4517</v>
      </c>
      <c r="N292" s="416" t="s">
        <v>2999</v>
      </c>
      <c r="O292" s="417"/>
      <c r="P292" s="416">
        <v>4590004413</v>
      </c>
      <c r="Q292" s="418">
        <v>44802</v>
      </c>
      <c r="R292" s="419">
        <v>7</v>
      </c>
      <c r="S292" s="458">
        <v>2459.56</v>
      </c>
      <c r="T292" s="420" t="s">
        <v>2156</v>
      </c>
      <c r="U292" s="414" t="s">
        <v>3661</v>
      </c>
      <c r="V292" s="414" t="s">
        <v>3662</v>
      </c>
      <c r="W292" s="417" t="s">
        <v>3663</v>
      </c>
      <c r="X292" s="417"/>
      <c r="Y292" s="421" t="s">
        <v>3652</v>
      </c>
      <c r="Z292" s="421" t="s">
        <v>3652</v>
      </c>
      <c r="AA292" s="416" t="s">
        <v>4563</v>
      </c>
      <c r="AB292" s="414" t="s">
        <v>3664</v>
      </c>
      <c r="AC292" s="422"/>
      <c r="AD292" s="421"/>
      <c r="AE292" s="420"/>
      <c r="AF292" s="421">
        <v>90634</v>
      </c>
      <c r="AG292" s="420" t="s">
        <v>3471</v>
      </c>
      <c r="AH292" s="421" t="s">
        <v>3828</v>
      </c>
      <c r="AI292" s="420" t="s">
        <v>4560</v>
      </c>
      <c r="AJ292" s="413" t="str">
        <f t="shared" si="18"/>
        <v>4590004413_007</v>
      </c>
      <c r="AK292" s="423"/>
      <c r="AL292" s="424">
        <v>45108</v>
      </c>
      <c r="AM292" s="221">
        <v>983.82400000000007</v>
      </c>
      <c r="AN292" s="244">
        <v>45212</v>
      </c>
      <c r="AO292" s="423" t="s">
        <v>4574</v>
      </c>
      <c r="AP292" s="424">
        <v>45506</v>
      </c>
      <c r="AQ292" s="222">
        <v>1475.74</v>
      </c>
      <c r="AR292" s="424">
        <v>45565</v>
      </c>
      <c r="AS292" s="614">
        <f ca="1">表格1_6[[#This Row],[total amount]]/表格1_6[[#This Row],[PO$]]</f>
        <v>1.0000016263071445</v>
      </c>
      <c r="AT292" s="223">
        <f ca="1">表格1_6[[#This Row],[invoice amount]]+表格1_6[[#This Row],[invoice amount2]]</f>
        <v>2459.5640000000003</v>
      </c>
      <c r="AU292" s="224" t="s">
        <v>3725</v>
      </c>
      <c r="AV292" s="423"/>
      <c r="AW292" s="423" t="e">
        <f ca="1">VLOOKUP(表格1_6[[#This Row],[TI tool ID2]],工作表1!A:A,1,FALSE)</f>
        <v>#N/A</v>
      </c>
      <c r="AX292" s="425" t="e">
        <f ca="1">VLOOKUP(表格1_6[[#This Row],[PO+ITEM]],工作表1!B:E,2,FALSE)</f>
        <v>#N/A</v>
      </c>
      <c r="AY292" s="425" t="e">
        <f ca="1">VLOOKUP(表格1_6[[#This Row],[PO+ITEM]],工作表1!B:E,3,FALSE)</f>
        <v>#N/A</v>
      </c>
      <c r="AZ292" s="423" t="e">
        <f ca="1">VLOOKUP(表格1_6[[#This Row],[PO+ITEM]],工作表1!B:E,4,FALSE)</f>
        <v>#N/A</v>
      </c>
      <c r="BA292" s="425" t="e">
        <f ca="1">INDEX(工作表1!G:G, MATCH(表格1_6[[#This Row],[invoice number]]&amp;表格1_6[[#This Row],[invoice number2]],工作表1!G:G, 0))</f>
        <v>#N/A</v>
      </c>
      <c r="BB292" s="423" t="e">
        <f ca="1">VLOOKUP(表格1_6[[#This Row],[PO+ITEM]],工作表1!F:H,2,FALSE)</f>
        <v>#N/A</v>
      </c>
    </row>
    <row r="293" spans="1:54" ht="15.6">
      <c r="A293" s="413">
        <v>292</v>
      </c>
      <c r="B293" s="413" t="s">
        <v>3674</v>
      </c>
      <c r="C293" s="414" t="s">
        <v>16</v>
      </c>
      <c r="D293" s="414" t="s">
        <v>3648</v>
      </c>
      <c r="E293" s="414"/>
      <c r="F293" s="414"/>
      <c r="G293" s="414"/>
      <c r="H293" s="414"/>
      <c r="I293" s="414"/>
      <c r="J293" s="414"/>
      <c r="K293" s="414"/>
      <c r="L293" s="415" t="s">
        <v>4575</v>
      </c>
      <c r="M293" s="416" t="s">
        <v>4517</v>
      </c>
      <c r="N293" s="416" t="s">
        <v>2999</v>
      </c>
      <c r="O293" s="417"/>
      <c r="P293" s="416">
        <v>4590004413</v>
      </c>
      <c r="Q293" s="418">
        <v>44802</v>
      </c>
      <c r="R293" s="419">
        <v>8</v>
      </c>
      <c r="S293" s="458">
        <v>1240.69</v>
      </c>
      <c r="T293" s="420" t="s">
        <v>2156</v>
      </c>
      <c r="U293" s="414" t="s">
        <v>3661</v>
      </c>
      <c r="V293" s="414" t="s">
        <v>3662</v>
      </c>
      <c r="W293" s="417" t="s">
        <v>3663</v>
      </c>
      <c r="X293" s="417"/>
      <c r="Y293" s="421" t="s">
        <v>3652</v>
      </c>
      <c r="Z293" s="421" t="s">
        <v>3652</v>
      </c>
      <c r="AA293" s="416" t="s">
        <v>4563</v>
      </c>
      <c r="AB293" s="414" t="s">
        <v>3664</v>
      </c>
      <c r="AC293" s="422"/>
      <c r="AD293" s="421"/>
      <c r="AE293" s="420"/>
      <c r="AF293" s="421">
        <v>90627</v>
      </c>
      <c r="AG293" s="420" t="s">
        <v>3161</v>
      </c>
      <c r="AH293" s="421" t="s">
        <v>3828</v>
      </c>
      <c r="AI293" s="420" t="s">
        <v>4560</v>
      </c>
      <c r="AJ293" s="413" t="str">
        <f t="shared" si="18"/>
        <v>4590004413_008</v>
      </c>
      <c r="AK293" s="423"/>
      <c r="AL293" s="424">
        <v>45108</v>
      </c>
      <c r="AM293" s="221">
        <v>496.27600000000007</v>
      </c>
      <c r="AN293" s="244">
        <v>45212</v>
      </c>
      <c r="AO293" s="423" t="s">
        <v>4576</v>
      </c>
      <c r="AP293" s="424">
        <v>45506</v>
      </c>
      <c r="AQ293" s="222">
        <v>744.41</v>
      </c>
      <c r="AR293" s="424">
        <v>45565</v>
      </c>
      <c r="AS293" s="614">
        <f ca="1">表格1_6[[#This Row],[total amount]]/表格1_6[[#This Row],[PO$]]</f>
        <v>0.99999677598755543</v>
      </c>
      <c r="AT293" s="223">
        <f ca="1">表格1_6[[#This Row],[invoice amount]]+表格1_6[[#This Row],[invoice amount2]]</f>
        <v>1240.6860000000001</v>
      </c>
      <c r="AU293" s="224" t="s">
        <v>3725</v>
      </c>
      <c r="AV293" s="423"/>
      <c r="AW293" s="423" t="e">
        <f ca="1">VLOOKUP(表格1_6[[#This Row],[TI tool ID2]],工作表1!A:A,1,FALSE)</f>
        <v>#N/A</v>
      </c>
      <c r="AX293" s="425" t="e">
        <f ca="1">VLOOKUP(表格1_6[[#This Row],[PO+ITEM]],工作表1!B:E,2,FALSE)</f>
        <v>#N/A</v>
      </c>
      <c r="AY293" s="425" t="e">
        <f ca="1">VLOOKUP(表格1_6[[#This Row],[PO+ITEM]],工作表1!B:E,3,FALSE)</f>
        <v>#N/A</v>
      </c>
      <c r="AZ293" s="423" t="e">
        <f ca="1">VLOOKUP(表格1_6[[#This Row],[PO+ITEM]],工作表1!B:E,4,FALSE)</f>
        <v>#N/A</v>
      </c>
      <c r="BA293" s="425" t="e">
        <f ca="1">INDEX(工作表1!G:G, MATCH(表格1_6[[#This Row],[invoice number]]&amp;表格1_6[[#This Row],[invoice number2]],工作表1!G:G, 0))</f>
        <v>#N/A</v>
      </c>
      <c r="BB293" s="423" t="e">
        <f ca="1">VLOOKUP(表格1_6[[#This Row],[PO+ITEM]],工作表1!F:H,2,FALSE)</f>
        <v>#N/A</v>
      </c>
    </row>
    <row r="294" spans="1:54" ht="15.6">
      <c r="A294" s="413">
        <v>293</v>
      </c>
      <c r="B294" s="413" t="s">
        <v>3674</v>
      </c>
      <c r="C294" s="414" t="s">
        <v>16</v>
      </c>
      <c r="D294" s="414" t="s">
        <v>3648</v>
      </c>
      <c r="E294" s="414"/>
      <c r="F294" s="414"/>
      <c r="G294" s="414"/>
      <c r="H294" s="414"/>
      <c r="I294" s="414"/>
      <c r="J294" s="414"/>
      <c r="K294" s="414"/>
      <c r="L294" s="415" t="s">
        <v>4577</v>
      </c>
      <c r="M294" s="416" t="s">
        <v>4517</v>
      </c>
      <c r="N294" s="416" t="s">
        <v>2999</v>
      </c>
      <c r="O294" s="417"/>
      <c r="P294" s="416">
        <v>4590004413</v>
      </c>
      <c r="Q294" s="418">
        <v>44802</v>
      </c>
      <c r="R294" s="419">
        <v>9</v>
      </c>
      <c r="S294" s="458">
        <v>1240.69</v>
      </c>
      <c r="T294" s="420" t="s">
        <v>2156</v>
      </c>
      <c r="U294" s="414" t="s">
        <v>3661</v>
      </c>
      <c r="V294" s="414" t="s">
        <v>3662</v>
      </c>
      <c r="W294" s="417" t="s">
        <v>3663</v>
      </c>
      <c r="X294" s="417"/>
      <c r="Y294" s="421" t="s">
        <v>3652</v>
      </c>
      <c r="Z294" s="421" t="s">
        <v>3652</v>
      </c>
      <c r="AA294" s="416" t="s">
        <v>4563</v>
      </c>
      <c r="AB294" s="414" t="s">
        <v>3664</v>
      </c>
      <c r="AC294" s="422"/>
      <c r="AD294" s="421"/>
      <c r="AE294" s="420"/>
      <c r="AF294" s="421">
        <v>90629</v>
      </c>
      <c r="AG294" s="420" t="s">
        <v>3490</v>
      </c>
      <c r="AH294" s="421" t="s">
        <v>3828</v>
      </c>
      <c r="AI294" s="420" t="s">
        <v>4560</v>
      </c>
      <c r="AJ294" s="413" t="str">
        <f t="shared" si="18"/>
        <v>4590004413_009</v>
      </c>
      <c r="AK294" s="423"/>
      <c r="AL294" s="424">
        <v>45108</v>
      </c>
      <c r="AM294" s="221">
        <v>496.27600000000007</v>
      </c>
      <c r="AN294" s="244">
        <v>45212</v>
      </c>
      <c r="AO294" s="423" t="s">
        <v>4578</v>
      </c>
      <c r="AP294" s="424">
        <v>45513</v>
      </c>
      <c r="AQ294" s="222">
        <v>744.41</v>
      </c>
      <c r="AR294" s="424">
        <v>45565</v>
      </c>
      <c r="AS294" s="614">
        <f ca="1">表格1_6[[#This Row],[total amount]]/表格1_6[[#This Row],[PO$]]</f>
        <v>0.99999677598755543</v>
      </c>
      <c r="AT294" s="223">
        <f ca="1">表格1_6[[#This Row],[invoice amount]]+表格1_6[[#This Row],[invoice amount2]]</f>
        <v>1240.6860000000001</v>
      </c>
      <c r="AU294" s="224" t="s">
        <v>3725</v>
      </c>
      <c r="AV294" s="423"/>
      <c r="AW294" s="423" t="e">
        <f ca="1">VLOOKUP(表格1_6[[#This Row],[TI tool ID2]],工作表1!A:A,1,FALSE)</f>
        <v>#N/A</v>
      </c>
      <c r="AX294" s="425" t="e">
        <f ca="1">VLOOKUP(表格1_6[[#This Row],[PO+ITEM]],工作表1!B:E,2,FALSE)</f>
        <v>#N/A</v>
      </c>
      <c r="AY294" s="424" t="e">
        <f ca="1">VLOOKUP(表格1_6[[#This Row],[PO+ITEM]],工作表1!B:E,3,FALSE)</f>
        <v>#N/A</v>
      </c>
      <c r="AZ294" s="423" t="e">
        <f ca="1">VLOOKUP(表格1_6[[#This Row],[PO+ITEM]],工作表1!B:E,4,FALSE)</f>
        <v>#N/A</v>
      </c>
      <c r="BA294" s="425" t="e">
        <f ca="1">INDEX(工作表1!G:G, MATCH(表格1_6[[#This Row],[invoice number]]&amp;表格1_6[[#This Row],[invoice number2]],工作表1!G:G, 0))</f>
        <v>#N/A</v>
      </c>
      <c r="BB294" s="423" t="e">
        <f ca="1">VLOOKUP(表格1_6[[#This Row],[PO+ITEM]],工作表1!F:H,2,FALSE)</f>
        <v>#N/A</v>
      </c>
    </row>
    <row r="295" spans="1:54" ht="15.6">
      <c r="A295" s="413">
        <v>294</v>
      </c>
      <c r="B295" s="413"/>
      <c r="C295" s="414" t="s">
        <v>16</v>
      </c>
      <c r="D295" s="414" t="s">
        <v>3648</v>
      </c>
      <c r="E295" s="414"/>
      <c r="F295" s="414"/>
      <c r="G295" s="414"/>
      <c r="H295" s="414"/>
      <c r="I295" s="414"/>
      <c r="J295" s="414"/>
      <c r="K295" s="414"/>
      <c r="L295" s="415" t="s">
        <v>4579</v>
      </c>
      <c r="M295" s="416" t="s">
        <v>4517</v>
      </c>
      <c r="N295" s="416" t="s">
        <v>2999</v>
      </c>
      <c r="O295" s="417"/>
      <c r="P295" s="416">
        <v>4590004413</v>
      </c>
      <c r="Q295" s="418">
        <v>44802</v>
      </c>
      <c r="R295" s="419">
        <v>10</v>
      </c>
      <c r="S295" s="458">
        <v>1240.69</v>
      </c>
      <c r="T295" s="420" t="s">
        <v>2156</v>
      </c>
      <c r="U295" s="414" t="s">
        <v>4580</v>
      </c>
      <c r="V295" s="414" t="s">
        <v>448</v>
      </c>
      <c r="W295" s="417" t="s">
        <v>3663</v>
      </c>
      <c r="X295" s="417"/>
      <c r="Y295" s="421" t="s">
        <v>3652</v>
      </c>
      <c r="Z295" s="421" t="s">
        <v>3652</v>
      </c>
      <c r="AA295" s="416" t="s">
        <v>4563</v>
      </c>
      <c r="AB295" s="414" t="s">
        <v>3664</v>
      </c>
      <c r="AC295" s="422"/>
      <c r="AD295" s="421"/>
      <c r="AE295" s="420"/>
      <c r="AF295" s="421">
        <v>90628</v>
      </c>
      <c r="AG295" s="420" t="s">
        <v>3309</v>
      </c>
      <c r="AH295" s="421" t="s">
        <v>3828</v>
      </c>
      <c r="AI295" s="420" t="s">
        <v>4560</v>
      </c>
      <c r="AJ295" s="413" t="str">
        <f t="shared" ref="AJ295:AJ323" si="19">P295&amp;"_0"&amp;R295</f>
        <v>4590004413_010</v>
      </c>
      <c r="AK295" s="423"/>
      <c r="AL295" s="424">
        <v>45108</v>
      </c>
      <c r="AM295" s="221">
        <v>496.27600000000007</v>
      </c>
      <c r="AN295" s="244">
        <v>45212</v>
      </c>
      <c r="AO295" s="564"/>
      <c r="AP295" s="424"/>
      <c r="AQ295" s="222"/>
      <c r="AR295" s="424"/>
      <c r="AS295" s="614">
        <f ca="1">表格1_6[[#This Row],[total amount]]/表格1_6[[#This Row],[PO$]]</f>
        <v>0.4</v>
      </c>
      <c r="AT295" s="223">
        <f ca="1">表格1_6[[#This Row],[invoice amount]]+表格1_6[[#This Row],[invoice amount2]]</f>
        <v>496.27600000000007</v>
      </c>
      <c r="AU295" s="224" t="s">
        <v>4235</v>
      </c>
      <c r="AV295" s="423"/>
      <c r="AW295" s="423" t="e">
        <f ca="1">VLOOKUP(表格1_6[[#This Row],[TI tool ID2]],工作表1!A:A,1,FALSE)</f>
        <v>#N/A</v>
      </c>
      <c r="AX295" s="425" t="e">
        <f ca="1">VLOOKUP(表格1_6[[#This Row],[PO+ITEM]],工作表1!B:E,2,FALSE)</f>
        <v>#N/A</v>
      </c>
      <c r="AY295" s="425" t="e">
        <f ca="1">VLOOKUP(表格1_6[[#This Row],[PO+ITEM]],工作表1!B:E,3,FALSE)</f>
        <v>#N/A</v>
      </c>
      <c r="AZ295" s="423" t="e">
        <f ca="1">VLOOKUP(表格1_6[[#This Row],[PO+ITEM]],工作表1!B:E,4,FALSE)</f>
        <v>#N/A</v>
      </c>
      <c r="BA295" s="425" t="e">
        <f ca="1">INDEX(工作表1!G:G, MATCH(表格1_6[[#This Row],[invoice number]]&amp;表格1_6[[#This Row],[invoice number2]],工作表1!G:G, 0))</f>
        <v>#N/A</v>
      </c>
      <c r="BB295" s="423" t="e">
        <f ca="1">VLOOKUP(表格1_6[[#This Row],[PO+ITEM]],工作表1!F:H,2,FALSE)</f>
        <v>#N/A</v>
      </c>
    </row>
    <row r="296" spans="1:54" ht="15.6">
      <c r="A296" s="413">
        <v>295</v>
      </c>
      <c r="B296" s="413" t="s">
        <v>3674</v>
      </c>
      <c r="C296" s="414" t="s">
        <v>16</v>
      </c>
      <c r="D296" s="414" t="s">
        <v>3648</v>
      </c>
      <c r="E296" s="414"/>
      <c r="F296" s="414"/>
      <c r="G296" s="414"/>
      <c r="H296" s="414"/>
      <c r="I296" s="414"/>
      <c r="J296" s="414"/>
      <c r="K296" s="414"/>
      <c r="L296" s="420" t="s">
        <v>4581</v>
      </c>
      <c r="M296" s="416" t="s">
        <v>4517</v>
      </c>
      <c r="N296" s="416" t="s">
        <v>2999</v>
      </c>
      <c r="O296" s="417"/>
      <c r="P296" s="416">
        <v>4590004413</v>
      </c>
      <c r="Q296" s="418">
        <v>44802</v>
      </c>
      <c r="R296" s="419">
        <v>11</v>
      </c>
      <c r="S296" s="349">
        <v>1240.69</v>
      </c>
      <c r="T296" s="420" t="s">
        <v>2156</v>
      </c>
      <c r="U296" s="414" t="s">
        <v>3661</v>
      </c>
      <c r="V296" s="414" t="s">
        <v>3662</v>
      </c>
      <c r="W296" s="417" t="s">
        <v>3663</v>
      </c>
      <c r="X296" s="417"/>
      <c r="Y296" s="421" t="s">
        <v>3652</v>
      </c>
      <c r="Z296" s="421" t="s">
        <v>3652</v>
      </c>
      <c r="AA296" s="416" t="s">
        <v>4563</v>
      </c>
      <c r="AB296" s="414" t="s">
        <v>3664</v>
      </c>
      <c r="AC296" s="422"/>
      <c r="AD296" s="421"/>
      <c r="AE296" s="420"/>
      <c r="AF296" s="421">
        <v>90638</v>
      </c>
      <c r="AG296" s="420" t="s">
        <v>3482</v>
      </c>
      <c r="AH296" s="421" t="s">
        <v>3828</v>
      </c>
      <c r="AI296" s="420" t="s">
        <v>4560</v>
      </c>
      <c r="AJ296" s="413" t="str">
        <f t="shared" si="19"/>
        <v>4590004413_011</v>
      </c>
      <c r="AK296" s="420"/>
      <c r="AL296" s="424">
        <v>45108</v>
      </c>
      <c r="AM296" s="221">
        <v>496.27600000000007</v>
      </c>
      <c r="AN296" s="244">
        <v>45212</v>
      </c>
      <c r="AO296" s="420" t="s">
        <v>4582</v>
      </c>
      <c r="AP296" s="424">
        <v>45471</v>
      </c>
      <c r="AQ296" s="222">
        <v>744.41</v>
      </c>
      <c r="AR296" s="424" t="s">
        <v>3805</v>
      </c>
      <c r="AS296" s="614">
        <f ca="1">表格1_6[[#This Row],[total amount]]/表格1_6[[#This Row],[PO$]]</f>
        <v>0.99999677598755543</v>
      </c>
      <c r="AT296" s="223">
        <f ca="1">表格1_6[[#This Row],[invoice amount]]+表格1_6[[#This Row],[invoice amount2]]</f>
        <v>1240.6860000000001</v>
      </c>
      <c r="AU296" s="224" t="s">
        <v>4235</v>
      </c>
      <c r="AV296" s="423"/>
      <c r="AW296" s="423" t="e">
        <f ca="1">VLOOKUP(表格1_6[[#This Row],[TI tool ID2]],工作表1!A:A,1,FALSE)</f>
        <v>#N/A</v>
      </c>
      <c r="AX296" s="425" t="e">
        <f ca="1">VLOOKUP(表格1_6[[#This Row],[PO+ITEM]],工作表1!B:E,2,FALSE)</f>
        <v>#N/A</v>
      </c>
      <c r="AY296" s="425" t="e">
        <f ca="1">VLOOKUP(表格1_6[[#This Row],[PO+ITEM]],工作表1!B:E,3,FALSE)</f>
        <v>#N/A</v>
      </c>
      <c r="AZ296" s="423" t="e">
        <f ca="1">VLOOKUP(表格1_6[[#This Row],[PO+ITEM]],工作表1!B:E,4,FALSE)</f>
        <v>#N/A</v>
      </c>
      <c r="BA296" s="425" t="e">
        <f ca="1">INDEX(工作表1!G:G, MATCH(表格1_6[[#This Row],[invoice number]]&amp;表格1_6[[#This Row],[invoice number2]],工作表1!G:G, 0))</f>
        <v>#N/A</v>
      </c>
      <c r="BB296" s="423" t="e">
        <f ca="1">VLOOKUP(表格1_6[[#This Row],[PO+ITEM]],工作表1!F:H,2,FALSE)</f>
        <v>#N/A</v>
      </c>
    </row>
    <row r="297" spans="1:54" ht="15.6">
      <c r="A297" s="413">
        <v>296</v>
      </c>
      <c r="B297" s="413" t="s">
        <v>3674</v>
      </c>
      <c r="C297" s="414" t="s">
        <v>16</v>
      </c>
      <c r="D297" s="414" t="s">
        <v>3648</v>
      </c>
      <c r="E297" s="414"/>
      <c r="F297" s="414"/>
      <c r="G297" s="414"/>
      <c r="H297" s="414"/>
      <c r="I297" s="414"/>
      <c r="J297" s="414"/>
      <c r="K297" s="414"/>
      <c r="L297" s="415" t="s">
        <v>4583</v>
      </c>
      <c r="M297" s="416" t="s">
        <v>4517</v>
      </c>
      <c r="N297" s="416" t="s">
        <v>2999</v>
      </c>
      <c r="O297" s="417"/>
      <c r="P297" s="416">
        <v>4590004413</v>
      </c>
      <c r="Q297" s="418">
        <v>44802</v>
      </c>
      <c r="R297" s="419">
        <v>12</v>
      </c>
      <c r="S297" s="349">
        <v>1240.69</v>
      </c>
      <c r="T297" s="420" t="s">
        <v>2156</v>
      </c>
      <c r="U297" s="414" t="s">
        <v>3661</v>
      </c>
      <c r="V297" s="414" t="s">
        <v>3662</v>
      </c>
      <c r="W297" s="417" t="s">
        <v>3663</v>
      </c>
      <c r="X297" s="417"/>
      <c r="Y297" s="421" t="s">
        <v>3652</v>
      </c>
      <c r="Z297" s="421" t="s">
        <v>3652</v>
      </c>
      <c r="AA297" s="416" t="s">
        <v>4563</v>
      </c>
      <c r="AB297" s="414" t="s">
        <v>3664</v>
      </c>
      <c r="AC297" s="422"/>
      <c r="AD297" s="421"/>
      <c r="AE297" s="420"/>
      <c r="AF297" s="421">
        <v>90639</v>
      </c>
      <c r="AG297" s="420" t="s">
        <v>3486</v>
      </c>
      <c r="AH297" s="421" t="s">
        <v>3828</v>
      </c>
      <c r="AI297" s="420" t="s">
        <v>4560</v>
      </c>
      <c r="AJ297" s="413" t="str">
        <f t="shared" si="19"/>
        <v>4590004413_012</v>
      </c>
      <c r="AK297" s="420"/>
      <c r="AL297" s="424">
        <v>45108</v>
      </c>
      <c r="AM297" s="221">
        <v>496.27600000000007</v>
      </c>
      <c r="AN297" s="244">
        <v>45212</v>
      </c>
      <c r="AO297" s="420" t="s">
        <v>4584</v>
      </c>
      <c r="AP297" s="424">
        <v>45471</v>
      </c>
      <c r="AQ297" s="222">
        <v>744.41</v>
      </c>
      <c r="AR297" s="424" t="s">
        <v>3805</v>
      </c>
      <c r="AS297" s="614">
        <f ca="1">表格1_6[[#This Row],[total amount]]/表格1_6[[#This Row],[PO$]]</f>
        <v>0.99999677598755543</v>
      </c>
      <c r="AT297" s="223">
        <f ca="1">表格1_6[[#This Row],[invoice amount]]+表格1_6[[#This Row],[invoice amount2]]</f>
        <v>1240.6860000000001</v>
      </c>
      <c r="AU297" s="224" t="s">
        <v>4235</v>
      </c>
      <c r="AV297" s="423"/>
      <c r="AW297" s="423" t="e">
        <f ca="1">VLOOKUP(表格1_6[[#This Row],[TI tool ID2]],工作表1!A:A,1,FALSE)</f>
        <v>#N/A</v>
      </c>
      <c r="AX297" s="425" t="e">
        <f ca="1">VLOOKUP(表格1_6[[#This Row],[PO+ITEM]],工作表1!B:E,2,FALSE)</f>
        <v>#N/A</v>
      </c>
      <c r="AY297" s="425" t="e">
        <f ca="1">VLOOKUP(表格1_6[[#This Row],[PO+ITEM]],工作表1!B:E,3,FALSE)</f>
        <v>#N/A</v>
      </c>
      <c r="AZ297" s="423" t="e">
        <f ca="1">VLOOKUP(表格1_6[[#This Row],[PO+ITEM]],工作表1!B:E,4,FALSE)</f>
        <v>#N/A</v>
      </c>
      <c r="BA297" s="425" t="e">
        <f ca="1">INDEX(工作表1!G:G, MATCH(表格1_6[[#This Row],[invoice number]]&amp;表格1_6[[#This Row],[invoice number2]],工作表1!G:G, 0))</f>
        <v>#N/A</v>
      </c>
      <c r="BB297" s="423" t="e">
        <f ca="1">VLOOKUP(表格1_6[[#This Row],[PO+ITEM]],工作表1!F:H,2,FALSE)</f>
        <v>#N/A</v>
      </c>
    </row>
    <row r="298" spans="1:54" ht="15.6">
      <c r="A298" s="413">
        <v>297</v>
      </c>
      <c r="B298" s="413" t="s">
        <v>3659</v>
      </c>
      <c r="C298" s="414" t="s">
        <v>16</v>
      </c>
      <c r="D298" s="414" t="s">
        <v>3648</v>
      </c>
      <c r="E298" s="414"/>
      <c r="F298" s="414"/>
      <c r="G298" s="414"/>
      <c r="H298" s="414"/>
      <c r="I298" s="414"/>
      <c r="J298" s="414"/>
      <c r="K298" s="414"/>
      <c r="L298" s="420" t="s">
        <v>4585</v>
      </c>
      <c r="M298" s="416" t="s">
        <v>4517</v>
      </c>
      <c r="N298" s="416" t="s">
        <v>2999</v>
      </c>
      <c r="O298" s="417"/>
      <c r="P298" s="416">
        <v>4590004413</v>
      </c>
      <c r="Q298" s="418">
        <v>44802</v>
      </c>
      <c r="R298" s="419">
        <v>13</v>
      </c>
      <c r="S298" s="458">
        <v>1240.69</v>
      </c>
      <c r="T298" s="420" t="s">
        <v>2156</v>
      </c>
      <c r="U298" s="414" t="s">
        <v>3661</v>
      </c>
      <c r="V298" s="414" t="s">
        <v>3662</v>
      </c>
      <c r="W298" s="417" t="s">
        <v>3663</v>
      </c>
      <c r="X298" s="417"/>
      <c r="Y298" s="421" t="s">
        <v>3652</v>
      </c>
      <c r="Z298" s="421" t="s">
        <v>3652</v>
      </c>
      <c r="AA298" s="416" t="s">
        <v>4563</v>
      </c>
      <c r="AB298" s="414" t="s">
        <v>3664</v>
      </c>
      <c r="AC298" s="422"/>
      <c r="AD298" s="421"/>
      <c r="AE298" s="420"/>
      <c r="AF298" s="421">
        <v>90640</v>
      </c>
      <c r="AG298" s="420" t="s">
        <v>3301</v>
      </c>
      <c r="AH298" s="421" t="s">
        <v>3828</v>
      </c>
      <c r="AI298" s="420" t="s">
        <v>4560</v>
      </c>
      <c r="AJ298" s="413" t="str">
        <f t="shared" si="19"/>
        <v>4590004413_013</v>
      </c>
      <c r="AK298" s="423"/>
      <c r="AL298" s="424">
        <v>45108</v>
      </c>
      <c r="AM298" s="221">
        <v>496.27600000000007</v>
      </c>
      <c r="AN298" s="244">
        <v>45212</v>
      </c>
      <c r="AO298" s="423"/>
      <c r="AP298" s="413"/>
      <c r="AQ298" s="222"/>
      <c r="AR298" s="424"/>
      <c r="AS298" s="614">
        <f ca="1">表格1_6[[#This Row],[total amount]]/表格1_6[[#This Row],[PO$]]</f>
        <v>0.4</v>
      </c>
      <c r="AT298" s="223">
        <f ca="1">表格1_6[[#This Row],[invoice amount]]+表格1_6[[#This Row],[invoice amount2]]</f>
        <v>496.27600000000007</v>
      </c>
      <c r="AU298" s="224" t="s">
        <v>3673</v>
      </c>
      <c r="AV298" s="423"/>
      <c r="AW298" s="423" t="e">
        <f ca="1">VLOOKUP(表格1_6[[#This Row],[TI tool ID2]],工作表1!A:A,1,FALSE)</f>
        <v>#N/A</v>
      </c>
      <c r="AX298" s="425" t="e">
        <f ca="1">VLOOKUP(表格1_6[[#This Row],[PO+ITEM]],工作表1!B:E,2,FALSE)</f>
        <v>#N/A</v>
      </c>
      <c r="AY298" s="425" t="e">
        <f ca="1">VLOOKUP(表格1_6[[#This Row],[PO+ITEM]],工作表1!B:E,3,FALSE)</f>
        <v>#N/A</v>
      </c>
      <c r="AZ298" s="423" t="e">
        <f ca="1">VLOOKUP(表格1_6[[#This Row],[PO+ITEM]],工作表1!B:E,4,FALSE)</f>
        <v>#N/A</v>
      </c>
      <c r="BA298" s="425" t="e">
        <f ca="1">INDEX(工作表1!G:G, MATCH(表格1_6[[#This Row],[invoice number]]&amp;表格1_6[[#This Row],[invoice number2]],工作表1!G:G, 0))</f>
        <v>#N/A</v>
      </c>
      <c r="BB298" s="423" t="e">
        <f ca="1">VLOOKUP(表格1_6[[#This Row],[PO+ITEM]],工作表1!F:H,2,FALSE)</f>
        <v>#N/A</v>
      </c>
    </row>
    <row r="299" spans="1:54" ht="15.6">
      <c r="A299" s="413">
        <v>298</v>
      </c>
      <c r="B299" s="413" t="s">
        <v>3674</v>
      </c>
      <c r="C299" s="414" t="s">
        <v>16</v>
      </c>
      <c r="D299" s="414" t="s">
        <v>3648</v>
      </c>
      <c r="E299" s="414"/>
      <c r="F299" s="414"/>
      <c r="G299" s="414"/>
      <c r="H299" s="414"/>
      <c r="I299" s="414"/>
      <c r="J299" s="414"/>
      <c r="K299" s="414"/>
      <c r="L299" s="420" t="s">
        <v>4586</v>
      </c>
      <c r="M299" s="416" t="s">
        <v>4517</v>
      </c>
      <c r="N299" s="416" t="s">
        <v>2999</v>
      </c>
      <c r="O299" s="417"/>
      <c r="P299" s="416">
        <v>4590004413</v>
      </c>
      <c r="Q299" s="418">
        <v>44802</v>
      </c>
      <c r="R299" s="419">
        <v>14</v>
      </c>
      <c r="S299" s="349">
        <v>1240.69</v>
      </c>
      <c r="T299" s="420" t="s">
        <v>2156</v>
      </c>
      <c r="U299" s="414" t="s">
        <v>3661</v>
      </c>
      <c r="V299" s="414" t="s">
        <v>3662</v>
      </c>
      <c r="W299" s="417" t="s">
        <v>3663</v>
      </c>
      <c r="X299" s="417"/>
      <c r="Y299" s="421" t="s">
        <v>3652</v>
      </c>
      <c r="Z299" s="421" t="s">
        <v>3652</v>
      </c>
      <c r="AA299" s="416" t="s">
        <v>4563</v>
      </c>
      <c r="AB299" s="414" t="s">
        <v>3664</v>
      </c>
      <c r="AC299" s="422"/>
      <c r="AD299" s="421"/>
      <c r="AE299" s="420"/>
      <c r="AF299" s="421">
        <v>90642</v>
      </c>
      <c r="AG299" s="420" t="s">
        <v>3488</v>
      </c>
      <c r="AH299" s="421" t="s">
        <v>3828</v>
      </c>
      <c r="AI299" s="420" t="s">
        <v>4560</v>
      </c>
      <c r="AJ299" s="413" t="str">
        <f t="shared" si="19"/>
        <v>4590004413_014</v>
      </c>
      <c r="AK299" s="420"/>
      <c r="AL299" s="424">
        <v>45108</v>
      </c>
      <c r="AM299" s="221">
        <v>496.27600000000007</v>
      </c>
      <c r="AN299" s="244">
        <v>45212</v>
      </c>
      <c r="AO299" s="420" t="s">
        <v>4587</v>
      </c>
      <c r="AP299" s="424">
        <v>45471</v>
      </c>
      <c r="AQ299" s="222">
        <v>744.41</v>
      </c>
      <c r="AR299" s="424" t="s">
        <v>3805</v>
      </c>
      <c r="AS299" s="614">
        <f ca="1">表格1_6[[#This Row],[total amount]]/表格1_6[[#This Row],[PO$]]</f>
        <v>0.99999677598755543</v>
      </c>
      <c r="AT299" s="223">
        <f ca="1">表格1_6[[#This Row],[invoice amount]]+表格1_6[[#This Row],[invoice amount2]]</f>
        <v>1240.6860000000001</v>
      </c>
      <c r="AU299" s="224" t="s">
        <v>4235</v>
      </c>
      <c r="AV299" s="423"/>
      <c r="AW299" s="423" t="e">
        <f ca="1">VLOOKUP(表格1_6[[#This Row],[TI tool ID2]],工作表1!A:A,1,FALSE)</f>
        <v>#N/A</v>
      </c>
      <c r="AX299" s="425" t="e">
        <f ca="1">VLOOKUP(表格1_6[[#This Row],[PO+ITEM]],工作表1!B:E,2,FALSE)</f>
        <v>#N/A</v>
      </c>
      <c r="AY299" s="425" t="e">
        <f ca="1">VLOOKUP(表格1_6[[#This Row],[PO+ITEM]],工作表1!B:E,3,FALSE)</f>
        <v>#N/A</v>
      </c>
      <c r="AZ299" s="423" t="e">
        <f ca="1">VLOOKUP(表格1_6[[#This Row],[PO+ITEM]],工作表1!B:E,4,FALSE)</f>
        <v>#N/A</v>
      </c>
      <c r="BA299" s="425" t="e">
        <f ca="1">INDEX(工作表1!G:G, MATCH(表格1_6[[#This Row],[invoice number]]&amp;表格1_6[[#This Row],[invoice number2]],工作表1!G:G, 0))</f>
        <v>#N/A</v>
      </c>
      <c r="BB299" s="423" t="e">
        <f ca="1">VLOOKUP(表格1_6[[#This Row],[PO+ITEM]],工作表1!F:H,2,FALSE)</f>
        <v>#N/A</v>
      </c>
    </row>
    <row r="300" spans="1:54" ht="15.6">
      <c r="A300" s="413">
        <v>299</v>
      </c>
      <c r="B300" s="413" t="s">
        <v>3674</v>
      </c>
      <c r="C300" s="414" t="s">
        <v>16</v>
      </c>
      <c r="D300" s="414" t="s">
        <v>3648</v>
      </c>
      <c r="E300" s="414"/>
      <c r="F300" s="414"/>
      <c r="G300" s="414"/>
      <c r="H300" s="414"/>
      <c r="I300" s="414"/>
      <c r="J300" s="414"/>
      <c r="K300" s="414"/>
      <c r="L300" s="420" t="s">
        <v>4588</v>
      </c>
      <c r="M300" s="416" t="s">
        <v>4517</v>
      </c>
      <c r="N300" s="416" t="s">
        <v>2999</v>
      </c>
      <c r="O300" s="417"/>
      <c r="P300" s="416">
        <v>4590004413</v>
      </c>
      <c r="Q300" s="418">
        <v>44802</v>
      </c>
      <c r="R300" s="419">
        <v>15</v>
      </c>
      <c r="S300" s="458">
        <v>1240.69</v>
      </c>
      <c r="T300" s="420" t="s">
        <v>2156</v>
      </c>
      <c r="U300" s="414" t="s">
        <v>3661</v>
      </c>
      <c r="V300" s="414" t="s">
        <v>3662</v>
      </c>
      <c r="W300" s="417" t="s">
        <v>3663</v>
      </c>
      <c r="X300" s="417"/>
      <c r="Y300" s="421" t="s">
        <v>3652</v>
      </c>
      <c r="Z300" s="421" t="s">
        <v>3652</v>
      </c>
      <c r="AA300" s="416" t="s">
        <v>4563</v>
      </c>
      <c r="AB300" s="414" t="s">
        <v>3664</v>
      </c>
      <c r="AC300" s="422"/>
      <c r="AD300" s="421"/>
      <c r="AE300" s="420"/>
      <c r="AF300" s="421">
        <v>90644</v>
      </c>
      <c r="AG300" s="420" t="s">
        <v>3158</v>
      </c>
      <c r="AH300" s="421" t="s">
        <v>3828</v>
      </c>
      <c r="AI300" s="420" t="s">
        <v>4560</v>
      </c>
      <c r="AJ300" s="413" t="str">
        <f t="shared" si="19"/>
        <v>4590004413_015</v>
      </c>
      <c r="AK300" s="423"/>
      <c r="AL300" s="424">
        <v>45108</v>
      </c>
      <c r="AM300" s="221">
        <v>496.27600000000007</v>
      </c>
      <c r="AN300" s="244">
        <v>45212</v>
      </c>
      <c r="AO300" s="423" t="s">
        <v>4589</v>
      </c>
      <c r="AP300" s="424">
        <v>45506</v>
      </c>
      <c r="AQ300" s="222">
        <v>744.41</v>
      </c>
      <c r="AR300" s="424" t="s">
        <v>3805</v>
      </c>
      <c r="AS300" s="614">
        <f ca="1">表格1_6[[#This Row],[total amount]]/表格1_6[[#This Row],[PO$]]</f>
        <v>0.99999677598755543</v>
      </c>
      <c r="AT300" s="223">
        <f ca="1">表格1_6[[#This Row],[invoice amount]]+表格1_6[[#This Row],[invoice amount2]]</f>
        <v>1240.6860000000001</v>
      </c>
      <c r="AU300" s="224" t="s">
        <v>4235</v>
      </c>
      <c r="AV300" s="423"/>
      <c r="AW300" s="423" t="str">
        <f ca="1">VLOOKUP(表格1_6[[#This Row],[TI tool ID2]],工作表1!A:A,1,FALSE)</f>
        <v>KEPRL6</v>
      </c>
      <c r="AX300" s="425" t="e">
        <f ca="1">VLOOKUP(表格1_6[[#This Row],[PO+ITEM]],工作表1!B:E,2,FALSE)</f>
        <v>#N/A</v>
      </c>
      <c r="AY300" s="425" t="e">
        <f ca="1">VLOOKUP(表格1_6[[#This Row],[PO+ITEM]],工作表1!B:E,3,FALSE)</f>
        <v>#N/A</v>
      </c>
      <c r="AZ300" s="423" t="e">
        <f ca="1">VLOOKUP(表格1_6[[#This Row],[PO+ITEM]],工作表1!B:E,4,FALSE)</f>
        <v>#N/A</v>
      </c>
      <c r="BA300" s="425" t="e">
        <f ca="1">INDEX(工作表1!G:G, MATCH(表格1_6[[#This Row],[invoice number]]&amp;表格1_6[[#This Row],[invoice number2]],工作表1!G:G, 0))</f>
        <v>#N/A</v>
      </c>
      <c r="BB300" s="423" t="e">
        <f ca="1">VLOOKUP(表格1_6[[#This Row],[PO+ITEM]],工作表1!F:H,2,FALSE)</f>
        <v>#N/A</v>
      </c>
    </row>
    <row r="301" spans="1:54" ht="15.6">
      <c r="A301" s="413">
        <v>300</v>
      </c>
      <c r="B301" s="413" t="s">
        <v>3674</v>
      </c>
      <c r="C301" s="414" t="s">
        <v>16</v>
      </c>
      <c r="D301" s="414" t="s">
        <v>3648</v>
      </c>
      <c r="E301" s="414"/>
      <c r="F301" s="414"/>
      <c r="G301" s="414"/>
      <c r="H301" s="414"/>
      <c r="I301" s="414"/>
      <c r="J301" s="414"/>
      <c r="K301" s="414"/>
      <c r="L301" s="415" t="s">
        <v>4590</v>
      </c>
      <c r="M301" s="416" t="s">
        <v>4517</v>
      </c>
      <c r="N301" s="416" t="s">
        <v>2999</v>
      </c>
      <c r="O301" s="417"/>
      <c r="P301" s="416">
        <v>4590004413</v>
      </c>
      <c r="Q301" s="418">
        <v>44802</v>
      </c>
      <c r="R301" s="419">
        <v>16</v>
      </c>
      <c r="S301" s="349">
        <v>1240.69</v>
      </c>
      <c r="T301" s="420" t="s">
        <v>2156</v>
      </c>
      <c r="U301" s="414" t="s">
        <v>3661</v>
      </c>
      <c r="V301" s="414" t="s">
        <v>3662</v>
      </c>
      <c r="W301" s="417" t="s">
        <v>3663</v>
      </c>
      <c r="X301" s="417"/>
      <c r="Y301" s="421" t="s">
        <v>3652</v>
      </c>
      <c r="Z301" s="421" t="s">
        <v>3652</v>
      </c>
      <c r="AA301" s="416" t="s">
        <v>4563</v>
      </c>
      <c r="AB301" s="414" t="s">
        <v>3664</v>
      </c>
      <c r="AC301" s="422"/>
      <c r="AD301" s="421"/>
      <c r="AE301" s="420"/>
      <c r="AF301" s="421">
        <v>90641</v>
      </c>
      <c r="AG301" s="420" t="s">
        <v>3484</v>
      </c>
      <c r="AH301" s="421" t="s">
        <v>3828</v>
      </c>
      <c r="AI301" s="420" t="s">
        <v>4560</v>
      </c>
      <c r="AJ301" s="413" t="str">
        <f t="shared" si="19"/>
        <v>4590004413_016</v>
      </c>
      <c r="AK301" s="420"/>
      <c r="AL301" s="424">
        <v>45108</v>
      </c>
      <c r="AM301" s="221">
        <v>496.27600000000007</v>
      </c>
      <c r="AN301" s="244">
        <v>45212</v>
      </c>
      <c r="AO301" s="420" t="s">
        <v>4591</v>
      </c>
      <c r="AP301" s="424">
        <v>45471</v>
      </c>
      <c r="AQ301" s="222">
        <v>744.41</v>
      </c>
      <c r="AR301" s="424" t="s">
        <v>3805</v>
      </c>
      <c r="AS301" s="614">
        <f ca="1">表格1_6[[#This Row],[total amount]]/表格1_6[[#This Row],[PO$]]</f>
        <v>0.99999677598755543</v>
      </c>
      <c r="AT301" s="223">
        <f ca="1">表格1_6[[#This Row],[invoice amount]]+表格1_6[[#This Row],[invoice amount2]]</f>
        <v>1240.6860000000001</v>
      </c>
      <c r="AU301" s="224" t="s">
        <v>4235</v>
      </c>
      <c r="AV301" s="423"/>
      <c r="AW301" s="423" t="e">
        <f ca="1">VLOOKUP(表格1_6[[#This Row],[TI tool ID2]],工作表1!A:A,1,FALSE)</f>
        <v>#N/A</v>
      </c>
      <c r="AX301" s="425" t="e">
        <f ca="1">VLOOKUP(表格1_6[[#This Row],[PO+ITEM]],工作表1!B:E,2,FALSE)</f>
        <v>#N/A</v>
      </c>
      <c r="AY301" s="425" t="e">
        <f ca="1">VLOOKUP(表格1_6[[#This Row],[PO+ITEM]],工作表1!B:E,3,FALSE)</f>
        <v>#N/A</v>
      </c>
      <c r="AZ301" s="423" t="e">
        <f ca="1">VLOOKUP(表格1_6[[#This Row],[PO+ITEM]],工作表1!B:E,4,FALSE)</f>
        <v>#N/A</v>
      </c>
      <c r="BA301" s="425" t="e">
        <f ca="1">INDEX(工作表1!G:G, MATCH(表格1_6[[#This Row],[invoice number]]&amp;表格1_6[[#This Row],[invoice number2]],工作表1!G:G, 0))</f>
        <v>#N/A</v>
      </c>
      <c r="BB301" s="423" t="e">
        <f ca="1">VLOOKUP(表格1_6[[#This Row],[PO+ITEM]],工作表1!F:H,2,FALSE)</f>
        <v>#N/A</v>
      </c>
    </row>
    <row r="302" spans="1:54" ht="15.6">
      <c r="A302" s="413">
        <v>301</v>
      </c>
      <c r="B302" s="413" t="s">
        <v>3674</v>
      </c>
      <c r="C302" s="414" t="s">
        <v>16</v>
      </c>
      <c r="D302" s="414" t="s">
        <v>3648</v>
      </c>
      <c r="E302" s="414"/>
      <c r="F302" s="414"/>
      <c r="G302" s="414"/>
      <c r="H302" s="414"/>
      <c r="I302" s="414"/>
      <c r="J302" s="414"/>
      <c r="K302" s="414"/>
      <c r="L302" s="415" t="s">
        <v>4592</v>
      </c>
      <c r="M302" s="416" t="s">
        <v>2206</v>
      </c>
      <c r="N302" s="416" t="s">
        <v>2999</v>
      </c>
      <c r="O302" s="417"/>
      <c r="P302" s="416">
        <v>4590004413</v>
      </c>
      <c r="Q302" s="418">
        <v>44802</v>
      </c>
      <c r="R302" s="419">
        <v>17</v>
      </c>
      <c r="S302" s="458">
        <v>834.4</v>
      </c>
      <c r="T302" s="420" t="s">
        <v>2156</v>
      </c>
      <c r="U302" s="414" t="s">
        <v>3661</v>
      </c>
      <c r="V302" s="414" t="s">
        <v>3662</v>
      </c>
      <c r="W302" s="417" t="s">
        <v>3663</v>
      </c>
      <c r="X302" s="417"/>
      <c r="Y302" s="421" t="s">
        <v>3652</v>
      </c>
      <c r="Z302" s="421" t="s">
        <v>3652</v>
      </c>
      <c r="AA302" s="416" t="s">
        <v>4593</v>
      </c>
      <c r="AB302" s="414" t="s">
        <v>3664</v>
      </c>
      <c r="AC302" s="422"/>
      <c r="AD302" s="421"/>
      <c r="AE302" s="420"/>
      <c r="AF302" s="421">
        <v>90396</v>
      </c>
      <c r="AG302" s="420" t="s">
        <v>2596</v>
      </c>
      <c r="AH302" s="421" t="s">
        <v>3828</v>
      </c>
      <c r="AI302" s="420" t="s">
        <v>846</v>
      </c>
      <c r="AJ302" s="413" t="str">
        <f t="shared" si="19"/>
        <v>4590004413_017</v>
      </c>
      <c r="AK302" s="423"/>
      <c r="AL302" s="424">
        <v>45108</v>
      </c>
      <c r="AM302" s="221">
        <v>333.76</v>
      </c>
      <c r="AN302" s="244">
        <v>45212</v>
      </c>
      <c r="AO302" s="423"/>
      <c r="AP302" s="413"/>
      <c r="AQ302" s="222"/>
      <c r="AR302" s="424"/>
      <c r="AS302" s="614">
        <f ca="1">表格1_6[[#This Row],[total amount]]/表格1_6[[#This Row],[PO$]]</f>
        <v>0.4</v>
      </c>
      <c r="AT302" s="223">
        <f ca="1">表格1_6[[#This Row],[invoice amount]]+表格1_6[[#This Row],[invoice amount2]]</f>
        <v>333.76</v>
      </c>
      <c r="AU302" s="224" t="s">
        <v>3673</v>
      </c>
      <c r="AV302" s="423"/>
      <c r="AW302" s="423" t="e">
        <f ca="1">VLOOKUP(表格1_6[[#This Row],[TI tool ID2]],工作表1!A:A,1,FALSE)</f>
        <v>#N/A</v>
      </c>
      <c r="AX302" s="425" t="e">
        <f ca="1">VLOOKUP(表格1_6[[#This Row],[PO+ITEM]],工作表1!B:E,2,FALSE)</f>
        <v>#N/A</v>
      </c>
      <c r="AY302" s="425" t="e">
        <f ca="1">VLOOKUP(表格1_6[[#This Row],[PO+ITEM]],工作表1!B:E,3,FALSE)</f>
        <v>#N/A</v>
      </c>
      <c r="AZ302" s="423" t="e">
        <f ca="1">VLOOKUP(表格1_6[[#This Row],[PO+ITEM]],工作表1!B:E,4,FALSE)</f>
        <v>#N/A</v>
      </c>
      <c r="BA302" s="425" t="e">
        <f ca="1">INDEX(工作表1!G:G, MATCH(表格1_6[[#This Row],[invoice number]]&amp;表格1_6[[#This Row],[invoice number2]],工作表1!G:G, 0))</f>
        <v>#N/A</v>
      </c>
      <c r="BB302" s="423" t="e">
        <f ca="1">VLOOKUP(表格1_6[[#This Row],[PO+ITEM]],工作表1!F:H,2,FALSE)</f>
        <v>#N/A</v>
      </c>
    </row>
    <row r="303" spans="1:54" ht="15.6">
      <c r="A303" s="413">
        <v>302</v>
      </c>
      <c r="B303" s="413" t="s">
        <v>3674</v>
      </c>
      <c r="C303" s="414" t="s">
        <v>16</v>
      </c>
      <c r="D303" s="414" t="s">
        <v>3648</v>
      </c>
      <c r="E303" s="414"/>
      <c r="F303" s="414"/>
      <c r="G303" s="414"/>
      <c r="H303" s="414"/>
      <c r="I303" s="414"/>
      <c r="J303" s="414"/>
      <c r="K303" s="414"/>
      <c r="L303" s="415" t="s">
        <v>4594</v>
      </c>
      <c r="M303" s="416" t="s">
        <v>2206</v>
      </c>
      <c r="N303" s="416" t="s">
        <v>2999</v>
      </c>
      <c r="O303" s="417"/>
      <c r="P303" s="416">
        <v>4590004413</v>
      </c>
      <c r="Q303" s="418">
        <v>44802</v>
      </c>
      <c r="R303" s="419">
        <v>18</v>
      </c>
      <c r="S303" s="458">
        <v>1240.69</v>
      </c>
      <c r="T303" s="420" t="s">
        <v>2156</v>
      </c>
      <c r="U303" s="414" t="s">
        <v>3661</v>
      </c>
      <c r="V303" s="414" t="s">
        <v>3662</v>
      </c>
      <c r="W303" s="417" t="s">
        <v>3663</v>
      </c>
      <c r="X303" s="417"/>
      <c r="Y303" s="421" t="s">
        <v>3652</v>
      </c>
      <c r="Z303" s="421" t="s">
        <v>3652</v>
      </c>
      <c r="AA303" s="416" t="s">
        <v>4593</v>
      </c>
      <c r="AB303" s="414" t="s">
        <v>3664</v>
      </c>
      <c r="AC303" s="422"/>
      <c r="AD303" s="421"/>
      <c r="AE303" s="420"/>
      <c r="AF303" s="421">
        <v>90437</v>
      </c>
      <c r="AG303" s="420" t="s">
        <v>4595</v>
      </c>
      <c r="AH303" s="421" t="s">
        <v>3828</v>
      </c>
      <c r="AI303" s="420" t="s">
        <v>846</v>
      </c>
      <c r="AJ303" s="413" t="str">
        <f t="shared" si="19"/>
        <v>4590004413_018</v>
      </c>
      <c r="AK303" s="423"/>
      <c r="AL303" s="424">
        <v>45108</v>
      </c>
      <c r="AM303" s="221">
        <v>496.27600000000007</v>
      </c>
      <c r="AN303" s="244">
        <v>45212</v>
      </c>
      <c r="AO303" s="423"/>
      <c r="AP303" s="413"/>
      <c r="AQ303" s="222"/>
      <c r="AR303" s="424"/>
      <c r="AS303" s="614">
        <f ca="1">表格1_6[[#This Row],[total amount]]/表格1_6[[#This Row],[PO$]]</f>
        <v>0.4</v>
      </c>
      <c r="AT303" s="223">
        <f ca="1">表格1_6[[#This Row],[invoice amount]]+表格1_6[[#This Row],[invoice amount2]]</f>
        <v>496.27600000000007</v>
      </c>
      <c r="AU303" s="224" t="s">
        <v>3673</v>
      </c>
      <c r="AV303" s="423"/>
      <c r="AW303" s="423" t="e">
        <f ca="1">VLOOKUP(表格1_6[[#This Row],[TI tool ID2]],工作表1!A:A,1,FALSE)</f>
        <v>#N/A</v>
      </c>
      <c r="AX303" s="425" t="e">
        <f ca="1">VLOOKUP(表格1_6[[#This Row],[PO+ITEM]],工作表1!B:E,2,FALSE)</f>
        <v>#N/A</v>
      </c>
      <c r="AY303" s="425" t="e">
        <f ca="1">VLOOKUP(表格1_6[[#This Row],[PO+ITEM]],工作表1!B:E,3,FALSE)</f>
        <v>#N/A</v>
      </c>
      <c r="AZ303" s="423" t="e">
        <f ca="1">VLOOKUP(表格1_6[[#This Row],[PO+ITEM]],工作表1!B:E,4,FALSE)</f>
        <v>#N/A</v>
      </c>
      <c r="BA303" s="425" t="e">
        <f ca="1">INDEX(工作表1!G:G, MATCH(表格1_6[[#This Row],[invoice number]]&amp;表格1_6[[#This Row],[invoice number2]],工作表1!G:G, 0))</f>
        <v>#N/A</v>
      </c>
      <c r="BB303" s="423" t="e">
        <f ca="1">VLOOKUP(表格1_6[[#This Row],[PO+ITEM]],工作表1!F:H,2,FALSE)</f>
        <v>#N/A</v>
      </c>
    </row>
    <row r="304" spans="1:54" ht="15.6">
      <c r="A304" s="413">
        <v>303</v>
      </c>
      <c r="B304" s="413" t="s">
        <v>3674</v>
      </c>
      <c r="C304" s="414" t="s">
        <v>16</v>
      </c>
      <c r="D304" s="414" t="s">
        <v>3648</v>
      </c>
      <c r="E304" s="414"/>
      <c r="F304" s="414"/>
      <c r="G304" s="414"/>
      <c r="H304" s="414"/>
      <c r="I304" s="414"/>
      <c r="J304" s="414"/>
      <c r="K304" s="414"/>
      <c r="L304" s="415" t="s">
        <v>4596</v>
      </c>
      <c r="M304" s="416" t="s">
        <v>2206</v>
      </c>
      <c r="N304" s="416" t="s">
        <v>2999</v>
      </c>
      <c r="O304" s="417"/>
      <c r="P304" s="416">
        <v>4590004413</v>
      </c>
      <c r="Q304" s="418">
        <v>44802</v>
      </c>
      <c r="R304" s="419">
        <v>19</v>
      </c>
      <c r="S304" s="458">
        <v>834.4</v>
      </c>
      <c r="T304" s="420" t="s">
        <v>2156</v>
      </c>
      <c r="U304" s="414" t="s">
        <v>3661</v>
      </c>
      <c r="V304" s="414" t="s">
        <v>3662</v>
      </c>
      <c r="W304" s="417" t="s">
        <v>3663</v>
      </c>
      <c r="X304" s="417"/>
      <c r="Y304" s="421" t="s">
        <v>3652</v>
      </c>
      <c r="Z304" s="421" t="s">
        <v>3652</v>
      </c>
      <c r="AA304" s="416" t="s">
        <v>4593</v>
      </c>
      <c r="AB304" s="414" t="s">
        <v>3664</v>
      </c>
      <c r="AC304" s="422"/>
      <c r="AD304" s="421"/>
      <c r="AE304" s="420"/>
      <c r="AF304" s="421">
        <v>90395</v>
      </c>
      <c r="AG304" s="420" t="s">
        <v>2576</v>
      </c>
      <c r="AH304" s="421" t="s">
        <v>3828</v>
      </c>
      <c r="AI304" s="420" t="s">
        <v>846</v>
      </c>
      <c r="AJ304" s="413" t="str">
        <f t="shared" si="19"/>
        <v>4590004413_019</v>
      </c>
      <c r="AK304" s="423"/>
      <c r="AL304" s="424">
        <v>45108</v>
      </c>
      <c r="AM304" s="221">
        <v>333.76</v>
      </c>
      <c r="AN304" s="244">
        <v>45212</v>
      </c>
      <c r="AO304" s="423"/>
      <c r="AP304" s="413"/>
      <c r="AQ304" s="222"/>
      <c r="AR304" s="424"/>
      <c r="AS304" s="614">
        <f ca="1">表格1_6[[#This Row],[total amount]]/表格1_6[[#This Row],[PO$]]</f>
        <v>0.4</v>
      </c>
      <c r="AT304" s="223">
        <f ca="1">表格1_6[[#This Row],[invoice amount]]+表格1_6[[#This Row],[invoice amount2]]</f>
        <v>333.76</v>
      </c>
      <c r="AU304" s="224" t="s">
        <v>3673</v>
      </c>
      <c r="AV304" s="423"/>
      <c r="AW304" s="423" t="e">
        <f ca="1">VLOOKUP(表格1_6[[#This Row],[TI tool ID2]],工作表1!A:A,1,FALSE)</f>
        <v>#N/A</v>
      </c>
      <c r="AX304" s="425" t="e">
        <f ca="1">VLOOKUP(表格1_6[[#This Row],[PO+ITEM]],工作表1!B:E,2,FALSE)</f>
        <v>#N/A</v>
      </c>
      <c r="AY304" s="425" t="e">
        <f ca="1">VLOOKUP(表格1_6[[#This Row],[PO+ITEM]],工作表1!B:E,3,FALSE)</f>
        <v>#N/A</v>
      </c>
      <c r="AZ304" s="423" t="e">
        <f ca="1">VLOOKUP(表格1_6[[#This Row],[PO+ITEM]],工作表1!B:E,4,FALSE)</f>
        <v>#N/A</v>
      </c>
      <c r="BA304" s="425" t="e">
        <f ca="1">INDEX(工作表1!G:G, MATCH(表格1_6[[#This Row],[invoice number]]&amp;表格1_6[[#This Row],[invoice number2]],工作表1!G:G, 0))</f>
        <v>#N/A</v>
      </c>
      <c r="BB304" s="423" t="e">
        <f ca="1">VLOOKUP(表格1_6[[#This Row],[PO+ITEM]],工作表1!F:H,2,FALSE)</f>
        <v>#N/A</v>
      </c>
    </row>
    <row r="305" spans="1:54" ht="15.6">
      <c r="A305" s="413">
        <v>304</v>
      </c>
      <c r="B305" s="413" t="s">
        <v>3674</v>
      </c>
      <c r="C305" s="414" t="s">
        <v>16</v>
      </c>
      <c r="D305" s="414" t="s">
        <v>3648</v>
      </c>
      <c r="E305" s="414"/>
      <c r="F305" s="414"/>
      <c r="G305" s="414"/>
      <c r="H305" s="414"/>
      <c r="I305" s="414"/>
      <c r="J305" s="414"/>
      <c r="K305" s="414"/>
      <c r="L305" s="420" t="s">
        <v>4597</v>
      </c>
      <c r="M305" s="416" t="s">
        <v>2999</v>
      </c>
      <c r="N305" s="416" t="s">
        <v>2999</v>
      </c>
      <c r="O305" s="417"/>
      <c r="P305" s="416">
        <v>4590004413</v>
      </c>
      <c r="Q305" s="418">
        <v>44802</v>
      </c>
      <c r="R305" s="419">
        <v>20</v>
      </c>
      <c r="S305" s="458">
        <v>1240.69</v>
      </c>
      <c r="T305" s="420" t="s">
        <v>2156</v>
      </c>
      <c r="U305" s="414" t="s">
        <v>3661</v>
      </c>
      <c r="V305" s="414" t="s">
        <v>3662</v>
      </c>
      <c r="W305" s="417" t="s">
        <v>3663</v>
      </c>
      <c r="X305" s="417"/>
      <c r="Y305" s="421" t="s">
        <v>3652</v>
      </c>
      <c r="Z305" s="421" t="s">
        <v>3652</v>
      </c>
      <c r="AA305" s="416" t="s">
        <v>4563</v>
      </c>
      <c r="AB305" s="414" t="s">
        <v>3664</v>
      </c>
      <c r="AC305" s="422"/>
      <c r="AD305" s="421"/>
      <c r="AE305" s="420"/>
      <c r="AF305" s="421">
        <v>90039</v>
      </c>
      <c r="AG305" s="420" t="s">
        <v>4598</v>
      </c>
      <c r="AH305" s="421" t="s">
        <v>3828</v>
      </c>
      <c r="AI305" s="420" t="s">
        <v>4599</v>
      </c>
      <c r="AJ305" s="413" t="str">
        <f t="shared" si="19"/>
        <v>4590004413_020</v>
      </c>
      <c r="AK305" s="423"/>
      <c r="AL305" s="424">
        <v>45108</v>
      </c>
      <c r="AM305" s="221">
        <v>496.27600000000007</v>
      </c>
      <c r="AN305" s="244">
        <v>45212</v>
      </c>
      <c r="AO305" s="423" t="s">
        <v>4600</v>
      </c>
      <c r="AP305" s="559">
        <v>45498</v>
      </c>
      <c r="AQ305" s="298">
        <v>744.41</v>
      </c>
      <c r="AR305" s="424" t="s">
        <v>3805</v>
      </c>
      <c r="AS305" s="614">
        <f ca="1">表格1_6[[#This Row],[total amount]]/表格1_6[[#This Row],[PO$]]</f>
        <v>0.99999677598755543</v>
      </c>
      <c r="AT305" s="223">
        <f ca="1">表格1_6[[#This Row],[invoice amount]]+表格1_6[[#This Row],[invoice amount2]]</f>
        <v>1240.6860000000001</v>
      </c>
      <c r="AU305" s="224" t="s">
        <v>4235</v>
      </c>
      <c r="AV305" s="423"/>
      <c r="AW305" s="423" t="e">
        <f ca="1">VLOOKUP(表格1_6[[#This Row],[TI tool ID2]],工作表1!A:A,1,FALSE)</f>
        <v>#N/A</v>
      </c>
      <c r="AX305" s="425" t="e">
        <f ca="1">VLOOKUP(表格1_6[[#This Row],[PO+ITEM]],工作表1!B:E,2,FALSE)</f>
        <v>#N/A</v>
      </c>
      <c r="AY305" s="425" t="e">
        <f ca="1">VLOOKUP(表格1_6[[#This Row],[PO+ITEM]],工作表1!B:E,3,FALSE)</f>
        <v>#N/A</v>
      </c>
      <c r="AZ305" s="423" t="e">
        <f ca="1">VLOOKUP(表格1_6[[#This Row],[PO+ITEM]],工作表1!B:E,4,FALSE)</f>
        <v>#N/A</v>
      </c>
      <c r="BA305" s="425" t="e">
        <f ca="1">INDEX(工作表1!G:G, MATCH(表格1_6[[#This Row],[invoice number]]&amp;表格1_6[[#This Row],[invoice number2]],工作表1!G:G, 0))</f>
        <v>#N/A</v>
      </c>
      <c r="BB305" s="423" t="e">
        <f ca="1">VLOOKUP(表格1_6[[#This Row],[PO+ITEM]],工作表1!F:H,2,FALSE)</f>
        <v>#N/A</v>
      </c>
    </row>
    <row r="306" spans="1:54" ht="15.6">
      <c r="A306" s="413">
        <v>305</v>
      </c>
      <c r="B306" s="413" t="s">
        <v>3674</v>
      </c>
      <c r="C306" s="414" t="s">
        <v>16</v>
      </c>
      <c r="D306" s="414" t="s">
        <v>3648</v>
      </c>
      <c r="E306" s="414"/>
      <c r="F306" s="414"/>
      <c r="G306" s="414"/>
      <c r="H306" s="414"/>
      <c r="I306" s="414"/>
      <c r="J306" s="414"/>
      <c r="K306" s="414"/>
      <c r="L306" s="420" t="s">
        <v>4601</v>
      </c>
      <c r="M306" s="416" t="s">
        <v>2999</v>
      </c>
      <c r="N306" s="416" t="s">
        <v>2999</v>
      </c>
      <c r="O306" s="417"/>
      <c r="P306" s="416">
        <v>4590004413</v>
      </c>
      <c r="Q306" s="418">
        <v>44802</v>
      </c>
      <c r="R306" s="419">
        <v>21</v>
      </c>
      <c r="S306" s="458">
        <v>1240.69</v>
      </c>
      <c r="T306" s="420" t="s">
        <v>2156</v>
      </c>
      <c r="U306" s="414" t="s">
        <v>3661</v>
      </c>
      <c r="V306" s="414" t="s">
        <v>3662</v>
      </c>
      <c r="W306" s="417" t="s">
        <v>3663</v>
      </c>
      <c r="X306" s="417"/>
      <c r="Y306" s="421" t="s">
        <v>3652</v>
      </c>
      <c r="Z306" s="421" t="s">
        <v>3652</v>
      </c>
      <c r="AA306" s="416" t="s">
        <v>4563</v>
      </c>
      <c r="AB306" s="414" t="s">
        <v>3664</v>
      </c>
      <c r="AC306" s="422"/>
      <c r="AD306" s="421"/>
      <c r="AE306" s="420"/>
      <c r="AF306" s="421">
        <v>90040</v>
      </c>
      <c r="AG306" s="420" t="s">
        <v>4602</v>
      </c>
      <c r="AH306" s="421" t="s">
        <v>3828</v>
      </c>
      <c r="AI306" s="420" t="s">
        <v>4599</v>
      </c>
      <c r="AJ306" s="413" t="str">
        <f t="shared" si="19"/>
        <v>4590004413_021</v>
      </c>
      <c r="AK306" s="423"/>
      <c r="AL306" s="424">
        <v>45108</v>
      </c>
      <c r="AM306" s="221">
        <v>496.27600000000007</v>
      </c>
      <c r="AN306" s="244">
        <v>45212</v>
      </c>
      <c r="AO306" s="423" t="s">
        <v>4603</v>
      </c>
      <c r="AP306" s="559">
        <v>45498</v>
      </c>
      <c r="AQ306" s="298">
        <v>744.41</v>
      </c>
      <c r="AR306" s="424" t="s">
        <v>3805</v>
      </c>
      <c r="AS306" s="614">
        <f ca="1">表格1_6[[#This Row],[total amount]]/表格1_6[[#This Row],[PO$]]</f>
        <v>0.99999677598755543</v>
      </c>
      <c r="AT306" s="223">
        <f ca="1">表格1_6[[#This Row],[invoice amount]]+表格1_6[[#This Row],[invoice amount2]]</f>
        <v>1240.6860000000001</v>
      </c>
      <c r="AU306" s="224" t="s">
        <v>4235</v>
      </c>
      <c r="AV306" s="423"/>
      <c r="AW306" s="423" t="e">
        <f ca="1">VLOOKUP(表格1_6[[#This Row],[TI tool ID2]],工作表1!A:A,1,FALSE)</f>
        <v>#N/A</v>
      </c>
      <c r="AX306" s="425" t="e">
        <f ca="1">VLOOKUP(表格1_6[[#This Row],[PO+ITEM]],工作表1!B:E,2,FALSE)</f>
        <v>#N/A</v>
      </c>
      <c r="AY306" s="425" t="e">
        <f ca="1">VLOOKUP(表格1_6[[#This Row],[PO+ITEM]],工作表1!B:E,3,FALSE)</f>
        <v>#N/A</v>
      </c>
      <c r="AZ306" s="423" t="e">
        <f ca="1">VLOOKUP(表格1_6[[#This Row],[PO+ITEM]],工作表1!B:E,4,FALSE)</f>
        <v>#N/A</v>
      </c>
      <c r="BA306" s="425" t="e">
        <f ca="1">INDEX(工作表1!G:G, MATCH(表格1_6[[#This Row],[invoice number]]&amp;表格1_6[[#This Row],[invoice number2]],工作表1!G:G, 0))</f>
        <v>#N/A</v>
      </c>
      <c r="BB306" s="423" t="e">
        <f ca="1">VLOOKUP(表格1_6[[#This Row],[PO+ITEM]],工作表1!F:H,2,FALSE)</f>
        <v>#N/A</v>
      </c>
    </row>
    <row r="307" spans="1:54" ht="15.6">
      <c r="A307" s="413">
        <v>306</v>
      </c>
      <c r="B307" s="413" t="s">
        <v>3674</v>
      </c>
      <c r="C307" s="414" t="s">
        <v>16</v>
      </c>
      <c r="D307" s="414" t="s">
        <v>3648</v>
      </c>
      <c r="E307" s="414"/>
      <c r="F307" s="414"/>
      <c r="G307" s="414"/>
      <c r="H307" s="414"/>
      <c r="I307" s="414"/>
      <c r="J307" s="414"/>
      <c r="K307" s="414"/>
      <c r="L307" s="415" t="s">
        <v>4604</v>
      </c>
      <c r="M307" s="416" t="s">
        <v>2999</v>
      </c>
      <c r="N307" s="416" t="s">
        <v>2999</v>
      </c>
      <c r="O307" s="417"/>
      <c r="P307" s="416">
        <v>4590004413</v>
      </c>
      <c r="Q307" s="418">
        <v>44802</v>
      </c>
      <c r="R307" s="419">
        <v>22</v>
      </c>
      <c r="S307" s="458">
        <v>1240.69</v>
      </c>
      <c r="T307" s="420" t="s">
        <v>2156</v>
      </c>
      <c r="U307" s="414" t="s">
        <v>3661</v>
      </c>
      <c r="V307" s="414" t="s">
        <v>3662</v>
      </c>
      <c r="W307" s="417" t="s">
        <v>3663</v>
      </c>
      <c r="X307" s="417"/>
      <c r="Y307" s="421" t="s">
        <v>3652</v>
      </c>
      <c r="Z307" s="421" t="s">
        <v>3652</v>
      </c>
      <c r="AA307" s="416" t="s">
        <v>4563</v>
      </c>
      <c r="AB307" s="414" t="s">
        <v>3664</v>
      </c>
      <c r="AC307" s="422"/>
      <c r="AD307" s="421"/>
      <c r="AE307" s="420"/>
      <c r="AF307" s="421">
        <v>90041</v>
      </c>
      <c r="AG307" s="420" t="s">
        <v>4605</v>
      </c>
      <c r="AH307" s="421" t="s">
        <v>3828</v>
      </c>
      <c r="AI307" s="420" t="s">
        <v>4599</v>
      </c>
      <c r="AJ307" s="413" t="str">
        <f t="shared" si="19"/>
        <v>4590004413_022</v>
      </c>
      <c r="AK307" s="423"/>
      <c r="AL307" s="424">
        <v>45108</v>
      </c>
      <c r="AM307" s="221">
        <v>496.27600000000007</v>
      </c>
      <c r="AN307" s="244">
        <v>45212</v>
      </c>
      <c r="AO307" s="423" t="s">
        <v>4606</v>
      </c>
      <c r="AP307" s="559">
        <v>45498</v>
      </c>
      <c r="AQ307" s="222">
        <v>744.41</v>
      </c>
      <c r="AR307" s="424" t="s">
        <v>3805</v>
      </c>
      <c r="AS307" s="614">
        <f ca="1">表格1_6[[#This Row],[total amount]]/表格1_6[[#This Row],[PO$]]</f>
        <v>0.99999677598755543</v>
      </c>
      <c r="AT307" s="223">
        <f ca="1">表格1_6[[#This Row],[invoice amount]]+表格1_6[[#This Row],[invoice amount2]]</f>
        <v>1240.6860000000001</v>
      </c>
      <c r="AU307" s="224" t="s">
        <v>4235</v>
      </c>
      <c r="AV307" s="423"/>
      <c r="AW307" s="423" t="e">
        <f ca="1">VLOOKUP(表格1_6[[#This Row],[TI tool ID2]],工作表1!A:A,1,FALSE)</f>
        <v>#N/A</v>
      </c>
      <c r="AX307" s="425" t="e">
        <f ca="1">VLOOKUP(表格1_6[[#This Row],[PO+ITEM]],工作表1!B:E,2,FALSE)</f>
        <v>#N/A</v>
      </c>
      <c r="AY307" s="425" t="e">
        <f ca="1">VLOOKUP(表格1_6[[#This Row],[PO+ITEM]],工作表1!B:E,3,FALSE)</f>
        <v>#N/A</v>
      </c>
      <c r="AZ307" s="423" t="e">
        <f ca="1">VLOOKUP(表格1_6[[#This Row],[PO+ITEM]],工作表1!B:E,4,FALSE)</f>
        <v>#N/A</v>
      </c>
      <c r="BA307" s="425" t="e">
        <f ca="1">INDEX(工作表1!G:G, MATCH(表格1_6[[#This Row],[invoice number]]&amp;表格1_6[[#This Row],[invoice number2]],工作表1!G:G, 0))</f>
        <v>#N/A</v>
      </c>
      <c r="BB307" s="423" t="e">
        <f ca="1">VLOOKUP(表格1_6[[#This Row],[PO+ITEM]],工作表1!F:H,2,FALSE)</f>
        <v>#N/A</v>
      </c>
    </row>
    <row r="308" spans="1:54" ht="15.6">
      <c r="A308" s="413">
        <v>307</v>
      </c>
      <c r="B308" s="413" t="s">
        <v>3674</v>
      </c>
      <c r="C308" s="414" t="s">
        <v>16</v>
      </c>
      <c r="D308" s="414" t="s">
        <v>3648</v>
      </c>
      <c r="E308" s="414"/>
      <c r="F308" s="414"/>
      <c r="G308" s="414"/>
      <c r="H308" s="414"/>
      <c r="I308" s="414"/>
      <c r="J308" s="414"/>
      <c r="K308" s="414"/>
      <c r="L308" s="420" t="s">
        <v>4607</v>
      </c>
      <c r="M308" s="416" t="s">
        <v>2999</v>
      </c>
      <c r="N308" s="416" t="s">
        <v>2999</v>
      </c>
      <c r="O308" s="417"/>
      <c r="P308" s="416">
        <v>4590004413</v>
      </c>
      <c r="Q308" s="418">
        <v>44802</v>
      </c>
      <c r="R308" s="419">
        <v>23</v>
      </c>
      <c r="S308" s="458">
        <v>3704.62</v>
      </c>
      <c r="T308" s="420" t="s">
        <v>2156</v>
      </c>
      <c r="U308" s="414" t="s">
        <v>3661</v>
      </c>
      <c r="V308" s="414" t="s">
        <v>3662</v>
      </c>
      <c r="W308" s="417" t="s">
        <v>3663</v>
      </c>
      <c r="X308" s="417"/>
      <c r="Y308" s="421" t="s">
        <v>3652</v>
      </c>
      <c r="Z308" s="421" t="s">
        <v>3652</v>
      </c>
      <c r="AA308" s="416" t="s">
        <v>4563</v>
      </c>
      <c r="AB308" s="414" t="s">
        <v>3664</v>
      </c>
      <c r="AC308" s="422"/>
      <c r="AD308" s="421"/>
      <c r="AE308" s="420"/>
      <c r="AF308" s="421">
        <v>90486</v>
      </c>
      <c r="AG308" s="420" t="s">
        <v>2921</v>
      </c>
      <c r="AH308" s="421" t="s">
        <v>3828</v>
      </c>
      <c r="AI308" s="420" t="s">
        <v>2995</v>
      </c>
      <c r="AJ308" s="413" t="str">
        <f t="shared" si="19"/>
        <v>4590004413_023</v>
      </c>
      <c r="AK308" s="423"/>
      <c r="AL308" s="424">
        <v>45108</v>
      </c>
      <c r="AM308" s="221">
        <v>1481.848</v>
      </c>
      <c r="AN308" s="244">
        <v>45212</v>
      </c>
      <c r="AO308" s="423" t="s">
        <v>4608</v>
      </c>
      <c r="AP308" s="559">
        <v>45513</v>
      </c>
      <c r="AQ308" s="560">
        <v>2222.77</v>
      </c>
      <c r="AR308" s="424" t="s">
        <v>3805</v>
      </c>
      <c r="AS308" s="614">
        <f ca="1">表格1_6[[#This Row],[total amount]]/表格1_6[[#This Row],[PO$]]</f>
        <v>0.999999460133563</v>
      </c>
      <c r="AT308" s="223">
        <f ca="1">表格1_6[[#This Row],[invoice amount]]+表格1_6[[#This Row],[invoice amount2]]</f>
        <v>3704.6179999999999</v>
      </c>
      <c r="AU308" s="224" t="s">
        <v>4235</v>
      </c>
      <c r="AV308" s="423"/>
      <c r="AW308" s="423" t="e">
        <f ca="1">VLOOKUP(表格1_6[[#This Row],[TI tool ID2]],工作表1!A:A,1,FALSE)</f>
        <v>#N/A</v>
      </c>
      <c r="AX308" s="425" t="e">
        <f ca="1">VLOOKUP(表格1_6[[#This Row],[PO+ITEM]],工作表1!B:E,2,FALSE)</f>
        <v>#N/A</v>
      </c>
      <c r="AY308" s="424" t="e">
        <f ca="1">VLOOKUP(表格1_6[[#This Row],[PO+ITEM]],工作表1!B:E,3,FALSE)</f>
        <v>#N/A</v>
      </c>
      <c r="AZ308" s="423" t="e">
        <f ca="1">VLOOKUP(表格1_6[[#This Row],[PO+ITEM]],工作表1!B:E,4,FALSE)</f>
        <v>#N/A</v>
      </c>
      <c r="BA308" s="425" t="e">
        <f ca="1">INDEX(工作表1!G:G, MATCH(表格1_6[[#This Row],[invoice number]]&amp;表格1_6[[#This Row],[invoice number2]],工作表1!G:G, 0))</f>
        <v>#N/A</v>
      </c>
      <c r="BB308" s="423" t="e">
        <f ca="1">VLOOKUP(表格1_6[[#This Row],[PO+ITEM]],工作表1!F:H,2,FALSE)</f>
        <v>#N/A</v>
      </c>
    </row>
    <row r="309" spans="1:54" ht="15.6">
      <c r="A309" s="413">
        <v>308</v>
      </c>
      <c r="B309" s="413" t="s">
        <v>3674</v>
      </c>
      <c r="C309" s="414" t="s">
        <v>16</v>
      </c>
      <c r="D309" s="414" t="s">
        <v>3648</v>
      </c>
      <c r="E309" s="414"/>
      <c r="F309" s="414"/>
      <c r="G309" s="414"/>
      <c r="H309" s="414"/>
      <c r="I309" s="414"/>
      <c r="J309" s="414"/>
      <c r="K309" s="414"/>
      <c r="L309" s="415" t="s">
        <v>4609</v>
      </c>
      <c r="M309" s="416" t="s">
        <v>2999</v>
      </c>
      <c r="N309" s="416" t="s">
        <v>2999</v>
      </c>
      <c r="O309" s="417"/>
      <c r="P309" s="416">
        <v>4590004413</v>
      </c>
      <c r="Q309" s="418">
        <v>44802</v>
      </c>
      <c r="R309" s="419">
        <v>24</v>
      </c>
      <c r="S309" s="458">
        <v>3704.62</v>
      </c>
      <c r="T309" s="420" t="s">
        <v>2156</v>
      </c>
      <c r="U309" s="414" t="s">
        <v>3661</v>
      </c>
      <c r="V309" s="414" t="s">
        <v>3662</v>
      </c>
      <c r="W309" s="417" t="s">
        <v>3663</v>
      </c>
      <c r="X309" s="417"/>
      <c r="Y309" s="421" t="s">
        <v>3652</v>
      </c>
      <c r="Z309" s="421" t="s">
        <v>3652</v>
      </c>
      <c r="AA309" s="416" t="s">
        <v>4563</v>
      </c>
      <c r="AB309" s="414" t="s">
        <v>3664</v>
      </c>
      <c r="AC309" s="422"/>
      <c r="AD309" s="421"/>
      <c r="AE309" s="420"/>
      <c r="AF309" s="421">
        <v>90485</v>
      </c>
      <c r="AG309" s="420" t="s">
        <v>2919</v>
      </c>
      <c r="AH309" s="421" t="s">
        <v>3828</v>
      </c>
      <c r="AI309" s="420" t="s">
        <v>2995</v>
      </c>
      <c r="AJ309" s="413" t="str">
        <f t="shared" si="19"/>
        <v>4590004413_024</v>
      </c>
      <c r="AK309" s="423"/>
      <c r="AL309" s="424">
        <v>45108</v>
      </c>
      <c r="AM309" s="221">
        <v>1481.848</v>
      </c>
      <c r="AN309" s="244">
        <v>45212</v>
      </c>
      <c r="AO309" s="423" t="s">
        <v>4610</v>
      </c>
      <c r="AP309" s="424">
        <v>45429</v>
      </c>
      <c r="AQ309" s="222">
        <v>2222.7719999999999</v>
      </c>
      <c r="AR309" s="431" t="s">
        <v>1473</v>
      </c>
      <c r="AS309" s="614">
        <f ca="1">表格1_6[[#This Row],[total amount]]/表格1_6[[#This Row],[PO$]]</f>
        <v>1</v>
      </c>
      <c r="AT309" s="223">
        <f ca="1">表格1_6[[#This Row],[invoice amount]]+表格1_6[[#This Row],[invoice amount2]]</f>
        <v>3704.62</v>
      </c>
      <c r="AU309" s="224" t="s">
        <v>4235</v>
      </c>
      <c r="AV309" s="423" t="s">
        <v>4611</v>
      </c>
      <c r="AW309" s="423" t="e">
        <f ca="1">VLOOKUP(表格1_6[[#This Row],[TI tool ID2]],工作表1!A:A,1,FALSE)</f>
        <v>#N/A</v>
      </c>
      <c r="AX309" s="425" t="e">
        <f ca="1">VLOOKUP(表格1_6[[#This Row],[PO+ITEM]],工作表1!B:E,2,FALSE)</f>
        <v>#N/A</v>
      </c>
      <c r="AY309" s="425" t="e">
        <f ca="1">VLOOKUP(表格1_6[[#This Row],[PO+ITEM]],工作表1!B:E,3,FALSE)</f>
        <v>#N/A</v>
      </c>
      <c r="AZ309" s="423" t="e">
        <f ca="1">VLOOKUP(表格1_6[[#This Row],[PO+ITEM]],工作表1!B:E,4,FALSE)</f>
        <v>#N/A</v>
      </c>
      <c r="BA309" s="425" t="e">
        <f ca="1">INDEX(工作表1!G:G, MATCH(表格1_6[[#This Row],[invoice number]]&amp;表格1_6[[#This Row],[invoice number2]],工作表1!G:G, 0))</f>
        <v>#N/A</v>
      </c>
      <c r="BB309" s="423" t="e">
        <f ca="1">VLOOKUP(表格1_6[[#This Row],[PO+ITEM]],工作表1!F:H,2,FALSE)</f>
        <v>#N/A</v>
      </c>
    </row>
    <row r="310" spans="1:54" ht="15.6">
      <c r="A310" s="413">
        <v>309</v>
      </c>
      <c r="B310" s="413" t="s">
        <v>3674</v>
      </c>
      <c r="C310" s="414" t="s">
        <v>16</v>
      </c>
      <c r="D310" s="414" t="s">
        <v>3648</v>
      </c>
      <c r="E310" s="414"/>
      <c r="F310" s="414"/>
      <c r="G310" s="414"/>
      <c r="H310" s="414"/>
      <c r="I310" s="414"/>
      <c r="J310" s="414"/>
      <c r="K310" s="414"/>
      <c r="L310" s="420" t="s">
        <v>4612</v>
      </c>
      <c r="M310" s="416" t="s">
        <v>2999</v>
      </c>
      <c r="N310" s="416" t="s">
        <v>2999</v>
      </c>
      <c r="O310" s="417"/>
      <c r="P310" s="416">
        <v>4590004413</v>
      </c>
      <c r="Q310" s="418">
        <v>44802</v>
      </c>
      <c r="R310" s="419">
        <v>25</v>
      </c>
      <c r="S310" s="458">
        <v>3298.32</v>
      </c>
      <c r="T310" s="420" t="s">
        <v>2156</v>
      </c>
      <c r="U310" s="414" t="s">
        <v>3661</v>
      </c>
      <c r="V310" s="414" t="s">
        <v>3662</v>
      </c>
      <c r="W310" s="417" t="s">
        <v>3663</v>
      </c>
      <c r="X310" s="417"/>
      <c r="Y310" s="421" t="s">
        <v>3652</v>
      </c>
      <c r="Z310" s="421" t="s">
        <v>3652</v>
      </c>
      <c r="AA310" s="416" t="s">
        <v>4563</v>
      </c>
      <c r="AB310" s="414" t="s">
        <v>3664</v>
      </c>
      <c r="AC310" s="422"/>
      <c r="AD310" s="421"/>
      <c r="AE310" s="420"/>
      <c r="AF310" s="421">
        <v>90778</v>
      </c>
      <c r="AG310" s="420" t="s">
        <v>2917</v>
      </c>
      <c r="AH310" s="421" t="s">
        <v>3828</v>
      </c>
      <c r="AI310" s="420" t="s">
        <v>2995</v>
      </c>
      <c r="AJ310" s="413" t="str">
        <f t="shared" si="19"/>
        <v>4590004413_025</v>
      </c>
      <c r="AK310" s="423"/>
      <c r="AL310" s="424">
        <v>45108</v>
      </c>
      <c r="AM310" s="221">
        <v>1319.3280000000002</v>
      </c>
      <c r="AN310" s="244">
        <v>45212</v>
      </c>
      <c r="AO310" s="423" t="s">
        <v>4613</v>
      </c>
      <c r="AP310" s="424">
        <v>45422</v>
      </c>
      <c r="AQ310" s="222">
        <v>1978.992</v>
      </c>
      <c r="AR310" s="424">
        <v>45565</v>
      </c>
      <c r="AS310" s="614">
        <f ca="1">表格1_6[[#This Row],[total amount]]/表格1_6[[#This Row],[PO$]]</f>
        <v>1</v>
      </c>
      <c r="AT310" s="223">
        <f ca="1">表格1_6[[#This Row],[invoice amount]]+表格1_6[[#This Row],[invoice amount2]]</f>
        <v>3298.32</v>
      </c>
      <c r="AU310" s="224" t="s">
        <v>3725</v>
      </c>
      <c r="AV310" s="423" t="s">
        <v>3657</v>
      </c>
      <c r="AW310" s="423" t="e">
        <f ca="1">VLOOKUP(表格1_6[[#This Row],[TI tool ID2]],工作表1!A:A,1,FALSE)</f>
        <v>#N/A</v>
      </c>
      <c r="AX310" s="425" t="e">
        <f ca="1">VLOOKUP(表格1_6[[#This Row],[PO+ITEM]],工作表1!B:E,2,FALSE)</f>
        <v>#N/A</v>
      </c>
      <c r="AY310" s="425" t="e">
        <f ca="1">VLOOKUP(表格1_6[[#This Row],[PO+ITEM]],工作表1!B:E,3,FALSE)</f>
        <v>#N/A</v>
      </c>
      <c r="AZ310" s="423" t="e">
        <f ca="1">VLOOKUP(表格1_6[[#This Row],[PO+ITEM]],工作表1!B:E,4,FALSE)</f>
        <v>#N/A</v>
      </c>
      <c r="BA310" s="425" t="e">
        <f ca="1">INDEX(工作表1!G:G, MATCH(表格1_6[[#This Row],[invoice number]]&amp;表格1_6[[#This Row],[invoice number2]],工作表1!G:G, 0))</f>
        <v>#N/A</v>
      </c>
      <c r="BB310" s="423" t="e">
        <f ca="1">VLOOKUP(表格1_6[[#This Row],[PO+ITEM]],工作表1!F:H,2,FALSE)</f>
        <v>#N/A</v>
      </c>
    </row>
    <row r="311" spans="1:54" ht="15.6">
      <c r="A311" s="413">
        <v>310</v>
      </c>
      <c r="B311" s="413" t="s">
        <v>3674</v>
      </c>
      <c r="C311" s="414" t="s">
        <v>16</v>
      </c>
      <c r="D311" s="414" t="s">
        <v>3648</v>
      </c>
      <c r="E311" s="414"/>
      <c r="F311" s="414"/>
      <c r="G311" s="414"/>
      <c r="H311" s="414"/>
      <c r="I311" s="414"/>
      <c r="J311" s="414"/>
      <c r="K311" s="414"/>
      <c r="L311" s="415" t="s">
        <v>4614</v>
      </c>
      <c r="M311" s="416" t="s">
        <v>2999</v>
      </c>
      <c r="N311" s="416" t="s">
        <v>2999</v>
      </c>
      <c r="O311" s="417"/>
      <c r="P311" s="416">
        <v>4590004413</v>
      </c>
      <c r="Q311" s="418">
        <v>44802</v>
      </c>
      <c r="R311" s="419">
        <v>26</v>
      </c>
      <c r="S311" s="458">
        <v>3298.32</v>
      </c>
      <c r="T311" s="420" t="s">
        <v>2156</v>
      </c>
      <c r="U311" s="414" t="s">
        <v>3661</v>
      </c>
      <c r="V311" s="414" t="s">
        <v>3662</v>
      </c>
      <c r="W311" s="417" t="s">
        <v>3663</v>
      </c>
      <c r="X311" s="417"/>
      <c r="Y311" s="421" t="s">
        <v>3652</v>
      </c>
      <c r="Z311" s="421" t="s">
        <v>3652</v>
      </c>
      <c r="AA311" s="416" t="s">
        <v>4563</v>
      </c>
      <c r="AB311" s="414" t="s">
        <v>3664</v>
      </c>
      <c r="AC311" s="422"/>
      <c r="AD311" s="421"/>
      <c r="AE311" s="420"/>
      <c r="AF311" s="421">
        <v>90488</v>
      </c>
      <c r="AG311" s="420" t="s">
        <v>2915</v>
      </c>
      <c r="AH311" s="421" t="s">
        <v>3828</v>
      </c>
      <c r="AI311" s="420" t="s">
        <v>2995</v>
      </c>
      <c r="AJ311" s="413" t="str">
        <f t="shared" si="19"/>
        <v>4590004413_026</v>
      </c>
      <c r="AK311" s="423"/>
      <c r="AL311" s="424">
        <v>45108</v>
      </c>
      <c r="AM311" s="221">
        <v>1319.3280000000002</v>
      </c>
      <c r="AN311" s="244">
        <v>45212</v>
      </c>
      <c r="AO311" s="423" t="s">
        <v>4615</v>
      </c>
      <c r="AP311" s="424">
        <v>45422</v>
      </c>
      <c r="AQ311" s="222">
        <v>1978.992</v>
      </c>
      <c r="AR311" s="424">
        <v>45565</v>
      </c>
      <c r="AS311" s="614">
        <f ca="1">表格1_6[[#This Row],[total amount]]/表格1_6[[#This Row],[PO$]]</f>
        <v>1</v>
      </c>
      <c r="AT311" s="223">
        <f ca="1">表格1_6[[#This Row],[invoice amount]]+表格1_6[[#This Row],[invoice amount2]]</f>
        <v>3298.32</v>
      </c>
      <c r="AU311" s="224" t="s">
        <v>3725</v>
      </c>
      <c r="AV311" s="423" t="s">
        <v>3657</v>
      </c>
      <c r="AW311" s="423" t="e">
        <f ca="1">VLOOKUP(表格1_6[[#This Row],[TI tool ID2]],工作表1!A:A,1,FALSE)</f>
        <v>#N/A</v>
      </c>
      <c r="AX311" s="425" t="e">
        <f ca="1">VLOOKUP(表格1_6[[#This Row],[PO+ITEM]],工作表1!B:E,2,FALSE)</f>
        <v>#N/A</v>
      </c>
      <c r="AY311" s="425" t="e">
        <f ca="1">VLOOKUP(表格1_6[[#This Row],[PO+ITEM]],工作表1!B:E,3,FALSE)</f>
        <v>#N/A</v>
      </c>
      <c r="AZ311" s="423" t="e">
        <f ca="1">VLOOKUP(表格1_6[[#This Row],[PO+ITEM]],工作表1!B:E,4,FALSE)</f>
        <v>#N/A</v>
      </c>
      <c r="BA311" s="425" t="e">
        <f ca="1">INDEX(工作表1!G:G, MATCH(表格1_6[[#This Row],[invoice number]]&amp;表格1_6[[#This Row],[invoice number2]],工作表1!G:G, 0))</f>
        <v>#N/A</v>
      </c>
      <c r="BB311" s="423" t="e">
        <f ca="1">VLOOKUP(表格1_6[[#This Row],[PO+ITEM]],工作表1!F:H,2,FALSE)</f>
        <v>#N/A</v>
      </c>
    </row>
    <row r="312" spans="1:54" ht="15.6">
      <c r="A312" s="413">
        <v>311</v>
      </c>
      <c r="B312" s="413" t="s">
        <v>3674</v>
      </c>
      <c r="C312" s="414" t="s">
        <v>16</v>
      </c>
      <c r="D312" s="414" t="s">
        <v>3648</v>
      </c>
      <c r="E312" s="414"/>
      <c r="F312" s="414"/>
      <c r="G312" s="414"/>
      <c r="H312" s="414"/>
      <c r="I312" s="414"/>
      <c r="J312" s="414"/>
      <c r="K312" s="414"/>
      <c r="L312" s="420" t="s">
        <v>4616</v>
      </c>
      <c r="M312" s="416" t="s">
        <v>2999</v>
      </c>
      <c r="N312" s="416" t="s">
        <v>2999</v>
      </c>
      <c r="O312" s="417"/>
      <c r="P312" s="416">
        <v>4590004413</v>
      </c>
      <c r="Q312" s="418">
        <v>44802</v>
      </c>
      <c r="R312" s="419">
        <v>27</v>
      </c>
      <c r="S312" s="349">
        <v>1240.69</v>
      </c>
      <c r="T312" s="420" t="s">
        <v>2156</v>
      </c>
      <c r="U312" s="414" t="s">
        <v>3661</v>
      </c>
      <c r="V312" s="414" t="s">
        <v>3662</v>
      </c>
      <c r="W312" s="417" t="s">
        <v>3663</v>
      </c>
      <c r="X312" s="417"/>
      <c r="Y312" s="421" t="s">
        <v>3652</v>
      </c>
      <c r="Z312" s="421" t="s">
        <v>3652</v>
      </c>
      <c r="AA312" s="416" t="s">
        <v>4563</v>
      </c>
      <c r="AB312" s="414" t="s">
        <v>3664</v>
      </c>
      <c r="AC312" s="422"/>
      <c r="AD312" s="421"/>
      <c r="AE312" s="420"/>
      <c r="AF312" s="421">
        <v>90268</v>
      </c>
      <c r="AG312" s="420" t="s">
        <v>3518</v>
      </c>
      <c r="AH312" s="421" t="s">
        <v>3828</v>
      </c>
      <c r="AI312" s="420" t="s">
        <v>4444</v>
      </c>
      <c r="AJ312" s="413" t="str">
        <f t="shared" si="19"/>
        <v>4590004413_027</v>
      </c>
      <c r="AK312" s="420"/>
      <c r="AL312" s="424">
        <v>45108</v>
      </c>
      <c r="AM312" s="221">
        <v>496.27600000000007</v>
      </c>
      <c r="AN312" s="244">
        <v>45212</v>
      </c>
      <c r="AO312" s="420" t="s">
        <v>4617</v>
      </c>
      <c r="AP312" s="424">
        <v>45471</v>
      </c>
      <c r="AQ312" s="222">
        <v>744.41</v>
      </c>
      <c r="AR312" s="424" t="s">
        <v>3805</v>
      </c>
      <c r="AS312" s="614">
        <f ca="1">表格1_6[[#This Row],[total amount]]/表格1_6[[#This Row],[PO$]]</f>
        <v>0.99999677598755543</v>
      </c>
      <c r="AT312" s="223">
        <f ca="1">表格1_6[[#This Row],[invoice amount]]+表格1_6[[#This Row],[invoice amount2]]</f>
        <v>1240.6860000000001</v>
      </c>
      <c r="AU312" s="224" t="s">
        <v>4235</v>
      </c>
      <c r="AV312" s="423"/>
      <c r="AW312" s="423" t="e">
        <f ca="1">VLOOKUP(表格1_6[[#This Row],[TI tool ID2]],工作表1!A:A,1,FALSE)</f>
        <v>#N/A</v>
      </c>
      <c r="AX312" s="425" t="e">
        <f ca="1">VLOOKUP(表格1_6[[#This Row],[PO+ITEM]],工作表1!B:E,2,FALSE)</f>
        <v>#N/A</v>
      </c>
      <c r="AY312" s="425" t="e">
        <f ca="1">VLOOKUP(表格1_6[[#This Row],[PO+ITEM]],工作表1!B:E,3,FALSE)</f>
        <v>#N/A</v>
      </c>
      <c r="AZ312" s="423" t="e">
        <f ca="1">VLOOKUP(表格1_6[[#This Row],[PO+ITEM]],工作表1!B:E,4,FALSE)</f>
        <v>#N/A</v>
      </c>
      <c r="BA312" s="425" t="e">
        <f ca="1">INDEX(工作表1!G:G, MATCH(表格1_6[[#This Row],[invoice number]]&amp;表格1_6[[#This Row],[invoice number2]],工作表1!G:G, 0))</f>
        <v>#N/A</v>
      </c>
      <c r="BB312" s="423" t="e">
        <f ca="1">VLOOKUP(表格1_6[[#This Row],[PO+ITEM]],工作表1!F:H,2,FALSE)</f>
        <v>#N/A</v>
      </c>
    </row>
    <row r="313" spans="1:54" ht="15.6">
      <c r="A313" s="413">
        <v>312</v>
      </c>
      <c r="B313" s="413" t="s">
        <v>3674</v>
      </c>
      <c r="C313" s="414" t="s">
        <v>16</v>
      </c>
      <c r="D313" s="414" t="s">
        <v>3648</v>
      </c>
      <c r="E313" s="414"/>
      <c r="F313" s="414"/>
      <c r="G313" s="414"/>
      <c r="H313" s="414"/>
      <c r="I313" s="414"/>
      <c r="J313" s="414"/>
      <c r="K313" s="414"/>
      <c r="L313" s="420" t="s">
        <v>4618</v>
      </c>
      <c r="M313" s="416" t="s">
        <v>2999</v>
      </c>
      <c r="N313" s="416" t="s">
        <v>2999</v>
      </c>
      <c r="O313" s="417"/>
      <c r="P313" s="416">
        <v>4590004413</v>
      </c>
      <c r="Q313" s="418">
        <v>44802</v>
      </c>
      <c r="R313" s="419">
        <v>28</v>
      </c>
      <c r="S313" s="458">
        <v>1240.69</v>
      </c>
      <c r="T313" s="420" t="s">
        <v>2156</v>
      </c>
      <c r="U313" s="414" t="s">
        <v>3661</v>
      </c>
      <c r="V313" s="414" t="s">
        <v>3662</v>
      </c>
      <c r="W313" s="417" t="s">
        <v>3663</v>
      </c>
      <c r="X313" s="417"/>
      <c r="Y313" s="421" t="s">
        <v>3652</v>
      </c>
      <c r="Z313" s="421" t="s">
        <v>3652</v>
      </c>
      <c r="AA313" s="416" t="s">
        <v>4563</v>
      </c>
      <c r="AB313" s="414" t="s">
        <v>3664</v>
      </c>
      <c r="AC313" s="422"/>
      <c r="AD313" s="421"/>
      <c r="AE313" s="420"/>
      <c r="AF313" s="421">
        <v>90269</v>
      </c>
      <c r="AG313" s="420" t="s">
        <v>3520</v>
      </c>
      <c r="AH313" s="421" t="s">
        <v>3828</v>
      </c>
      <c r="AI313" s="420" t="s">
        <v>4444</v>
      </c>
      <c r="AJ313" s="413" t="str">
        <f t="shared" si="19"/>
        <v>4590004413_028</v>
      </c>
      <c r="AK313" s="423"/>
      <c r="AL313" s="424">
        <v>45108</v>
      </c>
      <c r="AM313" s="221">
        <v>496.27600000000007</v>
      </c>
      <c r="AN313" s="244">
        <v>45212</v>
      </c>
      <c r="AO313" s="564" t="s">
        <v>4619</v>
      </c>
      <c r="AP313" s="424">
        <v>45498</v>
      </c>
      <c r="AQ313" s="222">
        <v>744.41</v>
      </c>
      <c r="AR313" s="424" t="s">
        <v>3805</v>
      </c>
      <c r="AS313" s="614">
        <f ca="1">表格1_6[[#This Row],[total amount]]/表格1_6[[#This Row],[PO$]]</f>
        <v>0.99999677598755543</v>
      </c>
      <c r="AT313" s="223">
        <f ca="1">表格1_6[[#This Row],[invoice amount]]+表格1_6[[#This Row],[invoice amount2]]</f>
        <v>1240.6860000000001</v>
      </c>
      <c r="AU313" s="224" t="s">
        <v>4235</v>
      </c>
      <c r="AV313" s="423"/>
      <c r="AW313" s="423" t="e">
        <f ca="1">VLOOKUP(表格1_6[[#This Row],[TI tool ID2]],工作表1!A:A,1,FALSE)</f>
        <v>#N/A</v>
      </c>
      <c r="AX313" s="425" t="e">
        <f ca="1">VLOOKUP(表格1_6[[#This Row],[PO+ITEM]],工作表1!B:E,2,FALSE)</f>
        <v>#N/A</v>
      </c>
      <c r="AY313" s="425" t="e">
        <f ca="1">VLOOKUP(表格1_6[[#This Row],[PO+ITEM]],工作表1!B:E,3,FALSE)</f>
        <v>#N/A</v>
      </c>
      <c r="AZ313" s="423" t="e">
        <f ca="1">VLOOKUP(表格1_6[[#This Row],[PO+ITEM]],工作表1!B:E,4,FALSE)</f>
        <v>#N/A</v>
      </c>
      <c r="BA313" s="425" t="e">
        <f ca="1">INDEX(工作表1!G:G, MATCH(表格1_6[[#This Row],[invoice number]]&amp;表格1_6[[#This Row],[invoice number2]],工作表1!G:G, 0))</f>
        <v>#N/A</v>
      </c>
      <c r="BB313" s="423" t="e">
        <f ca="1">VLOOKUP(表格1_6[[#This Row],[PO+ITEM]],工作表1!F:H,2,FALSE)</f>
        <v>#N/A</v>
      </c>
    </row>
    <row r="314" spans="1:54" ht="15.6">
      <c r="A314" s="413">
        <v>313</v>
      </c>
      <c r="B314" s="413" t="s">
        <v>3674</v>
      </c>
      <c r="C314" s="414" t="s">
        <v>16</v>
      </c>
      <c r="D314" s="414" t="s">
        <v>3648</v>
      </c>
      <c r="E314" s="414"/>
      <c r="F314" s="414"/>
      <c r="G314" s="414"/>
      <c r="H314" s="414"/>
      <c r="I314" s="414"/>
      <c r="J314" s="414"/>
      <c r="K314" s="414"/>
      <c r="L314" s="420" t="s">
        <v>4620</v>
      </c>
      <c r="M314" s="416" t="s">
        <v>2999</v>
      </c>
      <c r="N314" s="416" t="s">
        <v>2999</v>
      </c>
      <c r="O314" s="417"/>
      <c r="P314" s="416">
        <v>4590004413</v>
      </c>
      <c r="Q314" s="418">
        <v>44802</v>
      </c>
      <c r="R314" s="419">
        <v>29</v>
      </c>
      <c r="S314" s="349">
        <v>1240.69</v>
      </c>
      <c r="T314" s="420" t="s">
        <v>2156</v>
      </c>
      <c r="U314" s="414" t="s">
        <v>3661</v>
      </c>
      <c r="V314" s="414" t="s">
        <v>3662</v>
      </c>
      <c r="W314" s="417" t="s">
        <v>3663</v>
      </c>
      <c r="X314" s="417"/>
      <c r="Y314" s="421" t="s">
        <v>3652</v>
      </c>
      <c r="Z314" s="421" t="s">
        <v>3652</v>
      </c>
      <c r="AA314" s="416" t="s">
        <v>4563</v>
      </c>
      <c r="AB314" s="414" t="s">
        <v>3664</v>
      </c>
      <c r="AC314" s="422"/>
      <c r="AD314" s="421"/>
      <c r="AE314" s="420"/>
      <c r="AF314" s="421">
        <v>90270</v>
      </c>
      <c r="AG314" s="420" t="s">
        <v>3522</v>
      </c>
      <c r="AH314" s="421" t="s">
        <v>3828</v>
      </c>
      <c r="AI314" s="420" t="s">
        <v>4444</v>
      </c>
      <c r="AJ314" s="413" t="str">
        <f t="shared" si="19"/>
        <v>4590004413_029</v>
      </c>
      <c r="AK314" s="420"/>
      <c r="AL314" s="424">
        <v>45108</v>
      </c>
      <c r="AM314" s="221">
        <v>496.27600000000007</v>
      </c>
      <c r="AN314" s="244">
        <v>45212</v>
      </c>
      <c r="AO314" s="420" t="s">
        <v>4621</v>
      </c>
      <c r="AP314" s="424">
        <v>45471</v>
      </c>
      <c r="AQ314" s="222">
        <v>744.41</v>
      </c>
      <c r="AR314" s="424" t="s">
        <v>3805</v>
      </c>
      <c r="AS314" s="614">
        <f ca="1">表格1_6[[#This Row],[total amount]]/表格1_6[[#This Row],[PO$]]</f>
        <v>0.99999677598755543</v>
      </c>
      <c r="AT314" s="223">
        <f ca="1">表格1_6[[#This Row],[invoice amount]]+表格1_6[[#This Row],[invoice amount2]]</f>
        <v>1240.6860000000001</v>
      </c>
      <c r="AU314" s="224" t="s">
        <v>4235</v>
      </c>
      <c r="AV314" s="423"/>
      <c r="AW314" s="423" t="e">
        <f ca="1">VLOOKUP(表格1_6[[#This Row],[TI tool ID2]],工作表1!A:A,1,FALSE)</f>
        <v>#N/A</v>
      </c>
      <c r="AX314" s="425" t="e">
        <f ca="1">VLOOKUP(表格1_6[[#This Row],[PO+ITEM]],工作表1!B:E,2,FALSE)</f>
        <v>#N/A</v>
      </c>
      <c r="AY314" s="425" t="e">
        <f ca="1">VLOOKUP(表格1_6[[#This Row],[PO+ITEM]],工作表1!B:E,3,FALSE)</f>
        <v>#N/A</v>
      </c>
      <c r="AZ314" s="423" t="e">
        <f ca="1">VLOOKUP(表格1_6[[#This Row],[PO+ITEM]],工作表1!B:E,4,FALSE)</f>
        <v>#N/A</v>
      </c>
      <c r="BA314" s="425" t="e">
        <f ca="1">INDEX(工作表1!G:G, MATCH(表格1_6[[#This Row],[invoice number]]&amp;表格1_6[[#This Row],[invoice number2]],工作表1!G:G, 0))</f>
        <v>#N/A</v>
      </c>
      <c r="BB314" s="423" t="e">
        <f ca="1">VLOOKUP(表格1_6[[#This Row],[PO+ITEM]],工作表1!F:H,2,FALSE)</f>
        <v>#N/A</v>
      </c>
    </row>
    <row r="315" spans="1:54" ht="14.45">
      <c r="A315" s="413">
        <v>314</v>
      </c>
      <c r="B315" s="413" t="s">
        <v>3674</v>
      </c>
      <c r="C315" s="414" t="s">
        <v>16</v>
      </c>
      <c r="D315" s="414" t="s">
        <v>3648</v>
      </c>
      <c r="E315" s="414"/>
      <c r="F315" s="414"/>
      <c r="G315" s="414"/>
      <c r="H315" s="414"/>
      <c r="I315" s="414"/>
      <c r="J315" s="414"/>
      <c r="K315" s="414"/>
      <c r="L315" s="415" t="s">
        <v>4622</v>
      </c>
      <c r="M315" s="416" t="s">
        <v>2999</v>
      </c>
      <c r="N315" s="416" t="s">
        <v>2999</v>
      </c>
      <c r="O315" s="417"/>
      <c r="P315" s="416">
        <v>4590004413</v>
      </c>
      <c r="Q315" s="418">
        <v>44802</v>
      </c>
      <c r="R315" s="419">
        <v>30</v>
      </c>
      <c r="S315" s="349">
        <v>3225.21</v>
      </c>
      <c r="T315" s="420" t="s">
        <v>2156</v>
      </c>
      <c r="U315" s="414" t="s">
        <v>3661</v>
      </c>
      <c r="V315" s="414" t="s">
        <v>3662</v>
      </c>
      <c r="W315" s="417" t="s">
        <v>3663</v>
      </c>
      <c r="X315" s="417"/>
      <c r="Y315" s="421" t="s">
        <v>3652</v>
      </c>
      <c r="Z315" s="421" t="s">
        <v>3652</v>
      </c>
      <c r="AA315" s="416"/>
      <c r="AB315" s="414" t="s">
        <v>3664</v>
      </c>
      <c r="AC315" s="422"/>
      <c r="AD315" s="421"/>
      <c r="AE315" s="420"/>
      <c r="AF315" s="421">
        <v>90035</v>
      </c>
      <c r="AG315" s="420" t="s">
        <v>4623</v>
      </c>
      <c r="AH315" s="421" t="s">
        <v>3828</v>
      </c>
      <c r="AI315" s="420" t="s">
        <v>4444</v>
      </c>
      <c r="AJ315" s="413" t="str">
        <f t="shared" si="19"/>
        <v>4590004413_030</v>
      </c>
      <c r="AK315" s="420" t="s">
        <v>4624</v>
      </c>
      <c r="AL315" s="424">
        <v>45471</v>
      </c>
      <c r="AM315" s="221">
        <v>3225.21</v>
      </c>
      <c r="AN315" s="424" t="s">
        <v>3805</v>
      </c>
      <c r="AO315" s="423"/>
      <c r="AP315" s="413"/>
      <c r="AQ315" s="222"/>
      <c r="AR315" s="424"/>
      <c r="AS315" s="614">
        <f ca="1">表格1_6[[#This Row],[total amount]]/表格1_6[[#This Row],[PO$]]</f>
        <v>1</v>
      </c>
      <c r="AT315" s="223">
        <f ca="1">表格1_6[[#This Row],[invoice amount]]+表格1_6[[#This Row],[invoice amount2]]</f>
        <v>3225.21</v>
      </c>
      <c r="AU315" s="224" t="s">
        <v>3752</v>
      </c>
      <c r="AV315" s="423"/>
      <c r="AW315" s="423" t="e">
        <f ca="1">VLOOKUP(表格1_6[[#This Row],[TI tool ID2]],工作表1!A:A,1,FALSE)</f>
        <v>#N/A</v>
      </c>
      <c r="AX315" s="425" t="e">
        <f ca="1">VLOOKUP(表格1_6[[#This Row],[PO+ITEM]],工作表1!B:E,2,FALSE)</f>
        <v>#N/A</v>
      </c>
      <c r="AY315" s="425" t="e">
        <f ca="1">VLOOKUP(表格1_6[[#This Row],[PO+ITEM]],工作表1!B:E,3,FALSE)</f>
        <v>#N/A</v>
      </c>
      <c r="AZ315" s="423" t="e">
        <f ca="1">VLOOKUP(表格1_6[[#This Row],[PO+ITEM]],工作表1!B:E,4,FALSE)</f>
        <v>#N/A</v>
      </c>
      <c r="BA315" s="425" t="e">
        <f ca="1">INDEX(工作表1!G:G, MATCH(表格1_6[[#This Row],[invoice number]]&amp;表格1_6[[#This Row],[invoice number2]],工作表1!G:G, 0))</f>
        <v>#N/A</v>
      </c>
      <c r="BB315" s="423" t="e">
        <f ca="1">VLOOKUP(表格1_6[[#This Row],[PO+ITEM]],工作表1!F:H,2,FALSE)</f>
        <v>#N/A</v>
      </c>
    </row>
    <row r="316" spans="1:54" ht="14.45">
      <c r="A316" s="413">
        <v>315</v>
      </c>
      <c r="B316" s="413" t="s">
        <v>3674</v>
      </c>
      <c r="C316" s="414" t="s">
        <v>16</v>
      </c>
      <c r="D316" s="414" t="s">
        <v>3648</v>
      </c>
      <c r="E316" s="414"/>
      <c r="F316" s="414"/>
      <c r="G316" s="414"/>
      <c r="H316" s="414"/>
      <c r="I316" s="414"/>
      <c r="J316" s="414"/>
      <c r="K316" s="414"/>
      <c r="L316" s="415" t="s">
        <v>4625</v>
      </c>
      <c r="M316" s="416" t="s">
        <v>2999</v>
      </c>
      <c r="N316" s="416" t="s">
        <v>2999</v>
      </c>
      <c r="O316" s="417"/>
      <c r="P316" s="416">
        <v>4590004413</v>
      </c>
      <c r="Q316" s="418">
        <v>44802</v>
      </c>
      <c r="R316" s="419">
        <v>31</v>
      </c>
      <c r="S316" s="349">
        <v>3226.53</v>
      </c>
      <c r="T316" s="420" t="s">
        <v>2156</v>
      </c>
      <c r="U316" s="414" t="s">
        <v>3661</v>
      </c>
      <c r="V316" s="414" t="s">
        <v>3662</v>
      </c>
      <c r="W316" s="417" t="s">
        <v>3663</v>
      </c>
      <c r="X316" s="417"/>
      <c r="Y316" s="421" t="s">
        <v>3652</v>
      </c>
      <c r="Z316" s="421" t="s">
        <v>3652</v>
      </c>
      <c r="AA316" s="416"/>
      <c r="AB316" s="414" t="s">
        <v>3664</v>
      </c>
      <c r="AC316" s="422"/>
      <c r="AD316" s="421"/>
      <c r="AE316" s="420"/>
      <c r="AF316" s="421">
        <v>90034</v>
      </c>
      <c r="AG316" s="420" t="s">
        <v>4626</v>
      </c>
      <c r="AH316" s="421" t="s">
        <v>3828</v>
      </c>
      <c r="AI316" s="420" t="s">
        <v>4444</v>
      </c>
      <c r="AJ316" s="413" t="str">
        <f t="shared" si="19"/>
        <v>4590004413_031</v>
      </c>
      <c r="AK316" s="420" t="s">
        <v>4627</v>
      </c>
      <c r="AL316" s="424">
        <v>45471</v>
      </c>
      <c r="AM316" s="221">
        <v>3226.53</v>
      </c>
      <c r="AN316" s="424" t="s">
        <v>3805</v>
      </c>
      <c r="AO316" s="423"/>
      <c r="AP316" s="413"/>
      <c r="AQ316" s="222"/>
      <c r="AR316" s="424"/>
      <c r="AS316" s="614">
        <f ca="1">表格1_6[[#This Row],[total amount]]/表格1_6[[#This Row],[PO$]]</f>
        <v>1</v>
      </c>
      <c r="AT316" s="223">
        <f ca="1">表格1_6[[#This Row],[invoice amount]]+表格1_6[[#This Row],[invoice amount2]]</f>
        <v>3226.53</v>
      </c>
      <c r="AU316" s="224" t="s">
        <v>3752</v>
      </c>
      <c r="AV316" s="423"/>
      <c r="AW316" s="423" t="e">
        <f ca="1">VLOOKUP(表格1_6[[#This Row],[TI tool ID2]],工作表1!A:A,1,FALSE)</f>
        <v>#N/A</v>
      </c>
      <c r="AX316" s="425" t="e">
        <f ca="1">VLOOKUP(表格1_6[[#This Row],[PO+ITEM]],工作表1!B:E,2,FALSE)</f>
        <v>#N/A</v>
      </c>
      <c r="AY316" s="425" t="e">
        <f ca="1">VLOOKUP(表格1_6[[#This Row],[PO+ITEM]],工作表1!B:E,3,FALSE)</f>
        <v>#N/A</v>
      </c>
      <c r="AZ316" s="423" t="e">
        <f ca="1">VLOOKUP(表格1_6[[#This Row],[PO+ITEM]],工作表1!B:E,4,FALSE)</f>
        <v>#N/A</v>
      </c>
      <c r="BA316" s="425" t="e">
        <f ca="1">INDEX(工作表1!G:G, MATCH(表格1_6[[#This Row],[invoice number]]&amp;表格1_6[[#This Row],[invoice number2]],工作表1!G:G, 0))</f>
        <v>#N/A</v>
      </c>
      <c r="BB316" s="423" t="e">
        <f ca="1">VLOOKUP(表格1_6[[#This Row],[PO+ITEM]],工作表1!F:H,2,FALSE)</f>
        <v>#N/A</v>
      </c>
    </row>
    <row r="317" spans="1:54" ht="14.45">
      <c r="A317" s="413">
        <v>316</v>
      </c>
      <c r="B317" s="413" t="s">
        <v>3674</v>
      </c>
      <c r="C317" s="414" t="s">
        <v>16</v>
      </c>
      <c r="D317" s="414" t="s">
        <v>3648</v>
      </c>
      <c r="E317" s="414"/>
      <c r="F317" s="414"/>
      <c r="G317" s="414"/>
      <c r="H317" s="414"/>
      <c r="I317" s="414"/>
      <c r="J317" s="414"/>
      <c r="K317" s="414"/>
      <c r="L317" s="415" t="s">
        <v>4628</v>
      </c>
      <c r="M317" s="416" t="s">
        <v>2999</v>
      </c>
      <c r="N317" s="416" t="s">
        <v>2999</v>
      </c>
      <c r="O317" s="417"/>
      <c r="P317" s="416">
        <v>4590004413</v>
      </c>
      <c r="Q317" s="418">
        <v>44802</v>
      </c>
      <c r="R317" s="419">
        <v>32</v>
      </c>
      <c r="S317" s="349">
        <v>3226.53</v>
      </c>
      <c r="T317" s="420" t="s">
        <v>2156</v>
      </c>
      <c r="U317" s="414" t="s">
        <v>3661</v>
      </c>
      <c r="V317" s="414" t="s">
        <v>3662</v>
      </c>
      <c r="W317" s="417" t="s">
        <v>3663</v>
      </c>
      <c r="X317" s="417"/>
      <c r="Y317" s="421" t="s">
        <v>3652</v>
      </c>
      <c r="Z317" s="421" t="s">
        <v>3652</v>
      </c>
      <c r="AA317" s="416"/>
      <c r="AB317" s="414" t="s">
        <v>3664</v>
      </c>
      <c r="AC317" s="422"/>
      <c r="AD317" s="421"/>
      <c r="AE317" s="420"/>
      <c r="AF317" s="421">
        <v>90037</v>
      </c>
      <c r="AG317" s="420" t="s">
        <v>4629</v>
      </c>
      <c r="AH317" s="421" t="s">
        <v>3828</v>
      </c>
      <c r="AI317" s="420" t="s">
        <v>4444</v>
      </c>
      <c r="AJ317" s="413" t="str">
        <f t="shared" si="19"/>
        <v>4590004413_032</v>
      </c>
      <c r="AK317" s="420" t="s">
        <v>4630</v>
      </c>
      <c r="AL317" s="424">
        <v>45471</v>
      </c>
      <c r="AM317" s="221">
        <v>3226.53</v>
      </c>
      <c r="AN317" s="424" t="s">
        <v>3805</v>
      </c>
      <c r="AO317" s="423"/>
      <c r="AP317" s="413"/>
      <c r="AQ317" s="222"/>
      <c r="AR317" s="424"/>
      <c r="AS317" s="614">
        <f ca="1">表格1_6[[#This Row],[total amount]]/表格1_6[[#This Row],[PO$]]</f>
        <v>1</v>
      </c>
      <c r="AT317" s="223">
        <f ca="1">表格1_6[[#This Row],[invoice amount]]+表格1_6[[#This Row],[invoice amount2]]</f>
        <v>3226.53</v>
      </c>
      <c r="AU317" s="224" t="s">
        <v>3752</v>
      </c>
      <c r="AV317" s="423"/>
      <c r="AW317" s="423" t="e">
        <f ca="1">VLOOKUP(表格1_6[[#This Row],[TI tool ID2]],工作表1!A:A,1,FALSE)</f>
        <v>#N/A</v>
      </c>
      <c r="AX317" s="425" t="e">
        <f ca="1">VLOOKUP(表格1_6[[#This Row],[PO+ITEM]],工作表1!B:E,2,FALSE)</f>
        <v>#N/A</v>
      </c>
      <c r="AY317" s="425" t="e">
        <f ca="1">VLOOKUP(表格1_6[[#This Row],[PO+ITEM]],工作表1!B:E,3,FALSE)</f>
        <v>#N/A</v>
      </c>
      <c r="AZ317" s="423" t="e">
        <f ca="1">VLOOKUP(表格1_6[[#This Row],[PO+ITEM]],工作表1!B:E,4,FALSE)</f>
        <v>#N/A</v>
      </c>
      <c r="BA317" s="425" t="e">
        <f ca="1">INDEX(工作表1!G:G, MATCH(表格1_6[[#This Row],[invoice number]]&amp;表格1_6[[#This Row],[invoice number2]],工作表1!G:G, 0))</f>
        <v>#N/A</v>
      </c>
      <c r="BB317" s="423" t="e">
        <f ca="1">VLOOKUP(表格1_6[[#This Row],[PO+ITEM]],工作表1!F:H,2,FALSE)</f>
        <v>#N/A</v>
      </c>
    </row>
    <row r="318" spans="1:54" ht="14.45">
      <c r="A318" s="413">
        <v>317</v>
      </c>
      <c r="B318" s="413" t="s">
        <v>3674</v>
      </c>
      <c r="C318" s="414" t="s">
        <v>16</v>
      </c>
      <c r="D318" s="414" t="s">
        <v>3648</v>
      </c>
      <c r="E318" s="414"/>
      <c r="F318" s="414"/>
      <c r="G318" s="414"/>
      <c r="H318" s="414"/>
      <c r="I318" s="414"/>
      <c r="J318" s="414"/>
      <c r="K318" s="414"/>
      <c r="L318" s="415" t="s">
        <v>4631</v>
      </c>
      <c r="M318" s="416" t="s">
        <v>2999</v>
      </c>
      <c r="N318" s="416" t="s">
        <v>2999</v>
      </c>
      <c r="O318" s="417"/>
      <c r="P318" s="416">
        <v>4590004413</v>
      </c>
      <c r="Q318" s="418">
        <v>44802</v>
      </c>
      <c r="R318" s="419">
        <v>33</v>
      </c>
      <c r="S318" s="458">
        <v>3226.53</v>
      </c>
      <c r="T318" s="420" t="s">
        <v>2156</v>
      </c>
      <c r="U318" s="414" t="s">
        <v>3661</v>
      </c>
      <c r="V318" s="414" t="s">
        <v>3662</v>
      </c>
      <c r="W318" s="417" t="s">
        <v>3663</v>
      </c>
      <c r="X318" s="417"/>
      <c r="Y318" s="421" t="s">
        <v>3652</v>
      </c>
      <c r="Z318" s="421" t="s">
        <v>3652</v>
      </c>
      <c r="AA318" s="416"/>
      <c r="AB318" s="414" t="s">
        <v>3664</v>
      </c>
      <c r="AC318" s="422"/>
      <c r="AD318" s="421"/>
      <c r="AE318" s="420"/>
      <c r="AF318" s="421">
        <v>90036</v>
      </c>
      <c r="AG318" s="420" t="s">
        <v>4632</v>
      </c>
      <c r="AH318" s="421" t="s">
        <v>3828</v>
      </c>
      <c r="AI318" s="420" t="s">
        <v>4444</v>
      </c>
      <c r="AJ318" s="413" t="str">
        <f t="shared" si="19"/>
        <v>4590004413_033</v>
      </c>
      <c r="AK318" s="423" t="s">
        <v>4633</v>
      </c>
      <c r="AL318" s="424">
        <v>45498</v>
      </c>
      <c r="AM318" s="221">
        <v>3226.53</v>
      </c>
      <c r="AN318" s="424" t="s">
        <v>3805</v>
      </c>
      <c r="AO318" s="423"/>
      <c r="AP318" s="413"/>
      <c r="AQ318" s="222"/>
      <c r="AR318" s="424"/>
      <c r="AS318" s="614">
        <f ca="1">表格1_6[[#This Row],[total amount]]/表格1_6[[#This Row],[PO$]]</f>
        <v>1</v>
      </c>
      <c r="AT318" s="223">
        <f ca="1">表格1_6[[#This Row],[invoice amount]]+表格1_6[[#This Row],[invoice amount2]]</f>
        <v>3226.53</v>
      </c>
      <c r="AU318" s="224" t="s">
        <v>3752</v>
      </c>
      <c r="AV318" s="423"/>
      <c r="AW318" s="423" t="e">
        <f ca="1">VLOOKUP(表格1_6[[#This Row],[TI tool ID2]],工作表1!A:A,1,FALSE)</f>
        <v>#N/A</v>
      </c>
      <c r="AX318" s="425" t="e">
        <f ca="1">VLOOKUP(表格1_6[[#This Row],[PO+ITEM]],工作表1!B:E,2,FALSE)</f>
        <v>#N/A</v>
      </c>
      <c r="AY318" s="425" t="e">
        <f ca="1">VLOOKUP(表格1_6[[#This Row],[PO+ITEM]],工作表1!B:E,3,FALSE)</f>
        <v>#N/A</v>
      </c>
      <c r="AZ318" s="423" t="e">
        <f ca="1">VLOOKUP(表格1_6[[#This Row],[PO+ITEM]],工作表1!B:E,4,FALSE)</f>
        <v>#N/A</v>
      </c>
      <c r="BA318" s="425" t="e">
        <f ca="1">INDEX(工作表1!G:G, MATCH(表格1_6[[#This Row],[invoice number]]&amp;表格1_6[[#This Row],[invoice number2]],工作表1!G:G, 0))</f>
        <v>#N/A</v>
      </c>
      <c r="BB318" s="423" t="e">
        <f ca="1">VLOOKUP(表格1_6[[#This Row],[PO+ITEM]],工作表1!F:H,2,FALSE)</f>
        <v>#N/A</v>
      </c>
    </row>
    <row r="319" spans="1:54" ht="15.6">
      <c r="A319" s="413">
        <v>318</v>
      </c>
      <c r="B319" s="413" t="s">
        <v>3674</v>
      </c>
      <c r="C319" s="414" t="s">
        <v>16</v>
      </c>
      <c r="D319" s="414" t="s">
        <v>3648</v>
      </c>
      <c r="E319" s="414"/>
      <c r="F319" s="414"/>
      <c r="G319" s="414"/>
      <c r="H319" s="414"/>
      <c r="I319" s="414"/>
      <c r="J319" s="414"/>
      <c r="K319" s="414"/>
      <c r="L319" s="415" t="s">
        <v>4634</v>
      </c>
      <c r="M319" s="416" t="s">
        <v>2999</v>
      </c>
      <c r="N319" s="416" t="s">
        <v>2999</v>
      </c>
      <c r="O319" s="417"/>
      <c r="P319" s="416">
        <v>4590004413</v>
      </c>
      <c r="Q319" s="418">
        <v>44802</v>
      </c>
      <c r="R319" s="419">
        <v>34</v>
      </c>
      <c r="S319" s="349">
        <v>1241.3499999999999</v>
      </c>
      <c r="T319" s="420" t="s">
        <v>2156</v>
      </c>
      <c r="U319" s="414" t="s">
        <v>3661</v>
      </c>
      <c r="V319" s="414" t="s">
        <v>3662</v>
      </c>
      <c r="W319" s="417" t="s">
        <v>3663</v>
      </c>
      <c r="X319" s="417"/>
      <c r="Y319" s="421" t="s">
        <v>3652</v>
      </c>
      <c r="Z319" s="421" t="s">
        <v>3652</v>
      </c>
      <c r="AA319" s="416" t="s">
        <v>4563</v>
      </c>
      <c r="AB319" s="414" t="s">
        <v>3664</v>
      </c>
      <c r="AC319" s="422"/>
      <c r="AD319" s="421"/>
      <c r="AE319" s="420"/>
      <c r="AF319" s="421">
        <v>90038</v>
      </c>
      <c r="AG319" s="420" t="s">
        <v>4635</v>
      </c>
      <c r="AH319" s="421" t="s">
        <v>3828</v>
      </c>
      <c r="AI319" s="420" t="s">
        <v>4444</v>
      </c>
      <c r="AJ319" s="413" t="str">
        <f t="shared" si="19"/>
        <v>4590004413_034</v>
      </c>
      <c r="AK319" s="420"/>
      <c r="AL319" s="424">
        <v>45108</v>
      </c>
      <c r="AM319" s="221">
        <v>496.53999999999996</v>
      </c>
      <c r="AN319" s="244">
        <v>45212</v>
      </c>
      <c r="AO319" s="420" t="s">
        <v>4636</v>
      </c>
      <c r="AP319" s="424">
        <v>45471</v>
      </c>
      <c r="AQ319" s="222">
        <v>744.81</v>
      </c>
      <c r="AR319" s="424" t="s">
        <v>3805</v>
      </c>
      <c r="AS319" s="614">
        <f ca="1">表格1_6[[#This Row],[total amount]]/表格1_6[[#This Row],[PO$]]</f>
        <v>1</v>
      </c>
      <c r="AT319" s="223">
        <f ca="1">表格1_6[[#This Row],[invoice amount]]+表格1_6[[#This Row],[invoice amount2]]</f>
        <v>1241.3499999999999</v>
      </c>
      <c r="AU319" s="224" t="s">
        <v>4235</v>
      </c>
      <c r="AV319" s="423"/>
      <c r="AW319" s="423" t="e">
        <f ca="1">VLOOKUP(表格1_6[[#This Row],[TI tool ID2]],工作表1!A:A,1,FALSE)</f>
        <v>#N/A</v>
      </c>
      <c r="AX319" s="425" t="e">
        <f ca="1">VLOOKUP(表格1_6[[#This Row],[PO+ITEM]],工作表1!B:E,2,FALSE)</f>
        <v>#N/A</v>
      </c>
      <c r="AY319" s="425" t="e">
        <f ca="1">VLOOKUP(表格1_6[[#This Row],[PO+ITEM]],工作表1!B:E,3,FALSE)</f>
        <v>#N/A</v>
      </c>
      <c r="AZ319" s="423" t="e">
        <f ca="1">VLOOKUP(表格1_6[[#This Row],[PO+ITEM]],工作表1!B:E,4,FALSE)</f>
        <v>#N/A</v>
      </c>
      <c r="BA319" s="425" t="e">
        <f ca="1">INDEX(工作表1!G:G, MATCH(表格1_6[[#This Row],[invoice number]]&amp;表格1_6[[#This Row],[invoice number2]],工作表1!G:G, 0))</f>
        <v>#N/A</v>
      </c>
      <c r="BB319" s="423" t="e">
        <f ca="1">VLOOKUP(表格1_6[[#This Row],[PO+ITEM]],工作表1!F:H,2,FALSE)</f>
        <v>#N/A</v>
      </c>
    </row>
    <row r="320" spans="1:54" ht="15.6">
      <c r="A320" s="413">
        <v>319</v>
      </c>
      <c r="B320" s="413" t="s">
        <v>3674</v>
      </c>
      <c r="C320" s="414" t="s">
        <v>16</v>
      </c>
      <c r="D320" s="414" t="s">
        <v>3648</v>
      </c>
      <c r="E320" s="414"/>
      <c r="F320" s="414"/>
      <c r="G320" s="414"/>
      <c r="H320" s="414"/>
      <c r="I320" s="414"/>
      <c r="J320" s="414"/>
      <c r="K320" s="414"/>
      <c r="L320" s="420" t="s">
        <v>4637</v>
      </c>
      <c r="M320" s="416" t="s">
        <v>2999</v>
      </c>
      <c r="N320" s="416" t="s">
        <v>2999</v>
      </c>
      <c r="O320" s="417"/>
      <c r="P320" s="416">
        <v>4590004413</v>
      </c>
      <c r="Q320" s="418">
        <v>44802</v>
      </c>
      <c r="R320" s="419">
        <v>35</v>
      </c>
      <c r="S320" s="458">
        <v>4526.59</v>
      </c>
      <c r="T320" s="420" t="s">
        <v>2156</v>
      </c>
      <c r="U320" s="414" t="s">
        <v>3661</v>
      </c>
      <c r="V320" s="414" t="s">
        <v>3662</v>
      </c>
      <c r="W320" s="417" t="s">
        <v>3663</v>
      </c>
      <c r="X320" s="417"/>
      <c r="Y320" s="421" t="s">
        <v>3652</v>
      </c>
      <c r="Z320" s="421" t="s">
        <v>3652</v>
      </c>
      <c r="AA320" s="416" t="s">
        <v>4563</v>
      </c>
      <c r="AB320" s="414" t="s">
        <v>3664</v>
      </c>
      <c r="AC320" s="422"/>
      <c r="AD320" s="421"/>
      <c r="AE320" s="420"/>
      <c r="AF320" s="421">
        <v>90848</v>
      </c>
      <c r="AG320" s="420" t="s">
        <v>4638</v>
      </c>
      <c r="AH320" s="421" t="s">
        <v>3828</v>
      </c>
      <c r="AI320" s="420" t="s">
        <v>3719</v>
      </c>
      <c r="AJ320" s="413" t="str">
        <f t="shared" si="19"/>
        <v>4590004413_035</v>
      </c>
      <c r="AK320" s="423"/>
      <c r="AL320" s="424">
        <v>45108</v>
      </c>
      <c r="AM320" s="221">
        <v>1810.6360000000002</v>
      </c>
      <c r="AN320" s="244">
        <v>45212</v>
      </c>
      <c r="AO320" s="423" t="s">
        <v>4639</v>
      </c>
      <c r="AP320" s="424">
        <v>45527</v>
      </c>
      <c r="AQ320" s="222">
        <v>2715.9540000000002</v>
      </c>
      <c r="AR320" s="424" t="s">
        <v>3805</v>
      </c>
      <c r="AS320" s="614">
        <f ca="1">表格1_6[[#This Row],[total amount]]/表格1_6[[#This Row],[PO$]]</f>
        <v>1</v>
      </c>
      <c r="AT320" s="223">
        <f ca="1">表格1_6[[#This Row],[invoice amount]]+表格1_6[[#This Row],[invoice amount2]]</f>
        <v>4526.59</v>
      </c>
      <c r="AU320" s="224" t="s">
        <v>4235</v>
      </c>
      <c r="AV320" s="423"/>
      <c r="AW320" s="423" t="e">
        <f ca="1">VLOOKUP(表格1_6[[#This Row],[TI tool ID2]],工作表1!A:A,1,FALSE)</f>
        <v>#N/A</v>
      </c>
      <c r="AX320" s="425" t="e">
        <f ca="1">VLOOKUP(表格1_6[[#This Row],[PO+ITEM]],工作表1!B:E,2,FALSE)</f>
        <v>#N/A</v>
      </c>
      <c r="AY320" s="425" t="e">
        <f ca="1">VLOOKUP(表格1_6[[#This Row],[PO+ITEM]],工作表1!B:E,3,FALSE)</f>
        <v>#N/A</v>
      </c>
      <c r="AZ320" s="423" t="e">
        <f ca="1">VLOOKUP(表格1_6[[#This Row],[PO+ITEM]],工作表1!B:E,4,FALSE)</f>
        <v>#N/A</v>
      </c>
      <c r="BA320" s="425" t="e">
        <f ca="1">INDEX(工作表1!G:G, MATCH(表格1_6[[#This Row],[invoice number]]&amp;表格1_6[[#This Row],[invoice number2]],工作表1!G:G, 0))</f>
        <v>#N/A</v>
      </c>
      <c r="BB320" s="423" t="e">
        <f ca="1">VLOOKUP(表格1_6[[#This Row],[PO+ITEM]],工作表1!F:H,2,FALSE)</f>
        <v>#N/A</v>
      </c>
    </row>
    <row r="321" spans="1:54" ht="15.6">
      <c r="A321" s="413">
        <v>320</v>
      </c>
      <c r="B321" s="413" t="s">
        <v>3674</v>
      </c>
      <c r="C321" s="414" t="s">
        <v>16</v>
      </c>
      <c r="D321" s="414" t="s">
        <v>3648</v>
      </c>
      <c r="E321" s="414"/>
      <c r="F321" s="414"/>
      <c r="G321" s="414"/>
      <c r="H321" s="414"/>
      <c r="I321" s="414"/>
      <c r="J321" s="414"/>
      <c r="K321" s="414"/>
      <c r="L321" s="415" t="s">
        <v>4640</v>
      </c>
      <c r="M321" s="416" t="s">
        <v>2999</v>
      </c>
      <c r="N321" s="416" t="s">
        <v>2999</v>
      </c>
      <c r="O321" s="417"/>
      <c r="P321" s="416">
        <v>4590004413</v>
      </c>
      <c r="Q321" s="418">
        <v>44802</v>
      </c>
      <c r="R321" s="419">
        <v>36</v>
      </c>
      <c r="S321" s="458">
        <v>4526.59</v>
      </c>
      <c r="T321" s="420" t="s">
        <v>2156</v>
      </c>
      <c r="U321" s="414" t="s">
        <v>3661</v>
      </c>
      <c r="V321" s="414" t="s">
        <v>3662</v>
      </c>
      <c r="W321" s="417" t="s">
        <v>3663</v>
      </c>
      <c r="X321" s="417"/>
      <c r="Y321" s="421" t="s">
        <v>3652</v>
      </c>
      <c r="Z321" s="421" t="s">
        <v>3652</v>
      </c>
      <c r="AA321" s="416" t="s">
        <v>4563</v>
      </c>
      <c r="AB321" s="414" t="s">
        <v>3664</v>
      </c>
      <c r="AC321" s="422"/>
      <c r="AD321" s="421"/>
      <c r="AE321" s="420"/>
      <c r="AF321" s="421">
        <v>90849</v>
      </c>
      <c r="AG321" s="420" t="s">
        <v>4641</v>
      </c>
      <c r="AH321" s="421" t="s">
        <v>3828</v>
      </c>
      <c r="AI321" s="420" t="s">
        <v>3719</v>
      </c>
      <c r="AJ321" s="413" t="str">
        <f t="shared" si="19"/>
        <v>4590004413_036</v>
      </c>
      <c r="AK321" s="423"/>
      <c r="AL321" s="424">
        <v>45108</v>
      </c>
      <c r="AM321" s="221">
        <v>1810.6360000000002</v>
      </c>
      <c r="AN321" s="244">
        <v>45212</v>
      </c>
      <c r="AO321" s="423" t="s">
        <v>4642</v>
      </c>
      <c r="AP321" s="424">
        <v>45527</v>
      </c>
      <c r="AQ321" s="222">
        <v>2715.9540000000002</v>
      </c>
      <c r="AR321" s="424" t="s">
        <v>3805</v>
      </c>
      <c r="AS321" s="614">
        <f ca="1">表格1_6[[#This Row],[total amount]]/表格1_6[[#This Row],[PO$]]</f>
        <v>1</v>
      </c>
      <c r="AT321" s="223">
        <f ca="1">表格1_6[[#This Row],[invoice amount]]+表格1_6[[#This Row],[invoice amount2]]</f>
        <v>4526.59</v>
      </c>
      <c r="AU321" s="224" t="s">
        <v>4235</v>
      </c>
      <c r="AV321" s="423"/>
      <c r="AW321" s="423" t="e">
        <f ca="1">VLOOKUP(表格1_6[[#This Row],[TI tool ID2]],工作表1!A:A,1,FALSE)</f>
        <v>#N/A</v>
      </c>
      <c r="AX321" s="425" t="e">
        <f ca="1">VLOOKUP(表格1_6[[#This Row],[PO+ITEM]],工作表1!B:E,2,FALSE)</f>
        <v>#N/A</v>
      </c>
      <c r="AY321" s="425" t="e">
        <f ca="1">VLOOKUP(表格1_6[[#This Row],[PO+ITEM]],工作表1!B:E,3,FALSE)</f>
        <v>#N/A</v>
      </c>
      <c r="AZ321" s="423" t="e">
        <f ca="1">VLOOKUP(表格1_6[[#This Row],[PO+ITEM]],工作表1!B:E,4,FALSE)</f>
        <v>#N/A</v>
      </c>
      <c r="BA321" s="425" t="e">
        <f ca="1">INDEX(工作表1!G:G, MATCH(表格1_6[[#This Row],[invoice number]]&amp;表格1_6[[#This Row],[invoice number2]],工作表1!G:G, 0))</f>
        <v>#N/A</v>
      </c>
      <c r="BB321" s="423" t="e">
        <f ca="1">VLOOKUP(表格1_6[[#This Row],[PO+ITEM]],工作表1!F:H,2,FALSE)</f>
        <v>#N/A</v>
      </c>
    </row>
    <row r="322" spans="1:54" ht="15.6">
      <c r="A322" s="413">
        <v>321</v>
      </c>
      <c r="B322" s="413" t="s">
        <v>3674</v>
      </c>
      <c r="C322" s="414" t="s">
        <v>16</v>
      </c>
      <c r="D322" s="414" t="s">
        <v>3648</v>
      </c>
      <c r="E322" s="414"/>
      <c r="F322" s="414"/>
      <c r="G322" s="414"/>
      <c r="H322" s="414"/>
      <c r="I322" s="414"/>
      <c r="J322" s="414"/>
      <c r="K322" s="414"/>
      <c r="L322" s="415" t="s">
        <v>4643</v>
      </c>
      <c r="M322" s="416" t="s">
        <v>2999</v>
      </c>
      <c r="N322" s="416" t="s">
        <v>2999</v>
      </c>
      <c r="O322" s="417"/>
      <c r="P322" s="416">
        <v>4590004413</v>
      </c>
      <c r="Q322" s="418">
        <v>44802</v>
      </c>
      <c r="R322" s="419">
        <v>37</v>
      </c>
      <c r="S322" s="349">
        <v>3713.47</v>
      </c>
      <c r="T322" s="420" t="s">
        <v>2156</v>
      </c>
      <c r="U322" s="414" t="s">
        <v>3661</v>
      </c>
      <c r="V322" s="414" t="s">
        <v>3662</v>
      </c>
      <c r="W322" s="417" t="s">
        <v>3663</v>
      </c>
      <c r="X322" s="417"/>
      <c r="Y322" s="421" t="s">
        <v>3652</v>
      </c>
      <c r="Z322" s="421" t="s">
        <v>3652</v>
      </c>
      <c r="AA322" s="416" t="s">
        <v>4563</v>
      </c>
      <c r="AB322" s="414" t="s">
        <v>3664</v>
      </c>
      <c r="AC322" s="422"/>
      <c r="AD322" s="421"/>
      <c r="AE322" s="420"/>
      <c r="AF322" s="421">
        <v>90132</v>
      </c>
      <c r="AG322" s="420" t="s">
        <v>3827</v>
      </c>
      <c r="AH322" s="421" t="s">
        <v>3828</v>
      </c>
      <c r="AI322" s="420" t="s">
        <v>3719</v>
      </c>
      <c r="AJ322" s="413" t="str">
        <f t="shared" si="19"/>
        <v>4590004413_037</v>
      </c>
      <c r="AK322" s="420"/>
      <c r="AL322" s="424">
        <v>45108</v>
      </c>
      <c r="AM322" s="221">
        <v>1485.3879999999999</v>
      </c>
      <c r="AN322" s="244">
        <v>45212</v>
      </c>
      <c r="AO322" s="420" t="s">
        <v>4644</v>
      </c>
      <c r="AP322" s="424">
        <v>45471</v>
      </c>
      <c r="AQ322" s="222">
        <v>2228.08</v>
      </c>
      <c r="AR322" s="424">
        <v>45580</v>
      </c>
      <c r="AS322" s="614">
        <f ca="1">表格1_6[[#This Row],[total amount]]/表格1_6[[#This Row],[PO$]]</f>
        <v>0.99999946142018115</v>
      </c>
      <c r="AT322" s="223">
        <f ca="1">表格1_6[[#This Row],[invoice amount]]+表格1_6[[#This Row],[invoice amount2]]</f>
        <v>3713.4679999999998</v>
      </c>
      <c r="AU322" s="224" t="s">
        <v>3725</v>
      </c>
      <c r="AV322" s="423"/>
      <c r="AW322" s="423" t="e">
        <f ca="1">VLOOKUP(表格1_6[[#This Row],[TI tool ID2]],工作表1!A:A,1,FALSE)</f>
        <v>#N/A</v>
      </c>
      <c r="AX322" s="425" t="e">
        <f ca="1">VLOOKUP(表格1_6[[#This Row],[PO+ITEM]],工作表1!B:E,2,FALSE)</f>
        <v>#N/A</v>
      </c>
      <c r="AY322" s="425" t="e">
        <f ca="1">VLOOKUP(表格1_6[[#This Row],[PO+ITEM]],工作表1!B:E,3,FALSE)</f>
        <v>#N/A</v>
      </c>
      <c r="AZ322" s="423" t="e">
        <f ca="1">VLOOKUP(表格1_6[[#This Row],[PO+ITEM]],工作表1!B:E,4,FALSE)</f>
        <v>#N/A</v>
      </c>
      <c r="BA322" s="425" t="str">
        <f ca="1">INDEX(工作表1!G:G, MATCH(表格1_6[[#This Row],[invoice number]]&amp;表格1_6[[#This Row],[invoice number2]],工作表1!G:G, 0))</f>
        <v>MICUINT202406050</v>
      </c>
      <c r="BB322" s="423" t="str">
        <f ca="1">VLOOKUP(表格1_6[[#This Row],[PO+ITEM]],工作表1!F:H,2,FALSE)</f>
        <v>MICUINT202406050</v>
      </c>
    </row>
    <row r="323" spans="1:54" ht="15.6">
      <c r="A323" s="413">
        <v>322</v>
      </c>
      <c r="B323" s="413" t="s">
        <v>3674</v>
      </c>
      <c r="C323" s="414" t="s">
        <v>16</v>
      </c>
      <c r="D323" s="414" t="s">
        <v>3648</v>
      </c>
      <c r="E323" s="414"/>
      <c r="F323" s="414"/>
      <c r="G323" s="414"/>
      <c r="H323" s="414"/>
      <c r="I323" s="414"/>
      <c r="J323" s="414"/>
      <c r="K323" s="414"/>
      <c r="L323" s="420" t="s">
        <v>4645</v>
      </c>
      <c r="M323" s="416" t="s">
        <v>2999</v>
      </c>
      <c r="N323" s="416" t="s">
        <v>2999</v>
      </c>
      <c r="O323" s="417"/>
      <c r="P323" s="416">
        <v>4590004413</v>
      </c>
      <c r="Q323" s="418">
        <v>44802</v>
      </c>
      <c r="R323" s="419">
        <v>38</v>
      </c>
      <c r="S323" s="458">
        <v>4526.0600000000004</v>
      </c>
      <c r="T323" s="420" t="s">
        <v>2156</v>
      </c>
      <c r="U323" s="414" t="s">
        <v>3661</v>
      </c>
      <c r="V323" s="414" t="s">
        <v>3662</v>
      </c>
      <c r="W323" s="417" t="s">
        <v>3663</v>
      </c>
      <c r="X323" s="417"/>
      <c r="Y323" s="421" t="s">
        <v>3652</v>
      </c>
      <c r="Z323" s="421" t="s">
        <v>3652</v>
      </c>
      <c r="AA323" s="416" t="s">
        <v>4563</v>
      </c>
      <c r="AB323" s="414" t="s">
        <v>3664</v>
      </c>
      <c r="AC323" s="422"/>
      <c r="AD323" s="421"/>
      <c r="AE323" s="420"/>
      <c r="AF323" s="421">
        <v>90130</v>
      </c>
      <c r="AG323" s="420" t="s">
        <v>4091</v>
      </c>
      <c r="AH323" s="421" t="s">
        <v>3828</v>
      </c>
      <c r="AI323" s="420" t="s">
        <v>3719</v>
      </c>
      <c r="AJ323" s="413" t="str">
        <f t="shared" si="19"/>
        <v>4590004413_038</v>
      </c>
      <c r="AK323" s="423"/>
      <c r="AL323" s="424">
        <v>45108</v>
      </c>
      <c r="AM323" s="221">
        <v>1810.4240000000002</v>
      </c>
      <c r="AN323" s="244">
        <v>45212</v>
      </c>
      <c r="AO323" s="423" t="s">
        <v>4646</v>
      </c>
      <c r="AP323" s="424">
        <v>45506</v>
      </c>
      <c r="AQ323" s="222">
        <v>2715.64</v>
      </c>
      <c r="AR323" s="424" t="s">
        <v>3805</v>
      </c>
      <c r="AS323" s="614">
        <f ca="1">表格1_6[[#This Row],[total amount]]/表格1_6[[#This Row],[PO$]]</f>
        <v>1.0000008837708736</v>
      </c>
      <c r="AT323" s="223">
        <f ca="1">表格1_6[[#This Row],[invoice amount]]+表格1_6[[#This Row],[invoice amount2]]</f>
        <v>4526.0640000000003</v>
      </c>
      <c r="AU323" s="224" t="s">
        <v>4235</v>
      </c>
      <c r="AV323" s="423"/>
      <c r="AW323" s="423" t="e">
        <f ca="1">VLOOKUP(表格1_6[[#This Row],[TI tool ID2]],工作表1!A:A,1,FALSE)</f>
        <v>#N/A</v>
      </c>
      <c r="AX323" s="425" t="e">
        <f ca="1">VLOOKUP(表格1_6[[#This Row],[PO+ITEM]],工作表1!B:E,2,FALSE)</f>
        <v>#N/A</v>
      </c>
      <c r="AY323" s="425" t="e">
        <f ca="1">VLOOKUP(表格1_6[[#This Row],[PO+ITEM]],工作表1!B:E,3,FALSE)</f>
        <v>#N/A</v>
      </c>
      <c r="AZ323" s="423" t="e">
        <f ca="1">VLOOKUP(表格1_6[[#This Row],[PO+ITEM]],工作表1!B:E,4,FALSE)</f>
        <v>#N/A</v>
      </c>
      <c r="BA323" s="425" t="e">
        <f ca="1">INDEX(工作表1!G:G, MATCH(表格1_6[[#This Row],[invoice number]]&amp;表格1_6[[#This Row],[invoice number2]],工作表1!G:G, 0))</f>
        <v>#N/A</v>
      </c>
      <c r="BB323" s="423" t="e">
        <f ca="1">VLOOKUP(表格1_6[[#This Row],[PO+ITEM]],工作表1!F:H,2,FALSE)</f>
        <v>#N/A</v>
      </c>
    </row>
    <row r="324" spans="1:54" ht="14.45">
      <c r="A324" s="413">
        <v>323</v>
      </c>
      <c r="B324" s="413" t="s">
        <v>3674</v>
      </c>
      <c r="C324" s="414" t="s">
        <v>16</v>
      </c>
      <c r="D324" s="414" t="s">
        <v>3648</v>
      </c>
      <c r="E324" s="414"/>
      <c r="F324" s="414"/>
      <c r="G324" s="414"/>
      <c r="H324" s="414"/>
      <c r="I324" s="414"/>
      <c r="J324" s="414"/>
      <c r="K324" s="414"/>
      <c r="L324" s="415" t="s">
        <v>4647</v>
      </c>
      <c r="M324" s="416" t="s">
        <v>2999</v>
      </c>
      <c r="N324" s="416" t="s">
        <v>2999</v>
      </c>
      <c r="O324" s="417"/>
      <c r="P324" s="416">
        <v>4590004415</v>
      </c>
      <c r="Q324" s="418">
        <v>44802</v>
      </c>
      <c r="R324" s="419">
        <v>1</v>
      </c>
      <c r="S324" s="458">
        <v>4720.7</v>
      </c>
      <c r="T324" s="420" t="s">
        <v>2156</v>
      </c>
      <c r="U324" s="414" t="s">
        <v>3661</v>
      </c>
      <c r="V324" s="414" t="s">
        <v>3662</v>
      </c>
      <c r="W324" s="417" t="s">
        <v>3663</v>
      </c>
      <c r="X324" s="417"/>
      <c r="Y324" s="421" t="s">
        <v>3652</v>
      </c>
      <c r="Z324" s="421" t="s">
        <v>3652</v>
      </c>
      <c r="AA324" s="416" t="s">
        <v>4648</v>
      </c>
      <c r="AB324" s="414" t="s">
        <v>3664</v>
      </c>
      <c r="AC324" s="422"/>
      <c r="AD324" s="421"/>
      <c r="AE324" s="420"/>
      <c r="AF324" s="421">
        <v>90677</v>
      </c>
      <c r="AG324" s="420" t="s">
        <v>4649</v>
      </c>
      <c r="AH324" s="421" t="s">
        <v>3711</v>
      </c>
      <c r="AI324" s="420" t="s">
        <v>3719</v>
      </c>
      <c r="AJ324" s="413" t="str">
        <f t="shared" ref="AJ324:AJ332" si="20">P324&amp;"_00"&amp;R324</f>
        <v>4590004415_001</v>
      </c>
      <c r="AK324" s="423"/>
      <c r="AL324" s="424">
        <v>45047</v>
      </c>
      <c r="AM324" s="221">
        <v>1888.28</v>
      </c>
      <c r="AN324" s="424">
        <v>45153</v>
      </c>
      <c r="AO324" s="423" t="s">
        <v>4650</v>
      </c>
      <c r="AP324" s="424">
        <v>45422</v>
      </c>
      <c r="AQ324" s="222">
        <v>2832.42</v>
      </c>
      <c r="AR324" s="424">
        <v>45534</v>
      </c>
      <c r="AS324" s="614">
        <f ca="1">表格1_6[[#This Row],[total amount]]/表格1_6[[#This Row],[PO$]]</f>
        <v>1</v>
      </c>
      <c r="AT324" s="223">
        <f ca="1">表格1_6[[#This Row],[invoice amount]]+表格1_6[[#This Row],[invoice amount2]]</f>
        <v>4720.7</v>
      </c>
      <c r="AU324" s="224" t="s">
        <v>3725</v>
      </c>
      <c r="AV324" s="423" t="s">
        <v>3657</v>
      </c>
      <c r="AW324" s="423" t="e">
        <f ca="1">VLOOKUP(表格1_6[[#This Row],[TI tool ID2]],工作表1!A:A,1,FALSE)</f>
        <v>#N/A</v>
      </c>
      <c r="AX324" s="425" t="e">
        <f ca="1">VLOOKUP(表格1_6[[#This Row],[PO+ITEM]],工作表1!B:E,2,FALSE)</f>
        <v>#N/A</v>
      </c>
      <c r="AY324" s="425" t="e">
        <f ca="1">VLOOKUP(表格1_6[[#This Row],[PO+ITEM]],工作表1!B:E,3,FALSE)</f>
        <v>#N/A</v>
      </c>
      <c r="AZ324" s="423" t="e">
        <f ca="1">VLOOKUP(表格1_6[[#This Row],[PO+ITEM]],工作表1!B:E,4,FALSE)</f>
        <v>#N/A</v>
      </c>
      <c r="BA324" s="425" t="e">
        <f ca="1">INDEX(工作表1!G:G, MATCH(表格1_6[[#This Row],[invoice number]]&amp;表格1_6[[#This Row],[invoice number2]],工作表1!G:G, 0))</f>
        <v>#N/A</v>
      </c>
      <c r="BB324" s="423" t="e">
        <f ca="1">VLOOKUP(表格1_6[[#This Row],[PO+ITEM]],工作表1!F:H,2,FALSE)</f>
        <v>#N/A</v>
      </c>
    </row>
    <row r="325" spans="1:54" ht="14.45">
      <c r="A325" s="413">
        <v>324</v>
      </c>
      <c r="B325" s="413" t="s">
        <v>3674</v>
      </c>
      <c r="C325" s="414" t="s">
        <v>16</v>
      </c>
      <c r="D325" s="414" t="s">
        <v>3648</v>
      </c>
      <c r="E325" s="414"/>
      <c r="F325" s="414"/>
      <c r="G325" s="414"/>
      <c r="H325" s="414"/>
      <c r="I325" s="414"/>
      <c r="J325" s="414"/>
      <c r="K325" s="414"/>
      <c r="L325" s="415" t="s">
        <v>4651</v>
      </c>
      <c r="M325" s="416" t="s">
        <v>2999</v>
      </c>
      <c r="N325" s="416" t="s">
        <v>2999</v>
      </c>
      <c r="O325" s="417"/>
      <c r="P325" s="416">
        <v>4590004415</v>
      </c>
      <c r="Q325" s="418">
        <v>44802</v>
      </c>
      <c r="R325" s="419">
        <v>2</v>
      </c>
      <c r="S325" s="349">
        <v>4720.7</v>
      </c>
      <c r="T325" s="420" t="s">
        <v>2156</v>
      </c>
      <c r="U325" s="414" t="s">
        <v>3661</v>
      </c>
      <c r="V325" s="414" t="s">
        <v>3662</v>
      </c>
      <c r="W325" s="417" t="s">
        <v>3663</v>
      </c>
      <c r="X325" s="417"/>
      <c r="Y325" s="421" t="s">
        <v>3652</v>
      </c>
      <c r="Z325" s="421" t="s">
        <v>3652</v>
      </c>
      <c r="AA325" s="416" t="s">
        <v>4648</v>
      </c>
      <c r="AB325" s="414" t="s">
        <v>3664</v>
      </c>
      <c r="AC325" s="422"/>
      <c r="AD325" s="421"/>
      <c r="AE325" s="420"/>
      <c r="AF325" s="421">
        <v>90678</v>
      </c>
      <c r="AG325" s="420" t="s">
        <v>4652</v>
      </c>
      <c r="AH325" s="421" t="s">
        <v>3711</v>
      </c>
      <c r="AI325" s="420" t="s">
        <v>3719</v>
      </c>
      <c r="AJ325" s="413" t="str">
        <f t="shared" si="20"/>
        <v>4590004415_002</v>
      </c>
      <c r="AK325" s="420"/>
      <c r="AL325" s="424">
        <v>45047</v>
      </c>
      <c r="AM325" s="221">
        <v>1888.28</v>
      </c>
      <c r="AN325" s="424">
        <v>45153</v>
      </c>
      <c r="AO325" s="420" t="s">
        <v>4653</v>
      </c>
      <c r="AP325" s="424">
        <v>45471</v>
      </c>
      <c r="AQ325" s="222">
        <v>2832.42</v>
      </c>
      <c r="AR325" s="424">
        <v>45534</v>
      </c>
      <c r="AS325" s="614">
        <f ca="1">表格1_6[[#This Row],[total amount]]/表格1_6[[#This Row],[PO$]]</f>
        <v>1</v>
      </c>
      <c r="AT325" s="223">
        <f ca="1">表格1_6[[#This Row],[invoice amount]]+表格1_6[[#This Row],[invoice amount2]]</f>
        <v>4720.7</v>
      </c>
      <c r="AU325" s="224" t="s">
        <v>3725</v>
      </c>
      <c r="AV325" s="423"/>
      <c r="AW325" s="423" t="e">
        <f ca="1">VLOOKUP(表格1_6[[#This Row],[TI tool ID2]],工作表1!A:A,1,FALSE)</f>
        <v>#N/A</v>
      </c>
      <c r="AX325" s="425" t="e">
        <f ca="1">VLOOKUP(表格1_6[[#This Row],[PO+ITEM]],工作表1!B:E,2,FALSE)</f>
        <v>#N/A</v>
      </c>
      <c r="AY325" s="425" t="e">
        <f ca="1">VLOOKUP(表格1_6[[#This Row],[PO+ITEM]],工作表1!B:E,3,FALSE)</f>
        <v>#N/A</v>
      </c>
      <c r="AZ325" s="423" t="e">
        <f ca="1">VLOOKUP(表格1_6[[#This Row],[PO+ITEM]],工作表1!B:E,4,FALSE)</f>
        <v>#N/A</v>
      </c>
      <c r="BA325" s="425" t="e">
        <f ca="1">INDEX(工作表1!G:G, MATCH(表格1_6[[#This Row],[invoice number]]&amp;表格1_6[[#This Row],[invoice number2]],工作表1!G:G, 0))</f>
        <v>#N/A</v>
      </c>
      <c r="BB325" s="423" t="e">
        <f ca="1">VLOOKUP(表格1_6[[#This Row],[PO+ITEM]],工作表1!F:H,2,FALSE)</f>
        <v>#N/A</v>
      </c>
    </row>
    <row r="326" spans="1:54" ht="14.45">
      <c r="A326" s="413">
        <v>325</v>
      </c>
      <c r="B326" s="413" t="s">
        <v>3674</v>
      </c>
      <c r="C326" s="414" t="s">
        <v>16</v>
      </c>
      <c r="D326" s="414" t="s">
        <v>3648</v>
      </c>
      <c r="E326" s="414"/>
      <c r="F326" s="414"/>
      <c r="G326" s="414"/>
      <c r="H326" s="414"/>
      <c r="I326" s="414"/>
      <c r="J326" s="414"/>
      <c r="K326" s="414"/>
      <c r="L326" s="420" t="s">
        <v>4654</v>
      </c>
      <c r="M326" s="416" t="s">
        <v>2999</v>
      </c>
      <c r="N326" s="416" t="s">
        <v>2999</v>
      </c>
      <c r="O326" s="417"/>
      <c r="P326" s="416">
        <v>4590004415</v>
      </c>
      <c r="Q326" s="418">
        <v>44802</v>
      </c>
      <c r="R326" s="419">
        <v>3</v>
      </c>
      <c r="S326" s="349">
        <v>4720.7</v>
      </c>
      <c r="T326" s="420" t="s">
        <v>2156</v>
      </c>
      <c r="U326" s="414" t="s">
        <v>3661</v>
      </c>
      <c r="V326" s="414" t="s">
        <v>3662</v>
      </c>
      <c r="W326" s="417" t="s">
        <v>3663</v>
      </c>
      <c r="X326" s="417"/>
      <c r="Y326" s="421" t="s">
        <v>3652</v>
      </c>
      <c r="Z326" s="421" t="s">
        <v>3652</v>
      </c>
      <c r="AA326" s="416" t="s">
        <v>4648</v>
      </c>
      <c r="AB326" s="414" t="s">
        <v>3664</v>
      </c>
      <c r="AC326" s="422"/>
      <c r="AD326" s="421"/>
      <c r="AE326" s="420"/>
      <c r="AF326" s="421">
        <v>90679</v>
      </c>
      <c r="AG326" s="420" t="s">
        <v>4655</v>
      </c>
      <c r="AH326" s="421" t="s">
        <v>3711</v>
      </c>
      <c r="AI326" s="420" t="s">
        <v>3719</v>
      </c>
      <c r="AJ326" s="413" t="str">
        <f t="shared" si="20"/>
        <v>4590004415_003</v>
      </c>
      <c r="AK326" s="420"/>
      <c r="AL326" s="424">
        <v>45047</v>
      </c>
      <c r="AM326" s="221">
        <v>1888.28</v>
      </c>
      <c r="AN326" s="424">
        <v>45153</v>
      </c>
      <c r="AO326" s="420" t="s">
        <v>4656</v>
      </c>
      <c r="AP326" s="424">
        <v>45471</v>
      </c>
      <c r="AQ326" s="222">
        <v>2832.42</v>
      </c>
      <c r="AR326" s="424">
        <v>45534</v>
      </c>
      <c r="AS326" s="614">
        <f ca="1">表格1_6[[#This Row],[total amount]]/表格1_6[[#This Row],[PO$]]</f>
        <v>1</v>
      </c>
      <c r="AT326" s="223">
        <f ca="1">表格1_6[[#This Row],[invoice amount]]+表格1_6[[#This Row],[invoice amount2]]</f>
        <v>4720.7</v>
      </c>
      <c r="AU326" s="224" t="s">
        <v>3725</v>
      </c>
      <c r="AV326" s="423"/>
      <c r="AW326" s="423" t="e">
        <f ca="1">VLOOKUP(表格1_6[[#This Row],[TI tool ID2]],工作表1!A:A,1,FALSE)</f>
        <v>#N/A</v>
      </c>
      <c r="AX326" s="425" t="e">
        <f ca="1">VLOOKUP(表格1_6[[#This Row],[PO+ITEM]],工作表1!B:E,2,FALSE)</f>
        <v>#N/A</v>
      </c>
      <c r="AY326" s="425" t="e">
        <f ca="1">VLOOKUP(表格1_6[[#This Row],[PO+ITEM]],工作表1!B:E,3,FALSE)</f>
        <v>#N/A</v>
      </c>
      <c r="AZ326" s="423" t="e">
        <f ca="1">VLOOKUP(表格1_6[[#This Row],[PO+ITEM]],工作表1!B:E,4,FALSE)</f>
        <v>#N/A</v>
      </c>
      <c r="BA326" s="425" t="e">
        <f ca="1">INDEX(工作表1!G:G, MATCH(表格1_6[[#This Row],[invoice number]]&amp;表格1_6[[#This Row],[invoice number2]],工作表1!G:G, 0))</f>
        <v>#N/A</v>
      </c>
      <c r="BB326" s="423" t="e">
        <f ca="1">VLOOKUP(表格1_6[[#This Row],[PO+ITEM]],工作表1!F:H,2,FALSE)</f>
        <v>#N/A</v>
      </c>
    </row>
    <row r="327" spans="1:54" ht="14.45">
      <c r="A327" s="413">
        <v>326</v>
      </c>
      <c r="B327" s="413" t="s">
        <v>3659</v>
      </c>
      <c r="C327" s="414" t="s">
        <v>16</v>
      </c>
      <c r="D327" s="414" t="s">
        <v>3648</v>
      </c>
      <c r="E327" s="414"/>
      <c r="F327" s="414"/>
      <c r="G327" s="414"/>
      <c r="H327" s="414"/>
      <c r="I327" s="414"/>
      <c r="J327" s="414"/>
      <c r="K327" s="414"/>
      <c r="L327" s="415" t="s">
        <v>4657</v>
      </c>
      <c r="M327" s="416" t="s">
        <v>2999</v>
      </c>
      <c r="N327" s="416" t="s">
        <v>2999</v>
      </c>
      <c r="O327" s="417"/>
      <c r="P327" s="416">
        <v>4590004415</v>
      </c>
      <c r="Q327" s="418">
        <v>44802</v>
      </c>
      <c r="R327" s="419">
        <v>4</v>
      </c>
      <c r="S327" s="458">
        <v>4720.7</v>
      </c>
      <c r="T327" s="420" t="s">
        <v>2156</v>
      </c>
      <c r="U327" s="414" t="s">
        <v>3661</v>
      </c>
      <c r="V327" s="414" t="s">
        <v>3662</v>
      </c>
      <c r="W327" s="417" t="s">
        <v>3663</v>
      </c>
      <c r="X327" s="417"/>
      <c r="Y327" s="421" t="s">
        <v>3652</v>
      </c>
      <c r="Z327" s="421" t="s">
        <v>3652</v>
      </c>
      <c r="AA327" s="416" t="s">
        <v>4648</v>
      </c>
      <c r="AB327" s="414" t="s">
        <v>3664</v>
      </c>
      <c r="AC327" s="422"/>
      <c r="AD327" s="421"/>
      <c r="AE327" s="420"/>
      <c r="AF327" s="421">
        <v>90680</v>
      </c>
      <c r="AG327" s="420" t="s">
        <v>4658</v>
      </c>
      <c r="AH327" s="421" t="s">
        <v>3711</v>
      </c>
      <c r="AI327" s="420" t="s">
        <v>3719</v>
      </c>
      <c r="AJ327" s="413" t="str">
        <f t="shared" si="20"/>
        <v>4590004415_004</v>
      </c>
      <c r="AK327" s="423"/>
      <c r="AL327" s="424">
        <v>45047</v>
      </c>
      <c r="AM327" s="221">
        <v>1888.28</v>
      </c>
      <c r="AN327" s="424">
        <v>45153</v>
      </c>
      <c r="AO327" s="423"/>
      <c r="AP327" s="413"/>
      <c r="AQ327" s="222"/>
      <c r="AR327" s="424"/>
      <c r="AS327" s="614">
        <f ca="1">表格1_6[[#This Row],[total amount]]/表格1_6[[#This Row],[PO$]]</f>
        <v>0.4</v>
      </c>
      <c r="AT327" s="223">
        <f ca="1">表格1_6[[#This Row],[invoice amount]]+表格1_6[[#This Row],[invoice amount2]]</f>
        <v>1888.28</v>
      </c>
      <c r="AU327" s="224" t="s">
        <v>3673</v>
      </c>
      <c r="AV327" s="423"/>
      <c r="AW327" s="423" t="e">
        <f ca="1">VLOOKUP(表格1_6[[#This Row],[TI tool ID2]],工作表1!A:A,1,FALSE)</f>
        <v>#N/A</v>
      </c>
      <c r="AX327" s="425" t="e">
        <f ca="1">VLOOKUP(表格1_6[[#This Row],[PO+ITEM]],工作表1!B:E,2,FALSE)</f>
        <v>#N/A</v>
      </c>
      <c r="AY327" s="425" t="e">
        <f ca="1">VLOOKUP(表格1_6[[#This Row],[PO+ITEM]],工作表1!B:E,3,FALSE)</f>
        <v>#N/A</v>
      </c>
      <c r="AZ327" s="423" t="e">
        <f ca="1">VLOOKUP(表格1_6[[#This Row],[PO+ITEM]],工作表1!B:E,4,FALSE)</f>
        <v>#N/A</v>
      </c>
      <c r="BA327" s="425" t="e">
        <f ca="1">INDEX(工作表1!G:G, MATCH(表格1_6[[#This Row],[invoice number]]&amp;表格1_6[[#This Row],[invoice number2]],工作表1!G:G, 0))</f>
        <v>#N/A</v>
      </c>
      <c r="BB327" s="423" t="e">
        <f ca="1">VLOOKUP(表格1_6[[#This Row],[PO+ITEM]],工作表1!F:H,2,FALSE)</f>
        <v>#N/A</v>
      </c>
    </row>
    <row r="328" spans="1:54" ht="14.45">
      <c r="A328" s="413">
        <v>327</v>
      </c>
      <c r="B328" s="413" t="s">
        <v>3674</v>
      </c>
      <c r="C328" s="414" t="s">
        <v>16</v>
      </c>
      <c r="D328" s="414" t="s">
        <v>3648</v>
      </c>
      <c r="E328" s="414"/>
      <c r="F328" s="414"/>
      <c r="G328" s="414"/>
      <c r="H328" s="414"/>
      <c r="I328" s="414"/>
      <c r="J328" s="414"/>
      <c r="K328" s="414"/>
      <c r="L328" s="415" t="s">
        <v>4659</v>
      </c>
      <c r="M328" s="416" t="s">
        <v>2999</v>
      </c>
      <c r="N328" s="416" t="s">
        <v>2999</v>
      </c>
      <c r="O328" s="417"/>
      <c r="P328" s="416">
        <v>4590004415</v>
      </c>
      <c r="Q328" s="418">
        <v>44802</v>
      </c>
      <c r="R328" s="419">
        <v>5</v>
      </c>
      <c r="S328" s="349">
        <v>4720.7</v>
      </c>
      <c r="T328" s="420" t="s">
        <v>2156</v>
      </c>
      <c r="U328" s="414" t="s">
        <v>3661</v>
      </c>
      <c r="V328" s="414" t="s">
        <v>3662</v>
      </c>
      <c r="W328" s="417" t="s">
        <v>3663</v>
      </c>
      <c r="X328" s="417"/>
      <c r="Y328" s="421" t="s">
        <v>3652</v>
      </c>
      <c r="Z328" s="421" t="s">
        <v>3652</v>
      </c>
      <c r="AA328" s="416" t="s">
        <v>4648</v>
      </c>
      <c r="AB328" s="414" t="s">
        <v>3664</v>
      </c>
      <c r="AC328" s="422"/>
      <c r="AD328" s="421"/>
      <c r="AE328" s="420"/>
      <c r="AF328" s="421">
        <v>90671</v>
      </c>
      <c r="AG328" s="420" t="s">
        <v>4660</v>
      </c>
      <c r="AH328" s="421" t="s">
        <v>3711</v>
      </c>
      <c r="AI328" s="420" t="s">
        <v>3719</v>
      </c>
      <c r="AJ328" s="413" t="str">
        <f t="shared" si="20"/>
        <v>4590004415_005</v>
      </c>
      <c r="AK328" s="420"/>
      <c r="AL328" s="424">
        <v>45047</v>
      </c>
      <c r="AM328" s="221">
        <v>1888.28</v>
      </c>
      <c r="AN328" s="424">
        <v>45153</v>
      </c>
      <c r="AO328" s="420" t="s">
        <v>4661</v>
      </c>
      <c r="AP328" s="424">
        <v>45471</v>
      </c>
      <c r="AQ328" s="222">
        <v>2832.42</v>
      </c>
      <c r="AR328" s="424">
        <v>45534</v>
      </c>
      <c r="AS328" s="614">
        <f ca="1">表格1_6[[#This Row],[total amount]]/表格1_6[[#This Row],[PO$]]</f>
        <v>1</v>
      </c>
      <c r="AT328" s="223">
        <f ca="1">表格1_6[[#This Row],[invoice amount]]+表格1_6[[#This Row],[invoice amount2]]</f>
        <v>4720.7</v>
      </c>
      <c r="AU328" s="224" t="s">
        <v>3725</v>
      </c>
      <c r="AV328" s="423"/>
      <c r="AW328" s="423" t="e">
        <f ca="1">VLOOKUP(表格1_6[[#This Row],[TI tool ID2]],工作表1!A:A,1,FALSE)</f>
        <v>#N/A</v>
      </c>
      <c r="AX328" s="425" t="e">
        <f ca="1">VLOOKUP(表格1_6[[#This Row],[PO+ITEM]],工作表1!B:E,2,FALSE)</f>
        <v>#N/A</v>
      </c>
      <c r="AY328" s="425" t="e">
        <f ca="1">VLOOKUP(表格1_6[[#This Row],[PO+ITEM]],工作表1!B:E,3,FALSE)</f>
        <v>#N/A</v>
      </c>
      <c r="AZ328" s="423" t="e">
        <f ca="1">VLOOKUP(表格1_6[[#This Row],[PO+ITEM]],工作表1!B:E,4,FALSE)</f>
        <v>#N/A</v>
      </c>
      <c r="BA328" s="425" t="e">
        <f ca="1">INDEX(工作表1!G:G, MATCH(表格1_6[[#This Row],[invoice number]]&amp;表格1_6[[#This Row],[invoice number2]],工作表1!G:G, 0))</f>
        <v>#N/A</v>
      </c>
      <c r="BB328" s="423" t="e">
        <f ca="1">VLOOKUP(表格1_6[[#This Row],[PO+ITEM]],工作表1!F:H,2,FALSE)</f>
        <v>#N/A</v>
      </c>
    </row>
    <row r="329" spans="1:54" ht="14.45">
      <c r="A329" s="413">
        <v>328</v>
      </c>
      <c r="B329" s="413" t="s">
        <v>3674</v>
      </c>
      <c r="C329" s="414" t="s">
        <v>16</v>
      </c>
      <c r="D329" s="414" t="s">
        <v>3648</v>
      </c>
      <c r="E329" s="414"/>
      <c r="F329" s="414"/>
      <c r="G329" s="414"/>
      <c r="H329" s="414"/>
      <c r="I329" s="414"/>
      <c r="J329" s="414"/>
      <c r="K329" s="414"/>
      <c r="L329" s="420" t="s">
        <v>4662</v>
      </c>
      <c r="M329" s="416" t="s">
        <v>2999</v>
      </c>
      <c r="N329" s="416" t="s">
        <v>2999</v>
      </c>
      <c r="O329" s="417"/>
      <c r="P329" s="416">
        <v>4590004415</v>
      </c>
      <c r="Q329" s="418">
        <v>44802</v>
      </c>
      <c r="R329" s="419">
        <v>6</v>
      </c>
      <c r="S329" s="349">
        <v>4720.7</v>
      </c>
      <c r="T329" s="420" t="s">
        <v>2156</v>
      </c>
      <c r="U329" s="414" t="s">
        <v>3661</v>
      </c>
      <c r="V329" s="414" t="s">
        <v>3662</v>
      </c>
      <c r="W329" s="417" t="s">
        <v>3663</v>
      </c>
      <c r="X329" s="417"/>
      <c r="Y329" s="421" t="s">
        <v>3652</v>
      </c>
      <c r="Z329" s="421" t="s">
        <v>3652</v>
      </c>
      <c r="AA329" s="416" t="s">
        <v>4648</v>
      </c>
      <c r="AB329" s="414" t="s">
        <v>3664</v>
      </c>
      <c r="AC329" s="422"/>
      <c r="AD329" s="421"/>
      <c r="AE329" s="420"/>
      <c r="AF329" s="421">
        <v>90672</v>
      </c>
      <c r="AG329" s="420" t="s">
        <v>4663</v>
      </c>
      <c r="AH329" s="421" t="s">
        <v>3711</v>
      </c>
      <c r="AI329" s="420" t="s">
        <v>3719</v>
      </c>
      <c r="AJ329" s="413" t="str">
        <f t="shared" si="20"/>
        <v>4590004415_006</v>
      </c>
      <c r="AK329" s="420"/>
      <c r="AL329" s="424">
        <v>45047</v>
      </c>
      <c r="AM329" s="221">
        <v>1888.28</v>
      </c>
      <c r="AN329" s="424">
        <v>45153</v>
      </c>
      <c r="AO329" s="420" t="s">
        <v>4664</v>
      </c>
      <c r="AP329" s="424">
        <v>45471</v>
      </c>
      <c r="AQ329" s="222">
        <v>2832.42</v>
      </c>
      <c r="AR329" s="424">
        <v>45534</v>
      </c>
      <c r="AS329" s="614">
        <f ca="1">表格1_6[[#This Row],[total amount]]/表格1_6[[#This Row],[PO$]]</f>
        <v>1</v>
      </c>
      <c r="AT329" s="223">
        <f ca="1">表格1_6[[#This Row],[invoice amount]]+表格1_6[[#This Row],[invoice amount2]]</f>
        <v>4720.7</v>
      </c>
      <c r="AU329" s="224" t="s">
        <v>3725</v>
      </c>
      <c r="AV329" s="423"/>
      <c r="AW329" s="423" t="e">
        <f ca="1">VLOOKUP(表格1_6[[#This Row],[TI tool ID2]],工作表1!A:A,1,FALSE)</f>
        <v>#N/A</v>
      </c>
      <c r="AX329" s="425" t="e">
        <f ca="1">VLOOKUP(表格1_6[[#This Row],[PO+ITEM]],工作表1!B:E,2,FALSE)</f>
        <v>#N/A</v>
      </c>
      <c r="AY329" s="425" t="e">
        <f ca="1">VLOOKUP(表格1_6[[#This Row],[PO+ITEM]],工作表1!B:E,3,FALSE)</f>
        <v>#N/A</v>
      </c>
      <c r="AZ329" s="423" t="e">
        <f ca="1">VLOOKUP(表格1_6[[#This Row],[PO+ITEM]],工作表1!B:E,4,FALSE)</f>
        <v>#N/A</v>
      </c>
      <c r="BA329" s="425" t="e">
        <f ca="1">INDEX(工作表1!G:G, MATCH(表格1_6[[#This Row],[invoice number]]&amp;表格1_6[[#This Row],[invoice number2]],工作表1!G:G, 0))</f>
        <v>#N/A</v>
      </c>
      <c r="BB329" s="423" t="e">
        <f ca="1">VLOOKUP(表格1_6[[#This Row],[PO+ITEM]],工作表1!F:H,2,FALSE)</f>
        <v>#N/A</v>
      </c>
    </row>
    <row r="330" spans="1:54" ht="14.45">
      <c r="A330" s="413">
        <v>329</v>
      </c>
      <c r="B330" s="413" t="s">
        <v>3674</v>
      </c>
      <c r="C330" s="414" t="s">
        <v>16</v>
      </c>
      <c r="D330" s="414" t="s">
        <v>3648</v>
      </c>
      <c r="E330" s="414"/>
      <c r="F330" s="414"/>
      <c r="G330" s="414"/>
      <c r="H330" s="414"/>
      <c r="I330" s="414"/>
      <c r="J330" s="414"/>
      <c r="K330" s="414"/>
      <c r="L330" s="420" t="s">
        <v>4665</v>
      </c>
      <c r="M330" s="416" t="s">
        <v>2999</v>
      </c>
      <c r="N330" s="416" t="s">
        <v>2999</v>
      </c>
      <c r="O330" s="417"/>
      <c r="P330" s="416">
        <v>4590004415</v>
      </c>
      <c r="Q330" s="418">
        <v>44802</v>
      </c>
      <c r="R330" s="419">
        <v>7</v>
      </c>
      <c r="S330" s="349">
        <v>4720.7</v>
      </c>
      <c r="T330" s="420" t="s">
        <v>2156</v>
      </c>
      <c r="U330" s="414" t="s">
        <v>3661</v>
      </c>
      <c r="V330" s="414" t="s">
        <v>3662</v>
      </c>
      <c r="W330" s="417" t="s">
        <v>3663</v>
      </c>
      <c r="X330" s="417"/>
      <c r="Y330" s="421" t="s">
        <v>3652</v>
      </c>
      <c r="Z330" s="421" t="s">
        <v>3652</v>
      </c>
      <c r="AA330" s="416" t="s">
        <v>4648</v>
      </c>
      <c r="AB330" s="414" t="s">
        <v>3664</v>
      </c>
      <c r="AC330" s="422"/>
      <c r="AD330" s="421"/>
      <c r="AE330" s="420"/>
      <c r="AF330" s="421">
        <v>90673</v>
      </c>
      <c r="AG330" s="420" t="s">
        <v>4666</v>
      </c>
      <c r="AH330" s="421" t="s">
        <v>3711</v>
      </c>
      <c r="AI330" s="420" t="s">
        <v>3719</v>
      </c>
      <c r="AJ330" s="413" t="str">
        <f t="shared" si="20"/>
        <v>4590004415_007</v>
      </c>
      <c r="AK330" s="420"/>
      <c r="AL330" s="424">
        <v>45047</v>
      </c>
      <c r="AM330" s="221">
        <v>1888.28</v>
      </c>
      <c r="AN330" s="424">
        <v>45153</v>
      </c>
      <c r="AO330" s="420" t="s">
        <v>4667</v>
      </c>
      <c r="AP330" s="424">
        <v>45471</v>
      </c>
      <c r="AQ330" s="222">
        <v>2832.42</v>
      </c>
      <c r="AR330" s="424">
        <v>45534</v>
      </c>
      <c r="AS330" s="614">
        <f ca="1">表格1_6[[#This Row],[total amount]]/表格1_6[[#This Row],[PO$]]</f>
        <v>1</v>
      </c>
      <c r="AT330" s="223">
        <f ca="1">表格1_6[[#This Row],[invoice amount]]+表格1_6[[#This Row],[invoice amount2]]</f>
        <v>4720.7</v>
      </c>
      <c r="AU330" s="224" t="s">
        <v>3725</v>
      </c>
      <c r="AV330" s="423"/>
      <c r="AW330" s="423" t="e">
        <f ca="1">VLOOKUP(表格1_6[[#This Row],[TI tool ID2]],工作表1!A:A,1,FALSE)</f>
        <v>#N/A</v>
      </c>
      <c r="AX330" s="425" t="e">
        <f ca="1">VLOOKUP(表格1_6[[#This Row],[PO+ITEM]],工作表1!B:E,2,FALSE)</f>
        <v>#N/A</v>
      </c>
      <c r="AY330" s="425" t="e">
        <f ca="1">VLOOKUP(表格1_6[[#This Row],[PO+ITEM]],工作表1!B:E,3,FALSE)</f>
        <v>#N/A</v>
      </c>
      <c r="AZ330" s="423" t="e">
        <f ca="1">VLOOKUP(表格1_6[[#This Row],[PO+ITEM]],工作表1!B:E,4,FALSE)</f>
        <v>#N/A</v>
      </c>
      <c r="BA330" s="425" t="e">
        <f ca="1">INDEX(工作表1!G:G, MATCH(表格1_6[[#This Row],[invoice number]]&amp;表格1_6[[#This Row],[invoice number2]],工作表1!G:G, 0))</f>
        <v>#N/A</v>
      </c>
      <c r="BB330" s="423" t="e">
        <f ca="1">VLOOKUP(表格1_6[[#This Row],[PO+ITEM]],工作表1!F:H,2,FALSE)</f>
        <v>#N/A</v>
      </c>
    </row>
    <row r="331" spans="1:54" ht="14.45">
      <c r="A331" s="413">
        <v>330</v>
      </c>
      <c r="B331" s="413" t="s">
        <v>3674</v>
      </c>
      <c r="C331" s="414" t="s">
        <v>16</v>
      </c>
      <c r="D331" s="414" t="s">
        <v>3648</v>
      </c>
      <c r="E331" s="414"/>
      <c r="F331" s="414"/>
      <c r="G331" s="414"/>
      <c r="H331" s="414"/>
      <c r="I331" s="414"/>
      <c r="J331" s="414"/>
      <c r="K331" s="414"/>
      <c r="L331" s="415" t="s">
        <v>4668</v>
      </c>
      <c r="M331" s="416" t="s">
        <v>2999</v>
      </c>
      <c r="N331" s="416" t="s">
        <v>2999</v>
      </c>
      <c r="O331" s="417"/>
      <c r="P331" s="416">
        <v>4590004415</v>
      </c>
      <c r="Q331" s="418">
        <v>44802</v>
      </c>
      <c r="R331" s="419">
        <v>8</v>
      </c>
      <c r="S331" s="349">
        <v>4720.7</v>
      </c>
      <c r="T331" s="420" t="s">
        <v>2156</v>
      </c>
      <c r="U331" s="414" t="s">
        <v>3661</v>
      </c>
      <c r="V331" s="414" t="s">
        <v>3662</v>
      </c>
      <c r="W331" s="417" t="s">
        <v>3663</v>
      </c>
      <c r="X331" s="417"/>
      <c r="Y331" s="421" t="s">
        <v>3652</v>
      </c>
      <c r="Z331" s="421" t="s">
        <v>3652</v>
      </c>
      <c r="AA331" s="416" t="s">
        <v>4648</v>
      </c>
      <c r="AB331" s="414" t="s">
        <v>3664</v>
      </c>
      <c r="AC331" s="422"/>
      <c r="AD331" s="421"/>
      <c r="AE331" s="420"/>
      <c r="AF331" s="421">
        <v>90674</v>
      </c>
      <c r="AG331" s="420" t="s">
        <v>4669</v>
      </c>
      <c r="AH331" s="421" t="s">
        <v>3711</v>
      </c>
      <c r="AI331" s="420" t="s">
        <v>3719</v>
      </c>
      <c r="AJ331" s="413" t="str">
        <f t="shared" si="20"/>
        <v>4590004415_008</v>
      </c>
      <c r="AK331" s="420"/>
      <c r="AL331" s="424">
        <v>45047</v>
      </c>
      <c r="AM331" s="221">
        <v>1888.28</v>
      </c>
      <c r="AN331" s="424">
        <v>45153</v>
      </c>
      <c r="AO331" s="420" t="s">
        <v>4670</v>
      </c>
      <c r="AP331" s="424">
        <v>45471</v>
      </c>
      <c r="AQ331" s="222">
        <v>2832.42</v>
      </c>
      <c r="AR331" s="424">
        <v>45534</v>
      </c>
      <c r="AS331" s="614">
        <f ca="1">表格1_6[[#This Row],[total amount]]/表格1_6[[#This Row],[PO$]]</f>
        <v>1</v>
      </c>
      <c r="AT331" s="223">
        <f ca="1">表格1_6[[#This Row],[invoice amount]]+表格1_6[[#This Row],[invoice amount2]]</f>
        <v>4720.7</v>
      </c>
      <c r="AU331" s="224" t="s">
        <v>3725</v>
      </c>
      <c r="AV331" s="423"/>
      <c r="AW331" s="423" t="e">
        <f ca="1">VLOOKUP(表格1_6[[#This Row],[TI tool ID2]],工作表1!A:A,1,FALSE)</f>
        <v>#N/A</v>
      </c>
      <c r="AX331" s="425" t="e">
        <f ca="1">VLOOKUP(表格1_6[[#This Row],[PO+ITEM]],工作表1!B:E,2,FALSE)</f>
        <v>#N/A</v>
      </c>
      <c r="AY331" s="425" t="e">
        <f ca="1">VLOOKUP(表格1_6[[#This Row],[PO+ITEM]],工作表1!B:E,3,FALSE)</f>
        <v>#N/A</v>
      </c>
      <c r="AZ331" s="423" t="e">
        <f ca="1">VLOOKUP(表格1_6[[#This Row],[PO+ITEM]],工作表1!B:E,4,FALSE)</f>
        <v>#N/A</v>
      </c>
      <c r="BA331" s="425" t="e">
        <f ca="1">INDEX(工作表1!G:G, MATCH(表格1_6[[#This Row],[invoice number]]&amp;表格1_6[[#This Row],[invoice number2]],工作表1!G:G, 0))</f>
        <v>#N/A</v>
      </c>
      <c r="BB331" s="423" t="e">
        <f ca="1">VLOOKUP(表格1_6[[#This Row],[PO+ITEM]],工作表1!F:H,2,FALSE)</f>
        <v>#N/A</v>
      </c>
    </row>
    <row r="332" spans="1:54" ht="14.45">
      <c r="A332" s="413">
        <v>331</v>
      </c>
      <c r="B332" s="413" t="s">
        <v>3674</v>
      </c>
      <c r="C332" s="414" t="s">
        <v>16</v>
      </c>
      <c r="D332" s="414" t="s">
        <v>3648</v>
      </c>
      <c r="E332" s="414"/>
      <c r="F332" s="414"/>
      <c r="G332" s="414"/>
      <c r="H332" s="414"/>
      <c r="I332" s="414"/>
      <c r="J332" s="414"/>
      <c r="K332" s="414"/>
      <c r="L332" s="420" t="s">
        <v>4671</v>
      </c>
      <c r="M332" s="416" t="s">
        <v>2999</v>
      </c>
      <c r="N332" s="416" t="s">
        <v>2999</v>
      </c>
      <c r="O332" s="417"/>
      <c r="P332" s="416">
        <v>4590004415</v>
      </c>
      <c r="Q332" s="418">
        <v>44802</v>
      </c>
      <c r="R332" s="419">
        <v>9</v>
      </c>
      <c r="S332" s="349">
        <v>4720.7</v>
      </c>
      <c r="T332" s="420" t="s">
        <v>2156</v>
      </c>
      <c r="U332" s="414" t="s">
        <v>3661</v>
      </c>
      <c r="V332" s="414" t="s">
        <v>3662</v>
      </c>
      <c r="W332" s="417" t="s">
        <v>3663</v>
      </c>
      <c r="X332" s="417"/>
      <c r="Y332" s="421" t="s">
        <v>3652</v>
      </c>
      <c r="Z332" s="421" t="s">
        <v>3652</v>
      </c>
      <c r="AA332" s="416" t="s">
        <v>4648</v>
      </c>
      <c r="AB332" s="414" t="s">
        <v>3664</v>
      </c>
      <c r="AC332" s="422"/>
      <c r="AD332" s="421"/>
      <c r="AE332" s="420"/>
      <c r="AF332" s="421">
        <v>90675</v>
      </c>
      <c r="AG332" s="420" t="s">
        <v>4672</v>
      </c>
      <c r="AH332" s="421" t="s">
        <v>3711</v>
      </c>
      <c r="AI332" s="420" t="s">
        <v>3719</v>
      </c>
      <c r="AJ332" s="413" t="str">
        <f t="shared" si="20"/>
        <v>4590004415_009</v>
      </c>
      <c r="AK332" s="420"/>
      <c r="AL332" s="424">
        <v>45047</v>
      </c>
      <c r="AM332" s="221">
        <v>1888.28</v>
      </c>
      <c r="AN332" s="424">
        <v>45153</v>
      </c>
      <c r="AO332" s="420" t="s">
        <v>4673</v>
      </c>
      <c r="AP332" s="424">
        <v>45471</v>
      </c>
      <c r="AQ332" s="222">
        <v>2832.42</v>
      </c>
      <c r="AR332" s="424">
        <v>45534</v>
      </c>
      <c r="AS332" s="614">
        <f ca="1">表格1_6[[#This Row],[total amount]]/表格1_6[[#This Row],[PO$]]</f>
        <v>1</v>
      </c>
      <c r="AT332" s="223">
        <f ca="1">表格1_6[[#This Row],[invoice amount]]+表格1_6[[#This Row],[invoice amount2]]</f>
        <v>4720.7</v>
      </c>
      <c r="AU332" s="224" t="s">
        <v>3725</v>
      </c>
      <c r="AV332" s="423"/>
      <c r="AW332" s="423" t="e">
        <f ca="1">VLOOKUP(表格1_6[[#This Row],[TI tool ID2]],工作表1!A:A,1,FALSE)</f>
        <v>#N/A</v>
      </c>
      <c r="AX332" s="425" t="e">
        <f ca="1">VLOOKUP(表格1_6[[#This Row],[PO+ITEM]],工作表1!B:E,2,FALSE)</f>
        <v>#N/A</v>
      </c>
      <c r="AY332" s="425" t="e">
        <f ca="1">VLOOKUP(表格1_6[[#This Row],[PO+ITEM]],工作表1!B:E,3,FALSE)</f>
        <v>#N/A</v>
      </c>
      <c r="AZ332" s="423" t="e">
        <f ca="1">VLOOKUP(表格1_6[[#This Row],[PO+ITEM]],工作表1!B:E,4,FALSE)</f>
        <v>#N/A</v>
      </c>
      <c r="BA332" s="425" t="e">
        <f ca="1">INDEX(工作表1!G:G, MATCH(表格1_6[[#This Row],[invoice number]]&amp;表格1_6[[#This Row],[invoice number2]],工作表1!G:G, 0))</f>
        <v>#N/A</v>
      </c>
      <c r="BB332" s="423" t="e">
        <f ca="1">VLOOKUP(表格1_6[[#This Row],[PO+ITEM]],工作表1!F:H,2,FALSE)</f>
        <v>#N/A</v>
      </c>
    </row>
    <row r="333" spans="1:54" ht="14.45">
      <c r="A333" s="413">
        <v>332</v>
      </c>
      <c r="B333" s="413" t="s">
        <v>3674</v>
      </c>
      <c r="C333" s="414" t="s">
        <v>16</v>
      </c>
      <c r="D333" s="414" t="s">
        <v>3648</v>
      </c>
      <c r="E333" s="414"/>
      <c r="F333" s="414"/>
      <c r="G333" s="414"/>
      <c r="H333" s="414"/>
      <c r="I333" s="414"/>
      <c r="J333" s="414"/>
      <c r="K333" s="414"/>
      <c r="L333" s="415" t="s">
        <v>4674</v>
      </c>
      <c r="M333" s="416" t="s">
        <v>2999</v>
      </c>
      <c r="N333" s="416" t="s">
        <v>2999</v>
      </c>
      <c r="O333" s="417"/>
      <c r="P333" s="416">
        <v>4590004415</v>
      </c>
      <c r="Q333" s="418">
        <v>44802</v>
      </c>
      <c r="R333" s="419">
        <v>10</v>
      </c>
      <c r="S333" s="349">
        <v>4720.7</v>
      </c>
      <c r="T333" s="420" t="s">
        <v>2156</v>
      </c>
      <c r="U333" s="414" t="s">
        <v>3661</v>
      </c>
      <c r="V333" s="414" t="s">
        <v>3662</v>
      </c>
      <c r="W333" s="417" t="s">
        <v>3663</v>
      </c>
      <c r="X333" s="417"/>
      <c r="Y333" s="421" t="s">
        <v>3652</v>
      </c>
      <c r="Z333" s="421" t="s">
        <v>3652</v>
      </c>
      <c r="AA333" s="416" t="s">
        <v>4648</v>
      </c>
      <c r="AB333" s="414" t="s">
        <v>3664</v>
      </c>
      <c r="AC333" s="422"/>
      <c r="AD333" s="421"/>
      <c r="AE333" s="420"/>
      <c r="AF333" s="421">
        <v>90676</v>
      </c>
      <c r="AG333" s="420" t="s">
        <v>4675</v>
      </c>
      <c r="AH333" s="421" t="s">
        <v>3711</v>
      </c>
      <c r="AI333" s="420" t="s">
        <v>3719</v>
      </c>
      <c r="AJ333" s="413" t="str">
        <f t="shared" ref="AJ333:AJ356" si="21">P333&amp;"_0"&amp;R333</f>
        <v>4590004415_010</v>
      </c>
      <c r="AK333" s="420"/>
      <c r="AL333" s="424">
        <v>45047</v>
      </c>
      <c r="AM333" s="221">
        <v>1888.28</v>
      </c>
      <c r="AN333" s="424">
        <v>45153</v>
      </c>
      <c r="AO333" s="420" t="s">
        <v>4676</v>
      </c>
      <c r="AP333" s="424">
        <v>45471</v>
      </c>
      <c r="AQ333" s="222">
        <v>2832.42</v>
      </c>
      <c r="AR333" s="424">
        <v>45534</v>
      </c>
      <c r="AS333" s="614">
        <f ca="1">表格1_6[[#This Row],[total amount]]/表格1_6[[#This Row],[PO$]]</f>
        <v>1</v>
      </c>
      <c r="AT333" s="223">
        <f ca="1">表格1_6[[#This Row],[invoice amount]]+表格1_6[[#This Row],[invoice amount2]]</f>
        <v>4720.7</v>
      </c>
      <c r="AU333" s="224" t="s">
        <v>3725</v>
      </c>
      <c r="AV333" s="423"/>
      <c r="AW333" s="423" t="e">
        <f ca="1">VLOOKUP(表格1_6[[#This Row],[TI tool ID2]],工作表1!A:A,1,FALSE)</f>
        <v>#N/A</v>
      </c>
      <c r="AX333" s="425" t="e">
        <f ca="1">VLOOKUP(表格1_6[[#This Row],[PO+ITEM]],工作表1!B:E,2,FALSE)</f>
        <v>#N/A</v>
      </c>
      <c r="AY333" s="425" t="e">
        <f ca="1">VLOOKUP(表格1_6[[#This Row],[PO+ITEM]],工作表1!B:E,3,FALSE)</f>
        <v>#N/A</v>
      </c>
      <c r="AZ333" s="423" t="e">
        <f ca="1">VLOOKUP(表格1_6[[#This Row],[PO+ITEM]],工作表1!B:E,4,FALSE)</f>
        <v>#N/A</v>
      </c>
      <c r="BA333" s="425" t="e">
        <f ca="1">INDEX(工作表1!G:G, MATCH(表格1_6[[#This Row],[invoice number]]&amp;表格1_6[[#This Row],[invoice number2]],工作表1!G:G, 0))</f>
        <v>#N/A</v>
      </c>
      <c r="BB333" s="423" t="e">
        <f ca="1">VLOOKUP(表格1_6[[#This Row],[PO+ITEM]],工作表1!F:H,2,FALSE)</f>
        <v>#N/A</v>
      </c>
    </row>
    <row r="334" spans="1:54" ht="14.45">
      <c r="A334" s="413">
        <v>333</v>
      </c>
      <c r="B334" s="413" t="s">
        <v>3674</v>
      </c>
      <c r="C334" s="414" t="s">
        <v>16</v>
      </c>
      <c r="D334" s="414" t="s">
        <v>3648</v>
      </c>
      <c r="E334" s="414"/>
      <c r="F334" s="414"/>
      <c r="G334" s="414"/>
      <c r="H334" s="414"/>
      <c r="I334" s="414"/>
      <c r="J334" s="414"/>
      <c r="K334" s="414"/>
      <c r="L334" s="415" t="s">
        <v>4677</v>
      </c>
      <c r="M334" s="416" t="s">
        <v>2999</v>
      </c>
      <c r="N334" s="416" t="s">
        <v>2999</v>
      </c>
      <c r="O334" s="417"/>
      <c r="P334" s="416">
        <v>4590004415</v>
      </c>
      <c r="Q334" s="418">
        <v>44802</v>
      </c>
      <c r="R334" s="419">
        <v>11</v>
      </c>
      <c r="S334" s="349">
        <v>4720.7</v>
      </c>
      <c r="T334" s="420" t="s">
        <v>2156</v>
      </c>
      <c r="U334" s="414" t="s">
        <v>3661</v>
      </c>
      <c r="V334" s="414" t="s">
        <v>3662</v>
      </c>
      <c r="W334" s="417" t="s">
        <v>3663</v>
      </c>
      <c r="X334" s="417"/>
      <c r="Y334" s="421" t="s">
        <v>3652</v>
      </c>
      <c r="Z334" s="421" t="s">
        <v>3652</v>
      </c>
      <c r="AA334" s="416" t="s">
        <v>4648</v>
      </c>
      <c r="AB334" s="414" t="s">
        <v>3664</v>
      </c>
      <c r="AC334" s="422"/>
      <c r="AD334" s="421"/>
      <c r="AE334" s="420"/>
      <c r="AF334" s="421">
        <v>90520</v>
      </c>
      <c r="AG334" s="420" t="s">
        <v>4678</v>
      </c>
      <c r="AH334" s="421" t="s">
        <v>3711</v>
      </c>
      <c r="AI334" s="420" t="s">
        <v>3719</v>
      </c>
      <c r="AJ334" s="413" t="str">
        <f t="shared" si="21"/>
        <v>4590004415_011</v>
      </c>
      <c r="AK334" s="420"/>
      <c r="AL334" s="424">
        <v>45108</v>
      </c>
      <c r="AM334" s="221">
        <v>1888.28</v>
      </c>
      <c r="AN334" s="424">
        <v>45198</v>
      </c>
      <c r="AO334" s="420" t="s">
        <v>4679</v>
      </c>
      <c r="AP334" s="424">
        <v>45471</v>
      </c>
      <c r="AQ334" s="222">
        <v>2832.42</v>
      </c>
      <c r="AR334" s="424">
        <v>45534</v>
      </c>
      <c r="AS334" s="614">
        <f ca="1">表格1_6[[#This Row],[total amount]]/表格1_6[[#This Row],[PO$]]</f>
        <v>1</v>
      </c>
      <c r="AT334" s="223">
        <f ca="1">表格1_6[[#This Row],[invoice amount]]+表格1_6[[#This Row],[invoice amount2]]</f>
        <v>4720.7</v>
      </c>
      <c r="AU334" s="224" t="s">
        <v>3725</v>
      </c>
      <c r="AV334" s="423"/>
      <c r="AW334" s="423" t="e">
        <f ca="1">VLOOKUP(表格1_6[[#This Row],[TI tool ID2]],工作表1!A:A,1,FALSE)</f>
        <v>#N/A</v>
      </c>
      <c r="AX334" s="425" t="e">
        <f ca="1">VLOOKUP(表格1_6[[#This Row],[PO+ITEM]],工作表1!B:E,2,FALSE)</f>
        <v>#N/A</v>
      </c>
      <c r="AY334" s="425" t="e">
        <f ca="1">VLOOKUP(表格1_6[[#This Row],[PO+ITEM]],工作表1!B:E,3,FALSE)</f>
        <v>#N/A</v>
      </c>
      <c r="AZ334" s="423" t="e">
        <f ca="1">VLOOKUP(表格1_6[[#This Row],[PO+ITEM]],工作表1!B:E,4,FALSE)</f>
        <v>#N/A</v>
      </c>
      <c r="BA334" s="425" t="e">
        <f ca="1">INDEX(工作表1!G:G, MATCH(表格1_6[[#This Row],[invoice number]]&amp;表格1_6[[#This Row],[invoice number2]],工作表1!G:G, 0))</f>
        <v>#N/A</v>
      </c>
      <c r="BB334" s="423" t="e">
        <f ca="1">VLOOKUP(表格1_6[[#This Row],[PO+ITEM]],工作表1!F:H,2,FALSE)</f>
        <v>#N/A</v>
      </c>
    </row>
    <row r="335" spans="1:54" ht="14.45">
      <c r="A335" s="413">
        <v>334</v>
      </c>
      <c r="B335" s="413" t="s">
        <v>3674</v>
      </c>
      <c r="C335" s="414" t="s">
        <v>16</v>
      </c>
      <c r="D335" s="414" t="s">
        <v>3648</v>
      </c>
      <c r="E335" s="414"/>
      <c r="F335" s="414"/>
      <c r="G335" s="414"/>
      <c r="H335" s="414"/>
      <c r="I335" s="414"/>
      <c r="J335" s="414"/>
      <c r="K335" s="414"/>
      <c r="L335" s="420" t="s">
        <v>4680</v>
      </c>
      <c r="M335" s="416" t="s">
        <v>2999</v>
      </c>
      <c r="N335" s="416" t="s">
        <v>2999</v>
      </c>
      <c r="O335" s="417"/>
      <c r="P335" s="416">
        <v>4590004415</v>
      </c>
      <c r="Q335" s="418">
        <v>44802</v>
      </c>
      <c r="R335" s="419">
        <v>12</v>
      </c>
      <c r="S335" s="349">
        <v>4720.7</v>
      </c>
      <c r="T335" s="420" t="s">
        <v>2156</v>
      </c>
      <c r="U335" s="414" t="s">
        <v>3661</v>
      </c>
      <c r="V335" s="414" t="s">
        <v>3662</v>
      </c>
      <c r="W335" s="417" t="s">
        <v>3663</v>
      </c>
      <c r="X335" s="417"/>
      <c r="Y335" s="421" t="s">
        <v>3652</v>
      </c>
      <c r="Z335" s="421" t="s">
        <v>3652</v>
      </c>
      <c r="AA335" s="416" t="s">
        <v>4648</v>
      </c>
      <c r="AB335" s="414" t="s">
        <v>3664</v>
      </c>
      <c r="AC335" s="422"/>
      <c r="AD335" s="421"/>
      <c r="AE335" s="420"/>
      <c r="AF335" s="421">
        <v>90521</v>
      </c>
      <c r="AG335" s="420" t="s">
        <v>4681</v>
      </c>
      <c r="AH335" s="421" t="s">
        <v>3711</v>
      </c>
      <c r="AI335" s="420" t="s">
        <v>3719</v>
      </c>
      <c r="AJ335" s="413" t="str">
        <f t="shared" si="21"/>
        <v>4590004415_012</v>
      </c>
      <c r="AK335" s="420"/>
      <c r="AL335" s="424">
        <v>45108</v>
      </c>
      <c r="AM335" s="221">
        <v>1888.28</v>
      </c>
      <c r="AN335" s="424">
        <v>45198</v>
      </c>
      <c r="AO335" s="420" t="s">
        <v>4682</v>
      </c>
      <c r="AP335" s="424">
        <v>45471</v>
      </c>
      <c r="AQ335" s="222">
        <v>2832.42</v>
      </c>
      <c r="AR335" s="424">
        <v>45534</v>
      </c>
      <c r="AS335" s="614">
        <f ca="1">表格1_6[[#This Row],[total amount]]/表格1_6[[#This Row],[PO$]]</f>
        <v>1</v>
      </c>
      <c r="AT335" s="223">
        <f ca="1">表格1_6[[#This Row],[invoice amount]]+表格1_6[[#This Row],[invoice amount2]]</f>
        <v>4720.7</v>
      </c>
      <c r="AU335" s="224" t="s">
        <v>3725</v>
      </c>
      <c r="AV335" s="423"/>
      <c r="AW335" s="423" t="e">
        <f ca="1">VLOOKUP(表格1_6[[#This Row],[TI tool ID2]],工作表1!A:A,1,FALSE)</f>
        <v>#N/A</v>
      </c>
      <c r="AX335" s="425" t="e">
        <f ca="1">VLOOKUP(表格1_6[[#This Row],[PO+ITEM]],工作表1!B:E,2,FALSE)</f>
        <v>#N/A</v>
      </c>
      <c r="AY335" s="425" t="e">
        <f ca="1">VLOOKUP(表格1_6[[#This Row],[PO+ITEM]],工作表1!B:E,3,FALSE)</f>
        <v>#N/A</v>
      </c>
      <c r="AZ335" s="423" t="e">
        <f ca="1">VLOOKUP(表格1_6[[#This Row],[PO+ITEM]],工作表1!B:E,4,FALSE)</f>
        <v>#N/A</v>
      </c>
      <c r="BA335" s="425" t="e">
        <f ca="1">INDEX(工作表1!G:G, MATCH(表格1_6[[#This Row],[invoice number]]&amp;表格1_6[[#This Row],[invoice number2]],工作表1!G:G, 0))</f>
        <v>#N/A</v>
      </c>
      <c r="BB335" s="423" t="e">
        <f ca="1">VLOOKUP(表格1_6[[#This Row],[PO+ITEM]],工作表1!F:H,2,FALSE)</f>
        <v>#N/A</v>
      </c>
    </row>
    <row r="336" spans="1:54" ht="14.45">
      <c r="A336" s="413">
        <v>335</v>
      </c>
      <c r="B336" s="413" t="s">
        <v>3674</v>
      </c>
      <c r="C336" s="414" t="s">
        <v>16</v>
      </c>
      <c r="D336" s="414" t="s">
        <v>3648</v>
      </c>
      <c r="E336" s="414"/>
      <c r="F336" s="414"/>
      <c r="G336" s="414"/>
      <c r="H336" s="414"/>
      <c r="I336" s="414"/>
      <c r="J336" s="414"/>
      <c r="K336" s="414"/>
      <c r="L336" s="420" t="s">
        <v>4683</v>
      </c>
      <c r="M336" s="416" t="s">
        <v>2999</v>
      </c>
      <c r="N336" s="416" t="s">
        <v>2999</v>
      </c>
      <c r="O336" s="417"/>
      <c r="P336" s="416">
        <v>4590004415</v>
      </c>
      <c r="Q336" s="418">
        <v>44802</v>
      </c>
      <c r="R336" s="419">
        <v>13</v>
      </c>
      <c r="S336" s="349">
        <v>4720.7</v>
      </c>
      <c r="T336" s="420" t="s">
        <v>2156</v>
      </c>
      <c r="U336" s="414" t="s">
        <v>3661</v>
      </c>
      <c r="V336" s="414" t="s">
        <v>3662</v>
      </c>
      <c r="W336" s="417" t="s">
        <v>3663</v>
      </c>
      <c r="X336" s="417"/>
      <c r="Y336" s="421" t="s">
        <v>3652</v>
      </c>
      <c r="Z336" s="421" t="s">
        <v>3652</v>
      </c>
      <c r="AA336" s="416" t="s">
        <v>4648</v>
      </c>
      <c r="AB336" s="414" t="s">
        <v>3664</v>
      </c>
      <c r="AC336" s="422"/>
      <c r="AD336" s="421"/>
      <c r="AE336" s="420"/>
      <c r="AF336" s="421">
        <v>90522</v>
      </c>
      <c r="AG336" s="420" t="s">
        <v>4684</v>
      </c>
      <c r="AH336" s="421" t="s">
        <v>3711</v>
      </c>
      <c r="AI336" s="420" t="s">
        <v>3719</v>
      </c>
      <c r="AJ336" s="413" t="str">
        <f t="shared" si="21"/>
        <v>4590004415_013</v>
      </c>
      <c r="AK336" s="420"/>
      <c r="AL336" s="424">
        <v>45108</v>
      </c>
      <c r="AM336" s="221">
        <v>1888.28</v>
      </c>
      <c r="AN336" s="424">
        <v>45198</v>
      </c>
      <c r="AO336" s="420" t="s">
        <v>4685</v>
      </c>
      <c r="AP336" s="424">
        <v>45471</v>
      </c>
      <c r="AQ336" s="222">
        <v>2832.42</v>
      </c>
      <c r="AR336" s="424">
        <v>45534</v>
      </c>
      <c r="AS336" s="614">
        <f ca="1">表格1_6[[#This Row],[total amount]]/表格1_6[[#This Row],[PO$]]</f>
        <v>1</v>
      </c>
      <c r="AT336" s="223">
        <f ca="1">表格1_6[[#This Row],[invoice amount]]+表格1_6[[#This Row],[invoice amount2]]</f>
        <v>4720.7</v>
      </c>
      <c r="AU336" s="224" t="s">
        <v>3725</v>
      </c>
      <c r="AV336" s="423"/>
      <c r="AW336" s="423" t="e">
        <f ca="1">VLOOKUP(表格1_6[[#This Row],[TI tool ID2]],工作表1!A:A,1,FALSE)</f>
        <v>#N/A</v>
      </c>
      <c r="AX336" s="425" t="e">
        <f ca="1">VLOOKUP(表格1_6[[#This Row],[PO+ITEM]],工作表1!B:E,2,FALSE)</f>
        <v>#N/A</v>
      </c>
      <c r="AY336" s="425" t="e">
        <f ca="1">VLOOKUP(表格1_6[[#This Row],[PO+ITEM]],工作表1!B:E,3,FALSE)</f>
        <v>#N/A</v>
      </c>
      <c r="AZ336" s="423" t="e">
        <f ca="1">VLOOKUP(表格1_6[[#This Row],[PO+ITEM]],工作表1!B:E,4,FALSE)</f>
        <v>#N/A</v>
      </c>
      <c r="BA336" s="425" t="e">
        <f ca="1">INDEX(工作表1!G:G, MATCH(表格1_6[[#This Row],[invoice number]]&amp;表格1_6[[#This Row],[invoice number2]],工作表1!G:G, 0))</f>
        <v>#N/A</v>
      </c>
      <c r="BB336" s="423" t="e">
        <f ca="1">VLOOKUP(表格1_6[[#This Row],[PO+ITEM]],工作表1!F:H,2,FALSE)</f>
        <v>#N/A</v>
      </c>
    </row>
    <row r="337" spans="1:54" ht="14.45">
      <c r="A337" s="413">
        <v>336</v>
      </c>
      <c r="B337" s="413" t="s">
        <v>3674</v>
      </c>
      <c r="C337" s="414" t="s">
        <v>16</v>
      </c>
      <c r="D337" s="414" t="s">
        <v>3648</v>
      </c>
      <c r="E337" s="414"/>
      <c r="F337" s="414"/>
      <c r="G337" s="414"/>
      <c r="H337" s="414"/>
      <c r="I337" s="414"/>
      <c r="J337" s="414"/>
      <c r="K337" s="414"/>
      <c r="L337" s="420" t="s">
        <v>4686</v>
      </c>
      <c r="M337" s="416" t="s">
        <v>2999</v>
      </c>
      <c r="N337" s="416" t="s">
        <v>2999</v>
      </c>
      <c r="O337" s="417"/>
      <c r="P337" s="416">
        <v>4590004415</v>
      </c>
      <c r="Q337" s="418">
        <v>44802</v>
      </c>
      <c r="R337" s="419">
        <v>14</v>
      </c>
      <c r="S337" s="458">
        <v>1369.77</v>
      </c>
      <c r="T337" s="420" t="s">
        <v>2156</v>
      </c>
      <c r="U337" s="414" t="s">
        <v>3661</v>
      </c>
      <c r="V337" s="414" t="s">
        <v>3662</v>
      </c>
      <c r="W337" s="417" t="s">
        <v>3663</v>
      </c>
      <c r="X337" s="417"/>
      <c r="Y337" s="421" t="s">
        <v>3652</v>
      </c>
      <c r="Z337" s="421" t="s">
        <v>3652</v>
      </c>
      <c r="AA337" s="416" t="s">
        <v>4648</v>
      </c>
      <c r="AB337" s="414" t="s">
        <v>3664</v>
      </c>
      <c r="AC337" s="422"/>
      <c r="AD337" s="421"/>
      <c r="AE337" s="420"/>
      <c r="AF337" s="421">
        <v>90582</v>
      </c>
      <c r="AG337" s="420" t="s">
        <v>3170</v>
      </c>
      <c r="AH337" s="421" t="s">
        <v>3711</v>
      </c>
      <c r="AI337" s="420" t="s">
        <v>3666</v>
      </c>
      <c r="AJ337" s="413" t="str">
        <f t="shared" si="21"/>
        <v>4590004415_014</v>
      </c>
      <c r="AK337" s="423"/>
      <c r="AL337" s="424">
        <v>45108</v>
      </c>
      <c r="AM337" s="221">
        <v>547.90800000000002</v>
      </c>
      <c r="AN337" s="424">
        <v>45260</v>
      </c>
      <c r="AO337" s="423" t="s">
        <v>4687</v>
      </c>
      <c r="AP337" s="424">
        <v>45506</v>
      </c>
      <c r="AQ337" s="222">
        <v>821.86</v>
      </c>
      <c r="AR337" s="424">
        <v>45548</v>
      </c>
      <c r="AS337" s="614">
        <f ca="1">表格1_6[[#This Row],[total amount]]/表格1_6[[#This Row],[PO$]]</f>
        <v>0.9999985399008593</v>
      </c>
      <c r="AT337" s="223">
        <f ca="1">表格1_6[[#This Row],[invoice amount]]+表格1_6[[#This Row],[invoice amount2]]</f>
        <v>1369.768</v>
      </c>
      <c r="AU337" s="224" t="s">
        <v>3725</v>
      </c>
      <c r="AV337" s="423"/>
      <c r="AW337" s="423" t="e">
        <f ca="1">VLOOKUP(表格1_6[[#This Row],[TI tool ID2]],工作表1!A:A,1,FALSE)</f>
        <v>#N/A</v>
      </c>
      <c r="AX337" s="425" t="e">
        <f ca="1">VLOOKUP(表格1_6[[#This Row],[PO+ITEM]],工作表1!B:E,2,FALSE)</f>
        <v>#N/A</v>
      </c>
      <c r="AY337" s="425" t="e">
        <f ca="1">VLOOKUP(表格1_6[[#This Row],[PO+ITEM]],工作表1!B:E,3,FALSE)</f>
        <v>#N/A</v>
      </c>
      <c r="AZ337" s="423" t="e">
        <f ca="1">VLOOKUP(表格1_6[[#This Row],[PO+ITEM]],工作表1!B:E,4,FALSE)</f>
        <v>#N/A</v>
      </c>
      <c r="BA337" s="425" t="e">
        <f ca="1">INDEX(工作表1!G:G, MATCH(表格1_6[[#This Row],[invoice number]]&amp;表格1_6[[#This Row],[invoice number2]],工作表1!G:G, 0))</f>
        <v>#N/A</v>
      </c>
      <c r="BB337" s="423" t="e">
        <f ca="1">VLOOKUP(表格1_6[[#This Row],[PO+ITEM]],工作表1!F:H,2,FALSE)</f>
        <v>#N/A</v>
      </c>
    </row>
    <row r="338" spans="1:54" ht="14.45">
      <c r="A338" s="413">
        <v>337</v>
      </c>
      <c r="B338" s="413" t="s">
        <v>3674</v>
      </c>
      <c r="C338" s="414" t="s">
        <v>16</v>
      </c>
      <c r="D338" s="414" t="s">
        <v>3648</v>
      </c>
      <c r="E338" s="414"/>
      <c r="F338" s="414"/>
      <c r="G338" s="414"/>
      <c r="H338" s="414"/>
      <c r="I338" s="414"/>
      <c r="J338" s="414"/>
      <c r="K338" s="414"/>
      <c r="L338" s="415" t="s">
        <v>4688</v>
      </c>
      <c r="M338" s="416" t="s">
        <v>2999</v>
      </c>
      <c r="N338" s="416" t="s">
        <v>2999</v>
      </c>
      <c r="O338" s="417"/>
      <c r="P338" s="416">
        <v>4590004415</v>
      </c>
      <c r="Q338" s="418">
        <v>44802</v>
      </c>
      <c r="R338" s="419">
        <v>15</v>
      </c>
      <c r="S338" s="458">
        <v>1369.77</v>
      </c>
      <c r="T338" s="420" t="s">
        <v>2156</v>
      </c>
      <c r="U338" s="414" t="s">
        <v>3661</v>
      </c>
      <c r="V338" s="414" t="s">
        <v>3662</v>
      </c>
      <c r="W338" s="417" t="s">
        <v>3663</v>
      </c>
      <c r="X338" s="417"/>
      <c r="Y338" s="421" t="s">
        <v>3652</v>
      </c>
      <c r="Z338" s="421" t="s">
        <v>3652</v>
      </c>
      <c r="AA338" s="416" t="s">
        <v>4648</v>
      </c>
      <c r="AB338" s="414" t="s">
        <v>3664</v>
      </c>
      <c r="AC338" s="422"/>
      <c r="AD338" s="421"/>
      <c r="AE338" s="420"/>
      <c r="AF338" s="421">
        <v>90583</v>
      </c>
      <c r="AG338" s="420" t="s">
        <v>3256</v>
      </c>
      <c r="AH338" s="421" t="s">
        <v>3711</v>
      </c>
      <c r="AI338" s="420" t="s">
        <v>3666</v>
      </c>
      <c r="AJ338" s="413" t="str">
        <f t="shared" si="21"/>
        <v>4590004415_015</v>
      </c>
      <c r="AK338" s="423"/>
      <c r="AL338" s="424">
        <v>45108</v>
      </c>
      <c r="AM338" s="221">
        <v>547.90800000000002</v>
      </c>
      <c r="AN338" s="424">
        <v>45260</v>
      </c>
      <c r="AO338" s="423" t="s">
        <v>4689</v>
      </c>
      <c r="AP338" s="424">
        <v>45506</v>
      </c>
      <c r="AQ338" s="222">
        <v>821.86</v>
      </c>
      <c r="AR338" s="424">
        <v>45548</v>
      </c>
      <c r="AS338" s="614">
        <f ca="1">表格1_6[[#This Row],[total amount]]/表格1_6[[#This Row],[PO$]]</f>
        <v>0.9999985399008593</v>
      </c>
      <c r="AT338" s="223">
        <f ca="1">表格1_6[[#This Row],[invoice amount]]+表格1_6[[#This Row],[invoice amount2]]</f>
        <v>1369.768</v>
      </c>
      <c r="AU338" s="224" t="s">
        <v>3725</v>
      </c>
      <c r="AV338" s="423"/>
      <c r="AW338" s="423" t="e">
        <f ca="1">VLOOKUP(表格1_6[[#This Row],[TI tool ID2]],工作表1!A:A,1,FALSE)</f>
        <v>#N/A</v>
      </c>
      <c r="AX338" s="425" t="e">
        <f ca="1">VLOOKUP(表格1_6[[#This Row],[PO+ITEM]],工作表1!B:E,2,FALSE)</f>
        <v>#N/A</v>
      </c>
      <c r="AY338" s="425" t="e">
        <f ca="1">VLOOKUP(表格1_6[[#This Row],[PO+ITEM]],工作表1!B:E,3,FALSE)</f>
        <v>#N/A</v>
      </c>
      <c r="AZ338" s="423" t="e">
        <f ca="1">VLOOKUP(表格1_6[[#This Row],[PO+ITEM]],工作表1!B:E,4,FALSE)</f>
        <v>#N/A</v>
      </c>
      <c r="BA338" s="425" t="e">
        <f ca="1">INDEX(工作表1!G:G, MATCH(表格1_6[[#This Row],[invoice number]]&amp;表格1_6[[#This Row],[invoice number2]],工作表1!G:G, 0))</f>
        <v>#N/A</v>
      </c>
      <c r="BB338" s="423" t="e">
        <f ca="1">VLOOKUP(表格1_6[[#This Row],[PO+ITEM]],工作表1!F:H,2,FALSE)</f>
        <v>#N/A</v>
      </c>
    </row>
    <row r="339" spans="1:54" ht="14.45">
      <c r="A339" s="413">
        <v>338</v>
      </c>
      <c r="B339" s="413" t="s">
        <v>3674</v>
      </c>
      <c r="C339" s="414" t="s">
        <v>16</v>
      </c>
      <c r="D339" s="414" t="s">
        <v>3648</v>
      </c>
      <c r="E339" s="414"/>
      <c r="F339" s="414"/>
      <c r="G339" s="414"/>
      <c r="H339" s="414"/>
      <c r="I339" s="414"/>
      <c r="J339" s="414"/>
      <c r="K339" s="414"/>
      <c r="L339" s="415" t="s">
        <v>4690</v>
      </c>
      <c r="M339" s="416" t="s">
        <v>2999</v>
      </c>
      <c r="N339" s="416" t="s">
        <v>2999</v>
      </c>
      <c r="O339" s="417"/>
      <c r="P339" s="416">
        <v>4590004415</v>
      </c>
      <c r="Q339" s="418">
        <v>44802</v>
      </c>
      <c r="R339" s="419">
        <v>16</v>
      </c>
      <c r="S339" s="458">
        <v>1369.77</v>
      </c>
      <c r="T339" s="420" t="s">
        <v>2156</v>
      </c>
      <c r="U339" s="414" t="s">
        <v>3661</v>
      </c>
      <c r="V339" s="414" t="s">
        <v>3662</v>
      </c>
      <c r="W339" s="417" t="s">
        <v>3663</v>
      </c>
      <c r="X339" s="417"/>
      <c r="Y339" s="421" t="s">
        <v>3652</v>
      </c>
      <c r="Z339" s="421" t="s">
        <v>3652</v>
      </c>
      <c r="AA339" s="416" t="s">
        <v>4648</v>
      </c>
      <c r="AB339" s="414" t="s">
        <v>3664</v>
      </c>
      <c r="AC339" s="422"/>
      <c r="AD339" s="421"/>
      <c r="AE339" s="420"/>
      <c r="AF339" s="421">
        <v>90584</v>
      </c>
      <c r="AG339" s="420" t="s">
        <v>3175</v>
      </c>
      <c r="AH339" s="421" t="s">
        <v>3711</v>
      </c>
      <c r="AI339" s="420" t="s">
        <v>3666</v>
      </c>
      <c r="AJ339" s="413" t="str">
        <f t="shared" si="21"/>
        <v>4590004415_016</v>
      </c>
      <c r="AK339" s="423"/>
      <c r="AL339" s="424">
        <v>45108</v>
      </c>
      <c r="AM339" s="221">
        <v>547.90800000000002</v>
      </c>
      <c r="AN339" s="424">
        <v>45260</v>
      </c>
      <c r="AO339" s="423" t="s">
        <v>4691</v>
      </c>
      <c r="AP339" s="424">
        <v>45506</v>
      </c>
      <c r="AQ339" s="222">
        <v>821.86</v>
      </c>
      <c r="AR339" s="424">
        <v>45548</v>
      </c>
      <c r="AS339" s="614">
        <f ca="1">表格1_6[[#This Row],[total amount]]/表格1_6[[#This Row],[PO$]]</f>
        <v>0.9999985399008593</v>
      </c>
      <c r="AT339" s="223">
        <f ca="1">表格1_6[[#This Row],[invoice amount]]+表格1_6[[#This Row],[invoice amount2]]</f>
        <v>1369.768</v>
      </c>
      <c r="AU339" s="224" t="s">
        <v>3725</v>
      </c>
      <c r="AV339" s="423"/>
      <c r="AW339" s="423" t="e">
        <f ca="1">VLOOKUP(表格1_6[[#This Row],[TI tool ID2]],工作表1!A:A,1,FALSE)</f>
        <v>#N/A</v>
      </c>
      <c r="AX339" s="425" t="e">
        <f ca="1">VLOOKUP(表格1_6[[#This Row],[PO+ITEM]],工作表1!B:E,2,FALSE)</f>
        <v>#N/A</v>
      </c>
      <c r="AY339" s="425" t="e">
        <f ca="1">VLOOKUP(表格1_6[[#This Row],[PO+ITEM]],工作表1!B:E,3,FALSE)</f>
        <v>#N/A</v>
      </c>
      <c r="AZ339" s="423" t="e">
        <f ca="1">VLOOKUP(表格1_6[[#This Row],[PO+ITEM]],工作表1!B:E,4,FALSE)</f>
        <v>#N/A</v>
      </c>
      <c r="BA339" s="425" t="e">
        <f ca="1">INDEX(工作表1!G:G, MATCH(表格1_6[[#This Row],[invoice number]]&amp;表格1_6[[#This Row],[invoice number2]],工作表1!G:G, 0))</f>
        <v>#N/A</v>
      </c>
      <c r="BB339" s="423" t="e">
        <f ca="1">VLOOKUP(表格1_6[[#This Row],[PO+ITEM]],工作表1!F:H,2,FALSE)</f>
        <v>#N/A</v>
      </c>
    </row>
    <row r="340" spans="1:54" ht="14.45">
      <c r="A340" s="413">
        <v>339</v>
      </c>
      <c r="B340" s="413" t="s">
        <v>3674</v>
      </c>
      <c r="C340" s="414" t="s">
        <v>16</v>
      </c>
      <c r="D340" s="414" t="s">
        <v>3648</v>
      </c>
      <c r="E340" s="414"/>
      <c r="F340" s="414"/>
      <c r="G340" s="414"/>
      <c r="H340" s="414"/>
      <c r="I340" s="414"/>
      <c r="J340" s="414"/>
      <c r="K340" s="414"/>
      <c r="L340" s="420" t="s">
        <v>4692</v>
      </c>
      <c r="M340" s="416" t="s">
        <v>2999</v>
      </c>
      <c r="N340" s="416" t="s">
        <v>2999</v>
      </c>
      <c r="O340" s="417"/>
      <c r="P340" s="416">
        <v>4590004415</v>
      </c>
      <c r="Q340" s="418">
        <v>44802</v>
      </c>
      <c r="R340" s="419">
        <v>17</v>
      </c>
      <c r="S340" s="458">
        <v>1369.77</v>
      </c>
      <c r="T340" s="420" t="s">
        <v>2156</v>
      </c>
      <c r="U340" s="414" t="s">
        <v>3661</v>
      </c>
      <c r="V340" s="414" t="s">
        <v>3662</v>
      </c>
      <c r="W340" s="417" t="s">
        <v>3663</v>
      </c>
      <c r="X340" s="417"/>
      <c r="Y340" s="421" t="s">
        <v>3652</v>
      </c>
      <c r="Z340" s="421" t="s">
        <v>3652</v>
      </c>
      <c r="AA340" s="416" t="s">
        <v>4648</v>
      </c>
      <c r="AB340" s="414" t="s">
        <v>3664</v>
      </c>
      <c r="AC340" s="422"/>
      <c r="AD340" s="421"/>
      <c r="AE340" s="420"/>
      <c r="AF340" s="421">
        <v>90585</v>
      </c>
      <c r="AG340" s="420" t="s">
        <v>3173</v>
      </c>
      <c r="AH340" s="421" t="s">
        <v>3711</v>
      </c>
      <c r="AI340" s="420" t="s">
        <v>3666</v>
      </c>
      <c r="AJ340" s="413" t="str">
        <f t="shared" si="21"/>
        <v>4590004415_017</v>
      </c>
      <c r="AK340" s="423"/>
      <c r="AL340" s="424">
        <v>45108</v>
      </c>
      <c r="AM340" s="221">
        <v>547.90800000000002</v>
      </c>
      <c r="AN340" s="424">
        <v>45260</v>
      </c>
      <c r="AO340" s="423" t="s">
        <v>4693</v>
      </c>
      <c r="AP340" s="424">
        <v>45506</v>
      </c>
      <c r="AQ340" s="222">
        <v>821.86</v>
      </c>
      <c r="AR340" s="424">
        <v>45548</v>
      </c>
      <c r="AS340" s="614">
        <f ca="1">表格1_6[[#This Row],[total amount]]/表格1_6[[#This Row],[PO$]]</f>
        <v>0.9999985399008593</v>
      </c>
      <c r="AT340" s="223">
        <f ca="1">表格1_6[[#This Row],[invoice amount]]+表格1_6[[#This Row],[invoice amount2]]</f>
        <v>1369.768</v>
      </c>
      <c r="AU340" s="224" t="s">
        <v>3725</v>
      </c>
      <c r="AV340" s="423"/>
      <c r="AW340" s="423" t="e">
        <f ca="1">VLOOKUP(表格1_6[[#This Row],[TI tool ID2]],工作表1!A:A,1,FALSE)</f>
        <v>#N/A</v>
      </c>
      <c r="AX340" s="425" t="e">
        <f ca="1">VLOOKUP(表格1_6[[#This Row],[PO+ITEM]],工作表1!B:E,2,FALSE)</f>
        <v>#N/A</v>
      </c>
      <c r="AY340" s="425" t="e">
        <f ca="1">VLOOKUP(表格1_6[[#This Row],[PO+ITEM]],工作表1!B:E,3,FALSE)</f>
        <v>#N/A</v>
      </c>
      <c r="AZ340" s="423" t="e">
        <f ca="1">VLOOKUP(表格1_6[[#This Row],[PO+ITEM]],工作表1!B:E,4,FALSE)</f>
        <v>#N/A</v>
      </c>
      <c r="BA340" s="425" t="e">
        <f ca="1">INDEX(工作表1!G:G, MATCH(表格1_6[[#This Row],[invoice number]]&amp;表格1_6[[#This Row],[invoice number2]],工作表1!G:G, 0))</f>
        <v>#N/A</v>
      </c>
      <c r="BB340" s="423" t="e">
        <f ca="1">VLOOKUP(表格1_6[[#This Row],[PO+ITEM]],工作表1!F:H,2,FALSE)</f>
        <v>#N/A</v>
      </c>
    </row>
    <row r="341" spans="1:54" ht="14.45">
      <c r="A341" s="413">
        <v>340</v>
      </c>
      <c r="B341" s="413" t="s">
        <v>3674</v>
      </c>
      <c r="C341" s="414" t="s">
        <v>16</v>
      </c>
      <c r="D341" s="414" t="s">
        <v>3648</v>
      </c>
      <c r="E341" s="414"/>
      <c r="F341" s="414"/>
      <c r="G341" s="414"/>
      <c r="H341" s="414"/>
      <c r="I341" s="414"/>
      <c r="J341" s="414"/>
      <c r="K341" s="414"/>
      <c r="L341" s="415" t="s">
        <v>4694</v>
      </c>
      <c r="M341" s="416" t="s">
        <v>2999</v>
      </c>
      <c r="N341" s="416" t="s">
        <v>2999</v>
      </c>
      <c r="O341" s="417"/>
      <c r="P341" s="416">
        <v>4590004415</v>
      </c>
      <c r="Q341" s="418">
        <v>44802</v>
      </c>
      <c r="R341" s="419">
        <v>18</v>
      </c>
      <c r="S341" s="458">
        <v>913.18</v>
      </c>
      <c r="T341" s="420" t="s">
        <v>2156</v>
      </c>
      <c r="U341" s="414" t="s">
        <v>3661</v>
      </c>
      <c r="V341" s="414" t="s">
        <v>3662</v>
      </c>
      <c r="W341" s="417" t="s">
        <v>3663</v>
      </c>
      <c r="X341" s="417"/>
      <c r="Y341" s="421" t="s">
        <v>3652</v>
      </c>
      <c r="Z341" s="421" t="s">
        <v>3652</v>
      </c>
      <c r="AA341" s="416" t="s">
        <v>4648</v>
      </c>
      <c r="AB341" s="414" t="s">
        <v>3664</v>
      </c>
      <c r="AC341" s="422"/>
      <c r="AD341" s="421"/>
      <c r="AE341" s="420"/>
      <c r="AF341" s="421">
        <v>90579</v>
      </c>
      <c r="AG341" s="420" t="s">
        <v>3242</v>
      </c>
      <c r="AH341" s="421" t="s">
        <v>3711</v>
      </c>
      <c r="AI341" s="420" t="s">
        <v>3666</v>
      </c>
      <c r="AJ341" s="413" t="str">
        <f t="shared" si="21"/>
        <v>4590004415_018</v>
      </c>
      <c r="AK341" s="423"/>
      <c r="AL341" s="424">
        <v>45108</v>
      </c>
      <c r="AM341" s="221">
        <v>365.27199999999999</v>
      </c>
      <c r="AN341" s="424">
        <v>45260</v>
      </c>
      <c r="AO341" s="423" t="s">
        <v>4695</v>
      </c>
      <c r="AP341" s="424">
        <v>45506</v>
      </c>
      <c r="AQ341" s="222">
        <v>547.91</v>
      </c>
      <c r="AR341" s="424">
        <v>45548</v>
      </c>
      <c r="AS341" s="614">
        <f ca="1">表格1_6[[#This Row],[total amount]]/表格1_6[[#This Row],[PO$]]</f>
        <v>1.0000021901487113</v>
      </c>
      <c r="AT341" s="223">
        <f ca="1">表格1_6[[#This Row],[invoice amount]]+表格1_6[[#This Row],[invoice amount2]]</f>
        <v>913.18200000000002</v>
      </c>
      <c r="AU341" s="224" t="s">
        <v>3725</v>
      </c>
      <c r="AV341" s="423"/>
      <c r="AW341" s="423" t="e">
        <f ca="1">VLOOKUP(表格1_6[[#This Row],[TI tool ID2]],工作表1!A:A,1,FALSE)</f>
        <v>#N/A</v>
      </c>
      <c r="AX341" s="425" t="e">
        <f ca="1">VLOOKUP(表格1_6[[#This Row],[PO+ITEM]],工作表1!B:E,2,FALSE)</f>
        <v>#N/A</v>
      </c>
      <c r="AY341" s="425" t="e">
        <f ca="1">VLOOKUP(表格1_6[[#This Row],[PO+ITEM]],工作表1!B:E,3,FALSE)</f>
        <v>#N/A</v>
      </c>
      <c r="AZ341" s="423" t="e">
        <f ca="1">VLOOKUP(表格1_6[[#This Row],[PO+ITEM]],工作表1!B:E,4,FALSE)</f>
        <v>#N/A</v>
      </c>
      <c r="BA341" s="425" t="e">
        <f ca="1">INDEX(工作表1!G:G, MATCH(表格1_6[[#This Row],[invoice number]]&amp;表格1_6[[#This Row],[invoice number2]],工作表1!G:G, 0))</f>
        <v>#N/A</v>
      </c>
      <c r="BB341" s="423" t="e">
        <f ca="1">VLOOKUP(表格1_6[[#This Row],[PO+ITEM]],工作表1!F:H,2,FALSE)</f>
        <v>#N/A</v>
      </c>
    </row>
    <row r="342" spans="1:54" ht="14.45">
      <c r="A342" s="413">
        <v>341</v>
      </c>
      <c r="B342" s="413" t="s">
        <v>3674</v>
      </c>
      <c r="C342" s="414" t="s">
        <v>16</v>
      </c>
      <c r="D342" s="414" t="s">
        <v>3648</v>
      </c>
      <c r="E342" s="414"/>
      <c r="F342" s="414"/>
      <c r="G342" s="414"/>
      <c r="H342" s="414"/>
      <c r="I342" s="414"/>
      <c r="J342" s="414"/>
      <c r="K342" s="414"/>
      <c r="L342" s="415" t="s">
        <v>4696</v>
      </c>
      <c r="M342" s="416" t="s">
        <v>2999</v>
      </c>
      <c r="N342" s="416" t="s">
        <v>2999</v>
      </c>
      <c r="O342" s="417"/>
      <c r="P342" s="416">
        <v>4590004415</v>
      </c>
      <c r="Q342" s="418">
        <v>44802</v>
      </c>
      <c r="R342" s="419">
        <v>19</v>
      </c>
      <c r="S342" s="458">
        <v>913.18</v>
      </c>
      <c r="T342" s="420" t="s">
        <v>2156</v>
      </c>
      <c r="U342" s="414" t="s">
        <v>3661</v>
      </c>
      <c r="V342" s="414" t="s">
        <v>3662</v>
      </c>
      <c r="W342" s="417" t="s">
        <v>3663</v>
      </c>
      <c r="X342" s="417"/>
      <c r="Y342" s="421" t="s">
        <v>3652</v>
      </c>
      <c r="Z342" s="421" t="s">
        <v>3652</v>
      </c>
      <c r="AA342" s="416" t="s">
        <v>4648</v>
      </c>
      <c r="AB342" s="414" t="s">
        <v>3664</v>
      </c>
      <c r="AC342" s="422"/>
      <c r="AD342" s="421"/>
      <c r="AE342" s="420"/>
      <c r="AF342" s="421">
        <v>90580</v>
      </c>
      <c r="AG342" s="420" t="s">
        <v>3244</v>
      </c>
      <c r="AH342" s="421" t="s">
        <v>3711</v>
      </c>
      <c r="AI342" s="420" t="s">
        <v>3666</v>
      </c>
      <c r="AJ342" s="413" t="str">
        <f t="shared" si="21"/>
        <v>4590004415_019</v>
      </c>
      <c r="AK342" s="423"/>
      <c r="AL342" s="424">
        <v>45108</v>
      </c>
      <c r="AM342" s="221">
        <v>365.27199999999999</v>
      </c>
      <c r="AN342" s="424">
        <v>45260</v>
      </c>
      <c r="AO342" s="423" t="s">
        <v>4697</v>
      </c>
      <c r="AP342" s="424">
        <v>45506</v>
      </c>
      <c r="AQ342" s="222">
        <v>547.91</v>
      </c>
      <c r="AR342" s="424">
        <v>45548</v>
      </c>
      <c r="AS342" s="614">
        <f ca="1">表格1_6[[#This Row],[total amount]]/表格1_6[[#This Row],[PO$]]</f>
        <v>1.0000021901487113</v>
      </c>
      <c r="AT342" s="223">
        <f ca="1">表格1_6[[#This Row],[invoice amount]]+表格1_6[[#This Row],[invoice amount2]]</f>
        <v>913.18200000000002</v>
      </c>
      <c r="AU342" s="224" t="s">
        <v>3725</v>
      </c>
      <c r="AV342" s="423"/>
      <c r="AW342" s="423" t="e">
        <f ca="1">VLOOKUP(表格1_6[[#This Row],[TI tool ID2]],工作表1!A:A,1,FALSE)</f>
        <v>#N/A</v>
      </c>
      <c r="AX342" s="425" t="e">
        <f ca="1">VLOOKUP(表格1_6[[#This Row],[PO+ITEM]],工作表1!B:E,2,FALSE)</f>
        <v>#N/A</v>
      </c>
      <c r="AY342" s="425" t="e">
        <f ca="1">VLOOKUP(表格1_6[[#This Row],[PO+ITEM]],工作表1!B:E,3,FALSE)</f>
        <v>#N/A</v>
      </c>
      <c r="AZ342" s="423" t="e">
        <f ca="1">VLOOKUP(表格1_6[[#This Row],[PO+ITEM]],工作表1!B:E,4,FALSE)</f>
        <v>#N/A</v>
      </c>
      <c r="BA342" s="425" t="e">
        <f ca="1">INDEX(工作表1!G:G, MATCH(表格1_6[[#This Row],[invoice number]]&amp;表格1_6[[#This Row],[invoice number2]],工作表1!G:G, 0))</f>
        <v>#N/A</v>
      </c>
      <c r="BB342" s="423" t="e">
        <f ca="1">VLOOKUP(表格1_6[[#This Row],[PO+ITEM]],工作表1!F:H,2,FALSE)</f>
        <v>#N/A</v>
      </c>
    </row>
    <row r="343" spans="1:54" ht="14.45">
      <c r="A343" s="413">
        <v>342</v>
      </c>
      <c r="B343" s="413" t="s">
        <v>3674</v>
      </c>
      <c r="C343" s="414" t="s">
        <v>16</v>
      </c>
      <c r="D343" s="414" t="s">
        <v>3648</v>
      </c>
      <c r="E343" s="414"/>
      <c r="F343" s="414"/>
      <c r="G343" s="414"/>
      <c r="H343" s="414"/>
      <c r="I343" s="414"/>
      <c r="J343" s="414"/>
      <c r="K343" s="414"/>
      <c r="L343" s="420" t="s">
        <v>4698</v>
      </c>
      <c r="M343" s="416" t="s">
        <v>2999</v>
      </c>
      <c r="N343" s="416" t="s">
        <v>2999</v>
      </c>
      <c r="O343" s="417"/>
      <c r="P343" s="416">
        <v>4590004415</v>
      </c>
      <c r="Q343" s="418">
        <v>44802</v>
      </c>
      <c r="R343" s="419">
        <v>20</v>
      </c>
      <c r="S343" s="458">
        <v>913.18</v>
      </c>
      <c r="T343" s="420" t="s">
        <v>2156</v>
      </c>
      <c r="U343" s="414" t="s">
        <v>3661</v>
      </c>
      <c r="V343" s="414" t="s">
        <v>3662</v>
      </c>
      <c r="W343" s="417" t="s">
        <v>3663</v>
      </c>
      <c r="X343" s="417"/>
      <c r="Y343" s="421" t="s">
        <v>3652</v>
      </c>
      <c r="Z343" s="421" t="s">
        <v>3652</v>
      </c>
      <c r="AA343" s="416" t="s">
        <v>4648</v>
      </c>
      <c r="AB343" s="414" t="s">
        <v>3664</v>
      </c>
      <c r="AC343" s="422"/>
      <c r="AD343" s="421"/>
      <c r="AE343" s="420"/>
      <c r="AF343" s="421">
        <v>90581</v>
      </c>
      <c r="AG343" s="420" t="s">
        <v>3246</v>
      </c>
      <c r="AH343" s="421" t="s">
        <v>3711</v>
      </c>
      <c r="AI343" s="420" t="s">
        <v>3666</v>
      </c>
      <c r="AJ343" s="413" t="str">
        <f t="shared" si="21"/>
        <v>4590004415_020</v>
      </c>
      <c r="AK343" s="423"/>
      <c r="AL343" s="424">
        <v>45108</v>
      </c>
      <c r="AM343" s="221">
        <v>365.27199999999999</v>
      </c>
      <c r="AN343" s="424">
        <v>45260</v>
      </c>
      <c r="AO343" s="423" t="s">
        <v>4699</v>
      </c>
      <c r="AP343" s="424">
        <v>45506</v>
      </c>
      <c r="AQ343" s="222">
        <v>547.91</v>
      </c>
      <c r="AR343" s="424">
        <v>45548</v>
      </c>
      <c r="AS343" s="614">
        <f ca="1">表格1_6[[#This Row],[total amount]]/表格1_6[[#This Row],[PO$]]</f>
        <v>1.0000021901487113</v>
      </c>
      <c r="AT343" s="223">
        <f ca="1">表格1_6[[#This Row],[invoice amount]]+表格1_6[[#This Row],[invoice amount2]]</f>
        <v>913.18200000000002</v>
      </c>
      <c r="AU343" s="224" t="s">
        <v>3725</v>
      </c>
      <c r="AV343" s="423"/>
      <c r="AW343" s="423" t="e">
        <f ca="1">VLOOKUP(表格1_6[[#This Row],[TI tool ID2]],工作表1!A:A,1,FALSE)</f>
        <v>#N/A</v>
      </c>
      <c r="AX343" s="425" t="e">
        <f ca="1">VLOOKUP(表格1_6[[#This Row],[PO+ITEM]],工作表1!B:E,2,FALSE)</f>
        <v>#N/A</v>
      </c>
      <c r="AY343" s="425" t="e">
        <f ca="1">VLOOKUP(表格1_6[[#This Row],[PO+ITEM]],工作表1!B:E,3,FALSE)</f>
        <v>#N/A</v>
      </c>
      <c r="AZ343" s="423" t="e">
        <f ca="1">VLOOKUP(表格1_6[[#This Row],[PO+ITEM]],工作表1!B:E,4,FALSE)</f>
        <v>#N/A</v>
      </c>
      <c r="BA343" s="425" t="e">
        <f ca="1">INDEX(工作表1!G:G, MATCH(表格1_6[[#This Row],[invoice number]]&amp;表格1_6[[#This Row],[invoice number2]],工作表1!G:G, 0))</f>
        <v>#N/A</v>
      </c>
      <c r="BB343" s="423" t="e">
        <f ca="1">VLOOKUP(表格1_6[[#This Row],[PO+ITEM]],工作表1!F:H,2,FALSE)</f>
        <v>#N/A</v>
      </c>
    </row>
    <row r="344" spans="1:54" ht="14.45">
      <c r="A344" s="413">
        <v>343</v>
      </c>
      <c r="B344" s="413" t="s">
        <v>3674</v>
      </c>
      <c r="C344" s="414" t="s">
        <v>16</v>
      </c>
      <c r="D344" s="414" t="s">
        <v>3648</v>
      </c>
      <c r="E344" s="414"/>
      <c r="F344" s="414"/>
      <c r="G344" s="414"/>
      <c r="H344" s="414"/>
      <c r="I344" s="414"/>
      <c r="J344" s="414"/>
      <c r="K344" s="414"/>
      <c r="L344" s="420" t="s">
        <v>4700</v>
      </c>
      <c r="M344" s="416" t="s">
        <v>2999</v>
      </c>
      <c r="N344" s="416" t="s">
        <v>2999</v>
      </c>
      <c r="O344" s="417"/>
      <c r="P344" s="416">
        <v>4590004415</v>
      </c>
      <c r="Q344" s="418">
        <v>44802</v>
      </c>
      <c r="R344" s="419">
        <v>21</v>
      </c>
      <c r="S344" s="458">
        <v>913.18</v>
      </c>
      <c r="T344" s="420" t="s">
        <v>2156</v>
      </c>
      <c r="U344" s="414" t="s">
        <v>3661</v>
      </c>
      <c r="V344" s="414" t="s">
        <v>3662</v>
      </c>
      <c r="W344" s="417" t="s">
        <v>3663</v>
      </c>
      <c r="X344" s="417"/>
      <c r="Y344" s="421" t="s">
        <v>3652</v>
      </c>
      <c r="Z344" s="421" t="s">
        <v>3652</v>
      </c>
      <c r="AA344" s="416" t="s">
        <v>4648</v>
      </c>
      <c r="AB344" s="414" t="s">
        <v>3664</v>
      </c>
      <c r="AC344" s="422"/>
      <c r="AD344" s="421"/>
      <c r="AE344" s="420"/>
      <c r="AF344" s="421">
        <v>90586</v>
      </c>
      <c r="AG344" s="420" t="s">
        <v>3445</v>
      </c>
      <c r="AH344" s="421" t="s">
        <v>3711</v>
      </c>
      <c r="AI344" s="420" t="s">
        <v>3666</v>
      </c>
      <c r="AJ344" s="413" t="str">
        <f t="shared" si="21"/>
        <v>4590004415_021</v>
      </c>
      <c r="AK344" s="423"/>
      <c r="AL344" s="424">
        <v>45108</v>
      </c>
      <c r="AM344" s="221">
        <v>365.27199999999999</v>
      </c>
      <c r="AN344" s="424">
        <v>45260</v>
      </c>
      <c r="AO344" s="423" t="s">
        <v>4701</v>
      </c>
      <c r="AP344" s="424">
        <v>45506</v>
      </c>
      <c r="AQ344" s="222">
        <v>547.91</v>
      </c>
      <c r="AR344" s="424">
        <v>45548</v>
      </c>
      <c r="AS344" s="614">
        <f ca="1">表格1_6[[#This Row],[total amount]]/表格1_6[[#This Row],[PO$]]</f>
        <v>1.0000021901487113</v>
      </c>
      <c r="AT344" s="223">
        <f ca="1">表格1_6[[#This Row],[invoice amount]]+表格1_6[[#This Row],[invoice amount2]]</f>
        <v>913.18200000000002</v>
      </c>
      <c r="AU344" s="224" t="s">
        <v>3725</v>
      </c>
      <c r="AV344" s="423"/>
      <c r="AW344" s="423" t="e">
        <f ca="1">VLOOKUP(表格1_6[[#This Row],[TI tool ID2]],工作表1!A:A,1,FALSE)</f>
        <v>#N/A</v>
      </c>
      <c r="AX344" s="425" t="e">
        <f ca="1">VLOOKUP(表格1_6[[#This Row],[PO+ITEM]],工作表1!B:E,2,FALSE)</f>
        <v>#N/A</v>
      </c>
      <c r="AY344" s="425" t="e">
        <f ca="1">VLOOKUP(表格1_6[[#This Row],[PO+ITEM]],工作表1!B:E,3,FALSE)</f>
        <v>#N/A</v>
      </c>
      <c r="AZ344" s="423" t="e">
        <f ca="1">VLOOKUP(表格1_6[[#This Row],[PO+ITEM]],工作表1!B:E,4,FALSE)</f>
        <v>#N/A</v>
      </c>
      <c r="BA344" s="425" t="e">
        <f ca="1">INDEX(工作表1!G:G, MATCH(表格1_6[[#This Row],[invoice number]]&amp;表格1_6[[#This Row],[invoice number2]],工作表1!G:G, 0))</f>
        <v>#N/A</v>
      </c>
      <c r="BB344" s="423" t="e">
        <f ca="1">VLOOKUP(表格1_6[[#This Row],[PO+ITEM]],工作表1!F:H,2,FALSE)</f>
        <v>#N/A</v>
      </c>
    </row>
    <row r="345" spans="1:54" ht="14.45">
      <c r="A345" s="413">
        <v>344</v>
      </c>
      <c r="B345" s="413" t="s">
        <v>3674</v>
      </c>
      <c r="C345" s="414" t="s">
        <v>16</v>
      </c>
      <c r="D345" s="414" t="s">
        <v>3648</v>
      </c>
      <c r="E345" s="414"/>
      <c r="F345" s="414"/>
      <c r="G345" s="414"/>
      <c r="H345" s="414"/>
      <c r="I345" s="414"/>
      <c r="J345" s="414"/>
      <c r="K345" s="414"/>
      <c r="L345" s="420" t="s">
        <v>4702</v>
      </c>
      <c r="M345" s="416" t="s">
        <v>2999</v>
      </c>
      <c r="N345" s="416" t="s">
        <v>2999</v>
      </c>
      <c r="O345" s="417"/>
      <c r="P345" s="416">
        <v>4590004415</v>
      </c>
      <c r="Q345" s="418">
        <v>44802</v>
      </c>
      <c r="R345" s="419">
        <v>22</v>
      </c>
      <c r="S345" s="458">
        <v>95912.23</v>
      </c>
      <c r="T345" s="420" t="s">
        <v>2156</v>
      </c>
      <c r="U345" s="414" t="s">
        <v>3661</v>
      </c>
      <c r="V345" s="414" t="s">
        <v>3662</v>
      </c>
      <c r="W345" s="417" t="s">
        <v>3663</v>
      </c>
      <c r="X345" s="417"/>
      <c r="Y345" s="421" t="s">
        <v>3652</v>
      </c>
      <c r="Z345" s="421" t="s">
        <v>3652</v>
      </c>
      <c r="AA345" s="416" t="s">
        <v>4648</v>
      </c>
      <c r="AB345" s="414" t="s">
        <v>3664</v>
      </c>
      <c r="AC345" s="422"/>
      <c r="AD345" s="421"/>
      <c r="AE345" s="420"/>
      <c r="AF345" s="421">
        <v>90576</v>
      </c>
      <c r="AG345" s="420" t="s">
        <v>3268</v>
      </c>
      <c r="AH345" s="421" t="s">
        <v>3711</v>
      </c>
      <c r="AI345" s="420" t="s">
        <v>3666</v>
      </c>
      <c r="AJ345" s="413" t="str">
        <f t="shared" si="21"/>
        <v>4590004415_022</v>
      </c>
      <c r="AK345" s="423"/>
      <c r="AL345" s="424">
        <v>45047</v>
      </c>
      <c r="AM345" s="221">
        <v>38364.892</v>
      </c>
      <c r="AN345" s="424">
        <v>45135</v>
      </c>
      <c r="AO345" s="423" t="s">
        <v>4703</v>
      </c>
      <c r="AP345" s="424">
        <v>45408</v>
      </c>
      <c r="AQ345" s="222">
        <v>57547.337999999996</v>
      </c>
      <c r="AR345" s="424">
        <v>45548</v>
      </c>
      <c r="AS345" s="614">
        <f ca="1">表格1_6[[#This Row],[total amount]]/表格1_6[[#This Row],[PO$]]</f>
        <v>1</v>
      </c>
      <c r="AT345" s="223">
        <f ca="1">表格1_6[[#This Row],[invoice amount]]+表格1_6[[#This Row],[invoice amount2]]</f>
        <v>95912.23</v>
      </c>
      <c r="AU345" s="224" t="s">
        <v>3725</v>
      </c>
      <c r="AV345" s="423"/>
      <c r="AW345" s="423" t="e">
        <f ca="1">VLOOKUP(表格1_6[[#This Row],[TI tool ID2]],工作表1!A:A,1,FALSE)</f>
        <v>#N/A</v>
      </c>
      <c r="AX345" s="425" t="e">
        <f ca="1">VLOOKUP(表格1_6[[#This Row],[PO+ITEM]],工作表1!B:E,2,FALSE)</f>
        <v>#N/A</v>
      </c>
      <c r="AY345" s="425" t="e">
        <f ca="1">VLOOKUP(表格1_6[[#This Row],[PO+ITEM]],工作表1!B:E,3,FALSE)</f>
        <v>#N/A</v>
      </c>
      <c r="AZ345" s="423" t="e">
        <f ca="1">VLOOKUP(表格1_6[[#This Row],[PO+ITEM]],工作表1!B:E,4,FALSE)</f>
        <v>#N/A</v>
      </c>
      <c r="BA345" s="425" t="e">
        <f ca="1">INDEX(工作表1!G:G, MATCH(表格1_6[[#This Row],[invoice number]]&amp;表格1_6[[#This Row],[invoice number2]],工作表1!G:G, 0))</f>
        <v>#N/A</v>
      </c>
      <c r="BB345" s="423" t="e">
        <f ca="1">VLOOKUP(表格1_6[[#This Row],[PO+ITEM]],工作表1!F:H,2,FALSE)</f>
        <v>#N/A</v>
      </c>
    </row>
    <row r="346" spans="1:54" ht="14.45">
      <c r="A346" s="413">
        <v>345</v>
      </c>
      <c r="B346" s="413" t="s">
        <v>3674</v>
      </c>
      <c r="C346" s="414" t="s">
        <v>16</v>
      </c>
      <c r="D346" s="414" t="s">
        <v>3648</v>
      </c>
      <c r="E346" s="414"/>
      <c r="F346" s="414"/>
      <c r="G346" s="414"/>
      <c r="H346" s="414"/>
      <c r="I346" s="414"/>
      <c r="J346" s="414"/>
      <c r="K346" s="414"/>
      <c r="L346" s="420" t="s">
        <v>4704</v>
      </c>
      <c r="M346" s="416" t="s">
        <v>2999</v>
      </c>
      <c r="N346" s="416" t="s">
        <v>2999</v>
      </c>
      <c r="O346" s="417"/>
      <c r="P346" s="416">
        <v>4590004415</v>
      </c>
      <c r="Q346" s="418">
        <v>44802</v>
      </c>
      <c r="R346" s="419">
        <v>23</v>
      </c>
      <c r="S346" s="458">
        <v>61402.51</v>
      </c>
      <c r="T346" s="420" t="s">
        <v>2156</v>
      </c>
      <c r="U346" s="414" t="s">
        <v>3661</v>
      </c>
      <c r="V346" s="414" t="s">
        <v>3662</v>
      </c>
      <c r="W346" s="417" t="s">
        <v>3663</v>
      </c>
      <c r="X346" s="417"/>
      <c r="Y346" s="421" t="s">
        <v>3652</v>
      </c>
      <c r="Z346" s="421" t="s">
        <v>3652</v>
      </c>
      <c r="AA346" s="416"/>
      <c r="AB346" s="414" t="s">
        <v>3664</v>
      </c>
      <c r="AC346" s="422"/>
      <c r="AD346" s="421"/>
      <c r="AE346" s="420"/>
      <c r="AF346" s="421">
        <v>90578</v>
      </c>
      <c r="AG346" s="420" t="s">
        <v>3286</v>
      </c>
      <c r="AH346" s="421" t="s">
        <v>3711</v>
      </c>
      <c r="AI346" s="420" t="s">
        <v>3666</v>
      </c>
      <c r="AJ346" s="413" t="str">
        <f t="shared" si="21"/>
        <v>4590004415_023</v>
      </c>
      <c r="AK346" s="423" t="s">
        <v>4705</v>
      </c>
      <c r="AL346" s="424">
        <v>45408</v>
      </c>
      <c r="AM346" s="222">
        <v>61402.51</v>
      </c>
      <c r="AN346" s="424">
        <v>45548</v>
      </c>
      <c r="AO346" s="423"/>
      <c r="AP346" s="413"/>
      <c r="AR346" s="424"/>
      <c r="AS346" s="614">
        <f ca="1">表格1_6[[#This Row],[total amount]]/表格1_6[[#This Row],[PO$]]</f>
        <v>1</v>
      </c>
      <c r="AT346" s="223">
        <f ca="1">表格1_6[[#This Row],[invoice amount]]+表格1_6[[#This Row],[invoice amount2]]</f>
        <v>61402.51</v>
      </c>
      <c r="AU346" s="224" t="s">
        <v>3725</v>
      </c>
      <c r="AV346" s="423"/>
      <c r="AW346" s="423" t="e">
        <f ca="1">VLOOKUP(表格1_6[[#This Row],[TI tool ID2]],工作表1!A:A,1,FALSE)</f>
        <v>#N/A</v>
      </c>
      <c r="AX346" s="425" t="e">
        <f ca="1">VLOOKUP(表格1_6[[#This Row],[PO+ITEM]],工作表1!B:E,2,FALSE)</f>
        <v>#N/A</v>
      </c>
      <c r="AY346" s="425" t="e">
        <f ca="1">VLOOKUP(表格1_6[[#This Row],[PO+ITEM]],工作表1!B:E,3,FALSE)</f>
        <v>#N/A</v>
      </c>
      <c r="AZ346" s="423" t="e">
        <f ca="1">VLOOKUP(表格1_6[[#This Row],[PO+ITEM]],工作表1!B:E,4,FALSE)</f>
        <v>#N/A</v>
      </c>
      <c r="BA346" s="425" t="e">
        <f ca="1">INDEX(工作表1!G:G, MATCH(表格1_6[[#This Row],[invoice number]]&amp;表格1_6[[#This Row],[invoice number2]],工作表1!G:G, 0))</f>
        <v>#N/A</v>
      </c>
      <c r="BB346" s="423" t="e">
        <f ca="1">VLOOKUP(表格1_6[[#This Row],[PO+ITEM]],工作表1!F:H,2,FALSE)</f>
        <v>#N/A</v>
      </c>
    </row>
    <row r="347" spans="1:54" ht="14.45">
      <c r="A347" s="413">
        <v>346</v>
      </c>
      <c r="B347" s="413" t="s">
        <v>3674</v>
      </c>
      <c r="C347" s="414" t="s">
        <v>16</v>
      </c>
      <c r="D347" s="414" t="s">
        <v>3648</v>
      </c>
      <c r="E347" s="414"/>
      <c r="F347" s="414"/>
      <c r="G347" s="414"/>
      <c r="H347" s="414"/>
      <c r="I347" s="414"/>
      <c r="J347" s="414"/>
      <c r="K347" s="414"/>
      <c r="L347" s="415" t="s">
        <v>4706</v>
      </c>
      <c r="M347" s="416" t="s">
        <v>2999</v>
      </c>
      <c r="N347" s="416" t="s">
        <v>2999</v>
      </c>
      <c r="O347" s="417"/>
      <c r="P347" s="416">
        <v>4590004415</v>
      </c>
      <c r="Q347" s="418">
        <v>44802</v>
      </c>
      <c r="R347" s="419">
        <v>24</v>
      </c>
      <c r="S347" s="458">
        <v>1369.77</v>
      </c>
      <c r="T347" s="420" t="s">
        <v>2156</v>
      </c>
      <c r="U347" s="414" t="s">
        <v>3661</v>
      </c>
      <c r="V347" s="414" t="s">
        <v>3662</v>
      </c>
      <c r="W347" s="417" t="s">
        <v>3663</v>
      </c>
      <c r="X347" s="417"/>
      <c r="Y347" s="421" t="s">
        <v>3652</v>
      </c>
      <c r="Z347" s="421" t="s">
        <v>3652</v>
      </c>
      <c r="AA347" s="416" t="s">
        <v>4648</v>
      </c>
      <c r="AB347" s="414" t="s">
        <v>3664</v>
      </c>
      <c r="AC347" s="422"/>
      <c r="AD347" s="421"/>
      <c r="AE347" s="420"/>
      <c r="AF347" s="421">
        <v>90577</v>
      </c>
      <c r="AG347" s="420" t="s">
        <v>3182</v>
      </c>
      <c r="AH347" s="421" t="s">
        <v>3711</v>
      </c>
      <c r="AI347" s="420" t="s">
        <v>3666</v>
      </c>
      <c r="AJ347" s="413" t="str">
        <f t="shared" si="21"/>
        <v>4590004415_024</v>
      </c>
      <c r="AK347" s="423"/>
      <c r="AL347" s="424">
        <v>45108</v>
      </c>
      <c r="AM347" s="221">
        <v>547.90800000000002</v>
      </c>
      <c r="AN347" s="424">
        <v>45260</v>
      </c>
      <c r="AO347" s="423" t="s">
        <v>4707</v>
      </c>
      <c r="AP347" s="424">
        <v>45506</v>
      </c>
      <c r="AQ347" s="222">
        <v>821.86</v>
      </c>
      <c r="AR347" s="424">
        <v>45548</v>
      </c>
      <c r="AS347" s="614">
        <f ca="1">表格1_6[[#This Row],[total amount]]/表格1_6[[#This Row],[PO$]]</f>
        <v>0.9999985399008593</v>
      </c>
      <c r="AT347" s="223">
        <f ca="1">表格1_6[[#This Row],[invoice amount]]+表格1_6[[#This Row],[invoice amount2]]</f>
        <v>1369.768</v>
      </c>
      <c r="AU347" s="224" t="s">
        <v>3725</v>
      </c>
      <c r="AV347" s="423"/>
      <c r="AW347" s="423" t="e">
        <f ca="1">VLOOKUP(表格1_6[[#This Row],[TI tool ID2]],工作表1!A:A,1,FALSE)</f>
        <v>#N/A</v>
      </c>
      <c r="AX347" s="425" t="e">
        <f ca="1">VLOOKUP(表格1_6[[#This Row],[PO+ITEM]],工作表1!B:E,2,FALSE)</f>
        <v>#N/A</v>
      </c>
      <c r="AY347" s="425" t="e">
        <f ca="1">VLOOKUP(表格1_6[[#This Row],[PO+ITEM]],工作表1!B:E,3,FALSE)</f>
        <v>#N/A</v>
      </c>
      <c r="AZ347" s="423" t="e">
        <f ca="1">VLOOKUP(表格1_6[[#This Row],[PO+ITEM]],工作表1!B:E,4,FALSE)</f>
        <v>#N/A</v>
      </c>
      <c r="BA347" s="425" t="e">
        <f ca="1">INDEX(工作表1!G:G, MATCH(表格1_6[[#This Row],[invoice number]]&amp;表格1_6[[#This Row],[invoice number2]],工作表1!G:G, 0))</f>
        <v>#N/A</v>
      </c>
      <c r="BB347" s="423" t="e">
        <f ca="1">VLOOKUP(表格1_6[[#This Row],[PO+ITEM]],工作表1!F:H,2,FALSE)</f>
        <v>#N/A</v>
      </c>
    </row>
    <row r="348" spans="1:54" ht="14.45">
      <c r="A348" s="413">
        <v>347</v>
      </c>
      <c r="B348" s="413" t="s">
        <v>3674</v>
      </c>
      <c r="C348" s="414" t="s">
        <v>16</v>
      </c>
      <c r="D348" s="414" t="s">
        <v>3648</v>
      </c>
      <c r="E348" s="414"/>
      <c r="F348" s="414"/>
      <c r="G348" s="414"/>
      <c r="H348" s="414"/>
      <c r="I348" s="414"/>
      <c r="J348" s="414"/>
      <c r="K348" s="414"/>
      <c r="L348" s="420" t="s">
        <v>4708</v>
      </c>
      <c r="M348" s="416" t="s">
        <v>2206</v>
      </c>
      <c r="N348" s="416" t="s">
        <v>2999</v>
      </c>
      <c r="O348" s="417"/>
      <c r="P348" s="416">
        <v>4590004415</v>
      </c>
      <c r="Q348" s="418">
        <v>44802</v>
      </c>
      <c r="R348" s="419">
        <v>25</v>
      </c>
      <c r="S348" s="458">
        <v>28348.33</v>
      </c>
      <c r="T348" s="420" t="s">
        <v>2156</v>
      </c>
      <c r="U348" s="414" t="s">
        <v>3661</v>
      </c>
      <c r="V348" s="414" t="s">
        <v>3662</v>
      </c>
      <c r="W348" s="417" t="s">
        <v>3663</v>
      </c>
      <c r="X348" s="417"/>
      <c r="Y348" s="421" t="s">
        <v>3652</v>
      </c>
      <c r="Z348" s="421" t="s">
        <v>3652</v>
      </c>
      <c r="AA348" s="416"/>
      <c r="AB348" s="414" t="s">
        <v>3664</v>
      </c>
      <c r="AC348" s="422"/>
      <c r="AD348" s="421"/>
      <c r="AE348" s="420"/>
      <c r="AF348" s="421">
        <v>90393</v>
      </c>
      <c r="AG348" s="420" t="s">
        <v>2568</v>
      </c>
      <c r="AH348" s="421" t="s">
        <v>3711</v>
      </c>
      <c r="AI348" s="420" t="s">
        <v>846</v>
      </c>
      <c r="AJ348" s="413" t="str">
        <f t="shared" si="21"/>
        <v>4590004415_025</v>
      </c>
      <c r="AK348" s="423"/>
      <c r="AL348" s="413"/>
      <c r="AM348" s="221"/>
      <c r="AN348" s="424"/>
      <c r="AO348" s="423"/>
      <c r="AP348" s="413"/>
      <c r="AQ348" s="222"/>
      <c r="AR348" s="424"/>
      <c r="AS348" s="614">
        <f ca="1">表格1_6[[#This Row],[total amount]]/表格1_6[[#This Row],[PO$]]</f>
        <v>0</v>
      </c>
      <c r="AT348" s="223">
        <f ca="1">表格1_6[[#This Row],[invoice amount]]+表格1_6[[#This Row],[invoice amount2]]</f>
        <v>0</v>
      </c>
      <c r="AU348" s="224"/>
      <c r="AV348" s="423"/>
      <c r="AW348" s="423" t="e">
        <f ca="1">VLOOKUP(表格1_6[[#This Row],[TI tool ID2]],工作表1!A:A,1,FALSE)</f>
        <v>#N/A</v>
      </c>
      <c r="AX348" s="425" t="e">
        <f ca="1">VLOOKUP(表格1_6[[#This Row],[PO+ITEM]],工作表1!B:E,2,FALSE)</f>
        <v>#N/A</v>
      </c>
      <c r="AY348" s="425" t="e">
        <f ca="1">VLOOKUP(表格1_6[[#This Row],[PO+ITEM]],工作表1!B:E,3,FALSE)</f>
        <v>#N/A</v>
      </c>
      <c r="AZ348" s="423" t="e">
        <f ca="1">VLOOKUP(表格1_6[[#This Row],[PO+ITEM]],工作表1!B:E,4,FALSE)</f>
        <v>#N/A</v>
      </c>
      <c r="BA348" s="425" t="e">
        <f ca="1">INDEX(工作表1!G:G, MATCH(表格1_6[[#This Row],[invoice number]]&amp;表格1_6[[#This Row],[invoice number2]],工作表1!G:G, 0))</f>
        <v>#N/A</v>
      </c>
      <c r="BB348" s="423" t="e">
        <f ca="1">VLOOKUP(表格1_6[[#This Row],[PO+ITEM]],工作表1!F:H,2,FALSE)</f>
        <v>#N/A</v>
      </c>
    </row>
    <row r="349" spans="1:54" ht="14.45">
      <c r="A349" s="413">
        <v>348</v>
      </c>
      <c r="B349" s="413" t="s">
        <v>3674</v>
      </c>
      <c r="C349" s="414" t="s">
        <v>16</v>
      </c>
      <c r="D349" s="414" t="s">
        <v>3648</v>
      </c>
      <c r="E349" s="414"/>
      <c r="F349" s="414"/>
      <c r="G349" s="414"/>
      <c r="H349" s="414"/>
      <c r="I349" s="414"/>
      <c r="J349" s="414"/>
      <c r="K349" s="414"/>
      <c r="L349" s="415" t="s">
        <v>4709</v>
      </c>
      <c r="M349" s="416" t="s">
        <v>2206</v>
      </c>
      <c r="N349" s="416" t="s">
        <v>2999</v>
      </c>
      <c r="O349" s="417"/>
      <c r="P349" s="416">
        <v>4590004415</v>
      </c>
      <c r="Q349" s="418">
        <v>44802</v>
      </c>
      <c r="R349" s="419">
        <v>26</v>
      </c>
      <c r="S349" s="458">
        <v>28348.33</v>
      </c>
      <c r="T349" s="420" t="s">
        <v>2156</v>
      </c>
      <c r="U349" s="414" t="s">
        <v>3661</v>
      </c>
      <c r="V349" s="414" t="s">
        <v>3662</v>
      </c>
      <c r="W349" s="417" t="s">
        <v>3663</v>
      </c>
      <c r="X349" s="417"/>
      <c r="Y349" s="421" t="s">
        <v>3652</v>
      </c>
      <c r="Z349" s="421" t="s">
        <v>3652</v>
      </c>
      <c r="AA349" s="416"/>
      <c r="AB349" s="414" t="s">
        <v>3664</v>
      </c>
      <c r="AC349" s="422"/>
      <c r="AD349" s="421"/>
      <c r="AE349" s="420"/>
      <c r="AF349" s="421">
        <v>90609</v>
      </c>
      <c r="AG349" s="420" t="s">
        <v>2583</v>
      </c>
      <c r="AH349" s="421" t="s">
        <v>3711</v>
      </c>
      <c r="AI349" s="420" t="s">
        <v>846</v>
      </c>
      <c r="AJ349" s="413" t="str">
        <f t="shared" si="21"/>
        <v>4590004415_026</v>
      </c>
      <c r="AK349" s="423"/>
      <c r="AL349" s="413"/>
      <c r="AM349" s="221"/>
      <c r="AN349" s="424"/>
      <c r="AO349" s="423"/>
      <c r="AP349" s="413"/>
      <c r="AQ349" s="222"/>
      <c r="AR349" s="424"/>
      <c r="AS349" s="614">
        <f ca="1">表格1_6[[#This Row],[total amount]]/表格1_6[[#This Row],[PO$]]</f>
        <v>0</v>
      </c>
      <c r="AT349" s="223">
        <f ca="1">表格1_6[[#This Row],[invoice amount]]+表格1_6[[#This Row],[invoice amount2]]</f>
        <v>0</v>
      </c>
      <c r="AU349" s="224"/>
      <c r="AV349" s="423"/>
      <c r="AW349" s="423" t="e">
        <f ca="1">VLOOKUP(表格1_6[[#This Row],[TI tool ID2]],工作表1!A:A,1,FALSE)</f>
        <v>#N/A</v>
      </c>
      <c r="AX349" s="425" t="e">
        <f ca="1">VLOOKUP(表格1_6[[#This Row],[PO+ITEM]],工作表1!B:E,2,FALSE)</f>
        <v>#N/A</v>
      </c>
      <c r="AY349" s="425" t="e">
        <f ca="1">VLOOKUP(表格1_6[[#This Row],[PO+ITEM]],工作表1!B:E,3,FALSE)</f>
        <v>#N/A</v>
      </c>
      <c r="AZ349" s="423" t="e">
        <f ca="1">VLOOKUP(表格1_6[[#This Row],[PO+ITEM]],工作表1!B:E,4,FALSE)</f>
        <v>#N/A</v>
      </c>
      <c r="BA349" s="425" t="e">
        <f ca="1">INDEX(工作表1!G:G, MATCH(表格1_6[[#This Row],[invoice number]]&amp;表格1_6[[#This Row],[invoice number2]],工作表1!G:G, 0))</f>
        <v>#N/A</v>
      </c>
      <c r="BB349" s="423" t="e">
        <f ca="1">VLOOKUP(表格1_6[[#This Row],[PO+ITEM]],工作表1!F:H,2,FALSE)</f>
        <v>#N/A</v>
      </c>
    </row>
    <row r="350" spans="1:54" ht="14.45">
      <c r="A350" s="413">
        <v>349</v>
      </c>
      <c r="B350" s="413" t="s">
        <v>3674</v>
      </c>
      <c r="C350" s="414" t="s">
        <v>16</v>
      </c>
      <c r="D350" s="414" t="s">
        <v>3648</v>
      </c>
      <c r="E350" s="414"/>
      <c r="F350" s="414"/>
      <c r="G350" s="414"/>
      <c r="H350" s="414"/>
      <c r="I350" s="414"/>
      <c r="J350" s="414"/>
      <c r="K350" s="414"/>
      <c r="L350" s="415" t="s">
        <v>4710</v>
      </c>
      <c r="M350" s="416" t="s">
        <v>2206</v>
      </c>
      <c r="N350" s="416" t="s">
        <v>2999</v>
      </c>
      <c r="O350" s="417"/>
      <c r="P350" s="416">
        <v>4590004415</v>
      </c>
      <c r="Q350" s="418">
        <v>44802</v>
      </c>
      <c r="R350" s="419">
        <v>27</v>
      </c>
      <c r="S350" s="458">
        <v>28348.33</v>
      </c>
      <c r="T350" s="420" t="s">
        <v>2156</v>
      </c>
      <c r="U350" s="414" t="s">
        <v>3661</v>
      </c>
      <c r="V350" s="414" t="s">
        <v>3662</v>
      </c>
      <c r="W350" s="417" t="s">
        <v>3663</v>
      </c>
      <c r="X350" s="417"/>
      <c r="Y350" s="421" t="s">
        <v>3652</v>
      </c>
      <c r="Z350" s="421" t="s">
        <v>3652</v>
      </c>
      <c r="AA350" s="416"/>
      <c r="AB350" s="414" t="s">
        <v>3664</v>
      </c>
      <c r="AC350" s="422"/>
      <c r="AD350" s="421"/>
      <c r="AE350" s="420"/>
      <c r="AF350" s="421">
        <v>90610</v>
      </c>
      <c r="AG350" s="420" t="s">
        <v>2600</v>
      </c>
      <c r="AH350" s="421" t="s">
        <v>3711</v>
      </c>
      <c r="AI350" s="420" t="s">
        <v>846</v>
      </c>
      <c r="AJ350" s="413" t="str">
        <f t="shared" si="21"/>
        <v>4590004415_027</v>
      </c>
      <c r="AK350" s="423"/>
      <c r="AL350" s="413"/>
      <c r="AM350" s="221"/>
      <c r="AN350" s="424"/>
      <c r="AO350" s="423"/>
      <c r="AP350" s="413"/>
      <c r="AQ350" s="222"/>
      <c r="AR350" s="424"/>
      <c r="AS350" s="614">
        <f ca="1">表格1_6[[#This Row],[total amount]]/表格1_6[[#This Row],[PO$]]</f>
        <v>0</v>
      </c>
      <c r="AT350" s="223">
        <f ca="1">表格1_6[[#This Row],[invoice amount]]+表格1_6[[#This Row],[invoice amount2]]</f>
        <v>0</v>
      </c>
      <c r="AU350" s="224"/>
      <c r="AV350" s="423"/>
      <c r="AW350" s="423" t="e">
        <f ca="1">VLOOKUP(表格1_6[[#This Row],[TI tool ID2]],工作表1!A:A,1,FALSE)</f>
        <v>#N/A</v>
      </c>
      <c r="AX350" s="425" t="e">
        <f ca="1">VLOOKUP(表格1_6[[#This Row],[PO+ITEM]],工作表1!B:E,2,FALSE)</f>
        <v>#N/A</v>
      </c>
      <c r="AY350" s="425" t="e">
        <f ca="1">VLOOKUP(表格1_6[[#This Row],[PO+ITEM]],工作表1!B:E,3,FALSE)</f>
        <v>#N/A</v>
      </c>
      <c r="AZ350" s="423" t="e">
        <f ca="1">VLOOKUP(表格1_6[[#This Row],[PO+ITEM]],工作表1!B:E,4,FALSE)</f>
        <v>#N/A</v>
      </c>
      <c r="BA350" s="425" t="e">
        <f ca="1">INDEX(工作表1!G:G, MATCH(表格1_6[[#This Row],[invoice number]]&amp;表格1_6[[#This Row],[invoice number2]],工作表1!G:G, 0))</f>
        <v>#N/A</v>
      </c>
      <c r="BB350" s="423" t="e">
        <f ca="1">VLOOKUP(表格1_6[[#This Row],[PO+ITEM]],工作表1!F:H,2,FALSE)</f>
        <v>#N/A</v>
      </c>
    </row>
    <row r="351" spans="1:54" ht="14.45">
      <c r="A351" s="413">
        <v>350</v>
      </c>
      <c r="B351" s="413" t="s">
        <v>3674</v>
      </c>
      <c r="C351" s="414" t="s">
        <v>16</v>
      </c>
      <c r="D351" s="414" t="s">
        <v>3648</v>
      </c>
      <c r="E351" s="414"/>
      <c r="F351" s="414"/>
      <c r="G351" s="414"/>
      <c r="H351" s="414"/>
      <c r="I351" s="414"/>
      <c r="J351" s="414"/>
      <c r="K351" s="414"/>
      <c r="L351" s="420" t="s">
        <v>4711</v>
      </c>
      <c r="M351" s="416" t="s">
        <v>2206</v>
      </c>
      <c r="N351" s="416" t="s">
        <v>2999</v>
      </c>
      <c r="O351" s="417"/>
      <c r="P351" s="416">
        <v>4590004415</v>
      </c>
      <c r="Q351" s="418">
        <v>44802</v>
      </c>
      <c r="R351" s="419">
        <v>28</v>
      </c>
      <c r="S351" s="458">
        <v>28348.33</v>
      </c>
      <c r="T351" s="420" t="s">
        <v>2156</v>
      </c>
      <c r="U351" s="414" t="s">
        <v>3661</v>
      </c>
      <c r="V351" s="414" t="s">
        <v>3662</v>
      </c>
      <c r="W351" s="417" t="s">
        <v>3663</v>
      </c>
      <c r="X351" s="417"/>
      <c r="Y351" s="421" t="s">
        <v>3652</v>
      </c>
      <c r="Z351" s="421" t="s">
        <v>3652</v>
      </c>
      <c r="AA351" s="416"/>
      <c r="AB351" s="414" t="s">
        <v>3664</v>
      </c>
      <c r="AC351" s="422"/>
      <c r="AD351" s="421"/>
      <c r="AE351" s="420"/>
      <c r="AF351" s="421">
        <v>90389</v>
      </c>
      <c r="AG351" s="420" t="s">
        <v>2723</v>
      </c>
      <c r="AH351" s="421" t="s">
        <v>3711</v>
      </c>
      <c r="AI351" s="420" t="s">
        <v>846</v>
      </c>
      <c r="AJ351" s="413" t="str">
        <f t="shared" si="21"/>
        <v>4590004415_028</v>
      </c>
      <c r="AK351" s="423"/>
      <c r="AL351" s="413"/>
      <c r="AM351" s="221"/>
      <c r="AN351" s="424"/>
      <c r="AO351" s="423"/>
      <c r="AP351" s="413"/>
      <c r="AQ351" s="222"/>
      <c r="AR351" s="424"/>
      <c r="AS351" s="614">
        <f ca="1">表格1_6[[#This Row],[total amount]]/表格1_6[[#This Row],[PO$]]</f>
        <v>0</v>
      </c>
      <c r="AT351" s="223">
        <f ca="1">表格1_6[[#This Row],[invoice amount]]+表格1_6[[#This Row],[invoice amount2]]</f>
        <v>0</v>
      </c>
      <c r="AU351" s="224"/>
      <c r="AV351" s="423"/>
      <c r="AW351" s="423" t="e">
        <f ca="1">VLOOKUP(表格1_6[[#This Row],[TI tool ID2]],工作表1!A:A,1,FALSE)</f>
        <v>#N/A</v>
      </c>
      <c r="AX351" s="425" t="e">
        <f ca="1">VLOOKUP(表格1_6[[#This Row],[PO+ITEM]],工作表1!B:E,2,FALSE)</f>
        <v>#N/A</v>
      </c>
      <c r="AY351" s="425" t="e">
        <f ca="1">VLOOKUP(表格1_6[[#This Row],[PO+ITEM]],工作表1!B:E,3,FALSE)</f>
        <v>#N/A</v>
      </c>
      <c r="AZ351" s="423" t="e">
        <f ca="1">VLOOKUP(表格1_6[[#This Row],[PO+ITEM]],工作表1!B:E,4,FALSE)</f>
        <v>#N/A</v>
      </c>
      <c r="BA351" s="425" t="e">
        <f ca="1">INDEX(工作表1!G:G, MATCH(表格1_6[[#This Row],[invoice number]]&amp;表格1_6[[#This Row],[invoice number2]],工作表1!G:G, 0))</f>
        <v>#N/A</v>
      </c>
      <c r="BB351" s="423" t="e">
        <f ca="1">VLOOKUP(表格1_6[[#This Row],[PO+ITEM]],工作表1!F:H,2,FALSE)</f>
        <v>#N/A</v>
      </c>
    </row>
    <row r="352" spans="1:54" ht="14.45">
      <c r="A352" s="413">
        <v>351</v>
      </c>
      <c r="B352" s="413" t="s">
        <v>3674</v>
      </c>
      <c r="C352" s="414" t="s">
        <v>16</v>
      </c>
      <c r="D352" s="414" t="s">
        <v>3648</v>
      </c>
      <c r="E352" s="414"/>
      <c r="F352" s="414"/>
      <c r="G352" s="414"/>
      <c r="H352" s="414"/>
      <c r="I352" s="414"/>
      <c r="J352" s="414"/>
      <c r="K352" s="414"/>
      <c r="L352" s="415" t="s">
        <v>4712</v>
      </c>
      <c r="M352" s="416" t="s">
        <v>2206</v>
      </c>
      <c r="N352" s="416" t="s">
        <v>2999</v>
      </c>
      <c r="O352" s="417"/>
      <c r="P352" s="416">
        <v>4590004415</v>
      </c>
      <c r="Q352" s="418">
        <v>44802</v>
      </c>
      <c r="R352" s="419">
        <v>29</v>
      </c>
      <c r="S352" s="458">
        <v>28348.33</v>
      </c>
      <c r="T352" s="420" t="s">
        <v>2156</v>
      </c>
      <c r="U352" s="414" t="s">
        <v>3661</v>
      </c>
      <c r="V352" s="414" t="s">
        <v>3662</v>
      </c>
      <c r="W352" s="417" t="s">
        <v>3663</v>
      </c>
      <c r="X352" s="417"/>
      <c r="Y352" s="421" t="s">
        <v>3652</v>
      </c>
      <c r="Z352" s="421" t="s">
        <v>3652</v>
      </c>
      <c r="AA352" s="416"/>
      <c r="AB352" s="414" t="s">
        <v>3664</v>
      </c>
      <c r="AC352" s="422"/>
      <c r="AD352" s="421"/>
      <c r="AE352" s="420"/>
      <c r="AF352" s="421">
        <v>90388</v>
      </c>
      <c r="AG352" s="420" t="s">
        <v>4713</v>
      </c>
      <c r="AH352" s="421" t="s">
        <v>3711</v>
      </c>
      <c r="AI352" s="420" t="s">
        <v>846</v>
      </c>
      <c r="AJ352" s="413" t="str">
        <f t="shared" si="21"/>
        <v>4590004415_029</v>
      </c>
      <c r="AK352" s="423"/>
      <c r="AL352" s="413"/>
      <c r="AM352" s="221"/>
      <c r="AN352" s="424"/>
      <c r="AO352" s="423"/>
      <c r="AP352" s="413"/>
      <c r="AQ352" s="222"/>
      <c r="AR352" s="424"/>
      <c r="AS352" s="614">
        <f ca="1">表格1_6[[#This Row],[total amount]]/表格1_6[[#This Row],[PO$]]</f>
        <v>0</v>
      </c>
      <c r="AT352" s="223">
        <f ca="1">表格1_6[[#This Row],[invoice amount]]+表格1_6[[#This Row],[invoice amount2]]</f>
        <v>0</v>
      </c>
      <c r="AU352" s="224"/>
      <c r="AV352" s="423"/>
      <c r="AW352" s="423" t="e">
        <f ca="1">VLOOKUP(表格1_6[[#This Row],[TI tool ID2]],工作表1!A:A,1,FALSE)</f>
        <v>#N/A</v>
      </c>
      <c r="AX352" s="425" t="e">
        <f ca="1">VLOOKUP(表格1_6[[#This Row],[PO+ITEM]],工作表1!B:E,2,FALSE)</f>
        <v>#N/A</v>
      </c>
      <c r="AY352" s="425" t="e">
        <f ca="1">VLOOKUP(表格1_6[[#This Row],[PO+ITEM]],工作表1!B:E,3,FALSE)</f>
        <v>#N/A</v>
      </c>
      <c r="AZ352" s="423" t="e">
        <f ca="1">VLOOKUP(表格1_6[[#This Row],[PO+ITEM]],工作表1!B:E,4,FALSE)</f>
        <v>#N/A</v>
      </c>
      <c r="BA352" s="425" t="e">
        <f ca="1">INDEX(工作表1!G:G, MATCH(表格1_6[[#This Row],[invoice number]]&amp;表格1_6[[#This Row],[invoice number2]],工作表1!G:G, 0))</f>
        <v>#N/A</v>
      </c>
      <c r="BB352" s="423" t="e">
        <f ca="1">VLOOKUP(表格1_6[[#This Row],[PO+ITEM]],工作表1!F:H,2,FALSE)</f>
        <v>#N/A</v>
      </c>
    </row>
    <row r="353" spans="1:54" ht="14.45">
      <c r="A353" s="413">
        <v>352</v>
      </c>
      <c r="B353" s="413" t="s">
        <v>3674</v>
      </c>
      <c r="C353" s="414" t="s">
        <v>16</v>
      </c>
      <c r="D353" s="414" t="s">
        <v>3648</v>
      </c>
      <c r="E353" s="414"/>
      <c r="F353" s="414"/>
      <c r="G353" s="414"/>
      <c r="H353" s="414"/>
      <c r="I353" s="414"/>
      <c r="J353" s="414"/>
      <c r="K353" s="414"/>
      <c r="L353" s="420" t="s">
        <v>4714</v>
      </c>
      <c r="M353" s="416" t="s">
        <v>2206</v>
      </c>
      <c r="N353" s="416" t="s">
        <v>2999</v>
      </c>
      <c r="O353" s="417"/>
      <c r="P353" s="416">
        <v>4590004415</v>
      </c>
      <c r="Q353" s="418">
        <v>44802</v>
      </c>
      <c r="R353" s="419">
        <v>30</v>
      </c>
      <c r="S353" s="458">
        <v>28348.33</v>
      </c>
      <c r="T353" s="420" t="s">
        <v>2156</v>
      </c>
      <c r="U353" s="414" t="s">
        <v>3661</v>
      </c>
      <c r="V353" s="414" t="s">
        <v>3662</v>
      </c>
      <c r="W353" s="417" t="s">
        <v>3663</v>
      </c>
      <c r="X353" s="417"/>
      <c r="Y353" s="421" t="s">
        <v>3652</v>
      </c>
      <c r="Z353" s="421" t="s">
        <v>3652</v>
      </c>
      <c r="AA353" s="416"/>
      <c r="AB353" s="414" t="s">
        <v>3664</v>
      </c>
      <c r="AC353" s="422"/>
      <c r="AD353" s="421"/>
      <c r="AE353" s="420"/>
      <c r="AF353" s="421">
        <v>90438</v>
      </c>
      <c r="AG353" s="420" t="s">
        <v>2578</v>
      </c>
      <c r="AH353" s="421" t="s">
        <v>3711</v>
      </c>
      <c r="AI353" s="420" t="s">
        <v>846</v>
      </c>
      <c r="AJ353" s="413" t="str">
        <f t="shared" si="21"/>
        <v>4590004415_030</v>
      </c>
      <c r="AK353" s="423"/>
      <c r="AL353" s="413"/>
      <c r="AM353" s="221"/>
      <c r="AN353" s="424"/>
      <c r="AO353" s="423"/>
      <c r="AP353" s="413"/>
      <c r="AQ353" s="222"/>
      <c r="AR353" s="424"/>
      <c r="AS353" s="614">
        <f ca="1">表格1_6[[#This Row],[total amount]]/表格1_6[[#This Row],[PO$]]</f>
        <v>0</v>
      </c>
      <c r="AT353" s="223">
        <f ca="1">表格1_6[[#This Row],[invoice amount]]+表格1_6[[#This Row],[invoice amount2]]</f>
        <v>0</v>
      </c>
      <c r="AU353" s="224"/>
      <c r="AV353" s="423"/>
      <c r="AW353" s="423" t="e">
        <f ca="1">VLOOKUP(表格1_6[[#This Row],[TI tool ID2]],工作表1!A:A,1,FALSE)</f>
        <v>#N/A</v>
      </c>
      <c r="AX353" s="425" t="e">
        <f ca="1">VLOOKUP(表格1_6[[#This Row],[PO+ITEM]],工作表1!B:E,2,FALSE)</f>
        <v>#N/A</v>
      </c>
      <c r="AY353" s="425" t="e">
        <f ca="1">VLOOKUP(表格1_6[[#This Row],[PO+ITEM]],工作表1!B:E,3,FALSE)</f>
        <v>#N/A</v>
      </c>
      <c r="AZ353" s="423" t="e">
        <f ca="1">VLOOKUP(表格1_6[[#This Row],[PO+ITEM]],工作表1!B:E,4,FALSE)</f>
        <v>#N/A</v>
      </c>
      <c r="BA353" s="425" t="e">
        <f ca="1">INDEX(工作表1!G:G, MATCH(表格1_6[[#This Row],[invoice number]]&amp;表格1_6[[#This Row],[invoice number2]],工作表1!G:G, 0))</f>
        <v>#N/A</v>
      </c>
      <c r="BB353" s="423" t="e">
        <f ca="1">VLOOKUP(表格1_6[[#This Row],[PO+ITEM]],工作表1!F:H,2,FALSE)</f>
        <v>#N/A</v>
      </c>
    </row>
    <row r="354" spans="1:54">
      <c r="A354" s="413">
        <v>353</v>
      </c>
      <c r="B354" s="413" t="s">
        <v>3674</v>
      </c>
      <c r="C354" s="414" t="s">
        <v>16</v>
      </c>
      <c r="D354" s="414" t="s">
        <v>3648</v>
      </c>
      <c r="E354" s="414"/>
      <c r="F354" s="414"/>
      <c r="G354" s="414"/>
      <c r="H354" s="414"/>
      <c r="I354" s="414"/>
      <c r="J354" s="414"/>
      <c r="K354" s="414"/>
      <c r="L354" s="420" t="s">
        <v>4715</v>
      </c>
      <c r="M354" s="416" t="s">
        <v>2206</v>
      </c>
      <c r="N354" s="416" t="s">
        <v>2999</v>
      </c>
      <c r="O354" s="417"/>
      <c r="P354" s="416">
        <v>4590004415</v>
      </c>
      <c r="Q354" s="418">
        <v>44802</v>
      </c>
      <c r="R354" s="419">
        <v>31</v>
      </c>
      <c r="S354" s="458">
        <v>913.18</v>
      </c>
      <c r="T354" s="420" t="s">
        <v>2156</v>
      </c>
      <c r="U354" s="414" t="s">
        <v>3661</v>
      </c>
      <c r="V354" s="414" t="s">
        <v>3662</v>
      </c>
      <c r="W354" s="417" t="s">
        <v>3663</v>
      </c>
      <c r="X354" s="417"/>
      <c r="Y354" s="421" t="s">
        <v>3652</v>
      </c>
      <c r="Z354" s="421" t="s">
        <v>3652</v>
      </c>
      <c r="AA354" s="416" t="s">
        <v>4716</v>
      </c>
      <c r="AB354" s="414" t="s">
        <v>3664</v>
      </c>
      <c r="AC354" s="422"/>
      <c r="AD354" s="421"/>
      <c r="AE354" s="420"/>
      <c r="AF354" s="421">
        <v>90392</v>
      </c>
      <c r="AG354" s="420" t="s">
        <v>2719</v>
      </c>
      <c r="AH354" s="421" t="s">
        <v>3711</v>
      </c>
      <c r="AI354" s="420" t="s">
        <v>846</v>
      </c>
      <c r="AJ354" s="413" t="str">
        <f t="shared" si="21"/>
        <v>4590004415_031</v>
      </c>
      <c r="AK354" s="423"/>
      <c r="AL354" s="424">
        <v>45108</v>
      </c>
      <c r="AM354" s="221">
        <v>365.27199999999999</v>
      </c>
      <c r="AN354" s="424">
        <v>45198</v>
      </c>
      <c r="AO354" s="423"/>
      <c r="AP354" s="413"/>
      <c r="AQ354" s="222"/>
      <c r="AR354" s="424"/>
      <c r="AS354" s="614">
        <f ca="1">表格1_6[[#This Row],[total amount]]/表格1_6[[#This Row],[PO$]]</f>
        <v>0.4</v>
      </c>
      <c r="AT354" s="223">
        <f ca="1">表格1_6[[#This Row],[invoice amount]]+表格1_6[[#This Row],[invoice amount2]]</f>
        <v>365.27199999999999</v>
      </c>
      <c r="AU354" s="224" t="s">
        <v>3673</v>
      </c>
      <c r="AV354" s="423"/>
      <c r="AW354" s="423" t="e">
        <f ca="1">VLOOKUP(表格1_6[[#This Row],[TI tool ID2]],工作表1!A:A,1,FALSE)</f>
        <v>#N/A</v>
      </c>
      <c r="AX354" s="425" t="e">
        <f ca="1">VLOOKUP(表格1_6[[#This Row],[PO+ITEM]],工作表1!B:E,2,FALSE)</f>
        <v>#N/A</v>
      </c>
      <c r="AY354" s="425" t="e">
        <f ca="1">VLOOKUP(表格1_6[[#This Row],[PO+ITEM]],工作表1!B:E,3,FALSE)</f>
        <v>#N/A</v>
      </c>
      <c r="AZ354" s="423" t="e">
        <f ca="1">VLOOKUP(表格1_6[[#This Row],[PO+ITEM]],工作表1!B:E,4,FALSE)</f>
        <v>#N/A</v>
      </c>
      <c r="BA354" s="425" t="e">
        <f ca="1">INDEX(工作表1!G:G, MATCH(表格1_6[[#This Row],[invoice number]]&amp;表格1_6[[#This Row],[invoice number2]],工作表1!G:G, 0))</f>
        <v>#N/A</v>
      </c>
      <c r="BB354" s="423" t="e">
        <f ca="1">VLOOKUP(表格1_6[[#This Row],[PO+ITEM]],工作表1!F:H,2,FALSE)</f>
        <v>#N/A</v>
      </c>
    </row>
    <row r="355" spans="1:54">
      <c r="A355" s="413">
        <v>354</v>
      </c>
      <c r="B355" s="413" t="s">
        <v>3674</v>
      </c>
      <c r="C355" s="414" t="s">
        <v>16</v>
      </c>
      <c r="D355" s="414" t="s">
        <v>3648</v>
      </c>
      <c r="E355" s="414"/>
      <c r="F355" s="414"/>
      <c r="G355" s="414"/>
      <c r="H355" s="414"/>
      <c r="I355" s="414"/>
      <c r="J355" s="414"/>
      <c r="K355" s="414"/>
      <c r="L355" s="420" t="s">
        <v>4717</v>
      </c>
      <c r="M355" s="416" t="s">
        <v>2206</v>
      </c>
      <c r="N355" s="416" t="s">
        <v>2999</v>
      </c>
      <c r="O355" s="417"/>
      <c r="P355" s="416">
        <v>4590004415</v>
      </c>
      <c r="Q355" s="418">
        <v>44802</v>
      </c>
      <c r="R355" s="419">
        <v>32</v>
      </c>
      <c r="S355" s="458">
        <v>913.18</v>
      </c>
      <c r="T355" s="420" t="s">
        <v>2156</v>
      </c>
      <c r="U355" s="414" t="s">
        <v>3661</v>
      </c>
      <c r="V355" s="414" t="s">
        <v>3662</v>
      </c>
      <c r="W355" s="417" t="s">
        <v>3663</v>
      </c>
      <c r="X355" s="417"/>
      <c r="Y355" s="421" t="s">
        <v>3652</v>
      </c>
      <c r="Z355" s="421" t="s">
        <v>3652</v>
      </c>
      <c r="AA355" s="416" t="s">
        <v>4716</v>
      </c>
      <c r="AB355" s="414" t="s">
        <v>3664</v>
      </c>
      <c r="AC355" s="422"/>
      <c r="AD355" s="421"/>
      <c r="AE355" s="420"/>
      <c r="AF355" s="421">
        <v>90385</v>
      </c>
      <c r="AG355" s="420" t="s">
        <v>2721</v>
      </c>
      <c r="AH355" s="421" t="s">
        <v>3711</v>
      </c>
      <c r="AI355" s="420" t="s">
        <v>846</v>
      </c>
      <c r="AJ355" s="413" t="str">
        <f t="shared" si="21"/>
        <v>4590004415_032</v>
      </c>
      <c r="AK355" s="423"/>
      <c r="AL355" s="424">
        <v>45108</v>
      </c>
      <c r="AM355" s="221">
        <v>365.27199999999999</v>
      </c>
      <c r="AN355" s="424">
        <v>45198</v>
      </c>
      <c r="AO355" s="423"/>
      <c r="AP355" s="413"/>
      <c r="AQ355" s="222"/>
      <c r="AR355" s="424"/>
      <c r="AS355" s="614">
        <f ca="1">表格1_6[[#This Row],[total amount]]/表格1_6[[#This Row],[PO$]]</f>
        <v>0.4</v>
      </c>
      <c r="AT355" s="223">
        <f ca="1">表格1_6[[#This Row],[invoice amount]]+表格1_6[[#This Row],[invoice amount2]]</f>
        <v>365.27199999999999</v>
      </c>
      <c r="AU355" s="224" t="s">
        <v>3673</v>
      </c>
      <c r="AV355" s="423"/>
      <c r="AW355" s="423" t="e">
        <f ca="1">VLOOKUP(表格1_6[[#This Row],[TI tool ID2]],工作表1!A:A,1,FALSE)</f>
        <v>#N/A</v>
      </c>
      <c r="AX355" s="425" t="e">
        <f ca="1">VLOOKUP(表格1_6[[#This Row],[PO+ITEM]],工作表1!B:E,2,FALSE)</f>
        <v>#N/A</v>
      </c>
      <c r="AY355" s="425" t="e">
        <f ca="1">VLOOKUP(表格1_6[[#This Row],[PO+ITEM]],工作表1!B:E,3,FALSE)</f>
        <v>#N/A</v>
      </c>
      <c r="AZ355" s="423" t="e">
        <f ca="1">VLOOKUP(表格1_6[[#This Row],[PO+ITEM]],工作表1!B:E,4,FALSE)</f>
        <v>#N/A</v>
      </c>
      <c r="BA355" s="425" t="e">
        <f ca="1">INDEX(工作表1!G:G, MATCH(表格1_6[[#This Row],[invoice number]]&amp;表格1_6[[#This Row],[invoice number2]],工作表1!G:G, 0))</f>
        <v>#N/A</v>
      </c>
      <c r="BB355" s="423" t="e">
        <f ca="1">VLOOKUP(表格1_6[[#This Row],[PO+ITEM]],工作表1!F:H,2,FALSE)</f>
        <v>#N/A</v>
      </c>
    </row>
    <row r="356" spans="1:54">
      <c r="A356" s="413">
        <v>355</v>
      </c>
      <c r="B356" s="413" t="s">
        <v>3674</v>
      </c>
      <c r="C356" s="414" t="s">
        <v>16</v>
      </c>
      <c r="D356" s="414" t="s">
        <v>3648</v>
      </c>
      <c r="E356" s="414"/>
      <c r="F356" s="414"/>
      <c r="G356" s="414"/>
      <c r="H356" s="414"/>
      <c r="I356" s="414"/>
      <c r="J356" s="414"/>
      <c r="K356" s="414"/>
      <c r="L356" s="420" t="s">
        <v>4718</v>
      </c>
      <c r="M356" s="416" t="s">
        <v>2206</v>
      </c>
      <c r="N356" s="416" t="s">
        <v>2999</v>
      </c>
      <c r="O356" s="417"/>
      <c r="P356" s="416">
        <v>4590004415</v>
      </c>
      <c r="Q356" s="418">
        <v>44802</v>
      </c>
      <c r="R356" s="419">
        <v>33</v>
      </c>
      <c r="S356" s="458">
        <v>913.18</v>
      </c>
      <c r="T356" s="420" t="s">
        <v>2156</v>
      </c>
      <c r="U356" s="414" t="s">
        <v>3661</v>
      </c>
      <c r="V356" s="414" t="s">
        <v>3662</v>
      </c>
      <c r="W356" s="417" t="s">
        <v>3663</v>
      </c>
      <c r="X356" s="417"/>
      <c r="Y356" s="421" t="s">
        <v>3652</v>
      </c>
      <c r="Z356" s="421" t="s">
        <v>3652</v>
      </c>
      <c r="AA356" s="416" t="s">
        <v>4716</v>
      </c>
      <c r="AB356" s="414" t="s">
        <v>3664</v>
      </c>
      <c r="AC356" s="422"/>
      <c r="AD356" s="421"/>
      <c r="AE356" s="420"/>
      <c r="AF356" s="421">
        <v>90439</v>
      </c>
      <c r="AG356" s="420" t="s">
        <v>4719</v>
      </c>
      <c r="AH356" s="421" t="s">
        <v>3711</v>
      </c>
      <c r="AI356" s="420" t="s">
        <v>846</v>
      </c>
      <c r="AJ356" s="413" t="str">
        <f t="shared" si="21"/>
        <v>4590004415_033</v>
      </c>
      <c r="AK356" s="423"/>
      <c r="AL356" s="424">
        <v>45108</v>
      </c>
      <c r="AM356" s="221">
        <v>365.27199999999999</v>
      </c>
      <c r="AN356" s="424">
        <v>45198</v>
      </c>
      <c r="AO356" s="423"/>
      <c r="AP356" s="413"/>
      <c r="AQ356" s="222"/>
      <c r="AR356" s="424"/>
      <c r="AS356" s="614">
        <f ca="1">表格1_6[[#This Row],[total amount]]/表格1_6[[#This Row],[PO$]]</f>
        <v>0.4</v>
      </c>
      <c r="AT356" s="223">
        <f ca="1">表格1_6[[#This Row],[invoice amount]]+表格1_6[[#This Row],[invoice amount2]]</f>
        <v>365.27199999999999</v>
      </c>
      <c r="AU356" s="224" t="s">
        <v>3673</v>
      </c>
      <c r="AV356" s="423"/>
      <c r="AW356" s="423" t="e">
        <f ca="1">VLOOKUP(表格1_6[[#This Row],[TI tool ID2]],工作表1!A:A,1,FALSE)</f>
        <v>#N/A</v>
      </c>
      <c r="AX356" s="425" t="e">
        <f ca="1">VLOOKUP(表格1_6[[#This Row],[PO+ITEM]],工作表1!B:E,2,FALSE)</f>
        <v>#N/A</v>
      </c>
      <c r="AY356" s="425" t="e">
        <f ca="1">VLOOKUP(表格1_6[[#This Row],[PO+ITEM]],工作表1!B:E,3,FALSE)</f>
        <v>#N/A</v>
      </c>
      <c r="AZ356" s="423" t="e">
        <f ca="1">VLOOKUP(表格1_6[[#This Row],[PO+ITEM]],工作表1!B:E,4,FALSE)</f>
        <v>#N/A</v>
      </c>
      <c r="BA356" s="425" t="e">
        <f ca="1">INDEX(工作表1!G:G, MATCH(表格1_6[[#This Row],[invoice number]]&amp;表格1_6[[#This Row],[invoice number2]],工作表1!G:G, 0))</f>
        <v>#N/A</v>
      </c>
      <c r="BB356" s="423" t="e">
        <f ca="1">VLOOKUP(表格1_6[[#This Row],[PO+ITEM]],工作表1!F:H,2,FALSE)</f>
        <v>#N/A</v>
      </c>
    </row>
    <row r="357" spans="1:54" ht="15.6">
      <c r="A357" s="413">
        <v>356</v>
      </c>
      <c r="B357" s="413" t="s">
        <v>3674</v>
      </c>
      <c r="C357" s="414" t="s">
        <v>16</v>
      </c>
      <c r="D357" s="414" t="s">
        <v>3648</v>
      </c>
      <c r="E357" s="414"/>
      <c r="F357" s="414"/>
      <c r="G357" s="414"/>
      <c r="H357" s="414"/>
      <c r="I357" s="414"/>
      <c r="J357" s="414"/>
      <c r="K357" s="414"/>
      <c r="L357" s="420" t="s">
        <v>4720</v>
      </c>
      <c r="M357" s="416" t="s">
        <v>2999</v>
      </c>
      <c r="N357" s="416" t="s">
        <v>2999</v>
      </c>
      <c r="O357" s="417"/>
      <c r="P357" s="416">
        <v>4590004416</v>
      </c>
      <c r="Q357" s="418">
        <v>44802</v>
      </c>
      <c r="R357" s="419">
        <v>1</v>
      </c>
      <c r="S357" s="458">
        <v>1521.25</v>
      </c>
      <c r="T357" s="420" t="s">
        <v>2156</v>
      </c>
      <c r="U357" s="414" t="s">
        <v>4027</v>
      </c>
      <c r="V357" s="414" t="s">
        <v>3992</v>
      </c>
      <c r="W357" s="417" t="s">
        <v>3993</v>
      </c>
      <c r="X357" s="417"/>
      <c r="Y357" s="421" t="s">
        <v>3652</v>
      </c>
      <c r="Z357" s="421" t="s">
        <v>3652</v>
      </c>
      <c r="AA357" s="416" t="s">
        <v>4721</v>
      </c>
      <c r="AB357" s="414" t="s">
        <v>3664</v>
      </c>
      <c r="AC357" s="422"/>
      <c r="AD357" s="421"/>
      <c r="AE357" s="420"/>
      <c r="AF357" s="421">
        <v>90875</v>
      </c>
      <c r="AG357" s="420" t="s">
        <v>3874</v>
      </c>
      <c r="AH357" s="421" t="s">
        <v>2250</v>
      </c>
      <c r="AI357" s="420" t="s">
        <v>3875</v>
      </c>
      <c r="AJ357" s="413" t="str">
        <f t="shared" ref="AJ357:AJ376" si="22">P357&amp;"_00"&amp;R357</f>
        <v>4590004416_001</v>
      </c>
      <c r="AK357" s="423"/>
      <c r="AL357" s="424">
        <v>45047</v>
      </c>
      <c r="AM357" s="221">
        <v>608.5</v>
      </c>
      <c r="AN357" s="226">
        <v>45153</v>
      </c>
      <c r="AO357" s="423" t="s">
        <v>4722</v>
      </c>
      <c r="AP357" s="424">
        <v>45422</v>
      </c>
      <c r="AQ357" s="222">
        <v>912.75</v>
      </c>
      <c r="AR357" s="424">
        <v>45519</v>
      </c>
      <c r="AS357" s="614">
        <f ca="1">表格1_6[[#This Row],[total amount]]/表格1_6[[#This Row],[PO$]]</f>
        <v>1</v>
      </c>
      <c r="AT357" s="223">
        <f ca="1">表格1_6[[#This Row],[invoice amount]]+表格1_6[[#This Row],[invoice amount2]]</f>
        <v>1521.25</v>
      </c>
      <c r="AU357" s="224" t="s">
        <v>3657</v>
      </c>
      <c r="AV357" s="423"/>
      <c r="AW357" s="423" t="e">
        <f ca="1">VLOOKUP(表格1_6[[#This Row],[TI tool ID2]],工作表1!A:A,1,FALSE)</f>
        <v>#N/A</v>
      </c>
      <c r="AX357" s="425" t="e">
        <f ca="1">VLOOKUP(表格1_6[[#This Row],[PO+ITEM]],工作表1!B:E,2,FALSE)</f>
        <v>#N/A</v>
      </c>
      <c r="AY357" s="425" t="e">
        <f ca="1">VLOOKUP(表格1_6[[#This Row],[PO+ITEM]],工作表1!B:E,3,FALSE)</f>
        <v>#N/A</v>
      </c>
      <c r="AZ357" s="423" t="e">
        <f ca="1">VLOOKUP(表格1_6[[#This Row],[PO+ITEM]],工作表1!B:E,4,FALSE)</f>
        <v>#N/A</v>
      </c>
      <c r="BA357" s="425" t="e">
        <f ca="1">INDEX(工作表1!G:G, MATCH(表格1_6[[#This Row],[invoice number]]&amp;表格1_6[[#This Row],[invoice number2]],工作表1!G:G, 0))</f>
        <v>#N/A</v>
      </c>
      <c r="BB357" s="423" t="e">
        <f ca="1">VLOOKUP(表格1_6[[#This Row],[PO+ITEM]],工作表1!F:H,2,FALSE)</f>
        <v>#N/A</v>
      </c>
    </row>
    <row r="358" spans="1:54" ht="15.6">
      <c r="A358" s="413">
        <v>357</v>
      </c>
      <c r="B358" s="413" t="s">
        <v>3674</v>
      </c>
      <c r="C358" s="414" t="s">
        <v>16</v>
      </c>
      <c r="D358" s="414" t="s">
        <v>3648</v>
      </c>
      <c r="E358" s="414"/>
      <c r="F358" s="414"/>
      <c r="G358" s="414"/>
      <c r="H358" s="414"/>
      <c r="I358" s="414"/>
      <c r="J358" s="414"/>
      <c r="K358" s="414"/>
      <c r="L358" s="420" t="s">
        <v>4723</v>
      </c>
      <c r="M358" s="416" t="s">
        <v>2999</v>
      </c>
      <c r="N358" s="416" t="s">
        <v>2999</v>
      </c>
      <c r="O358" s="417"/>
      <c r="P358" s="416">
        <v>4590004416</v>
      </c>
      <c r="Q358" s="418">
        <v>44802</v>
      </c>
      <c r="R358" s="419">
        <v>2</v>
      </c>
      <c r="S358" s="458">
        <v>1521.25</v>
      </c>
      <c r="T358" s="420" t="s">
        <v>2156</v>
      </c>
      <c r="U358" s="414" t="s">
        <v>4027</v>
      </c>
      <c r="V358" s="414" t="s">
        <v>3992</v>
      </c>
      <c r="W358" s="417" t="s">
        <v>3993</v>
      </c>
      <c r="X358" s="417"/>
      <c r="Y358" s="421" t="s">
        <v>3652</v>
      </c>
      <c r="Z358" s="421" t="s">
        <v>3652</v>
      </c>
      <c r="AA358" s="416" t="s">
        <v>4721</v>
      </c>
      <c r="AB358" s="414" t="s">
        <v>3664</v>
      </c>
      <c r="AC358" s="422"/>
      <c r="AD358" s="421"/>
      <c r="AE358" s="420"/>
      <c r="AF358" s="421">
        <v>90876</v>
      </c>
      <c r="AG358" s="420" t="s">
        <v>3878</v>
      </c>
      <c r="AH358" s="421" t="s">
        <v>2250</v>
      </c>
      <c r="AI358" s="420" t="s">
        <v>3875</v>
      </c>
      <c r="AJ358" s="413" t="str">
        <f t="shared" si="22"/>
        <v>4590004416_002</v>
      </c>
      <c r="AK358" s="423"/>
      <c r="AL358" s="424">
        <v>45047</v>
      </c>
      <c r="AM358" s="221">
        <v>608.5</v>
      </c>
      <c r="AN358" s="226">
        <v>45153</v>
      </c>
      <c r="AO358" s="423" t="s">
        <v>4724</v>
      </c>
      <c r="AP358" s="424">
        <v>45412</v>
      </c>
      <c r="AQ358" s="222">
        <v>912.75</v>
      </c>
      <c r="AR358" s="424">
        <v>45519</v>
      </c>
      <c r="AS358" s="614">
        <f ca="1">表格1_6[[#This Row],[total amount]]/表格1_6[[#This Row],[PO$]]</f>
        <v>1</v>
      </c>
      <c r="AT358" s="223">
        <f ca="1">表格1_6[[#This Row],[invoice amount]]+表格1_6[[#This Row],[invoice amount2]]</f>
        <v>1521.25</v>
      </c>
      <c r="AU358" s="224" t="s">
        <v>3657</v>
      </c>
      <c r="AV358" s="423"/>
      <c r="AW358" s="423" t="e">
        <f ca="1">VLOOKUP(表格1_6[[#This Row],[TI tool ID2]],工作表1!A:A,1,FALSE)</f>
        <v>#N/A</v>
      </c>
      <c r="AX358" s="425" t="e">
        <f ca="1">VLOOKUP(表格1_6[[#This Row],[PO+ITEM]],工作表1!B:E,2,FALSE)</f>
        <v>#N/A</v>
      </c>
      <c r="AY358" s="425" t="e">
        <f ca="1">VLOOKUP(表格1_6[[#This Row],[PO+ITEM]],工作表1!B:E,3,FALSE)</f>
        <v>#N/A</v>
      </c>
      <c r="AZ358" s="423" t="e">
        <f ca="1">VLOOKUP(表格1_6[[#This Row],[PO+ITEM]],工作表1!B:E,4,FALSE)</f>
        <v>#N/A</v>
      </c>
      <c r="BA358" s="425" t="e">
        <f ca="1">INDEX(工作表1!G:G, MATCH(表格1_6[[#This Row],[invoice number]]&amp;表格1_6[[#This Row],[invoice number2]],工作表1!G:G, 0))</f>
        <v>#N/A</v>
      </c>
      <c r="BB358" s="423" t="e">
        <f ca="1">VLOOKUP(表格1_6[[#This Row],[PO+ITEM]],工作表1!F:H,2,FALSE)</f>
        <v>#N/A</v>
      </c>
    </row>
    <row r="359" spans="1:54" ht="15.6">
      <c r="A359" s="413">
        <v>358</v>
      </c>
      <c r="B359" s="413" t="s">
        <v>3674</v>
      </c>
      <c r="C359" s="414" t="s">
        <v>16</v>
      </c>
      <c r="D359" s="414" t="s">
        <v>3648</v>
      </c>
      <c r="E359" s="414"/>
      <c r="F359" s="414"/>
      <c r="G359" s="414"/>
      <c r="H359" s="414"/>
      <c r="I359" s="414"/>
      <c r="J359" s="414"/>
      <c r="K359" s="414"/>
      <c r="L359" s="420" t="s">
        <v>4725</v>
      </c>
      <c r="M359" s="416" t="s">
        <v>2999</v>
      </c>
      <c r="N359" s="416" t="s">
        <v>2999</v>
      </c>
      <c r="O359" s="417"/>
      <c r="P359" s="416">
        <v>4590004416</v>
      </c>
      <c r="Q359" s="418">
        <v>44802</v>
      </c>
      <c r="R359" s="419">
        <v>3</v>
      </c>
      <c r="S359" s="458">
        <v>1521.25</v>
      </c>
      <c r="T359" s="420" t="s">
        <v>2156</v>
      </c>
      <c r="U359" s="414" t="s">
        <v>4027</v>
      </c>
      <c r="V359" s="414" t="s">
        <v>3992</v>
      </c>
      <c r="W359" s="417" t="s">
        <v>3993</v>
      </c>
      <c r="X359" s="417"/>
      <c r="Y359" s="421" t="s">
        <v>3652</v>
      </c>
      <c r="Z359" s="421" t="s">
        <v>3652</v>
      </c>
      <c r="AA359" s="416" t="s">
        <v>4721</v>
      </c>
      <c r="AB359" s="414" t="s">
        <v>3664</v>
      </c>
      <c r="AC359" s="422"/>
      <c r="AD359" s="421"/>
      <c r="AE359" s="420"/>
      <c r="AF359" s="421">
        <v>90877</v>
      </c>
      <c r="AG359" s="420" t="s">
        <v>3881</v>
      </c>
      <c r="AH359" s="421" t="s">
        <v>2250</v>
      </c>
      <c r="AI359" s="420" t="s">
        <v>3875</v>
      </c>
      <c r="AJ359" s="413" t="str">
        <f t="shared" si="22"/>
        <v>4590004416_003</v>
      </c>
      <c r="AK359" s="423"/>
      <c r="AL359" s="424">
        <v>45047</v>
      </c>
      <c r="AM359" s="221">
        <v>608.5</v>
      </c>
      <c r="AN359" s="226">
        <v>45153</v>
      </c>
      <c r="AO359" s="423" t="s">
        <v>4726</v>
      </c>
      <c r="AP359" s="424">
        <v>45506</v>
      </c>
      <c r="AQ359" s="222">
        <v>912.75</v>
      </c>
      <c r="AR359" s="424">
        <v>45534</v>
      </c>
      <c r="AS359" s="614">
        <f ca="1">表格1_6[[#This Row],[total amount]]/表格1_6[[#This Row],[PO$]]</f>
        <v>1</v>
      </c>
      <c r="AT359" s="223">
        <f ca="1">表格1_6[[#This Row],[invoice amount]]+表格1_6[[#This Row],[invoice amount2]]</f>
        <v>1521.25</v>
      </c>
      <c r="AU359" s="224" t="s">
        <v>3657</v>
      </c>
      <c r="AV359" s="423"/>
      <c r="AW359" s="423" t="e">
        <f ca="1">VLOOKUP(表格1_6[[#This Row],[TI tool ID2]],工作表1!A:A,1,FALSE)</f>
        <v>#N/A</v>
      </c>
      <c r="AX359" s="425" t="e">
        <f ca="1">VLOOKUP(表格1_6[[#This Row],[PO+ITEM]],工作表1!B:E,2,FALSE)</f>
        <v>#N/A</v>
      </c>
      <c r="AY359" s="425" t="e">
        <f ca="1">VLOOKUP(表格1_6[[#This Row],[PO+ITEM]],工作表1!B:E,3,FALSE)</f>
        <v>#N/A</v>
      </c>
      <c r="AZ359" s="423" t="e">
        <f ca="1">VLOOKUP(表格1_6[[#This Row],[PO+ITEM]],工作表1!B:E,4,FALSE)</f>
        <v>#N/A</v>
      </c>
      <c r="BA359" s="425" t="e">
        <f ca="1">INDEX(工作表1!G:G, MATCH(表格1_6[[#This Row],[invoice number]]&amp;表格1_6[[#This Row],[invoice number2]],工作表1!G:G, 0))</f>
        <v>#N/A</v>
      </c>
      <c r="BB359" s="423" t="e">
        <f ca="1">VLOOKUP(表格1_6[[#This Row],[PO+ITEM]],工作表1!F:H,2,FALSE)</f>
        <v>#N/A</v>
      </c>
    </row>
    <row r="360" spans="1:54" ht="15.6">
      <c r="A360" s="413">
        <v>359</v>
      </c>
      <c r="B360" s="413" t="s">
        <v>3674</v>
      </c>
      <c r="C360" s="414" t="s">
        <v>16</v>
      </c>
      <c r="D360" s="414" t="s">
        <v>3648</v>
      </c>
      <c r="E360" s="414"/>
      <c r="F360" s="414"/>
      <c r="G360" s="414"/>
      <c r="H360" s="414"/>
      <c r="I360" s="414"/>
      <c r="J360" s="414"/>
      <c r="K360" s="414"/>
      <c r="L360" s="420" t="s">
        <v>4727</v>
      </c>
      <c r="M360" s="416" t="s">
        <v>2999</v>
      </c>
      <c r="N360" s="416" t="s">
        <v>2999</v>
      </c>
      <c r="O360" s="417"/>
      <c r="P360" s="416">
        <v>4590004416</v>
      </c>
      <c r="Q360" s="418">
        <v>44802</v>
      </c>
      <c r="R360" s="419">
        <v>4</v>
      </c>
      <c r="S360" s="458">
        <v>1521.25</v>
      </c>
      <c r="T360" s="420" t="s">
        <v>2156</v>
      </c>
      <c r="U360" s="414" t="s">
        <v>4027</v>
      </c>
      <c r="V360" s="414" t="s">
        <v>3992</v>
      </c>
      <c r="W360" s="417" t="s">
        <v>3993</v>
      </c>
      <c r="X360" s="417"/>
      <c r="Y360" s="421" t="s">
        <v>3652</v>
      </c>
      <c r="Z360" s="421" t="s">
        <v>3652</v>
      </c>
      <c r="AA360" s="416" t="s">
        <v>4721</v>
      </c>
      <c r="AB360" s="414" t="s">
        <v>3664</v>
      </c>
      <c r="AC360" s="422"/>
      <c r="AD360" s="421"/>
      <c r="AE360" s="420"/>
      <c r="AF360" s="421">
        <v>73845</v>
      </c>
      <c r="AG360" s="420" t="s">
        <v>3888</v>
      </c>
      <c r="AH360" s="421" t="s">
        <v>2250</v>
      </c>
      <c r="AI360" s="420" t="s">
        <v>3875</v>
      </c>
      <c r="AJ360" s="413" t="str">
        <f t="shared" si="22"/>
        <v>4590004416_004</v>
      </c>
      <c r="AK360" s="423"/>
      <c r="AL360" s="424">
        <v>45047</v>
      </c>
      <c r="AM360" s="221">
        <v>608.5</v>
      </c>
      <c r="AN360" s="226">
        <v>45153</v>
      </c>
      <c r="AO360" s="423" t="s">
        <v>4728</v>
      </c>
      <c r="AP360" s="424">
        <v>45351</v>
      </c>
      <c r="AQ360" s="222">
        <v>912.75</v>
      </c>
      <c r="AR360" s="432">
        <v>45458</v>
      </c>
      <c r="AS360" s="614">
        <f ca="1">表格1_6[[#This Row],[total amount]]/表格1_6[[#This Row],[PO$]]</f>
        <v>1</v>
      </c>
      <c r="AT360" s="223">
        <f ca="1">表格1_6[[#This Row],[invoice amount]]+表格1_6[[#This Row],[invoice amount2]]</f>
        <v>1521.25</v>
      </c>
      <c r="AU360" s="224" t="s">
        <v>3725</v>
      </c>
      <c r="AV360" s="423"/>
      <c r="AW360" s="423" t="e">
        <f ca="1">VLOOKUP(表格1_6[[#This Row],[TI tool ID2]],工作表1!A:A,1,FALSE)</f>
        <v>#N/A</v>
      </c>
      <c r="AX360" s="425" t="e">
        <f ca="1">VLOOKUP(表格1_6[[#This Row],[PO+ITEM]],工作表1!B:E,2,FALSE)</f>
        <v>#N/A</v>
      </c>
      <c r="AY360" s="425" t="e">
        <f ca="1">VLOOKUP(表格1_6[[#This Row],[PO+ITEM]],工作表1!B:E,3,FALSE)</f>
        <v>#N/A</v>
      </c>
      <c r="AZ360" s="423" t="e">
        <f ca="1">VLOOKUP(表格1_6[[#This Row],[PO+ITEM]],工作表1!B:E,4,FALSE)</f>
        <v>#N/A</v>
      </c>
      <c r="BA360" s="425" t="e">
        <f ca="1">INDEX(工作表1!G:G, MATCH(表格1_6[[#This Row],[invoice number]]&amp;表格1_6[[#This Row],[invoice number2]],工作表1!G:G, 0))</f>
        <v>#N/A</v>
      </c>
      <c r="BB360" s="423" t="e">
        <f ca="1">VLOOKUP(表格1_6[[#This Row],[PO+ITEM]],工作表1!F:H,2,FALSE)</f>
        <v>#N/A</v>
      </c>
    </row>
    <row r="361" spans="1:54" ht="15.6">
      <c r="A361" s="413">
        <v>360</v>
      </c>
      <c r="B361" s="413" t="s">
        <v>3674</v>
      </c>
      <c r="C361" s="414" t="s">
        <v>16</v>
      </c>
      <c r="D361" s="414" t="s">
        <v>3648</v>
      </c>
      <c r="E361" s="414"/>
      <c r="F361" s="414"/>
      <c r="G361" s="414"/>
      <c r="H361" s="414"/>
      <c r="I361" s="414"/>
      <c r="J361" s="414"/>
      <c r="K361" s="414"/>
      <c r="L361" s="420" t="s">
        <v>4729</v>
      </c>
      <c r="M361" s="416" t="s">
        <v>2999</v>
      </c>
      <c r="N361" s="416" t="s">
        <v>2999</v>
      </c>
      <c r="O361" s="417"/>
      <c r="P361" s="416">
        <v>4590004416</v>
      </c>
      <c r="Q361" s="418">
        <v>44802</v>
      </c>
      <c r="R361" s="419">
        <v>5</v>
      </c>
      <c r="S361" s="458">
        <v>1521.25</v>
      </c>
      <c r="T361" s="420" t="s">
        <v>2156</v>
      </c>
      <c r="U361" s="414" t="s">
        <v>4027</v>
      </c>
      <c r="V361" s="414" t="s">
        <v>3992</v>
      </c>
      <c r="W361" s="417" t="s">
        <v>3993</v>
      </c>
      <c r="X361" s="417"/>
      <c r="Y361" s="421" t="s">
        <v>3652</v>
      </c>
      <c r="Z361" s="421" t="s">
        <v>3652</v>
      </c>
      <c r="AA361" s="416" t="s">
        <v>4721</v>
      </c>
      <c r="AB361" s="414" t="s">
        <v>3664</v>
      </c>
      <c r="AC361" s="422"/>
      <c r="AD361" s="421"/>
      <c r="AE361" s="420"/>
      <c r="AF361" s="421">
        <v>73848</v>
      </c>
      <c r="AG361" s="420" t="s">
        <v>3892</v>
      </c>
      <c r="AH361" s="421" t="s">
        <v>2250</v>
      </c>
      <c r="AI361" s="420" t="s">
        <v>3875</v>
      </c>
      <c r="AJ361" s="413" t="str">
        <f t="shared" si="22"/>
        <v>4590004416_005</v>
      </c>
      <c r="AK361" s="423"/>
      <c r="AL361" s="424">
        <v>45047</v>
      </c>
      <c r="AM361" s="221">
        <v>608.5</v>
      </c>
      <c r="AN361" s="226">
        <v>45153</v>
      </c>
      <c r="AO361" s="423" t="s">
        <v>4730</v>
      </c>
      <c r="AP361" s="424">
        <v>45401</v>
      </c>
      <c r="AQ361" s="221">
        <v>912.75</v>
      </c>
      <c r="AR361" s="432">
        <v>45458</v>
      </c>
      <c r="AS361" s="614">
        <f ca="1">表格1_6[[#This Row],[total amount]]/表格1_6[[#This Row],[PO$]]</f>
        <v>1</v>
      </c>
      <c r="AT361" s="223">
        <f ca="1">表格1_6[[#This Row],[invoice amount]]+表格1_6[[#This Row],[invoice amount2]]</f>
        <v>1521.25</v>
      </c>
      <c r="AU361" s="224" t="s">
        <v>3725</v>
      </c>
      <c r="AV361" s="423"/>
      <c r="AW361" s="423" t="e">
        <f ca="1">VLOOKUP(表格1_6[[#This Row],[TI tool ID2]],工作表1!A:A,1,FALSE)</f>
        <v>#N/A</v>
      </c>
      <c r="AX361" s="425" t="e">
        <f ca="1">VLOOKUP(表格1_6[[#This Row],[PO+ITEM]],工作表1!B:E,2,FALSE)</f>
        <v>#N/A</v>
      </c>
      <c r="AY361" s="425" t="e">
        <f ca="1">VLOOKUP(表格1_6[[#This Row],[PO+ITEM]],工作表1!B:E,3,FALSE)</f>
        <v>#N/A</v>
      </c>
      <c r="AZ361" s="423" t="e">
        <f ca="1">VLOOKUP(表格1_6[[#This Row],[PO+ITEM]],工作表1!B:E,4,FALSE)</f>
        <v>#N/A</v>
      </c>
      <c r="BA361" s="425" t="e">
        <f ca="1">INDEX(工作表1!G:G, MATCH(表格1_6[[#This Row],[invoice number]]&amp;表格1_6[[#This Row],[invoice number2]],工作表1!G:G, 0))</f>
        <v>#N/A</v>
      </c>
      <c r="BB361" s="423" t="e">
        <f ca="1">VLOOKUP(表格1_6[[#This Row],[PO+ITEM]],工作表1!F:H,2,FALSE)</f>
        <v>#N/A</v>
      </c>
    </row>
    <row r="362" spans="1:54" ht="15.6">
      <c r="A362" s="413">
        <v>361</v>
      </c>
      <c r="B362" s="413" t="s">
        <v>3674</v>
      </c>
      <c r="C362" s="414" t="s">
        <v>16</v>
      </c>
      <c r="D362" s="414" t="s">
        <v>3648</v>
      </c>
      <c r="E362" s="414"/>
      <c r="F362" s="414"/>
      <c r="G362" s="414"/>
      <c r="H362" s="414"/>
      <c r="I362" s="414"/>
      <c r="J362" s="414"/>
      <c r="K362" s="414"/>
      <c r="L362" s="420" t="s">
        <v>4731</v>
      </c>
      <c r="M362" s="416" t="s">
        <v>2999</v>
      </c>
      <c r="N362" s="416" t="s">
        <v>2999</v>
      </c>
      <c r="O362" s="417"/>
      <c r="P362" s="416">
        <v>4590004417</v>
      </c>
      <c r="Q362" s="418">
        <v>44802</v>
      </c>
      <c r="R362" s="419">
        <v>1</v>
      </c>
      <c r="S362" s="458">
        <v>30443.5</v>
      </c>
      <c r="T362" s="420" t="s">
        <v>2156</v>
      </c>
      <c r="U362" s="414" t="s">
        <v>4027</v>
      </c>
      <c r="V362" s="414" t="s">
        <v>3992</v>
      </c>
      <c r="W362" s="417" t="s">
        <v>3993</v>
      </c>
      <c r="X362" s="417"/>
      <c r="Y362" s="421" t="s">
        <v>3652</v>
      </c>
      <c r="Z362" s="421" t="s">
        <v>3652</v>
      </c>
      <c r="AA362" s="416" t="s">
        <v>4732</v>
      </c>
      <c r="AB362" s="414" t="s">
        <v>3664</v>
      </c>
      <c r="AC362" s="422"/>
      <c r="AD362" s="421"/>
      <c r="AE362" s="420"/>
      <c r="AF362" s="421">
        <v>90832</v>
      </c>
      <c r="AG362" s="420" t="s">
        <v>4733</v>
      </c>
      <c r="AH362" s="421" t="s">
        <v>3718</v>
      </c>
      <c r="AI362" s="420" t="s">
        <v>4734</v>
      </c>
      <c r="AJ362" s="413" t="str">
        <f t="shared" si="22"/>
        <v>4590004417_001</v>
      </c>
      <c r="AK362" s="423"/>
      <c r="AL362" s="424">
        <v>45047</v>
      </c>
      <c r="AM362" s="221">
        <v>12177.400000000001</v>
      </c>
      <c r="AN362" s="226">
        <v>45153</v>
      </c>
      <c r="AO362" s="423" t="s">
        <v>4735</v>
      </c>
      <c r="AP362" s="424">
        <v>45483</v>
      </c>
      <c r="AQ362" s="565">
        <v>18266.099999999999</v>
      </c>
      <c r="AR362" s="424">
        <v>45534</v>
      </c>
      <c r="AS362" s="614">
        <f ca="1">表格1_6[[#This Row],[total amount]]/表格1_6[[#This Row],[PO$]]</f>
        <v>1</v>
      </c>
      <c r="AT362" s="223">
        <f ca="1">表格1_6[[#This Row],[invoice amount]]+表格1_6[[#This Row],[invoice amount2]]</f>
        <v>30443.5</v>
      </c>
      <c r="AU362" s="224" t="s">
        <v>4235</v>
      </c>
      <c r="AV362" s="423"/>
      <c r="AW362" s="423" t="e">
        <f ca="1">VLOOKUP(表格1_6[[#This Row],[TI tool ID2]],工作表1!A:A,1,FALSE)</f>
        <v>#N/A</v>
      </c>
      <c r="AX362" s="425" t="e">
        <f ca="1">VLOOKUP(表格1_6[[#This Row],[PO+ITEM]],工作表1!B:E,2,FALSE)</f>
        <v>#N/A</v>
      </c>
      <c r="AY362" s="425" t="e">
        <f ca="1">VLOOKUP(表格1_6[[#This Row],[PO+ITEM]],工作表1!B:E,3,FALSE)</f>
        <v>#N/A</v>
      </c>
      <c r="AZ362" s="423" t="e">
        <f ca="1">VLOOKUP(表格1_6[[#This Row],[PO+ITEM]],工作表1!B:E,4,FALSE)</f>
        <v>#N/A</v>
      </c>
      <c r="BA362" s="425" t="e">
        <f ca="1">INDEX(工作表1!G:G, MATCH(表格1_6[[#This Row],[invoice number]]&amp;表格1_6[[#This Row],[invoice number2]],工作表1!G:G, 0))</f>
        <v>#N/A</v>
      </c>
      <c r="BB362" s="423" t="e">
        <f ca="1">VLOOKUP(表格1_6[[#This Row],[PO+ITEM]],工作表1!F:H,2,FALSE)</f>
        <v>#N/A</v>
      </c>
    </row>
    <row r="363" spans="1:54" ht="15.6">
      <c r="A363" s="413">
        <v>362</v>
      </c>
      <c r="B363" s="413" t="s">
        <v>3674</v>
      </c>
      <c r="C363" s="414" t="s">
        <v>16</v>
      </c>
      <c r="D363" s="414" t="s">
        <v>3648</v>
      </c>
      <c r="E363" s="414"/>
      <c r="F363" s="414"/>
      <c r="G363" s="414"/>
      <c r="H363" s="414"/>
      <c r="I363" s="414"/>
      <c r="J363" s="414"/>
      <c r="K363" s="414"/>
      <c r="L363" s="420" t="s">
        <v>4736</v>
      </c>
      <c r="M363" s="416" t="s">
        <v>2999</v>
      </c>
      <c r="N363" s="416" t="s">
        <v>2999</v>
      </c>
      <c r="O363" s="417"/>
      <c r="P363" s="416">
        <v>4590004417</v>
      </c>
      <c r="Q363" s="418">
        <v>44802</v>
      </c>
      <c r="R363" s="419">
        <v>2</v>
      </c>
      <c r="S363" s="458">
        <v>16737.97</v>
      </c>
      <c r="T363" s="420" t="s">
        <v>2156</v>
      </c>
      <c r="U363" s="414" t="s">
        <v>4027</v>
      </c>
      <c r="V363" s="414" t="s">
        <v>3992</v>
      </c>
      <c r="W363" s="417" t="s">
        <v>3993</v>
      </c>
      <c r="X363" s="417"/>
      <c r="Y363" s="421" t="s">
        <v>3652</v>
      </c>
      <c r="Z363" s="421" t="s">
        <v>3652</v>
      </c>
      <c r="AA363" s="416" t="s">
        <v>4732</v>
      </c>
      <c r="AB363" s="414" t="s">
        <v>3664</v>
      </c>
      <c r="AC363" s="422"/>
      <c r="AD363" s="421"/>
      <c r="AE363" s="420"/>
      <c r="AF363" s="421">
        <v>90435</v>
      </c>
      <c r="AG363" s="420" t="s">
        <v>4737</v>
      </c>
      <c r="AH363" s="421" t="s">
        <v>3718</v>
      </c>
      <c r="AI363" s="420" t="s">
        <v>3919</v>
      </c>
      <c r="AJ363" s="413" t="str">
        <f t="shared" si="22"/>
        <v>4590004417_002</v>
      </c>
      <c r="AK363" s="423"/>
      <c r="AL363" s="424">
        <v>45047</v>
      </c>
      <c r="AM363" s="221">
        <v>12177.400000000001</v>
      </c>
      <c r="AN363" s="226">
        <v>45212</v>
      </c>
      <c r="AO363" s="423" t="s">
        <v>4738</v>
      </c>
      <c r="AP363" s="424">
        <v>45483</v>
      </c>
      <c r="AQ363" s="222">
        <v>4519.2519000000002</v>
      </c>
      <c r="AR363" s="424">
        <v>45534</v>
      </c>
      <c r="AS363" s="614">
        <f ca="1">表格1_6[[#This Row],[total amount]]/表格1_6[[#This Row],[PO$]]</f>
        <v>0.99753147484432103</v>
      </c>
      <c r="AT363" s="223">
        <f ca="1">表格1_6[[#This Row],[invoice amount]]+表格1_6[[#This Row],[invoice amount2]]</f>
        <v>16696.651900000001</v>
      </c>
      <c r="AU363" s="224" t="s">
        <v>4235</v>
      </c>
      <c r="AV363" s="423"/>
      <c r="AW363" s="423" t="e">
        <f ca="1">VLOOKUP(表格1_6[[#This Row],[TI tool ID2]],工作表1!A:A,1,FALSE)</f>
        <v>#N/A</v>
      </c>
      <c r="AX363" s="425" t="e">
        <f ca="1">VLOOKUP(表格1_6[[#This Row],[PO+ITEM]],工作表1!B:E,2,FALSE)</f>
        <v>#N/A</v>
      </c>
      <c r="AY363" s="425" t="e">
        <f ca="1">VLOOKUP(表格1_6[[#This Row],[PO+ITEM]],工作表1!B:E,3,FALSE)</f>
        <v>#N/A</v>
      </c>
      <c r="AZ363" s="423" t="e">
        <f ca="1">VLOOKUP(表格1_6[[#This Row],[PO+ITEM]],工作表1!B:E,4,FALSE)</f>
        <v>#N/A</v>
      </c>
      <c r="BA363" s="425" t="e">
        <f ca="1">INDEX(工作表1!G:G, MATCH(表格1_6[[#This Row],[invoice number]]&amp;表格1_6[[#This Row],[invoice number2]],工作表1!G:G, 0))</f>
        <v>#N/A</v>
      </c>
      <c r="BB363" s="423" t="e">
        <f ca="1">VLOOKUP(表格1_6[[#This Row],[PO+ITEM]],工作表1!F:H,2,FALSE)</f>
        <v>#N/A</v>
      </c>
    </row>
    <row r="364" spans="1:54" ht="15.6">
      <c r="A364" s="413">
        <v>363</v>
      </c>
      <c r="B364" s="413" t="s">
        <v>3674</v>
      </c>
      <c r="C364" s="414" t="s">
        <v>16</v>
      </c>
      <c r="D364" s="414" t="s">
        <v>3648</v>
      </c>
      <c r="E364" s="414"/>
      <c r="F364" s="414"/>
      <c r="G364" s="414"/>
      <c r="H364" s="414"/>
      <c r="I364" s="414"/>
      <c r="J364" s="414"/>
      <c r="K364" s="414"/>
      <c r="L364" s="420" t="s">
        <v>4739</v>
      </c>
      <c r="M364" s="416" t="s">
        <v>2999</v>
      </c>
      <c r="N364" s="416" t="s">
        <v>2999</v>
      </c>
      <c r="O364" s="417"/>
      <c r="P364" s="416">
        <v>4590004417</v>
      </c>
      <c r="Q364" s="418">
        <v>44802</v>
      </c>
      <c r="R364" s="419">
        <v>3</v>
      </c>
      <c r="S364" s="458">
        <v>55386.48</v>
      </c>
      <c r="T364" s="420" t="s">
        <v>2156</v>
      </c>
      <c r="U364" s="414" t="s">
        <v>4027</v>
      </c>
      <c r="V364" s="414" t="s">
        <v>3992</v>
      </c>
      <c r="W364" s="417" t="s">
        <v>3993</v>
      </c>
      <c r="X364" s="417"/>
      <c r="Y364" s="421" t="s">
        <v>3652</v>
      </c>
      <c r="Z364" s="421" t="s">
        <v>3652</v>
      </c>
      <c r="AA364" s="416" t="s">
        <v>4732</v>
      </c>
      <c r="AB364" s="414" t="s">
        <v>3664</v>
      </c>
      <c r="AC364" s="422"/>
      <c r="AD364" s="421"/>
      <c r="AE364" s="420"/>
      <c r="AF364" s="421">
        <v>90426</v>
      </c>
      <c r="AG364" s="420" t="s">
        <v>3756</v>
      </c>
      <c r="AH364" s="421" t="s">
        <v>3718</v>
      </c>
      <c r="AI364" s="420" t="s">
        <v>3719</v>
      </c>
      <c r="AJ364" s="413" t="str">
        <f t="shared" si="22"/>
        <v>4590004417_003</v>
      </c>
      <c r="AK364" s="423"/>
      <c r="AL364" s="424">
        <v>45047</v>
      </c>
      <c r="AM364" s="221">
        <v>22154.592000000004</v>
      </c>
      <c r="AN364" s="226">
        <v>45153</v>
      </c>
      <c r="AO364" s="423" t="s">
        <v>4740</v>
      </c>
      <c r="AP364" s="424">
        <v>45351</v>
      </c>
      <c r="AQ364" s="222">
        <v>33231.887999999999</v>
      </c>
      <c r="AR364" s="244">
        <v>45412</v>
      </c>
      <c r="AS364" s="614">
        <f ca="1">表格1_6[[#This Row],[total amount]]/表格1_6[[#This Row],[PO$]]</f>
        <v>1</v>
      </c>
      <c r="AT364" s="223">
        <f ca="1">表格1_6[[#This Row],[invoice amount]]+表格1_6[[#This Row],[invoice amount2]]</f>
        <v>55386.48</v>
      </c>
      <c r="AU364" s="224" t="s">
        <v>3673</v>
      </c>
      <c r="AV364" s="423"/>
      <c r="AW364" s="423" t="e">
        <f ca="1">VLOOKUP(表格1_6[[#This Row],[TI tool ID2]],工作表1!A:A,1,FALSE)</f>
        <v>#N/A</v>
      </c>
      <c r="AX364" s="425" t="e">
        <f ca="1">VLOOKUP(表格1_6[[#This Row],[PO+ITEM]],工作表1!B:E,2,FALSE)</f>
        <v>#N/A</v>
      </c>
      <c r="AY364" s="425" t="e">
        <f ca="1">VLOOKUP(表格1_6[[#This Row],[PO+ITEM]],工作表1!B:E,3,FALSE)</f>
        <v>#N/A</v>
      </c>
      <c r="AZ364" s="423" t="e">
        <f ca="1">VLOOKUP(表格1_6[[#This Row],[PO+ITEM]],工作表1!B:E,4,FALSE)</f>
        <v>#N/A</v>
      </c>
      <c r="BA364" s="425" t="e">
        <f ca="1">INDEX(工作表1!G:G, MATCH(表格1_6[[#This Row],[invoice number]]&amp;表格1_6[[#This Row],[invoice number2]],工作表1!G:G, 0))</f>
        <v>#N/A</v>
      </c>
      <c r="BB364" s="423" t="e">
        <f ca="1">VLOOKUP(表格1_6[[#This Row],[PO+ITEM]],工作表1!F:H,2,FALSE)</f>
        <v>#N/A</v>
      </c>
    </row>
    <row r="365" spans="1:54" ht="15.6">
      <c r="A365" s="413">
        <v>364</v>
      </c>
      <c r="B365" s="413" t="s">
        <v>3674</v>
      </c>
      <c r="C365" s="414" t="s">
        <v>16</v>
      </c>
      <c r="D365" s="414" t="s">
        <v>3648</v>
      </c>
      <c r="E365" s="414"/>
      <c r="F365" s="414"/>
      <c r="G365" s="414"/>
      <c r="H365" s="414"/>
      <c r="I365" s="414"/>
      <c r="J365" s="414"/>
      <c r="K365" s="414"/>
      <c r="L365" s="420" t="s">
        <v>4741</v>
      </c>
      <c r="M365" s="416" t="s">
        <v>2999</v>
      </c>
      <c r="N365" s="416" t="s">
        <v>2999</v>
      </c>
      <c r="O365" s="417"/>
      <c r="P365" s="416">
        <v>4590004417</v>
      </c>
      <c r="Q365" s="418">
        <v>44802</v>
      </c>
      <c r="R365" s="419">
        <v>4</v>
      </c>
      <c r="S365" s="458">
        <v>60887.01</v>
      </c>
      <c r="T365" s="420" t="s">
        <v>2156</v>
      </c>
      <c r="U365" s="414" t="s">
        <v>4027</v>
      </c>
      <c r="V365" s="414" t="s">
        <v>3992</v>
      </c>
      <c r="W365" s="417" t="s">
        <v>3993</v>
      </c>
      <c r="X365" s="417"/>
      <c r="Y365" s="421" t="s">
        <v>3652</v>
      </c>
      <c r="Z365" s="421" t="s">
        <v>3652</v>
      </c>
      <c r="AA365" s="416" t="s">
        <v>4732</v>
      </c>
      <c r="AB365" s="414" t="s">
        <v>3664</v>
      </c>
      <c r="AC365" s="422"/>
      <c r="AD365" s="421"/>
      <c r="AE365" s="420"/>
      <c r="AF365" s="421">
        <v>90830</v>
      </c>
      <c r="AG365" s="420" t="s">
        <v>4123</v>
      </c>
      <c r="AH365" s="421" t="s">
        <v>3718</v>
      </c>
      <c r="AI365" s="420" t="s">
        <v>3919</v>
      </c>
      <c r="AJ365" s="413" t="str">
        <f t="shared" si="22"/>
        <v>4590004417_004</v>
      </c>
      <c r="AK365" s="423"/>
      <c r="AL365" s="424">
        <v>45047</v>
      </c>
      <c r="AM365" s="221">
        <v>24354.804000000004</v>
      </c>
      <c r="AN365" s="226">
        <v>45153</v>
      </c>
      <c r="AO365" s="423" t="s">
        <v>4742</v>
      </c>
      <c r="AP365" s="424">
        <v>45315</v>
      </c>
      <c r="AQ365" s="222">
        <v>36532.205999999998</v>
      </c>
      <c r="AR365" s="244">
        <v>45351</v>
      </c>
      <c r="AS365" s="614">
        <f ca="1">表格1_6[[#This Row],[total amount]]/表格1_6[[#This Row],[PO$]]</f>
        <v>1</v>
      </c>
      <c r="AT365" s="223">
        <f ca="1">表格1_6[[#This Row],[invoice amount]]+表格1_6[[#This Row],[invoice amount2]]</f>
        <v>60887.01</v>
      </c>
      <c r="AU365" s="224" t="s">
        <v>3673</v>
      </c>
      <c r="AV365" s="423"/>
      <c r="AW365" s="423" t="e">
        <f ca="1">VLOOKUP(表格1_6[[#This Row],[TI tool ID2]],工作表1!A:A,1,FALSE)</f>
        <v>#N/A</v>
      </c>
      <c r="AX365" s="425" t="e">
        <f ca="1">VLOOKUP(表格1_6[[#This Row],[PO+ITEM]],工作表1!B:E,2,FALSE)</f>
        <v>#N/A</v>
      </c>
      <c r="AY365" s="425" t="e">
        <f ca="1">VLOOKUP(表格1_6[[#This Row],[PO+ITEM]],工作表1!B:E,3,FALSE)</f>
        <v>#N/A</v>
      </c>
      <c r="AZ365" s="423" t="e">
        <f ca="1">VLOOKUP(表格1_6[[#This Row],[PO+ITEM]],工作表1!B:E,4,FALSE)</f>
        <v>#N/A</v>
      </c>
      <c r="BA365" s="425" t="e">
        <f ca="1">INDEX(工作表1!G:G, MATCH(表格1_6[[#This Row],[invoice number]]&amp;表格1_6[[#This Row],[invoice number2]],工作表1!G:G, 0))</f>
        <v>#N/A</v>
      </c>
      <c r="BB365" s="423" t="e">
        <f ca="1">VLOOKUP(表格1_6[[#This Row],[PO+ITEM]],工作表1!F:H,2,FALSE)</f>
        <v>#N/A</v>
      </c>
    </row>
    <row r="366" spans="1:54" ht="15.6">
      <c r="A366" s="413">
        <v>365</v>
      </c>
      <c r="B366" s="413" t="s">
        <v>3674</v>
      </c>
      <c r="C366" s="414" t="s">
        <v>16</v>
      </c>
      <c r="D366" s="414" t="s">
        <v>3648</v>
      </c>
      <c r="E366" s="414"/>
      <c r="F366" s="414"/>
      <c r="G366" s="414"/>
      <c r="H366" s="414"/>
      <c r="I366" s="414"/>
      <c r="J366" s="414"/>
      <c r="K366" s="414"/>
      <c r="L366" s="420" t="s">
        <v>4743</v>
      </c>
      <c r="M366" s="416" t="s">
        <v>2999</v>
      </c>
      <c r="N366" s="416" t="s">
        <v>2999</v>
      </c>
      <c r="O366" s="417"/>
      <c r="P366" s="416">
        <v>4590004417</v>
      </c>
      <c r="Q366" s="418">
        <v>44802</v>
      </c>
      <c r="R366" s="419">
        <v>5</v>
      </c>
      <c r="S366" s="458">
        <v>60887.01</v>
      </c>
      <c r="T366" s="420" t="s">
        <v>2156</v>
      </c>
      <c r="U366" s="414" t="s">
        <v>4027</v>
      </c>
      <c r="V366" s="414" t="s">
        <v>3992</v>
      </c>
      <c r="W366" s="417" t="s">
        <v>3993</v>
      </c>
      <c r="X366" s="417"/>
      <c r="Y366" s="421" t="s">
        <v>3652</v>
      </c>
      <c r="Z366" s="421" t="s">
        <v>3652</v>
      </c>
      <c r="AA366" s="416" t="s">
        <v>4732</v>
      </c>
      <c r="AB366" s="414" t="s">
        <v>3664</v>
      </c>
      <c r="AC366" s="422"/>
      <c r="AD366" s="421"/>
      <c r="AE366" s="420"/>
      <c r="AF366" s="421">
        <v>90831</v>
      </c>
      <c r="AG366" s="420" t="s">
        <v>4744</v>
      </c>
      <c r="AH366" s="421" t="s">
        <v>3718</v>
      </c>
      <c r="AI366" s="420" t="s">
        <v>3919</v>
      </c>
      <c r="AJ366" s="413" t="str">
        <f t="shared" si="22"/>
        <v>4590004417_005</v>
      </c>
      <c r="AK366" s="423"/>
      <c r="AL366" s="424">
        <v>45047</v>
      </c>
      <c r="AM366" s="221">
        <v>24354.804000000004</v>
      </c>
      <c r="AN366" s="226">
        <v>45153</v>
      </c>
      <c r="AO366" s="423" t="s">
        <v>4745</v>
      </c>
      <c r="AP366" s="424">
        <v>45401</v>
      </c>
      <c r="AQ366" s="221">
        <v>36532.21</v>
      </c>
      <c r="AR366" s="424">
        <v>45442</v>
      </c>
      <c r="AS366" s="614">
        <f ca="1">表格1_6[[#This Row],[total amount]]/表格1_6[[#This Row],[PO$]]</f>
        <v>1.000000065695458</v>
      </c>
      <c r="AT366" s="223">
        <f ca="1">表格1_6[[#This Row],[invoice amount]]+表格1_6[[#This Row],[invoice amount2]]</f>
        <v>60887.014000000003</v>
      </c>
      <c r="AU366" s="224" t="s">
        <v>3673</v>
      </c>
      <c r="AV366" s="423"/>
      <c r="AW366" s="423" t="e">
        <f ca="1">VLOOKUP(表格1_6[[#This Row],[TI tool ID2]],工作表1!A:A,1,FALSE)</f>
        <v>#N/A</v>
      </c>
      <c r="AX366" s="425" t="e">
        <f ca="1">VLOOKUP(表格1_6[[#This Row],[PO+ITEM]],工作表1!B:E,2,FALSE)</f>
        <v>#N/A</v>
      </c>
      <c r="AY366" s="425" t="e">
        <f ca="1">VLOOKUP(表格1_6[[#This Row],[PO+ITEM]],工作表1!B:E,3,FALSE)</f>
        <v>#N/A</v>
      </c>
      <c r="AZ366" s="423" t="e">
        <f ca="1">VLOOKUP(表格1_6[[#This Row],[PO+ITEM]],工作表1!B:E,4,FALSE)</f>
        <v>#N/A</v>
      </c>
      <c r="BA366" s="425" t="e">
        <f ca="1">INDEX(工作表1!G:G, MATCH(表格1_6[[#This Row],[invoice number]]&amp;表格1_6[[#This Row],[invoice number2]],工作表1!G:G, 0))</f>
        <v>#N/A</v>
      </c>
      <c r="BB366" s="423" t="e">
        <f ca="1">VLOOKUP(表格1_6[[#This Row],[PO+ITEM]],工作表1!F:H,2,FALSE)</f>
        <v>#N/A</v>
      </c>
    </row>
    <row r="367" spans="1:54" ht="15.6">
      <c r="A367" s="413">
        <v>366</v>
      </c>
      <c r="B367" s="413" t="s">
        <v>3674</v>
      </c>
      <c r="C367" s="414" t="s">
        <v>16</v>
      </c>
      <c r="D367" s="414" t="s">
        <v>3648</v>
      </c>
      <c r="E367" s="414"/>
      <c r="F367" s="414"/>
      <c r="G367" s="414"/>
      <c r="H367" s="414"/>
      <c r="I367" s="414"/>
      <c r="J367" s="414"/>
      <c r="K367" s="414"/>
      <c r="L367" s="420" t="s">
        <v>4746</v>
      </c>
      <c r="M367" s="416" t="s">
        <v>2999</v>
      </c>
      <c r="N367" s="416" t="s">
        <v>2999</v>
      </c>
      <c r="O367" s="417"/>
      <c r="P367" s="416">
        <v>4590004417</v>
      </c>
      <c r="Q367" s="418">
        <v>44802</v>
      </c>
      <c r="R367" s="419">
        <v>6</v>
      </c>
      <c r="S367" s="458">
        <v>41539.86</v>
      </c>
      <c r="T367" s="420" t="s">
        <v>2156</v>
      </c>
      <c r="U367" s="414" t="s">
        <v>4027</v>
      </c>
      <c r="V367" s="414" t="s">
        <v>3992</v>
      </c>
      <c r="W367" s="417" t="s">
        <v>3993</v>
      </c>
      <c r="X367" s="417"/>
      <c r="Y367" s="421" t="s">
        <v>3652</v>
      </c>
      <c r="Z367" s="421" t="s">
        <v>3652</v>
      </c>
      <c r="AA367" s="416" t="s">
        <v>4732</v>
      </c>
      <c r="AB367" s="414" t="s">
        <v>3664</v>
      </c>
      <c r="AC367" s="422"/>
      <c r="AD367" s="421"/>
      <c r="AE367" s="420"/>
      <c r="AF367" s="421">
        <v>90436</v>
      </c>
      <c r="AG367" s="420" t="s">
        <v>4747</v>
      </c>
      <c r="AH367" s="421" t="s">
        <v>3718</v>
      </c>
      <c r="AI367" s="420" t="s">
        <v>3719</v>
      </c>
      <c r="AJ367" s="413" t="str">
        <f t="shared" si="22"/>
        <v>4590004417_006</v>
      </c>
      <c r="AK367" s="423"/>
      <c r="AL367" s="424">
        <v>45047</v>
      </c>
      <c r="AM367" s="221">
        <v>16615.944</v>
      </c>
      <c r="AN367" s="226">
        <v>45153</v>
      </c>
      <c r="AO367" s="423" t="s">
        <v>4748</v>
      </c>
      <c r="AP367" s="424">
        <v>45429</v>
      </c>
      <c r="AQ367" s="222">
        <v>24923.916000000001</v>
      </c>
      <c r="AR367" s="424">
        <v>45503</v>
      </c>
      <c r="AS367" s="614">
        <f ca="1">表格1_6[[#This Row],[total amount]]/表格1_6[[#This Row],[PO$]]</f>
        <v>1</v>
      </c>
      <c r="AT367" s="223">
        <f ca="1">表格1_6[[#This Row],[invoice amount]]+表格1_6[[#This Row],[invoice amount2]]</f>
        <v>41539.86</v>
      </c>
      <c r="AU367" s="224" t="s">
        <v>3725</v>
      </c>
      <c r="AV367" s="423"/>
      <c r="AW367" s="423" t="e">
        <f ca="1">VLOOKUP(表格1_6[[#This Row],[TI tool ID2]],工作表1!A:A,1,FALSE)</f>
        <v>#N/A</v>
      </c>
      <c r="AX367" s="425" t="e">
        <f ca="1">VLOOKUP(表格1_6[[#This Row],[PO+ITEM]],工作表1!B:E,2,FALSE)</f>
        <v>#N/A</v>
      </c>
      <c r="AY367" s="425" t="e">
        <f ca="1">VLOOKUP(表格1_6[[#This Row],[PO+ITEM]],工作表1!B:E,3,FALSE)</f>
        <v>#N/A</v>
      </c>
      <c r="AZ367" s="423" t="e">
        <f ca="1">VLOOKUP(表格1_6[[#This Row],[PO+ITEM]],工作表1!B:E,4,FALSE)</f>
        <v>#N/A</v>
      </c>
      <c r="BA367" s="425" t="e">
        <f ca="1">INDEX(工作表1!G:G, MATCH(表格1_6[[#This Row],[invoice number]]&amp;表格1_6[[#This Row],[invoice number2]],工作表1!G:G, 0))</f>
        <v>#N/A</v>
      </c>
      <c r="BB367" s="423" t="e">
        <f ca="1">VLOOKUP(表格1_6[[#This Row],[PO+ITEM]],工作表1!F:H,2,FALSE)</f>
        <v>#N/A</v>
      </c>
    </row>
    <row r="368" spans="1:54" ht="15.6">
      <c r="A368" s="413">
        <v>367</v>
      </c>
      <c r="B368" s="413" t="s">
        <v>3674</v>
      </c>
      <c r="C368" s="414" t="s">
        <v>16</v>
      </c>
      <c r="D368" s="414" t="s">
        <v>3648</v>
      </c>
      <c r="E368" s="414"/>
      <c r="F368" s="414"/>
      <c r="G368" s="414"/>
      <c r="H368" s="414"/>
      <c r="I368" s="414"/>
      <c r="J368" s="414"/>
      <c r="K368" s="414"/>
      <c r="L368" s="415" t="s">
        <v>4749</v>
      </c>
      <c r="M368" s="416" t="s">
        <v>2206</v>
      </c>
      <c r="N368" s="416" t="s">
        <v>2999</v>
      </c>
      <c r="O368" s="417"/>
      <c r="P368" s="416">
        <v>4590004418</v>
      </c>
      <c r="Q368" s="418">
        <v>44802</v>
      </c>
      <c r="R368" s="419">
        <v>1</v>
      </c>
      <c r="S368" s="458">
        <v>3803.58</v>
      </c>
      <c r="T368" s="420" t="s">
        <v>2156</v>
      </c>
      <c r="U368" s="414" t="s">
        <v>4021</v>
      </c>
      <c r="V368" s="414" t="s">
        <v>4022</v>
      </c>
      <c r="W368" s="417" t="s">
        <v>4023</v>
      </c>
      <c r="X368" s="417"/>
      <c r="Y368" s="421" t="s">
        <v>3652</v>
      </c>
      <c r="Z368" s="421" t="s">
        <v>3652</v>
      </c>
      <c r="AA368" s="416" t="s">
        <v>4750</v>
      </c>
      <c r="AB368" s="414" t="s">
        <v>3664</v>
      </c>
      <c r="AC368" s="422"/>
      <c r="AD368" s="421"/>
      <c r="AE368" s="420"/>
      <c r="AF368" s="421">
        <v>90207</v>
      </c>
      <c r="AG368" s="420" t="s">
        <v>2643</v>
      </c>
      <c r="AH368" s="421" t="s">
        <v>3911</v>
      </c>
      <c r="AI368" s="420" t="s">
        <v>846</v>
      </c>
      <c r="AJ368" s="413" t="str">
        <f t="shared" si="22"/>
        <v>4590004418_001</v>
      </c>
      <c r="AK368" s="423"/>
      <c r="AL368" s="424">
        <v>45108</v>
      </c>
      <c r="AM368" s="221">
        <v>1521.432</v>
      </c>
      <c r="AN368" s="258">
        <v>45288</v>
      </c>
      <c r="AO368" s="423"/>
      <c r="AP368" s="413"/>
      <c r="AQ368" s="222"/>
      <c r="AR368" s="424"/>
      <c r="AS368" s="614">
        <f ca="1">表格1_6[[#This Row],[total amount]]/表格1_6[[#This Row],[PO$]]</f>
        <v>0.4</v>
      </c>
      <c r="AT368" s="223">
        <f ca="1">表格1_6[[#This Row],[invoice amount]]+表格1_6[[#This Row],[invoice amount2]]</f>
        <v>1521.432</v>
      </c>
      <c r="AU368" s="224" t="s">
        <v>3673</v>
      </c>
      <c r="AV368" s="423"/>
      <c r="AW368" s="423" t="e">
        <f ca="1">VLOOKUP(表格1_6[[#This Row],[TI tool ID2]],工作表1!A:A,1,FALSE)</f>
        <v>#N/A</v>
      </c>
      <c r="AX368" s="425" t="e">
        <f ca="1">VLOOKUP(表格1_6[[#This Row],[PO+ITEM]],工作表1!B:E,2,FALSE)</f>
        <v>#N/A</v>
      </c>
      <c r="AY368" s="425" t="e">
        <f ca="1">VLOOKUP(表格1_6[[#This Row],[PO+ITEM]],工作表1!B:E,3,FALSE)</f>
        <v>#N/A</v>
      </c>
      <c r="AZ368" s="423" t="e">
        <f ca="1">VLOOKUP(表格1_6[[#This Row],[PO+ITEM]],工作表1!B:E,4,FALSE)</f>
        <v>#N/A</v>
      </c>
      <c r="BA368" s="425" t="e">
        <f ca="1">INDEX(工作表1!G:G, MATCH(表格1_6[[#This Row],[invoice number]]&amp;表格1_6[[#This Row],[invoice number2]],工作表1!G:G, 0))</f>
        <v>#N/A</v>
      </c>
      <c r="BB368" s="423" t="e">
        <f ca="1">VLOOKUP(表格1_6[[#This Row],[PO+ITEM]],工作表1!F:H,2,FALSE)</f>
        <v>#N/A</v>
      </c>
    </row>
    <row r="369" spans="1:54" ht="15.6">
      <c r="A369" s="413">
        <v>368</v>
      </c>
      <c r="B369" s="413" t="s">
        <v>3659</v>
      </c>
      <c r="C369" s="414" t="s">
        <v>16</v>
      </c>
      <c r="D369" s="414" t="s">
        <v>3648</v>
      </c>
      <c r="E369" s="414"/>
      <c r="F369" s="414"/>
      <c r="G369" s="414"/>
      <c r="H369" s="414"/>
      <c r="I369" s="414"/>
      <c r="J369" s="414"/>
      <c r="K369" s="414"/>
      <c r="L369" s="415" t="s">
        <v>4751</v>
      </c>
      <c r="M369" s="416" t="s">
        <v>2206</v>
      </c>
      <c r="N369" s="416" t="s">
        <v>2999</v>
      </c>
      <c r="O369" s="417"/>
      <c r="P369" s="416">
        <v>4590004418</v>
      </c>
      <c r="Q369" s="418">
        <v>44802</v>
      </c>
      <c r="R369" s="419">
        <v>2</v>
      </c>
      <c r="S369" s="458">
        <v>3803.58</v>
      </c>
      <c r="T369" s="420" t="s">
        <v>2156</v>
      </c>
      <c r="U369" s="414" t="s">
        <v>4021</v>
      </c>
      <c r="V369" s="414" t="s">
        <v>4022</v>
      </c>
      <c r="W369" s="417" t="s">
        <v>4023</v>
      </c>
      <c r="X369" s="417"/>
      <c r="Y369" s="421" t="s">
        <v>3652</v>
      </c>
      <c r="Z369" s="421" t="s">
        <v>3652</v>
      </c>
      <c r="AA369" s="416" t="s">
        <v>4752</v>
      </c>
      <c r="AB369" s="414" t="s">
        <v>3664</v>
      </c>
      <c r="AC369" s="422"/>
      <c r="AD369" s="421"/>
      <c r="AE369" s="420"/>
      <c r="AF369" s="421">
        <v>90238</v>
      </c>
      <c r="AG369" s="420" t="s">
        <v>4753</v>
      </c>
      <c r="AH369" s="421" t="s">
        <v>3911</v>
      </c>
      <c r="AI369" s="420" t="s">
        <v>846</v>
      </c>
      <c r="AJ369" s="413" t="str">
        <f t="shared" si="22"/>
        <v>4590004418_002</v>
      </c>
      <c r="AK369" s="423"/>
      <c r="AL369" s="424">
        <v>45108</v>
      </c>
      <c r="AM369" s="221">
        <v>1521.432</v>
      </c>
      <c r="AN369" s="258">
        <v>45288</v>
      </c>
      <c r="AO369" s="423"/>
      <c r="AP369" s="413"/>
      <c r="AQ369" s="222"/>
      <c r="AR369" s="424"/>
      <c r="AS369" s="614">
        <f ca="1">表格1_6[[#This Row],[total amount]]/表格1_6[[#This Row],[PO$]]</f>
        <v>0.4</v>
      </c>
      <c r="AT369" s="223">
        <f ca="1">表格1_6[[#This Row],[invoice amount]]+表格1_6[[#This Row],[invoice amount2]]</f>
        <v>1521.432</v>
      </c>
      <c r="AU369" s="224" t="s">
        <v>3673</v>
      </c>
      <c r="AV369" s="423"/>
      <c r="AW369" s="423" t="e">
        <f ca="1">VLOOKUP(表格1_6[[#This Row],[TI tool ID2]],工作表1!A:A,1,FALSE)</f>
        <v>#N/A</v>
      </c>
      <c r="AX369" s="425" t="e">
        <f ca="1">VLOOKUP(表格1_6[[#This Row],[PO+ITEM]],工作表1!B:E,2,FALSE)</f>
        <v>#N/A</v>
      </c>
      <c r="AY369" s="425" t="e">
        <f ca="1">VLOOKUP(表格1_6[[#This Row],[PO+ITEM]],工作表1!B:E,3,FALSE)</f>
        <v>#N/A</v>
      </c>
      <c r="AZ369" s="423" t="e">
        <f ca="1">VLOOKUP(表格1_6[[#This Row],[PO+ITEM]],工作表1!B:E,4,FALSE)</f>
        <v>#N/A</v>
      </c>
      <c r="BA369" s="425" t="e">
        <f ca="1">INDEX(工作表1!G:G, MATCH(表格1_6[[#This Row],[invoice number]]&amp;表格1_6[[#This Row],[invoice number2]],工作表1!G:G, 0))</f>
        <v>#N/A</v>
      </c>
      <c r="BB369" s="423" t="e">
        <f ca="1">VLOOKUP(表格1_6[[#This Row],[PO+ITEM]],工作表1!F:H,2,FALSE)</f>
        <v>#N/A</v>
      </c>
    </row>
    <row r="370" spans="1:54" ht="15.6">
      <c r="A370" s="413">
        <v>369</v>
      </c>
      <c r="B370" s="413" t="s">
        <v>3674</v>
      </c>
      <c r="C370" s="414" t="s">
        <v>16</v>
      </c>
      <c r="D370" s="414" t="s">
        <v>3648</v>
      </c>
      <c r="E370" s="414"/>
      <c r="F370" s="414"/>
      <c r="G370" s="414"/>
      <c r="H370" s="414"/>
      <c r="I370" s="414"/>
      <c r="J370" s="414"/>
      <c r="K370" s="414"/>
      <c r="L370" s="415" t="s">
        <v>4754</v>
      </c>
      <c r="M370" s="416" t="s">
        <v>2206</v>
      </c>
      <c r="N370" s="416" t="s">
        <v>2999</v>
      </c>
      <c r="O370" s="417"/>
      <c r="P370" s="416">
        <v>4590004418</v>
      </c>
      <c r="Q370" s="418">
        <v>44802</v>
      </c>
      <c r="R370" s="419">
        <v>3</v>
      </c>
      <c r="S370" s="458">
        <v>3803.58</v>
      </c>
      <c r="T370" s="420" t="s">
        <v>2156</v>
      </c>
      <c r="U370" s="414" t="s">
        <v>4021</v>
      </c>
      <c r="V370" s="414" t="s">
        <v>4022</v>
      </c>
      <c r="W370" s="417" t="s">
        <v>4023</v>
      </c>
      <c r="X370" s="417"/>
      <c r="Y370" s="421" t="s">
        <v>3652</v>
      </c>
      <c r="Z370" s="421" t="s">
        <v>3652</v>
      </c>
      <c r="AA370" s="416" t="s">
        <v>4750</v>
      </c>
      <c r="AB370" s="414" t="s">
        <v>3664</v>
      </c>
      <c r="AC370" s="422"/>
      <c r="AD370" s="421"/>
      <c r="AE370" s="420"/>
      <c r="AF370" s="421">
        <v>90496</v>
      </c>
      <c r="AG370" s="420" t="s">
        <v>2727</v>
      </c>
      <c r="AH370" s="421" t="s">
        <v>3911</v>
      </c>
      <c r="AI370" s="420" t="s">
        <v>846</v>
      </c>
      <c r="AJ370" s="413" t="str">
        <f t="shared" si="22"/>
        <v>4590004418_003</v>
      </c>
      <c r="AK370" s="423"/>
      <c r="AL370" s="424">
        <v>45017</v>
      </c>
      <c r="AM370" s="221">
        <v>1521.432</v>
      </c>
      <c r="AN370" s="258">
        <v>45288</v>
      </c>
      <c r="AO370" s="423"/>
      <c r="AP370" s="413"/>
      <c r="AQ370" s="222"/>
      <c r="AR370" s="424"/>
      <c r="AS370" s="614">
        <f ca="1">表格1_6[[#This Row],[total amount]]/表格1_6[[#This Row],[PO$]]</f>
        <v>0.4</v>
      </c>
      <c r="AT370" s="223">
        <f ca="1">表格1_6[[#This Row],[invoice amount]]+表格1_6[[#This Row],[invoice amount2]]</f>
        <v>1521.432</v>
      </c>
      <c r="AU370" s="224" t="s">
        <v>3673</v>
      </c>
      <c r="AV370" s="423"/>
      <c r="AW370" s="423" t="e">
        <f ca="1">VLOOKUP(表格1_6[[#This Row],[TI tool ID2]],工作表1!A:A,1,FALSE)</f>
        <v>#N/A</v>
      </c>
      <c r="AX370" s="425" t="e">
        <f ca="1">VLOOKUP(表格1_6[[#This Row],[PO+ITEM]],工作表1!B:E,2,FALSE)</f>
        <v>#N/A</v>
      </c>
      <c r="AY370" s="425" t="e">
        <f ca="1">VLOOKUP(表格1_6[[#This Row],[PO+ITEM]],工作表1!B:E,3,FALSE)</f>
        <v>#N/A</v>
      </c>
      <c r="AZ370" s="423" t="e">
        <f ca="1">VLOOKUP(表格1_6[[#This Row],[PO+ITEM]],工作表1!B:E,4,FALSE)</f>
        <v>#N/A</v>
      </c>
      <c r="BA370" s="425" t="e">
        <f ca="1">INDEX(工作表1!G:G, MATCH(表格1_6[[#This Row],[invoice number]]&amp;表格1_6[[#This Row],[invoice number2]],工作表1!G:G, 0))</f>
        <v>#N/A</v>
      </c>
      <c r="BB370" s="423" t="e">
        <f ca="1">VLOOKUP(表格1_6[[#This Row],[PO+ITEM]],工作表1!F:H,2,FALSE)</f>
        <v>#N/A</v>
      </c>
    </row>
    <row r="371" spans="1:54" ht="15.6">
      <c r="A371" s="413">
        <v>370</v>
      </c>
      <c r="B371" s="413" t="s">
        <v>3674</v>
      </c>
      <c r="C371" s="414" t="s">
        <v>16</v>
      </c>
      <c r="D371" s="414" t="s">
        <v>3648</v>
      </c>
      <c r="E371" s="414"/>
      <c r="F371" s="414"/>
      <c r="G371" s="414"/>
      <c r="H371" s="414"/>
      <c r="I371" s="414"/>
      <c r="J371" s="414"/>
      <c r="K371" s="414"/>
      <c r="L371" s="415" t="s">
        <v>4755</v>
      </c>
      <c r="M371" s="416" t="s">
        <v>2206</v>
      </c>
      <c r="N371" s="416" t="s">
        <v>2999</v>
      </c>
      <c r="O371" s="417"/>
      <c r="P371" s="416">
        <v>4590004418</v>
      </c>
      <c r="Q371" s="418">
        <v>44802</v>
      </c>
      <c r="R371" s="419">
        <v>4</v>
      </c>
      <c r="S371" s="458">
        <v>8393.52</v>
      </c>
      <c r="T371" s="420" t="s">
        <v>2156</v>
      </c>
      <c r="U371" s="414" t="s">
        <v>4021</v>
      </c>
      <c r="V371" s="414" t="s">
        <v>4022</v>
      </c>
      <c r="W371" s="417" t="s">
        <v>4023</v>
      </c>
      <c r="X371" s="417"/>
      <c r="Y371" s="421" t="s">
        <v>3652</v>
      </c>
      <c r="Z371" s="421" t="s">
        <v>3652</v>
      </c>
      <c r="AA371" s="416" t="s">
        <v>4750</v>
      </c>
      <c r="AB371" s="414" t="s">
        <v>3664</v>
      </c>
      <c r="AC371" s="422"/>
      <c r="AD371" s="421"/>
      <c r="AE371" s="420"/>
      <c r="AF371" s="421">
        <v>90334</v>
      </c>
      <c r="AG371" s="420" t="s">
        <v>2700</v>
      </c>
      <c r="AH371" s="421" t="s">
        <v>3911</v>
      </c>
      <c r="AI371" s="420" t="s">
        <v>846</v>
      </c>
      <c r="AJ371" s="413" t="str">
        <f t="shared" si="22"/>
        <v>4590004418_004</v>
      </c>
      <c r="AK371" s="423"/>
      <c r="AL371" s="424">
        <v>45017</v>
      </c>
      <c r="AM371" s="221">
        <v>3357.4080000000004</v>
      </c>
      <c r="AN371" s="258">
        <v>45288</v>
      </c>
      <c r="AO371" s="423"/>
      <c r="AP371" s="413"/>
      <c r="AQ371" s="222"/>
      <c r="AR371" s="424"/>
      <c r="AS371" s="614">
        <f ca="1">表格1_6[[#This Row],[total amount]]/表格1_6[[#This Row],[PO$]]</f>
        <v>0.4</v>
      </c>
      <c r="AT371" s="223">
        <f ca="1">表格1_6[[#This Row],[invoice amount]]+表格1_6[[#This Row],[invoice amount2]]</f>
        <v>3357.4080000000004</v>
      </c>
      <c r="AU371" s="224" t="s">
        <v>3673</v>
      </c>
      <c r="AV371" s="423"/>
      <c r="AW371" s="423" t="e">
        <f ca="1">VLOOKUP(表格1_6[[#This Row],[TI tool ID2]],工作表1!A:A,1,FALSE)</f>
        <v>#N/A</v>
      </c>
      <c r="AX371" s="425" t="e">
        <f ca="1">VLOOKUP(表格1_6[[#This Row],[PO+ITEM]],工作表1!B:E,2,FALSE)</f>
        <v>#N/A</v>
      </c>
      <c r="AY371" s="425" t="e">
        <f ca="1">VLOOKUP(表格1_6[[#This Row],[PO+ITEM]],工作表1!B:E,3,FALSE)</f>
        <v>#N/A</v>
      </c>
      <c r="AZ371" s="423" t="e">
        <f ca="1">VLOOKUP(表格1_6[[#This Row],[PO+ITEM]],工作表1!B:E,4,FALSE)</f>
        <v>#N/A</v>
      </c>
      <c r="BA371" s="425" t="e">
        <f ca="1">INDEX(工作表1!G:G, MATCH(表格1_6[[#This Row],[invoice number]]&amp;表格1_6[[#This Row],[invoice number2]],工作表1!G:G, 0))</f>
        <v>#N/A</v>
      </c>
      <c r="BB371" s="423" t="e">
        <f ca="1">VLOOKUP(表格1_6[[#This Row],[PO+ITEM]],工作表1!F:H,2,FALSE)</f>
        <v>#N/A</v>
      </c>
    </row>
    <row r="372" spans="1:54" ht="15.6">
      <c r="A372" s="413">
        <v>371</v>
      </c>
      <c r="B372" s="413" t="s">
        <v>3674</v>
      </c>
      <c r="C372" s="414" t="s">
        <v>16</v>
      </c>
      <c r="D372" s="414" t="s">
        <v>3648</v>
      </c>
      <c r="E372" s="414"/>
      <c r="F372" s="414"/>
      <c r="G372" s="414"/>
      <c r="H372" s="414"/>
      <c r="I372" s="414"/>
      <c r="J372" s="414"/>
      <c r="K372" s="414"/>
      <c r="L372" s="415" t="s">
        <v>4756</v>
      </c>
      <c r="M372" s="416" t="s">
        <v>2206</v>
      </c>
      <c r="N372" s="416" t="s">
        <v>2999</v>
      </c>
      <c r="O372" s="417"/>
      <c r="P372" s="416">
        <v>4590004418</v>
      </c>
      <c r="Q372" s="418">
        <v>44802</v>
      </c>
      <c r="R372" s="419">
        <v>5</v>
      </c>
      <c r="S372" s="458">
        <v>10229.49</v>
      </c>
      <c r="T372" s="420" t="s">
        <v>2156</v>
      </c>
      <c r="U372" s="414" t="s">
        <v>4021</v>
      </c>
      <c r="V372" s="414" t="s">
        <v>4022</v>
      </c>
      <c r="W372" s="417" t="s">
        <v>4023</v>
      </c>
      <c r="X372" s="417"/>
      <c r="Y372" s="421" t="s">
        <v>3652</v>
      </c>
      <c r="Z372" s="421" t="s">
        <v>3652</v>
      </c>
      <c r="AA372" s="416" t="s">
        <v>4750</v>
      </c>
      <c r="AB372" s="414" t="s">
        <v>3664</v>
      </c>
      <c r="AC372" s="422"/>
      <c r="AD372" s="421"/>
      <c r="AE372" s="420"/>
      <c r="AF372" s="421">
        <v>90495</v>
      </c>
      <c r="AG372" s="420" t="s">
        <v>2710</v>
      </c>
      <c r="AH372" s="421" t="s">
        <v>3911</v>
      </c>
      <c r="AI372" s="420" t="s">
        <v>846</v>
      </c>
      <c r="AJ372" s="413" t="str">
        <f t="shared" si="22"/>
        <v>4590004418_005</v>
      </c>
      <c r="AK372" s="423"/>
      <c r="AL372" s="424">
        <v>45108</v>
      </c>
      <c r="AM372" s="221">
        <v>4091.7960000000003</v>
      </c>
      <c r="AN372" s="258">
        <v>45288</v>
      </c>
      <c r="AO372" s="423"/>
      <c r="AP372" s="413"/>
      <c r="AQ372" s="222"/>
      <c r="AR372" s="424"/>
      <c r="AS372" s="614">
        <f ca="1">表格1_6[[#This Row],[total amount]]/表格1_6[[#This Row],[PO$]]</f>
        <v>0.4</v>
      </c>
      <c r="AT372" s="223">
        <f ca="1">表格1_6[[#This Row],[invoice amount]]+表格1_6[[#This Row],[invoice amount2]]</f>
        <v>4091.7960000000003</v>
      </c>
      <c r="AU372" s="224" t="s">
        <v>3673</v>
      </c>
      <c r="AV372" s="423"/>
      <c r="AW372" s="423" t="e">
        <f ca="1">VLOOKUP(表格1_6[[#This Row],[TI tool ID2]],工作表1!A:A,1,FALSE)</f>
        <v>#N/A</v>
      </c>
      <c r="AX372" s="425" t="e">
        <f ca="1">VLOOKUP(表格1_6[[#This Row],[PO+ITEM]],工作表1!B:E,2,FALSE)</f>
        <v>#N/A</v>
      </c>
      <c r="AY372" s="425" t="e">
        <f ca="1">VLOOKUP(表格1_6[[#This Row],[PO+ITEM]],工作表1!B:E,3,FALSE)</f>
        <v>#N/A</v>
      </c>
      <c r="AZ372" s="423" t="e">
        <f ca="1">VLOOKUP(表格1_6[[#This Row],[PO+ITEM]],工作表1!B:E,4,FALSE)</f>
        <v>#N/A</v>
      </c>
      <c r="BA372" s="425" t="e">
        <f ca="1">INDEX(工作表1!G:G, MATCH(表格1_6[[#This Row],[invoice number]]&amp;表格1_6[[#This Row],[invoice number2]],工作表1!G:G, 0))</f>
        <v>#N/A</v>
      </c>
      <c r="BB372" s="423" t="e">
        <f ca="1">VLOOKUP(表格1_6[[#This Row],[PO+ITEM]],工作表1!F:H,2,FALSE)</f>
        <v>#N/A</v>
      </c>
    </row>
    <row r="373" spans="1:54" ht="15.6">
      <c r="A373" s="413">
        <v>372</v>
      </c>
      <c r="B373" s="413" t="s">
        <v>3674</v>
      </c>
      <c r="C373" s="414" t="s">
        <v>16</v>
      </c>
      <c r="D373" s="414" t="s">
        <v>3648</v>
      </c>
      <c r="E373" s="414"/>
      <c r="F373" s="414"/>
      <c r="G373" s="414"/>
      <c r="H373" s="414"/>
      <c r="I373" s="414"/>
      <c r="J373" s="414"/>
      <c r="K373" s="414"/>
      <c r="L373" s="420" t="s">
        <v>4757</v>
      </c>
      <c r="M373" s="416" t="s">
        <v>2206</v>
      </c>
      <c r="N373" s="416" t="s">
        <v>2999</v>
      </c>
      <c r="O373" s="417"/>
      <c r="P373" s="416">
        <v>4590004418</v>
      </c>
      <c r="Q373" s="418">
        <v>44802</v>
      </c>
      <c r="R373" s="419">
        <v>6</v>
      </c>
      <c r="S373" s="458">
        <v>7475.53</v>
      </c>
      <c r="T373" s="420" t="s">
        <v>2156</v>
      </c>
      <c r="U373" s="414" t="s">
        <v>4021</v>
      </c>
      <c r="V373" s="414" t="s">
        <v>4022</v>
      </c>
      <c r="W373" s="417" t="s">
        <v>4023</v>
      </c>
      <c r="X373" s="417"/>
      <c r="Y373" s="421" t="s">
        <v>3652</v>
      </c>
      <c r="Z373" s="421" t="s">
        <v>3652</v>
      </c>
      <c r="AA373" s="416" t="s">
        <v>4750</v>
      </c>
      <c r="AB373" s="414" t="s">
        <v>3664</v>
      </c>
      <c r="AC373" s="422"/>
      <c r="AD373" s="421"/>
      <c r="AE373" s="420"/>
      <c r="AF373" s="421">
        <v>90210</v>
      </c>
      <c r="AG373" s="420" t="s">
        <v>2677</v>
      </c>
      <c r="AH373" s="421" t="s">
        <v>3911</v>
      </c>
      <c r="AI373" s="420" t="s">
        <v>846</v>
      </c>
      <c r="AJ373" s="413" t="str">
        <f t="shared" si="22"/>
        <v>4590004418_006</v>
      </c>
      <c r="AK373" s="423"/>
      <c r="AL373" s="424">
        <v>45017</v>
      </c>
      <c r="AM373" s="221">
        <v>2990.212</v>
      </c>
      <c r="AN373" s="258">
        <v>45288</v>
      </c>
      <c r="AO373" s="423"/>
      <c r="AP373" s="413"/>
      <c r="AQ373" s="222"/>
      <c r="AR373" s="424"/>
      <c r="AS373" s="614">
        <f ca="1">表格1_6[[#This Row],[total amount]]/表格1_6[[#This Row],[PO$]]</f>
        <v>0.4</v>
      </c>
      <c r="AT373" s="223">
        <f ca="1">表格1_6[[#This Row],[invoice amount]]+表格1_6[[#This Row],[invoice amount2]]</f>
        <v>2990.212</v>
      </c>
      <c r="AU373" s="224" t="s">
        <v>3673</v>
      </c>
      <c r="AV373" s="423"/>
      <c r="AW373" s="423" t="e">
        <f ca="1">VLOOKUP(表格1_6[[#This Row],[TI tool ID2]],工作表1!A:A,1,FALSE)</f>
        <v>#N/A</v>
      </c>
      <c r="AX373" s="425" t="e">
        <f ca="1">VLOOKUP(表格1_6[[#This Row],[PO+ITEM]],工作表1!B:E,2,FALSE)</f>
        <v>#N/A</v>
      </c>
      <c r="AY373" s="425" t="e">
        <f ca="1">VLOOKUP(表格1_6[[#This Row],[PO+ITEM]],工作表1!B:E,3,FALSE)</f>
        <v>#N/A</v>
      </c>
      <c r="AZ373" s="423" t="e">
        <f ca="1">VLOOKUP(表格1_6[[#This Row],[PO+ITEM]],工作表1!B:E,4,FALSE)</f>
        <v>#N/A</v>
      </c>
      <c r="BA373" s="425" t="e">
        <f ca="1">INDEX(工作表1!G:G, MATCH(表格1_6[[#This Row],[invoice number]]&amp;表格1_6[[#This Row],[invoice number2]],工作表1!G:G, 0))</f>
        <v>#N/A</v>
      </c>
      <c r="BB373" s="423" t="e">
        <f ca="1">VLOOKUP(表格1_6[[#This Row],[PO+ITEM]],工作表1!F:H,2,FALSE)</f>
        <v>#N/A</v>
      </c>
    </row>
    <row r="374" spans="1:54" ht="15.6">
      <c r="A374" s="413">
        <v>373</v>
      </c>
      <c r="B374" s="413" t="s">
        <v>3674</v>
      </c>
      <c r="C374" s="414" t="s">
        <v>16</v>
      </c>
      <c r="D374" s="414" t="s">
        <v>3648</v>
      </c>
      <c r="E374" s="414"/>
      <c r="F374" s="414"/>
      <c r="G374" s="414"/>
      <c r="H374" s="414"/>
      <c r="I374" s="414"/>
      <c r="J374" s="414"/>
      <c r="K374" s="414"/>
      <c r="L374" s="415" t="s">
        <v>4758</v>
      </c>
      <c r="M374" s="416" t="s">
        <v>2206</v>
      </c>
      <c r="N374" s="416" t="s">
        <v>2999</v>
      </c>
      <c r="O374" s="417"/>
      <c r="P374" s="416">
        <v>4590004418</v>
      </c>
      <c r="Q374" s="418">
        <v>44802</v>
      </c>
      <c r="R374" s="419">
        <v>7</v>
      </c>
      <c r="S374" s="458">
        <v>7475.53</v>
      </c>
      <c r="T374" s="420" t="s">
        <v>2156</v>
      </c>
      <c r="U374" s="414" t="s">
        <v>4021</v>
      </c>
      <c r="V374" s="414" t="s">
        <v>4022</v>
      </c>
      <c r="W374" s="417" t="s">
        <v>4023</v>
      </c>
      <c r="X374" s="417"/>
      <c r="Y374" s="421" t="s">
        <v>3652</v>
      </c>
      <c r="Z374" s="421" t="s">
        <v>3652</v>
      </c>
      <c r="AA374" s="416" t="s">
        <v>4750</v>
      </c>
      <c r="AB374" s="414" t="s">
        <v>3664</v>
      </c>
      <c r="AC374" s="422"/>
      <c r="AD374" s="421"/>
      <c r="AE374" s="420"/>
      <c r="AF374" s="421">
        <v>90209</v>
      </c>
      <c r="AG374" s="420" t="s">
        <v>4759</v>
      </c>
      <c r="AH374" s="421" t="s">
        <v>3911</v>
      </c>
      <c r="AI374" s="420" t="s">
        <v>846</v>
      </c>
      <c r="AJ374" s="413" t="str">
        <f t="shared" si="22"/>
        <v>4590004418_007</v>
      </c>
      <c r="AK374" s="423"/>
      <c r="AL374" s="424">
        <v>45047</v>
      </c>
      <c r="AM374" s="221">
        <v>2990.212</v>
      </c>
      <c r="AN374" s="258">
        <v>45288</v>
      </c>
      <c r="AO374" s="423"/>
      <c r="AP374" s="413"/>
      <c r="AQ374" s="222"/>
      <c r="AR374" s="424"/>
      <c r="AS374" s="614">
        <f ca="1">表格1_6[[#This Row],[total amount]]/表格1_6[[#This Row],[PO$]]</f>
        <v>0.4</v>
      </c>
      <c r="AT374" s="223">
        <f ca="1">表格1_6[[#This Row],[invoice amount]]+表格1_6[[#This Row],[invoice amount2]]</f>
        <v>2990.212</v>
      </c>
      <c r="AU374" s="224" t="s">
        <v>3673</v>
      </c>
      <c r="AV374" s="423"/>
      <c r="AW374" s="423" t="e">
        <f ca="1">VLOOKUP(表格1_6[[#This Row],[TI tool ID2]],工作表1!A:A,1,FALSE)</f>
        <v>#N/A</v>
      </c>
      <c r="AX374" s="425" t="e">
        <f ca="1">VLOOKUP(表格1_6[[#This Row],[PO+ITEM]],工作表1!B:E,2,FALSE)</f>
        <v>#N/A</v>
      </c>
      <c r="AY374" s="425" t="e">
        <f ca="1">VLOOKUP(表格1_6[[#This Row],[PO+ITEM]],工作表1!B:E,3,FALSE)</f>
        <v>#N/A</v>
      </c>
      <c r="AZ374" s="423" t="e">
        <f ca="1">VLOOKUP(表格1_6[[#This Row],[PO+ITEM]],工作表1!B:E,4,FALSE)</f>
        <v>#N/A</v>
      </c>
      <c r="BA374" s="425" t="e">
        <f ca="1">INDEX(工作表1!G:G, MATCH(表格1_6[[#This Row],[invoice number]]&amp;表格1_6[[#This Row],[invoice number2]],工作表1!G:G, 0))</f>
        <v>#N/A</v>
      </c>
      <c r="BB374" s="423" t="e">
        <f ca="1">VLOOKUP(表格1_6[[#This Row],[PO+ITEM]],工作表1!F:H,2,FALSE)</f>
        <v>#N/A</v>
      </c>
    </row>
    <row r="375" spans="1:54" ht="15.6">
      <c r="A375" s="413">
        <v>374</v>
      </c>
      <c r="B375" s="413" t="s">
        <v>3674</v>
      </c>
      <c r="C375" s="414" t="s">
        <v>16</v>
      </c>
      <c r="D375" s="414" t="s">
        <v>3648</v>
      </c>
      <c r="E375" s="414"/>
      <c r="F375" s="414"/>
      <c r="G375" s="414"/>
      <c r="H375" s="414"/>
      <c r="I375" s="414"/>
      <c r="J375" s="414"/>
      <c r="K375" s="414"/>
      <c r="L375" s="420" t="s">
        <v>4760</v>
      </c>
      <c r="M375" s="416" t="s">
        <v>2206</v>
      </c>
      <c r="N375" s="416" t="s">
        <v>2999</v>
      </c>
      <c r="O375" s="417"/>
      <c r="P375" s="416">
        <v>4590004418</v>
      </c>
      <c r="Q375" s="418">
        <v>44802</v>
      </c>
      <c r="R375" s="419">
        <v>8</v>
      </c>
      <c r="S375" s="458">
        <v>7475.53</v>
      </c>
      <c r="T375" s="420" t="s">
        <v>2156</v>
      </c>
      <c r="U375" s="414" t="s">
        <v>4021</v>
      </c>
      <c r="V375" s="414" t="s">
        <v>4022</v>
      </c>
      <c r="W375" s="417" t="s">
        <v>4023</v>
      </c>
      <c r="X375" s="417"/>
      <c r="Y375" s="421" t="s">
        <v>3652</v>
      </c>
      <c r="Z375" s="421" t="s">
        <v>3652</v>
      </c>
      <c r="AA375" s="416" t="s">
        <v>4750</v>
      </c>
      <c r="AB375" s="414" t="s">
        <v>3664</v>
      </c>
      <c r="AC375" s="422"/>
      <c r="AD375" s="421"/>
      <c r="AE375" s="420"/>
      <c r="AF375" s="421">
        <v>90208</v>
      </c>
      <c r="AG375" s="420" t="s">
        <v>4761</v>
      </c>
      <c r="AH375" s="421" t="s">
        <v>3911</v>
      </c>
      <c r="AI375" s="420" t="s">
        <v>846</v>
      </c>
      <c r="AJ375" s="413" t="str">
        <f t="shared" si="22"/>
        <v>4590004418_008</v>
      </c>
      <c r="AK375" s="423"/>
      <c r="AL375" s="424">
        <v>45047</v>
      </c>
      <c r="AM375" s="221">
        <v>2990.212</v>
      </c>
      <c r="AN375" s="228">
        <v>45303</v>
      </c>
      <c r="AO375" s="423"/>
      <c r="AP375" s="413"/>
      <c r="AQ375" s="222"/>
      <c r="AR375" s="424"/>
      <c r="AS375" s="614">
        <f ca="1">表格1_6[[#This Row],[total amount]]/表格1_6[[#This Row],[PO$]]</f>
        <v>0.4</v>
      </c>
      <c r="AT375" s="223">
        <f ca="1">表格1_6[[#This Row],[invoice amount]]+表格1_6[[#This Row],[invoice amount2]]</f>
        <v>2990.212</v>
      </c>
      <c r="AU375" s="224" t="s">
        <v>3673</v>
      </c>
      <c r="AV375" s="423"/>
      <c r="AW375" s="423" t="e">
        <f ca="1">VLOOKUP(表格1_6[[#This Row],[TI tool ID2]],工作表1!A:A,1,FALSE)</f>
        <v>#N/A</v>
      </c>
      <c r="AX375" s="425" t="e">
        <f ca="1">VLOOKUP(表格1_6[[#This Row],[PO+ITEM]],工作表1!B:E,2,FALSE)</f>
        <v>#N/A</v>
      </c>
      <c r="AY375" s="425" t="e">
        <f ca="1">VLOOKUP(表格1_6[[#This Row],[PO+ITEM]],工作表1!B:E,3,FALSE)</f>
        <v>#N/A</v>
      </c>
      <c r="AZ375" s="423" t="e">
        <f ca="1">VLOOKUP(表格1_6[[#This Row],[PO+ITEM]],工作表1!B:E,4,FALSE)</f>
        <v>#N/A</v>
      </c>
      <c r="BA375" s="425" t="e">
        <f ca="1">INDEX(工作表1!G:G, MATCH(表格1_6[[#This Row],[invoice number]]&amp;表格1_6[[#This Row],[invoice number2]],工作表1!G:G, 0))</f>
        <v>#N/A</v>
      </c>
      <c r="BB375" s="423" t="e">
        <f ca="1">VLOOKUP(表格1_6[[#This Row],[PO+ITEM]],工作表1!F:H,2,FALSE)</f>
        <v>#N/A</v>
      </c>
    </row>
    <row r="376" spans="1:54" ht="15.6">
      <c r="A376" s="413">
        <v>375</v>
      </c>
      <c r="B376" s="413" t="s">
        <v>3674</v>
      </c>
      <c r="C376" s="414" t="s">
        <v>16</v>
      </c>
      <c r="D376" s="414" t="s">
        <v>3648</v>
      </c>
      <c r="E376" s="414"/>
      <c r="F376" s="414"/>
      <c r="G376" s="414"/>
      <c r="H376" s="414"/>
      <c r="I376" s="414"/>
      <c r="J376" s="414"/>
      <c r="K376" s="414"/>
      <c r="L376" s="415" t="s">
        <v>4762</v>
      </c>
      <c r="M376" s="416" t="s">
        <v>2206</v>
      </c>
      <c r="N376" s="416" t="s">
        <v>2999</v>
      </c>
      <c r="O376" s="417"/>
      <c r="P376" s="416">
        <v>4590004418</v>
      </c>
      <c r="Q376" s="418">
        <v>44802</v>
      </c>
      <c r="R376" s="419">
        <v>9</v>
      </c>
      <c r="S376" s="458">
        <v>3803.58</v>
      </c>
      <c r="T376" s="420" t="s">
        <v>2156</v>
      </c>
      <c r="U376" s="414" t="s">
        <v>4021</v>
      </c>
      <c r="V376" s="414" t="s">
        <v>4022</v>
      </c>
      <c r="W376" s="417" t="s">
        <v>4023</v>
      </c>
      <c r="X376" s="417"/>
      <c r="Y376" s="421" t="s">
        <v>3652</v>
      </c>
      <c r="Z376" s="421" t="s">
        <v>3652</v>
      </c>
      <c r="AA376" s="416" t="s">
        <v>4750</v>
      </c>
      <c r="AB376" s="414" t="s">
        <v>3664</v>
      </c>
      <c r="AC376" s="422"/>
      <c r="AD376" s="421"/>
      <c r="AE376" s="420"/>
      <c r="AF376" s="421">
        <v>90237</v>
      </c>
      <c r="AG376" s="420" t="s">
        <v>2704</v>
      </c>
      <c r="AH376" s="421" t="s">
        <v>3911</v>
      </c>
      <c r="AI376" s="420" t="s">
        <v>846</v>
      </c>
      <c r="AJ376" s="413" t="str">
        <f t="shared" si="22"/>
        <v>4590004418_009</v>
      </c>
      <c r="AK376" s="423"/>
      <c r="AL376" s="424">
        <v>45017</v>
      </c>
      <c r="AM376" s="221">
        <v>1521.432</v>
      </c>
      <c r="AN376" s="258">
        <v>45288</v>
      </c>
      <c r="AO376" s="423"/>
      <c r="AP376" s="413"/>
      <c r="AQ376" s="222"/>
      <c r="AR376" s="424"/>
      <c r="AS376" s="614">
        <f ca="1">表格1_6[[#This Row],[total amount]]/表格1_6[[#This Row],[PO$]]</f>
        <v>0.4</v>
      </c>
      <c r="AT376" s="223">
        <f ca="1">表格1_6[[#This Row],[invoice amount]]+表格1_6[[#This Row],[invoice amount2]]</f>
        <v>1521.432</v>
      </c>
      <c r="AU376" s="224" t="s">
        <v>3673</v>
      </c>
      <c r="AV376" s="423"/>
      <c r="AW376" s="423" t="e">
        <f ca="1">VLOOKUP(表格1_6[[#This Row],[TI tool ID2]],工作表1!A:A,1,FALSE)</f>
        <v>#N/A</v>
      </c>
      <c r="AX376" s="425" t="e">
        <f ca="1">VLOOKUP(表格1_6[[#This Row],[PO+ITEM]],工作表1!B:E,2,FALSE)</f>
        <v>#N/A</v>
      </c>
      <c r="AY376" s="425" t="e">
        <f ca="1">VLOOKUP(表格1_6[[#This Row],[PO+ITEM]],工作表1!B:E,3,FALSE)</f>
        <v>#N/A</v>
      </c>
      <c r="AZ376" s="423" t="e">
        <f ca="1">VLOOKUP(表格1_6[[#This Row],[PO+ITEM]],工作表1!B:E,4,FALSE)</f>
        <v>#N/A</v>
      </c>
      <c r="BA376" s="425" t="e">
        <f ca="1">INDEX(工作表1!G:G, MATCH(表格1_6[[#This Row],[invoice number]]&amp;表格1_6[[#This Row],[invoice number2]],工作表1!G:G, 0))</f>
        <v>#N/A</v>
      </c>
      <c r="BB376" s="423" t="e">
        <f ca="1">VLOOKUP(表格1_6[[#This Row],[PO+ITEM]],工作表1!F:H,2,FALSE)</f>
        <v>#N/A</v>
      </c>
    </row>
    <row r="377" spans="1:54" ht="15.6">
      <c r="A377" s="413">
        <v>376</v>
      </c>
      <c r="B377" s="413" t="s">
        <v>3674</v>
      </c>
      <c r="C377" s="414" t="s">
        <v>16</v>
      </c>
      <c r="D377" s="414" t="s">
        <v>3648</v>
      </c>
      <c r="E377" s="414"/>
      <c r="F377" s="414"/>
      <c r="G377" s="414"/>
      <c r="H377" s="414"/>
      <c r="I377" s="414"/>
      <c r="J377" s="414"/>
      <c r="K377" s="414"/>
      <c r="L377" s="415" t="s">
        <v>4763</v>
      </c>
      <c r="M377" s="416" t="s">
        <v>2206</v>
      </c>
      <c r="N377" s="416" t="s">
        <v>2999</v>
      </c>
      <c r="O377" s="417"/>
      <c r="P377" s="416">
        <v>4590004418</v>
      </c>
      <c r="Q377" s="418">
        <v>44802</v>
      </c>
      <c r="R377" s="419">
        <v>10</v>
      </c>
      <c r="S377" s="458">
        <v>3803.58</v>
      </c>
      <c r="T377" s="420" t="s">
        <v>2156</v>
      </c>
      <c r="U377" s="414" t="s">
        <v>4021</v>
      </c>
      <c r="V377" s="414" t="s">
        <v>4022</v>
      </c>
      <c r="W377" s="417" t="s">
        <v>4023</v>
      </c>
      <c r="X377" s="417"/>
      <c r="Y377" s="421" t="s">
        <v>3652</v>
      </c>
      <c r="Z377" s="421" t="s">
        <v>3652</v>
      </c>
      <c r="AA377" s="416" t="s">
        <v>4750</v>
      </c>
      <c r="AB377" s="414" t="s">
        <v>3664</v>
      </c>
      <c r="AC377" s="422"/>
      <c r="AD377" s="421"/>
      <c r="AE377" s="420"/>
      <c r="AF377" s="421">
        <v>90492</v>
      </c>
      <c r="AG377" s="420" t="s">
        <v>2706</v>
      </c>
      <c r="AH377" s="421" t="s">
        <v>3911</v>
      </c>
      <c r="AI377" s="420" t="s">
        <v>846</v>
      </c>
      <c r="AJ377" s="413" t="str">
        <f t="shared" ref="AJ377:AJ388" si="23">P377&amp;"_0"&amp;R377</f>
        <v>4590004418_010</v>
      </c>
      <c r="AK377" s="423"/>
      <c r="AL377" s="424">
        <v>45017</v>
      </c>
      <c r="AM377" s="221">
        <v>1521.432</v>
      </c>
      <c r="AN377" s="258">
        <v>45288</v>
      </c>
      <c r="AO377" s="423"/>
      <c r="AP377" s="413"/>
      <c r="AQ377" s="222"/>
      <c r="AR377" s="424"/>
      <c r="AS377" s="614">
        <f ca="1">表格1_6[[#This Row],[total amount]]/表格1_6[[#This Row],[PO$]]</f>
        <v>0.4</v>
      </c>
      <c r="AT377" s="223">
        <f ca="1">表格1_6[[#This Row],[invoice amount]]+表格1_6[[#This Row],[invoice amount2]]</f>
        <v>1521.432</v>
      </c>
      <c r="AU377" s="224" t="s">
        <v>3673</v>
      </c>
      <c r="AV377" s="423"/>
      <c r="AW377" s="423" t="e">
        <f ca="1">VLOOKUP(表格1_6[[#This Row],[TI tool ID2]],工作表1!A:A,1,FALSE)</f>
        <v>#N/A</v>
      </c>
      <c r="AX377" s="425" t="e">
        <f ca="1">VLOOKUP(表格1_6[[#This Row],[PO+ITEM]],工作表1!B:E,2,FALSE)</f>
        <v>#N/A</v>
      </c>
      <c r="AY377" s="425" t="e">
        <f ca="1">VLOOKUP(表格1_6[[#This Row],[PO+ITEM]],工作表1!B:E,3,FALSE)</f>
        <v>#N/A</v>
      </c>
      <c r="AZ377" s="423" t="e">
        <f ca="1">VLOOKUP(表格1_6[[#This Row],[PO+ITEM]],工作表1!B:E,4,FALSE)</f>
        <v>#N/A</v>
      </c>
      <c r="BA377" s="425" t="e">
        <f ca="1">INDEX(工作表1!G:G, MATCH(表格1_6[[#This Row],[invoice number]]&amp;表格1_6[[#This Row],[invoice number2]],工作表1!G:G, 0))</f>
        <v>#N/A</v>
      </c>
      <c r="BB377" s="423" t="e">
        <f ca="1">VLOOKUP(表格1_6[[#This Row],[PO+ITEM]],工作表1!F:H,2,FALSE)</f>
        <v>#N/A</v>
      </c>
    </row>
    <row r="378" spans="1:54" ht="15.6">
      <c r="A378" s="413">
        <v>377</v>
      </c>
      <c r="B378" s="413" t="s">
        <v>3674</v>
      </c>
      <c r="C378" s="414" t="s">
        <v>16</v>
      </c>
      <c r="D378" s="414" t="s">
        <v>3648</v>
      </c>
      <c r="E378" s="414"/>
      <c r="F378" s="414"/>
      <c r="G378" s="414"/>
      <c r="H378" s="414"/>
      <c r="I378" s="414"/>
      <c r="J378" s="414"/>
      <c r="K378" s="414"/>
      <c r="L378" s="415" t="s">
        <v>4764</v>
      </c>
      <c r="M378" s="416" t="s">
        <v>2206</v>
      </c>
      <c r="N378" s="416" t="s">
        <v>2999</v>
      </c>
      <c r="O378" s="417"/>
      <c r="P378" s="416">
        <v>4590004418</v>
      </c>
      <c r="Q378" s="418">
        <v>44802</v>
      </c>
      <c r="R378" s="419">
        <v>11</v>
      </c>
      <c r="S378" s="458">
        <v>3803.58</v>
      </c>
      <c r="T378" s="420" t="s">
        <v>2156</v>
      </c>
      <c r="U378" s="414" t="s">
        <v>4021</v>
      </c>
      <c r="V378" s="414" t="s">
        <v>4022</v>
      </c>
      <c r="W378" s="417" t="s">
        <v>4023</v>
      </c>
      <c r="X378" s="417"/>
      <c r="Y378" s="421" t="s">
        <v>3652</v>
      </c>
      <c r="Z378" s="421" t="s">
        <v>3652</v>
      </c>
      <c r="AA378" s="416" t="s">
        <v>4750</v>
      </c>
      <c r="AB378" s="414" t="s">
        <v>3664</v>
      </c>
      <c r="AC378" s="422"/>
      <c r="AD378" s="421"/>
      <c r="AE378" s="420"/>
      <c r="AF378" s="421">
        <v>90491</v>
      </c>
      <c r="AG378" s="420" t="s">
        <v>4765</v>
      </c>
      <c r="AH378" s="421" t="s">
        <v>3911</v>
      </c>
      <c r="AI378" s="420" t="s">
        <v>846</v>
      </c>
      <c r="AJ378" s="413" t="str">
        <f t="shared" si="23"/>
        <v>4590004418_011</v>
      </c>
      <c r="AK378" s="423"/>
      <c r="AL378" s="424">
        <v>45017</v>
      </c>
      <c r="AM378" s="221">
        <v>1521.432</v>
      </c>
      <c r="AN378" s="258">
        <v>45288</v>
      </c>
      <c r="AO378" s="423"/>
      <c r="AP378" s="413"/>
      <c r="AQ378" s="222"/>
      <c r="AR378" s="424"/>
      <c r="AS378" s="614">
        <f ca="1">表格1_6[[#This Row],[total amount]]/表格1_6[[#This Row],[PO$]]</f>
        <v>0.4</v>
      </c>
      <c r="AT378" s="223">
        <f ca="1">表格1_6[[#This Row],[invoice amount]]+表格1_6[[#This Row],[invoice amount2]]</f>
        <v>1521.432</v>
      </c>
      <c r="AU378" s="224" t="s">
        <v>3673</v>
      </c>
      <c r="AV378" s="423"/>
      <c r="AW378" s="423" t="e">
        <f ca="1">VLOOKUP(表格1_6[[#This Row],[TI tool ID2]],工作表1!A:A,1,FALSE)</f>
        <v>#N/A</v>
      </c>
      <c r="AX378" s="425" t="e">
        <f ca="1">VLOOKUP(表格1_6[[#This Row],[PO+ITEM]],工作表1!B:E,2,FALSE)</f>
        <v>#N/A</v>
      </c>
      <c r="AY378" s="425" t="e">
        <f ca="1">VLOOKUP(表格1_6[[#This Row],[PO+ITEM]],工作表1!B:E,3,FALSE)</f>
        <v>#N/A</v>
      </c>
      <c r="AZ378" s="423" t="e">
        <f ca="1">VLOOKUP(表格1_6[[#This Row],[PO+ITEM]],工作表1!B:E,4,FALSE)</f>
        <v>#N/A</v>
      </c>
      <c r="BA378" s="425" t="e">
        <f ca="1">INDEX(工作表1!G:G, MATCH(表格1_6[[#This Row],[invoice number]]&amp;表格1_6[[#This Row],[invoice number2]],工作表1!G:G, 0))</f>
        <v>#N/A</v>
      </c>
      <c r="BB378" s="423" t="e">
        <f ca="1">VLOOKUP(表格1_6[[#This Row],[PO+ITEM]],工作表1!F:H,2,FALSE)</f>
        <v>#N/A</v>
      </c>
    </row>
    <row r="379" spans="1:54" ht="15.6">
      <c r="A379" s="413">
        <v>378</v>
      </c>
      <c r="B379" s="413" t="s">
        <v>3674</v>
      </c>
      <c r="C379" s="414" t="s">
        <v>16</v>
      </c>
      <c r="D379" s="414" t="s">
        <v>3648</v>
      </c>
      <c r="E379" s="414"/>
      <c r="F379" s="414"/>
      <c r="G379" s="414"/>
      <c r="H379" s="414"/>
      <c r="I379" s="414"/>
      <c r="J379" s="414"/>
      <c r="K379" s="414"/>
      <c r="L379" s="415" t="s">
        <v>4766</v>
      </c>
      <c r="M379" s="416" t="s">
        <v>2206</v>
      </c>
      <c r="N379" s="416" t="s">
        <v>2999</v>
      </c>
      <c r="O379" s="417"/>
      <c r="P379" s="416">
        <v>4590004418</v>
      </c>
      <c r="Q379" s="418">
        <v>44802</v>
      </c>
      <c r="R379" s="419">
        <v>12</v>
      </c>
      <c r="S379" s="458">
        <v>6557.54</v>
      </c>
      <c r="T379" s="420" t="s">
        <v>2156</v>
      </c>
      <c r="U379" s="414" t="s">
        <v>4021</v>
      </c>
      <c r="V379" s="414" t="s">
        <v>4022</v>
      </c>
      <c r="W379" s="417" t="s">
        <v>4023</v>
      </c>
      <c r="X379" s="417"/>
      <c r="Y379" s="421" t="s">
        <v>3652</v>
      </c>
      <c r="Z379" s="421" t="s">
        <v>3652</v>
      </c>
      <c r="AA379" s="416" t="s">
        <v>4750</v>
      </c>
      <c r="AB379" s="414" t="s">
        <v>3664</v>
      </c>
      <c r="AC379" s="422"/>
      <c r="AD379" s="421"/>
      <c r="AE379" s="420"/>
      <c r="AF379" s="421">
        <v>90572</v>
      </c>
      <c r="AG379" s="420" t="s">
        <v>2555</v>
      </c>
      <c r="AH379" s="421" t="s">
        <v>3911</v>
      </c>
      <c r="AI379" s="420" t="s">
        <v>846</v>
      </c>
      <c r="AJ379" s="413" t="str">
        <f t="shared" si="23"/>
        <v>4590004418_012</v>
      </c>
      <c r="AK379" s="423"/>
      <c r="AL379" s="424">
        <v>45017</v>
      </c>
      <c r="AM379" s="221">
        <v>2623.0160000000001</v>
      </c>
      <c r="AN379" s="258">
        <v>45288</v>
      </c>
      <c r="AO379" s="423"/>
      <c r="AP379" s="413"/>
      <c r="AQ379" s="222"/>
      <c r="AR379" s="424"/>
      <c r="AS379" s="614">
        <f ca="1">表格1_6[[#This Row],[total amount]]/表格1_6[[#This Row],[PO$]]</f>
        <v>0.4</v>
      </c>
      <c r="AT379" s="223">
        <f ca="1">表格1_6[[#This Row],[invoice amount]]+表格1_6[[#This Row],[invoice amount2]]</f>
        <v>2623.0160000000001</v>
      </c>
      <c r="AU379" s="224" t="s">
        <v>3673</v>
      </c>
      <c r="AV379" s="423"/>
      <c r="AW379" s="423" t="e">
        <f ca="1">VLOOKUP(表格1_6[[#This Row],[TI tool ID2]],工作表1!A:A,1,FALSE)</f>
        <v>#N/A</v>
      </c>
      <c r="AX379" s="425" t="e">
        <f ca="1">VLOOKUP(表格1_6[[#This Row],[PO+ITEM]],工作表1!B:E,2,FALSE)</f>
        <v>#N/A</v>
      </c>
      <c r="AY379" s="425" t="e">
        <f ca="1">VLOOKUP(表格1_6[[#This Row],[PO+ITEM]],工作表1!B:E,3,FALSE)</f>
        <v>#N/A</v>
      </c>
      <c r="AZ379" s="423" t="e">
        <f ca="1">VLOOKUP(表格1_6[[#This Row],[PO+ITEM]],工作表1!B:E,4,FALSE)</f>
        <v>#N/A</v>
      </c>
      <c r="BA379" s="425" t="e">
        <f ca="1">INDEX(工作表1!G:G, MATCH(表格1_6[[#This Row],[invoice number]]&amp;表格1_6[[#This Row],[invoice number2]],工作表1!G:G, 0))</f>
        <v>#N/A</v>
      </c>
      <c r="BB379" s="423" t="e">
        <f ca="1">VLOOKUP(表格1_6[[#This Row],[PO+ITEM]],工作表1!F:H,2,FALSE)</f>
        <v>#N/A</v>
      </c>
    </row>
    <row r="380" spans="1:54" ht="15.6">
      <c r="A380" s="413">
        <v>379</v>
      </c>
      <c r="B380" s="413" t="s">
        <v>3674</v>
      </c>
      <c r="C380" s="414" t="s">
        <v>16</v>
      </c>
      <c r="D380" s="414" t="s">
        <v>3648</v>
      </c>
      <c r="E380" s="414"/>
      <c r="F380" s="414"/>
      <c r="G380" s="414"/>
      <c r="H380" s="414"/>
      <c r="I380" s="414"/>
      <c r="J380" s="414"/>
      <c r="K380" s="414"/>
      <c r="L380" s="420" t="s">
        <v>4767</v>
      </c>
      <c r="M380" s="416" t="s">
        <v>2206</v>
      </c>
      <c r="N380" s="416" t="s">
        <v>2999</v>
      </c>
      <c r="O380" s="417"/>
      <c r="P380" s="416">
        <v>4590004418</v>
      </c>
      <c r="Q380" s="418">
        <v>44802</v>
      </c>
      <c r="R380" s="419">
        <v>13</v>
      </c>
      <c r="S380" s="458">
        <v>3803.58</v>
      </c>
      <c r="T380" s="420" t="s">
        <v>2156</v>
      </c>
      <c r="U380" s="414" t="s">
        <v>4021</v>
      </c>
      <c r="V380" s="414" t="s">
        <v>4022</v>
      </c>
      <c r="W380" s="417" t="s">
        <v>4023</v>
      </c>
      <c r="X380" s="417"/>
      <c r="Y380" s="421" t="s">
        <v>3652</v>
      </c>
      <c r="Z380" s="421" t="s">
        <v>3652</v>
      </c>
      <c r="AA380" s="416" t="s">
        <v>4750</v>
      </c>
      <c r="AB380" s="414" t="s">
        <v>3664</v>
      </c>
      <c r="AC380" s="422"/>
      <c r="AD380" s="421"/>
      <c r="AE380" s="420"/>
      <c r="AF380" s="421">
        <v>90236</v>
      </c>
      <c r="AG380" s="420" t="s">
        <v>4768</v>
      </c>
      <c r="AH380" s="421" t="s">
        <v>3911</v>
      </c>
      <c r="AI380" s="420" t="s">
        <v>846</v>
      </c>
      <c r="AJ380" s="413" t="str">
        <f t="shared" si="23"/>
        <v>4590004418_013</v>
      </c>
      <c r="AK380" s="423"/>
      <c r="AL380" s="424">
        <v>45017</v>
      </c>
      <c r="AM380" s="221">
        <v>1521.432</v>
      </c>
      <c r="AN380" s="258">
        <v>45288</v>
      </c>
      <c r="AO380" s="423"/>
      <c r="AP380" s="413"/>
      <c r="AQ380" s="222"/>
      <c r="AR380" s="424"/>
      <c r="AS380" s="614">
        <f ca="1">表格1_6[[#This Row],[total amount]]/表格1_6[[#This Row],[PO$]]</f>
        <v>0.4</v>
      </c>
      <c r="AT380" s="223">
        <f ca="1">表格1_6[[#This Row],[invoice amount]]+表格1_6[[#This Row],[invoice amount2]]</f>
        <v>1521.432</v>
      </c>
      <c r="AU380" s="224" t="s">
        <v>3673</v>
      </c>
      <c r="AV380" s="423"/>
      <c r="AW380" s="423" t="e">
        <f ca="1">VLOOKUP(表格1_6[[#This Row],[TI tool ID2]],工作表1!A:A,1,FALSE)</f>
        <v>#N/A</v>
      </c>
      <c r="AX380" s="425" t="e">
        <f ca="1">VLOOKUP(表格1_6[[#This Row],[PO+ITEM]],工作表1!B:E,2,FALSE)</f>
        <v>#N/A</v>
      </c>
      <c r="AY380" s="425" t="e">
        <f ca="1">VLOOKUP(表格1_6[[#This Row],[PO+ITEM]],工作表1!B:E,3,FALSE)</f>
        <v>#N/A</v>
      </c>
      <c r="AZ380" s="423" t="e">
        <f ca="1">VLOOKUP(表格1_6[[#This Row],[PO+ITEM]],工作表1!B:E,4,FALSE)</f>
        <v>#N/A</v>
      </c>
      <c r="BA380" s="425" t="e">
        <f ca="1">INDEX(工作表1!G:G, MATCH(表格1_6[[#This Row],[invoice number]]&amp;表格1_6[[#This Row],[invoice number2]],工作表1!G:G, 0))</f>
        <v>#N/A</v>
      </c>
      <c r="BB380" s="423" t="e">
        <f ca="1">VLOOKUP(表格1_6[[#This Row],[PO+ITEM]],工作表1!F:H,2,FALSE)</f>
        <v>#N/A</v>
      </c>
    </row>
    <row r="381" spans="1:54" ht="15.6">
      <c r="A381" s="413">
        <v>380</v>
      </c>
      <c r="B381" s="413" t="s">
        <v>3674</v>
      </c>
      <c r="C381" s="414" t="s">
        <v>16</v>
      </c>
      <c r="D381" s="414" t="s">
        <v>3648</v>
      </c>
      <c r="E381" s="414"/>
      <c r="F381" s="414"/>
      <c r="G381" s="414"/>
      <c r="H381" s="414"/>
      <c r="I381" s="414"/>
      <c r="J381" s="414"/>
      <c r="K381" s="414"/>
      <c r="L381" s="415" t="s">
        <v>4769</v>
      </c>
      <c r="M381" s="416" t="s">
        <v>2206</v>
      </c>
      <c r="N381" s="416" t="s">
        <v>2999</v>
      </c>
      <c r="O381" s="417"/>
      <c r="P381" s="416">
        <v>4590004418</v>
      </c>
      <c r="Q381" s="418">
        <v>44802</v>
      </c>
      <c r="R381" s="419">
        <v>14</v>
      </c>
      <c r="S381" s="458">
        <v>3803.58</v>
      </c>
      <c r="T381" s="420" t="s">
        <v>2156</v>
      </c>
      <c r="U381" s="414" t="s">
        <v>4021</v>
      </c>
      <c r="V381" s="414" t="s">
        <v>4022</v>
      </c>
      <c r="W381" s="417" t="s">
        <v>4023</v>
      </c>
      <c r="X381" s="417"/>
      <c r="Y381" s="421" t="s">
        <v>3652</v>
      </c>
      <c r="Z381" s="421" t="s">
        <v>3652</v>
      </c>
      <c r="AA381" s="416" t="s">
        <v>4750</v>
      </c>
      <c r="AB381" s="414" t="s">
        <v>3664</v>
      </c>
      <c r="AC381" s="422"/>
      <c r="AD381" s="421"/>
      <c r="AE381" s="420"/>
      <c r="AF381" s="421">
        <v>90112</v>
      </c>
      <c r="AG381" s="420" t="s">
        <v>4770</v>
      </c>
      <c r="AH381" s="421" t="s">
        <v>3911</v>
      </c>
      <c r="AI381" s="420" t="s">
        <v>846</v>
      </c>
      <c r="AJ381" s="413" t="str">
        <f t="shared" si="23"/>
        <v>4590004418_014</v>
      </c>
      <c r="AK381" s="423"/>
      <c r="AL381" s="424">
        <v>45108</v>
      </c>
      <c r="AM381" s="221">
        <v>1521.432</v>
      </c>
      <c r="AN381" s="258">
        <v>45288</v>
      </c>
      <c r="AO381" s="423"/>
      <c r="AP381" s="413"/>
      <c r="AQ381" s="222"/>
      <c r="AR381" s="424"/>
      <c r="AS381" s="614">
        <f ca="1">表格1_6[[#This Row],[total amount]]/表格1_6[[#This Row],[PO$]]</f>
        <v>0.4</v>
      </c>
      <c r="AT381" s="223">
        <f ca="1">表格1_6[[#This Row],[invoice amount]]+表格1_6[[#This Row],[invoice amount2]]</f>
        <v>1521.432</v>
      </c>
      <c r="AU381" s="224" t="s">
        <v>3673</v>
      </c>
      <c r="AV381" s="423"/>
      <c r="AW381" s="423" t="e">
        <f ca="1">VLOOKUP(表格1_6[[#This Row],[TI tool ID2]],工作表1!A:A,1,FALSE)</f>
        <v>#N/A</v>
      </c>
      <c r="AX381" s="425" t="e">
        <f ca="1">VLOOKUP(表格1_6[[#This Row],[PO+ITEM]],工作表1!B:E,2,FALSE)</f>
        <v>#N/A</v>
      </c>
      <c r="AY381" s="425" t="e">
        <f ca="1">VLOOKUP(表格1_6[[#This Row],[PO+ITEM]],工作表1!B:E,3,FALSE)</f>
        <v>#N/A</v>
      </c>
      <c r="AZ381" s="423" t="e">
        <f ca="1">VLOOKUP(表格1_6[[#This Row],[PO+ITEM]],工作表1!B:E,4,FALSE)</f>
        <v>#N/A</v>
      </c>
      <c r="BA381" s="425" t="e">
        <f ca="1">INDEX(工作表1!G:G, MATCH(表格1_6[[#This Row],[invoice number]]&amp;表格1_6[[#This Row],[invoice number2]],工作表1!G:G, 0))</f>
        <v>#N/A</v>
      </c>
      <c r="BB381" s="423" t="e">
        <f ca="1">VLOOKUP(表格1_6[[#This Row],[PO+ITEM]],工作表1!F:H,2,FALSE)</f>
        <v>#N/A</v>
      </c>
    </row>
    <row r="382" spans="1:54" ht="15.6">
      <c r="A382" s="413">
        <v>381</v>
      </c>
      <c r="B382" s="413" t="s">
        <v>3674</v>
      </c>
      <c r="C382" s="414" t="s">
        <v>16</v>
      </c>
      <c r="D382" s="414" t="s">
        <v>3648</v>
      </c>
      <c r="E382" s="414"/>
      <c r="F382" s="414"/>
      <c r="G382" s="414"/>
      <c r="H382" s="414"/>
      <c r="I382" s="414"/>
      <c r="J382" s="414"/>
      <c r="K382" s="414"/>
      <c r="L382" s="415" t="s">
        <v>4771</v>
      </c>
      <c r="M382" s="416" t="s">
        <v>2206</v>
      </c>
      <c r="N382" s="416" t="s">
        <v>2999</v>
      </c>
      <c r="O382" s="417"/>
      <c r="P382" s="416">
        <v>4590004418</v>
      </c>
      <c r="Q382" s="418">
        <v>44802</v>
      </c>
      <c r="R382" s="419">
        <v>15</v>
      </c>
      <c r="S382" s="458">
        <v>7901.07</v>
      </c>
      <c r="T382" s="420" t="s">
        <v>2156</v>
      </c>
      <c r="U382" s="414" t="s">
        <v>4021</v>
      </c>
      <c r="V382" s="414" t="s">
        <v>4022</v>
      </c>
      <c r="W382" s="417" t="s">
        <v>4023</v>
      </c>
      <c r="X382" s="417"/>
      <c r="Y382" s="421" t="s">
        <v>3652</v>
      </c>
      <c r="Z382" s="421" t="s">
        <v>3652</v>
      </c>
      <c r="AA382" s="416" t="s">
        <v>4750</v>
      </c>
      <c r="AB382" s="414" t="s">
        <v>3664</v>
      </c>
      <c r="AC382" s="422"/>
      <c r="AD382" s="421"/>
      <c r="AE382" s="420"/>
      <c r="AF382" s="421">
        <v>90839</v>
      </c>
      <c r="AG382" s="420" t="s">
        <v>4772</v>
      </c>
      <c r="AH382" s="421" t="s">
        <v>3911</v>
      </c>
      <c r="AI382" s="420" t="s">
        <v>846</v>
      </c>
      <c r="AJ382" s="413" t="str">
        <f t="shared" si="23"/>
        <v>4590004418_015</v>
      </c>
      <c r="AK382" s="423"/>
      <c r="AL382" s="424">
        <v>45017</v>
      </c>
      <c r="AM382" s="221">
        <v>3160.4279999999999</v>
      </c>
      <c r="AN382" s="258">
        <v>45288</v>
      </c>
      <c r="AO382" s="423"/>
      <c r="AP382" s="413"/>
      <c r="AQ382" s="222"/>
      <c r="AR382" s="424"/>
      <c r="AS382" s="614">
        <f ca="1">表格1_6[[#This Row],[total amount]]/表格1_6[[#This Row],[PO$]]</f>
        <v>0.4</v>
      </c>
      <c r="AT382" s="223">
        <f ca="1">表格1_6[[#This Row],[invoice amount]]+表格1_6[[#This Row],[invoice amount2]]</f>
        <v>3160.4279999999999</v>
      </c>
      <c r="AU382" s="224" t="s">
        <v>3673</v>
      </c>
      <c r="AV382" s="423"/>
      <c r="AW382" s="423" t="e">
        <f ca="1">VLOOKUP(表格1_6[[#This Row],[TI tool ID2]],工作表1!A:A,1,FALSE)</f>
        <v>#N/A</v>
      </c>
      <c r="AX382" s="425" t="e">
        <f ca="1">VLOOKUP(表格1_6[[#This Row],[PO+ITEM]],工作表1!B:E,2,FALSE)</f>
        <v>#N/A</v>
      </c>
      <c r="AY382" s="425" t="e">
        <f ca="1">VLOOKUP(表格1_6[[#This Row],[PO+ITEM]],工作表1!B:E,3,FALSE)</f>
        <v>#N/A</v>
      </c>
      <c r="AZ382" s="423" t="e">
        <f ca="1">VLOOKUP(表格1_6[[#This Row],[PO+ITEM]],工作表1!B:E,4,FALSE)</f>
        <v>#N/A</v>
      </c>
      <c r="BA382" s="425" t="e">
        <f ca="1">INDEX(工作表1!G:G, MATCH(表格1_6[[#This Row],[invoice number]]&amp;表格1_6[[#This Row],[invoice number2]],工作表1!G:G, 0))</f>
        <v>#N/A</v>
      </c>
      <c r="BB382" s="423" t="e">
        <f ca="1">VLOOKUP(表格1_6[[#This Row],[PO+ITEM]],工作表1!F:H,2,FALSE)</f>
        <v>#N/A</v>
      </c>
    </row>
    <row r="383" spans="1:54" ht="15.6">
      <c r="A383" s="413">
        <v>382</v>
      </c>
      <c r="B383" s="413" t="s">
        <v>3674</v>
      </c>
      <c r="C383" s="414" t="s">
        <v>16</v>
      </c>
      <c r="D383" s="414" t="s">
        <v>3648</v>
      </c>
      <c r="E383" s="414"/>
      <c r="F383" s="414"/>
      <c r="G383" s="414"/>
      <c r="H383" s="414"/>
      <c r="I383" s="414"/>
      <c r="J383" s="414"/>
      <c r="K383" s="414"/>
      <c r="L383" s="415" t="s">
        <v>4773</v>
      </c>
      <c r="M383" s="416" t="s">
        <v>2206</v>
      </c>
      <c r="N383" s="416" t="s">
        <v>2999</v>
      </c>
      <c r="O383" s="417"/>
      <c r="P383" s="416">
        <v>4590004418</v>
      </c>
      <c r="Q383" s="418">
        <v>44802</v>
      </c>
      <c r="R383" s="419">
        <v>16</v>
      </c>
      <c r="S383" s="458">
        <v>3803.58</v>
      </c>
      <c r="T383" s="420" t="s">
        <v>2156</v>
      </c>
      <c r="U383" s="414" t="s">
        <v>4021</v>
      </c>
      <c r="V383" s="414" t="s">
        <v>4022</v>
      </c>
      <c r="W383" s="417" t="s">
        <v>4023</v>
      </c>
      <c r="X383" s="417"/>
      <c r="Y383" s="421" t="s">
        <v>3652</v>
      </c>
      <c r="Z383" s="421" t="s">
        <v>3652</v>
      </c>
      <c r="AA383" s="416" t="s">
        <v>4750</v>
      </c>
      <c r="AB383" s="414" t="s">
        <v>3664</v>
      </c>
      <c r="AC383" s="422"/>
      <c r="AD383" s="421"/>
      <c r="AE383" s="420"/>
      <c r="AF383" s="421">
        <v>90529</v>
      </c>
      <c r="AG383" s="420" t="s">
        <v>2712</v>
      </c>
      <c r="AH383" s="421" t="s">
        <v>3911</v>
      </c>
      <c r="AI383" s="420" t="s">
        <v>846</v>
      </c>
      <c r="AJ383" s="413" t="str">
        <f t="shared" si="23"/>
        <v>4590004418_016</v>
      </c>
      <c r="AK383" s="423"/>
      <c r="AL383" s="424">
        <v>45017</v>
      </c>
      <c r="AM383" s="221">
        <v>1521.432</v>
      </c>
      <c r="AN383" s="258">
        <v>45288</v>
      </c>
      <c r="AO383" s="423"/>
      <c r="AP383" s="413"/>
      <c r="AQ383" s="222"/>
      <c r="AR383" s="424"/>
      <c r="AS383" s="614">
        <f ca="1">表格1_6[[#This Row],[total amount]]/表格1_6[[#This Row],[PO$]]</f>
        <v>0.4</v>
      </c>
      <c r="AT383" s="223">
        <f ca="1">表格1_6[[#This Row],[invoice amount]]+表格1_6[[#This Row],[invoice amount2]]</f>
        <v>1521.432</v>
      </c>
      <c r="AU383" s="224" t="s">
        <v>3673</v>
      </c>
      <c r="AV383" s="423"/>
      <c r="AW383" s="423" t="e">
        <f ca="1">VLOOKUP(表格1_6[[#This Row],[TI tool ID2]],工作表1!A:A,1,FALSE)</f>
        <v>#N/A</v>
      </c>
      <c r="AX383" s="425" t="e">
        <f ca="1">VLOOKUP(表格1_6[[#This Row],[PO+ITEM]],工作表1!B:E,2,FALSE)</f>
        <v>#N/A</v>
      </c>
      <c r="AY383" s="425" t="e">
        <f ca="1">VLOOKUP(表格1_6[[#This Row],[PO+ITEM]],工作表1!B:E,3,FALSE)</f>
        <v>#N/A</v>
      </c>
      <c r="AZ383" s="423" t="e">
        <f ca="1">VLOOKUP(表格1_6[[#This Row],[PO+ITEM]],工作表1!B:E,4,FALSE)</f>
        <v>#N/A</v>
      </c>
      <c r="BA383" s="425" t="e">
        <f ca="1">INDEX(工作表1!G:G, MATCH(表格1_6[[#This Row],[invoice number]]&amp;表格1_6[[#This Row],[invoice number2]],工作表1!G:G, 0))</f>
        <v>#N/A</v>
      </c>
      <c r="BB383" s="423" t="e">
        <f ca="1">VLOOKUP(表格1_6[[#This Row],[PO+ITEM]],工作表1!F:H,2,FALSE)</f>
        <v>#N/A</v>
      </c>
    </row>
    <row r="384" spans="1:54" ht="15.6">
      <c r="A384" s="413">
        <v>383</v>
      </c>
      <c r="B384" s="413" t="s">
        <v>3659</v>
      </c>
      <c r="C384" s="414" t="s">
        <v>16</v>
      </c>
      <c r="D384" s="414" t="s">
        <v>3648</v>
      </c>
      <c r="E384" s="414"/>
      <c r="F384" s="414"/>
      <c r="G384" s="414"/>
      <c r="H384" s="414"/>
      <c r="I384" s="414"/>
      <c r="J384" s="414"/>
      <c r="K384" s="414"/>
      <c r="L384" s="420" t="s">
        <v>4774</v>
      </c>
      <c r="M384" s="416" t="s">
        <v>2206</v>
      </c>
      <c r="N384" s="416" t="s">
        <v>2999</v>
      </c>
      <c r="O384" s="417"/>
      <c r="P384" s="416">
        <v>4590004418</v>
      </c>
      <c r="Q384" s="418">
        <v>44802</v>
      </c>
      <c r="R384" s="419">
        <v>17</v>
      </c>
      <c r="S384" s="458">
        <v>3803.58</v>
      </c>
      <c r="T384" s="420" t="s">
        <v>2156</v>
      </c>
      <c r="U384" s="414" t="s">
        <v>4021</v>
      </c>
      <c r="V384" s="414" t="s">
        <v>4022</v>
      </c>
      <c r="W384" s="417" t="s">
        <v>4023</v>
      </c>
      <c r="X384" s="417"/>
      <c r="Y384" s="421" t="s">
        <v>3652</v>
      </c>
      <c r="Z384" s="421" t="s">
        <v>3652</v>
      </c>
      <c r="AA384" s="416" t="s">
        <v>4752</v>
      </c>
      <c r="AB384" s="414" t="s">
        <v>3664</v>
      </c>
      <c r="AC384" s="422"/>
      <c r="AD384" s="421"/>
      <c r="AE384" s="420"/>
      <c r="AF384" s="421">
        <v>90528</v>
      </c>
      <c r="AG384" s="420" t="s">
        <v>4775</v>
      </c>
      <c r="AH384" s="421" t="s">
        <v>3911</v>
      </c>
      <c r="AI384" s="420" t="s">
        <v>846</v>
      </c>
      <c r="AJ384" s="413" t="str">
        <f t="shared" si="23"/>
        <v>4590004418_017</v>
      </c>
      <c r="AK384" s="423"/>
      <c r="AL384" s="424">
        <v>45017</v>
      </c>
      <c r="AM384" s="221">
        <v>1521.432</v>
      </c>
      <c r="AN384" s="258">
        <v>45288</v>
      </c>
      <c r="AO384" s="423"/>
      <c r="AP384" s="413"/>
      <c r="AQ384" s="222"/>
      <c r="AR384" s="424"/>
      <c r="AS384" s="614">
        <f ca="1">表格1_6[[#This Row],[total amount]]/表格1_6[[#This Row],[PO$]]</f>
        <v>0.4</v>
      </c>
      <c r="AT384" s="223">
        <f ca="1">表格1_6[[#This Row],[invoice amount]]+表格1_6[[#This Row],[invoice amount2]]</f>
        <v>1521.432</v>
      </c>
      <c r="AU384" s="224" t="s">
        <v>3673</v>
      </c>
      <c r="AV384" s="423"/>
      <c r="AW384" s="423" t="e">
        <f ca="1">VLOOKUP(表格1_6[[#This Row],[TI tool ID2]],工作表1!A:A,1,FALSE)</f>
        <v>#N/A</v>
      </c>
      <c r="AX384" s="425" t="e">
        <f ca="1">VLOOKUP(表格1_6[[#This Row],[PO+ITEM]],工作表1!B:E,2,FALSE)</f>
        <v>#N/A</v>
      </c>
      <c r="AY384" s="425" t="e">
        <f ca="1">VLOOKUP(表格1_6[[#This Row],[PO+ITEM]],工作表1!B:E,3,FALSE)</f>
        <v>#N/A</v>
      </c>
      <c r="AZ384" s="423" t="e">
        <f ca="1">VLOOKUP(表格1_6[[#This Row],[PO+ITEM]],工作表1!B:E,4,FALSE)</f>
        <v>#N/A</v>
      </c>
      <c r="BA384" s="425" t="e">
        <f ca="1">INDEX(工作表1!G:G, MATCH(表格1_6[[#This Row],[invoice number]]&amp;表格1_6[[#This Row],[invoice number2]],工作表1!G:G, 0))</f>
        <v>#N/A</v>
      </c>
      <c r="BB384" s="423" t="e">
        <f ca="1">VLOOKUP(表格1_6[[#This Row],[PO+ITEM]],工作表1!F:H,2,FALSE)</f>
        <v>#N/A</v>
      </c>
    </row>
    <row r="385" spans="1:54" ht="15.6">
      <c r="A385" s="413">
        <v>384</v>
      </c>
      <c r="B385" s="413" t="s">
        <v>3674</v>
      </c>
      <c r="C385" s="414" t="s">
        <v>16</v>
      </c>
      <c r="D385" s="414" t="s">
        <v>3648</v>
      </c>
      <c r="E385" s="414"/>
      <c r="F385" s="414"/>
      <c r="G385" s="414"/>
      <c r="H385" s="414"/>
      <c r="I385" s="414"/>
      <c r="J385" s="414"/>
      <c r="K385" s="414"/>
      <c r="L385" s="415" t="s">
        <v>4776</v>
      </c>
      <c r="M385" s="416" t="s">
        <v>2206</v>
      </c>
      <c r="N385" s="416" t="s">
        <v>2999</v>
      </c>
      <c r="O385" s="417"/>
      <c r="P385" s="416">
        <v>4590004418</v>
      </c>
      <c r="Q385" s="418">
        <v>44802</v>
      </c>
      <c r="R385" s="419">
        <v>18</v>
      </c>
      <c r="S385" s="458">
        <v>7475.53</v>
      </c>
      <c r="T385" s="420" t="s">
        <v>2156</v>
      </c>
      <c r="U385" s="414" t="s">
        <v>4021</v>
      </c>
      <c r="V385" s="414" t="s">
        <v>4022</v>
      </c>
      <c r="W385" s="417" t="s">
        <v>4023</v>
      </c>
      <c r="X385" s="417"/>
      <c r="Y385" s="421" t="s">
        <v>3652</v>
      </c>
      <c r="Z385" s="421" t="s">
        <v>3652</v>
      </c>
      <c r="AA385" s="416" t="s">
        <v>4750</v>
      </c>
      <c r="AB385" s="414" t="s">
        <v>3664</v>
      </c>
      <c r="AC385" s="422"/>
      <c r="AD385" s="421"/>
      <c r="AE385" s="420"/>
      <c r="AF385" s="421">
        <v>90494</v>
      </c>
      <c r="AG385" s="420" t="s">
        <v>2641</v>
      </c>
      <c r="AH385" s="421" t="s">
        <v>3911</v>
      </c>
      <c r="AI385" s="420" t="s">
        <v>846</v>
      </c>
      <c r="AJ385" s="413" t="str">
        <f t="shared" si="23"/>
        <v>4590004418_018</v>
      </c>
      <c r="AK385" s="423"/>
      <c r="AL385" s="424">
        <v>45017</v>
      </c>
      <c r="AM385" s="221">
        <v>2990.212</v>
      </c>
      <c r="AN385" s="258">
        <v>45288</v>
      </c>
      <c r="AO385" s="423"/>
      <c r="AP385" s="413"/>
      <c r="AQ385" s="222"/>
      <c r="AR385" s="424"/>
      <c r="AS385" s="614">
        <f ca="1">表格1_6[[#This Row],[total amount]]/表格1_6[[#This Row],[PO$]]</f>
        <v>0.4</v>
      </c>
      <c r="AT385" s="223">
        <f ca="1">表格1_6[[#This Row],[invoice amount]]+表格1_6[[#This Row],[invoice amount2]]</f>
        <v>2990.212</v>
      </c>
      <c r="AU385" s="224" t="s">
        <v>3673</v>
      </c>
      <c r="AV385" s="423"/>
      <c r="AW385" s="423" t="e">
        <f ca="1">VLOOKUP(表格1_6[[#This Row],[TI tool ID2]],工作表1!A:A,1,FALSE)</f>
        <v>#N/A</v>
      </c>
      <c r="AX385" s="425" t="e">
        <f ca="1">VLOOKUP(表格1_6[[#This Row],[PO+ITEM]],工作表1!B:E,2,FALSE)</f>
        <v>#N/A</v>
      </c>
      <c r="AY385" s="425" t="e">
        <f ca="1">VLOOKUP(表格1_6[[#This Row],[PO+ITEM]],工作表1!B:E,3,FALSE)</f>
        <v>#N/A</v>
      </c>
      <c r="AZ385" s="423" t="e">
        <f ca="1">VLOOKUP(表格1_6[[#This Row],[PO+ITEM]],工作表1!B:E,4,FALSE)</f>
        <v>#N/A</v>
      </c>
      <c r="BA385" s="425" t="e">
        <f ca="1">INDEX(工作表1!G:G, MATCH(表格1_6[[#This Row],[invoice number]]&amp;表格1_6[[#This Row],[invoice number2]],工作表1!G:G, 0))</f>
        <v>#N/A</v>
      </c>
      <c r="BB385" s="423" t="e">
        <f ca="1">VLOOKUP(表格1_6[[#This Row],[PO+ITEM]],工作表1!F:H,2,FALSE)</f>
        <v>#N/A</v>
      </c>
    </row>
    <row r="386" spans="1:54" ht="15.6">
      <c r="A386" s="413">
        <v>385</v>
      </c>
      <c r="B386" s="413" t="s">
        <v>3659</v>
      </c>
      <c r="C386" s="414" t="s">
        <v>16</v>
      </c>
      <c r="D386" s="414" t="s">
        <v>3648</v>
      </c>
      <c r="E386" s="414"/>
      <c r="F386" s="414"/>
      <c r="G386" s="414"/>
      <c r="H386" s="414"/>
      <c r="I386" s="414"/>
      <c r="J386" s="414"/>
      <c r="K386" s="414"/>
      <c r="L386" s="415" t="s">
        <v>4777</v>
      </c>
      <c r="M386" s="416" t="s">
        <v>2206</v>
      </c>
      <c r="N386" s="416" t="s">
        <v>2999</v>
      </c>
      <c r="O386" s="417"/>
      <c r="P386" s="416">
        <v>4590004418</v>
      </c>
      <c r="Q386" s="418">
        <v>44802</v>
      </c>
      <c r="R386" s="419">
        <v>19</v>
      </c>
      <c r="S386" s="458">
        <v>7475.53</v>
      </c>
      <c r="T386" s="420" t="s">
        <v>2156</v>
      </c>
      <c r="U386" s="414" t="s">
        <v>4021</v>
      </c>
      <c r="V386" s="414" t="s">
        <v>4022</v>
      </c>
      <c r="W386" s="417" t="s">
        <v>4023</v>
      </c>
      <c r="X386" s="417"/>
      <c r="Y386" s="421" t="s">
        <v>3652</v>
      </c>
      <c r="Z386" s="421" t="s">
        <v>3652</v>
      </c>
      <c r="AA386" s="416" t="s">
        <v>4752</v>
      </c>
      <c r="AB386" s="414" t="s">
        <v>3664</v>
      </c>
      <c r="AC386" s="422"/>
      <c r="AD386" s="421"/>
      <c r="AE386" s="420"/>
      <c r="AF386" s="421">
        <v>90493</v>
      </c>
      <c r="AG386" s="420" t="s">
        <v>4778</v>
      </c>
      <c r="AH386" s="421" t="s">
        <v>3911</v>
      </c>
      <c r="AI386" s="420" t="s">
        <v>846</v>
      </c>
      <c r="AJ386" s="413" t="str">
        <f t="shared" si="23"/>
        <v>4590004418_019</v>
      </c>
      <c r="AK386" s="423"/>
      <c r="AL386" s="424">
        <v>45017</v>
      </c>
      <c r="AM386" s="221">
        <v>2990.212</v>
      </c>
      <c r="AN386" s="258">
        <v>45288</v>
      </c>
      <c r="AO386" s="423"/>
      <c r="AP386" s="413"/>
      <c r="AQ386" s="222"/>
      <c r="AR386" s="424"/>
      <c r="AS386" s="614">
        <f ca="1">表格1_6[[#This Row],[total amount]]/表格1_6[[#This Row],[PO$]]</f>
        <v>0.4</v>
      </c>
      <c r="AT386" s="223">
        <f ca="1">表格1_6[[#This Row],[invoice amount]]+表格1_6[[#This Row],[invoice amount2]]</f>
        <v>2990.212</v>
      </c>
      <c r="AU386" s="224" t="s">
        <v>3673</v>
      </c>
      <c r="AV386" s="423"/>
      <c r="AW386" s="423" t="e">
        <f ca="1">VLOOKUP(表格1_6[[#This Row],[TI tool ID2]],工作表1!A:A,1,FALSE)</f>
        <v>#N/A</v>
      </c>
      <c r="AX386" s="425" t="e">
        <f ca="1">VLOOKUP(表格1_6[[#This Row],[PO+ITEM]],工作表1!B:E,2,FALSE)</f>
        <v>#N/A</v>
      </c>
      <c r="AY386" s="425" t="e">
        <f ca="1">VLOOKUP(表格1_6[[#This Row],[PO+ITEM]],工作表1!B:E,3,FALSE)</f>
        <v>#N/A</v>
      </c>
      <c r="AZ386" s="423" t="e">
        <f ca="1">VLOOKUP(表格1_6[[#This Row],[PO+ITEM]],工作表1!B:E,4,FALSE)</f>
        <v>#N/A</v>
      </c>
      <c r="BA386" s="425" t="e">
        <f ca="1">INDEX(工作表1!G:G, MATCH(表格1_6[[#This Row],[invoice number]]&amp;表格1_6[[#This Row],[invoice number2]],工作表1!G:G, 0))</f>
        <v>#N/A</v>
      </c>
      <c r="BB386" s="423" t="e">
        <f ca="1">VLOOKUP(表格1_6[[#This Row],[PO+ITEM]],工作表1!F:H,2,FALSE)</f>
        <v>#N/A</v>
      </c>
    </row>
    <row r="387" spans="1:54" ht="15.6">
      <c r="A387" s="413">
        <v>386</v>
      </c>
      <c r="B387" s="413" t="s">
        <v>3674</v>
      </c>
      <c r="C387" s="414" t="s">
        <v>16</v>
      </c>
      <c r="D387" s="414" t="s">
        <v>3648</v>
      </c>
      <c r="E387" s="414"/>
      <c r="F387" s="414"/>
      <c r="G387" s="414"/>
      <c r="H387" s="414"/>
      <c r="I387" s="414"/>
      <c r="J387" s="414"/>
      <c r="K387" s="414"/>
      <c r="L387" s="415" t="s">
        <v>4779</v>
      </c>
      <c r="M387" s="416" t="s">
        <v>2206</v>
      </c>
      <c r="N387" s="416" t="s">
        <v>2999</v>
      </c>
      <c r="O387" s="417"/>
      <c r="P387" s="416">
        <v>4590004418</v>
      </c>
      <c r="Q387" s="418">
        <v>44802</v>
      </c>
      <c r="R387" s="419">
        <v>20</v>
      </c>
      <c r="S387" s="458">
        <v>10229.49</v>
      </c>
      <c r="T387" s="420" t="s">
        <v>2156</v>
      </c>
      <c r="U387" s="414" t="s">
        <v>4021</v>
      </c>
      <c r="V387" s="414" t="s">
        <v>4022</v>
      </c>
      <c r="W387" s="417" t="s">
        <v>4023</v>
      </c>
      <c r="X387" s="417"/>
      <c r="Y387" s="421" t="s">
        <v>3652</v>
      </c>
      <c r="Z387" s="421" t="s">
        <v>3652</v>
      </c>
      <c r="AA387" s="416" t="s">
        <v>4750</v>
      </c>
      <c r="AB387" s="414" t="s">
        <v>3664</v>
      </c>
      <c r="AC387" s="422"/>
      <c r="AD387" s="421"/>
      <c r="AE387" s="420"/>
      <c r="AF387" s="421">
        <v>90212</v>
      </c>
      <c r="AG387" s="420" t="s">
        <v>2708</v>
      </c>
      <c r="AH387" s="421" t="s">
        <v>3911</v>
      </c>
      <c r="AI387" s="420" t="s">
        <v>846</v>
      </c>
      <c r="AJ387" s="413" t="str">
        <f t="shared" si="23"/>
        <v>4590004418_020</v>
      </c>
      <c r="AK387" s="423"/>
      <c r="AL387" s="424">
        <v>45108</v>
      </c>
      <c r="AM387" s="221">
        <v>4091.7960000000003</v>
      </c>
      <c r="AN387" s="258">
        <v>45288</v>
      </c>
      <c r="AO387" s="423"/>
      <c r="AP387" s="413"/>
      <c r="AQ387" s="222"/>
      <c r="AR387" s="424"/>
      <c r="AS387" s="614">
        <f ca="1">表格1_6[[#This Row],[total amount]]/表格1_6[[#This Row],[PO$]]</f>
        <v>0.4</v>
      </c>
      <c r="AT387" s="223">
        <f ca="1">表格1_6[[#This Row],[invoice amount]]+表格1_6[[#This Row],[invoice amount2]]</f>
        <v>4091.7960000000003</v>
      </c>
      <c r="AU387" s="224" t="s">
        <v>3673</v>
      </c>
      <c r="AV387" s="423"/>
      <c r="AW387" s="423" t="e">
        <f ca="1">VLOOKUP(表格1_6[[#This Row],[TI tool ID2]],工作表1!A:A,1,FALSE)</f>
        <v>#N/A</v>
      </c>
      <c r="AX387" s="425" t="e">
        <f ca="1">VLOOKUP(表格1_6[[#This Row],[PO+ITEM]],工作表1!B:E,2,FALSE)</f>
        <v>#N/A</v>
      </c>
      <c r="AY387" s="425" t="e">
        <f ca="1">VLOOKUP(表格1_6[[#This Row],[PO+ITEM]],工作表1!B:E,3,FALSE)</f>
        <v>#N/A</v>
      </c>
      <c r="AZ387" s="423" t="e">
        <f ca="1">VLOOKUP(表格1_6[[#This Row],[PO+ITEM]],工作表1!B:E,4,FALSE)</f>
        <v>#N/A</v>
      </c>
      <c r="BA387" s="425" t="e">
        <f ca="1">INDEX(工作表1!G:G, MATCH(表格1_6[[#This Row],[invoice number]]&amp;表格1_6[[#This Row],[invoice number2]],工作表1!G:G, 0))</f>
        <v>#N/A</v>
      </c>
      <c r="BB387" s="423" t="e">
        <f ca="1">VLOOKUP(表格1_6[[#This Row],[PO+ITEM]],工作表1!F:H,2,FALSE)</f>
        <v>#N/A</v>
      </c>
    </row>
    <row r="388" spans="1:54" ht="15.6">
      <c r="A388" s="413">
        <v>387</v>
      </c>
      <c r="B388" s="413" t="s">
        <v>3674</v>
      </c>
      <c r="C388" s="414" t="s">
        <v>16</v>
      </c>
      <c r="D388" s="414" t="s">
        <v>3648</v>
      </c>
      <c r="E388" s="414"/>
      <c r="F388" s="414"/>
      <c r="G388" s="414"/>
      <c r="H388" s="414"/>
      <c r="I388" s="414"/>
      <c r="J388" s="414"/>
      <c r="K388" s="414"/>
      <c r="L388" s="415" t="s">
        <v>4780</v>
      </c>
      <c r="M388" s="416" t="s">
        <v>2206</v>
      </c>
      <c r="N388" s="416" t="s">
        <v>2999</v>
      </c>
      <c r="O388" s="417"/>
      <c r="P388" s="416">
        <v>4590004418</v>
      </c>
      <c r="Q388" s="418">
        <v>44802</v>
      </c>
      <c r="R388" s="419">
        <v>21</v>
      </c>
      <c r="S388" s="458">
        <v>10229.49</v>
      </c>
      <c r="T388" s="420" t="s">
        <v>2156</v>
      </c>
      <c r="U388" s="414" t="s">
        <v>4021</v>
      </c>
      <c r="V388" s="414" t="s">
        <v>4022</v>
      </c>
      <c r="W388" s="417" t="s">
        <v>4023</v>
      </c>
      <c r="X388" s="417"/>
      <c r="Y388" s="421" t="s">
        <v>3652</v>
      </c>
      <c r="Z388" s="421" t="s">
        <v>3652</v>
      </c>
      <c r="AA388" s="416" t="s">
        <v>4750</v>
      </c>
      <c r="AB388" s="414" t="s">
        <v>3664</v>
      </c>
      <c r="AC388" s="422"/>
      <c r="AD388" s="421"/>
      <c r="AE388" s="420"/>
      <c r="AF388" s="421">
        <v>90211</v>
      </c>
      <c r="AG388" s="420" t="s">
        <v>4781</v>
      </c>
      <c r="AH388" s="421" t="s">
        <v>3911</v>
      </c>
      <c r="AI388" s="420" t="s">
        <v>846</v>
      </c>
      <c r="AJ388" s="413" t="str">
        <f t="shared" si="23"/>
        <v>4590004418_021</v>
      </c>
      <c r="AK388" s="423"/>
      <c r="AL388" s="424">
        <v>45108</v>
      </c>
      <c r="AM388" s="221">
        <v>4091.7960000000003</v>
      </c>
      <c r="AN388" s="258">
        <v>45288</v>
      </c>
      <c r="AO388" s="423"/>
      <c r="AP388" s="413"/>
      <c r="AQ388" s="222"/>
      <c r="AR388" s="424"/>
      <c r="AS388" s="614">
        <f ca="1">表格1_6[[#This Row],[total amount]]/表格1_6[[#This Row],[PO$]]</f>
        <v>0.4</v>
      </c>
      <c r="AT388" s="223">
        <f ca="1">表格1_6[[#This Row],[invoice amount]]+表格1_6[[#This Row],[invoice amount2]]</f>
        <v>4091.7960000000003</v>
      </c>
      <c r="AU388" s="224" t="s">
        <v>3673</v>
      </c>
      <c r="AV388" s="423"/>
      <c r="AW388" s="423" t="e">
        <f ca="1">VLOOKUP(表格1_6[[#This Row],[TI tool ID2]],工作表1!A:A,1,FALSE)</f>
        <v>#N/A</v>
      </c>
      <c r="AX388" s="425" t="e">
        <f ca="1">VLOOKUP(表格1_6[[#This Row],[PO+ITEM]],工作表1!B:E,2,FALSE)</f>
        <v>#N/A</v>
      </c>
      <c r="AY388" s="425" t="e">
        <f ca="1">VLOOKUP(表格1_6[[#This Row],[PO+ITEM]],工作表1!B:E,3,FALSE)</f>
        <v>#N/A</v>
      </c>
      <c r="AZ388" s="423" t="e">
        <f ca="1">VLOOKUP(表格1_6[[#This Row],[PO+ITEM]],工作表1!B:E,4,FALSE)</f>
        <v>#N/A</v>
      </c>
      <c r="BA388" s="425" t="e">
        <f ca="1">INDEX(工作表1!G:G, MATCH(表格1_6[[#This Row],[invoice number]]&amp;表格1_6[[#This Row],[invoice number2]],工作表1!G:G, 0))</f>
        <v>#N/A</v>
      </c>
      <c r="BB388" s="423" t="e">
        <f ca="1">VLOOKUP(表格1_6[[#This Row],[PO+ITEM]],工作表1!F:H,2,FALSE)</f>
        <v>#N/A</v>
      </c>
    </row>
    <row r="389" spans="1:54" ht="15.6">
      <c r="A389" s="413">
        <v>388</v>
      </c>
      <c r="B389" s="516" t="s">
        <v>3674</v>
      </c>
      <c r="C389" s="509" t="s">
        <v>16</v>
      </c>
      <c r="D389" s="509" t="s">
        <v>3648</v>
      </c>
      <c r="E389" s="509"/>
      <c r="F389" s="509"/>
      <c r="G389" s="509"/>
      <c r="H389" s="509"/>
      <c r="I389" s="509"/>
      <c r="J389" s="509"/>
      <c r="K389" s="509"/>
      <c r="L389" s="524" t="s">
        <v>4782</v>
      </c>
      <c r="M389" s="510" t="s">
        <v>4269</v>
      </c>
      <c r="N389" s="510" t="s">
        <v>2999</v>
      </c>
      <c r="O389" s="511"/>
      <c r="P389" s="510">
        <v>4590004419</v>
      </c>
      <c r="Q389" s="512">
        <v>44802</v>
      </c>
      <c r="R389" s="517">
        <v>1</v>
      </c>
      <c r="S389" s="545"/>
      <c r="T389" s="513" t="s">
        <v>2156</v>
      </c>
      <c r="U389" s="509" t="s">
        <v>4021</v>
      </c>
      <c r="V389" s="509" t="s">
        <v>4022</v>
      </c>
      <c r="W389" s="511" t="s">
        <v>4023</v>
      </c>
      <c r="X389" s="511"/>
      <c r="Y389" s="514" t="s">
        <v>3652</v>
      </c>
      <c r="Z389" s="514" t="s">
        <v>3652</v>
      </c>
      <c r="AA389" s="510" t="s">
        <v>4783</v>
      </c>
      <c r="AB389" s="509" t="s">
        <v>3664</v>
      </c>
      <c r="AC389" s="515"/>
      <c r="AD389" s="514"/>
      <c r="AE389" s="513"/>
      <c r="AF389" s="514">
        <v>90466</v>
      </c>
      <c r="AG389" s="513" t="s">
        <v>3143</v>
      </c>
      <c r="AH389" s="514" t="s">
        <v>4784</v>
      </c>
      <c r="AI389" s="513" t="s">
        <v>4309</v>
      </c>
      <c r="AJ389" s="516" t="str">
        <f t="shared" ref="AJ389:AJ397" si="24">P389&amp;"_00"&amp;R389</f>
        <v>4590004419_001</v>
      </c>
      <c r="AK389" s="518" t="s">
        <v>4785</v>
      </c>
      <c r="AL389" s="520">
        <v>45372</v>
      </c>
      <c r="AM389" s="521">
        <v>0</v>
      </c>
      <c r="AN389" s="527" t="s">
        <v>3788</v>
      </c>
      <c r="AO389" s="518"/>
      <c r="AP389" s="516"/>
      <c r="AQ389" s="521"/>
      <c r="AR389" s="566" t="s">
        <v>3765</v>
      </c>
      <c r="AS389" s="615"/>
      <c r="AT389" s="567">
        <f ca="1">表格1_6[[#This Row],[invoice amount]]+表格1_6[[#This Row],[invoice amount2]]</f>
        <v>0</v>
      </c>
      <c r="AU389" s="566" t="s">
        <v>3765</v>
      </c>
      <c r="AV389" s="518" t="s">
        <v>4786</v>
      </c>
      <c r="AW389" s="522" t="e">
        <f ca="1">VLOOKUP(表格1_6[[#This Row],[TI tool ID2]],工作表1!A:A,1,FALSE)</f>
        <v>#N/A</v>
      </c>
      <c r="AX389" s="523" t="e">
        <f ca="1">VLOOKUP(表格1_6[[#This Row],[PO+ITEM]],工作表1!B:E,2,FALSE)</f>
        <v>#N/A</v>
      </c>
      <c r="AY389" s="523" t="e">
        <f ca="1">VLOOKUP(表格1_6[[#This Row],[PO+ITEM]],工作表1!B:E,3,FALSE)</f>
        <v>#N/A</v>
      </c>
      <c r="AZ389" s="522" t="e">
        <f ca="1">VLOOKUP(表格1_6[[#This Row],[PO+ITEM]],工作表1!B:E,4,FALSE)</f>
        <v>#N/A</v>
      </c>
      <c r="BA389" s="425" t="e">
        <f ca="1">INDEX(工作表1!G:G, MATCH(表格1_6[[#This Row],[invoice number]]&amp;表格1_6[[#This Row],[invoice number2]],工作表1!G:G, 0))</f>
        <v>#N/A</v>
      </c>
      <c r="BB389" s="522" t="e">
        <f ca="1">VLOOKUP(表格1_6[[#This Row],[PO+ITEM]],工作表1!F:H,2,FALSE)</f>
        <v>#N/A</v>
      </c>
    </row>
    <row r="390" spans="1:54" ht="15.6">
      <c r="A390" s="413">
        <v>389</v>
      </c>
      <c r="B390" s="516" t="s">
        <v>3674</v>
      </c>
      <c r="C390" s="509" t="s">
        <v>16</v>
      </c>
      <c r="D390" s="509" t="s">
        <v>3648</v>
      </c>
      <c r="E390" s="509"/>
      <c r="F390" s="509"/>
      <c r="G390" s="509"/>
      <c r="H390" s="509"/>
      <c r="I390" s="509"/>
      <c r="J390" s="509"/>
      <c r="K390" s="509"/>
      <c r="L390" s="524" t="s">
        <v>4787</v>
      </c>
      <c r="M390" s="510" t="s">
        <v>4269</v>
      </c>
      <c r="N390" s="510" t="s">
        <v>2999</v>
      </c>
      <c r="O390" s="511"/>
      <c r="P390" s="510">
        <v>4590004419</v>
      </c>
      <c r="Q390" s="512">
        <v>44802</v>
      </c>
      <c r="R390" s="517">
        <v>2</v>
      </c>
      <c r="S390" s="545"/>
      <c r="T390" s="513" t="s">
        <v>2156</v>
      </c>
      <c r="U390" s="509" t="s">
        <v>4021</v>
      </c>
      <c r="V390" s="509" t="s">
        <v>4022</v>
      </c>
      <c r="W390" s="511" t="s">
        <v>4023</v>
      </c>
      <c r="X390" s="511"/>
      <c r="Y390" s="514" t="s">
        <v>3652</v>
      </c>
      <c r="Z390" s="514" t="s">
        <v>3652</v>
      </c>
      <c r="AA390" s="510" t="s">
        <v>4783</v>
      </c>
      <c r="AB390" s="509" t="s">
        <v>3664</v>
      </c>
      <c r="AC390" s="515"/>
      <c r="AD390" s="514"/>
      <c r="AE390" s="513"/>
      <c r="AF390" s="514">
        <v>90465</v>
      </c>
      <c r="AG390" s="513" t="s">
        <v>3142</v>
      </c>
      <c r="AH390" s="514" t="s">
        <v>4784</v>
      </c>
      <c r="AI390" s="513" t="s">
        <v>4309</v>
      </c>
      <c r="AJ390" s="516" t="str">
        <f t="shared" si="24"/>
        <v>4590004419_002</v>
      </c>
      <c r="AK390" s="518" t="s">
        <v>4788</v>
      </c>
      <c r="AL390" s="520">
        <v>45372</v>
      </c>
      <c r="AM390" s="521">
        <v>0</v>
      </c>
      <c r="AN390" s="527" t="s">
        <v>3788</v>
      </c>
      <c r="AO390" s="518"/>
      <c r="AP390" s="516"/>
      <c r="AQ390" s="521"/>
      <c r="AR390" s="566" t="s">
        <v>3765</v>
      </c>
      <c r="AS390" s="615"/>
      <c r="AT390" s="567">
        <f ca="1">表格1_6[[#This Row],[invoice amount]]+表格1_6[[#This Row],[invoice amount2]]</f>
        <v>0</v>
      </c>
      <c r="AU390" s="566" t="s">
        <v>3765</v>
      </c>
      <c r="AV390" s="518" t="s">
        <v>4786</v>
      </c>
      <c r="AW390" s="522" t="e">
        <f ca="1">VLOOKUP(表格1_6[[#This Row],[TI tool ID2]],工作表1!A:A,1,FALSE)</f>
        <v>#N/A</v>
      </c>
      <c r="AX390" s="523" t="e">
        <f ca="1">VLOOKUP(表格1_6[[#This Row],[PO+ITEM]],工作表1!B:E,2,FALSE)</f>
        <v>#N/A</v>
      </c>
      <c r="AY390" s="523" t="e">
        <f ca="1">VLOOKUP(表格1_6[[#This Row],[PO+ITEM]],工作表1!B:E,3,FALSE)</f>
        <v>#N/A</v>
      </c>
      <c r="AZ390" s="522" t="e">
        <f ca="1">VLOOKUP(表格1_6[[#This Row],[PO+ITEM]],工作表1!B:E,4,FALSE)</f>
        <v>#N/A</v>
      </c>
      <c r="BA390" s="425" t="e">
        <f ca="1">INDEX(工作表1!G:G, MATCH(表格1_6[[#This Row],[invoice number]]&amp;表格1_6[[#This Row],[invoice number2]],工作表1!G:G, 0))</f>
        <v>#N/A</v>
      </c>
      <c r="BB390" s="522" t="e">
        <f ca="1">VLOOKUP(表格1_6[[#This Row],[PO+ITEM]],工作表1!F:H,2,FALSE)</f>
        <v>#N/A</v>
      </c>
    </row>
    <row r="391" spans="1:54" ht="15.6">
      <c r="A391" s="413">
        <v>390</v>
      </c>
      <c r="B391" s="516" t="s">
        <v>3674</v>
      </c>
      <c r="C391" s="509" t="s">
        <v>16</v>
      </c>
      <c r="D391" s="509" t="s">
        <v>3648</v>
      </c>
      <c r="E391" s="509"/>
      <c r="F391" s="509"/>
      <c r="G391" s="509"/>
      <c r="H391" s="509"/>
      <c r="I391" s="509"/>
      <c r="J391" s="509"/>
      <c r="K391" s="509"/>
      <c r="L391" s="524" t="s">
        <v>4789</v>
      </c>
      <c r="M391" s="510" t="s">
        <v>4269</v>
      </c>
      <c r="N391" s="510" t="s">
        <v>2999</v>
      </c>
      <c r="O391" s="511"/>
      <c r="P391" s="510">
        <v>4590004419</v>
      </c>
      <c r="Q391" s="512">
        <v>44802</v>
      </c>
      <c r="R391" s="517">
        <v>3</v>
      </c>
      <c r="S391" s="545"/>
      <c r="T391" s="513" t="s">
        <v>2156</v>
      </c>
      <c r="U391" s="509" t="s">
        <v>4021</v>
      </c>
      <c r="V391" s="509" t="s">
        <v>4022</v>
      </c>
      <c r="W391" s="511" t="s">
        <v>4023</v>
      </c>
      <c r="X391" s="511"/>
      <c r="Y391" s="514" t="s">
        <v>3652</v>
      </c>
      <c r="Z391" s="514" t="s">
        <v>3652</v>
      </c>
      <c r="AA391" s="510" t="s">
        <v>4783</v>
      </c>
      <c r="AB391" s="509" t="s">
        <v>3664</v>
      </c>
      <c r="AC391" s="515"/>
      <c r="AD391" s="514"/>
      <c r="AE391" s="513"/>
      <c r="AF391" s="514">
        <v>90464</v>
      </c>
      <c r="AG391" s="513" t="s">
        <v>3144</v>
      </c>
      <c r="AH391" s="514" t="s">
        <v>4784</v>
      </c>
      <c r="AI391" s="513" t="s">
        <v>4309</v>
      </c>
      <c r="AJ391" s="516" t="str">
        <f t="shared" si="24"/>
        <v>4590004419_003</v>
      </c>
      <c r="AK391" s="518" t="s">
        <v>4790</v>
      </c>
      <c r="AL391" s="520">
        <v>45372</v>
      </c>
      <c r="AM391" s="521">
        <v>0</v>
      </c>
      <c r="AN391" s="527" t="s">
        <v>3788</v>
      </c>
      <c r="AO391" s="518"/>
      <c r="AP391" s="516"/>
      <c r="AQ391" s="521"/>
      <c r="AR391" s="566" t="s">
        <v>3765</v>
      </c>
      <c r="AS391" s="615"/>
      <c r="AT391" s="567">
        <f ca="1">表格1_6[[#This Row],[invoice amount]]+表格1_6[[#This Row],[invoice amount2]]</f>
        <v>0</v>
      </c>
      <c r="AU391" s="566" t="s">
        <v>3765</v>
      </c>
      <c r="AV391" s="518" t="s">
        <v>4786</v>
      </c>
      <c r="AW391" s="522" t="e">
        <f ca="1">VLOOKUP(表格1_6[[#This Row],[TI tool ID2]],工作表1!A:A,1,FALSE)</f>
        <v>#N/A</v>
      </c>
      <c r="AX391" s="523" t="e">
        <f ca="1">VLOOKUP(表格1_6[[#This Row],[PO+ITEM]],工作表1!B:E,2,FALSE)</f>
        <v>#N/A</v>
      </c>
      <c r="AY391" s="523" t="e">
        <f ca="1">VLOOKUP(表格1_6[[#This Row],[PO+ITEM]],工作表1!B:E,3,FALSE)</f>
        <v>#N/A</v>
      </c>
      <c r="AZ391" s="522" t="e">
        <f ca="1">VLOOKUP(表格1_6[[#This Row],[PO+ITEM]],工作表1!B:E,4,FALSE)</f>
        <v>#N/A</v>
      </c>
      <c r="BA391" s="425" t="e">
        <f ca="1">INDEX(工作表1!G:G, MATCH(表格1_6[[#This Row],[invoice number]]&amp;表格1_6[[#This Row],[invoice number2]],工作表1!G:G, 0))</f>
        <v>#N/A</v>
      </c>
      <c r="BB391" s="522" t="e">
        <f ca="1">VLOOKUP(表格1_6[[#This Row],[PO+ITEM]],工作表1!F:H,2,FALSE)</f>
        <v>#N/A</v>
      </c>
    </row>
    <row r="392" spans="1:54" ht="15.6">
      <c r="A392" s="413">
        <v>391</v>
      </c>
      <c r="B392" s="516" t="s">
        <v>3674</v>
      </c>
      <c r="C392" s="509" t="s">
        <v>16</v>
      </c>
      <c r="D392" s="509" t="s">
        <v>3648</v>
      </c>
      <c r="E392" s="509"/>
      <c r="F392" s="509"/>
      <c r="G392" s="509"/>
      <c r="H392" s="509"/>
      <c r="I392" s="509"/>
      <c r="J392" s="509"/>
      <c r="K392" s="509"/>
      <c r="L392" s="524" t="s">
        <v>4791</v>
      </c>
      <c r="M392" s="510" t="s">
        <v>4269</v>
      </c>
      <c r="N392" s="510" t="s">
        <v>2999</v>
      </c>
      <c r="O392" s="511"/>
      <c r="P392" s="510">
        <v>4590004419</v>
      </c>
      <c r="Q392" s="512">
        <v>44802</v>
      </c>
      <c r="R392" s="517">
        <v>4</v>
      </c>
      <c r="S392" s="545"/>
      <c r="T392" s="513" t="s">
        <v>2156</v>
      </c>
      <c r="U392" s="509" t="s">
        <v>4021</v>
      </c>
      <c r="V392" s="509" t="s">
        <v>4022</v>
      </c>
      <c r="W392" s="511" t="s">
        <v>4023</v>
      </c>
      <c r="X392" s="511"/>
      <c r="Y392" s="514" t="s">
        <v>3652</v>
      </c>
      <c r="Z392" s="514" t="s">
        <v>3652</v>
      </c>
      <c r="AA392" s="510" t="s">
        <v>4783</v>
      </c>
      <c r="AB392" s="509" t="s">
        <v>3664</v>
      </c>
      <c r="AC392" s="515"/>
      <c r="AD392" s="514"/>
      <c r="AE392" s="513"/>
      <c r="AF392" s="514">
        <v>90645</v>
      </c>
      <c r="AG392" s="513" t="s">
        <v>3141</v>
      </c>
      <c r="AH392" s="514" t="s">
        <v>4784</v>
      </c>
      <c r="AI392" s="513" t="s">
        <v>4309</v>
      </c>
      <c r="AJ392" s="516" t="str">
        <f t="shared" si="24"/>
        <v>4590004419_004</v>
      </c>
      <c r="AK392" s="518" t="s">
        <v>4792</v>
      </c>
      <c r="AL392" s="520">
        <v>45372</v>
      </c>
      <c r="AM392" s="521">
        <v>0</v>
      </c>
      <c r="AN392" s="527" t="s">
        <v>3788</v>
      </c>
      <c r="AO392" s="518"/>
      <c r="AP392" s="516"/>
      <c r="AQ392" s="521"/>
      <c r="AR392" s="566" t="s">
        <v>3765</v>
      </c>
      <c r="AS392" s="615"/>
      <c r="AT392" s="567">
        <f ca="1">表格1_6[[#This Row],[invoice amount]]+表格1_6[[#This Row],[invoice amount2]]</f>
        <v>0</v>
      </c>
      <c r="AU392" s="566" t="s">
        <v>3765</v>
      </c>
      <c r="AV392" s="518" t="s">
        <v>4786</v>
      </c>
      <c r="AW392" s="522" t="e">
        <f ca="1">VLOOKUP(表格1_6[[#This Row],[TI tool ID2]],工作表1!A:A,1,FALSE)</f>
        <v>#N/A</v>
      </c>
      <c r="AX392" s="523" t="e">
        <f ca="1">VLOOKUP(表格1_6[[#This Row],[PO+ITEM]],工作表1!B:E,2,FALSE)</f>
        <v>#N/A</v>
      </c>
      <c r="AY392" s="523" t="e">
        <f ca="1">VLOOKUP(表格1_6[[#This Row],[PO+ITEM]],工作表1!B:E,3,FALSE)</f>
        <v>#N/A</v>
      </c>
      <c r="AZ392" s="522" t="e">
        <f ca="1">VLOOKUP(表格1_6[[#This Row],[PO+ITEM]],工作表1!B:E,4,FALSE)</f>
        <v>#N/A</v>
      </c>
      <c r="BA392" s="425" t="e">
        <f ca="1">INDEX(工作表1!G:G, MATCH(表格1_6[[#This Row],[invoice number]]&amp;表格1_6[[#This Row],[invoice number2]],工作表1!G:G, 0))</f>
        <v>#N/A</v>
      </c>
      <c r="BB392" s="522" t="e">
        <f ca="1">VLOOKUP(表格1_6[[#This Row],[PO+ITEM]],工作表1!F:H,2,FALSE)</f>
        <v>#N/A</v>
      </c>
    </row>
    <row r="393" spans="1:54" ht="15.6">
      <c r="A393" s="413">
        <v>392</v>
      </c>
      <c r="B393" s="516" t="s">
        <v>3674</v>
      </c>
      <c r="C393" s="509" t="s">
        <v>16</v>
      </c>
      <c r="D393" s="509" t="s">
        <v>3648</v>
      </c>
      <c r="E393" s="509"/>
      <c r="F393" s="509"/>
      <c r="G393" s="509"/>
      <c r="H393" s="509"/>
      <c r="I393" s="509"/>
      <c r="J393" s="509"/>
      <c r="K393" s="509"/>
      <c r="L393" s="524" t="s">
        <v>4793</v>
      </c>
      <c r="M393" s="510" t="s">
        <v>4269</v>
      </c>
      <c r="N393" s="510" t="s">
        <v>2999</v>
      </c>
      <c r="O393" s="511"/>
      <c r="P393" s="510">
        <v>4590004419</v>
      </c>
      <c r="Q393" s="512">
        <v>44802</v>
      </c>
      <c r="R393" s="517">
        <v>5</v>
      </c>
      <c r="S393" s="568"/>
      <c r="T393" s="513" t="s">
        <v>2156</v>
      </c>
      <c r="U393" s="509" t="s">
        <v>4021</v>
      </c>
      <c r="V393" s="509" t="s">
        <v>4022</v>
      </c>
      <c r="W393" s="511" t="s">
        <v>4023</v>
      </c>
      <c r="X393" s="511"/>
      <c r="Y393" s="514" t="s">
        <v>3652</v>
      </c>
      <c r="Z393" s="514" t="s">
        <v>3652</v>
      </c>
      <c r="AA393" s="510"/>
      <c r="AB393" s="509" t="s">
        <v>3664</v>
      </c>
      <c r="AC393" s="515"/>
      <c r="AD393" s="514"/>
      <c r="AE393" s="513"/>
      <c r="AF393" s="514">
        <v>90646</v>
      </c>
      <c r="AG393" s="513" t="s">
        <v>3118</v>
      </c>
      <c r="AH393" s="514" t="s">
        <v>4784</v>
      </c>
      <c r="AI393" s="513" t="s">
        <v>4309</v>
      </c>
      <c r="AJ393" s="516" t="str">
        <f t="shared" si="24"/>
        <v>4590004419_005</v>
      </c>
      <c r="AK393" s="569" t="s">
        <v>4794</v>
      </c>
      <c r="AL393" s="520">
        <v>45520</v>
      </c>
      <c r="AM393" s="570">
        <v>0</v>
      </c>
      <c r="AN393" s="571" t="s">
        <v>3788</v>
      </c>
      <c r="AO393" s="518"/>
      <c r="AP393" s="516"/>
      <c r="AQ393" s="521"/>
      <c r="AR393" s="566" t="s">
        <v>3765</v>
      </c>
      <c r="AS393" s="615"/>
      <c r="AT393" s="567">
        <f ca="1">表格1_6[[#This Row],[invoice amount]]+表格1_6[[#This Row],[invoice amount2]]</f>
        <v>0</v>
      </c>
      <c r="AU393" s="566" t="s">
        <v>3765</v>
      </c>
      <c r="AV393" s="518" t="s">
        <v>4795</v>
      </c>
      <c r="AW393" s="522" t="e">
        <f ca="1">VLOOKUP(表格1_6[[#This Row],[TI tool ID2]],工作表1!A:A,1,FALSE)</f>
        <v>#N/A</v>
      </c>
      <c r="AX393" s="523" t="e">
        <f ca="1">VLOOKUP(表格1_6[[#This Row],[PO+ITEM]],工作表1!B:E,2,FALSE)</f>
        <v>#N/A</v>
      </c>
      <c r="AY393" s="523" t="e">
        <f ca="1">VLOOKUP(表格1_6[[#This Row],[PO+ITEM]],工作表1!B:E,3,FALSE)</f>
        <v>#N/A</v>
      </c>
      <c r="AZ393" s="522" t="e">
        <f ca="1">VLOOKUP(表格1_6[[#This Row],[PO+ITEM]],工作表1!B:E,4,FALSE)</f>
        <v>#N/A</v>
      </c>
      <c r="BA393" s="425" t="e">
        <f ca="1">INDEX(工作表1!G:G, MATCH(表格1_6[[#This Row],[invoice number]]&amp;表格1_6[[#This Row],[invoice number2]],工作表1!G:G, 0))</f>
        <v>#N/A</v>
      </c>
      <c r="BB393" s="522" t="e">
        <f ca="1">VLOOKUP(表格1_6[[#This Row],[PO+ITEM]],工作表1!F:H,2,FALSE)</f>
        <v>#N/A</v>
      </c>
    </row>
    <row r="394" spans="1:54" ht="15.6">
      <c r="A394" s="413">
        <v>393</v>
      </c>
      <c r="B394" s="516" t="s">
        <v>3674</v>
      </c>
      <c r="C394" s="509" t="s">
        <v>16</v>
      </c>
      <c r="D394" s="509" t="s">
        <v>3648</v>
      </c>
      <c r="E394" s="509"/>
      <c r="F394" s="509"/>
      <c r="G394" s="509"/>
      <c r="H394" s="509"/>
      <c r="I394" s="509"/>
      <c r="J394" s="509"/>
      <c r="K394" s="509"/>
      <c r="L394" s="524" t="s">
        <v>4796</v>
      </c>
      <c r="M394" s="510" t="s">
        <v>4269</v>
      </c>
      <c r="N394" s="510" t="s">
        <v>2999</v>
      </c>
      <c r="O394" s="511"/>
      <c r="P394" s="510">
        <v>4590004419</v>
      </c>
      <c r="Q394" s="512">
        <v>44802</v>
      </c>
      <c r="R394" s="517">
        <v>6</v>
      </c>
      <c r="S394" s="568"/>
      <c r="T394" s="513" t="s">
        <v>2156</v>
      </c>
      <c r="U394" s="509" t="s">
        <v>4021</v>
      </c>
      <c r="V394" s="509" t="s">
        <v>4022</v>
      </c>
      <c r="W394" s="511" t="s">
        <v>4023</v>
      </c>
      <c r="X394" s="511"/>
      <c r="Y394" s="514" t="s">
        <v>3652</v>
      </c>
      <c r="Z394" s="514" t="s">
        <v>3652</v>
      </c>
      <c r="AA394" s="510"/>
      <c r="AB394" s="509" t="s">
        <v>3664</v>
      </c>
      <c r="AC394" s="515"/>
      <c r="AD394" s="514"/>
      <c r="AE394" s="513"/>
      <c r="AF394" s="514">
        <v>90647</v>
      </c>
      <c r="AG394" s="513" t="s">
        <v>3119</v>
      </c>
      <c r="AH394" s="514" t="s">
        <v>4784</v>
      </c>
      <c r="AI394" s="513" t="s">
        <v>4309</v>
      </c>
      <c r="AJ394" s="516" t="str">
        <f t="shared" si="24"/>
        <v>4590004419_006</v>
      </c>
      <c r="AK394" s="569" t="s">
        <v>4797</v>
      </c>
      <c r="AL394" s="520">
        <v>45520</v>
      </c>
      <c r="AM394" s="570">
        <v>0</v>
      </c>
      <c r="AN394" s="571" t="s">
        <v>3788</v>
      </c>
      <c r="AO394" s="518"/>
      <c r="AP394" s="516"/>
      <c r="AQ394" s="521"/>
      <c r="AR394" s="566" t="s">
        <v>3765</v>
      </c>
      <c r="AS394" s="615"/>
      <c r="AT394" s="567">
        <f ca="1">表格1_6[[#This Row],[invoice amount]]+表格1_6[[#This Row],[invoice amount2]]</f>
        <v>0</v>
      </c>
      <c r="AU394" s="566" t="s">
        <v>3765</v>
      </c>
      <c r="AV394" s="518" t="s">
        <v>4795</v>
      </c>
      <c r="AW394" s="522" t="e">
        <f ca="1">VLOOKUP(表格1_6[[#This Row],[TI tool ID2]],工作表1!A:A,1,FALSE)</f>
        <v>#N/A</v>
      </c>
      <c r="AX394" s="523" t="e">
        <f ca="1">VLOOKUP(表格1_6[[#This Row],[PO+ITEM]],工作表1!B:E,2,FALSE)</f>
        <v>#N/A</v>
      </c>
      <c r="AY394" s="523" t="e">
        <f ca="1">VLOOKUP(表格1_6[[#This Row],[PO+ITEM]],工作表1!B:E,3,FALSE)</f>
        <v>#N/A</v>
      </c>
      <c r="AZ394" s="522" t="e">
        <f ca="1">VLOOKUP(表格1_6[[#This Row],[PO+ITEM]],工作表1!B:E,4,FALSE)</f>
        <v>#N/A</v>
      </c>
      <c r="BA394" s="425" t="e">
        <f ca="1">INDEX(工作表1!G:G, MATCH(表格1_6[[#This Row],[invoice number]]&amp;表格1_6[[#This Row],[invoice number2]],工作表1!G:G, 0))</f>
        <v>#N/A</v>
      </c>
      <c r="BB394" s="522" t="e">
        <f ca="1">VLOOKUP(表格1_6[[#This Row],[PO+ITEM]],工作表1!F:H,2,FALSE)</f>
        <v>#N/A</v>
      </c>
    </row>
    <row r="395" spans="1:54" ht="15.6">
      <c r="A395" s="413">
        <v>394</v>
      </c>
      <c r="B395" s="516" t="s">
        <v>3674</v>
      </c>
      <c r="C395" s="509" t="s">
        <v>16</v>
      </c>
      <c r="D395" s="509" t="s">
        <v>3648</v>
      </c>
      <c r="E395" s="509"/>
      <c r="F395" s="509"/>
      <c r="G395" s="509"/>
      <c r="H395" s="509"/>
      <c r="I395" s="509"/>
      <c r="J395" s="509"/>
      <c r="K395" s="509"/>
      <c r="L395" s="524" t="s">
        <v>4798</v>
      </c>
      <c r="M395" s="510" t="s">
        <v>4269</v>
      </c>
      <c r="N395" s="510" t="s">
        <v>2999</v>
      </c>
      <c r="O395" s="511"/>
      <c r="P395" s="510">
        <v>4590004419</v>
      </c>
      <c r="Q395" s="512">
        <v>44802</v>
      </c>
      <c r="R395" s="517">
        <v>7</v>
      </c>
      <c r="S395" s="568"/>
      <c r="T395" s="513" t="s">
        <v>2156</v>
      </c>
      <c r="U395" s="509" t="s">
        <v>4021</v>
      </c>
      <c r="V395" s="509" t="s">
        <v>4022</v>
      </c>
      <c r="W395" s="511" t="s">
        <v>4023</v>
      </c>
      <c r="X395" s="511"/>
      <c r="Y395" s="514" t="s">
        <v>3652</v>
      </c>
      <c r="Z395" s="514" t="s">
        <v>3652</v>
      </c>
      <c r="AA395" s="510"/>
      <c r="AB395" s="509" t="s">
        <v>3664</v>
      </c>
      <c r="AC395" s="515"/>
      <c r="AD395" s="514"/>
      <c r="AE395" s="513"/>
      <c r="AF395" s="514">
        <v>90648</v>
      </c>
      <c r="AG395" s="513" t="s">
        <v>3120</v>
      </c>
      <c r="AH395" s="514" t="s">
        <v>4784</v>
      </c>
      <c r="AI395" s="513" t="s">
        <v>4309</v>
      </c>
      <c r="AJ395" s="516" t="str">
        <f t="shared" si="24"/>
        <v>4590004419_007</v>
      </c>
      <c r="AK395" s="569" t="s">
        <v>4799</v>
      </c>
      <c r="AL395" s="520">
        <v>45520</v>
      </c>
      <c r="AM395" s="570">
        <v>0</v>
      </c>
      <c r="AN395" s="571" t="s">
        <v>3788</v>
      </c>
      <c r="AO395" s="518"/>
      <c r="AP395" s="516"/>
      <c r="AQ395" s="521"/>
      <c r="AR395" s="566" t="s">
        <v>3765</v>
      </c>
      <c r="AS395" s="615"/>
      <c r="AT395" s="567">
        <f ca="1">表格1_6[[#This Row],[invoice amount]]+表格1_6[[#This Row],[invoice amount2]]</f>
        <v>0</v>
      </c>
      <c r="AU395" s="566" t="s">
        <v>3765</v>
      </c>
      <c r="AV395" s="518" t="s">
        <v>4795</v>
      </c>
      <c r="AW395" s="522" t="e">
        <f ca="1">VLOOKUP(表格1_6[[#This Row],[TI tool ID2]],工作表1!A:A,1,FALSE)</f>
        <v>#N/A</v>
      </c>
      <c r="AX395" s="523" t="e">
        <f ca="1">VLOOKUP(表格1_6[[#This Row],[PO+ITEM]],工作表1!B:E,2,FALSE)</f>
        <v>#N/A</v>
      </c>
      <c r="AY395" s="523" t="e">
        <f ca="1">VLOOKUP(表格1_6[[#This Row],[PO+ITEM]],工作表1!B:E,3,FALSE)</f>
        <v>#N/A</v>
      </c>
      <c r="AZ395" s="522" t="e">
        <f ca="1">VLOOKUP(表格1_6[[#This Row],[PO+ITEM]],工作表1!B:E,4,FALSE)</f>
        <v>#N/A</v>
      </c>
      <c r="BA395" s="425" t="e">
        <f ca="1">INDEX(工作表1!G:G, MATCH(表格1_6[[#This Row],[invoice number]]&amp;表格1_6[[#This Row],[invoice number2]],工作表1!G:G, 0))</f>
        <v>#N/A</v>
      </c>
      <c r="BB395" s="522" t="e">
        <f ca="1">VLOOKUP(表格1_6[[#This Row],[PO+ITEM]],工作表1!F:H,2,FALSE)</f>
        <v>#N/A</v>
      </c>
    </row>
    <row r="396" spans="1:54" s="429" customFormat="1" ht="15.6">
      <c r="A396" s="413">
        <v>395</v>
      </c>
      <c r="B396" s="516" t="s">
        <v>3674</v>
      </c>
      <c r="C396" s="509" t="s">
        <v>16</v>
      </c>
      <c r="D396" s="509" t="s">
        <v>3648</v>
      </c>
      <c r="E396" s="509"/>
      <c r="F396" s="509"/>
      <c r="G396" s="509"/>
      <c r="H396" s="509"/>
      <c r="I396" s="509"/>
      <c r="J396" s="509"/>
      <c r="K396" s="509"/>
      <c r="L396" s="524" t="s">
        <v>4800</v>
      </c>
      <c r="M396" s="510" t="s">
        <v>4269</v>
      </c>
      <c r="N396" s="510" t="s">
        <v>2999</v>
      </c>
      <c r="O396" s="511"/>
      <c r="P396" s="510">
        <v>4590004419</v>
      </c>
      <c r="Q396" s="512">
        <v>44802</v>
      </c>
      <c r="R396" s="517">
        <v>8</v>
      </c>
      <c r="S396" s="568"/>
      <c r="T396" s="513" t="s">
        <v>2156</v>
      </c>
      <c r="U396" s="509" t="s">
        <v>4021</v>
      </c>
      <c r="V396" s="509" t="s">
        <v>4022</v>
      </c>
      <c r="W396" s="511" t="s">
        <v>4023</v>
      </c>
      <c r="X396" s="511"/>
      <c r="Y396" s="514" t="s">
        <v>3652</v>
      </c>
      <c r="Z396" s="514" t="s">
        <v>3652</v>
      </c>
      <c r="AA396" s="510"/>
      <c r="AB396" s="509" t="s">
        <v>3664</v>
      </c>
      <c r="AC396" s="515"/>
      <c r="AD396" s="514"/>
      <c r="AE396" s="513"/>
      <c r="AF396" s="514">
        <v>90649</v>
      </c>
      <c r="AG396" s="513" t="s">
        <v>3121</v>
      </c>
      <c r="AH396" s="514" t="s">
        <v>4784</v>
      </c>
      <c r="AI396" s="513" t="s">
        <v>4309</v>
      </c>
      <c r="AJ396" s="516" t="str">
        <f t="shared" si="24"/>
        <v>4590004419_008</v>
      </c>
      <c r="AK396" s="569" t="s">
        <v>4801</v>
      </c>
      <c r="AL396" s="520">
        <v>45520</v>
      </c>
      <c r="AM396" s="570">
        <v>0</v>
      </c>
      <c r="AN396" s="571" t="s">
        <v>3788</v>
      </c>
      <c r="AO396" s="518"/>
      <c r="AP396" s="516"/>
      <c r="AQ396" s="521"/>
      <c r="AR396" s="566" t="s">
        <v>3765</v>
      </c>
      <c r="AS396" s="615"/>
      <c r="AT396" s="567">
        <f ca="1">表格1_6[[#This Row],[invoice amount]]+表格1_6[[#This Row],[invoice amount2]]</f>
        <v>0</v>
      </c>
      <c r="AU396" s="566" t="s">
        <v>3765</v>
      </c>
      <c r="AV396" s="518" t="s">
        <v>4795</v>
      </c>
      <c r="AW396" s="518" t="e">
        <f ca="1">VLOOKUP(表格1_6[[#This Row],[TI tool ID2]],工作表1!A:A,1,FALSE)</f>
        <v>#N/A</v>
      </c>
      <c r="AX396" s="569" t="e">
        <f ca="1">VLOOKUP(表格1_6[[#This Row],[PO+ITEM]],工作表1!B:E,2,FALSE)</f>
        <v>#N/A</v>
      </c>
      <c r="AY396" s="569" t="e">
        <f ca="1">VLOOKUP(表格1_6[[#This Row],[PO+ITEM]],工作表1!B:E,3,FALSE)</f>
        <v>#N/A</v>
      </c>
      <c r="AZ396" s="518" t="e">
        <f ca="1">VLOOKUP(表格1_6[[#This Row],[PO+ITEM]],工作表1!B:E,4,FALSE)</f>
        <v>#N/A</v>
      </c>
      <c r="BA396" s="425" t="e">
        <f ca="1">INDEX(工作表1!G:G, MATCH(表格1_6[[#This Row],[invoice number]]&amp;表格1_6[[#This Row],[invoice number2]],工作表1!G:G, 0))</f>
        <v>#N/A</v>
      </c>
      <c r="BB396" s="518" t="e">
        <f ca="1">VLOOKUP(表格1_6[[#This Row],[PO+ITEM]],工作表1!F:H,2,FALSE)</f>
        <v>#N/A</v>
      </c>
    </row>
    <row r="397" spans="1:54" ht="14.45">
      <c r="A397" s="413">
        <v>396</v>
      </c>
      <c r="B397" s="413" t="s">
        <v>3674</v>
      </c>
      <c r="C397" s="414" t="s">
        <v>16</v>
      </c>
      <c r="D397" s="414" t="s">
        <v>3648</v>
      </c>
      <c r="E397" s="414"/>
      <c r="F397" s="414"/>
      <c r="G397" s="414"/>
      <c r="H397" s="414"/>
      <c r="I397" s="414"/>
      <c r="J397" s="414"/>
      <c r="K397" s="414"/>
      <c r="L397" s="415" t="s">
        <v>4802</v>
      </c>
      <c r="M397" s="416" t="s">
        <v>2206</v>
      </c>
      <c r="N397" s="416" t="s">
        <v>2999</v>
      </c>
      <c r="O397" s="417"/>
      <c r="P397" s="416">
        <v>4590004419</v>
      </c>
      <c r="Q397" s="418">
        <v>44802</v>
      </c>
      <c r="R397" s="419">
        <v>9</v>
      </c>
      <c r="S397" s="458">
        <v>8393.52</v>
      </c>
      <c r="T397" s="420" t="s">
        <v>2156</v>
      </c>
      <c r="U397" s="414" t="s">
        <v>4021</v>
      </c>
      <c r="V397" s="414" t="s">
        <v>4022</v>
      </c>
      <c r="W397" s="417" t="s">
        <v>4023</v>
      </c>
      <c r="X397" s="417"/>
      <c r="Y397" s="421" t="s">
        <v>3652</v>
      </c>
      <c r="Z397" s="421" t="s">
        <v>3652</v>
      </c>
      <c r="AA397" s="416"/>
      <c r="AB397" s="414" t="s">
        <v>3664</v>
      </c>
      <c r="AC397" s="422"/>
      <c r="AD397" s="421"/>
      <c r="AE397" s="420"/>
      <c r="AF397" s="421">
        <v>90116</v>
      </c>
      <c r="AG397" s="420" t="s">
        <v>2725</v>
      </c>
      <c r="AH397" s="421" t="s">
        <v>4784</v>
      </c>
      <c r="AI397" s="420" t="s">
        <v>846</v>
      </c>
      <c r="AJ397" s="413" t="str">
        <f t="shared" si="24"/>
        <v>4590004419_009</v>
      </c>
      <c r="AK397" s="423"/>
      <c r="AL397" s="413"/>
      <c r="AM397" s="221"/>
      <c r="AN397" s="424"/>
      <c r="AO397" s="423"/>
      <c r="AP397" s="413"/>
      <c r="AQ397" s="222"/>
      <c r="AR397" s="424"/>
      <c r="AS397" s="614">
        <f ca="1">表格1_6[[#This Row],[total amount]]/表格1_6[[#This Row],[PO$]]</f>
        <v>0</v>
      </c>
      <c r="AT397" s="223">
        <f ca="1">表格1_6[[#This Row],[invoice amount]]+表格1_6[[#This Row],[invoice amount2]]</f>
        <v>0</v>
      </c>
      <c r="AU397" s="224"/>
      <c r="AV397" s="423"/>
      <c r="AW397" s="423" t="e">
        <f ca="1">VLOOKUP(表格1_6[[#This Row],[TI tool ID2]],工作表1!A:A,1,FALSE)</f>
        <v>#N/A</v>
      </c>
      <c r="AX397" s="425" t="e">
        <f ca="1">VLOOKUP(表格1_6[[#This Row],[PO+ITEM]],工作表1!B:E,2,FALSE)</f>
        <v>#N/A</v>
      </c>
      <c r="AY397" s="425" t="e">
        <f ca="1">VLOOKUP(表格1_6[[#This Row],[PO+ITEM]],工作表1!B:E,3,FALSE)</f>
        <v>#N/A</v>
      </c>
      <c r="AZ397" s="423" t="e">
        <f ca="1">VLOOKUP(表格1_6[[#This Row],[PO+ITEM]],工作表1!B:E,4,FALSE)</f>
        <v>#N/A</v>
      </c>
      <c r="BA397" s="425" t="e">
        <f ca="1">INDEX(工作表1!G:G, MATCH(表格1_6[[#This Row],[invoice number]]&amp;表格1_6[[#This Row],[invoice number2]],工作表1!G:G, 0))</f>
        <v>#N/A</v>
      </c>
      <c r="BB397" s="423" t="e">
        <f ca="1">VLOOKUP(表格1_6[[#This Row],[PO+ITEM]],工作表1!F:H,2,FALSE)</f>
        <v>#N/A</v>
      </c>
    </row>
    <row r="398" spans="1:54" ht="14.45">
      <c r="A398" s="413">
        <v>397</v>
      </c>
      <c r="B398" s="413" t="s">
        <v>3674</v>
      </c>
      <c r="C398" s="414" t="s">
        <v>16</v>
      </c>
      <c r="D398" s="414" t="s">
        <v>3648</v>
      </c>
      <c r="E398" s="414"/>
      <c r="F398" s="414"/>
      <c r="G398" s="414"/>
      <c r="H398" s="414"/>
      <c r="I398" s="414"/>
      <c r="J398" s="414"/>
      <c r="K398" s="414"/>
      <c r="L398" s="415" t="s">
        <v>4803</v>
      </c>
      <c r="M398" s="416" t="s">
        <v>2206</v>
      </c>
      <c r="N398" s="416" t="s">
        <v>2999</v>
      </c>
      <c r="O398" s="417"/>
      <c r="P398" s="416">
        <v>4590004419</v>
      </c>
      <c r="Q398" s="418">
        <v>44802</v>
      </c>
      <c r="R398" s="419">
        <v>10</v>
      </c>
      <c r="S398" s="458">
        <v>8393.52</v>
      </c>
      <c r="T398" s="420" t="s">
        <v>2156</v>
      </c>
      <c r="U398" s="414" t="s">
        <v>4021</v>
      </c>
      <c r="V398" s="414" t="s">
        <v>4022</v>
      </c>
      <c r="W398" s="417" t="s">
        <v>4023</v>
      </c>
      <c r="X398" s="417"/>
      <c r="Y398" s="421" t="s">
        <v>3652</v>
      </c>
      <c r="Z398" s="421" t="s">
        <v>3652</v>
      </c>
      <c r="AA398" s="416"/>
      <c r="AB398" s="414" t="s">
        <v>3664</v>
      </c>
      <c r="AC398" s="422"/>
      <c r="AD398" s="421"/>
      <c r="AE398" s="420"/>
      <c r="AF398" s="421">
        <v>90114</v>
      </c>
      <c r="AG398" s="420" t="s">
        <v>1045</v>
      </c>
      <c r="AH398" s="421" t="s">
        <v>4784</v>
      </c>
      <c r="AI398" s="420" t="s">
        <v>846</v>
      </c>
      <c r="AJ398" s="413" t="str">
        <f t="shared" ref="AJ398:AJ407" si="25">P398&amp;"_0"&amp;R398</f>
        <v>4590004419_010</v>
      </c>
      <c r="AK398" s="423"/>
      <c r="AL398" s="413"/>
      <c r="AM398" s="221"/>
      <c r="AN398" s="424"/>
      <c r="AO398" s="423"/>
      <c r="AP398" s="413"/>
      <c r="AQ398" s="222"/>
      <c r="AR398" s="424"/>
      <c r="AS398" s="614">
        <f ca="1">表格1_6[[#This Row],[total amount]]/表格1_6[[#This Row],[PO$]]</f>
        <v>0</v>
      </c>
      <c r="AT398" s="223">
        <f ca="1">表格1_6[[#This Row],[invoice amount]]+表格1_6[[#This Row],[invoice amount2]]</f>
        <v>0</v>
      </c>
      <c r="AU398" s="224"/>
      <c r="AV398" s="423"/>
      <c r="AW398" s="423" t="e">
        <f ca="1">VLOOKUP(表格1_6[[#This Row],[TI tool ID2]],工作表1!A:A,1,FALSE)</f>
        <v>#N/A</v>
      </c>
      <c r="AX398" s="425" t="e">
        <f ca="1">VLOOKUP(表格1_6[[#This Row],[PO+ITEM]],工作表1!B:E,2,FALSE)</f>
        <v>#N/A</v>
      </c>
      <c r="AY398" s="425" t="e">
        <f ca="1">VLOOKUP(表格1_6[[#This Row],[PO+ITEM]],工作表1!B:E,3,FALSE)</f>
        <v>#N/A</v>
      </c>
      <c r="AZ398" s="423" t="e">
        <f ca="1">VLOOKUP(表格1_6[[#This Row],[PO+ITEM]],工作表1!B:E,4,FALSE)</f>
        <v>#N/A</v>
      </c>
      <c r="BA398" s="425" t="e">
        <f ca="1">INDEX(工作表1!G:G, MATCH(表格1_6[[#This Row],[invoice number]]&amp;表格1_6[[#This Row],[invoice number2]],工作表1!G:G, 0))</f>
        <v>#N/A</v>
      </c>
      <c r="BB398" s="423" t="e">
        <f ca="1">VLOOKUP(表格1_6[[#This Row],[PO+ITEM]],工作表1!F:H,2,FALSE)</f>
        <v>#N/A</v>
      </c>
    </row>
    <row r="399" spans="1:54" ht="14.45">
      <c r="A399" s="413">
        <v>398</v>
      </c>
      <c r="B399" s="413" t="s">
        <v>3659</v>
      </c>
      <c r="C399" s="414" t="s">
        <v>16</v>
      </c>
      <c r="D399" s="414" t="s">
        <v>3648</v>
      </c>
      <c r="E399" s="414"/>
      <c r="F399" s="414"/>
      <c r="G399" s="414"/>
      <c r="H399" s="414"/>
      <c r="I399" s="414"/>
      <c r="J399" s="414"/>
      <c r="K399" s="414"/>
      <c r="L399" s="415" t="s">
        <v>4804</v>
      </c>
      <c r="M399" s="416" t="s">
        <v>2206</v>
      </c>
      <c r="N399" s="416" t="s">
        <v>2999</v>
      </c>
      <c r="O399" s="417"/>
      <c r="P399" s="416">
        <v>4590004419</v>
      </c>
      <c r="Q399" s="418">
        <v>44802</v>
      </c>
      <c r="R399" s="419">
        <v>11</v>
      </c>
      <c r="S399" s="458">
        <v>8393.52</v>
      </c>
      <c r="T399" s="420" t="s">
        <v>2156</v>
      </c>
      <c r="U399" s="414" t="s">
        <v>4021</v>
      </c>
      <c r="V399" s="414" t="s">
        <v>4022</v>
      </c>
      <c r="W399" s="417" t="s">
        <v>4023</v>
      </c>
      <c r="X399" s="417"/>
      <c r="Y399" s="421" t="s">
        <v>3652</v>
      </c>
      <c r="Z399" s="421" t="s">
        <v>3652</v>
      </c>
      <c r="AA399" s="416"/>
      <c r="AB399" s="414" t="s">
        <v>3664</v>
      </c>
      <c r="AC399" s="422"/>
      <c r="AD399" s="421"/>
      <c r="AE399" s="420"/>
      <c r="AF399" s="421">
        <v>90115</v>
      </c>
      <c r="AG399" s="420" t="s">
        <v>4805</v>
      </c>
      <c r="AH399" s="421" t="s">
        <v>4784</v>
      </c>
      <c r="AI399" s="420" t="s">
        <v>846</v>
      </c>
      <c r="AJ399" s="413" t="str">
        <f t="shared" si="25"/>
        <v>4590004419_011</v>
      </c>
      <c r="AK399" s="423"/>
      <c r="AL399" s="413"/>
      <c r="AM399" s="221"/>
      <c r="AN399" s="424"/>
      <c r="AO399" s="423"/>
      <c r="AP399" s="413"/>
      <c r="AQ399" s="222"/>
      <c r="AR399" s="424"/>
      <c r="AS399" s="614">
        <f ca="1">表格1_6[[#This Row],[total amount]]/表格1_6[[#This Row],[PO$]]</f>
        <v>0</v>
      </c>
      <c r="AT399" s="223">
        <f ca="1">表格1_6[[#This Row],[invoice amount]]+表格1_6[[#This Row],[invoice amount2]]</f>
        <v>0</v>
      </c>
      <c r="AU399" s="224"/>
      <c r="AV399" s="423"/>
      <c r="AW399" s="423" t="e">
        <f ca="1">VLOOKUP(表格1_6[[#This Row],[TI tool ID2]],工作表1!A:A,1,FALSE)</f>
        <v>#N/A</v>
      </c>
      <c r="AX399" s="425" t="e">
        <f ca="1">VLOOKUP(表格1_6[[#This Row],[PO+ITEM]],工作表1!B:E,2,FALSE)</f>
        <v>#N/A</v>
      </c>
      <c r="AY399" s="425" t="e">
        <f ca="1">VLOOKUP(表格1_6[[#This Row],[PO+ITEM]],工作表1!B:E,3,FALSE)</f>
        <v>#N/A</v>
      </c>
      <c r="AZ399" s="423" t="e">
        <f ca="1">VLOOKUP(表格1_6[[#This Row],[PO+ITEM]],工作表1!B:E,4,FALSE)</f>
        <v>#N/A</v>
      </c>
      <c r="BA399" s="425" t="e">
        <f ca="1">INDEX(工作表1!G:G, MATCH(表格1_6[[#This Row],[invoice number]]&amp;表格1_6[[#This Row],[invoice number2]],工作表1!G:G, 0))</f>
        <v>#N/A</v>
      </c>
      <c r="BB399" s="423" t="e">
        <f ca="1">VLOOKUP(表格1_6[[#This Row],[PO+ITEM]],工作表1!F:H,2,FALSE)</f>
        <v>#N/A</v>
      </c>
    </row>
    <row r="400" spans="1:54" ht="14.45">
      <c r="A400" s="413">
        <v>399</v>
      </c>
      <c r="B400" s="413" t="s">
        <v>3674</v>
      </c>
      <c r="C400" s="414" t="s">
        <v>16</v>
      </c>
      <c r="D400" s="414" t="s">
        <v>3648</v>
      </c>
      <c r="E400" s="414"/>
      <c r="F400" s="414"/>
      <c r="G400" s="414"/>
      <c r="H400" s="414"/>
      <c r="I400" s="414"/>
      <c r="J400" s="414"/>
      <c r="K400" s="414"/>
      <c r="L400" s="415" t="s">
        <v>4806</v>
      </c>
      <c r="M400" s="416" t="s">
        <v>2206</v>
      </c>
      <c r="N400" s="416" t="s">
        <v>2999</v>
      </c>
      <c r="O400" s="417"/>
      <c r="P400" s="416">
        <v>4590004419</v>
      </c>
      <c r="Q400" s="418">
        <v>44802</v>
      </c>
      <c r="R400" s="419">
        <v>12</v>
      </c>
      <c r="S400" s="458">
        <v>3803.58</v>
      </c>
      <c r="T400" s="420" t="s">
        <v>2156</v>
      </c>
      <c r="U400" s="414" t="s">
        <v>4021</v>
      </c>
      <c r="V400" s="414" t="s">
        <v>4022</v>
      </c>
      <c r="W400" s="417" t="s">
        <v>4023</v>
      </c>
      <c r="X400" s="417"/>
      <c r="Y400" s="421" t="s">
        <v>3652</v>
      </c>
      <c r="Z400" s="421" t="s">
        <v>3652</v>
      </c>
      <c r="AA400" s="416"/>
      <c r="AB400" s="414" t="s">
        <v>3664</v>
      </c>
      <c r="AC400" s="422"/>
      <c r="AD400" s="421"/>
      <c r="AE400" s="420"/>
      <c r="AF400" s="421">
        <v>90213</v>
      </c>
      <c r="AG400" s="420" t="s">
        <v>1041</v>
      </c>
      <c r="AH400" s="421" t="s">
        <v>4784</v>
      </c>
      <c r="AI400" s="420" t="s">
        <v>846</v>
      </c>
      <c r="AJ400" s="413" t="str">
        <f t="shared" si="25"/>
        <v>4590004419_012</v>
      </c>
      <c r="AK400" s="423"/>
      <c r="AL400" s="413"/>
      <c r="AM400" s="221"/>
      <c r="AN400" s="424"/>
      <c r="AO400" s="423"/>
      <c r="AP400" s="413"/>
      <c r="AQ400" s="222"/>
      <c r="AR400" s="424"/>
      <c r="AS400" s="614">
        <f ca="1">表格1_6[[#This Row],[total amount]]/表格1_6[[#This Row],[PO$]]</f>
        <v>0</v>
      </c>
      <c r="AT400" s="223">
        <f ca="1">表格1_6[[#This Row],[invoice amount]]+表格1_6[[#This Row],[invoice amount2]]</f>
        <v>0</v>
      </c>
      <c r="AU400" s="224"/>
      <c r="AV400" s="423"/>
      <c r="AW400" s="423" t="e">
        <f ca="1">VLOOKUP(表格1_6[[#This Row],[TI tool ID2]],工作表1!A:A,1,FALSE)</f>
        <v>#N/A</v>
      </c>
      <c r="AX400" s="425" t="e">
        <f ca="1">VLOOKUP(表格1_6[[#This Row],[PO+ITEM]],工作表1!B:E,2,FALSE)</f>
        <v>#N/A</v>
      </c>
      <c r="AY400" s="425" t="e">
        <f ca="1">VLOOKUP(表格1_6[[#This Row],[PO+ITEM]],工作表1!B:E,3,FALSE)</f>
        <v>#N/A</v>
      </c>
      <c r="AZ400" s="423" t="e">
        <f ca="1">VLOOKUP(表格1_6[[#This Row],[PO+ITEM]],工作表1!B:E,4,FALSE)</f>
        <v>#N/A</v>
      </c>
      <c r="BA400" s="425" t="e">
        <f ca="1">INDEX(工作表1!G:G, MATCH(表格1_6[[#This Row],[invoice number]]&amp;表格1_6[[#This Row],[invoice number2]],工作表1!G:G, 0))</f>
        <v>#N/A</v>
      </c>
      <c r="BB400" s="423" t="e">
        <f ca="1">VLOOKUP(表格1_6[[#This Row],[PO+ITEM]],工作表1!F:H,2,FALSE)</f>
        <v>#N/A</v>
      </c>
    </row>
    <row r="401" spans="1:54" ht="14.45">
      <c r="A401" s="413">
        <v>400</v>
      </c>
      <c r="B401" s="413" t="s">
        <v>3674</v>
      </c>
      <c r="C401" s="414" t="s">
        <v>16</v>
      </c>
      <c r="D401" s="414" t="s">
        <v>3648</v>
      </c>
      <c r="E401" s="414"/>
      <c r="F401" s="414"/>
      <c r="G401" s="414"/>
      <c r="H401" s="414"/>
      <c r="I401" s="414"/>
      <c r="J401" s="414"/>
      <c r="K401" s="414"/>
      <c r="L401" s="415" t="s">
        <v>4807</v>
      </c>
      <c r="M401" s="416" t="s">
        <v>4269</v>
      </c>
      <c r="N401" s="416" t="s">
        <v>2999</v>
      </c>
      <c r="O401" s="417"/>
      <c r="P401" s="416">
        <v>4590004419</v>
      </c>
      <c r="Q401" s="418">
        <v>44802</v>
      </c>
      <c r="R401" s="419">
        <v>13</v>
      </c>
      <c r="S401" s="458">
        <v>3931.29</v>
      </c>
      <c r="T401" s="420" t="s">
        <v>2156</v>
      </c>
      <c r="U401" s="414" t="s">
        <v>4021</v>
      </c>
      <c r="V401" s="414" t="s">
        <v>4022</v>
      </c>
      <c r="W401" s="417" t="s">
        <v>4023</v>
      </c>
      <c r="X401" s="417"/>
      <c r="Y401" s="421" t="s">
        <v>3652</v>
      </c>
      <c r="Z401" s="421" t="s">
        <v>3652</v>
      </c>
      <c r="AA401" s="416"/>
      <c r="AB401" s="414" t="s">
        <v>3664</v>
      </c>
      <c r="AC401" s="422"/>
      <c r="AD401" s="421"/>
      <c r="AE401" s="420"/>
      <c r="AF401" s="421">
        <v>90782</v>
      </c>
      <c r="AG401" s="420" t="s">
        <v>4808</v>
      </c>
      <c r="AH401" s="421" t="s">
        <v>4784</v>
      </c>
      <c r="AI401" s="420" t="s">
        <v>3719</v>
      </c>
      <c r="AJ401" s="413" t="str">
        <f t="shared" si="25"/>
        <v>4590004419_013</v>
      </c>
      <c r="AK401" s="423"/>
      <c r="AL401" s="413"/>
      <c r="AM401" s="221"/>
      <c r="AN401" s="424"/>
      <c r="AO401" s="423"/>
      <c r="AP401" s="413"/>
      <c r="AQ401" s="222"/>
      <c r="AR401" s="424"/>
      <c r="AS401" s="614">
        <f ca="1">表格1_6[[#This Row],[total amount]]/表格1_6[[#This Row],[PO$]]</f>
        <v>0</v>
      </c>
      <c r="AT401" s="223">
        <f ca="1">表格1_6[[#This Row],[invoice amount]]+表格1_6[[#This Row],[invoice amount2]]</f>
        <v>0</v>
      </c>
      <c r="AU401" s="224"/>
      <c r="AV401" s="423"/>
      <c r="AW401" s="423" t="e">
        <f ca="1">VLOOKUP(表格1_6[[#This Row],[TI tool ID2]],工作表1!A:A,1,FALSE)</f>
        <v>#N/A</v>
      </c>
      <c r="AX401" s="425" t="e">
        <f ca="1">VLOOKUP(表格1_6[[#This Row],[PO+ITEM]],工作表1!B:E,2,FALSE)</f>
        <v>#N/A</v>
      </c>
      <c r="AY401" s="425" t="e">
        <f ca="1">VLOOKUP(表格1_6[[#This Row],[PO+ITEM]],工作表1!B:E,3,FALSE)</f>
        <v>#N/A</v>
      </c>
      <c r="AZ401" s="423" t="e">
        <f ca="1">VLOOKUP(表格1_6[[#This Row],[PO+ITEM]],工作表1!B:E,4,FALSE)</f>
        <v>#N/A</v>
      </c>
      <c r="BA401" s="425" t="e">
        <f ca="1">INDEX(工作表1!G:G, MATCH(表格1_6[[#This Row],[invoice number]]&amp;表格1_6[[#This Row],[invoice number2]],工作表1!G:G, 0))</f>
        <v>#N/A</v>
      </c>
      <c r="BB401" s="423" t="e">
        <f ca="1">VLOOKUP(表格1_6[[#This Row],[PO+ITEM]],工作表1!F:H,2,FALSE)</f>
        <v>#N/A</v>
      </c>
    </row>
    <row r="402" spans="1:54" ht="14.45">
      <c r="A402" s="413">
        <v>401</v>
      </c>
      <c r="B402" s="413" t="s">
        <v>3659</v>
      </c>
      <c r="C402" s="414" t="s">
        <v>16</v>
      </c>
      <c r="D402" s="414" t="s">
        <v>3648</v>
      </c>
      <c r="E402" s="414"/>
      <c r="F402" s="414"/>
      <c r="G402" s="414"/>
      <c r="H402" s="414"/>
      <c r="I402" s="414"/>
      <c r="J402" s="414"/>
      <c r="K402" s="414"/>
      <c r="L402" s="415" t="s">
        <v>4809</v>
      </c>
      <c r="M402" s="416" t="s">
        <v>4269</v>
      </c>
      <c r="N402" s="416" t="s">
        <v>2999</v>
      </c>
      <c r="O402" s="417"/>
      <c r="P402" s="416">
        <v>4590004419</v>
      </c>
      <c r="Q402" s="418">
        <v>44802</v>
      </c>
      <c r="R402" s="419">
        <v>14</v>
      </c>
      <c r="S402" s="458">
        <v>3931.29</v>
      </c>
      <c r="T402" s="420" t="s">
        <v>2156</v>
      </c>
      <c r="U402" s="414" t="s">
        <v>4021</v>
      </c>
      <c r="V402" s="414" t="s">
        <v>4022</v>
      </c>
      <c r="W402" s="417" t="s">
        <v>4023</v>
      </c>
      <c r="X402" s="417"/>
      <c r="Y402" s="421" t="s">
        <v>3652</v>
      </c>
      <c r="Z402" s="421" t="s">
        <v>3652</v>
      </c>
      <c r="AA402" s="416"/>
      <c r="AB402" s="414" t="s">
        <v>3664</v>
      </c>
      <c r="AC402" s="422"/>
      <c r="AD402" s="421"/>
      <c r="AE402" s="420"/>
      <c r="AF402" s="421">
        <v>90783</v>
      </c>
      <c r="AG402" s="420" t="s">
        <v>4810</v>
      </c>
      <c r="AH402" s="421" t="s">
        <v>4784</v>
      </c>
      <c r="AI402" s="420" t="s">
        <v>3719</v>
      </c>
      <c r="AJ402" s="413" t="str">
        <f t="shared" si="25"/>
        <v>4590004419_014</v>
      </c>
      <c r="AK402" s="423"/>
      <c r="AL402" s="413"/>
      <c r="AM402" s="221"/>
      <c r="AN402" s="424"/>
      <c r="AO402" s="423"/>
      <c r="AP402" s="413"/>
      <c r="AQ402" s="222"/>
      <c r="AR402" s="424"/>
      <c r="AS402" s="614">
        <f ca="1">表格1_6[[#This Row],[total amount]]/表格1_6[[#This Row],[PO$]]</f>
        <v>0</v>
      </c>
      <c r="AT402" s="223">
        <f ca="1">表格1_6[[#This Row],[invoice amount]]+表格1_6[[#This Row],[invoice amount2]]</f>
        <v>0</v>
      </c>
      <c r="AU402" s="224"/>
      <c r="AV402" s="423"/>
      <c r="AW402" s="423" t="e">
        <f ca="1">VLOOKUP(表格1_6[[#This Row],[TI tool ID2]],工作表1!A:A,1,FALSE)</f>
        <v>#N/A</v>
      </c>
      <c r="AX402" s="425" t="e">
        <f ca="1">VLOOKUP(表格1_6[[#This Row],[PO+ITEM]],工作表1!B:E,2,FALSE)</f>
        <v>#N/A</v>
      </c>
      <c r="AY402" s="425" t="e">
        <f ca="1">VLOOKUP(表格1_6[[#This Row],[PO+ITEM]],工作表1!B:E,3,FALSE)</f>
        <v>#N/A</v>
      </c>
      <c r="AZ402" s="423" t="e">
        <f ca="1">VLOOKUP(表格1_6[[#This Row],[PO+ITEM]],工作表1!B:E,4,FALSE)</f>
        <v>#N/A</v>
      </c>
      <c r="BA402" s="425" t="e">
        <f ca="1">INDEX(工作表1!G:G, MATCH(表格1_6[[#This Row],[invoice number]]&amp;表格1_6[[#This Row],[invoice number2]],工作表1!G:G, 0))</f>
        <v>#N/A</v>
      </c>
      <c r="BB402" s="423" t="e">
        <f ca="1">VLOOKUP(表格1_6[[#This Row],[PO+ITEM]],工作表1!F:H,2,FALSE)</f>
        <v>#N/A</v>
      </c>
    </row>
    <row r="403" spans="1:54" ht="14.45">
      <c r="A403" s="413">
        <v>402</v>
      </c>
      <c r="B403" s="413" t="s">
        <v>3674</v>
      </c>
      <c r="C403" s="414" t="s">
        <v>16</v>
      </c>
      <c r="D403" s="414" t="s">
        <v>3648</v>
      </c>
      <c r="E403" s="414"/>
      <c r="F403" s="414"/>
      <c r="G403" s="414"/>
      <c r="H403" s="414"/>
      <c r="I403" s="414"/>
      <c r="J403" s="414"/>
      <c r="K403" s="414"/>
      <c r="L403" s="415" t="s">
        <v>4811</v>
      </c>
      <c r="M403" s="416" t="s">
        <v>2206</v>
      </c>
      <c r="N403" s="416" t="s">
        <v>2999</v>
      </c>
      <c r="O403" s="417"/>
      <c r="P403" s="416">
        <v>4590004419</v>
      </c>
      <c r="Q403" s="418">
        <v>44802</v>
      </c>
      <c r="R403" s="419">
        <v>15</v>
      </c>
      <c r="S403" s="458">
        <v>8393.52</v>
      </c>
      <c r="T403" s="420" t="s">
        <v>2156</v>
      </c>
      <c r="U403" s="414" t="s">
        <v>4021</v>
      </c>
      <c r="V403" s="414" t="s">
        <v>4022</v>
      </c>
      <c r="W403" s="417" t="s">
        <v>4023</v>
      </c>
      <c r="X403" s="417"/>
      <c r="Y403" s="421" t="s">
        <v>3652</v>
      </c>
      <c r="Z403" s="421" t="s">
        <v>3652</v>
      </c>
      <c r="AA403" s="416"/>
      <c r="AB403" s="414" t="s">
        <v>3664</v>
      </c>
      <c r="AC403" s="422"/>
      <c r="AD403" s="421"/>
      <c r="AE403" s="420"/>
      <c r="AF403" s="421">
        <v>90336</v>
      </c>
      <c r="AG403" s="420" t="s">
        <v>1043</v>
      </c>
      <c r="AH403" s="421" t="s">
        <v>4784</v>
      </c>
      <c r="AI403" s="420" t="s">
        <v>846</v>
      </c>
      <c r="AJ403" s="413" t="str">
        <f t="shared" si="25"/>
        <v>4590004419_015</v>
      </c>
      <c r="AK403" s="423"/>
      <c r="AL403" s="413"/>
      <c r="AM403" s="221"/>
      <c r="AN403" s="424"/>
      <c r="AO403" s="423"/>
      <c r="AP403" s="413"/>
      <c r="AQ403" s="222"/>
      <c r="AR403" s="424"/>
      <c r="AS403" s="614">
        <f ca="1">表格1_6[[#This Row],[total amount]]/表格1_6[[#This Row],[PO$]]</f>
        <v>0</v>
      </c>
      <c r="AT403" s="223">
        <f ca="1">表格1_6[[#This Row],[invoice amount]]+表格1_6[[#This Row],[invoice amount2]]</f>
        <v>0</v>
      </c>
      <c r="AU403" s="224"/>
      <c r="AV403" s="423"/>
      <c r="AW403" s="423" t="e">
        <f ca="1">VLOOKUP(表格1_6[[#This Row],[TI tool ID2]],工作表1!A:A,1,FALSE)</f>
        <v>#N/A</v>
      </c>
      <c r="AX403" s="425" t="e">
        <f ca="1">VLOOKUP(表格1_6[[#This Row],[PO+ITEM]],工作表1!B:E,2,FALSE)</f>
        <v>#N/A</v>
      </c>
      <c r="AY403" s="425" t="e">
        <f ca="1">VLOOKUP(表格1_6[[#This Row],[PO+ITEM]],工作表1!B:E,3,FALSE)</f>
        <v>#N/A</v>
      </c>
      <c r="AZ403" s="423" t="e">
        <f ca="1">VLOOKUP(表格1_6[[#This Row],[PO+ITEM]],工作表1!B:E,4,FALSE)</f>
        <v>#N/A</v>
      </c>
      <c r="BA403" s="425" t="e">
        <f ca="1">INDEX(工作表1!G:G, MATCH(表格1_6[[#This Row],[invoice number]]&amp;表格1_6[[#This Row],[invoice number2]],工作表1!G:G, 0))</f>
        <v>#N/A</v>
      </c>
      <c r="BB403" s="423" t="e">
        <f ca="1">VLOOKUP(表格1_6[[#This Row],[PO+ITEM]],工作表1!F:H,2,FALSE)</f>
        <v>#N/A</v>
      </c>
    </row>
    <row r="404" spans="1:54" ht="14.45">
      <c r="A404" s="413">
        <v>403</v>
      </c>
      <c r="B404" s="413" t="s">
        <v>3659</v>
      </c>
      <c r="C404" s="414" t="s">
        <v>16</v>
      </c>
      <c r="D404" s="414" t="s">
        <v>3648</v>
      </c>
      <c r="E404" s="414"/>
      <c r="F404" s="414"/>
      <c r="G404" s="414"/>
      <c r="H404" s="414"/>
      <c r="I404" s="414"/>
      <c r="J404" s="414"/>
      <c r="K404" s="414"/>
      <c r="L404" s="415" t="s">
        <v>4812</v>
      </c>
      <c r="M404" s="416" t="s">
        <v>2206</v>
      </c>
      <c r="N404" s="416" t="s">
        <v>2999</v>
      </c>
      <c r="O404" s="417"/>
      <c r="P404" s="416">
        <v>4590004419</v>
      </c>
      <c r="Q404" s="418">
        <v>44802</v>
      </c>
      <c r="R404" s="419">
        <v>16</v>
      </c>
      <c r="S404" s="458">
        <v>8393.52</v>
      </c>
      <c r="T404" s="420" t="s">
        <v>2156</v>
      </c>
      <c r="U404" s="414" t="s">
        <v>4021</v>
      </c>
      <c r="V404" s="414" t="s">
        <v>4022</v>
      </c>
      <c r="W404" s="417" t="s">
        <v>4023</v>
      </c>
      <c r="X404" s="417"/>
      <c r="Y404" s="421" t="s">
        <v>3652</v>
      </c>
      <c r="Z404" s="421" t="s">
        <v>3652</v>
      </c>
      <c r="AA404" s="416"/>
      <c r="AB404" s="414" t="s">
        <v>3664</v>
      </c>
      <c r="AC404" s="422"/>
      <c r="AD404" s="421"/>
      <c r="AE404" s="420"/>
      <c r="AF404" s="421">
        <v>90335</v>
      </c>
      <c r="AG404" s="420" t="s">
        <v>4813</v>
      </c>
      <c r="AH404" s="421" t="s">
        <v>4784</v>
      </c>
      <c r="AI404" s="420" t="s">
        <v>846</v>
      </c>
      <c r="AJ404" s="413" t="str">
        <f t="shared" si="25"/>
        <v>4590004419_016</v>
      </c>
      <c r="AK404" s="423"/>
      <c r="AL404" s="413"/>
      <c r="AM404" s="221"/>
      <c r="AN404" s="424"/>
      <c r="AO404" s="423"/>
      <c r="AP404" s="413"/>
      <c r="AQ404" s="222"/>
      <c r="AR404" s="424"/>
      <c r="AS404" s="614">
        <f ca="1">表格1_6[[#This Row],[total amount]]/表格1_6[[#This Row],[PO$]]</f>
        <v>0</v>
      </c>
      <c r="AT404" s="223">
        <f ca="1">表格1_6[[#This Row],[invoice amount]]+表格1_6[[#This Row],[invoice amount2]]</f>
        <v>0</v>
      </c>
      <c r="AU404" s="224"/>
      <c r="AV404" s="423"/>
      <c r="AW404" s="423" t="e">
        <f ca="1">VLOOKUP(表格1_6[[#This Row],[TI tool ID2]],工作表1!A:A,1,FALSE)</f>
        <v>#N/A</v>
      </c>
      <c r="AX404" s="425" t="e">
        <f ca="1">VLOOKUP(表格1_6[[#This Row],[PO+ITEM]],工作表1!B:E,2,FALSE)</f>
        <v>#N/A</v>
      </c>
      <c r="AY404" s="425" t="e">
        <f ca="1">VLOOKUP(表格1_6[[#This Row],[PO+ITEM]],工作表1!B:E,3,FALSE)</f>
        <v>#N/A</v>
      </c>
      <c r="AZ404" s="423" t="e">
        <f ca="1">VLOOKUP(表格1_6[[#This Row],[PO+ITEM]],工作表1!B:E,4,FALSE)</f>
        <v>#N/A</v>
      </c>
      <c r="BA404" s="425" t="e">
        <f ca="1">INDEX(工作表1!G:G, MATCH(表格1_6[[#This Row],[invoice number]]&amp;表格1_6[[#This Row],[invoice number2]],工作表1!G:G, 0))</f>
        <v>#N/A</v>
      </c>
      <c r="BB404" s="423" t="e">
        <f ca="1">VLOOKUP(表格1_6[[#This Row],[PO+ITEM]],工作表1!F:H,2,FALSE)</f>
        <v>#N/A</v>
      </c>
    </row>
    <row r="405" spans="1:54" ht="15.6">
      <c r="A405" s="413">
        <v>404</v>
      </c>
      <c r="B405" s="413" t="s">
        <v>3674</v>
      </c>
      <c r="C405" s="414" t="s">
        <v>16</v>
      </c>
      <c r="D405" s="414" t="s">
        <v>3648</v>
      </c>
      <c r="E405" s="414"/>
      <c r="F405" s="414"/>
      <c r="G405" s="414"/>
      <c r="H405" s="414"/>
      <c r="I405" s="414"/>
      <c r="J405" s="414"/>
      <c r="K405" s="414"/>
      <c r="L405" s="415" t="s">
        <v>4814</v>
      </c>
      <c r="M405" s="416" t="s">
        <v>2206</v>
      </c>
      <c r="N405" s="416" t="s">
        <v>2999</v>
      </c>
      <c r="O405" s="417"/>
      <c r="P405" s="416">
        <v>4590004419</v>
      </c>
      <c r="Q405" s="418">
        <v>44802</v>
      </c>
      <c r="R405" s="419">
        <v>17</v>
      </c>
      <c r="S405" s="458">
        <v>6557.54</v>
      </c>
      <c r="T405" s="420" t="s">
        <v>2156</v>
      </c>
      <c r="U405" s="414" t="s">
        <v>4021</v>
      </c>
      <c r="V405" s="414" t="s">
        <v>4022</v>
      </c>
      <c r="W405" s="417" t="s">
        <v>4023</v>
      </c>
      <c r="X405" s="417"/>
      <c r="Y405" s="421" t="s">
        <v>3652</v>
      </c>
      <c r="Z405" s="421" t="s">
        <v>3652</v>
      </c>
      <c r="AA405" s="416" t="s">
        <v>4815</v>
      </c>
      <c r="AB405" s="414" t="s">
        <v>3664</v>
      </c>
      <c r="AC405" s="422"/>
      <c r="AD405" s="421"/>
      <c r="AE405" s="420"/>
      <c r="AF405" s="421">
        <v>90337</v>
      </c>
      <c r="AG405" s="420" t="s">
        <v>2645</v>
      </c>
      <c r="AH405" s="421" t="s">
        <v>4784</v>
      </c>
      <c r="AI405" s="420" t="s">
        <v>846</v>
      </c>
      <c r="AJ405" s="413" t="str">
        <f t="shared" si="25"/>
        <v>4590004419_017</v>
      </c>
      <c r="AK405" s="423"/>
      <c r="AL405" s="424">
        <v>45017</v>
      </c>
      <c r="AM405" s="221">
        <v>2623.0160000000001</v>
      </c>
      <c r="AN405" s="226">
        <v>45153</v>
      </c>
      <c r="AO405" s="423"/>
      <c r="AP405" s="413"/>
      <c r="AQ405" s="222"/>
      <c r="AR405" s="424"/>
      <c r="AS405" s="614">
        <f ca="1">表格1_6[[#This Row],[total amount]]/表格1_6[[#This Row],[PO$]]</f>
        <v>0.4</v>
      </c>
      <c r="AT405" s="223">
        <f ca="1">表格1_6[[#This Row],[invoice amount]]+表格1_6[[#This Row],[invoice amount2]]</f>
        <v>2623.0160000000001</v>
      </c>
      <c r="AU405" s="224" t="s">
        <v>3673</v>
      </c>
      <c r="AV405" s="423"/>
      <c r="AW405" s="423" t="e">
        <f ca="1">VLOOKUP(表格1_6[[#This Row],[TI tool ID2]],工作表1!A:A,1,FALSE)</f>
        <v>#N/A</v>
      </c>
      <c r="AX405" s="425" t="e">
        <f ca="1">VLOOKUP(表格1_6[[#This Row],[PO+ITEM]],工作表1!B:E,2,FALSE)</f>
        <v>#N/A</v>
      </c>
      <c r="AY405" s="425" t="e">
        <f ca="1">VLOOKUP(表格1_6[[#This Row],[PO+ITEM]],工作表1!B:E,3,FALSE)</f>
        <v>#N/A</v>
      </c>
      <c r="AZ405" s="423" t="e">
        <f ca="1">VLOOKUP(表格1_6[[#This Row],[PO+ITEM]],工作表1!B:E,4,FALSE)</f>
        <v>#N/A</v>
      </c>
      <c r="BA405" s="425" t="e">
        <f ca="1">INDEX(工作表1!G:G, MATCH(表格1_6[[#This Row],[invoice number]]&amp;表格1_6[[#This Row],[invoice number2]],工作表1!G:G, 0))</f>
        <v>#N/A</v>
      </c>
      <c r="BB405" s="423" t="e">
        <f ca="1">VLOOKUP(表格1_6[[#This Row],[PO+ITEM]],工作表1!F:H,2,FALSE)</f>
        <v>#N/A</v>
      </c>
    </row>
    <row r="406" spans="1:54" ht="14.45">
      <c r="A406" s="413">
        <v>405</v>
      </c>
      <c r="B406" s="413" t="s">
        <v>3674</v>
      </c>
      <c r="C406" s="414" t="s">
        <v>16</v>
      </c>
      <c r="D406" s="414" t="s">
        <v>3648</v>
      </c>
      <c r="E406" s="414"/>
      <c r="F406" s="414"/>
      <c r="G406" s="414"/>
      <c r="H406" s="414"/>
      <c r="I406" s="414"/>
      <c r="J406" s="414"/>
      <c r="K406" s="414"/>
      <c r="L406" s="415" t="s">
        <v>4816</v>
      </c>
      <c r="M406" s="416" t="s">
        <v>4269</v>
      </c>
      <c r="N406" s="416" t="s">
        <v>2999</v>
      </c>
      <c r="O406" s="417"/>
      <c r="P406" s="416">
        <v>4590004419</v>
      </c>
      <c r="Q406" s="418">
        <v>44802</v>
      </c>
      <c r="R406" s="419">
        <v>18</v>
      </c>
      <c r="S406" s="458">
        <v>12341.94</v>
      </c>
      <c r="T406" s="420" t="s">
        <v>2156</v>
      </c>
      <c r="U406" s="414" t="s">
        <v>4021</v>
      </c>
      <c r="V406" s="414" t="s">
        <v>4022</v>
      </c>
      <c r="W406" s="417" t="s">
        <v>4023</v>
      </c>
      <c r="X406" s="417"/>
      <c r="Y406" s="421" t="s">
        <v>3652</v>
      </c>
      <c r="Z406" s="421" t="s">
        <v>3652</v>
      </c>
      <c r="AA406" s="416"/>
      <c r="AB406" s="414" t="s">
        <v>3664</v>
      </c>
      <c r="AC406" s="422"/>
      <c r="AD406" s="421"/>
      <c r="AE406" s="420"/>
      <c r="AF406" s="421">
        <v>90111</v>
      </c>
      <c r="AG406" s="420" t="s">
        <v>2824</v>
      </c>
      <c r="AH406" s="421" t="s">
        <v>4784</v>
      </c>
      <c r="AI406" s="420" t="s">
        <v>32</v>
      </c>
      <c r="AJ406" s="413" t="str">
        <f t="shared" si="25"/>
        <v>4590004419_018</v>
      </c>
      <c r="AK406" s="425" t="s">
        <v>4817</v>
      </c>
      <c r="AL406" s="424">
        <v>45555</v>
      </c>
      <c r="AM406" s="221">
        <v>12341.94</v>
      </c>
      <c r="AN406" s="424"/>
      <c r="AO406" s="423"/>
      <c r="AP406" s="413"/>
      <c r="AQ406" s="222"/>
      <c r="AR406" s="424"/>
      <c r="AS406" s="614">
        <f ca="1">表格1_6[[#This Row],[total amount]]/表格1_6[[#This Row],[PO$]]</f>
        <v>1</v>
      </c>
      <c r="AT406" s="223">
        <f ca="1">表格1_6[[#This Row],[invoice amount]]+表格1_6[[#This Row],[invoice amount2]]</f>
        <v>12341.94</v>
      </c>
      <c r="AU406" s="224"/>
      <c r="AV406" s="423"/>
      <c r="AW406" s="423" t="e">
        <f ca="1">VLOOKUP(表格1_6[[#This Row],[TI tool ID2]],工作表1!A:A,1,FALSE)</f>
        <v>#N/A</v>
      </c>
      <c r="AX406" s="425" t="e">
        <f ca="1">VLOOKUP(表格1_6[[#This Row],[PO+ITEM]],工作表1!B:E,2,FALSE)</f>
        <v>#N/A</v>
      </c>
      <c r="AY406" s="425" t="e">
        <f ca="1">VLOOKUP(表格1_6[[#This Row],[PO+ITEM]],工作表1!B:E,3,FALSE)</f>
        <v>#N/A</v>
      </c>
      <c r="AZ406" s="423" t="e">
        <f ca="1">VLOOKUP(表格1_6[[#This Row],[PO+ITEM]],工作表1!B:E,4,FALSE)</f>
        <v>#N/A</v>
      </c>
      <c r="BA406" s="425" t="e">
        <f ca="1">INDEX(工作表1!G:G, MATCH(表格1_6[[#This Row],[invoice number]]&amp;表格1_6[[#This Row],[invoice number2]],工作表1!G:G, 0))</f>
        <v>#N/A</v>
      </c>
      <c r="BB406" s="423" t="e">
        <f ca="1">VLOOKUP(表格1_6[[#This Row],[PO+ITEM]],工作表1!F:H,2,FALSE)</f>
        <v>#N/A</v>
      </c>
    </row>
    <row r="407" spans="1:54" ht="14.45">
      <c r="A407" s="413">
        <v>406</v>
      </c>
      <c r="B407" s="413" t="s">
        <v>3674</v>
      </c>
      <c r="C407" s="414" t="s">
        <v>16</v>
      </c>
      <c r="D407" s="414" t="s">
        <v>3648</v>
      </c>
      <c r="E407" s="414"/>
      <c r="F407" s="414"/>
      <c r="G407" s="414"/>
      <c r="H407" s="414"/>
      <c r="I407" s="414"/>
      <c r="J407" s="414"/>
      <c r="K407" s="414"/>
      <c r="L407" s="415" t="s">
        <v>4818</v>
      </c>
      <c r="M407" s="416" t="s">
        <v>2206</v>
      </c>
      <c r="N407" s="416" t="s">
        <v>2999</v>
      </c>
      <c r="O407" s="417"/>
      <c r="P407" s="416">
        <v>4590004419</v>
      </c>
      <c r="Q407" s="418">
        <v>44802</v>
      </c>
      <c r="R407" s="419">
        <v>19</v>
      </c>
      <c r="S407" s="458">
        <v>14348.29</v>
      </c>
      <c r="T407" s="420" t="s">
        <v>2156</v>
      </c>
      <c r="U407" s="414" t="s">
        <v>4021</v>
      </c>
      <c r="V407" s="414" t="s">
        <v>4022</v>
      </c>
      <c r="W407" s="417" t="s">
        <v>4023</v>
      </c>
      <c r="X407" s="417"/>
      <c r="Y407" s="421" t="s">
        <v>3652</v>
      </c>
      <c r="Z407" s="421" t="s">
        <v>3652</v>
      </c>
      <c r="AA407" s="416"/>
      <c r="AB407" s="414" t="s">
        <v>3664</v>
      </c>
      <c r="AC407" s="422"/>
      <c r="AD407" s="421"/>
      <c r="AE407" s="420"/>
      <c r="AF407" s="421">
        <v>90085</v>
      </c>
      <c r="AG407" s="420" t="s">
        <v>4819</v>
      </c>
      <c r="AH407" s="421" t="s">
        <v>4784</v>
      </c>
      <c r="AI407" s="420" t="s">
        <v>846</v>
      </c>
      <c r="AJ407" s="413" t="str">
        <f t="shared" si="25"/>
        <v>4590004419_019</v>
      </c>
      <c r="AK407" s="423"/>
      <c r="AL407" s="413"/>
      <c r="AM407" s="221"/>
      <c r="AN407" s="424"/>
      <c r="AO407" s="423"/>
      <c r="AP407" s="413"/>
      <c r="AQ407" s="222"/>
      <c r="AR407" s="424"/>
      <c r="AS407" s="614">
        <f ca="1">表格1_6[[#This Row],[total amount]]/表格1_6[[#This Row],[PO$]]</f>
        <v>0</v>
      </c>
      <c r="AT407" s="223">
        <f ca="1">表格1_6[[#This Row],[invoice amount]]+表格1_6[[#This Row],[invoice amount2]]</f>
        <v>0</v>
      </c>
      <c r="AU407" s="224"/>
      <c r="AV407" s="423"/>
      <c r="AW407" s="423" t="e">
        <f ca="1">VLOOKUP(表格1_6[[#This Row],[TI tool ID2]],工作表1!A:A,1,FALSE)</f>
        <v>#N/A</v>
      </c>
      <c r="AX407" s="425" t="e">
        <f ca="1">VLOOKUP(表格1_6[[#This Row],[PO+ITEM]],工作表1!B:E,2,FALSE)</f>
        <v>#N/A</v>
      </c>
      <c r="AY407" s="425" t="e">
        <f ca="1">VLOOKUP(表格1_6[[#This Row],[PO+ITEM]],工作表1!B:E,3,FALSE)</f>
        <v>#N/A</v>
      </c>
      <c r="AZ407" s="423" t="e">
        <f ca="1">VLOOKUP(表格1_6[[#This Row],[PO+ITEM]],工作表1!B:E,4,FALSE)</f>
        <v>#N/A</v>
      </c>
      <c r="BA407" s="425" t="e">
        <f ca="1">INDEX(工作表1!G:G, MATCH(表格1_6[[#This Row],[invoice number]]&amp;表格1_6[[#This Row],[invoice number2]],工作表1!G:G, 0))</f>
        <v>#N/A</v>
      </c>
      <c r="BB407" s="423" t="e">
        <f ca="1">VLOOKUP(表格1_6[[#This Row],[PO+ITEM]],工作表1!F:H,2,FALSE)</f>
        <v>#N/A</v>
      </c>
    </row>
    <row r="408" spans="1:54" ht="14.45">
      <c r="A408" s="413">
        <v>407</v>
      </c>
      <c r="B408" s="413"/>
      <c r="C408" s="414" t="s">
        <v>16</v>
      </c>
      <c r="D408" s="414" t="s">
        <v>3648</v>
      </c>
      <c r="E408" s="414"/>
      <c r="F408" s="414"/>
      <c r="G408" s="414"/>
      <c r="H408" s="414"/>
      <c r="I408" s="414"/>
      <c r="J408" s="414"/>
      <c r="K408" s="414"/>
      <c r="L408" s="415" t="s">
        <v>4820</v>
      </c>
      <c r="M408" s="416" t="s">
        <v>4821</v>
      </c>
      <c r="N408" s="416" t="s">
        <v>4159</v>
      </c>
      <c r="O408" s="417"/>
      <c r="P408" s="416">
        <v>4590006141</v>
      </c>
      <c r="Q408" s="418">
        <v>44833</v>
      </c>
      <c r="R408" s="419">
        <v>1</v>
      </c>
      <c r="S408" s="458">
        <v>88362.4</v>
      </c>
      <c r="T408" s="420" t="s">
        <v>2148</v>
      </c>
      <c r="U408" s="414" t="s">
        <v>4822</v>
      </c>
      <c r="V408" s="414" t="s">
        <v>3662</v>
      </c>
      <c r="W408" s="417" t="s">
        <v>3663</v>
      </c>
      <c r="X408" s="417"/>
      <c r="Y408" s="421" t="s">
        <v>3652</v>
      </c>
      <c r="Z408" s="421" t="s">
        <v>3652</v>
      </c>
      <c r="AA408" s="416"/>
      <c r="AB408" s="414" t="s">
        <v>3710</v>
      </c>
      <c r="AC408" s="426"/>
      <c r="AD408" s="421"/>
      <c r="AE408" s="420"/>
      <c r="AF408" s="421"/>
      <c r="AG408" s="420">
        <v>0</v>
      </c>
      <c r="AH408" s="421" t="s">
        <v>4823</v>
      </c>
      <c r="AI408" s="420"/>
      <c r="AJ408" s="413" t="str">
        <f t="shared" ref="AJ408:AJ418" si="26">P408&amp;"_00"&amp;R408</f>
        <v>4590006141_001</v>
      </c>
      <c r="AK408" s="423"/>
      <c r="AL408" s="413"/>
      <c r="AM408" s="221"/>
      <c r="AN408" s="424"/>
      <c r="AO408" s="423"/>
      <c r="AP408" s="413"/>
      <c r="AQ408" s="222"/>
      <c r="AR408" s="424"/>
      <c r="AS408" s="614">
        <f ca="1">表格1_6[[#This Row],[total amount]]/表格1_6[[#This Row],[PO$]]</f>
        <v>0</v>
      </c>
      <c r="AT408" s="223">
        <f ca="1">表格1_6[[#This Row],[invoice amount]]+表格1_6[[#This Row],[invoice amount2]]</f>
        <v>0</v>
      </c>
      <c r="AU408" s="224"/>
      <c r="AV408" s="423"/>
      <c r="AW408" s="423" t="e">
        <f ca="1">VLOOKUP(表格1_6[[#This Row],[TI tool ID2]],工作表1!A:A,1,FALSE)</f>
        <v>#N/A</v>
      </c>
      <c r="AX408" s="425" t="e">
        <f ca="1">VLOOKUP(表格1_6[[#This Row],[PO+ITEM]],工作表1!B:E,2,FALSE)</f>
        <v>#N/A</v>
      </c>
      <c r="AY408" s="425" t="e">
        <f ca="1">VLOOKUP(表格1_6[[#This Row],[PO+ITEM]],工作表1!B:E,3,FALSE)</f>
        <v>#N/A</v>
      </c>
      <c r="AZ408" s="423" t="e">
        <f ca="1">VLOOKUP(表格1_6[[#This Row],[PO+ITEM]],工作表1!B:E,4,FALSE)</f>
        <v>#N/A</v>
      </c>
      <c r="BA408" s="425" t="e">
        <f ca="1">INDEX(工作表1!G:G, MATCH(表格1_6[[#This Row],[invoice number]]&amp;表格1_6[[#This Row],[invoice number2]],工作表1!G:G, 0))</f>
        <v>#N/A</v>
      </c>
      <c r="BB408" s="423" t="e">
        <f ca="1">VLOOKUP(表格1_6[[#This Row],[PO+ITEM]],工作表1!F:H,2,FALSE)</f>
        <v>#N/A</v>
      </c>
    </row>
    <row r="409" spans="1:54" ht="14.45">
      <c r="A409" s="413">
        <v>408</v>
      </c>
      <c r="B409" s="413"/>
      <c r="C409" s="414" t="s">
        <v>16</v>
      </c>
      <c r="D409" s="414" t="s">
        <v>3648</v>
      </c>
      <c r="E409" s="414"/>
      <c r="F409" s="414"/>
      <c r="G409" s="414"/>
      <c r="H409" s="414"/>
      <c r="I409" s="414"/>
      <c r="J409" s="414"/>
      <c r="K409" s="414"/>
      <c r="L409" s="415" t="s">
        <v>4824</v>
      </c>
      <c r="M409" s="416" t="s">
        <v>4821</v>
      </c>
      <c r="N409" s="416" t="s">
        <v>4159</v>
      </c>
      <c r="O409" s="417"/>
      <c r="P409" s="416">
        <v>4590006141</v>
      </c>
      <c r="Q409" s="418">
        <v>44833</v>
      </c>
      <c r="R409" s="419">
        <v>2</v>
      </c>
      <c r="S409" s="458">
        <v>53482.5</v>
      </c>
      <c r="T409" s="420" t="s">
        <v>2148</v>
      </c>
      <c r="U409" s="414" t="s">
        <v>4825</v>
      </c>
      <c r="V409" s="414" t="s">
        <v>3662</v>
      </c>
      <c r="W409" s="417" t="s">
        <v>3663</v>
      </c>
      <c r="X409" s="417"/>
      <c r="Y409" s="421" t="s">
        <v>3652</v>
      </c>
      <c r="Z409" s="421" t="s">
        <v>3652</v>
      </c>
      <c r="AA409" s="416"/>
      <c r="AB409" s="414" t="s">
        <v>3710</v>
      </c>
      <c r="AC409" s="426"/>
      <c r="AD409" s="421"/>
      <c r="AE409" s="420"/>
      <c r="AF409" s="421"/>
      <c r="AG409" s="420">
        <v>0</v>
      </c>
      <c r="AH409" s="421" t="s">
        <v>4823</v>
      </c>
      <c r="AI409" s="420"/>
      <c r="AJ409" s="413" t="str">
        <f t="shared" si="26"/>
        <v>4590006141_002</v>
      </c>
      <c r="AK409" s="423"/>
      <c r="AL409" s="413"/>
      <c r="AM409" s="221"/>
      <c r="AN409" s="424"/>
      <c r="AO409" s="423"/>
      <c r="AP409" s="413"/>
      <c r="AQ409" s="222"/>
      <c r="AR409" s="424"/>
      <c r="AS409" s="614">
        <f ca="1">表格1_6[[#This Row],[total amount]]/表格1_6[[#This Row],[PO$]]</f>
        <v>0</v>
      </c>
      <c r="AT409" s="223">
        <f ca="1">表格1_6[[#This Row],[invoice amount]]+表格1_6[[#This Row],[invoice amount2]]</f>
        <v>0</v>
      </c>
      <c r="AU409" s="224"/>
      <c r="AV409" s="423"/>
      <c r="AW409" s="423" t="e">
        <f ca="1">VLOOKUP(表格1_6[[#This Row],[TI tool ID2]],工作表1!A:A,1,FALSE)</f>
        <v>#N/A</v>
      </c>
      <c r="AX409" s="425" t="e">
        <f ca="1">VLOOKUP(表格1_6[[#This Row],[PO+ITEM]],工作表1!B:E,2,FALSE)</f>
        <v>#N/A</v>
      </c>
      <c r="AY409" s="425" t="e">
        <f ca="1">VLOOKUP(表格1_6[[#This Row],[PO+ITEM]],工作表1!B:E,3,FALSE)</f>
        <v>#N/A</v>
      </c>
      <c r="AZ409" s="423" t="e">
        <f ca="1">VLOOKUP(表格1_6[[#This Row],[PO+ITEM]],工作表1!B:E,4,FALSE)</f>
        <v>#N/A</v>
      </c>
      <c r="BA409" s="425" t="e">
        <f ca="1">INDEX(工作表1!G:G, MATCH(表格1_6[[#This Row],[invoice number]]&amp;表格1_6[[#This Row],[invoice number2]],工作表1!G:G, 0))</f>
        <v>#N/A</v>
      </c>
      <c r="BB409" s="423" t="e">
        <f ca="1">VLOOKUP(表格1_6[[#This Row],[PO+ITEM]],工作表1!F:H,2,FALSE)</f>
        <v>#N/A</v>
      </c>
    </row>
    <row r="410" spans="1:54" ht="14.45">
      <c r="A410" s="413">
        <v>409</v>
      </c>
      <c r="B410" s="413" t="s">
        <v>3659</v>
      </c>
      <c r="C410" s="414" t="s">
        <v>16</v>
      </c>
      <c r="D410" s="414" t="s">
        <v>3648</v>
      </c>
      <c r="E410" s="414"/>
      <c r="F410" s="414"/>
      <c r="G410" s="414"/>
      <c r="H410" s="414"/>
      <c r="I410" s="414"/>
      <c r="J410" s="414"/>
      <c r="K410" s="414"/>
      <c r="L410" s="420" t="s">
        <v>4826</v>
      </c>
      <c r="M410" s="416" t="s">
        <v>4827</v>
      </c>
      <c r="N410" s="416" t="s">
        <v>2999</v>
      </c>
      <c r="O410" s="417"/>
      <c r="P410" s="416">
        <v>4590006247</v>
      </c>
      <c r="Q410" s="418">
        <v>44836</v>
      </c>
      <c r="R410" s="419">
        <v>1</v>
      </c>
      <c r="S410" s="458">
        <v>9866.19</v>
      </c>
      <c r="T410" s="420" t="s">
        <v>2156</v>
      </c>
      <c r="U410" s="414" t="s">
        <v>4004</v>
      </c>
      <c r="V410" s="414" t="s">
        <v>4005</v>
      </c>
      <c r="W410" s="417" t="s">
        <v>4006</v>
      </c>
      <c r="X410" s="417"/>
      <c r="Y410" s="421" t="s">
        <v>3652</v>
      </c>
      <c r="Z410" s="421" t="s">
        <v>3652</v>
      </c>
      <c r="AA410" s="416" t="s">
        <v>4218</v>
      </c>
      <c r="AB410" s="414" t="s">
        <v>3664</v>
      </c>
      <c r="AC410" s="422"/>
      <c r="AD410" s="421"/>
      <c r="AE410" s="420"/>
      <c r="AF410" s="421">
        <v>91014</v>
      </c>
      <c r="AG410" s="420" t="s">
        <v>4828</v>
      </c>
      <c r="AH410" s="421" t="s">
        <v>4215</v>
      </c>
      <c r="AI410" s="420" t="s">
        <v>36</v>
      </c>
      <c r="AJ410" s="413" t="str">
        <f t="shared" si="26"/>
        <v>4590006247_001</v>
      </c>
      <c r="AK410" s="423"/>
      <c r="AL410" s="413"/>
      <c r="AM410" s="221"/>
      <c r="AN410" s="424"/>
      <c r="AO410" s="423"/>
      <c r="AP410" s="413"/>
      <c r="AQ410" s="222"/>
      <c r="AR410" s="424"/>
      <c r="AS410" s="614">
        <f ca="1">表格1_6[[#This Row],[total amount]]/表格1_6[[#This Row],[PO$]]</f>
        <v>0</v>
      </c>
      <c r="AT410" s="223">
        <f ca="1">表格1_6[[#This Row],[invoice amount]]+表格1_6[[#This Row],[invoice amount2]]</f>
        <v>0</v>
      </c>
      <c r="AU410" s="224"/>
      <c r="AV410" s="423"/>
      <c r="AW410" s="423" t="e">
        <f ca="1">VLOOKUP(表格1_6[[#This Row],[TI tool ID2]],工作表1!A:A,1,FALSE)</f>
        <v>#N/A</v>
      </c>
      <c r="AX410" s="425" t="e">
        <f ca="1">VLOOKUP(表格1_6[[#This Row],[PO+ITEM]],工作表1!B:E,2,FALSE)</f>
        <v>#N/A</v>
      </c>
      <c r="AY410" s="425" t="e">
        <f ca="1">VLOOKUP(表格1_6[[#This Row],[PO+ITEM]],工作表1!B:E,3,FALSE)</f>
        <v>#N/A</v>
      </c>
      <c r="AZ410" s="423" t="e">
        <f ca="1">VLOOKUP(表格1_6[[#This Row],[PO+ITEM]],工作表1!B:E,4,FALSE)</f>
        <v>#N/A</v>
      </c>
      <c r="BA410" s="425" t="e">
        <f ca="1">INDEX(工作表1!G:G, MATCH(表格1_6[[#This Row],[invoice number]]&amp;表格1_6[[#This Row],[invoice number2]],工作表1!G:G, 0))</f>
        <v>#N/A</v>
      </c>
      <c r="BB410" s="423" t="e">
        <f ca="1">VLOOKUP(表格1_6[[#This Row],[PO+ITEM]],工作表1!F:H,2,FALSE)</f>
        <v>#N/A</v>
      </c>
    </row>
    <row r="411" spans="1:54" ht="15.6">
      <c r="A411" s="413">
        <v>410</v>
      </c>
      <c r="B411" s="413" t="s">
        <v>3659</v>
      </c>
      <c r="C411" s="414" t="s">
        <v>16</v>
      </c>
      <c r="D411" s="414" t="s">
        <v>3648</v>
      </c>
      <c r="E411" s="414"/>
      <c r="F411" s="414"/>
      <c r="G411" s="414"/>
      <c r="H411" s="414"/>
      <c r="I411" s="414"/>
      <c r="J411" s="414"/>
      <c r="K411" s="414"/>
      <c r="L411" s="415" t="s">
        <v>4829</v>
      </c>
      <c r="M411" s="416" t="s">
        <v>4003</v>
      </c>
      <c r="N411" s="416" t="s">
        <v>2999</v>
      </c>
      <c r="O411" s="417"/>
      <c r="P411" s="416">
        <v>4590006247</v>
      </c>
      <c r="Q411" s="418">
        <v>44836</v>
      </c>
      <c r="R411" s="419">
        <v>2</v>
      </c>
      <c r="S411" s="458">
        <v>1403.87</v>
      </c>
      <c r="T411" s="420" t="s">
        <v>2156</v>
      </c>
      <c r="U411" s="414" t="s">
        <v>4004</v>
      </c>
      <c r="V411" s="414" t="s">
        <v>4005</v>
      </c>
      <c r="W411" s="417" t="s">
        <v>4006</v>
      </c>
      <c r="X411" s="417"/>
      <c r="Y411" s="421" t="s">
        <v>3652</v>
      </c>
      <c r="Z411" s="421" t="s">
        <v>3652</v>
      </c>
      <c r="AA411" s="416" t="s">
        <v>4218</v>
      </c>
      <c r="AB411" s="414" t="s">
        <v>3664</v>
      </c>
      <c r="AC411" s="422"/>
      <c r="AD411" s="421"/>
      <c r="AE411" s="420"/>
      <c r="AF411" s="421">
        <v>91036</v>
      </c>
      <c r="AG411" s="420" t="s">
        <v>4830</v>
      </c>
      <c r="AH411" s="421" t="s">
        <v>4215</v>
      </c>
      <c r="AI411" s="420" t="s">
        <v>36</v>
      </c>
      <c r="AJ411" s="413" t="str">
        <f t="shared" si="26"/>
        <v>4590006247_002</v>
      </c>
      <c r="AK411" s="423"/>
      <c r="AL411" s="424">
        <v>45047</v>
      </c>
      <c r="AM411" s="221">
        <v>561.54999999999995</v>
      </c>
      <c r="AN411" s="244">
        <v>45212</v>
      </c>
      <c r="AO411" s="423"/>
      <c r="AP411" s="413"/>
      <c r="AQ411" s="222"/>
      <c r="AR411" s="424"/>
      <c r="AS411" s="614">
        <f ca="1">表格1_6[[#This Row],[total amount]]/表格1_6[[#This Row],[PO$]]</f>
        <v>0.40000142463333499</v>
      </c>
      <c r="AT411" s="223">
        <f ca="1">表格1_6[[#This Row],[invoice amount]]+表格1_6[[#This Row],[invoice amount2]]</f>
        <v>561.54999999999995</v>
      </c>
      <c r="AU411" s="224" t="s">
        <v>3673</v>
      </c>
      <c r="AV411" s="423"/>
      <c r="AW411" s="423" t="e">
        <f ca="1">VLOOKUP(表格1_6[[#This Row],[TI tool ID2]],工作表1!A:A,1,FALSE)</f>
        <v>#N/A</v>
      </c>
      <c r="AX411" s="425" t="e">
        <f ca="1">VLOOKUP(表格1_6[[#This Row],[PO+ITEM]],工作表1!B:E,2,FALSE)</f>
        <v>#N/A</v>
      </c>
      <c r="AY411" s="425" t="e">
        <f ca="1">VLOOKUP(表格1_6[[#This Row],[PO+ITEM]],工作表1!B:E,3,FALSE)</f>
        <v>#N/A</v>
      </c>
      <c r="AZ411" s="423" t="e">
        <f ca="1">VLOOKUP(表格1_6[[#This Row],[PO+ITEM]],工作表1!B:E,4,FALSE)</f>
        <v>#N/A</v>
      </c>
      <c r="BA411" s="425" t="e">
        <f ca="1">INDEX(工作表1!G:G, MATCH(表格1_6[[#This Row],[invoice number]]&amp;表格1_6[[#This Row],[invoice number2]],工作表1!G:G, 0))</f>
        <v>#N/A</v>
      </c>
      <c r="BB411" s="423" t="e">
        <f ca="1">VLOOKUP(表格1_6[[#This Row],[PO+ITEM]],工作表1!F:H,2,FALSE)</f>
        <v>#N/A</v>
      </c>
    </row>
    <row r="412" spans="1:54" ht="15.6">
      <c r="A412" s="413">
        <v>411</v>
      </c>
      <c r="B412" s="413" t="s">
        <v>3659</v>
      </c>
      <c r="C412" s="414" t="s">
        <v>16</v>
      </c>
      <c r="D412" s="414" t="s">
        <v>3648</v>
      </c>
      <c r="E412" s="414"/>
      <c r="F412" s="414"/>
      <c r="G412" s="414"/>
      <c r="H412" s="414"/>
      <c r="I412" s="414"/>
      <c r="J412" s="414"/>
      <c r="K412" s="414"/>
      <c r="L412" s="420" t="s">
        <v>4831</v>
      </c>
      <c r="M412" s="416" t="s">
        <v>4003</v>
      </c>
      <c r="N412" s="416" t="s">
        <v>2999</v>
      </c>
      <c r="O412" s="417"/>
      <c r="P412" s="416">
        <v>4590006247</v>
      </c>
      <c r="Q412" s="418">
        <v>44836</v>
      </c>
      <c r="R412" s="419">
        <v>3</v>
      </c>
      <c r="S412" s="458">
        <v>1403.87</v>
      </c>
      <c r="T412" s="420" t="s">
        <v>2156</v>
      </c>
      <c r="U412" s="414" t="s">
        <v>4004</v>
      </c>
      <c r="V412" s="414" t="s">
        <v>4005</v>
      </c>
      <c r="W412" s="417" t="s">
        <v>4006</v>
      </c>
      <c r="X412" s="417"/>
      <c r="Y412" s="421" t="s">
        <v>3652</v>
      </c>
      <c r="Z412" s="421" t="s">
        <v>3652</v>
      </c>
      <c r="AA412" s="416" t="s">
        <v>4218</v>
      </c>
      <c r="AB412" s="414" t="s">
        <v>3664</v>
      </c>
      <c r="AC412" s="422"/>
      <c r="AD412" s="421"/>
      <c r="AE412" s="420"/>
      <c r="AF412" s="421">
        <v>91042</v>
      </c>
      <c r="AG412" s="420" t="s">
        <v>4832</v>
      </c>
      <c r="AH412" s="421" t="s">
        <v>4215</v>
      </c>
      <c r="AI412" s="420" t="s">
        <v>36</v>
      </c>
      <c r="AJ412" s="413" t="str">
        <f t="shared" si="26"/>
        <v>4590006247_003</v>
      </c>
      <c r="AK412" s="423"/>
      <c r="AL412" s="424">
        <v>45047</v>
      </c>
      <c r="AM412" s="221">
        <v>561.54999999999995</v>
      </c>
      <c r="AN412" s="228">
        <v>45121</v>
      </c>
      <c r="AO412" s="423"/>
      <c r="AP412" s="413"/>
      <c r="AQ412" s="222"/>
      <c r="AR412" s="424"/>
      <c r="AS412" s="614">
        <f ca="1">表格1_6[[#This Row],[total amount]]/表格1_6[[#This Row],[PO$]]</f>
        <v>0.40000142463333499</v>
      </c>
      <c r="AT412" s="223">
        <f ca="1">表格1_6[[#This Row],[invoice amount]]+表格1_6[[#This Row],[invoice amount2]]</f>
        <v>561.54999999999995</v>
      </c>
      <c r="AU412" s="224" t="s">
        <v>3673</v>
      </c>
      <c r="AV412" s="423"/>
      <c r="AW412" s="423" t="e">
        <f ca="1">VLOOKUP(表格1_6[[#This Row],[TI tool ID2]],工作表1!A:A,1,FALSE)</f>
        <v>#N/A</v>
      </c>
      <c r="AX412" s="425" t="e">
        <f ca="1">VLOOKUP(表格1_6[[#This Row],[PO+ITEM]],工作表1!B:E,2,FALSE)</f>
        <v>#N/A</v>
      </c>
      <c r="AY412" s="425" t="e">
        <f ca="1">VLOOKUP(表格1_6[[#This Row],[PO+ITEM]],工作表1!B:E,3,FALSE)</f>
        <v>#N/A</v>
      </c>
      <c r="AZ412" s="423" t="e">
        <f ca="1">VLOOKUP(表格1_6[[#This Row],[PO+ITEM]],工作表1!B:E,4,FALSE)</f>
        <v>#N/A</v>
      </c>
      <c r="BA412" s="425" t="e">
        <f ca="1">INDEX(工作表1!G:G, MATCH(表格1_6[[#This Row],[invoice number]]&amp;表格1_6[[#This Row],[invoice number2]],工作表1!G:G, 0))</f>
        <v>#N/A</v>
      </c>
      <c r="BB412" s="423" t="e">
        <f ca="1">VLOOKUP(表格1_6[[#This Row],[PO+ITEM]],工作表1!F:H,2,FALSE)</f>
        <v>#N/A</v>
      </c>
    </row>
    <row r="413" spans="1:54" ht="15.6">
      <c r="A413" s="413">
        <v>412</v>
      </c>
      <c r="B413" s="413" t="s">
        <v>3659</v>
      </c>
      <c r="C413" s="414" t="s">
        <v>16</v>
      </c>
      <c r="D413" s="414" t="s">
        <v>3648</v>
      </c>
      <c r="E413" s="414"/>
      <c r="F413" s="414"/>
      <c r="G413" s="414"/>
      <c r="H413" s="414"/>
      <c r="I413" s="414"/>
      <c r="J413" s="414"/>
      <c r="K413" s="414"/>
      <c r="L413" s="415" t="s">
        <v>4833</v>
      </c>
      <c r="M413" s="416" t="s">
        <v>4003</v>
      </c>
      <c r="N413" s="416" t="s">
        <v>2999</v>
      </c>
      <c r="O413" s="417"/>
      <c r="P413" s="416">
        <v>4590006247</v>
      </c>
      <c r="Q413" s="418">
        <v>44836</v>
      </c>
      <c r="R413" s="419">
        <v>4</v>
      </c>
      <c r="S413" s="458">
        <v>1403.87</v>
      </c>
      <c r="T413" s="420" t="s">
        <v>2156</v>
      </c>
      <c r="U413" s="414" t="s">
        <v>4004</v>
      </c>
      <c r="V413" s="414" t="s">
        <v>4005</v>
      </c>
      <c r="W413" s="417" t="s">
        <v>4006</v>
      </c>
      <c r="X413" s="417"/>
      <c r="Y413" s="421" t="s">
        <v>3652</v>
      </c>
      <c r="Z413" s="421" t="s">
        <v>3652</v>
      </c>
      <c r="AA413" s="416" t="s">
        <v>4218</v>
      </c>
      <c r="AB413" s="414" t="s">
        <v>3664</v>
      </c>
      <c r="AC413" s="422"/>
      <c r="AD413" s="421"/>
      <c r="AE413" s="420"/>
      <c r="AF413" s="421">
        <v>91043</v>
      </c>
      <c r="AG413" s="420" t="s">
        <v>4834</v>
      </c>
      <c r="AH413" s="421" t="s">
        <v>4215</v>
      </c>
      <c r="AI413" s="420" t="s">
        <v>36</v>
      </c>
      <c r="AJ413" s="413" t="str">
        <f t="shared" si="26"/>
        <v>4590006247_004</v>
      </c>
      <c r="AK413" s="423"/>
      <c r="AL413" s="424">
        <v>45047</v>
      </c>
      <c r="AM413" s="221">
        <v>561.54999999999995</v>
      </c>
      <c r="AN413" s="228">
        <v>45121</v>
      </c>
      <c r="AO413" s="423"/>
      <c r="AP413" s="413"/>
      <c r="AQ413" s="222"/>
      <c r="AR413" s="424"/>
      <c r="AS413" s="614">
        <f ca="1">表格1_6[[#This Row],[total amount]]/表格1_6[[#This Row],[PO$]]</f>
        <v>0.40000142463333499</v>
      </c>
      <c r="AT413" s="223">
        <f ca="1">表格1_6[[#This Row],[invoice amount]]+表格1_6[[#This Row],[invoice amount2]]</f>
        <v>561.54999999999995</v>
      </c>
      <c r="AU413" s="224" t="s">
        <v>3673</v>
      </c>
      <c r="AV413" s="423"/>
      <c r="AW413" s="423" t="e">
        <f ca="1">VLOOKUP(表格1_6[[#This Row],[TI tool ID2]],工作表1!A:A,1,FALSE)</f>
        <v>#N/A</v>
      </c>
      <c r="AX413" s="425" t="e">
        <f ca="1">VLOOKUP(表格1_6[[#This Row],[PO+ITEM]],工作表1!B:E,2,FALSE)</f>
        <v>#N/A</v>
      </c>
      <c r="AY413" s="425" t="e">
        <f ca="1">VLOOKUP(表格1_6[[#This Row],[PO+ITEM]],工作表1!B:E,3,FALSE)</f>
        <v>#N/A</v>
      </c>
      <c r="AZ413" s="423" t="e">
        <f ca="1">VLOOKUP(表格1_6[[#This Row],[PO+ITEM]],工作表1!B:E,4,FALSE)</f>
        <v>#N/A</v>
      </c>
      <c r="BA413" s="425" t="e">
        <f ca="1">INDEX(工作表1!G:G, MATCH(表格1_6[[#This Row],[invoice number]]&amp;表格1_6[[#This Row],[invoice number2]],工作表1!G:G, 0))</f>
        <v>#N/A</v>
      </c>
      <c r="BB413" s="423" t="e">
        <f ca="1">VLOOKUP(表格1_6[[#This Row],[PO+ITEM]],工作表1!F:H,2,FALSE)</f>
        <v>#N/A</v>
      </c>
    </row>
    <row r="414" spans="1:54" ht="15.6">
      <c r="A414" s="413">
        <v>413</v>
      </c>
      <c r="B414" s="413" t="s">
        <v>3659</v>
      </c>
      <c r="C414" s="414" t="s">
        <v>16</v>
      </c>
      <c r="D414" s="414" t="s">
        <v>3648</v>
      </c>
      <c r="E414" s="414"/>
      <c r="F414" s="414"/>
      <c r="G414" s="414"/>
      <c r="H414" s="414"/>
      <c r="I414" s="414"/>
      <c r="J414" s="414"/>
      <c r="K414" s="414"/>
      <c r="L414" s="415" t="s">
        <v>4835</v>
      </c>
      <c r="M414" s="416" t="s">
        <v>4003</v>
      </c>
      <c r="N414" s="416" t="s">
        <v>2999</v>
      </c>
      <c r="O414" s="417"/>
      <c r="P414" s="416">
        <v>4590006247</v>
      </c>
      <c r="Q414" s="418">
        <v>44836</v>
      </c>
      <c r="R414" s="419">
        <v>5</v>
      </c>
      <c r="S414" s="458">
        <v>1403.87</v>
      </c>
      <c r="T414" s="420" t="s">
        <v>2156</v>
      </c>
      <c r="U414" s="414" t="s">
        <v>4004</v>
      </c>
      <c r="V414" s="414" t="s">
        <v>4005</v>
      </c>
      <c r="W414" s="417" t="s">
        <v>4006</v>
      </c>
      <c r="X414" s="417"/>
      <c r="Y414" s="421" t="s">
        <v>3652</v>
      </c>
      <c r="Z414" s="421" t="s">
        <v>3652</v>
      </c>
      <c r="AA414" s="416" t="s">
        <v>4218</v>
      </c>
      <c r="AB414" s="414" t="s">
        <v>3664</v>
      </c>
      <c r="AC414" s="422"/>
      <c r="AD414" s="421"/>
      <c r="AE414" s="420"/>
      <c r="AF414" s="421">
        <v>91044</v>
      </c>
      <c r="AG414" s="420" t="s">
        <v>4836</v>
      </c>
      <c r="AH414" s="421" t="s">
        <v>4215</v>
      </c>
      <c r="AI414" s="420" t="s">
        <v>36</v>
      </c>
      <c r="AJ414" s="413" t="str">
        <f t="shared" si="26"/>
        <v>4590006247_005</v>
      </c>
      <c r="AK414" s="423"/>
      <c r="AL414" s="424">
        <v>45047</v>
      </c>
      <c r="AM414" s="221">
        <v>561.54999999999995</v>
      </c>
      <c r="AN414" s="228">
        <v>45121</v>
      </c>
      <c r="AO414" s="423"/>
      <c r="AP414" s="413"/>
      <c r="AQ414" s="222"/>
      <c r="AR414" s="424"/>
      <c r="AS414" s="614">
        <f ca="1">表格1_6[[#This Row],[total amount]]/表格1_6[[#This Row],[PO$]]</f>
        <v>0.40000142463333499</v>
      </c>
      <c r="AT414" s="223">
        <f ca="1">表格1_6[[#This Row],[invoice amount]]+表格1_6[[#This Row],[invoice amount2]]</f>
        <v>561.54999999999995</v>
      </c>
      <c r="AU414" s="224" t="s">
        <v>3673</v>
      </c>
      <c r="AV414" s="423"/>
      <c r="AW414" s="423" t="e">
        <f ca="1">VLOOKUP(表格1_6[[#This Row],[TI tool ID2]],工作表1!A:A,1,FALSE)</f>
        <v>#N/A</v>
      </c>
      <c r="AX414" s="425" t="e">
        <f ca="1">VLOOKUP(表格1_6[[#This Row],[PO+ITEM]],工作表1!B:E,2,FALSE)</f>
        <v>#N/A</v>
      </c>
      <c r="AY414" s="425" t="e">
        <f ca="1">VLOOKUP(表格1_6[[#This Row],[PO+ITEM]],工作表1!B:E,3,FALSE)</f>
        <v>#N/A</v>
      </c>
      <c r="AZ414" s="423" t="e">
        <f ca="1">VLOOKUP(表格1_6[[#This Row],[PO+ITEM]],工作表1!B:E,4,FALSE)</f>
        <v>#N/A</v>
      </c>
      <c r="BA414" s="425" t="e">
        <f ca="1">INDEX(工作表1!G:G, MATCH(表格1_6[[#This Row],[invoice number]]&amp;表格1_6[[#This Row],[invoice number2]],工作表1!G:G, 0))</f>
        <v>#N/A</v>
      </c>
      <c r="BB414" s="423" t="e">
        <f ca="1">VLOOKUP(表格1_6[[#This Row],[PO+ITEM]],工作表1!F:H,2,FALSE)</f>
        <v>#N/A</v>
      </c>
    </row>
    <row r="415" spans="1:54" ht="15.6">
      <c r="A415" s="413">
        <v>414</v>
      </c>
      <c r="B415" s="413" t="s">
        <v>3659</v>
      </c>
      <c r="C415" s="414" t="s">
        <v>16</v>
      </c>
      <c r="D415" s="414" t="s">
        <v>3648</v>
      </c>
      <c r="E415" s="414"/>
      <c r="F415" s="414"/>
      <c r="G415" s="414"/>
      <c r="H415" s="414"/>
      <c r="I415" s="414"/>
      <c r="J415" s="414"/>
      <c r="K415" s="414"/>
      <c r="L415" s="415" t="s">
        <v>4837</v>
      </c>
      <c r="M415" s="416" t="s">
        <v>4003</v>
      </c>
      <c r="N415" s="416" t="s">
        <v>2999</v>
      </c>
      <c r="O415" s="417"/>
      <c r="P415" s="416">
        <v>4590006247</v>
      </c>
      <c r="Q415" s="418">
        <v>44836</v>
      </c>
      <c r="R415" s="419">
        <v>6</v>
      </c>
      <c r="S415" s="458">
        <v>1403.87</v>
      </c>
      <c r="T415" s="420" t="s">
        <v>2156</v>
      </c>
      <c r="U415" s="414" t="s">
        <v>4004</v>
      </c>
      <c r="V415" s="414" t="s">
        <v>4005</v>
      </c>
      <c r="W415" s="417" t="s">
        <v>4006</v>
      </c>
      <c r="X415" s="417"/>
      <c r="Y415" s="421" t="s">
        <v>3652</v>
      </c>
      <c r="Z415" s="421" t="s">
        <v>3652</v>
      </c>
      <c r="AA415" s="416" t="s">
        <v>4218</v>
      </c>
      <c r="AB415" s="414" t="s">
        <v>3664</v>
      </c>
      <c r="AC415" s="422"/>
      <c r="AD415" s="421"/>
      <c r="AE415" s="420"/>
      <c r="AF415" s="421">
        <v>91045</v>
      </c>
      <c r="AG415" s="420" t="s">
        <v>4838</v>
      </c>
      <c r="AH415" s="421" t="s">
        <v>4215</v>
      </c>
      <c r="AI415" s="420" t="s">
        <v>36</v>
      </c>
      <c r="AJ415" s="413" t="str">
        <f t="shared" si="26"/>
        <v>4590006247_006</v>
      </c>
      <c r="AK415" s="423"/>
      <c r="AL415" s="424">
        <v>45047</v>
      </c>
      <c r="AM415" s="221">
        <v>561.54999999999995</v>
      </c>
      <c r="AN415" s="228">
        <v>45121</v>
      </c>
      <c r="AO415" s="423"/>
      <c r="AP415" s="413"/>
      <c r="AQ415" s="222"/>
      <c r="AR415" s="424"/>
      <c r="AS415" s="614">
        <f ca="1">表格1_6[[#This Row],[total amount]]/表格1_6[[#This Row],[PO$]]</f>
        <v>0.40000142463333499</v>
      </c>
      <c r="AT415" s="223">
        <f ca="1">表格1_6[[#This Row],[invoice amount]]+表格1_6[[#This Row],[invoice amount2]]</f>
        <v>561.54999999999995</v>
      </c>
      <c r="AU415" s="224" t="s">
        <v>3673</v>
      </c>
      <c r="AV415" s="423"/>
      <c r="AW415" s="423" t="e">
        <f ca="1">VLOOKUP(表格1_6[[#This Row],[TI tool ID2]],工作表1!A:A,1,FALSE)</f>
        <v>#N/A</v>
      </c>
      <c r="AX415" s="425" t="e">
        <f ca="1">VLOOKUP(表格1_6[[#This Row],[PO+ITEM]],工作表1!B:E,2,FALSE)</f>
        <v>#N/A</v>
      </c>
      <c r="AY415" s="425" t="e">
        <f ca="1">VLOOKUP(表格1_6[[#This Row],[PO+ITEM]],工作表1!B:E,3,FALSE)</f>
        <v>#N/A</v>
      </c>
      <c r="AZ415" s="423" t="e">
        <f ca="1">VLOOKUP(表格1_6[[#This Row],[PO+ITEM]],工作表1!B:E,4,FALSE)</f>
        <v>#N/A</v>
      </c>
      <c r="BA415" s="425" t="e">
        <f ca="1">INDEX(工作表1!G:G, MATCH(表格1_6[[#This Row],[invoice number]]&amp;表格1_6[[#This Row],[invoice number2]],工作表1!G:G, 0))</f>
        <v>#N/A</v>
      </c>
      <c r="BB415" s="423" t="e">
        <f ca="1">VLOOKUP(表格1_6[[#This Row],[PO+ITEM]],工作表1!F:H,2,FALSE)</f>
        <v>#N/A</v>
      </c>
    </row>
    <row r="416" spans="1:54" ht="15.6">
      <c r="A416" s="413">
        <v>415</v>
      </c>
      <c r="B416" s="413" t="s">
        <v>3674</v>
      </c>
      <c r="C416" s="414" t="s">
        <v>16</v>
      </c>
      <c r="D416" s="414" t="s">
        <v>3648</v>
      </c>
      <c r="E416" s="414"/>
      <c r="F416" s="414"/>
      <c r="G416" s="414"/>
      <c r="H416" s="414"/>
      <c r="I416" s="414"/>
      <c r="J416" s="414"/>
      <c r="K416" s="414"/>
      <c r="L416" s="415" t="s">
        <v>4839</v>
      </c>
      <c r="M416" s="416" t="s">
        <v>4003</v>
      </c>
      <c r="N416" s="416" t="s">
        <v>2999</v>
      </c>
      <c r="O416" s="417"/>
      <c r="P416" s="416">
        <v>4590006247</v>
      </c>
      <c r="Q416" s="418">
        <v>44836</v>
      </c>
      <c r="R416" s="419">
        <v>7</v>
      </c>
      <c r="S416" s="458">
        <v>1403.87</v>
      </c>
      <c r="T416" s="420" t="s">
        <v>2156</v>
      </c>
      <c r="U416" s="414" t="s">
        <v>4004</v>
      </c>
      <c r="V416" s="414" t="s">
        <v>4005</v>
      </c>
      <c r="W416" s="417" t="s">
        <v>4006</v>
      </c>
      <c r="X416" s="417"/>
      <c r="Y416" s="421" t="s">
        <v>3652</v>
      </c>
      <c r="Z416" s="421" t="s">
        <v>3652</v>
      </c>
      <c r="AA416" s="416" t="s">
        <v>4213</v>
      </c>
      <c r="AB416" s="414" t="s">
        <v>3664</v>
      </c>
      <c r="AC416" s="422"/>
      <c r="AD416" s="421"/>
      <c r="AE416" s="420"/>
      <c r="AF416" s="421">
        <v>91105</v>
      </c>
      <c r="AG416" s="420" t="s">
        <v>4840</v>
      </c>
      <c r="AH416" s="421" t="s">
        <v>4215</v>
      </c>
      <c r="AI416" s="420" t="s">
        <v>36</v>
      </c>
      <c r="AJ416" s="413" t="str">
        <f t="shared" si="26"/>
        <v>4590006247_007</v>
      </c>
      <c r="AK416" s="423"/>
      <c r="AL416" s="424">
        <v>45047</v>
      </c>
      <c r="AM416" s="221">
        <v>561.54999999999995</v>
      </c>
      <c r="AN416" s="228">
        <v>45121</v>
      </c>
      <c r="AO416" s="423"/>
      <c r="AP416" s="413"/>
      <c r="AQ416" s="222"/>
      <c r="AR416" s="424"/>
      <c r="AS416" s="614">
        <f ca="1">表格1_6[[#This Row],[total amount]]/表格1_6[[#This Row],[PO$]]</f>
        <v>0.40000142463333499</v>
      </c>
      <c r="AT416" s="223">
        <f ca="1">表格1_6[[#This Row],[invoice amount]]+表格1_6[[#This Row],[invoice amount2]]</f>
        <v>561.54999999999995</v>
      </c>
      <c r="AU416" s="224" t="s">
        <v>3673</v>
      </c>
      <c r="AV416" s="423"/>
      <c r="AW416" s="423" t="e">
        <f ca="1">VLOOKUP(表格1_6[[#This Row],[TI tool ID2]],工作表1!A:A,1,FALSE)</f>
        <v>#N/A</v>
      </c>
      <c r="AX416" s="425" t="e">
        <f ca="1">VLOOKUP(表格1_6[[#This Row],[PO+ITEM]],工作表1!B:E,2,FALSE)</f>
        <v>#N/A</v>
      </c>
      <c r="AY416" s="425" t="e">
        <f ca="1">VLOOKUP(表格1_6[[#This Row],[PO+ITEM]],工作表1!B:E,3,FALSE)</f>
        <v>#N/A</v>
      </c>
      <c r="AZ416" s="423" t="e">
        <f ca="1">VLOOKUP(表格1_6[[#This Row],[PO+ITEM]],工作表1!B:E,4,FALSE)</f>
        <v>#N/A</v>
      </c>
      <c r="BA416" s="425" t="e">
        <f ca="1">INDEX(工作表1!G:G, MATCH(表格1_6[[#This Row],[invoice number]]&amp;表格1_6[[#This Row],[invoice number2]],工作表1!G:G, 0))</f>
        <v>#N/A</v>
      </c>
      <c r="BB416" s="423" t="e">
        <f ca="1">VLOOKUP(表格1_6[[#This Row],[PO+ITEM]],工作表1!F:H,2,FALSE)</f>
        <v>#N/A</v>
      </c>
    </row>
    <row r="417" spans="1:54" ht="15.6">
      <c r="A417" s="413">
        <v>416</v>
      </c>
      <c r="B417" s="413" t="s">
        <v>3674</v>
      </c>
      <c r="C417" s="414" t="s">
        <v>16</v>
      </c>
      <c r="D417" s="414" t="s">
        <v>3648</v>
      </c>
      <c r="E417" s="414"/>
      <c r="F417" s="414"/>
      <c r="G417" s="414"/>
      <c r="H417" s="414"/>
      <c r="I417" s="414"/>
      <c r="J417" s="414"/>
      <c r="K417" s="414"/>
      <c r="L417" s="415" t="s">
        <v>4841</v>
      </c>
      <c r="M417" s="416" t="s">
        <v>2206</v>
      </c>
      <c r="N417" s="416" t="s">
        <v>2999</v>
      </c>
      <c r="O417" s="417"/>
      <c r="P417" s="416">
        <v>4590006247</v>
      </c>
      <c r="Q417" s="418">
        <v>44836</v>
      </c>
      <c r="R417" s="419">
        <v>8</v>
      </c>
      <c r="S417" s="458">
        <v>7832.76</v>
      </c>
      <c r="T417" s="420" t="s">
        <v>2156</v>
      </c>
      <c r="U417" s="414" t="s">
        <v>4004</v>
      </c>
      <c r="V417" s="414" t="s">
        <v>4005</v>
      </c>
      <c r="W417" s="417" t="s">
        <v>4006</v>
      </c>
      <c r="X417" s="417"/>
      <c r="Y417" s="421" t="s">
        <v>3652</v>
      </c>
      <c r="Z417" s="421" t="s">
        <v>3652</v>
      </c>
      <c r="AA417" s="416" t="s">
        <v>4213</v>
      </c>
      <c r="AB417" s="414" t="s">
        <v>3664</v>
      </c>
      <c r="AC417" s="422"/>
      <c r="AD417" s="421"/>
      <c r="AE417" s="420"/>
      <c r="AF417" s="421">
        <v>91161</v>
      </c>
      <c r="AG417" s="420" t="s">
        <v>4842</v>
      </c>
      <c r="AH417" s="421" t="s">
        <v>4215</v>
      </c>
      <c r="AI417" s="420" t="s">
        <v>846</v>
      </c>
      <c r="AJ417" s="413" t="str">
        <f t="shared" si="26"/>
        <v>4590006247_008</v>
      </c>
      <c r="AK417" s="423"/>
      <c r="AL417" s="424">
        <v>45108</v>
      </c>
      <c r="AM417" s="221">
        <v>3133.1</v>
      </c>
      <c r="AN417" s="228">
        <v>45121</v>
      </c>
      <c r="AO417" s="423"/>
      <c r="AP417" s="413"/>
      <c r="AQ417" s="222"/>
      <c r="AR417" s="424"/>
      <c r="AS417" s="614">
        <f ca="1">表格1_6[[#This Row],[total amount]]/表格1_6[[#This Row],[PO$]]</f>
        <v>0.399999489324325</v>
      </c>
      <c r="AT417" s="223">
        <f ca="1">表格1_6[[#This Row],[invoice amount]]+表格1_6[[#This Row],[invoice amount2]]</f>
        <v>3133.1</v>
      </c>
      <c r="AU417" s="224" t="s">
        <v>3673</v>
      </c>
      <c r="AV417" s="423"/>
      <c r="AW417" s="423" t="e">
        <f ca="1">VLOOKUP(表格1_6[[#This Row],[TI tool ID2]],工作表1!A:A,1,FALSE)</f>
        <v>#N/A</v>
      </c>
      <c r="AX417" s="425" t="e">
        <f ca="1">VLOOKUP(表格1_6[[#This Row],[PO+ITEM]],工作表1!B:E,2,FALSE)</f>
        <v>#N/A</v>
      </c>
      <c r="AY417" s="425" t="e">
        <f ca="1">VLOOKUP(表格1_6[[#This Row],[PO+ITEM]],工作表1!B:E,3,FALSE)</f>
        <v>#N/A</v>
      </c>
      <c r="AZ417" s="423" t="e">
        <f ca="1">VLOOKUP(表格1_6[[#This Row],[PO+ITEM]],工作表1!B:E,4,FALSE)</f>
        <v>#N/A</v>
      </c>
      <c r="BA417" s="425" t="e">
        <f ca="1">INDEX(工作表1!G:G, MATCH(表格1_6[[#This Row],[invoice number]]&amp;表格1_6[[#This Row],[invoice number2]],工作表1!G:G, 0))</f>
        <v>#N/A</v>
      </c>
      <c r="BB417" s="423" t="e">
        <f ca="1">VLOOKUP(表格1_6[[#This Row],[PO+ITEM]],工作表1!F:H,2,FALSE)</f>
        <v>#N/A</v>
      </c>
    </row>
    <row r="418" spans="1:54" ht="15.6">
      <c r="A418" s="413">
        <v>417</v>
      </c>
      <c r="B418" s="413" t="s">
        <v>3659</v>
      </c>
      <c r="C418" s="414" t="s">
        <v>16</v>
      </c>
      <c r="D418" s="414" t="s">
        <v>3648</v>
      </c>
      <c r="E418" s="414"/>
      <c r="F418" s="414"/>
      <c r="G418" s="414"/>
      <c r="H418" s="414"/>
      <c r="I418" s="414"/>
      <c r="J418" s="414"/>
      <c r="K418" s="414"/>
      <c r="L418" s="415" t="s">
        <v>4843</v>
      </c>
      <c r="M418" s="416" t="s">
        <v>2206</v>
      </c>
      <c r="N418" s="416" t="s">
        <v>2999</v>
      </c>
      <c r="O418" s="417"/>
      <c r="P418" s="416">
        <v>4590006247</v>
      </c>
      <c r="Q418" s="418">
        <v>44836</v>
      </c>
      <c r="R418" s="419">
        <v>9</v>
      </c>
      <c r="S418" s="458">
        <v>7832.76</v>
      </c>
      <c r="T418" s="420" t="s">
        <v>2156</v>
      </c>
      <c r="U418" s="414" t="s">
        <v>4004</v>
      </c>
      <c r="V418" s="414" t="s">
        <v>4005</v>
      </c>
      <c r="W418" s="417" t="s">
        <v>4006</v>
      </c>
      <c r="X418" s="417"/>
      <c r="Y418" s="421" t="s">
        <v>3652</v>
      </c>
      <c r="Z418" s="421" t="s">
        <v>3652</v>
      </c>
      <c r="AA418" s="416" t="s">
        <v>4218</v>
      </c>
      <c r="AB418" s="414" t="s">
        <v>3664</v>
      </c>
      <c r="AC418" s="422"/>
      <c r="AD418" s="421"/>
      <c r="AE418" s="420"/>
      <c r="AF418" s="421">
        <v>91172</v>
      </c>
      <c r="AG418" s="420" t="s">
        <v>4844</v>
      </c>
      <c r="AH418" s="421" t="s">
        <v>4215</v>
      </c>
      <c r="AI418" s="420" t="s">
        <v>846</v>
      </c>
      <c r="AJ418" s="413" t="str">
        <f t="shared" si="26"/>
        <v>4590006247_009</v>
      </c>
      <c r="AK418" s="423"/>
      <c r="AL418" s="424">
        <v>45108</v>
      </c>
      <c r="AM418" s="221">
        <v>3133.1</v>
      </c>
      <c r="AN418" s="244">
        <v>45212</v>
      </c>
      <c r="AO418" s="423"/>
      <c r="AP418" s="413"/>
      <c r="AQ418" s="222"/>
      <c r="AR418" s="424"/>
      <c r="AS418" s="614">
        <f ca="1">表格1_6[[#This Row],[total amount]]/表格1_6[[#This Row],[PO$]]</f>
        <v>0.399999489324325</v>
      </c>
      <c r="AT418" s="223">
        <f ca="1">表格1_6[[#This Row],[invoice amount]]+表格1_6[[#This Row],[invoice amount2]]</f>
        <v>3133.1</v>
      </c>
      <c r="AU418" s="224" t="s">
        <v>3673</v>
      </c>
      <c r="AV418" s="423"/>
      <c r="AW418" s="423" t="e">
        <f ca="1">VLOOKUP(表格1_6[[#This Row],[TI tool ID2]],工作表1!A:A,1,FALSE)</f>
        <v>#N/A</v>
      </c>
      <c r="AX418" s="425" t="e">
        <f ca="1">VLOOKUP(表格1_6[[#This Row],[PO+ITEM]],工作表1!B:E,2,FALSE)</f>
        <v>#N/A</v>
      </c>
      <c r="AY418" s="425" t="e">
        <f ca="1">VLOOKUP(表格1_6[[#This Row],[PO+ITEM]],工作表1!B:E,3,FALSE)</f>
        <v>#N/A</v>
      </c>
      <c r="AZ418" s="423" t="e">
        <f ca="1">VLOOKUP(表格1_6[[#This Row],[PO+ITEM]],工作表1!B:E,4,FALSE)</f>
        <v>#N/A</v>
      </c>
      <c r="BA418" s="425" t="e">
        <f ca="1">INDEX(工作表1!G:G, MATCH(表格1_6[[#This Row],[invoice number]]&amp;表格1_6[[#This Row],[invoice number2]],工作表1!G:G, 0))</f>
        <v>#N/A</v>
      </c>
      <c r="BB418" s="423" t="e">
        <f ca="1">VLOOKUP(表格1_6[[#This Row],[PO+ITEM]],工作表1!F:H,2,FALSE)</f>
        <v>#N/A</v>
      </c>
    </row>
    <row r="419" spans="1:54" ht="15.6">
      <c r="A419" s="413">
        <v>418</v>
      </c>
      <c r="B419" s="413"/>
      <c r="C419" s="414" t="s">
        <v>16</v>
      </c>
      <c r="D419" s="414" t="s">
        <v>3648</v>
      </c>
      <c r="E419" s="414"/>
      <c r="F419" s="414"/>
      <c r="G419" s="414"/>
      <c r="H419" s="414"/>
      <c r="I419" s="414"/>
      <c r="J419" s="414"/>
      <c r="K419" s="414"/>
      <c r="L419" s="420" t="s">
        <v>4845</v>
      </c>
      <c r="M419" s="416" t="s">
        <v>4003</v>
      </c>
      <c r="N419" s="416" t="s">
        <v>2999</v>
      </c>
      <c r="O419" s="417"/>
      <c r="P419" s="416">
        <v>4590006247</v>
      </c>
      <c r="Q419" s="418">
        <v>44836</v>
      </c>
      <c r="R419" s="419">
        <v>10</v>
      </c>
      <c r="S419" s="458">
        <v>1403.87</v>
      </c>
      <c r="T419" s="420" t="s">
        <v>2156</v>
      </c>
      <c r="U419" s="414" t="s">
        <v>4004</v>
      </c>
      <c r="V419" s="414" t="s">
        <v>4005</v>
      </c>
      <c r="W419" s="417" t="s">
        <v>4006</v>
      </c>
      <c r="X419" s="417"/>
      <c r="Y419" s="421" t="s">
        <v>3652</v>
      </c>
      <c r="Z419" s="421" t="s">
        <v>3652</v>
      </c>
      <c r="AA419" s="416" t="s">
        <v>4218</v>
      </c>
      <c r="AB419" s="414" t="s">
        <v>3664</v>
      </c>
      <c r="AC419" s="422"/>
      <c r="AD419" s="421"/>
      <c r="AE419" s="420"/>
      <c r="AF419" s="421">
        <v>91103</v>
      </c>
      <c r="AG419" s="420" t="s">
        <v>4846</v>
      </c>
      <c r="AH419" s="421" t="s">
        <v>4215</v>
      </c>
      <c r="AI419" s="420" t="s">
        <v>36</v>
      </c>
      <c r="AJ419" s="413" t="str">
        <f t="shared" ref="AJ419:AJ427" si="27">P419&amp;"_0"&amp;R419</f>
        <v>4590006247_010</v>
      </c>
      <c r="AK419" s="423"/>
      <c r="AL419" s="424">
        <v>45047</v>
      </c>
      <c r="AM419" s="221">
        <v>561.54999999999995</v>
      </c>
      <c r="AN419" s="244">
        <v>45212</v>
      </c>
      <c r="AO419" s="423"/>
      <c r="AP419" s="413"/>
      <c r="AQ419" s="222"/>
      <c r="AR419" s="424"/>
      <c r="AS419" s="614">
        <f ca="1">表格1_6[[#This Row],[total amount]]/表格1_6[[#This Row],[PO$]]</f>
        <v>0.40000142463333499</v>
      </c>
      <c r="AT419" s="223">
        <f ca="1">表格1_6[[#This Row],[invoice amount]]+表格1_6[[#This Row],[invoice amount2]]</f>
        <v>561.54999999999995</v>
      </c>
      <c r="AU419" s="224" t="s">
        <v>3673</v>
      </c>
      <c r="AV419" s="423"/>
      <c r="AW419" s="423" t="e">
        <f ca="1">VLOOKUP(表格1_6[[#This Row],[TI tool ID2]],工作表1!A:A,1,FALSE)</f>
        <v>#N/A</v>
      </c>
      <c r="AX419" s="425" t="e">
        <f ca="1">VLOOKUP(表格1_6[[#This Row],[PO+ITEM]],工作表1!B:E,2,FALSE)</f>
        <v>#N/A</v>
      </c>
      <c r="AY419" s="425" t="e">
        <f ca="1">VLOOKUP(表格1_6[[#This Row],[PO+ITEM]],工作表1!B:E,3,FALSE)</f>
        <v>#N/A</v>
      </c>
      <c r="AZ419" s="423" t="e">
        <f ca="1">VLOOKUP(表格1_6[[#This Row],[PO+ITEM]],工作表1!B:E,4,FALSE)</f>
        <v>#N/A</v>
      </c>
      <c r="BA419" s="425" t="e">
        <f ca="1">INDEX(工作表1!G:G, MATCH(表格1_6[[#This Row],[invoice number]]&amp;表格1_6[[#This Row],[invoice number2]],工作表1!G:G, 0))</f>
        <v>#N/A</v>
      </c>
      <c r="BB419" s="423" t="e">
        <f ca="1">VLOOKUP(表格1_6[[#This Row],[PO+ITEM]],工作表1!F:H,2,FALSE)</f>
        <v>#N/A</v>
      </c>
    </row>
    <row r="420" spans="1:54" ht="15.6">
      <c r="A420" s="413">
        <v>419</v>
      </c>
      <c r="B420" s="413" t="s">
        <v>3659</v>
      </c>
      <c r="C420" s="414" t="s">
        <v>16</v>
      </c>
      <c r="D420" s="414" t="s">
        <v>3648</v>
      </c>
      <c r="E420" s="414"/>
      <c r="F420" s="414"/>
      <c r="G420" s="414"/>
      <c r="H420" s="414"/>
      <c r="I420" s="414"/>
      <c r="J420" s="414"/>
      <c r="K420" s="414"/>
      <c r="L420" s="415" t="s">
        <v>4847</v>
      </c>
      <c r="M420" s="416" t="s">
        <v>4003</v>
      </c>
      <c r="N420" s="416" t="s">
        <v>2999</v>
      </c>
      <c r="O420" s="417"/>
      <c r="P420" s="416">
        <v>4590006247</v>
      </c>
      <c r="Q420" s="418">
        <v>44836</v>
      </c>
      <c r="R420" s="419">
        <v>11</v>
      </c>
      <c r="S420" s="458">
        <v>1403.87</v>
      </c>
      <c r="T420" s="420" t="s">
        <v>2156</v>
      </c>
      <c r="U420" s="414" t="s">
        <v>4004</v>
      </c>
      <c r="V420" s="414" t="s">
        <v>4005</v>
      </c>
      <c r="W420" s="417" t="s">
        <v>4006</v>
      </c>
      <c r="X420" s="417"/>
      <c r="Y420" s="421" t="s">
        <v>3652</v>
      </c>
      <c r="Z420" s="421" t="s">
        <v>3652</v>
      </c>
      <c r="AA420" s="416" t="s">
        <v>4218</v>
      </c>
      <c r="AB420" s="414" t="s">
        <v>3664</v>
      </c>
      <c r="AC420" s="422"/>
      <c r="AD420" s="421"/>
      <c r="AE420" s="420"/>
      <c r="AF420" s="421">
        <v>91123</v>
      </c>
      <c r="AG420" s="420" t="s">
        <v>4848</v>
      </c>
      <c r="AH420" s="421" t="s">
        <v>4215</v>
      </c>
      <c r="AI420" s="420" t="s">
        <v>36</v>
      </c>
      <c r="AJ420" s="413" t="str">
        <f t="shared" si="27"/>
        <v>4590006247_011</v>
      </c>
      <c r="AK420" s="423"/>
      <c r="AL420" s="424">
        <v>45047</v>
      </c>
      <c r="AM420" s="221">
        <v>561.54999999999995</v>
      </c>
      <c r="AN420" s="228">
        <v>45121</v>
      </c>
      <c r="AO420" s="423"/>
      <c r="AP420" s="413"/>
      <c r="AQ420" s="222"/>
      <c r="AR420" s="424"/>
      <c r="AS420" s="614">
        <f ca="1">表格1_6[[#This Row],[total amount]]/表格1_6[[#This Row],[PO$]]</f>
        <v>0.40000142463333499</v>
      </c>
      <c r="AT420" s="223">
        <f ca="1">表格1_6[[#This Row],[invoice amount]]+表格1_6[[#This Row],[invoice amount2]]</f>
        <v>561.54999999999995</v>
      </c>
      <c r="AU420" s="224" t="s">
        <v>3673</v>
      </c>
      <c r="AV420" s="423"/>
      <c r="AW420" s="423" t="e">
        <f ca="1">VLOOKUP(表格1_6[[#This Row],[TI tool ID2]],工作表1!A:A,1,FALSE)</f>
        <v>#N/A</v>
      </c>
      <c r="AX420" s="425" t="e">
        <f ca="1">VLOOKUP(表格1_6[[#This Row],[PO+ITEM]],工作表1!B:E,2,FALSE)</f>
        <v>#N/A</v>
      </c>
      <c r="AY420" s="425" t="e">
        <f ca="1">VLOOKUP(表格1_6[[#This Row],[PO+ITEM]],工作表1!B:E,3,FALSE)</f>
        <v>#N/A</v>
      </c>
      <c r="AZ420" s="423" t="e">
        <f ca="1">VLOOKUP(表格1_6[[#This Row],[PO+ITEM]],工作表1!B:E,4,FALSE)</f>
        <v>#N/A</v>
      </c>
      <c r="BA420" s="425" t="e">
        <f ca="1">INDEX(工作表1!G:G, MATCH(表格1_6[[#This Row],[invoice number]]&amp;表格1_6[[#This Row],[invoice number2]],工作表1!G:G, 0))</f>
        <v>#N/A</v>
      </c>
      <c r="BB420" s="423" t="e">
        <f ca="1">VLOOKUP(表格1_6[[#This Row],[PO+ITEM]],工作表1!F:H,2,FALSE)</f>
        <v>#N/A</v>
      </c>
    </row>
    <row r="421" spans="1:54" ht="15.6">
      <c r="A421" s="413">
        <v>420</v>
      </c>
      <c r="B421" s="413" t="s">
        <v>3659</v>
      </c>
      <c r="C421" s="414" t="s">
        <v>16</v>
      </c>
      <c r="D421" s="414" t="s">
        <v>3648</v>
      </c>
      <c r="E421" s="414"/>
      <c r="F421" s="414"/>
      <c r="G421" s="414"/>
      <c r="H421" s="414"/>
      <c r="I421" s="414"/>
      <c r="J421" s="414"/>
      <c r="K421" s="414"/>
      <c r="L421" s="415" t="s">
        <v>4849</v>
      </c>
      <c r="M421" s="416" t="s">
        <v>4003</v>
      </c>
      <c r="N421" s="416" t="s">
        <v>2999</v>
      </c>
      <c r="O421" s="417"/>
      <c r="P421" s="416">
        <v>4590006247</v>
      </c>
      <c r="Q421" s="418">
        <v>44836</v>
      </c>
      <c r="R421" s="419">
        <v>12</v>
      </c>
      <c r="S421" s="458">
        <v>1403.87</v>
      </c>
      <c r="T421" s="420" t="s">
        <v>2156</v>
      </c>
      <c r="U421" s="414" t="s">
        <v>4004</v>
      </c>
      <c r="V421" s="414" t="s">
        <v>4005</v>
      </c>
      <c r="W421" s="417" t="s">
        <v>4006</v>
      </c>
      <c r="X421" s="417"/>
      <c r="Y421" s="421" t="s">
        <v>3652</v>
      </c>
      <c r="Z421" s="421" t="s">
        <v>3652</v>
      </c>
      <c r="AA421" s="416" t="s">
        <v>4218</v>
      </c>
      <c r="AB421" s="414" t="s">
        <v>3664</v>
      </c>
      <c r="AC421" s="422"/>
      <c r="AD421" s="421"/>
      <c r="AE421" s="420"/>
      <c r="AF421" s="421">
        <v>91124</v>
      </c>
      <c r="AG421" s="420" t="s">
        <v>4850</v>
      </c>
      <c r="AH421" s="421" t="s">
        <v>4215</v>
      </c>
      <c r="AI421" s="420" t="s">
        <v>36</v>
      </c>
      <c r="AJ421" s="413" t="str">
        <f t="shared" si="27"/>
        <v>4590006247_012</v>
      </c>
      <c r="AK421" s="423"/>
      <c r="AL421" s="424">
        <v>45047</v>
      </c>
      <c r="AM421" s="221">
        <v>561.54999999999995</v>
      </c>
      <c r="AN421" s="228">
        <v>45121</v>
      </c>
      <c r="AO421" s="423"/>
      <c r="AP421" s="413"/>
      <c r="AQ421" s="222"/>
      <c r="AR421" s="424"/>
      <c r="AS421" s="614">
        <f ca="1">表格1_6[[#This Row],[total amount]]/表格1_6[[#This Row],[PO$]]</f>
        <v>0.40000142463333499</v>
      </c>
      <c r="AT421" s="223">
        <f ca="1">表格1_6[[#This Row],[invoice amount]]+表格1_6[[#This Row],[invoice amount2]]</f>
        <v>561.54999999999995</v>
      </c>
      <c r="AU421" s="224" t="s">
        <v>3673</v>
      </c>
      <c r="AV421" s="423"/>
      <c r="AW421" s="423" t="e">
        <f ca="1">VLOOKUP(表格1_6[[#This Row],[TI tool ID2]],工作表1!A:A,1,FALSE)</f>
        <v>#N/A</v>
      </c>
      <c r="AX421" s="425" t="e">
        <f ca="1">VLOOKUP(表格1_6[[#This Row],[PO+ITEM]],工作表1!B:E,2,FALSE)</f>
        <v>#N/A</v>
      </c>
      <c r="AY421" s="425" t="e">
        <f ca="1">VLOOKUP(表格1_6[[#This Row],[PO+ITEM]],工作表1!B:E,3,FALSE)</f>
        <v>#N/A</v>
      </c>
      <c r="AZ421" s="423" t="e">
        <f ca="1">VLOOKUP(表格1_6[[#This Row],[PO+ITEM]],工作表1!B:E,4,FALSE)</f>
        <v>#N/A</v>
      </c>
      <c r="BA421" s="425" t="e">
        <f ca="1">INDEX(工作表1!G:G, MATCH(表格1_6[[#This Row],[invoice number]]&amp;表格1_6[[#This Row],[invoice number2]],工作表1!G:G, 0))</f>
        <v>#N/A</v>
      </c>
      <c r="BB421" s="423" t="e">
        <f ca="1">VLOOKUP(表格1_6[[#This Row],[PO+ITEM]],工作表1!F:H,2,FALSE)</f>
        <v>#N/A</v>
      </c>
    </row>
    <row r="422" spans="1:54" ht="15.6">
      <c r="A422" s="413">
        <v>421</v>
      </c>
      <c r="B422" s="413" t="s">
        <v>3659</v>
      </c>
      <c r="C422" s="414" t="s">
        <v>16</v>
      </c>
      <c r="D422" s="414" t="s">
        <v>3648</v>
      </c>
      <c r="E422" s="414"/>
      <c r="F422" s="414"/>
      <c r="G422" s="414"/>
      <c r="H422" s="414"/>
      <c r="I422" s="414"/>
      <c r="J422" s="414"/>
      <c r="K422" s="414"/>
      <c r="L422" s="415" t="s">
        <v>4851</v>
      </c>
      <c r="M422" s="416" t="s">
        <v>4003</v>
      </c>
      <c r="N422" s="416" t="s">
        <v>2999</v>
      </c>
      <c r="O422" s="417"/>
      <c r="P422" s="416">
        <v>4590006247</v>
      </c>
      <c r="Q422" s="418">
        <v>44836</v>
      </c>
      <c r="R422" s="419">
        <v>13</v>
      </c>
      <c r="S422" s="458">
        <v>1403.87</v>
      </c>
      <c r="T422" s="420" t="s">
        <v>2156</v>
      </c>
      <c r="U422" s="414" t="s">
        <v>4004</v>
      </c>
      <c r="V422" s="414" t="s">
        <v>4005</v>
      </c>
      <c r="W422" s="417" t="s">
        <v>4006</v>
      </c>
      <c r="X422" s="417"/>
      <c r="Y422" s="421" t="s">
        <v>3652</v>
      </c>
      <c r="Z422" s="421" t="s">
        <v>3652</v>
      </c>
      <c r="AA422" s="416" t="s">
        <v>4218</v>
      </c>
      <c r="AB422" s="414" t="s">
        <v>3664</v>
      </c>
      <c r="AC422" s="422"/>
      <c r="AD422" s="421"/>
      <c r="AE422" s="420"/>
      <c r="AF422" s="421">
        <v>91126</v>
      </c>
      <c r="AG422" s="420" t="s">
        <v>4852</v>
      </c>
      <c r="AH422" s="421" t="s">
        <v>4215</v>
      </c>
      <c r="AI422" s="420" t="s">
        <v>36</v>
      </c>
      <c r="AJ422" s="413" t="str">
        <f t="shared" si="27"/>
        <v>4590006247_013</v>
      </c>
      <c r="AK422" s="423"/>
      <c r="AL422" s="424">
        <v>45047</v>
      </c>
      <c r="AM422" s="221">
        <v>561.54999999999995</v>
      </c>
      <c r="AN422" s="228">
        <v>45121</v>
      </c>
      <c r="AO422" s="423"/>
      <c r="AP422" s="413"/>
      <c r="AQ422" s="222"/>
      <c r="AR422" s="424"/>
      <c r="AS422" s="614">
        <f ca="1">表格1_6[[#This Row],[total amount]]/表格1_6[[#This Row],[PO$]]</f>
        <v>0.40000142463333499</v>
      </c>
      <c r="AT422" s="223">
        <f ca="1">表格1_6[[#This Row],[invoice amount]]+表格1_6[[#This Row],[invoice amount2]]</f>
        <v>561.54999999999995</v>
      </c>
      <c r="AU422" s="224" t="s">
        <v>3673</v>
      </c>
      <c r="AV422" s="423"/>
      <c r="AW422" s="423" t="e">
        <f ca="1">VLOOKUP(表格1_6[[#This Row],[TI tool ID2]],工作表1!A:A,1,FALSE)</f>
        <v>#N/A</v>
      </c>
      <c r="AX422" s="425" t="e">
        <f ca="1">VLOOKUP(表格1_6[[#This Row],[PO+ITEM]],工作表1!B:E,2,FALSE)</f>
        <v>#N/A</v>
      </c>
      <c r="AY422" s="425" t="e">
        <f ca="1">VLOOKUP(表格1_6[[#This Row],[PO+ITEM]],工作表1!B:E,3,FALSE)</f>
        <v>#N/A</v>
      </c>
      <c r="AZ422" s="423" t="e">
        <f ca="1">VLOOKUP(表格1_6[[#This Row],[PO+ITEM]],工作表1!B:E,4,FALSE)</f>
        <v>#N/A</v>
      </c>
      <c r="BA422" s="425" t="e">
        <f ca="1">INDEX(工作表1!G:G, MATCH(表格1_6[[#This Row],[invoice number]]&amp;表格1_6[[#This Row],[invoice number2]],工作表1!G:G, 0))</f>
        <v>#N/A</v>
      </c>
      <c r="BB422" s="423" t="e">
        <f ca="1">VLOOKUP(表格1_6[[#This Row],[PO+ITEM]],工作表1!F:H,2,FALSE)</f>
        <v>#N/A</v>
      </c>
    </row>
    <row r="423" spans="1:54" ht="15.6">
      <c r="A423" s="413">
        <v>422</v>
      </c>
      <c r="B423" s="413" t="s">
        <v>3659</v>
      </c>
      <c r="C423" s="414" t="s">
        <v>16</v>
      </c>
      <c r="D423" s="414" t="s">
        <v>3648</v>
      </c>
      <c r="E423" s="414"/>
      <c r="F423" s="414"/>
      <c r="G423" s="414"/>
      <c r="H423" s="414"/>
      <c r="I423" s="414"/>
      <c r="J423" s="414"/>
      <c r="K423" s="414"/>
      <c r="L423" s="415" t="s">
        <v>4853</v>
      </c>
      <c r="M423" s="416" t="s">
        <v>4003</v>
      </c>
      <c r="N423" s="416" t="s">
        <v>2999</v>
      </c>
      <c r="O423" s="417"/>
      <c r="P423" s="416">
        <v>4590006247</v>
      </c>
      <c r="Q423" s="418">
        <v>44836</v>
      </c>
      <c r="R423" s="419">
        <v>14</v>
      </c>
      <c r="S423" s="458">
        <v>1403.87</v>
      </c>
      <c r="T423" s="420" t="s">
        <v>2156</v>
      </c>
      <c r="U423" s="414" t="s">
        <v>4004</v>
      </c>
      <c r="V423" s="414" t="s">
        <v>4005</v>
      </c>
      <c r="W423" s="417" t="s">
        <v>4006</v>
      </c>
      <c r="X423" s="417"/>
      <c r="Y423" s="421" t="s">
        <v>3652</v>
      </c>
      <c r="Z423" s="421" t="s">
        <v>3652</v>
      </c>
      <c r="AA423" s="416" t="s">
        <v>4218</v>
      </c>
      <c r="AB423" s="414" t="s">
        <v>3664</v>
      </c>
      <c r="AC423" s="422"/>
      <c r="AD423" s="421"/>
      <c r="AE423" s="420"/>
      <c r="AF423" s="421">
        <v>91127</v>
      </c>
      <c r="AG423" s="420" t="s">
        <v>4854</v>
      </c>
      <c r="AH423" s="421" t="s">
        <v>4215</v>
      </c>
      <c r="AI423" s="420" t="s">
        <v>36</v>
      </c>
      <c r="AJ423" s="413" t="str">
        <f t="shared" si="27"/>
        <v>4590006247_014</v>
      </c>
      <c r="AK423" s="423"/>
      <c r="AL423" s="424">
        <v>45047</v>
      </c>
      <c r="AM423" s="221">
        <v>561.54999999999995</v>
      </c>
      <c r="AN423" s="228">
        <v>45121</v>
      </c>
      <c r="AO423" s="423"/>
      <c r="AP423" s="413"/>
      <c r="AQ423" s="222"/>
      <c r="AR423" s="424"/>
      <c r="AS423" s="614">
        <f ca="1">表格1_6[[#This Row],[total amount]]/表格1_6[[#This Row],[PO$]]</f>
        <v>0.40000142463333499</v>
      </c>
      <c r="AT423" s="223">
        <f ca="1">表格1_6[[#This Row],[invoice amount]]+表格1_6[[#This Row],[invoice amount2]]</f>
        <v>561.54999999999995</v>
      </c>
      <c r="AU423" s="224" t="s">
        <v>3673</v>
      </c>
      <c r="AV423" s="423"/>
      <c r="AW423" s="423" t="e">
        <f ca="1">VLOOKUP(表格1_6[[#This Row],[TI tool ID2]],工作表1!A:A,1,FALSE)</f>
        <v>#N/A</v>
      </c>
      <c r="AX423" s="425" t="e">
        <f ca="1">VLOOKUP(表格1_6[[#This Row],[PO+ITEM]],工作表1!B:E,2,FALSE)</f>
        <v>#N/A</v>
      </c>
      <c r="AY423" s="425" t="e">
        <f ca="1">VLOOKUP(表格1_6[[#This Row],[PO+ITEM]],工作表1!B:E,3,FALSE)</f>
        <v>#N/A</v>
      </c>
      <c r="AZ423" s="423" t="e">
        <f ca="1">VLOOKUP(表格1_6[[#This Row],[PO+ITEM]],工作表1!B:E,4,FALSE)</f>
        <v>#N/A</v>
      </c>
      <c r="BA423" s="425" t="e">
        <f ca="1">INDEX(工作表1!G:G, MATCH(表格1_6[[#This Row],[invoice number]]&amp;表格1_6[[#This Row],[invoice number2]],工作表1!G:G, 0))</f>
        <v>#N/A</v>
      </c>
      <c r="BB423" s="423" t="e">
        <f ca="1">VLOOKUP(表格1_6[[#This Row],[PO+ITEM]],工作表1!F:H,2,FALSE)</f>
        <v>#N/A</v>
      </c>
    </row>
    <row r="424" spans="1:54" ht="15.6">
      <c r="A424" s="413">
        <v>423</v>
      </c>
      <c r="B424" s="413" t="s">
        <v>3659</v>
      </c>
      <c r="C424" s="414" t="s">
        <v>16</v>
      </c>
      <c r="D424" s="414" t="s">
        <v>3648</v>
      </c>
      <c r="E424" s="414"/>
      <c r="F424" s="414"/>
      <c r="G424" s="414"/>
      <c r="H424" s="414"/>
      <c r="I424" s="414"/>
      <c r="J424" s="414"/>
      <c r="K424" s="414"/>
      <c r="L424" s="420" t="s">
        <v>4855</v>
      </c>
      <c r="M424" s="416" t="s">
        <v>4003</v>
      </c>
      <c r="N424" s="416" t="s">
        <v>2999</v>
      </c>
      <c r="O424" s="417"/>
      <c r="P424" s="416">
        <v>4590006247</v>
      </c>
      <c r="Q424" s="418">
        <v>44836</v>
      </c>
      <c r="R424" s="419">
        <v>15</v>
      </c>
      <c r="S424" s="458">
        <v>1403.87</v>
      </c>
      <c r="T424" s="420" t="s">
        <v>2156</v>
      </c>
      <c r="U424" s="414" t="s">
        <v>4004</v>
      </c>
      <c r="V424" s="414" t="s">
        <v>4005</v>
      </c>
      <c r="W424" s="417" t="s">
        <v>4006</v>
      </c>
      <c r="X424" s="417"/>
      <c r="Y424" s="421" t="s">
        <v>3652</v>
      </c>
      <c r="Z424" s="421" t="s">
        <v>3652</v>
      </c>
      <c r="AA424" s="416" t="s">
        <v>4218</v>
      </c>
      <c r="AB424" s="414" t="s">
        <v>3664</v>
      </c>
      <c r="AC424" s="422"/>
      <c r="AD424" s="421"/>
      <c r="AE424" s="420"/>
      <c r="AF424" s="421">
        <v>91157</v>
      </c>
      <c r="AG424" s="420" t="s">
        <v>4856</v>
      </c>
      <c r="AH424" s="421" t="s">
        <v>4215</v>
      </c>
      <c r="AI424" s="420" t="s">
        <v>36</v>
      </c>
      <c r="AJ424" s="413" t="str">
        <f t="shared" si="27"/>
        <v>4590006247_015</v>
      </c>
      <c r="AK424" s="423"/>
      <c r="AL424" s="424">
        <v>45108</v>
      </c>
      <c r="AM424" s="221">
        <v>561.54999999999995</v>
      </c>
      <c r="AN424" s="228">
        <v>45121</v>
      </c>
      <c r="AO424" s="423"/>
      <c r="AP424" s="413"/>
      <c r="AQ424" s="222"/>
      <c r="AR424" s="424"/>
      <c r="AS424" s="614">
        <f ca="1">表格1_6[[#This Row],[total amount]]/表格1_6[[#This Row],[PO$]]</f>
        <v>0.40000142463333499</v>
      </c>
      <c r="AT424" s="223">
        <f ca="1">表格1_6[[#This Row],[invoice amount]]+表格1_6[[#This Row],[invoice amount2]]</f>
        <v>561.54999999999995</v>
      </c>
      <c r="AU424" s="224" t="s">
        <v>3673</v>
      </c>
      <c r="AV424" s="423"/>
      <c r="AW424" s="423" t="e">
        <f ca="1">VLOOKUP(表格1_6[[#This Row],[TI tool ID2]],工作表1!A:A,1,FALSE)</f>
        <v>#N/A</v>
      </c>
      <c r="AX424" s="425" t="e">
        <f ca="1">VLOOKUP(表格1_6[[#This Row],[PO+ITEM]],工作表1!B:E,2,FALSE)</f>
        <v>#N/A</v>
      </c>
      <c r="AY424" s="425" t="e">
        <f ca="1">VLOOKUP(表格1_6[[#This Row],[PO+ITEM]],工作表1!B:E,3,FALSE)</f>
        <v>#N/A</v>
      </c>
      <c r="AZ424" s="423" t="e">
        <f ca="1">VLOOKUP(表格1_6[[#This Row],[PO+ITEM]],工作表1!B:E,4,FALSE)</f>
        <v>#N/A</v>
      </c>
      <c r="BA424" s="425" t="e">
        <f ca="1">INDEX(工作表1!G:G, MATCH(表格1_6[[#This Row],[invoice number]]&amp;表格1_6[[#This Row],[invoice number2]],工作表1!G:G, 0))</f>
        <v>#N/A</v>
      </c>
      <c r="BB424" s="423" t="e">
        <f ca="1">VLOOKUP(表格1_6[[#This Row],[PO+ITEM]],工作表1!F:H,2,FALSE)</f>
        <v>#N/A</v>
      </c>
    </row>
    <row r="425" spans="1:54" ht="15.6">
      <c r="A425" s="413">
        <v>424</v>
      </c>
      <c r="B425" s="413" t="s">
        <v>3674</v>
      </c>
      <c r="C425" s="414" t="s">
        <v>16</v>
      </c>
      <c r="D425" s="414" t="s">
        <v>3648</v>
      </c>
      <c r="E425" s="414"/>
      <c r="F425" s="414"/>
      <c r="G425" s="414"/>
      <c r="H425" s="414"/>
      <c r="I425" s="414"/>
      <c r="J425" s="414"/>
      <c r="K425" s="414"/>
      <c r="L425" s="415" t="s">
        <v>4857</v>
      </c>
      <c r="M425" s="416" t="s">
        <v>4003</v>
      </c>
      <c r="N425" s="416" t="s">
        <v>2999</v>
      </c>
      <c r="O425" s="417"/>
      <c r="P425" s="416">
        <v>4590006247</v>
      </c>
      <c r="Q425" s="418">
        <v>44836</v>
      </c>
      <c r="R425" s="419">
        <v>16</v>
      </c>
      <c r="S425" s="458">
        <v>2807.74</v>
      </c>
      <c r="T425" s="420" t="s">
        <v>2156</v>
      </c>
      <c r="U425" s="414" t="s">
        <v>4004</v>
      </c>
      <c r="V425" s="414" t="s">
        <v>4005</v>
      </c>
      <c r="W425" s="417" t="s">
        <v>4006</v>
      </c>
      <c r="X425" s="417"/>
      <c r="Y425" s="421" t="s">
        <v>3652</v>
      </c>
      <c r="Z425" s="421" t="s">
        <v>3652</v>
      </c>
      <c r="AA425" s="416" t="s">
        <v>4218</v>
      </c>
      <c r="AB425" s="414" t="s">
        <v>3664</v>
      </c>
      <c r="AC425" s="422"/>
      <c r="AD425" s="421"/>
      <c r="AE425" s="420"/>
      <c r="AF425" s="421">
        <v>91159</v>
      </c>
      <c r="AG425" s="420" t="s">
        <v>4858</v>
      </c>
      <c r="AH425" s="421" t="s">
        <v>4215</v>
      </c>
      <c r="AI425" s="420" t="s">
        <v>36</v>
      </c>
      <c r="AJ425" s="413" t="str">
        <f t="shared" si="27"/>
        <v>4590006247_016</v>
      </c>
      <c r="AK425" s="423"/>
      <c r="AL425" s="424">
        <v>45108</v>
      </c>
      <c r="AM425" s="221">
        <v>1123.0999999999999</v>
      </c>
      <c r="AN425" s="244">
        <v>45212</v>
      </c>
      <c r="AO425" s="423" t="s">
        <v>4859</v>
      </c>
      <c r="AP425" s="424">
        <v>45496</v>
      </c>
      <c r="AQ425" s="298">
        <v>1684.64</v>
      </c>
      <c r="AR425" s="424">
        <v>45580</v>
      </c>
      <c r="AS425" s="614">
        <f ca="1">表格1_6[[#This Row],[total amount]]/表格1_6[[#This Row],[PO$]]</f>
        <v>1</v>
      </c>
      <c r="AT425" s="223">
        <f ca="1">表格1_6[[#This Row],[invoice amount]]+表格1_6[[#This Row],[invoice amount2]]</f>
        <v>2807.74</v>
      </c>
      <c r="AU425" s="224" t="s">
        <v>3725</v>
      </c>
      <c r="AV425" s="423"/>
      <c r="AW425" s="423" t="e">
        <f ca="1">VLOOKUP(表格1_6[[#This Row],[TI tool ID2]],工作表1!A:A,1,FALSE)</f>
        <v>#N/A</v>
      </c>
      <c r="AX425" s="425" t="e">
        <f ca="1">VLOOKUP(表格1_6[[#This Row],[PO+ITEM]],工作表1!B:E,2,FALSE)</f>
        <v>#N/A</v>
      </c>
      <c r="AY425" s="425" t="e">
        <f ca="1">VLOOKUP(表格1_6[[#This Row],[PO+ITEM]],工作表1!B:E,3,FALSE)</f>
        <v>#N/A</v>
      </c>
      <c r="AZ425" s="423" t="e">
        <f ca="1">VLOOKUP(表格1_6[[#This Row],[PO+ITEM]],工作表1!B:E,4,FALSE)</f>
        <v>#N/A</v>
      </c>
      <c r="BA425" s="425" t="str">
        <f ca="1">INDEX(工作表1!G:G, MATCH(表格1_6[[#This Row],[invoice number]]&amp;表格1_6[[#This Row],[invoice number2]],工作表1!G:G, 0))</f>
        <v>MICUINT202407020</v>
      </c>
      <c r="BB425" s="423" t="str">
        <f ca="1">VLOOKUP(表格1_6[[#This Row],[PO+ITEM]],工作表1!F:H,2,FALSE)</f>
        <v>MICUINT202407020</v>
      </c>
    </row>
    <row r="426" spans="1:54" ht="15.6">
      <c r="A426" s="413">
        <v>425</v>
      </c>
      <c r="B426" s="413" t="s">
        <v>3659</v>
      </c>
      <c r="C426" s="414" t="s">
        <v>16</v>
      </c>
      <c r="D426" s="414" t="s">
        <v>3648</v>
      </c>
      <c r="E426" s="414"/>
      <c r="F426" s="414"/>
      <c r="G426" s="414"/>
      <c r="H426" s="414"/>
      <c r="I426" s="414"/>
      <c r="J426" s="414"/>
      <c r="K426" s="414"/>
      <c r="L426" s="415" t="s">
        <v>4860</v>
      </c>
      <c r="M426" s="416" t="s">
        <v>4003</v>
      </c>
      <c r="N426" s="416" t="s">
        <v>2999</v>
      </c>
      <c r="O426" s="417"/>
      <c r="P426" s="416">
        <v>4590006247</v>
      </c>
      <c r="Q426" s="418">
        <v>44836</v>
      </c>
      <c r="R426" s="419">
        <v>17</v>
      </c>
      <c r="S426" s="458">
        <v>1403.87</v>
      </c>
      <c r="T426" s="420" t="s">
        <v>2156</v>
      </c>
      <c r="U426" s="414" t="s">
        <v>4004</v>
      </c>
      <c r="V426" s="414" t="s">
        <v>4005</v>
      </c>
      <c r="W426" s="417" t="s">
        <v>4006</v>
      </c>
      <c r="X426" s="417"/>
      <c r="Y426" s="421" t="s">
        <v>3652</v>
      </c>
      <c r="Z426" s="421" t="s">
        <v>3652</v>
      </c>
      <c r="AA426" s="416" t="s">
        <v>4218</v>
      </c>
      <c r="AB426" s="414" t="s">
        <v>3664</v>
      </c>
      <c r="AC426" s="422"/>
      <c r="AD426" s="421"/>
      <c r="AE426" s="420"/>
      <c r="AF426" s="421">
        <v>91180</v>
      </c>
      <c r="AG426" s="420" t="s">
        <v>4861</v>
      </c>
      <c r="AH426" s="421" t="s">
        <v>4215</v>
      </c>
      <c r="AI426" s="420" t="s">
        <v>36</v>
      </c>
      <c r="AJ426" s="413" t="str">
        <f t="shared" si="27"/>
        <v>4590006247_017</v>
      </c>
      <c r="AK426" s="423"/>
      <c r="AL426" s="424">
        <v>45108</v>
      </c>
      <c r="AM426" s="221">
        <v>561.54999999999995</v>
      </c>
      <c r="AN426" s="244">
        <v>45212</v>
      </c>
      <c r="AO426" s="423"/>
      <c r="AP426" s="413"/>
      <c r="AQ426" s="222"/>
      <c r="AR426" s="424"/>
      <c r="AS426" s="614">
        <f ca="1">表格1_6[[#This Row],[total amount]]/表格1_6[[#This Row],[PO$]]</f>
        <v>0.40000142463333499</v>
      </c>
      <c r="AT426" s="223">
        <f ca="1">表格1_6[[#This Row],[invoice amount]]+表格1_6[[#This Row],[invoice amount2]]</f>
        <v>561.54999999999995</v>
      </c>
      <c r="AU426" s="224" t="s">
        <v>3673</v>
      </c>
      <c r="AV426" s="423"/>
      <c r="AW426" s="423" t="e">
        <f ca="1">VLOOKUP(表格1_6[[#This Row],[TI tool ID2]],工作表1!A:A,1,FALSE)</f>
        <v>#N/A</v>
      </c>
      <c r="AX426" s="425" t="e">
        <f ca="1">VLOOKUP(表格1_6[[#This Row],[PO+ITEM]],工作表1!B:E,2,FALSE)</f>
        <v>#N/A</v>
      </c>
      <c r="AY426" s="425" t="e">
        <f ca="1">VLOOKUP(表格1_6[[#This Row],[PO+ITEM]],工作表1!B:E,3,FALSE)</f>
        <v>#N/A</v>
      </c>
      <c r="AZ426" s="423" t="e">
        <f ca="1">VLOOKUP(表格1_6[[#This Row],[PO+ITEM]],工作表1!B:E,4,FALSE)</f>
        <v>#N/A</v>
      </c>
      <c r="BA426" s="425" t="e">
        <f ca="1">INDEX(工作表1!G:G, MATCH(表格1_6[[#This Row],[invoice number]]&amp;表格1_6[[#This Row],[invoice number2]],工作表1!G:G, 0))</f>
        <v>#N/A</v>
      </c>
      <c r="BB426" s="423" t="e">
        <f ca="1">VLOOKUP(表格1_6[[#This Row],[PO+ITEM]],工作表1!F:H,2,FALSE)</f>
        <v>#N/A</v>
      </c>
    </row>
    <row r="427" spans="1:54" ht="15.6">
      <c r="A427" s="413">
        <v>426</v>
      </c>
      <c r="B427" s="413" t="s">
        <v>3659</v>
      </c>
      <c r="C427" s="414" t="s">
        <v>16</v>
      </c>
      <c r="D427" s="414" t="s">
        <v>3648</v>
      </c>
      <c r="E427" s="414"/>
      <c r="F427" s="414"/>
      <c r="G427" s="414"/>
      <c r="H427" s="414"/>
      <c r="I427" s="414"/>
      <c r="J427" s="414"/>
      <c r="K427" s="414"/>
      <c r="L427" s="420" t="s">
        <v>4862</v>
      </c>
      <c r="M427" s="416" t="s">
        <v>4003</v>
      </c>
      <c r="N427" s="416" t="s">
        <v>2999</v>
      </c>
      <c r="O427" s="417"/>
      <c r="P427" s="416">
        <v>4590006247</v>
      </c>
      <c r="Q427" s="418">
        <v>44836</v>
      </c>
      <c r="R427" s="419">
        <v>18</v>
      </c>
      <c r="S427" s="458">
        <v>1403.87</v>
      </c>
      <c r="T427" s="420" t="s">
        <v>2156</v>
      </c>
      <c r="U427" s="414" t="s">
        <v>4004</v>
      </c>
      <c r="V427" s="414" t="s">
        <v>4005</v>
      </c>
      <c r="W427" s="417" t="s">
        <v>4006</v>
      </c>
      <c r="X427" s="417"/>
      <c r="Y427" s="421" t="s">
        <v>3652</v>
      </c>
      <c r="Z427" s="421" t="s">
        <v>3652</v>
      </c>
      <c r="AA427" s="416" t="s">
        <v>4218</v>
      </c>
      <c r="AB427" s="414" t="s">
        <v>3664</v>
      </c>
      <c r="AC427" s="422"/>
      <c r="AD427" s="421"/>
      <c r="AE427" s="420"/>
      <c r="AF427" s="421">
        <v>91182</v>
      </c>
      <c r="AG427" s="420" t="s">
        <v>4863</v>
      </c>
      <c r="AH427" s="421" t="s">
        <v>4215</v>
      </c>
      <c r="AI427" s="420" t="s">
        <v>36</v>
      </c>
      <c r="AJ427" s="413" t="str">
        <f t="shared" si="27"/>
        <v>4590006247_018</v>
      </c>
      <c r="AK427" s="423"/>
      <c r="AL427" s="424">
        <v>45108</v>
      </c>
      <c r="AM427" s="221">
        <v>561.54999999999995</v>
      </c>
      <c r="AN427" s="244">
        <v>45212</v>
      </c>
      <c r="AO427" s="423"/>
      <c r="AP427" s="413"/>
      <c r="AQ427" s="222"/>
      <c r="AR427" s="424"/>
      <c r="AS427" s="614">
        <f ca="1">表格1_6[[#This Row],[total amount]]/表格1_6[[#This Row],[PO$]]</f>
        <v>0.40000142463333499</v>
      </c>
      <c r="AT427" s="223">
        <f ca="1">表格1_6[[#This Row],[invoice amount]]+表格1_6[[#This Row],[invoice amount2]]</f>
        <v>561.54999999999995</v>
      </c>
      <c r="AU427" s="224" t="s">
        <v>3673</v>
      </c>
      <c r="AV427" s="423"/>
      <c r="AW427" s="423" t="e">
        <f ca="1">VLOOKUP(表格1_6[[#This Row],[TI tool ID2]],工作表1!A:A,1,FALSE)</f>
        <v>#N/A</v>
      </c>
      <c r="AX427" s="425" t="e">
        <f ca="1">VLOOKUP(表格1_6[[#This Row],[PO+ITEM]],工作表1!B:E,2,FALSE)</f>
        <v>#N/A</v>
      </c>
      <c r="AY427" s="425" t="e">
        <f ca="1">VLOOKUP(表格1_6[[#This Row],[PO+ITEM]],工作表1!B:E,3,FALSE)</f>
        <v>#N/A</v>
      </c>
      <c r="AZ427" s="423" t="e">
        <f ca="1">VLOOKUP(表格1_6[[#This Row],[PO+ITEM]],工作表1!B:E,4,FALSE)</f>
        <v>#N/A</v>
      </c>
      <c r="BA427" s="425" t="e">
        <f ca="1">INDEX(工作表1!G:G, MATCH(表格1_6[[#This Row],[invoice number]]&amp;表格1_6[[#This Row],[invoice number2]],工作表1!G:G, 0))</f>
        <v>#N/A</v>
      </c>
      <c r="BB427" s="423" t="e">
        <f ca="1">VLOOKUP(表格1_6[[#This Row],[PO+ITEM]],工作表1!F:H,2,FALSE)</f>
        <v>#N/A</v>
      </c>
    </row>
    <row r="428" spans="1:54">
      <c r="A428" s="413">
        <v>427</v>
      </c>
      <c r="B428" s="413" t="s">
        <v>3674</v>
      </c>
      <c r="C428" s="414" t="s">
        <v>16</v>
      </c>
      <c r="D428" s="414" t="s">
        <v>3648</v>
      </c>
      <c r="E428" s="414"/>
      <c r="F428" s="414"/>
      <c r="G428" s="414"/>
      <c r="H428" s="414"/>
      <c r="I428" s="414"/>
      <c r="J428" s="414"/>
      <c r="K428" s="414"/>
      <c r="L428" s="415" t="s">
        <v>4864</v>
      </c>
      <c r="M428" s="416" t="s">
        <v>4269</v>
      </c>
      <c r="N428" s="416" t="s">
        <v>2999</v>
      </c>
      <c r="O428" s="417"/>
      <c r="P428" s="416">
        <v>4590006248</v>
      </c>
      <c r="Q428" s="418">
        <v>44836</v>
      </c>
      <c r="R428" s="419">
        <v>1</v>
      </c>
      <c r="S428" s="458">
        <v>12444.83</v>
      </c>
      <c r="T428" s="420" t="s">
        <v>2156</v>
      </c>
      <c r="U428" s="414" t="s">
        <v>3926</v>
      </c>
      <c r="V428" s="414" t="s">
        <v>3927</v>
      </c>
      <c r="W428" s="417" t="s">
        <v>3928</v>
      </c>
      <c r="X428" s="417"/>
      <c r="Y428" s="421" t="s">
        <v>3652</v>
      </c>
      <c r="Z428" s="421" t="s">
        <v>3652</v>
      </c>
      <c r="AA428" s="416" t="s">
        <v>4865</v>
      </c>
      <c r="AB428" s="414" t="s">
        <v>3664</v>
      </c>
      <c r="AC428" s="422"/>
      <c r="AD428" s="421"/>
      <c r="AE428" s="420"/>
      <c r="AF428" s="421">
        <v>90305</v>
      </c>
      <c r="AG428" s="420" t="s">
        <v>2815</v>
      </c>
      <c r="AH428" s="421" t="s">
        <v>4109</v>
      </c>
      <c r="AI428" s="420" t="s">
        <v>32</v>
      </c>
      <c r="AJ428" s="413" t="str">
        <f t="shared" ref="AJ428:AJ441" si="28">P428&amp;"_00"&amp;R428</f>
        <v>4590006248_001</v>
      </c>
      <c r="AK428" s="423" t="s">
        <v>4866</v>
      </c>
      <c r="AL428" s="424">
        <v>45401</v>
      </c>
      <c r="AM428" s="222">
        <v>5605.56</v>
      </c>
      <c r="AN428" s="424">
        <v>45580</v>
      </c>
      <c r="AO428" s="423"/>
      <c r="AP428" s="413"/>
      <c r="AQ428" s="222"/>
      <c r="AR428" s="424"/>
      <c r="AS428" s="614">
        <f ca="1">表格1_6[[#This Row],[total amount]]/表格1_6[[#This Row],[PO$]]</f>
        <v>0.4504328303399886</v>
      </c>
      <c r="AT428" s="223">
        <f ca="1">表格1_6[[#This Row],[invoice amount]]+表格1_6[[#This Row],[invoice amount2]]</f>
        <v>5605.56</v>
      </c>
      <c r="AU428" s="224" t="s">
        <v>3725</v>
      </c>
      <c r="AV428" s="420" t="s">
        <v>4867</v>
      </c>
      <c r="AW428" s="423" t="e">
        <f ca="1">VLOOKUP(表格1_6[[#This Row],[TI tool ID2]],工作表1!A:A,1,FALSE)</f>
        <v>#N/A</v>
      </c>
      <c r="AX428" s="425" t="e">
        <f ca="1">VLOOKUP(表格1_6[[#This Row],[PO+ITEM]],工作表1!B:E,2,FALSE)</f>
        <v>#N/A</v>
      </c>
      <c r="AY428" s="425" t="e">
        <f ca="1">VLOOKUP(表格1_6[[#This Row],[PO+ITEM]],工作表1!B:E,3,FALSE)</f>
        <v>#N/A</v>
      </c>
      <c r="AZ428" s="423" t="e">
        <f ca="1">VLOOKUP(表格1_6[[#This Row],[PO+ITEM]],工作表1!B:E,4,FALSE)</f>
        <v>#N/A</v>
      </c>
      <c r="BA428" s="425" t="str">
        <f ca="1">INDEX(工作表1!G:G, MATCH(表格1_6[[#This Row],[invoice number]]&amp;表格1_6[[#This Row],[invoice number2]],工作表1!G:G, 0))</f>
        <v>MICUINT202403005</v>
      </c>
      <c r="BB428" s="423" t="str">
        <f ca="1">VLOOKUP(表格1_6[[#This Row],[PO+ITEM]],工作表1!F:H,2,FALSE)</f>
        <v>MICUINT202403005</v>
      </c>
    </row>
    <row r="429" spans="1:54" ht="15.6">
      <c r="A429" s="413">
        <v>428</v>
      </c>
      <c r="B429" s="413" t="s">
        <v>3674</v>
      </c>
      <c r="C429" s="414" t="s">
        <v>16</v>
      </c>
      <c r="D429" s="414" t="s">
        <v>3648</v>
      </c>
      <c r="E429" s="414"/>
      <c r="F429" s="414"/>
      <c r="G429" s="414"/>
      <c r="H429" s="414"/>
      <c r="I429" s="414"/>
      <c r="J429" s="414"/>
      <c r="K429" s="414"/>
      <c r="L429" s="415" t="s">
        <v>4868</v>
      </c>
      <c r="M429" s="416" t="s">
        <v>4269</v>
      </c>
      <c r="N429" s="416" t="s">
        <v>2999</v>
      </c>
      <c r="O429" s="417"/>
      <c r="P429" s="416">
        <v>4590006248</v>
      </c>
      <c r="Q429" s="418">
        <v>44836</v>
      </c>
      <c r="R429" s="419">
        <v>2</v>
      </c>
      <c r="S429" s="458">
        <v>12089.63</v>
      </c>
      <c r="T429" s="420" t="s">
        <v>2156</v>
      </c>
      <c r="U429" s="414" t="s">
        <v>3926</v>
      </c>
      <c r="V429" s="414" t="s">
        <v>3927</v>
      </c>
      <c r="W429" s="417" t="s">
        <v>3928</v>
      </c>
      <c r="X429" s="417"/>
      <c r="Y429" s="421" t="s">
        <v>3652</v>
      </c>
      <c r="Z429" s="421" t="s">
        <v>3652</v>
      </c>
      <c r="AA429" s="416" t="s">
        <v>4276</v>
      </c>
      <c r="AB429" s="414" t="s">
        <v>3664</v>
      </c>
      <c r="AC429" s="422"/>
      <c r="AD429" s="421"/>
      <c r="AE429" s="420"/>
      <c r="AF429" s="421">
        <v>90030</v>
      </c>
      <c r="AG429" s="420" t="s">
        <v>2830</v>
      </c>
      <c r="AH429" s="421" t="s">
        <v>4109</v>
      </c>
      <c r="AI429" s="420" t="s">
        <v>32</v>
      </c>
      <c r="AJ429" s="413" t="str">
        <f t="shared" si="28"/>
        <v>4590006248_002</v>
      </c>
      <c r="AK429" s="423"/>
      <c r="AL429" s="427">
        <v>45017</v>
      </c>
      <c r="AM429" s="221">
        <v>0</v>
      </c>
      <c r="AN429" s="431" t="s">
        <v>3788</v>
      </c>
      <c r="AO429" s="425" t="s">
        <v>4869</v>
      </c>
      <c r="AP429" s="424">
        <v>45555</v>
      </c>
      <c r="AQ429" s="221">
        <v>12089.63</v>
      </c>
      <c r="AR429" s="424"/>
      <c r="AS429" s="614">
        <f ca="1">表格1_6[[#This Row],[total amount]]/表格1_6[[#This Row],[PO$]]</f>
        <v>1</v>
      </c>
      <c r="AT429" s="223">
        <f ca="1">表格1_6[[#This Row],[invoice amount]]+表格1_6[[#This Row],[invoice amount2]]</f>
        <v>12089.63</v>
      </c>
      <c r="AU429" s="224" t="s">
        <v>3789</v>
      </c>
      <c r="AV429" s="423" t="s">
        <v>4870</v>
      </c>
      <c r="AW429" s="423" t="e">
        <f ca="1">VLOOKUP(表格1_6[[#This Row],[TI tool ID2]],工作表1!A:A,1,FALSE)</f>
        <v>#N/A</v>
      </c>
      <c r="AX429" s="425" t="e">
        <f ca="1">VLOOKUP(表格1_6[[#This Row],[PO+ITEM]],工作表1!B:E,2,FALSE)</f>
        <v>#N/A</v>
      </c>
      <c r="AY429" s="425" t="e">
        <f ca="1">VLOOKUP(表格1_6[[#This Row],[PO+ITEM]],工作表1!B:E,3,FALSE)</f>
        <v>#N/A</v>
      </c>
      <c r="AZ429" s="423" t="e">
        <f ca="1">VLOOKUP(表格1_6[[#This Row],[PO+ITEM]],工作表1!B:E,4,FALSE)</f>
        <v>#N/A</v>
      </c>
      <c r="BA429" s="425" t="e">
        <f ca="1">INDEX(工作表1!G:G, MATCH(表格1_6[[#This Row],[invoice number]]&amp;表格1_6[[#This Row],[invoice number2]],工作表1!G:G, 0))</f>
        <v>#N/A</v>
      </c>
      <c r="BB429" s="423" t="e">
        <f ca="1">VLOOKUP(表格1_6[[#This Row],[PO+ITEM]],工作表1!F:H,2,FALSE)</f>
        <v>#N/A</v>
      </c>
    </row>
    <row r="430" spans="1:54" ht="15.6">
      <c r="A430" s="413">
        <v>429</v>
      </c>
      <c r="B430" s="413" t="s">
        <v>3674</v>
      </c>
      <c r="C430" s="414" t="s">
        <v>16</v>
      </c>
      <c r="D430" s="414" t="s">
        <v>3648</v>
      </c>
      <c r="E430" s="414"/>
      <c r="F430" s="414"/>
      <c r="G430" s="414"/>
      <c r="H430" s="414"/>
      <c r="I430" s="414"/>
      <c r="J430" s="414"/>
      <c r="K430" s="414"/>
      <c r="L430" s="415" t="s">
        <v>4871</v>
      </c>
      <c r="M430" s="416" t="s">
        <v>4269</v>
      </c>
      <c r="N430" s="416" t="s">
        <v>2999</v>
      </c>
      <c r="O430" s="417"/>
      <c r="P430" s="416">
        <v>4590006248</v>
      </c>
      <c r="Q430" s="418">
        <v>44836</v>
      </c>
      <c r="R430" s="419">
        <v>3</v>
      </c>
      <c r="S430" s="544">
        <v>12089.63</v>
      </c>
      <c r="T430" s="420" t="s">
        <v>2156</v>
      </c>
      <c r="U430" s="414" t="s">
        <v>3926</v>
      </c>
      <c r="V430" s="414" t="s">
        <v>3927</v>
      </c>
      <c r="W430" s="417" t="s">
        <v>3928</v>
      </c>
      <c r="X430" s="417"/>
      <c r="Y430" s="421" t="s">
        <v>3652</v>
      </c>
      <c r="Z430" s="421" t="s">
        <v>3652</v>
      </c>
      <c r="AA430" s="416" t="s">
        <v>4270</v>
      </c>
      <c r="AB430" s="414" t="s">
        <v>3664</v>
      </c>
      <c r="AC430" s="422"/>
      <c r="AD430" s="421"/>
      <c r="AE430" s="420"/>
      <c r="AF430" s="421">
        <v>90031</v>
      </c>
      <c r="AG430" s="420" t="s">
        <v>2848</v>
      </c>
      <c r="AH430" s="421" t="s">
        <v>4109</v>
      </c>
      <c r="AI430" s="420" t="s">
        <v>32</v>
      </c>
      <c r="AJ430" s="413" t="str">
        <f t="shared" si="28"/>
        <v>4590006248_003</v>
      </c>
      <c r="AK430" s="423"/>
      <c r="AL430" s="427">
        <v>45017</v>
      </c>
      <c r="AM430" s="221">
        <v>0</v>
      </c>
      <c r="AN430" s="431" t="s">
        <v>3788</v>
      </c>
      <c r="AO430" s="425" t="s">
        <v>4872</v>
      </c>
      <c r="AP430" s="424">
        <v>45520</v>
      </c>
      <c r="AQ430" s="222">
        <v>12089.63</v>
      </c>
      <c r="AR430" s="424" t="s">
        <v>3805</v>
      </c>
      <c r="AS430" s="614">
        <f ca="1">表格1_6[[#This Row],[total amount]]/表格1_6[[#This Row],[PO$]]</f>
        <v>1</v>
      </c>
      <c r="AT430" s="223">
        <f ca="1">表格1_6[[#This Row],[invoice amount]]+表格1_6[[#This Row],[invoice amount2]]</f>
        <v>12089.63</v>
      </c>
      <c r="AU430" s="224" t="s">
        <v>3701</v>
      </c>
      <c r="AV430" s="423" t="s">
        <v>4870</v>
      </c>
      <c r="AW430" s="423" t="e">
        <f ca="1">VLOOKUP(表格1_6[[#This Row],[TI tool ID2]],工作表1!A:A,1,FALSE)</f>
        <v>#N/A</v>
      </c>
      <c r="AX430" s="425" t="e">
        <f ca="1">VLOOKUP(表格1_6[[#This Row],[PO+ITEM]],工作表1!B:E,2,FALSE)</f>
        <v>#N/A</v>
      </c>
      <c r="AY430" s="425" t="e">
        <f ca="1">VLOOKUP(表格1_6[[#This Row],[PO+ITEM]],工作表1!B:E,3,FALSE)</f>
        <v>#N/A</v>
      </c>
      <c r="AZ430" s="423" t="e">
        <f ca="1">VLOOKUP(表格1_6[[#This Row],[PO+ITEM]],工作表1!B:E,4,FALSE)</f>
        <v>#N/A</v>
      </c>
      <c r="BA430" s="425" t="e">
        <f ca="1">INDEX(工作表1!G:G, MATCH(表格1_6[[#This Row],[invoice number]]&amp;表格1_6[[#This Row],[invoice number2]],工作表1!G:G, 0))</f>
        <v>#N/A</v>
      </c>
      <c r="BB430" s="423" t="e">
        <f ca="1">VLOOKUP(表格1_6[[#This Row],[PO+ITEM]],工作表1!F:H,2,FALSE)</f>
        <v>#N/A</v>
      </c>
    </row>
    <row r="431" spans="1:54" ht="15.6">
      <c r="A431" s="413">
        <v>430</v>
      </c>
      <c r="B431" s="413" t="s">
        <v>3674</v>
      </c>
      <c r="C431" s="414" t="s">
        <v>16</v>
      </c>
      <c r="D431" s="414" t="s">
        <v>3648</v>
      </c>
      <c r="E431" s="414"/>
      <c r="F431" s="414"/>
      <c r="G431" s="414"/>
      <c r="H431" s="414"/>
      <c r="I431" s="414"/>
      <c r="J431" s="414"/>
      <c r="K431" s="414"/>
      <c r="L431" s="415" t="s">
        <v>4873</v>
      </c>
      <c r="M431" s="416" t="s">
        <v>4269</v>
      </c>
      <c r="N431" s="416" t="s">
        <v>2999</v>
      </c>
      <c r="O431" s="417"/>
      <c r="P431" s="416">
        <v>4590006248</v>
      </c>
      <c r="Q431" s="418">
        <v>44836</v>
      </c>
      <c r="R431" s="419">
        <v>4</v>
      </c>
      <c r="S431" s="458">
        <v>10274</v>
      </c>
      <c r="T431" s="420" t="s">
        <v>2156</v>
      </c>
      <c r="U431" s="414" t="s">
        <v>3926</v>
      </c>
      <c r="V431" s="414" t="s">
        <v>3927</v>
      </c>
      <c r="W431" s="417" t="s">
        <v>3928</v>
      </c>
      <c r="X431" s="417"/>
      <c r="Y431" s="421" t="s">
        <v>3652</v>
      </c>
      <c r="Z431" s="421" t="s">
        <v>3652</v>
      </c>
      <c r="AA431" s="416" t="s">
        <v>4276</v>
      </c>
      <c r="AB431" s="414" t="s">
        <v>3664</v>
      </c>
      <c r="AC431" s="422"/>
      <c r="AD431" s="421"/>
      <c r="AE431" s="420"/>
      <c r="AF431" s="421">
        <v>90047</v>
      </c>
      <c r="AG431" s="420" t="s">
        <v>2844</v>
      </c>
      <c r="AH431" s="421" t="s">
        <v>4109</v>
      </c>
      <c r="AI431" s="420" t="s">
        <v>32</v>
      </c>
      <c r="AJ431" s="413" t="str">
        <f t="shared" si="28"/>
        <v>4590006248_004</v>
      </c>
      <c r="AK431" s="423"/>
      <c r="AL431" s="427">
        <v>45017</v>
      </c>
      <c r="AM431" s="221">
        <v>0</v>
      </c>
      <c r="AN431" s="431" t="s">
        <v>3788</v>
      </c>
      <c r="AO431" s="425" t="s">
        <v>4874</v>
      </c>
      <c r="AP431" s="424">
        <v>45555</v>
      </c>
      <c r="AQ431" s="221">
        <v>10274</v>
      </c>
      <c r="AR431" s="424"/>
      <c r="AS431" s="614">
        <f ca="1">表格1_6[[#This Row],[total amount]]/表格1_6[[#This Row],[PO$]]</f>
        <v>1</v>
      </c>
      <c r="AT431" s="223">
        <f ca="1">表格1_6[[#This Row],[invoice amount]]+表格1_6[[#This Row],[invoice amount2]]</f>
        <v>10274</v>
      </c>
      <c r="AU431" s="224" t="s">
        <v>3789</v>
      </c>
      <c r="AV431" s="423" t="s">
        <v>4875</v>
      </c>
      <c r="AW431" s="423" t="e">
        <f ca="1">VLOOKUP(表格1_6[[#This Row],[TI tool ID2]],工作表1!A:A,1,FALSE)</f>
        <v>#N/A</v>
      </c>
      <c r="AX431" s="425" t="e">
        <f ca="1">VLOOKUP(表格1_6[[#This Row],[PO+ITEM]],工作表1!B:E,2,FALSE)</f>
        <v>#N/A</v>
      </c>
      <c r="AY431" s="425" t="e">
        <f ca="1">VLOOKUP(表格1_6[[#This Row],[PO+ITEM]],工作表1!B:E,3,FALSE)</f>
        <v>#N/A</v>
      </c>
      <c r="AZ431" s="423" t="e">
        <f ca="1">VLOOKUP(表格1_6[[#This Row],[PO+ITEM]],工作表1!B:E,4,FALSE)</f>
        <v>#N/A</v>
      </c>
      <c r="BA431" s="425" t="e">
        <f ca="1">INDEX(工作表1!G:G, MATCH(表格1_6[[#This Row],[invoice number]]&amp;表格1_6[[#This Row],[invoice number2]],工作表1!G:G, 0))</f>
        <v>#N/A</v>
      </c>
      <c r="BB431" s="423" t="e">
        <f ca="1">VLOOKUP(表格1_6[[#This Row],[PO+ITEM]],工作表1!F:H,2,FALSE)</f>
        <v>#N/A</v>
      </c>
    </row>
    <row r="432" spans="1:54" ht="15.6">
      <c r="A432" s="413">
        <v>431</v>
      </c>
      <c r="B432" s="413" t="s">
        <v>3674</v>
      </c>
      <c r="C432" s="414" t="s">
        <v>16</v>
      </c>
      <c r="D432" s="414" t="s">
        <v>3648</v>
      </c>
      <c r="E432" s="414"/>
      <c r="F432" s="414"/>
      <c r="G432" s="414"/>
      <c r="H432" s="414"/>
      <c r="I432" s="414"/>
      <c r="J432" s="414"/>
      <c r="K432" s="414"/>
      <c r="L432" s="415" t="s">
        <v>4876</v>
      </c>
      <c r="M432" s="416" t="s">
        <v>4269</v>
      </c>
      <c r="N432" s="416" t="s">
        <v>2999</v>
      </c>
      <c r="O432" s="417"/>
      <c r="P432" s="416">
        <v>4590006248</v>
      </c>
      <c r="Q432" s="418">
        <v>44836</v>
      </c>
      <c r="R432" s="419">
        <v>5</v>
      </c>
      <c r="S432" s="544">
        <v>10274</v>
      </c>
      <c r="T432" s="420" t="s">
        <v>2156</v>
      </c>
      <c r="U432" s="414" t="s">
        <v>3926</v>
      </c>
      <c r="V432" s="414" t="s">
        <v>3927</v>
      </c>
      <c r="W432" s="417" t="s">
        <v>3928</v>
      </c>
      <c r="X432" s="417"/>
      <c r="Y432" s="421" t="s">
        <v>3652</v>
      </c>
      <c r="Z432" s="421" t="s">
        <v>3652</v>
      </c>
      <c r="AA432" s="416" t="s">
        <v>4270</v>
      </c>
      <c r="AB432" s="414" t="s">
        <v>3664</v>
      </c>
      <c r="AC432" s="422"/>
      <c r="AD432" s="421"/>
      <c r="AE432" s="420"/>
      <c r="AF432" s="421">
        <v>90054</v>
      </c>
      <c r="AG432" s="420" t="s">
        <v>2838</v>
      </c>
      <c r="AH432" s="421" t="s">
        <v>4109</v>
      </c>
      <c r="AI432" s="420" t="s">
        <v>32</v>
      </c>
      <c r="AJ432" s="413" t="str">
        <f t="shared" si="28"/>
        <v>4590006248_005</v>
      </c>
      <c r="AK432" s="423"/>
      <c r="AL432" s="427">
        <v>45017</v>
      </c>
      <c r="AM432" s="221">
        <v>0</v>
      </c>
      <c r="AN432" s="431" t="s">
        <v>3788</v>
      </c>
      <c r="AO432" s="425" t="s">
        <v>4877</v>
      </c>
      <c r="AP432" s="424">
        <v>45520</v>
      </c>
      <c r="AQ432" s="222">
        <v>10274</v>
      </c>
      <c r="AR432" s="424" t="s">
        <v>3805</v>
      </c>
      <c r="AS432" s="614">
        <f ca="1">表格1_6[[#This Row],[total amount]]/表格1_6[[#This Row],[PO$]]</f>
        <v>1</v>
      </c>
      <c r="AT432" s="223">
        <f ca="1">表格1_6[[#This Row],[invoice amount]]+表格1_6[[#This Row],[invoice amount2]]</f>
        <v>10274</v>
      </c>
      <c r="AU432" s="224" t="s">
        <v>3701</v>
      </c>
      <c r="AV432" s="423" t="s">
        <v>4878</v>
      </c>
      <c r="AW432" s="423" t="e">
        <f ca="1">VLOOKUP(表格1_6[[#This Row],[TI tool ID2]],工作表1!A:A,1,FALSE)</f>
        <v>#N/A</v>
      </c>
      <c r="AX432" s="425" t="e">
        <f ca="1">VLOOKUP(表格1_6[[#This Row],[PO+ITEM]],工作表1!B:E,2,FALSE)</f>
        <v>#N/A</v>
      </c>
      <c r="AY432" s="425" t="e">
        <f ca="1">VLOOKUP(表格1_6[[#This Row],[PO+ITEM]],工作表1!B:E,3,FALSE)</f>
        <v>#N/A</v>
      </c>
      <c r="AZ432" s="423" t="e">
        <f ca="1">VLOOKUP(表格1_6[[#This Row],[PO+ITEM]],工作表1!B:E,4,FALSE)</f>
        <v>#N/A</v>
      </c>
      <c r="BA432" s="425" t="e">
        <f ca="1">INDEX(工作表1!G:G, MATCH(表格1_6[[#This Row],[invoice number]]&amp;表格1_6[[#This Row],[invoice number2]],工作表1!G:G, 0))</f>
        <v>#N/A</v>
      </c>
      <c r="BB432" s="423" t="e">
        <f ca="1">VLOOKUP(表格1_6[[#This Row],[PO+ITEM]],工作表1!F:H,2,FALSE)</f>
        <v>#N/A</v>
      </c>
    </row>
    <row r="433" spans="1:54" ht="14.45">
      <c r="A433" s="413">
        <v>432</v>
      </c>
      <c r="B433" s="413" t="s">
        <v>3659</v>
      </c>
      <c r="C433" s="414" t="s">
        <v>16</v>
      </c>
      <c r="D433" s="414" t="s">
        <v>3648</v>
      </c>
      <c r="E433" s="414"/>
      <c r="F433" s="414"/>
      <c r="G433" s="414"/>
      <c r="H433" s="414"/>
      <c r="I433" s="414"/>
      <c r="J433" s="414"/>
      <c r="K433" s="414"/>
      <c r="L433" s="420" t="s">
        <v>4879</v>
      </c>
      <c r="M433" s="416" t="s">
        <v>2999</v>
      </c>
      <c r="N433" s="416" t="s">
        <v>2999</v>
      </c>
      <c r="O433" s="417"/>
      <c r="P433" s="416">
        <v>4590006249</v>
      </c>
      <c r="Q433" s="418">
        <v>44836</v>
      </c>
      <c r="R433" s="419">
        <v>1</v>
      </c>
      <c r="S433" s="458">
        <v>113844.96</v>
      </c>
      <c r="T433" s="420" t="s">
        <v>2156</v>
      </c>
      <c r="U433" s="414" t="s">
        <v>3864</v>
      </c>
      <c r="V433" s="414" t="s">
        <v>3865</v>
      </c>
      <c r="W433" s="417" t="s">
        <v>3866</v>
      </c>
      <c r="X433" s="417"/>
      <c r="Y433" s="421" t="s">
        <v>3652</v>
      </c>
      <c r="Z433" s="421" t="s">
        <v>3652</v>
      </c>
      <c r="AA433" s="416"/>
      <c r="AB433" s="414" t="s">
        <v>3664</v>
      </c>
      <c r="AC433" s="422"/>
      <c r="AD433" s="421"/>
      <c r="AE433" s="420"/>
      <c r="AF433" s="421">
        <v>91078</v>
      </c>
      <c r="AG433" s="420" t="s">
        <v>3139</v>
      </c>
      <c r="AH433" s="421" t="s">
        <v>3770</v>
      </c>
      <c r="AI433" s="420" t="s">
        <v>4309</v>
      </c>
      <c r="AJ433" s="413" t="str">
        <f t="shared" si="28"/>
        <v>4590006249_001</v>
      </c>
      <c r="AK433" s="423"/>
      <c r="AL433" s="413"/>
      <c r="AM433" s="221"/>
      <c r="AN433" s="424"/>
      <c r="AO433" s="423"/>
      <c r="AP433" s="413"/>
      <c r="AQ433" s="222"/>
      <c r="AR433" s="424"/>
      <c r="AS433" s="614">
        <f ca="1">表格1_6[[#This Row],[total amount]]/表格1_6[[#This Row],[PO$]]</f>
        <v>0</v>
      </c>
      <c r="AT433" s="223">
        <f ca="1">表格1_6[[#This Row],[invoice amount]]+表格1_6[[#This Row],[invoice amount2]]</f>
        <v>0</v>
      </c>
      <c r="AU433" s="224"/>
      <c r="AV433" s="423"/>
      <c r="AW433" s="423" t="e">
        <f ca="1">VLOOKUP(表格1_6[[#This Row],[TI tool ID2]],工作表1!A:A,1,FALSE)</f>
        <v>#N/A</v>
      </c>
      <c r="AX433" s="425" t="e">
        <f ca="1">VLOOKUP(表格1_6[[#This Row],[PO+ITEM]],工作表1!B:E,2,FALSE)</f>
        <v>#N/A</v>
      </c>
      <c r="AY433" s="425" t="e">
        <f ca="1">VLOOKUP(表格1_6[[#This Row],[PO+ITEM]],工作表1!B:E,3,FALSE)</f>
        <v>#N/A</v>
      </c>
      <c r="AZ433" s="423" t="e">
        <f ca="1">VLOOKUP(表格1_6[[#This Row],[PO+ITEM]],工作表1!B:E,4,FALSE)</f>
        <v>#N/A</v>
      </c>
      <c r="BA433" s="425" t="e">
        <f ca="1">INDEX(工作表1!G:G, MATCH(表格1_6[[#This Row],[invoice number]]&amp;表格1_6[[#This Row],[invoice number2]],工作表1!G:G, 0))</f>
        <v>#N/A</v>
      </c>
      <c r="BB433" s="423" t="e">
        <f ca="1">VLOOKUP(表格1_6[[#This Row],[PO+ITEM]],工作表1!F:H,2,FALSE)</f>
        <v>#N/A</v>
      </c>
    </row>
    <row r="434" spans="1:54" ht="14.45">
      <c r="A434" s="413">
        <v>433</v>
      </c>
      <c r="B434" s="413" t="s">
        <v>3659</v>
      </c>
      <c r="C434" s="414" t="s">
        <v>16</v>
      </c>
      <c r="D434" s="414" t="s">
        <v>3648</v>
      </c>
      <c r="E434" s="414"/>
      <c r="F434" s="414"/>
      <c r="G434" s="414"/>
      <c r="H434" s="414"/>
      <c r="I434" s="414"/>
      <c r="J434" s="414"/>
      <c r="K434" s="414"/>
      <c r="L434" s="420" t="s">
        <v>4880</v>
      </c>
      <c r="M434" s="416" t="s">
        <v>2999</v>
      </c>
      <c r="N434" s="416" t="s">
        <v>2999</v>
      </c>
      <c r="O434" s="417"/>
      <c r="P434" s="416">
        <v>4590006249</v>
      </c>
      <c r="Q434" s="418">
        <v>44836</v>
      </c>
      <c r="R434" s="419">
        <v>2</v>
      </c>
      <c r="S434" s="458">
        <v>1039.5999999999999</v>
      </c>
      <c r="T434" s="420" t="s">
        <v>2156</v>
      </c>
      <c r="U434" s="414" t="s">
        <v>3864</v>
      </c>
      <c r="V434" s="414" t="s">
        <v>3865</v>
      </c>
      <c r="W434" s="417" t="s">
        <v>3866</v>
      </c>
      <c r="X434" s="417"/>
      <c r="Y434" s="421" t="s">
        <v>3652</v>
      </c>
      <c r="Z434" s="421" t="s">
        <v>3652</v>
      </c>
      <c r="AA434" s="416"/>
      <c r="AB434" s="414" t="s">
        <v>3664</v>
      </c>
      <c r="AC434" s="422"/>
      <c r="AD434" s="421"/>
      <c r="AE434" s="420"/>
      <c r="AF434" s="421">
        <v>91078</v>
      </c>
      <c r="AG434" s="420" t="s">
        <v>3139</v>
      </c>
      <c r="AH434" s="421" t="s">
        <v>3770</v>
      </c>
      <c r="AI434" s="420" t="s">
        <v>4309</v>
      </c>
      <c r="AJ434" s="413" t="str">
        <f t="shared" si="28"/>
        <v>4590006249_002</v>
      </c>
      <c r="AK434" s="423"/>
      <c r="AL434" s="413"/>
      <c r="AM434" s="221"/>
      <c r="AN434" s="424"/>
      <c r="AO434" s="423"/>
      <c r="AP434" s="413"/>
      <c r="AQ434" s="222"/>
      <c r="AR434" s="424"/>
      <c r="AS434" s="614">
        <f ca="1">表格1_6[[#This Row],[total amount]]/表格1_6[[#This Row],[PO$]]</f>
        <v>0</v>
      </c>
      <c r="AT434" s="223">
        <f ca="1">表格1_6[[#This Row],[invoice amount]]+表格1_6[[#This Row],[invoice amount2]]</f>
        <v>0</v>
      </c>
      <c r="AU434" s="224"/>
      <c r="AV434" s="423"/>
      <c r="AW434" s="423" t="e">
        <f ca="1">VLOOKUP(表格1_6[[#This Row],[TI tool ID2]],工作表1!A:A,1,FALSE)</f>
        <v>#N/A</v>
      </c>
      <c r="AX434" s="425" t="e">
        <f ca="1">VLOOKUP(表格1_6[[#This Row],[PO+ITEM]],工作表1!B:E,2,FALSE)</f>
        <v>#N/A</v>
      </c>
      <c r="AY434" s="425" t="e">
        <f ca="1">VLOOKUP(表格1_6[[#This Row],[PO+ITEM]],工作表1!B:E,3,FALSE)</f>
        <v>#N/A</v>
      </c>
      <c r="AZ434" s="423" t="e">
        <f ca="1">VLOOKUP(表格1_6[[#This Row],[PO+ITEM]],工作表1!B:E,4,FALSE)</f>
        <v>#N/A</v>
      </c>
      <c r="BA434" s="425" t="e">
        <f ca="1">INDEX(工作表1!G:G, MATCH(表格1_6[[#This Row],[invoice number]]&amp;表格1_6[[#This Row],[invoice number2]],工作表1!G:G, 0))</f>
        <v>#N/A</v>
      </c>
      <c r="BB434" s="423" t="e">
        <f ca="1">VLOOKUP(表格1_6[[#This Row],[PO+ITEM]],工作表1!F:H,2,FALSE)</f>
        <v>#N/A</v>
      </c>
    </row>
    <row r="435" spans="1:54" s="429" customFormat="1" ht="14.45">
      <c r="A435" s="413">
        <v>434</v>
      </c>
      <c r="B435" s="566" t="s">
        <v>3765</v>
      </c>
      <c r="C435" s="509" t="s">
        <v>16</v>
      </c>
      <c r="D435" s="509" t="s">
        <v>3648</v>
      </c>
      <c r="E435" s="509"/>
      <c r="F435" s="509"/>
      <c r="G435" s="509"/>
      <c r="H435" s="509"/>
      <c r="I435" s="509"/>
      <c r="J435" s="509"/>
      <c r="K435" s="509"/>
      <c r="L435" s="513" t="s">
        <v>4881</v>
      </c>
      <c r="M435" s="510" t="s">
        <v>2999</v>
      </c>
      <c r="N435" s="510" t="s">
        <v>2999</v>
      </c>
      <c r="O435" s="511"/>
      <c r="P435" s="510">
        <v>4590006249</v>
      </c>
      <c r="Q435" s="512">
        <v>44836</v>
      </c>
      <c r="R435" s="517">
        <v>3</v>
      </c>
      <c r="S435" s="545"/>
      <c r="T435" s="513" t="s">
        <v>2156</v>
      </c>
      <c r="U435" s="509" t="s">
        <v>3864</v>
      </c>
      <c r="V435" s="509" t="s">
        <v>3865</v>
      </c>
      <c r="W435" s="511" t="s">
        <v>3866</v>
      </c>
      <c r="X435" s="511"/>
      <c r="Y435" s="514" t="s">
        <v>3652</v>
      </c>
      <c r="Z435" s="514" t="s">
        <v>3652</v>
      </c>
      <c r="AA435" s="510"/>
      <c r="AB435" s="509" t="s">
        <v>3664</v>
      </c>
      <c r="AC435" s="515"/>
      <c r="AD435" s="514"/>
      <c r="AE435" s="513"/>
      <c r="AF435" s="514">
        <v>91082</v>
      </c>
      <c r="AG435" s="513" t="s">
        <v>3134</v>
      </c>
      <c r="AH435" s="514" t="s">
        <v>3770</v>
      </c>
      <c r="AI435" s="513" t="s">
        <v>4309</v>
      </c>
      <c r="AJ435" s="516" t="str">
        <f t="shared" si="28"/>
        <v>4590006249_003</v>
      </c>
      <c r="AK435" s="518"/>
      <c r="AL435" s="516"/>
      <c r="AM435" s="519"/>
      <c r="AN435" s="520"/>
      <c r="AO435" s="518"/>
      <c r="AP435" s="516"/>
      <c r="AQ435" s="521"/>
      <c r="AR435" s="520"/>
      <c r="AS435" s="615"/>
      <c r="AT435" s="572">
        <f ca="1">表格1_6[[#This Row],[invoice amount]]+表格1_6[[#This Row],[invoice amount2]]</f>
        <v>0</v>
      </c>
      <c r="AU435" s="566" t="s">
        <v>3765</v>
      </c>
      <c r="AV435" s="522"/>
      <c r="AW435" s="522" t="e">
        <f ca="1">VLOOKUP(表格1_6[[#This Row],[TI tool ID2]],工作表1!A:A,1,FALSE)</f>
        <v>#N/A</v>
      </c>
      <c r="AX435" s="523" t="e">
        <f ca="1">VLOOKUP(表格1_6[[#This Row],[PO+ITEM]],工作表1!B:E,2,FALSE)</f>
        <v>#N/A</v>
      </c>
      <c r="AY435" s="523" t="e">
        <f ca="1">VLOOKUP(表格1_6[[#This Row],[PO+ITEM]],工作表1!B:E,3,FALSE)</f>
        <v>#N/A</v>
      </c>
      <c r="AZ435" s="522" t="e">
        <f ca="1">VLOOKUP(表格1_6[[#This Row],[PO+ITEM]],工作表1!B:E,4,FALSE)</f>
        <v>#N/A</v>
      </c>
      <c r="BA435" s="425" t="e">
        <f ca="1">INDEX(工作表1!G:G, MATCH(表格1_6[[#This Row],[invoice number]]&amp;表格1_6[[#This Row],[invoice number2]],工作表1!G:G, 0))</f>
        <v>#N/A</v>
      </c>
      <c r="BB435" s="522" t="e">
        <f ca="1">VLOOKUP(表格1_6[[#This Row],[PO+ITEM]],工作表1!F:H,2,FALSE)</f>
        <v>#N/A</v>
      </c>
    </row>
    <row r="436" spans="1:54" ht="14.45">
      <c r="A436" s="413">
        <v>435</v>
      </c>
      <c r="B436" s="413" t="s">
        <v>3659</v>
      </c>
      <c r="C436" s="414" t="s">
        <v>16</v>
      </c>
      <c r="D436" s="414" t="s">
        <v>3648</v>
      </c>
      <c r="E436" s="414"/>
      <c r="F436" s="414"/>
      <c r="G436" s="414"/>
      <c r="H436" s="414"/>
      <c r="I436" s="414"/>
      <c r="J436" s="414"/>
      <c r="K436" s="414"/>
      <c r="L436" s="420" t="s">
        <v>4882</v>
      </c>
      <c r="M436" s="416" t="s">
        <v>2999</v>
      </c>
      <c r="N436" s="416" t="s">
        <v>2999</v>
      </c>
      <c r="O436" s="417"/>
      <c r="P436" s="416">
        <v>4590006249</v>
      </c>
      <c r="Q436" s="418">
        <v>44836</v>
      </c>
      <c r="R436" s="419">
        <v>4</v>
      </c>
      <c r="S436" s="458">
        <v>1039.5999999999999</v>
      </c>
      <c r="T436" s="420" t="s">
        <v>2156</v>
      </c>
      <c r="U436" s="414" t="s">
        <v>3864</v>
      </c>
      <c r="V436" s="414" t="s">
        <v>3865</v>
      </c>
      <c r="W436" s="417" t="s">
        <v>3866</v>
      </c>
      <c r="X436" s="417"/>
      <c r="Y436" s="421" t="s">
        <v>3652</v>
      </c>
      <c r="Z436" s="421" t="s">
        <v>3652</v>
      </c>
      <c r="AA436" s="416"/>
      <c r="AB436" s="414" t="s">
        <v>3664</v>
      </c>
      <c r="AC436" s="422"/>
      <c r="AD436" s="421"/>
      <c r="AE436" s="420"/>
      <c r="AF436" s="421">
        <v>91083</v>
      </c>
      <c r="AG436" s="420" t="s">
        <v>3129</v>
      </c>
      <c r="AH436" s="421" t="s">
        <v>3770</v>
      </c>
      <c r="AI436" s="420" t="s">
        <v>4309</v>
      </c>
      <c r="AJ436" s="413" t="str">
        <f t="shared" si="28"/>
        <v>4590006249_004</v>
      </c>
      <c r="AK436" s="423"/>
      <c r="AL436" s="413"/>
      <c r="AM436" s="221"/>
      <c r="AN436" s="424"/>
      <c r="AO436" s="423"/>
      <c r="AP436" s="413"/>
      <c r="AQ436" s="222"/>
      <c r="AR436" s="424"/>
      <c r="AS436" s="614">
        <f ca="1">表格1_6[[#This Row],[total amount]]/表格1_6[[#This Row],[PO$]]</f>
        <v>0</v>
      </c>
      <c r="AT436" s="223">
        <f ca="1">表格1_6[[#This Row],[invoice amount]]+表格1_6[[#This Row],[invoice amount2]]</f>
        <v>0</v>
      </c>
      <c r="AU436" s="224"/>
      <c r="AV436" s="423"/>
      <c r="AW436" s="423" t="e">
        <f ca="1">VLOOKUP(表格1_6[[#This Row],[TI tool ID2]],工作表1!A:A,1,FALSE)</f>
        <v>#N/A</v>
      </c>
      <c r="AX436" s="425" t="e">
        <f ca="1">VLOOKUP(表格1_6[[#This Row],[PO+ITEM]],工作表1!B:E,2,FALSE)</f>
        <v>#N/A</v>
      </c>
      <c r="AY436" s="425" t="e">
        <f ca="1">VLOOKUP(表格1_6[[#This Row],[PO+ITEM]],工作表1!B:E,3,FALSE)</f>
        <v>#N/A</v>
      </c>
      <c r="AZ436" s="423" t="e">
        <f ca="1">VLOOKUP(表格1_6[[#This Row],[PO+ITEM]],工作表1!B:E,4,FALSE)</f>
        <v>#N/A</v>
      </c>
      <c r="BA436" s="425" t="e">
        <f ca="1">INDEX(工作表1!G:G, MATCH(表格1_6[[#This Row],[invoice number]]&amp;表格1_6[[#This Row],[invoice number2]],工作表1!G:G, 0))</f>
        <v>#N/A</v>
      </c>
      <c r="BB436" s="423" t="e">
        <f ca="1">VLOOKUP(表格1_6[[#This Row],[PO+ITEM]],工作表1!F:H,2,FALSE)</f>
        <v>#N/A</v>
      </c>
    </row>
    <row r="437" spans="1:54" ht="14.45">
      <c r="A437" s="413">
        <v>436</v>
      </c>
      <c r="B437" s="413" t="s">
        <v>3659</v>
      </c>
      <c r="C437" s="414" t="s">
        <v>16</v>
      </c>
      <c r="D437" s="414" t="s">
        <v>3648</v>
      </c>
      <c r="E437" s="414"/>
      <c r="F437" s="414"/>
      <c r="G437" s="414"/>
      <c r="H437" s="414"/>
      <c r="I437" s="414"/>
      <c r="J437" s="414"/>
      <c r="K437" s="414"/>
      <c r="L437" s="420" t="s">
        <v>4883</v>
      </c>
      <c r="M437" s="416" t="s">
        <v>2999</v>
      </c>
      <c r="N437" s="416" t="s">
        <v>2999</v>
      </c>
      <c r="O437" s="417"/>
      <c r="P437" s="416">
        <v>4590006249</v>
      </c>
      <c r="Q437" s="418">
        <v>44836</v>
      </c>
      <c r="R437" s="419">
        <v>5</v>
      </c>
      <c r="S437" s="458">
        <v>1039.5999999999999</v>
      </c>
      <c r="T437" s="420" t="s">
        <v>2156</v>
      </c>
      <c r="U437" s="414" t="s">
        <v>3864</v>
      </c>
      <c r="V437" s="414" t="s">
        <v>3865</v>
      </c>
      <c r="W437" s="417" t="s">
        <v>3866</v>
      </c>
      <c r="X437" s="417"/>
      <c r="Y437" s="421" t="s">
        <v>3652</v>
      </c>
      <c r="Z437" s="421" t="s">
        <v>3652</v>
      </c>
      <c r="AA437" s="416"/>
      <c r="AB437" s="414" t="s">
        <v>3664</v>
      </c>
      <c r="AC437" s="422"/>
      <c r="AD437" s="421"/>
      <c r="AE437" s="420"/>
      <c r="AF437" s="421">
        <v>91269</v>
      </c>
      <c r="AG437" s="420" t="s">
        <v>3131</v>
      </c>
      <c r="AH437" s="421" t="s">
        <v>3770</v>
      </c>
      <c r="AI437" s="420" t="s">
        <v>4309</v>
      </c>
      <c r="AJ437" s="413" t="str">
        <f t="shared" si="28"/>
        <v>4590006249_005</v>
      </c>
      <c r="AK437" s="423"/>
      <c r="AL437" s="413"/>
      <c r="AM437" s="221"/>
      <c r="AN437" s="424"/>
      <c r="AO437" s="423"/>
      <c r="AP437" s="413"/>
      <c r="AQ437" s="222"/>
      <c r="AR437" s="424"/>
      <c r="AS437" s="614">
        <f ca="1">表格1_6[[#This Row],[total amount]]/表格1_6[[#This Row],[PO$]]</f>
        <v>0</v>
      </c>
      <c r="AT437" s="223">
        <f ca="1">表格1_6[[#This Row],[invoice amount]]+表格1_6[[#This Row],[invoice amount2]]</f>
        <v>0</v>
      </c>
      <c r="AU437" s="224"/>
      <c r="AV437" s="423"/>
      <c r="AW437" s="423" t="e">
        <f ca="1">VLOOKUP(表格1_6[[#This Row],[TI tool ID2]],工作表1!A:A,1,FALSE)</f>
        <v>#N/A</v>
      </c>
      <c r="AX437" s="425" t="e">
        <f ca="1">VLOOKUP(表格1_6[[#This Row],[PO+ITEM]],工作表1!B:E,2,FALSE)</f>
        <v>#N/A</v>
      </c>
      <c r="AY437" s="425" t="e">
        <f ca="1">VLOOKUP(表格1_6[[#This Row],[PO+ITEM]],工作表1!B:E,3,FALSE)</f>
        <v>#N/A</v>
      </c>
      <c r="AZ437" s="423" t="e">
        <f ca="1">VLOOKUP(表格1_6[[#This Row],[PO+ITEM]],工作表1!B:E,4,FALSE)</f>
        <v>#N/A</v>
      </c>
      <c r="BA437" s="425" t="e">
        <f ca="1">INDEX(工作表1!G:G, MATCH(表格1_6[[#This Row],[invoice number]]&amp;表格1_6[[#This Row],[invoice number2]],工作表1!G:G, 0))</f>
        <v>#N/A</v>
      </c>
      <c r="BB437" s="423" t="e">
        <f ca="1">VLOOKUP(表格1_6[[#This Row],[PO+ITEM]],工作表1!F:H,2,FALSE)</f>
        <v>#N/A</v>
      </c>
    </row>
    <row r="438" spans="1:54" ht="14.45">
      <c r="A438" s="413">
        <v>437</v>
      </c>
      <c r="B438" s="413" t="s">
        <v>3659</v>
      </c>
      <c r="C438" s="414" t="s">
        <v>16</v>
      </c>
      <c r="D438" s="414" t="s">
        <v>3648</v>
      </c>
      <c r="E438" s="414"/>
      <c r="F438" s="414"/>
      <c r="G438" s="414"/>
      <c r="H438" s="414"/>
      <c r="I438" s="414"/>
      <c r="J438" s="414"/>
      <c r="K438" s="414"/>
      <c r="L438" s="420" t="s">
        <v>4884</v>
      </c>
      <c r="M438" s="416" t="s">
        <v>2999</v>
      </c>
      <c r="N438" s="416" t="s">
        <v>2999</v>
      </c>
      <c r="O438" s="417"/>
      <c r="P438" s="416">
        <v>4590006249</v>
      </c>
      <c r="Q438" s="418">
        <v>44836</v>
      </c>
      <c r="R438" s="419">
        <v>6</v>
      </c>
      <c r="S438" s="458">
        <v>1039.5999999999999</v>
      </c>
      <c r="T438" s="420" t="s">
        <v>2156</v>
      </c>
      <c r="U438" s="414" t="s">
        <v>3864</v>
      </c>
      <c r="V438" s="414" t="s">
        <v>3865</v>
      </c>
      <c r="W438" s="417" t="s">
        <v>3866</v>
      </c>
      <c r="X438" s="417"/>
      <c r="Y438" s="421" t="s">
        <v>3652</v>
      </c>
      <c r="Z438" s="421" t="s">
        <v>3652</v>
      </c>
      <c r="AA438" s="416"/>
      <c r="AB438" s="414" t="s">
        <v>3664</v>
      </c>
      <c r="AC438" s="422"/>
      <c r="AD438" s="421"/>
      <c r="AE438" s="420"/>
      <c r="AF438" s="421">
        <v>91270</v>
      </c>
      <c r="AG438" s="420" t="s">
        <v>3130</v>
      </c>
      <c r="AH438" s="421" t="s">
        <v>3770</v>
      </c>
      <c r="AI438" s="420" t="s">
        <v>4309</v>
      </c>
      <c r="AJ438" s="413" t="str">
        <f t="shared" si="28"/>
        <v>4590006249_006</v>
      </c>
      <c r="AK438" s="423"/>
      <c r="AL438" s="413"/>
      <c r="AM438" s="221"/>
      <c r="AN438" s="424"/>
      <c r="AO438" s="423"/>
      <c r="AP438" s="413"/>
      <c r="AQ438" s="222"/>
      <c r="AR438" s="424"/>
      <c r="AS438" s="614">
        <f ca="1">表格1_6[[#This Row],[total amount]]/表格1_6[[#This Row],[PO$]]</f>
        <v>0</v>
      </c>
      <c r="AT438" s="223">
        <f ca="1">表格1_6[[#This Row],[invoice amount]]+表格1_6[[#This Row],[invoice amount2]]</f>
        <v>0</v>
      </c>
      <c r="AU438" s="224"/>
      <c r="AV438" s="423"/>
      <c r="AW438" s="423" t="e">
        <f ca="1">VLOOKUP(表格1_6[[#This Row],[TI tool ID2]],工作表1!A:A,1,FALSE)</f>
        <v>#N/A</v>
      </c>
      <c r="AX438" s="425" t="e">
        <f ca="1">VLOOKUP(表格1_6[[#This Row],[PO+ITEM]],工作表1!B:E,2,FALSE)</f>
        <v>#N/A</v>
      </c>
      <c r="AY438" s="425" t="e">
        <f ca="1">VLOOKUP(表格1_6[[#This Row],[PO+ITEM]],工作表1!B:E,3,FALSE)</f>
        <v>#N/A</v>
      </c>
      <c r="AZ438" s="423" t="e">
        <f ca="1">VLOOKUP(表格1_6[[#This Row],[PO+ITEM]],工作表1!B:E,4,FALSE)</f>
        <v>#N/A</v>
      </c>
      <c r="BA438" s="425" t="e">
        <f ca="1">INDEX(工作表1!G:G, MATCH(表格1_6[[#This Row],[invoice number]]&amp;表格1_6[[#This Row],[invoice number2]],工作表1!G:G, 0))</f>
        <v>#N/A</v>
      </c>
      <c r="BB438" s="423" t="e">
        <f ca="1">VLOOKUP(表格1_6[[#This Row],[PO+ITEM]],工作表1!F:H,2,FALSE)</f>
        <v>#N/A</v>
      </c>
    </row>
    <row r="439" spans="1:54" ht="14.45">
      <c r="A439" s="413">
        <v>438</v>
      </c>
      <c r="B439" s="413" t="s">
        <v>3659</v>
      </c>
      <c r="C439" s="414" t="s">
        <v>16</v>
      </c>
      <c r="D439" s="414" t="s">
        <v>3648</v>
      </c>
      <c r="E439" s="414"/>
      <c r="F439" s="414"/>
      <c r="G439" s="414"/>
      <c r="H439" s="414"/>
      <c r="I439" s="414"/>
      <c r="J439" s="414"/>
      <c r="K439" s="414"/>
      <c r="L439" s="420" t="s">
        <v>4885</v>
      </c>
      <c r="M439" s="416" t="s">
        <v>2999</v>
      </c>
      <c r="N439" s="416" t="s">
        <v>2999</v>
      </c>
      <c r="O439" s="417"/>
      <c r="P439" s="416">
        <v>4590006249</v>
      </c>
      <c r="Q439" s="418">
        <v>44836</v>
      </c>
      <c r="R439" s="419">
        <v>7</v>
      </c>
      <c r="S439" s="458">
        <v>1039.5999999999999</v>
      </c>
      <c r="T439" s="420" t="s">
        <v>2156</v>
      </c>
      <c r="U439" s="414" t="s">
        <v>3864</v>
      </c>
      <c r="V439" s="414" t="s">
        <v>3865</v>
      </c>
      <c r="W439" s="417" t="s">
        <v>3866</v>
      </c>
      <c r="X439" s="417"/>
      <c r="Y439" s="421" t="s">
        <v>3652</v>
      </c>
      <c r="Z439" s="421" t="s">
        <v>3652</v>
      </c>
      <c r="AA439" s="416"/>
      <c r="AB439" s="414" t="s">
        <v>3664</v>
      </c>
      <c r="AC439" s="422"/>
      <c r="AD439" s="421"/>
      <c r="AE439" s="420"/>
      <c r="AF439" s="421">
        <v>91271</v>
      </c>
      <c r="AG439" s="420" t="s">
        <v>3094</v>
      </c>
      <c r="AH439" s="421" t="s">
        <v>3770</v>
      </c>
      <c r="AI439" s="420" t="s">
        <v>4309</v>
      </c>
      <c r="AJ439" s="413" t="str">
        <f t="shared" si="28"/>
        <v>4590006249_007</v>
      </c>
      <c r="AK439" s="423"/>
      <c r="AL439" s="413"/>
      <c r="AM439" s="221"/>
      <c r="AN439" s="424"/>
      <c r="AO439" s="423"/>
      <c r="AP439" s="413"/>
      <c r="AQ439" s="222"/>
      <c r="AR439" s="424"/>
      <c r="AS439" s="614">
        <f ca="1">表格1_6[[#This Row],[total amount]]/表格1_6[[#This Row],[PO$]]</f>
        <v>0</v>
      </c>
      <c r="AT439" s="223">
        <f ca="1">表格1_6[[#This Row],[invoice amount]]+表格1_6[[#This Row],[invoice amount2]]</f>
        <v>0</v>
      </c>
      <c r="AU439" s="224"/>
      <c r="AV439" s="423"/>
      <c r="AW439" s="423" t="e">
        <f ca="1">VLOOKUP(表格1_6[[#This Row],[TI tool ID2]],工作表1!A:A,1,FALSE)</f>
        <v>#N/A</v>
      </c>
      <c r="AX439" s="425" t="e">
        <f ca="1">VLOOKUP(表格1_6[[#This Row],[PO+ITEM]],工作表1!B:E,2,FALSE)</f>
        <v>#N/A</v>
      </c>
      <c r="AY439" s="425" t="e">
        <f ca="1">VLOOKUP(表格1_6[[#This Row],[PO+ITEM]],工作表1!B:E,3,FALSE)</f>
        <v>#N/A</v>
      </c>
      <c r="AZ439" s="423" t="e">
        <f ca="1">VLOOKUP(表格1_6[[#This Row],[PO+ITEM]],工作表1!B:E,4,FALSE)</f>
        <v>#N/A</v>
      </c>
      <c r="BA439" s="425" t="e">
        <f ca="1">INDEX(工作表1!G:G, MATCH(表格1_6[[#This Row],[invoice number]]&amp;表格1_6[[#This Row],[invoice number2]],工作表1!G:G, 0))</f>
        <v>#N/A</v>
      </c>
      <c r="BB439" s="423" t="e">
        <f ca="1">VLOOKUP(表格1_6[[#This Row],[PO+ITEM]],工作表1!F:H,2,FALSE)</f>
        <v>#N/A</v>
      </c>
    </row>
    <row r="440" spans="1:54" ht="14.45">
      <c r="A440" s="413">
        <v>439</v>
      </c>
      <c r="B440" s="413" t="s">
        <v>3659</v>
      </c>
      <c r="C440" s="414" t="s">
        <v>16</v>
      </c>
      <c r="D440" s="414" t="s">
        <v>3648</v>
      </c>
      <c r="E440" s="414"/>
      <c r="F440" s="414"/>
      <c r="G440" s="414"/>
      <c r="H440" s="414"/>
      <c r="I440" s="414"/>
      <c r="J440" s="414"/>
      <c r="K440" s="414"/>
      <c r="L440" s="420" t="s">
        <v>4886</v>
      </c>
      <c r="M440" s="416" t="s">
        <v>2999</v>
      </c>
      <c r="N440" s="416" t="s">
        <v>2999</v>
      </c>
      <c r="O440" s="417"/>
      <c r="P440" s="416">
        <v>4590006249</v>
      </c>
      <c r="Q440" s="418">
        <v>44836</v>
      </c>
      <c r="R440" s="419">
        <v>8</v>
      </c>
      <c r="S440" s="458">
        <v>1039.5999999999999</v>
      </c>
      <c r="T440" s="420" t="s">
        <v>2156</v>
      </c>
      <c r="U440" s="414" t="s">
        <v>3864</v>
      </c>
      <c r="V440" s="414" t="s">
        <v>3865</v>
      </c>
      <c r="W440" s="417" t="s">
        <v>3866</v>
      </c>
      <c r="X440" s="417"/>
      <c r="Y440" s="421" t="s">
        <v>3652</v>
      </c>
      <c r="Z440" s="421" t="s">
        <v>3652</v>
      </c>
      <c r="AA440" s="416"/>
      <c r="AB440" s="414" t="s">
        <v>3664</v>
      </c>
      <c r="AC440" s="422"/>
      <c r="AD440" s="421"/>
      <c r="AE440" s="420"/>
      <c r="AF440" s="421">
        <v>91272</v>
      </c>
      <c r="AG440" s="420" t="s">
        <v>3133</v>
      </c>
      <c r="AH440" s="421" t="s">
        <v>3770</v>
      </c>
      <c r="AI440" s="420" t="s">
        <v>4309</v>
      </c>
      <c r="AJ440" s="413" t="str">
        <f t="shared" si="28"/>
        <v>4590006249_008</v>
      </c>
      <c r="AK440" s="423"/>
      <c r="AL440" s="413"/>
      <c r="AM440" s="221"/>
      <c r="AN440" s="424"/>
      <c r="AO440" s="423"/>
      <c r="AP440" s="413"/>
      <c r="AQ440" s="222"/>
      <c r="AR440" s="424"/>
      <c r="AS440" s="614">
        <f ca="1">表格1_6[[#This Row],[total amount]]/表格1_6[[#This Row],[PO$]]</f>
        <v>0</v>
      </c>
      <c r="AT440" s="223">
        <f ca="1">表格1_6[[#This Row],[invoice amount]]+表格1_6[[#This Row],[invoice amount2]]</f>
        <v>0</v>
      </c>
      <c r="AU440" s="224"/>
      <c r="AV440" s="423"/>
      <c r="AW440" s="423" t="e">
        <f ca="1">VLOOKUP(表格1_6[[#This Row],[TI tool ID2]],工作表1!A:A,1,FALSE)</f>
        <v>#N/A</v>
      </c>
      <c r="AX440" s="425" t="e">
        <f ca="1">VLOOKUP(表格1_6[[#This Row],[PO+ITEM]],工作表1!B:E,2,FALSE)</f>
        <v>#N/A</v>
      </c>
      <c r="AY440" s="425" t="e">
        <f ca="1">VLOOKUP(表格1_6[[#This Row],[PO+ITEM]],工作表1!B:E,3,FALSE)</f>
        <v>#N/A</v>
      </c>
      <c r="AZ440" s="423" t="e">
        <f ca="1">VLOOKUP(表格1_6[[#This Row],[PO+ITEM]],工作表1!B:E,4,FALSE)</f>
        <v>#N/A</v>
      </c>
      <c r="BA440" s="425" t="e">
        <f ca="1">INDEX(工作表1!G:G, MATCH(表格1_6[[#This Row],[invoice number]]&amp;表格1_6[[#This Row],[invoice number2]],工作表1!G:G, 0))</f>
        <v>#N/A</v>
      </c>
      <c r="BB440" s="423" t="e">
        <f ca="1">VLOOKUP(表格1_6[[#This Row],[PO+ITEM]],工作表1!F:H,2,FALSE)</f>
        <v>#N/A</v>
      </c>
    </row>
    <row r="441" spans="1:54" ht="14.45">
      <c r="A441" s="413">
        <v>440</v>
      </c>
      <c r="B441" s="413" t="s">
        <v>3659</v>
      </c>
      <c r="C441" s="414" t="s">
        <v>16</v>
      </c>
      <c r="D441" s="414" t="s">
        <v>3648</v>
      </c>
      <c r="E441" s="414"/>
      <c r="F441" s="414"/>
      <c r="G441" s="414"/>
      <c r="H441" s="414"/>
      <c r="I441" s="414"/>
      <c r="J441" s="414"/>
      <c r="K441" s="414"/>
      <c r="L441" s="420" t="s">
        <v>4887</v>
      </c>
      <c r="M441" s="416" t="s">
        <v>2999</v>
      </c>
      <c r="N441" s="416" t="s">
        <v>2999</v>
      </c>
      <c r="O441" s="417"/>
      <c r="P441" s="416">
        <v>4590006249</v>
      </c>
      <c r="Q441" s="418">
        <v>44836</v>
      </c>
      <c r="R441" s="419">
        <v>9</v>
      </c>
      <c r="S441" s="458">
        <v>1039.5999999999999</v>
      </c>
      <c r="T441" s="420" t="s">
        <v>2156</v>
      </c>
      <c r="U441" s="414" t="s">
        <v>3864</v>
      </c>
      <c r="V441" s="414" t="s">
        <v>3865</v>
      </c>
      <c r="W441" s="417" t="s">
        <v>3866</v>
      </c>
      <c r="X441" s="417"/>
      <c r="Y441" s="421" t="s">
        <v>3652</v>
      </c>
      <c r="Z441" s="421" t="s">
        <v>3652</v>
      </c>
      <c r="AA441" s="416"/>
      <c r="AB441" s="414" t="s">
        <v>3664</v>
      </c>
      <c r="AC441" s="422"/>
      <c r="AD441" s="421"/>
      <c r="AE441" s="420"/>
      <c r="AF441" s="421">
        <v>91273</v>
      </c>
      <c r="AG441" s="420" t="s">
        <v>3132</v>
      </c>
      <c r="AH441" s="421" t="s">
        <v>3770</v>
      </c>
      <c r="AI441" s="420" t="s">
        <v>4309</v>
      </c>
      <c r="AJ441" s="413" t="str">
        <f t="shared" si="28"/>
        <v>4590006249_009</v>
      </c>
      <c r="AK441" s="423"/>
      <c r="AL441" s="413"/>
      <c r="AM441" s="221"/>
      <c r="AN441" s="424"/>
      <c r="AO441" s="423"/>
      <c r="AP441" s="413"/>
      <c r="AQ441" s="222"/>
      <c r="AR441" s="424"/>
      <c r="AS441" s="614">
        <f ca="1">表格1_6[[#This Row],[total amount]]/表格1_6[[#This Row],[PO$]]</f>
        <v>0</v>
      </c>
      <c r="AT441" s="223">
        <f ca="1">表格1_6[[#This Row],[invoice amount]]+表格1_6[[#This Row],[invoice amount2]]</f>
        <v>0</v>
      </c>
      <c r="AU441" s="224"/>
      <c r="AV441" s="423"/>
      <c r="AW441" s="423" t="e">
        <f ca="1">VLOOKUP(表格1_6[[#This Row],[TI tool ID2]],工作表1!A:A,1,FALSE)</f>
        <v>#N/A</v>
      </c>
      <c r="AX441" s="425" t="e">
        <f ca="1">VLOOKUP(表格1_6[[#This Row],[PO+ITEM]],工作表1!B:E,2,FALSE)</f>
        <v>#N/A</v>
      </c>
      <c r="AY441" s="425" t="e">
        <f ca="1">VLOOKUP(表格1_6[[#This Row],[PO+ITEM]],工作表1!B:E,3,FALSE)</f>
        <v>#N/A</v>
      </c>
      <c r="AZ441" s="423" t="e">
        <f ca="1">VLOOKUP(表格1_6[[#This Row],[PO+ITEM]],工作表1!B:E,4,FALSE)</f>
        <v>#N/A</v>
      </c>
      <c r="BA441" s="425" t="e">
        <f ca="1">INDEX(工作表1!G:G, MATCH(表格1_6[[#This Row],[invoice number]]&amp;表格1_6[[#This Row],[invoice number2]],工作表1!G:G, 0))</f>
        <v>#N/A</v>
      </c>
      <c r="BB441" s="423" t="e">
        <f ca="1">VLOOKUP(表格1_6[[#This Row],[PO+ITEM]],工作表1!F:H,2,FALSE)</f>
        <v>#N/A</v>
      </c>
    </row>
    <row r="442" spans="1:54" ht="14.45">
      <c r="A442" s="413">
        <v>441</v>
      </c>
      <c r="B442" s="413" t="s">
        <v>3659</v>
      </c>
      <c r="C442" s="414" t="s">
        <v>16</v>
      </c>
      <c r="D442" s="414" t="s">
        <v>3648</v>
      </c>
      <c r="E442" s="414"/>
      <c r="F442" s="414"/>
      <c r="G442" s="414"/>
      <c r="H442" s="414"/>
      <c r="I442" s="414"/>
      <c r="J442" s="414"/>
      <c r="K442" s="414"/>
      <c r="L442" s="420" t="s">
        <v>4888</v>
      </c>
      <c r="M442" s="416" t="s">
        <v>2999</v>
      </c>
      <c r="N442" s="416" t="s">
        <v>2999</v>
      </c>
      <c r="O442" s="417"/>
      <c r="P442" s="416">
        <v>4590006249</v>
      </c>
      <c r="Q442" s="418">
        <v>44836</v>
      </c>
      <c r="R442" s="419">
        <v>10</v>
      </c>
      <c r="S442" s="458">
        <v>1039.5999999999999</v>
      </c>
      <c r="T442" s="420" t="s">
        <v>2156</v>
      </c>
      <c r="U442" s="414" t="s">
        <v>3864</v>
      </c>
      <c r="V442" s="414" t="s">
        <v>3865</v>
      </c>
      <c r="W442" s="417" t="s">
        <v>3866</v>
      </c>
      <c r="X442" s="417"/>
      <c r="Y442" s="421" t="s">
        <v>3652</v>
      </c>
      <c r="Z442" s="421" t="s">
        <v>3652</v>
      </c>
      <c r="AA442" s="416"/>
      <c r="AB442" s="414" t="s">
        <v>3664</v>
      </c>
      <c r="AC442" s="422"/>
      <c r="AD442" s="421"/>
      <c r="AE442" s="420"/>
      <c r="AF442" s="421">
        <v>91274</v>
      </c>
      <c r="AG442" s="420" t="s">
        <v>3093</v>
      </c>
      <c r="AH442" s="421" t="s">
        <v>3770</v>
      </c>
      <c r="AI442" s="420" t="s">
        <v>4309</v>
      </c>
      <c r="AJ442" s="413" t="str">
        <f t="shared" ref="AJ442:AJ457" si="29">P442&amp;"_0"&amp;R442</f>
        <v>4590006249_010</v>
      </c>
      <c r="AK442" s="423"/>
      <c r="AL442" s="413"/>
      <c r="AM442" s="221"/>
      <c r="AN442" s="424"/>
      <c r="AO442" s="423"/>
      <c r="AP442" s="413"/>
      <c r="AQ442" s="222"/>
      <c r="AR442" s="424"/>
      <c r="AS442" s="614">
        <f ca="1">表格1_6[[#This Row],[total amount]]/表格1_6[[#This Row],[PO$]]</f>
        <v>0</v>
      </c>
      <c r="AT442" s="223">
        <f ca="1">表格1_6[[#This Row],[invoice amount]]+表格1_6[[#This Row],[invoice amount2]]</f>
        <v>0</v>
      </c>
      <c r="AU442" s="224"/>
      <c r="AV442" s="423"/>
      <c r="AW442" s="423" t="e">
        <f ca="1">VLOOKUP(表格1_6[[#This Row],[TI tool ID2]],工作表1!A:A,1,FALSE)</f>
        <v>#N/A</v>
      </c>
      <c r="AX442" s="425" t="e">
        <f ca="1">VLOOKUP(表格1_6[[#This Row],[PO+ITEM]],工作表1!B:E,2,FALSE)</f>
        <v>#N/A</v>
      </c>
      <c r="AY442" s="425" t="e">
        <f ca="1">VLOOKUP(表格1_6[[#This Row],[PO+ITEM]],工作表1!B:E,3,FALSE)</f>
        <v>#N/A</v>
      </c>
      <c r="AZ442" s="423" t="e">
        <f ca="1">VLOOKUP(表格1_6[[#This Row],[PO+ITEM]],工作表1!B:E,4,FALSE)</f>
        <v>#N/A</v>
      </c>
      <c r="BA442" s="425" t="e">
        <f ca="1">INDEX(工作表1!G:G, MATCH(表格1_6[[#This Row],[invoice number]]&amp;表格1_6[[#This Row],[invoice number2]],工作表1!G:G, 0))</f>
        <v>#N/A</v>
      </c>
      <c r="BB442" s="423" t="e">
        <f ca="1">VLOOKUP(表格1_6[[#This Row],[PO+ITEM]],工作表1!F:H,2,FALSE)</f>
        <v>#N/A</v>
      </c>
    </row>
    <row r="443" spans="1:54" ht="14.45">
      <c r="A443" s="623">
        <v>442</v>
      </c>
      <c r="B443" s="623" t="s">
        <v>3659</v>
      </c>
      <c r="C443" s="624" t="s">
        <v>16</v>
      </c>
      <c r="D443" s="624" t="s">
        <v>3648</v>
      </c>
      <c r="E443" s="414"/>
      <c r="F443" s="414"/>
      <c r="G443" s="624"/>
      <c r="H443" s="414"/>
      <c r="I443" s="414"/>
      <c r="J443" s="414"/>
      <c r="K443" s="414"/>
      <c r="L443" s="629" t="s">
        <v>4889</v>
      </c>
      <c r="M443" s="416" t="s">
        <v>2999</v>
      </c>
      <c r="N443" s="416" t="s">
        <v>2999</v>
      </c>
      <c r="O443" s="417"/>
      <c r="P443" s="626">
        <v>4590006249</v>
      </c>
      <c r="Q443" s="418">
        <v>44836</v>
      </c>
      <c r="R443" s="627">
        <v>11</v>
      </c>
      <c r="S443" s="639">
        <v>1039.5999999999999</v>
      </c>
      <c r="T443" s="420" t="s">
        <v>2156</v>
      </c>
      <c r="U443" s="414" t="s">
        <v>3864</v>
      </c>
      <c r="V443" s="624" t="s">
        <v>3865</v>
      </c>
      <c r="W443" s="417" t="s">
        <v>3866</v>
      </c>
      <c r="X443" s="417"/>
      <c r="Y443" s="421" t="s">
        <v>3652</v>
      </c>
      <c r="Z443" s="421" t="s">
        <v>3652</v>
      </c>
      <c r="AA443" s="626"/>
      <c r="AB443" s="414" t="s">
        <v>3664</v>
      </c>
      <c r="AC443" s="422"/>
      <c r="AD443" s="421"/>
      <c r="AE443" s="420"/>
      <c r="AF443" s="421">
        <v>91275</v>
      </c>
      <c r="AG443" s="629" t="s">
        <v>3092</v>
      </c>
      <c r="AH443" s="630" t="s">
        <v>3770</v>
      </c>
      <c r="AI443" s="629" t="s">
        <v>4309</v>
      </c>
      <c r="AJ443" s="623" t="str">
        <f t="shared" si="29"/>
        <v>4590006249_011</v>
      </c>
      <c r="AK443" s="640" t="s">
        <v>4890</v>
      </c>
      <c r="AL443" s="631">
        <v>45520</v>
      </c>
      <c r="AM443" s="632">
        <v>1039.5999999999999</v>
      </c>
      <c r="AN443" s="631" t="s">
        <v>837</v>
      </c>
      <c r="AO443" s="638"/>
      <c r="AP443" s="623"/>
      <c r="AQ443" s="634"/>
      <c r="AR443" s="631"/>
      <c r="AS443" s="635">
        <f ca="1">表格1_6[[#This Row],[total amount]]/表格1_6[[#This Row],[PO$]]</f>
        <v>1</v>
      </c>
      <c r="AT443" s="636">
        <f ca="1">表格1_6[[#This Row],[invoice amount]]+表格1_6[[#This Row],[invoice amount2]]</f>
        <v>1039.5999999999999</v>
      </c>
      <c r="AU443" s="637" t="s">
        <v>3701</v>
      </c>
      <c r="AV443" s="638" t="s">
        <v>4891</v>
      </c>
      <c r="AW443" s="423" t="e">
        <f ca="1">VLOOKUP(表格1_6[[#This Row],[TI tool ID2]],工作表1!A:A,1,FALSE)</f>
        <v>#N/A</v>
      </c>
      <c r="AX443" s="425" t="e">
        <f ca="1">VLOOKUP(表格1_6[[#This Row],[PO+ITEM]],工作表1!B:E,2,FALSE)</f>
        <v>#N/A</v>
      </c>
      <c r="AY443" s="425" t="e">
        <f ca="1">VLOOKUP(表格1_6[[#This Row],[PO+ITEM]],工作表1!B:E,3,FALSE)</f>
        <v>#N/A</v>
      </c>
      <c r="AZ443" s="423" t="e">
        <f ca="1">VLOOKUP(表格1_6[[#This Row],[PO+ITEM]],工作表1!B:E,4,FALSE)</f>
        <v>#N/A</v>
      </c>
      <c r="BA443" s="425" t="e">
        <f ca="1">INDEX(工作表1!G:G, MATCH(表格1_6[[#This Row],[invoice number]]&amp;表格1_6[[#This Row],[invoice number2]],工作表1!G:G, 0))</f>
        <v>#N/A</v>
      </c>
      <c r="BB443" s="423" t="e">
        <f ca="1">VLOOKUP(表格1_6[[#This Row],[PO+ITEM]],工作表1!F:H,2,FALSE)</f>
        <v>#N/A</v>
      </c>
    </row>
    <row r="444" spans="1:54" ht="14.45">
      <c r="A444" s="413">
        <v>443</v>
      </c>
      <c r="B444" s="413" t="s">
        <v>3659</v>
      </c>
      <c r="C444" s="414" t="s">
        <v>16</v>
      </c>
      <c r="D444" s="414" t="s">
        <v>3648</v>
      </c>
      <c r="E444" s="414"/>
      <c r="F444" s="414"/>
      <c r="G444" s="414"/>
      <c r="H444" s="414"/>
      <c r="I444" s="414"/>
      <c r="J444" s="414"/>
      <c r="K444" s="414"/>
      <c r="L444" s="420" t="s">
        <v>4892</v>
      </c>
      <c r="M444" s="416" t="s">
        <v>2999</v>
      </c>
      <c r="N444" s="416" t="s">
        <v>2999</v>
      </c>
      <c r="O444" s="417"/>
      <c r="P444" s="416">
        <v>4590006249</v>
      </c>
      <c r="Q444" s="418">
        <v>44836</v>
      </c>
      <c r="R444" s="419">
        <v>12</v>
      </c>
      <c r="S444" s="458">
        <v>343.07</v>
      </c>
      <c r="T444" s="420" t="s">
        <v>2156</v>
      </c>
      <c r="U444" s="414" t="s">
        <v>3864</v>
      </c>
      <c r="V444" s="414" t="s">
        <v>3865</v>
      </c>
      <c r="W444" s="417" t="s">
        <v>3866</v>
      </c>
      <c r="X444" s="417"/>
      <c r="Y444" s="421" t="s">
        <v>3652</v>
      </c>
      <c r="Z444" s="421" t="s">
        <v>3652</v>
      </c>
      <c r="AA444" s="416"/>
      <c r="AB444" s="414" t="s">
        <v>3664</v>
      </c>
      <c r="AC444" s="422"/>
      <c r="AD444" s="421"/>
      <c r="AE444" s="420"/>
      <c r="AF444" s="421">
        <v>91071</v>
      </c>
      <c r="AG444" s="420" t="s">
        <v>4893</v>
      </c>
      <c r="AH444" s="421" t="s">
        <v>3770</v>
      </c>
      <c r="AI444" s="420" t="s">
        <v>4309</v>
      </c>
      <c r="AJ444" s="413" t="str">
        <f t="shared" si="29"/>
        <v>4590006249_012</v>
      </c>
      <c r="AK444" s="423"/>
      <c r="AL444" s="413"/>
      <c r="AM444" s="221"/>
      <c r="AN444" s="424"/>
      <c r="AO444" s="423"/>
      <c r="AP444" s="413"/>
      <c r="AQ444" s="222"/>
      <c r="AR444" s="424"/>
      <c r="AS444" s="614">
        <f ca="1">表格1_6[[#This Row],[total amount]]/表格1_6[[#This Row],[PO$]]</f>
        <v>0</v>
      </c>
      <c r="AT444" s="223">
        <f ca="1">表格1_6[[#This Row],[invoice amount]]+表格1_6[[#This Row],[invoice amount2]]</f>
        <v>0</v>
      </c>
      <c r="AU444" s="224"/>
      <c r="AV444" s="423"/>
      <c r="AW444" s="423" t="e">
        <f ca="1">VLOOKUP(表格1_6[[#This Row],[TI tool ID2]],工作表1!A:A,1,FALSE)</f>
        <v>#N/A</v>
      </c>
      <c r="AX444" s="425" t="e">
        <f ca="1">VLOOKUP(表格1_6[[#This Row],[PO+ITEM]],工作表1!B:E,2,FALSE)</f>
        <v>#N/A</v>
      </c>
      <c r="AY444" s="425" t="e">
        <f ca="1">VLOOKUP(表格1_6[[#This Row],[PO+ITEM]],工作表1!B:E,3,FALSE)</f>
        <v>#N/A</v>
      </c>
      <c r="AZ444" s="423" t="e">
        <f ca="1">VLOOKUP(表格1_6[[#This Row],[PO+ITEM]],工作表1!B:E,4,FALSE)</f>
        <v>#N/A</v>
      </c>
      <c r="BA444" s="425" t="e">
        <f ca="1">INDEX(工作表1!G:G, MATCH(表格1_6[[#This Row],[invoice number]]&amp;表格1_6[[#This Row],[invoice number2]],工作表1!G:G, 0))</f>
        <v>#N/A</v>
      </c>
      <c r="BB444" s="423" t="e">
        <f ca="1">VLOOKUP(表格1_6[[#This Row],[PO+ITEM]],工作表1!F:H,2,FALSE)</f>
        <v>#N/A</v>
      </c>
    </row>
    <row r="445" spans="1:54" ht="14.45">
      <c r="A445" s="413">
        <v>444</v>
      </c>
      <c r="B445" s="413" t="s">
        <v>3659</v>
      </c>
      <c r="C445" s="414" t="s">
        <v>16</v>
      </c>
      <c r="D445" s="414" t="s">
        <v>3648</v>
      </c>
      <c r="E445" s="414"/>
      <c r="F445" s="414"/>
      <c r="G445" s="414"/>
      <c r="H445" s="414"/>
      <c r="I445" s="414"/>
      <c r="J445" s="414"/>
      <c r="K445" s="414"/>
      <c r="L445" s="420" t="s">
        <v>4894</v>
      </c>
      <c r="M445" s="416" t="s">
        <v>2999</v>
      </c>
      <c r="N445" s="416" t="s">
        <v>2999</v>
      </c>
      <c r="O445" s="417"/>
      <c r="P445" s="416">
        <v>4590006249</v>
      </c>
      <c r="Q445" s="418">
        <v>44836</v>
      </c>
      <c r="R445" s="419">
        <v>13</v>
      </c>
      <c r="S445" s="458">
        <v>815.01</v>
      </c>
      <c r="T445" s="420" t="s">
        <v>2156</v>
      </c>
      <c r="U445" s="414" t="s">
        <v>3864</v>
      </c>
      <c r="V445" s="414" t="s">
        <v>3865</v>
      </c>
      <c r="W445" s="417" t="s">
        <v>3866</v>
      </c>
      <c r="X445" s="417"/>
      <c r="Y445" s="421" t="s">
        <v>3652</v>
      </c>
      <c r="Z445" s="421" t="s">
        <v>3652</v>
      </c>
      <c r="AA445" s="416"/>
      <c r="AB445" s="414" t="s">
        <v>3664</v>
      </c>
      <c r="AC445" s="422"/>
      <c r="AD445" s="421"/>
      <c r="AE445" s="420"/>
      <c r="AF445" s="421">
        <v>91071</v>
      </c>
      <c r="AG445" s="420" t="s">
        <v>4893</v>
      </c>
      <c r="AH445" s="421" t="s">
        <v>3770</v>
      </c>
      <c r="AI445" s="420" t="s">
        <v>4309</v>
      </c>
      <c r="AJ445" s="413" t="str">
        <f t="shared" si="29"/>
        <v>4590006249_013</v>
      </c>
      <c r="AK445" s="423"/>
      <c r="AL445" s="413"/>
      <c r="AM445" s="221"/>
      <c r="AN445" s="424"/>
      <c r="AO445" s="423"/>
      <c r="AP445" s="413"/>
      <c r="AQ445" s="222"/>
      <c r="AR445" s="424"/>
      <c r="AS445" s="614">
        <f ca="1">表格1_6[[#This Row],[total amount]]/表格1_6[[#This Row],[PO$]]</f>
        <v>0</v>
      </c>
      <c r="AT445" s="223">
        <f ca="1">表格1_6[[#This Row],[invoice amount]]+表格1_6[[#This Row],[invoice amount2]]</f>
        <v>0</v>
      </c>
      <c r="AU445" s="224"/>
      <c r="AV445" s="423"/>
      <c r="AW445" s="423" t="e">
        <f ca="1">VLOOKUP(表格1_6[[#This Row],[TI tool ID2]],工作表1!A:A,1,FALSE)</f>
        <v>#N/A</v>
      </c>
      <c r="AX445" s="425" t="e">
        <f ca="1">VLOOKUP(表格1_6[[#This Row],[PO+ITEM]],工作表1!B:E,2,FALSE)</f>
        <v>#N/A</v>
      </c>
      <c r="AY445" s="425" t="e">
        <f ca="1">VLOOKUP(表格1_6[[#This Row],[PO+ITEM]],工作表1!B:E,3,FALSE)</f>
        <v>#N/A</v>
      </c>
      <c r="AZ445" s="423" t="e">
        <f ca="1">VLOOKUP(表格1_6[[#This Row],[PO+ITEM]],工作表1!B:E,4,FALSE)</f>
        <v>#N/A</v>
      </c>
      <c r="BA445" s="425" t="e">
        <f ca="1">INDEX(工作表1!G:G, MATCH(表格1_6[[#This Row],[invoice number]]&amp;表格1_6[[#This Row],[invoice number2]],工作表1!G:G, 0))</f>
        <v>#N/A</v>
      </c>
      <c r="BB445" s="423" t="e">
        <f ca="1">VLOOKUP(表格1_6[[#This Row],[PO+ITEM]],工作表1!F:H,2,FALSE)</f>
        <v>#N/A</v>
      </c>
    </row>
    <row r="446" spans="1:54" s="429" customFormat="1" ht="14.45">
      <c r="A446" s="413">
        <v>445</v>
      </c>
      <c r="B446" s="413" t="s">
        <v>3659</v>
      </c>
      <c r="C446" s="414" t="s">
        <v>16</v>
      </c>
      <c r="D446" s="414" t="s">
        <v>3648</v>
      </c>
      <c r="E446" s="414"/>
      <c r="F446" s="414"/>
      <c r="G446" s="414"/>
      <c r="H446" s="414"/>
      <c r="I446" s="414"/>
      <c r="J446" s="414"/>
      <c r="K446" s="414"/>
      <c r="L446" s="420" t="s">
        <v>4895</v>
      </c>
      <c r="M446" s="416" t="s">
        <v>2999</v>
      </c>
      <c r="N446" s="416" t="s">
        <v>2999</v>
      </c>
      <c r="O446" s="417"/>
      <c r="P446" s="416">
        <v>4590006249</v>
      </c>
      <c r="Q446" s="418">
        <v>44836</v>
      </c>
      <c r="R446" s="419">
        <v>14</v>
      </c>
      <c r="S446" s="458">
        <v>343.07</v>
      </c>
      <c r="T446" s="420" t="s">
        <v>2156</v>
      </c>
      <c r="U446" s="414" t="s">
        <v>3864</v>
      </c>
      <c r="V446" s="414" t="s">
        <v>3865</v>
      </c>
      <c r="W446" s="417" t="s">
        <v>3866</v>
      </c>
      <c r="X446" s="417"/>
      <c r="Y446" s="421" t="s">
        <v>3652</v>
      </c>
      <c r="Z446" s="421" t="s">
        <v>3652</v>
      </c>
      <c r="AA446" s="416"/>
      <c r="AB446" s="414" t="s">
        <v>3664</v>
      </c>
      <c r="AC446" s="422"/>
      <c r="AD446" s="421"/>
      <c r="AE446" s="420"/>
      <c r="AF446" s="421">
        <v>91072</v>
      </c>
      <c r="AG446" s="420" t="s">
        <v>4896</v>
      </c>
      <c r="AH446" s="421" t="s">
        <v>3770</v>
      </c>
      <c r="AI446" s="420" t="s">
        <v>4309</v>
      </c>
      <c r="AJ446" s="413" t="str">
        <f t="shared" si="29"/>
        <v>4590006249_014</v>
      </c>
      <c r="AK446" s="423"/>
      <c r="AL446" s="413"/>
      <c r="AM446" s="221"/>
      <c r="AN446" s="424"/>
      <c r="AO446" s="423"/>
      <c r="AP446" s="413"/>
      <c r="AQ446" s="222"/>
      <c r="AR446" s="424"/>
      <c r="AS446" s="614">
        <f ca="1">表格1_6[[#This Row],[total amount]]/表格1_6[[#This Row],[PO$]]</f>
        <v>0</v>
      </c>
      <c r="AT446" s="223">
        <f ca="1">表格1_6[[#This Row],[invoice amount]]+表格1_6[[#This Row],[invoice amount2]]</f>
        <v>0</v>
      </c>
      <c r="AU446" s="224"/>
      <c r="AV446" s="423"/>
      <c r="AW446" s="423" t="e">
        <f ca="1">VLOOKUP(表格1_6[[#This Row],[TI tool ID2]],工作表1!A:A,1,FALSE)</f>
        <v>#N/A</v>
      </c>
      <c r="AX446" s="425" t="e">
        <f ca="1">VLOOKUP(表格1_6[[#This Row],[PO+ITEM]],工作表1!B:E,2,FALSE)</f>
        <v>#N/A</v>
      </c>
      <c r="AY446" s="425" t="e">
        <f ca="1">VLOOKUP(表格1_6[[#This Row],[PO+ITEM]],工作表1!B:E,3,FALSE)</f>
        <v>#N/A</v>
      </c>
      <c r="AZ446" s="423" t="e">
        <f ca="1">VLOOKUP(表格1_6[[#This Row],[PO+ITEM]],工作表1!B:E,4,FALSE)</f>
        <v>#N/A</v>
      </c>
      <c r="BA446" s="425" t="e">
        <f ca="1">INDEX(工作表1!G:G, MATCH(表格1_6[[#This Row],[invoice number]]&amp;表格1_6[[#This Row],[invoice number2]],工作表1!G:G, 0))</f>
        <v>#N/A</v>
      </c>
      <c r="BB446" s="423" t="e">
        <f ca="1">VLOOKUP(表格1_6[[#This Row],[PO+ITEM]],工作表1!F:H,2,FALSE)</f>
        <v>#N/A</v>
      </c>
    </row>
    <row r="447" spans="1:54" ht="14.45">
      <c r="A447" s="413">
        <v>446</v>
      </c>
      <c r="B447" s="413" t="s">
        <v>3674</v>
      </c>
      <c r="C447" s="414" t="s">
        <v>16</v>
      </c>
      <c r="D447" s="414" t="s">
        <v>3648</v>
      </c>
      <c r="E447" s="414"/>
      <c r="F447" s="414"/>
      <c r="G447" s="414"/>
      <c r="H447" s="414"/>
      <c r="I447" s="414"/>
      <c r="J447" s="414"/>
      <c r="K447" s="414"/>
      <c r="L447" s="420" t="s">
        <v>4897</v>
      </c>
      <c r="M447" s="416" t="s">
        <v>2999</v>
      </c>
      <c r="N447" s="416" t="s">
        <v>2999</v>
      </c>
      <c r="O447" s="417"/>
      <c r="P447" s="416">
        <v>4590006249</v>
      </c>
      <c r="Q447" s="418">
        <v>44836</v>
      </c>
      <c r="R447" s="419">
        <v>15</v>
      </c>
      <c r="S447" s="458">
        <v>407.51</v>
      </c>
      <c r="T447" s="420" t="s">
        <v>2156</v>
      </c>
      <c r="U447" s="414" t="s">
        <v>3864</v>
      </c>
      <c r="V447" s="414" t="s">
        <v>3865</v>
      </c>
      <c r="W447" s="417" t="s">
        <v>3866</v>
      </c>
      <c r="X447" s="417"/>
      <c r="Y447" s="421" t="s">
        <v>3652</v>
      </c>
      <c r="Z447" s="421" t="s">
        <v>3652</v>
      </c>
      <c r="AA447" s="416"/>
      <c r="AB447" s="414" t="s">
        <v>3664</v>
      </c>
      <c r="AC447" s="422"/>
      <c r="AD447" s="421"/>
      <c r="AE447" s="420"/>
      <c r="AF447" s="421">
        <v>91073</v>
      </c>
      <c r="AG447" s="420" t="s">
        <v>3106</v>
      </c>
      <c r="AH447" s="421" t="s">
        <v>3770</v>
      </c>
      <c r="AI447" s="420" t="s">
        <v>4309</v>
      </c>
      <c r="AJ447" s="413" t="str">
        <f t="shared" si="29"/>
        <v>4590006249_015</v>
      </c>
      <c r="AK447" s="425" t="s">
        <v>4898</v>
      </c>
      <c r="AL447" s="424">
        <v>45541</v>
      </c>
      <c r="AM447" s="221">
        <v>407.51</v>
      </c>
      <c r="AN447" s="424" t="s">
        <v>3805</v>
      </c>
      <c r="AO447" s="423"/>
      <c r="AP447" s="413"/>
      <c r="AQ447" s="222"/>
      <c r="AR447" s="424"/>
      <c r="AS447" s="614">
        <f ca="1">表格1_6[[#This Row],[total amount]]/表格1_6[[#This Row],[PO$]]</f>
        <v>1</v>
      </c>
      <c r="AT447" s="223">
        <f ca="1">表格1_6[[#This Row],[invoice amount]]+表格1_6[[#This Row],[invoice amount2]]</f>
        <v>407.51</v>
      </c>
      <c r="AU447" s="224" t="s">
        <v>3701</v>
      </c>
      <c r="AV447" s="423"/>
      <c r="AW447" s="423" t="e">
        <f ca="1">VLOOKUP(表格1_6[[#This Row],[TI tool ID2]],工作表1!A:A,1,FALSE)</f>
        <v>#N/A</v>
      </c>
      <c r="AX447" s="425" t="e">
        <f ca="1">VLOOKUP(表格1_6[[#This Row],[PO+ITEM]],工作表1!B:E,2,FALSE)</f>
        <v>#N/A</v>
      </c>
      <c r="AY447" s="425" t="e">
        <f ca="1">VLOOKUP(表格1_6[[#This Row],[PO+ITEM]],工作表1!B:E,3,FALSE)</f>
        <v>#N/A</v>
      </c>
      <c r="AZ447" s="423" t="e">
        <f ca="1">VLOOKUP(表格1_6[[#This Row],[PO+ITEM]],工作表1!B:E,4,FALSE)</f>
        <v>#N/A</v>
      </c>
      <c r="BA447" s="425" t="e">
        <f ca="1">INDEX(工作表1!G:G, MATCH(表格1_6[[#This Row],[invoice number]]&amp;表格1_6[[#This Row],[invoice number2]],工作表1!G:G, 0))</f>
        <v>#N/A</v>
      </c>
      <c r="BB447" s="423" t="e">
        <f ca="1">VLOOKUP(表格1_6[[#This Row],[PO+ITEM]],工作表1!F:H,2,FALSE)</f>
        <v>#N/A</v>
      </c>
    </row>
    <row r="448" spans="1:54" ht="14.45">
      <c r="A448" s="413">
        <v>447</v>
      </c>
      <c r="B448" s="413" t="s">
        <v>3674</v>
      </c>
      <c r="C448" s="414" t="s">
        <v>16</v>
      </c>
      <c r="D448" s="414" t="s">
        <v>3648</v>
      </c>
      <c r="E448" s="414"/>
      <c r="F448" s="414"/>
      <c r="G448" s="414"/>
      <c r="H448" s="414"/>
      <c r="I448" s="414"/>
      <c r="J448" s="414"/>
      <c r="K448" s="414"/>
      <c r="L448" s="420" t="s">
        <v>4899</v>
      </c>
      <c r="M448" s="416" t="s">
        <v>2999</v>
      </c>
      <c r="N448" s="416" t="s">
        <v>2999</v>
      </c>
      <c r="O448" s="417"/>
      <c r="P448" s="416">
        <v>4590006249</v>
      </c>
      <c r="Q448" s="418">
        <v>44836</v>
      </c>
      <c r="R448" s="419">
        <v>16</v>
      </c>
      <c r="S448" s="458">
        <v>343.07</v>
      </c>
      <c r="T448" s="420" t="s">
        <v>2156</v>
      </c>
      <c r="U448" s="414" t="s">
        <v>3864</v>
      </c>
      <c r="V448" s="414" t="s">
        <v>3865</v>
      </c>
      <c r="W448" s="417" t="s">
        <v>3866</v>
      </c>
      <c r="X448" s="417"/>
      <c r="Y448" s="421" t="s">
        <v>3652</v>
      </c>
      <c r="Z448" s="421" t="s">
        <v>3652</v>
      </c>
      <c r="AA448" s="416"/>
      <c r="AB448" s="414" t="s">
        <v>3664</v>
      </c>
      <c r="AC448" s="422"/>
      <c r="AD448" s="421"/>
      <c r="AE448" s="420"/>
      <c r="AF448" s="421">
        <v>91073</v>
      </c>
      <c r="AG448" s="420" t="s">
        <v>3106</v>
      </c>
      <c r="AH448" s="421" t="s">
        <v>3770</v>
      </c>
      <c r="AI448" s="420" t="s">
        <v>4309</v>
      </c>
      <c r="AJ448" s="413" t="str">
        <f t="shared" si="29"/>
        <v>4590006249_016</v>
      </c>
      <c r="AK448" s="425" t="s">
        <v>4900</v>
      </c>
      <c r="AL448" s="424">
        <v>45541</v>
      </c>
      <c r="AM448" s="221">
        <v>343.07</v>
      </c>
      <c r="AN448" s="424" t="s">
        <v>3805</v>
      </c>
      <c r="AO448" s="423"/>
      <c r="AP448" s="413"/>
      <c r="AQ448" s="222"/>
      <c r="AR448" s="424"/>
      <c r="AS448" s="614">
        <f ca="1">表格1_6[[#This Row],[total amount]]/表格1_6[[#This Row],[PO$]]</f>
        <v>1</v>
      </c>
      <c r="AT448" s="223">
        <f ca="1">表格1_6[[#This Row],[invoice amount]]+表格1_6[[#This Row],[invoice amount2]]</f>
        <v>343.07</v>
      </c>
      <c r="AU448" s="224" t="s">
        <v>3701</v>
      </c>
      <c r="AV448" s="423"/>
      <c r="AW448" s="423" t="e">
        <f ca="1">VLOOKUP(表格1_6[[#This Row],[TI tool ID2]],工作表1!A:A,1,FALSE)</f>
        <v>#N/A</v>
      </c>
      <c r="AX448" s="425" t="e">
        <f ca="1">VLOOKUP(表格1_6[[#This Row],[PO+ITEM]],工作表1!B:E,2,FALSE)</f>
        <v>#N/A</v>
      </c>
      <c r="AY448" s="425" t="e">
        <f ca="1">VLOOKUP(表格1_6[[#This Row],[PO+ITEM]],工作表1!B:E,3,FALSE)</f>
        <v>#N/A</v>
      </c>
      <c r="AZ448" s="423" t="e">
        <f ca="1">VLOOKUP(表格1_6[[#This Row],[PO+ITEM]],工作表1!B:E,4,FALSE)</f>
        <v>#N/A</v>
      </c>
      <c r="BA448" s="425" t="e">
        <f ca="1">INDEX(工作表1!G:G, MATCH(表格1_6[[#This Row],[invoice number]]&amp;表格1_6[[#This Row],[invoice number2]],工作表1!G:G, 0))</f>
        <v>#N/A</v>
      </c>
      <c r="BB448" s="423" t="e">
        <f ca="1">VLOOKUP(表格1_6[[#This Row],[PO+ITEM]],工作表1!F:H,2,FALSE)</f>
        <v>#N/A</v>
      </c>
    </row>
    <row r="449" spans="1:54" ht="14.45">
      <c r="A449" s="413">
        <v>448</v>
      </c>
      <c r="B449" s="413" t="s">
        <v>3659</v>
      </c>
      <c r="C449" s="414" t="s">
        <v>16</v>
      </c>
      <c r="D449" s="414" t="s">
        <v>3648</v>
      </c>
      <c r="E449" s="414"/>
      <c r="F449" s="414"/>
      <c r="G449" s="414"/>
      <c r="H449" s="414"/>
      <c r="I449" s="414"/>
      <c r="J449" s="414"/>
      <c r="K449" s="414"/>
      <c r="L449" s="420" t="s">
        <v>4901</v>
      </c>
      <c r="M449" s="416" t="s">
        <v>2999</v>
      </c>
      <c r="N449" s="416" t="s">
        <v>2999</v>
      </c>
      <c r="O449" s="417"/>
      <c r="P449" s="416">
        <v>4590006249</v>
      </c>
      <c r="Q449" s="418">
        <v>44836</v>
      </c>
      <c r="R449" s="419">
        <v>17</v>
      </c>
      <c r="S449" s="458">
        <v>343.07</v>
      </c>
      <c r="T449" s="420" t="s">
        <v>2156</v>
      </c>
      <c r="U449" s="414" t="s">
        <v>3864</v>
      </c>
      <c r="V449" s="414" t="s">
        <v>3865</v>
      </c>
      <c r="W449" s="417" t="s">
        <v>3866</v>
      </c>
      <c r="X449" s="417"/>
      <c r="Y449" s="421" t="s">
        <v>3652</v>
      </c>
      <c r="Z449" s="421" t="s">
        <v>3652</v>
      </c>
      <c r="AA449" s="416"/>
      <c r="AB449" s="414" t="s">
        <v>3664</v>
      </c>
      <c r="AC449" s="422"/>
      <c r="AD449" s="421"/>
      <c r="AE449" s="420"/>
      <c r="AF449" s="421">
        <v>91079</v>
      </c>
      <c r="AG449" s="420" t="s">
        <v>4902</v>
      </c>
      <c r="AH449" s="421" t="s">
        <v>3770</v>
      </c>
      <c r="AI449" s="420" t="s">
        <v>4309</v>
      </c>
      <c r="AJ449" s="413" t="str">
        <f t="shared" si="29"/>
        <v>4590006249_017</v>
      </c>
      <c r="AK449" s="423"/>
      <c r="AL449" s="413"/>
      <c r="AM449" s="221"/>
      <c r="AN449" s="424"/>
      <c r="AO449" s="423"/>
      <c r="AP449" s="413"/>
      <c r="AQ449" s="222"/>
      <c r="AR449" s="424"/>
      <c r="AS449" s="614">
        <f ca="1">表格1_6[[#This Row],[total amount]]/表格1_6[[#This Row],[PO$]]</f>
        <v>0</v>
      </c>
      <c r="AT449" s="223">
        <f ca="1">表格1_6[[#This Row],[invoice amount]]+表格1_6[[#This Row],[invoice amount2]]</f>
        <v>0</v>
      </c>
      <c r="AU449" s="224"/>
      <c r="AV449" s="423"/>
      <c r="AW449" s="423" t="e">
        <f ca="1">VLOOKUP(表格1_6[[#This Row],[TI tool ID2]],工作表1!A:A,1,FALSE)</f>
        <v>#N/A</v>
      </c>
      <c r="AX449" s="425" t="e">
        <f ca="1">VLOOKUP(表格1_6[[#This Row],[PO+ITEM]],工作表1!B:E,2,FALSE)</f>
        <v>#N/A</v>
      </c>
      <c r="AY449" s="425" t="e">
        <f ca="1">VLOOKUP(表格1_6[[#This Row],[PO+ITEM]],工作表1!B:E,3,FALSE)</f>
        <v>#N/A</v>
      </c>
      <c r="AZ449" s="423" t="e">
        <f ca="1">VLOOKUP(表格1_6[[#This Row],[PO+ITEM]],工作表1!B:E,4,FALSE)</f>
        <v>#N/A</v>
      </c>
      <c r="BA449" s="425" t="e">
        <f ca="1">INDEX(工作表1!G:G, MATCH(表格1_6[[#This Row],[invoice number]]&amp;表格1_6[[#This Row],[invoice number2]],工作表1!G:G, 0))</f>
        <v>#N/A</v>
      </c>
      <c r="BB449" s="423" t="e">
        <f ca="1">VLOOKUP(表格1_6[[#This Row],[PO+ITEM]],工作表1!F:H,2,FALSE)</f>
        <v>#N/A</v>
      </c>
    </row>
    <row r="450" spans="1:54" ht="14.45">
      <c r="A450" s="413">
        <v>449</v>
      </c>
      <c r="B450" s="413" t="s">
        <v>3659</v>
      </c>
      <c r="C450" s="414" t="s">
        <v>16</v>
      </c>
      <c r="D450" s="414" t="s">
        <v>3648</v>
      </c>
      <c r="E450" s="414"/>
      <c r="F450" s="414"/>
      <c r="G450" s="414"/>
      <c r="H450" s="414"/>
      <c r="I450" s="414"/>
      <c r="J450" s="414"/>
      <c r="K450" s="414"/>
      <c r="L450" s="420" t="s">
        <v>4903</v>
      </c>
      <c r="M450" s="416" t="s">
        <v>2999</v>
      </c>
      <c r="N450" s="416" t="s">
        <v>2999</v>
      </c>
      <c r="O450" s="417"/>
      <c r="P450" s="416">
        <v>4590006249</v>
      </c>
      <c r="Q450" s="418">
        <v>44836</v>
      </c>
      <c r="R450" s="419">
        <v>18</v>
      </c>
      <c r="S450" s="458">
        <v>343.07</v>
      </c>
      <c r="T450" s="420" t="s">
        <v>2156</v>
      </c>
      <c r="U450" s="414" t="s">
        <v>3864</v>
      </c>
      <c r="V450" s="414" t="s">
        <v>3865</v>
      </c>
      <c r="W450" s="417" t="s">
        <v>3866</v>
      </c>
      <c r="X450" s="417"/>
      <c r="Y450" s="421" t="s">
        <v>3652</v>
      </c>
      <c r="Z450" s="421" t="s">
        <v>3652</v>
      </c>
      <c r="AA450" s="416"/>
      <c r="AB450" s="414" t="s">
        <v>3664</v>
      </c>
      <c r="AC450" s="422"/>
      <c r="AD450" s="421"/>
      <c r="AE450" s="420"/>
      <c r="AF450" s="421">
        <v>91085</v>
      </c>
      <c r="AG450" s="420" t="s">
        <v>3104</v>
      </c>
      <c r="AH450" s="421" t="s">
        <v>3770</v>
      </c>
      <c r="AI450" s="420" t="s">
        <v>4309</v>
      </c>
      <c r="AJ450" s="413" t="str">
        <f t="shared" si="29"/>
        <v>4590006249_018</v>
      </c>
      <c r="AK450" s="423"/>
      <c r="AL450" s="413"/>
      <c r="AM450" s="221"/>
      <c r="AN450" s="424"/>
      <c r="AO450" s="423"/>
      <c r="AP450" s="413"/>
      <c r="AQ450" s="222"/>
      <c r="AR450" s="424"/>
      <c r="AS450" s="614">
        <f ca="1">表格1_6[[#This Row],[total amount]]/表格1_6[[#This Row],[PO$]]</f>
        <v>0</v>
      </c>
      <c r="AT450" s="223">
        <f ca="1">表格1_6[[#This Row],[invoice amount]]+表格1_6[[#This Row],[invoice amount2]]</f>
        <v>0</v>
      </c>
      <c r="AU450" s="224"/>
      <c r="AV450" s="423"/>
      <c r="AW450" s="423" t="e">
        <f ca="1">VLOOKUP(表格1_6[[#This Row],[TI tool ID2]],工作表1!A:A,1,FALSE)</f>
        <v>#N/A</v>
      </c>
      <c r="AX450" s="425" t="e">
        <f ca="1">VLOOKUP(表格1_6[[#This Row],[PO+ITEM]],工作表1!B:E,2,FALSE)</f>
        <v>#N/A</v>
      </c>
      <c r="AY450" s="425" t="e">
        <f ca="1">VLOOKUP(表格1_6[[#This Row],[PO+ITEM]],工作表1!B:E,3,FALSE)</f>
        <v>#N/A</v>
      </c>
      <c r="AZ450" s="423" t="e">
        <f ca="1">VLOOKUP(表格1_6[[#This Row],[PO+ITEM]],工作表1!B:E,4,FALSE)</f>
        <v>#N/A</v>
      </c>
      <c r="BA450" s="425" t="e">
        <f ca="1">INDEX(工作表1!G:G, MATCH(表格1_6[[#This Row],[invoice number]]&amp;表格1_6[[#This Row],[invoice number2]],工作表1!G:G, 0))</f>
        <v>#N/A</v>
      </c>
      <c r="BB450" s="423" t="e">
        <f ca="1">VLOOKUP(表格1_6[[#This Row],[PO+ITEM]],工作表1!F:H,2,FALSE)</f>
        <v>#N/A</v>
      </c>
    </row>
    <row r="451" spans="1:54" ht="14.45">
      <c r="A451" s="413">
        <v>450</v>
      </c>
      <c r="B451" s="413" t="s">
        <v>3659</v>
      </c>
      <c r="C451" s="414" t="s">
        <v>16</v>
      </c>
      <c r="D451" s="414" t="s">
        <v>3648</v>
      </c>
      <c r="E451" s="414"/>
      <c r="F451" s="414"/>
      <c r="G451" s="414"/>
      <c r="H451" s="414"/>
      <c r="I451" s="414"/>
      <c r="J451" s="414"/>
      <c r="K451" s="414"/>
      <c r="L451" s="420" t="s">
        <v>4904</v>
      </c>
      <c r="M451" s="416" t="s">
        <v>2999</v>
      </c>
      <c r="N451" s="416" t="s">
        <v>2999</v>
      </c>
      <c r="O451" s="417"/>
      <c r="P451" s="416">
        <v>4590006249</v>
      </c>
      <c r="Q451" s="418">
        <v>44836</v>
      </c>
      <c r="R451" s="419">
        <v>19</v>
      </c>
      <c r="S451" s="458">
        <v>1164.3499999999999</v>
      </c>
      <c r="T451" s="420" t="s">
        <v>2156</v>
      </c>
      <c r="U451" s="414" t="s">
        <v>3864</v>
      </c>
      <c r="V451" s="414" t="s">
        <v>3865</v>
      </c>
      <c r="W451" s="417" t="s">
        <v>3866</v>
      </c>
      <c r="X451" s="417"/>
      <c r="Y451" s="421" t="s">
        <v>3652</v>
      </c>
      <c r="Z451" s="421" t="s">
        <v>3652</v>
      </c>
      <c r="AA451" s="416"/>
      <c r="AB451" s="414" t="s">
        <v>3664</v>
      </c>
      <c r="AC451" s="422"/>
      <c r="AD451" s="421"/>
      <c r="AE451" s="420"/>
      <c r="AF451" s="421">
        <v>91136</v>
      </c>
      <c r="AG451" s="420" t="s">
        <v>4905</v>
      </c>
      <c r="AH451" s="421" t="s">
        <v>3770</v>
      </c>
      <c r="AI451" s="420" t="s">
        <v>4351</v>
      </c>
      <c r="AJ451" s="413" t="str">
        <f t="shared" si="29"/>
        <v>4590006249_019</v>
      </c>
      <c r="AK451" s="423"/>
      <c r="AL451" s="413"/>
      <c r="AM451" s="221"/>
      <c r="AN451" s="424"/>
      <c r="AO451" s="423"/>
      <c r="AP451" s="413"/>
      <c r="AQ451" s="222"/>
      <c r="AR451" s="424"/>
      <c r="AS451" s="614">
        <f ca="1">表格1_6[[#This Row],[total amount]]/表格1_6[[#This Row],[PO$]]</f>
        <v>0</v>
      </c>
      <c r="AT451" s="223">
        <f ca="1">表格1_6[[#This Row],[invoice amount]]+表格1_6[[#This Row],[invoice amount2]]</f>
        <v>0</v>
      </c>
      <c r="AU451" s="224"/>
      <c r="AV451" s="423"/>
      <c r="AW451" s="423" t="e">
        <f ca="1">VLOOKUP(表格1_6[[#This Row],[TI tool ID2]],工作表1!A:A,1,FALSE)</f>
        <v>#N/A</v>
      </c>
      <c r="AX451" s="425" t="e">
        <f ca="1">VLOOKUP(表格1_6[[#This Row],[PO+ITEM]],工作表1!B:E,2,FALSE)</f>
        <v>#N/A</v>
      </c>
      <c r="AY451" s="425" t="e">
        <f ca="1">VLOOKUP(表格1_6[[#This Row],[PO+ITEM]],工作表1!B:E,3,FALSE)</f>
        <v>#N/A</v>
      </c>
      <c r="AZ451" s="423" t="e">
        <f ca="1">VLOOKUP(表格1_6[[#This Row],[PO+ITEM]],工作表1!B:E,4,FALSE)</f>
        <v>#N/A</v>
      </c>
      <c r="BA451" s="425" t="e">
        <f ca="1">INDEX(工作表1!G:G, MATCH(表格1_6[[#This Row],[invoice number]]&amp;表格1_6[[#This Row],[invoice number2]],工作表1!G:G, 0))</f>
        <v>#N/A</v>
      </c>
      <c r="BB451" s="423" t="e">
        <f ca="1">VLOOKUP(表格1_6[[#This Row],[PO+ITEM]],工作表1!F:H,2,FALSE)</f>
        <v>#N/A</v>
      </c>
    </row>
    <row r="452" spans="1:54" ht="14.45">
      <c r="A452" s="413">
        <v>451</v>
      </c>
      <c r="B452" s="413" t="s">
        <v>3659</v>
      </c>
      <c r="C452" s="414" t="s">
        <v>16</v>
      </c>
      <c r="D452" s="414" t="s">
        <v>3648</v>
      </c>
      <c r="E452" s="414"/>
      <c r="F452" s="414"/>
      <c r="G452" s="414"/>
      <c r="H452" s="414"/>
      <c r="I452" s="414"/>
      <c r="J452" s="414"/>
      <c r="K452" s="414"/>
      <c r="L452" s="420" t="s">
        <v>4906</v>
      </c>
      <c r="M452" s="416" t="s">
        <v>2999</v>
      </c>
      <c r="N452" s="416" t="s">
        <v>2999</v>
      </c>
      <c r="O452" s="417"/>
      <c r="P452" s="416">
        <v>4590006249</v>
      </c>
      <c r="Q452" s="418">
        <v>44836</v>
      </c>
      <c r="R452" s="419">
        <v>20</v>
      </c>
      <c r="S452" s="458">
        <v>1164.3499999999999</v>
      </c>
      <c r="T452" s="420" t="s">
        <v>2156</v>
      </c>
      <c r="U452" s="414" t="s">
        <v>3864</v>
      </c>
      <c r="V452" s="414" t="s">
        <v>3865</v>
      </c>
      <c r="W452" s="417" t="s">
        <v>3866</v>
      </c>
      <c r="X452" s="417"/>
      <c r="Y452" s="421" t="s">
        <v>3652</v>
      </c>
      <c r="Z452" s="421" t="s">
        <v>3652</v>
      </c>
      <c r="AA452" s="416"/>
      <c r="AB452" s="414" t="s">
        <v>3664</v>
      </c>
      <c r="AC452" s="422"/>
      <c r="AD452" s="421"/>
      <c r="AE452" s="420"/>
      <c r="AF452" s="421">
        <v>91141</v>
      </c>
      <c r="AG452" s="420" t="s">
        <v>4907</v>
      </c>
      <c r="AH452" s="421" t="s">
        <v>3770</v>
      </c>
      <c r="AI452" s="420" t="s">
        <v>4351</v>
      </c>
      <c r="AJ452" s="413" t="str">
        <f t="shared" si="29"/>
        <v>4590006249_020</v>
      </c>
      <c r="AK452" s="423"/>
      <c r="AL452" s="413"/>
      <c r="AM452" s="221"/>
      <c r="AN452" s="424"/>
      <c r="AO452" s="423"/>
      <c r="AP452" s="413"/>
      <c r="AQ452" s="222"/>
      <c r="AR452" s="424"/>
      <c r="AS452" s="614">
        <f ca="1">表格1_6[[#This Row],[total amount]]/表格1_6[[#This Row],[PO$]]</f>
        <v>0</v>
      </c>
      <c r="AT452" s="223">
        <f ca="1">表格1_6[[#This Row],[invoice amount]]+表格1_6[[#This Row],[invoice amount2]]</f>
        <v>0</v>
      </c>
      <c r="AU452" s="224"/>
      <c r="AV452" s="423"/>
      <c r="AW452" s="423" t="e">
        <f ca="1">VLOOKUP(表格1_6[[#This Row],[TI tool ID2]],工作表1!A:A,1,FALSE)</f>
        <v>#N/A</v>
      </c>
      <c r="AX452" s="425" t="e">
        <f ca="1">VLOOKUP(表格1_6[[#This Row],[PO+ITEM]],工作表1!B:E,2,FALSE)</f>
        <v>#N/A</v>
      </c>
      <c r="AY452" s="425" t="e">
        <f ca="1">VLOOKUP(表格1_6[[#This Row],[PO+ITEM]],工作表1!B:E,3,FALSE)</f>
        <v>#N/A</v>
      </c>
      <c r="AZ452" s="423" t="e">
        <f ca="1">VLOOKUP(表格1_6[[#This Row],[PO+ITEM]],工作表1!B:E,4,FALSE)</f>
        <v>#N/A</v>
      </c>
      <c r="BA452" s="425" t="e">
        <f ca="1">INDEX(工作表1!G:G, MATCH(表格1_6[[#This Row],[invoice number]]&amp;表格1_6[[#This Row],[invoice number2]],工作表1!G:G, 0))</f>
        <v>#N/A</v>
      </c>
      <c r="BB452" s="423" t="e">
        <f ca="1">VLOOKUP(表格1_6[[#This Row],[PO+ITEM]],工作表1!F:H,2,FALSE)</f>
        <v>#N/A</v>
      </c>
    </row>
    <row r="453" spans="1:54" ht="14.45">
      <c r="A453" s="413">
        <v>452</v>
      </c>
      <c r="B453" s="413" t="s">
        <v>3659</v>
      </c>
      <c r="C453" s="414" t="s">
        <v>16</v>
      </c>
      <c r="D453" s="414" t="s">
        <v>3648</v>
      </c>
      <c r="E453" s="414"/>
      <c r="F453" s="414"/>
      <c r="G453" s="414"/>
      <c r="H453" s="414"/>
      <c r="I453" s="414"/>
      <c r="J453" s="414"/>
      <c r="K453" s="414"/>
      <c r="L453" s="420" t="s">
        <v>4908</v>
      </c>
      <c r="M453" s="416" t="s">
        <v>2999</v>
      </c>
      <c r="N453" s="416" t="s">
        <v>2999</v>
      </c>
      <c r="O453" s="417"/>
      <c r="P453" s="416">
        <v>4590006249</v>
      </c>
      <c r="Q453" s="418">
        <v>44836</v>
      </c>
      <c r="R453" s="419">
        <v>21</v>
      </c>
      <c r="S453" s="458">
        <v>343.07</v>
      </c>
      <c r="T453" s="420" t="s">
        <v>2156</v>
      </c>
      <c r="U453" s="414" t="s">
        <v>3864</v>
      </c>
      <c r="V453" s="414" t="s">
        <v>3865</v>
      </c>
      <c r="W453" s="417" t="s">
        <v>3866</v>
      </c>
      <c r="X453" s="417"/>
      <c r="Y453" s="421" t="s">
        <v>3652</v>
      </c>
      <c r="Z453" s="421" t="s">
        <v>3652</v>
      </c>
      <c r="AA453" s="416"/>
      <c r="AB453" s="414" t="s">
        <v>3664</v>
      </c>
      <c r="AC453" s="422"/>
      <c r="AD453" s="421"/>
      <c r="AE453" s="420"/>
      <c r="AF453" s="421">
        <v>91294</v>
      </c>
      <c r="AG453" s="420" t="s">
        <v>4909</v>
      </c>
      <c r="AH453" s="421" t="s">
        <v>3770</v>
      </c>
      <c r="AI453" s="420" t="s">
        <v>4309</v>
      </c>
      <c r="AJ453" s="413" t="str">
        <f t="shared" si="29"/>
        <v>4590006249_021</v>
      </c>
      <c r="AK453" s="423"/>
      <c r="AL453" s="413"/>
      <c r="AM453" s="221"/>
      <c r="AN453" s="424"/>
      <c r="AO453" s="423"/>
      <c r="AP453" s="413"/>
      <c r="AQ453" s="222"/>
      <c r="AR453" s="424"/>
      <c r="AS453" s="614">
        <f ca="1">表格1_6[[#This Row],[total amount]]/表格1_6[[#This Row],[PO$]]</f>
        <v>0</v>
      </c>
      <c r="AT453" s="223">
        <f ca="1">表格1_6[[#This Row],[invoice amount]]+表格1_6[[#This Row],[invoice amount2]]</f>
        <v>0</v>
      </c>
      <c r="AU453" s="224"/>
      <c r="AV453" s="423"/>
      <c r="AW453" s="423" t="e">
        <f ca="1">VLOOKUP(表格1_6[[#This Row],[TI tool ID2]],工作表1!A:A,1,FALSE)</f>
        <v>#N/A</v>
      </c>
      <c r="AX453" s="425" t="e">
        <f ca="1">VLOOKUP(表格1_6[[#This Row],[PO+ITEM]],工作表1!B:E,2,FALSE)</f>
        <v>#N/A</v>
      </c>
      <c r="AY453" s="425" t="e">
        <f ca="1">VLOOKUP(表格1_6[[#This Row],[PO+ITEM]],工作表1!B:E,3,FALSE)</f>
        <v>#N/A</v>
      </c>
      <c r="AZ453" s="423" t="e">
        <f ca="1">VLOOKUP(表格1_6[[#This Row],[PO+ITEM]],工作表1!B:E,4,FALSE)</f>
        <v>#N/A</v>
      </c>
      <c r="BA453" s="425" t="e">
        <f ca="1">INDEX(工作表1!G:G, MATCH(表格1_6[[#This Row],[invoice number]]&amp;表格1_6[[#This Row],[invoice number2]],工作表1!G:G, 0))</f>
        <v>#N/A</v>
      </c>
      <c r="BB453" s="423" t="e">
        <f ca="1">VLOOKUP(表格1_6[[#This Row],[PO+ITEM]],工作表1!F:H,2,FALSE)</f>
        <v>#N/A</v>
      </c>
    </row>
    <row r="454" spans="1:54" ht="14.45">
      <c r="A454" s="413">
        <v>453</v>
      </c>
      <c r="B454" s="413" t="s">
        <v>3659</v>
      </c>
      <c r="C454" s="414" t="s">
        <v>16</v>
      </c>
      <c r="D454" s="414" t="s">
        <v>3648</v>
      </c>
      <c r="E454" s="414"/>
      <c r="F454" s="414"/>
      <c r="G454" s="414"/>
      <c r="H454" s="414"/>
      <c r="I454" s="414"/>
      <c r="J454" s="414"/>
      <c r="K454" s="414"/>
      <c r="L454" s="420" t="s">
        <v>4910</v>
      </c>
      <c r="M454" s="416" t="s">
        <v>2999</v>
      </c>
      <c r="N454" s="416" t="s">
        <v>2999</v>
      </c>
      <c r="O454" s="417"/>
      <c r="P454" s="416">
        <v>4590006249</v>
      </c>
      <c r="Q454" s="418">
        <v>44836</v>
      </c>
      <c r="R454" s="419">
        <v>22</v>
      </c>
      <c r="S454" s="458">
        <v>343.07</v>
      </c>
      <c r="T454" s="420" t="s">
        <v>2156</v>
      </c>
      <c r="U454" s="414" t="s">
        <v>3864</v>
      </c>
      <c r="V454" s="414" t="s">
        <v>3865</v>
      </c>
      <c r="W454" s="417" t="s">
        <v>3866</v>
      </c>
      <c r="X454" s="417"/>
      <c r="Y454" s="421" t="s">
        <v>3652</v>
      </c>
      <c r="Z454" s="421" t="s">
        <v>3652</v>
      </c>
      <c r="AA454" s="416"/>
      <c r="AB454" s="414" t="s">
        <v>3664</v>
      </c>
      <c r="AC454" s="422"/>
      <c r="AD454" s="421"/>
      <c r="AE454" s="420"/>
      <c r="AF454" s="421">
        <v>91024</v>
      </c>
      <c r="AG454" s="420" t="s">
        <v>4911</v>
      </c>
      <c r="AH454" s="421" t="s">
        <v>3770</v>
      </c>
      <c r="AI454" s="420" t="s">
        <v>4309</v>
      </c>
      <c r="AJ454" s="413" t="str">
        <f t="shared" si="29"/>
        <v>4590006249_022</v>
      </c>
      <c r="AK454" s="423"/>
      <c r="AL454" s="413"/>
      <c r="AM454" s="221"/>
      <c r="AN454" s="424"/>
      <c r="AO454" s="423"/>
      <c r="AP454" s="413"/>
      <c r="AQ454" s="222"/>
      <c r="AR454" s="424"/>
      <c r="AS454" s="614">
        <f ca="1">表格1_6[[#This Row],[total amount]]/表格1_6[[#This Row],[PO$]]</f>
        <v>0</v>
      </c>
      <c r="AT454" s="223">
        <f ca="1">表格1_6[[#This Row],[invoice amount]]+表格1_6[[#This Row],[invoice amount2]]</f>
        <v>0</v>
      </c>
      <c r="AU454" s="224"/>
      <c r="AV454" s="423"/>
      <c r="AW454" s="423" t="e">
        <f ca="1">VLOOKUP(表格1_6[[#This Row],[TI tool ID2]],工作表1!A:A,1,FALSE)</f>
        <v>#N/A</v>
      </c>
      <c r="AX454" s="425" t="e">
        <f ca="1">VLOOKUP(表格1_6[[#This Row],[PO+ITEM]],工作表1!B:E,2,FALSE)</f>
        <v>#N/A</v>
      </c>
      <c r="AY454" s="425" t="e">
        <f ca="1">VLOOKUP(表格1_6[[#This Row],[PO+ITEM]],工作表1!B:E,3,FALSE)</f>
        <v>#N/A</v>
      </c>
      <c r="AZ454" s="423" t="e">
        <f ca="1">VLOOKUP(表格1_6[[#This Row],[PO+ITEM]],工作表1!B:E,4,FALSE)</f>
        <v>#N/A</v>
      </c>
      <c r="BA454" s="425" t="e">
        <f ca="1">INDEX(工作表1!G:G, MATCH(表格1_6[[#This Row],[invoice number]]&amp;表格1_6[[#This Row],[invoice number2]],工作表1!G:G, 0))</f>
        <v>#N/A</v>
      </c>
      <c r="BB454" s="423" t="e">
        <f ca="1">VLOOKUP(表格1_6[[#This Row],[PO+ITEM]],工作表1!F:H,2,FALSE)</f>
        <v>#N/A</v>
      </c>
    </row>
    <row r="455" spans="1:54" ht="14.45">
      <c r="A455" s="413">
        <v>454</v>
      </c>
      <c r="B455" s="413" t="s">
        <v>3659</v>
      </c>
      <c r="C455" s="414" t="s">
        <v>16</v>
      </c>
      <c r="D455" s="414" t="s">
        <v>3648</v>
      </c>
      <c r="E455" s="414"/>
      <c r="F455" s="414"/>
      <c r="G455" s="414"/>
      <c r="H455" s="414"/>
      <c r="I455" s="414"/>
      <c r="J455" s="414"/>
      <c r="K455" s="414"/>
      <c r="L455" s="420" t="s">
        <v>4912</v>
      </c>
      <c r="M455" s="416" t="s">
        <v>2999</v>
      </c>
      <c r="N455" s="416" t="s">
        <v>2999</v>
      </c>
      <c r="O455" s="417"/>
      <c r="P455" s="416">
        <v>4590006249</v>
      </c>
      <c r="Q455" s="418">
        <v>44836</v>
      </c>
      <c r="R455" s="419">
        <v>23</v>
      </c>
      <c r="S455" s="458">
        <v>815.01</v>
      </c>
      <c r="T455" s="420" t="s">
        <v>2156</v>
      </c>
      <c r="U455" s="414" t="s">
        <v>3864</v>
      </c>
      <c r="V455" s="414" t="s">
        <v>3865</v>
      </c>
      <c r="W455" s="417" t="s">
        <v>3866</v>
      </c>
      <c r="X455" s="417"/>
      <c r="Y455" s="421" t="s">
        <v>3652</v>
      </c>
      <c r="Z455" s="421" t="s">
        <v>3652</v>
      </c>
      <c r="AA455" s="416"/>
      <c r="AB455" s="414" t="s">
        <v>3664</v>
      </c>
      <c r="AC455" s="422"/>
      <c r="AD455" s="421"/>
      <c r="AE455" s="420"/>
      <c r="AF455" s="421">
        <v>91024</v>
      </c>
      <c r="AG455" s="420" t="s">
        <v>4911</v>
      </c>
      <c r="AH455" s="421" t="s">
        <v>3770</v>
      </c>
      <c r="AI455" s="420" t="s">
        <v>4309</v>
      </c>
      <c r="AJ455" s="413" t="str">
        <f t="shared" si="29"/>
        <v>4590006249_023</v>
      </c>
      <c r="AK455" s="423"/>
      <c r="AL455" s="413"/>
      <c r="AM455" s="221"/>
      <c r="AN455" s="424"/>
      <c r="AO455" s="423"/>
      <c r="AP455" s="413"/>
      <c r="AQ455" s="222"/>
      <c r="AR455" s="424"/>
      <c r="AS455" s="614">
        <f ca="1">表格1_6[[#This Row],[total amount]]/表格1_6[[#This Row],[PO$]]</f>
        <v>0</v>
      </c>
      <c r="AT455" s="223">
        <f ca="1">表格1_6[[#This Row],[invoice amount]]+表格1_6[[#This Row],[invoice amount2]]</f>
        <v>0</v>
      </c>
      <c r="AU455" s="224"/>
      <c r="AV455" s="423"/>
      <c r="AW455" s="423" t="e">
        <f ca="1">VLOOKUP(表格1_6[[#This Row],[TI tool ID2]],工作表1!A:A,1,FALSE)</f>
        <v>#N/A</v>
      </c>
      <c r="AX455" s="425" t="e">
        <f ca="1">VLOOKUP(表格1_6[[#This Row],[PO+ITEM]],工作表1!B:E,2,FALSE)</f>
        <v>#N/A</v>
      </c>
      <c r="AY455" s="425" t="e">
        <f ca="1">VLOOKUP(表格1_6[[#This Row],[PO+ITEM]],工作表1!B:E,3,FALSE)</f>
        <v>#N/A</v>
      </c>
      <c r="AZ455" s="423" t="e">
        <f ca="1">VLOOKUP(表格1_6[[#This Row],[PO+ITEM]],工作表1!B:E,4,FALSE)</f>
        <v>#N/A</v>
      </c>
      <c r="BA455" s="425" t="e">
        <f ca="1">INDEX(工作表1!G:G, MATCH(表格1_6[[#This Row],[invoice number]]&amp;表格1_6[[#This Row],[invoice number2]],工作表1!G:G, 0))</f>
        <v>#N/A</v>
      </c>
      <c r="BB455" s="423" t="e">
        <f ca="1">VLOOKUP(表格1_6[[#This Row],[PO+ITEM]],工作表1!F:H,2,FALSE)</f>
        <v>#N/A</v>
      </c>
    </row>
    <row r="456" spans="1:54" ht="14.45">
      <c r="A456" s="413">
        <v>455</v>
      </c>
      <c r="B456" s="413" t="s">
        <v>3659</v>
      </c>
      <c r="C456" s="414" t="s">
        <v>16</v>
      </c>
      <c r="D456" s="414" t="s">
        <v>3648</v>
      </c>
      <c r="E456" s="414"/>
      <c r="F456" s="414"/>
      <c r="G456" s="414"/>
      <c r="H456" s="414"/>
      <c r="I456" s="414"/>
      <c r="J456" s="414"/>
      <c r="K456" s="414"/>
      <c r="L456" s="420" t="s">
        <v>4913</v>
      </c>
      <c r="M456" s="416" t="s">
        <v>2999</v>
      </c>
      <c r="N456" s="416" t="s">
        <v>2999</v>
      </c>
      <c r="O456" s="417"/>
      <c r="P456" s="416">
        <v>4590006249</v>
      </c>
      <c r="Q456" s="418">
        <v>44836</v>
      </c>
      <c r="R456" s="419">
        <v>24</v>
      </c>
      <c r="S456" s="458">
        <v>343.07</v>
      </c>
      <c r="T456" s="420" t="s">
        <v>2156</v>
      </c>
      <c r="U456" s="414" t="s">
        <v>3864</v>
      </c>
      <c r="V456" s="414" t="s">
        <v>3865</v>
      </c>
      <c r="W456" s="417" t="s">
        <v>3866</v>
      </c>
      <c r="X456" s="417"/>
      <c r="Y456" s="421" t="s">
        <v>3652</v>
      </c>
      <c r="Z456" s="421" t="s">
        <v>3652</v>
      </c>
      <c r="AA456" s="416"/>
      <c r="AB456" s="414" t="s">
        <v>3664</v>
      </c>
      <c r="AC456" s="422"/>
      <c r="AD456" s="421"/>
      <c r="AE456" s="420"/>
      <c r="AF456" s="421">
        <v>91025</v>
      </c>
      <c r="AG456" s="420" t="s">
        <v>4914</v>
      </c>
      <c r="AH456" s="421" t="s">
        <v>3770</v>
      </c>
      <c r="AI456" s="420" t="s">
        <v>4309</v>
      </c>
      <c r="AJ456" s="413" t="str">
        <f t="shared" si="29"/>
        <v>4590006249_024</v>
      </c>
      <c r="AK456" s="423"/>
      <c r="AL456" s="413"/>
      <c r="AM456" s="221"/>
      <c r="AN456" s="424"/>
      <c r="AO456" s="423"/>
      <c r="AP456" s="413"/>
      <c r="AQ456" s="222"/>
      <c r="AR456" s="424"/>
      <c r="AS456" s="614">
        <f ca="1">表格1_6[[#This Row],[total amount]]/表格1_6[[#This Row],[PO$]]</f>
        <v>0</v>
      </c>
      <c r="AT456" s="223">
        <f ca="1">表格1_6[[#This Row],[invoice amount]]+表格1_6[[#This Row],[invoice amount2]]</f>
        <v>0</v>
      </c>
      <c r="AU456" s="224"/>
      <c r="AV456" s="423"/>
      <c r="AW456" s="423" t="e">
        <f ca="1">VLOOKUP(表格1_6[[#This Row],[TI tool ID2]],工作表1!A:A,1,FALSE)</f>
        <v>#N/A</v>
      </c>
      <c r="AX456" s="425" t="e">
        <f ca="1">VLOOKUP(表格1_6[[#This Row],[PO+ITEM]],工作表1!B:E,2,FALSE)</f>
        <v>#N/A</v>
      </c>
      <c r="AY456" s="425" t="e">
        <f ca="1">VLOOKUP(表格1_6[[#This Row],[PO+ITEM]],工作表1!B:E,3,FALSE)</f>
        <v>#N/A</v>
      </c>
      <c r="AZ456" s="423" t="e">
        <f ca="1">VLOOKUP(表格1_6[[#This Row],[PO+ITEM]],工作表1!B:E,4,FALSE)</f>
        <v>#N/A</v>
      </c>
      <c r="BA456" s="425" t="e">
        <f ca="1">INDEX(工作表1!G:G, MATCH(表格1_6[[#This Row],[invoice number]]&amp;表格1_6[[#This Row],[invoice number2]],工作表1!G:G, 0))</f>
        <v>#N/A</v>
      </c>
      <c r="BB456" s="423" t="e">
        <f ca="1">VLOOKUP(表格1_6[[#This Row],[PO+ITEM]],工作表1!F:H,2,FALSE)</f>
        <v>#N/A</v>
      </c>
    </row>
    <row r="457" spans="1:54" ht="14.45">
      <c r="A457" s="413">
        <v>456</v>
      </c>
      <c r="B457" s="413" t="s">
        <v>3659</v>
      </c>
      <c r="C457" s="414" t="s">
        <v>16</v>
      </c>
      <c r="D457" s="414" t="s">
        <v>3648</v>
      </c>
      <c r="E457" s="414"/>
      <c r="F457" s="414"/>
      <c r="G457" s="414"/>
      <c r="H457" s="414"/>
      <c r="I457" s="414"/>
      <c r="J457" s="414"/>
      <c r="K457" s="414"/>
      <c r="L457" s="420" t="s">
        <v>4915</v>
      </c>
      <c r="M457" s="416" t="s">
        <v>2999</v>
      </c>
      <c r="N457" s="416" t="s">
        <v>2999</v>
      </c>
      <c r="O457" s="417"/>
      <c r="P457" s="416">
        <v>4590006249</v>
      </c>
      <c r="Q457" s="418">
        <v>44836</v>
      </c>
      <c r="R457" s="419">
        <v>25</v>
      </c>
      <c r="S457" s="458">
        <v>343.07</v>
      </c>
      <c r="T457" s="420" t="s">
        <v>2156</v>
      </c>
      <c r="U457" s="414" t="s">
        <v>3864</v>
      </c>
      <c r="V457" s="414" t="s">
        <v>3865</v>
      </c>
      <c r="W457" s="417" t="s">
        <v>3866</v>
      </c>
      <c r="X457" s="417"/>
      <c r="Y457" s="421" t="s">
        <v>3652</v>
      </c>
      <c r="Z457" s="421" t="s">
        <v>3652</v>
      </c>
      <c r="AA457" s="416"/>
      <c r="AB457" s="414" t="s">
        <v>3664</v>
      </c>
      <c r="AC457" s="422"/>
      <c r="AD457" s="421"/>
      <c r="AE457" s="420"/>
      <c r="AF457" s="421">
        <v>91030</v>
      </c>
      <c r="AG457" s="420" t="s">
        <v>4916</v>
      </c>
      <c r="AH457" s="421" t="s">
        <v>3770</v>
      </c>
      <c r="AI457" s="420" t="s">
        <v>4309</v>
      </c>
      <c r="AJ457" s="413" t="str">
        <f t="shared" si="29"/>
        <v>4590006249_025</v>
      </c>
      <c r="AK457" s="423"/>
      <c r="AL457" s="413"/>
      <c r="AM457" s="221"/>
      <c r="AN457" s="424"/>
      <c r="AO457" s="423"/>
      <c r="AP457" s="413"/>
      <c r="AQ457" s="222"/>
      <c r="AR457" s="424"/>
      <c r="AS457" s="614">
        <f ca="1">表格1_6[[#This Row],[total amount]]/表格1_6[[#This Row],[PO$]]</f>
        <v>0</v>
      </c>
      <c r="AT457" s="223">
        <f ca="1">表格1_6[[#This Row],[invoice amount]]+表格1_6[[#This Row],[invoice amount2]]</f>
        <v>0</v>
      </c>
      <c r="AU457" s="224"/>
      <c r="AV457" s="423"/>
      <c r="AW457" s="423" t="e">
        <f ca="1">VLOOKUP(表格1_6[[#This Row],[TI tool ID2]],工作表1!A:A,1,FALSE)</f>
        <v>#N/A</v>
      </c>
      <c r="AX457" s="425" t="e">
        <f ca="1">VLOOKUP(表格1_6[[#This Row],[PO+ITEM]],工作表1!B:E,2,FALSE)</f>
        <v>#N/A</v>
      </c>
      <c r="AY457" s="425" t="e">
        <f ca="1">VLOOKUP(表格1_6[[#This Row],[PO+ITEM]],工作表1!B:E,3,FALSE)</f>
        <v>#N/A</v>
      </c>
      <c r="AZ457" s="423" t="e">
        <f ca="1">VLOOKUP(表格1_6[[#This Row],[PO+ITEM]],工作表1!B:E,4,FALSE)</f>
        <v>#N/A</v>
      </c>
      <c r="BA457" s="425" t="e">
        <f ca="1">INDEX(工作表1!G:G, MATCH(表格1_6[[#This Row],[invoice number]]&amp;表格1_6[[#This Row],[invoice number2]],工作表1!G:G, 0))</f>
        <v>#N/A</v>
      </c>
      <c r="BB457" s="423" t="e">
        <f ca="1">VLOOKUP(表格1_6[[#This Row],[PO+ITEM]],工作表1!F:H,2,FALSE)</f>
        <v>#N/A</v>
      </c>
    </row>
    <row r="458" spans="1:54" ht="14.45">
      <c r="A458" s="413">
        <v>457</v>
      </c>
      <c r="B458" s="413" t="s">
        <v>3659</v>
      </c>
      <c r="C458" s="414" t="s">
        <v>16</v>
      </c>
      <c r="D458" s="414" t="s">
        <v>3648</v>
      </c>
      <c r="E458" s="414"/>
      <c r="F458" s="414"/>
      <c r="G458" s="414"/>
      <c r="H458" s="414"/>
      <c r="I458" s="414"/>
      <c r="J458" s="414"/>
      <c r="K458" s="414"/>
      <c r="L458" s="415" t="s">
        <v>4917</v>
      </c>
      <c r="M458" s="416" t="s">
        <v>2999</v>
      </c>
      <c r="N458" s="416" t="s">
        <v>2999</v>
      </c>
      <c r="O458" s="417"/>
      <c r="P458" s="416">
        <v>4590006250</v>
      </c>
      <c r="Q458" s="418">
        <v>44836</v>
      </c>
      <c r="R458" s="419">
        <v>1</v>
      </c>
      <c r="S458" s="458">
        <v>343.07</v>
      </c>
      <c r="T458" s="420" t="s">
        <v>2156</v>
      </c>
      <c r="U458" s="414" t="s">
        <v>3864</v>
      </c>
      <c r="V458" s="414" t="s">
        <v>3865</v>
      </c>
      <c r="W458" s="417" t="s">
        <v>3866</v>
      </c>
      <c r="X458" s="417"/>
      <c r="Y458" s="421" t="s">
        <v>3652</v>
      </c>
      <c r="Z458" s="421" t="s">
        <v>3652</v>
      </c>
      <c r="AA458" s="416" t="s">
        <v>3767</v>
      </c>
      <c r="AB458" s="414" t="s">
        <v>3664</v>
      </c>
      <c r="AC458" s="422"/>
      <c r="AD458" s="421"/>
      <c r="AE458" s="420"/>
      <c r="AF458" s="421">
        <v>91074</v>
      </c>
      <c r="AG458" s="420" t="s">
        <v>3109</v>
      </c>
      <c r="AH458" s="421" t="s">
        <v>3770</v>
      </c>
      <c r="AI458" s="420" t="s">
        <v>4309</v>
      </c>
      <c r="AJ458" s="413" t="str">
        <f t="shared" ref="AJ458:AJ466" si="30">P458&amp;"_00"&amp;R458</f>
        <v>4590006250_001</v>
      </c>
      <c r="AK458" s="423"/>
      <c r="AL458" s="413"/>
      <c r="AM458" s="221"/>
      <c r="AN458" s="424"/>
      <c r="AO458" s="423"/>
      <c r="AP458" s="413"/>
      <c r="AQ458" s="222"/>
      <c r="AR458" s="424"/>
      <c r="AS458" s="614">
        <f ca="1">表格1_6[[#This Row],[total amount]]/表格1_6[[#This Row],[PO$]]</f>
        <v>0</v>
      </c>
      <c r="AT458" s="223">
        <f ca="1">表格1_6[[#This Row],[invoice amount]]+表格1_6[[#This Row],[invoice amount2]]</f>
        <v>0</v>
      </c>
      <c r="AU458" s="224"/>
      <c r="AV458" s="423"/>
      <c r="AW458" s="423" t="e">
        <f ca="1">VLOOKUP(表格1_6[[#This Row],[TI tool ID2]],工作表1!A:A,1,FALSE)</f>
        <v>#N/A</v>
      </c>
      <c r="AX458" s="425" t="e">
        <f ca="1">VLOOKUP(表格1_6[[#This Row],[PO+ITEM]],工作表1!B:E,2,FALSE)</f>
        <v>#N/A</v>
      </c>
      <c r="AY458" s="425" t="e">
        <f ca="1">VLOOKUP(表格1_6[[#This Row],[PO+ITEM]],工作表1!B:E,3,FALSE)</f>
        <v>#N/A</v>
      </c>
      <c r="AZ458" s="423" t="e">
        <f ca="1">VLOOKUP(表格1_6[[#This Row],[PO+ITEM]],工作表1!B:E,4,FALSE)</f>
        <v>#N/A</v>
      </c>
      <c r="BA458" s="425" t="e">
        <f ca="1">INDEX(工作表1!G:G, MATCH(表格1_6[[#This Row],[invoice number]]&amp;表格1_6[[#This Row],[invoice number2]],工作表1!G:G, 0))</f>
        <v>#N/A</v>
      </c>
      <c r="BB458" s="423" t="e">
        <f ca="1">VLOOKUP(表格1_6[[#This Row],[PO+ITEM]],工作表1!F:H,2,FALSE)</f>
        <v>#N/A</v>
      </c>
    </row>
    <row r="459" spans="1:54" ht="14.45">
      <c r="A459" s="413">
        <v>458</v>
      </c>
      <c r="B459" s="413" t="s">
        <v>3659</v>
      </c>
      <c r="C459" s="414" t="s">
        <v>16</v>
      </c>
      <c r="D459" s="414" t="s">
        <v>3648</v>
      </c>
      <c r="E459" s="414"/>
      <c r="F459" s="414"/>
      <c r="G459" s="414"/>
      <c r="H459" s="414"/>
      <c r="I459" s="414"/>
      <c r="J459" s="414"/>
      <c r="K459" s="414"/>
      <c r="L459" s="415" t="s">
        <v>4918</v>
      </c>
      <c r="M459" s="416" t="s">
        <v>2999</v>
      </c>
      <c r="N459" s="416" t="s">
        <v>2999</v>
      </c>
      <c r="O459" s="417"/>
      <c r="P459" s="416">
        <v>4590006250</v>
      </c>
      <c r="Q459" s="418">
        <v>44836</v>
      </c>
      <c r="R459" s="419">
        <v>2</v>
      </c>
      <c r="S459" s="458">
        <v>343.07</v>
      </c>
      <c r="T459" s="420" t="s">
        <v>2156</v>
      </c>
      <c r="U459" s="414" t="s">
        <v>3864</v>
      </c>
      <c r="V459" s="414" t="s">
        <v>3865</v>
      </c>
      <c r="W459" s="417" t="s">
        <v>3866</v>
      </c>
      <c r="X459" s="417"/>
      <c r="Y459" s="421" t="s">
        <v>3652</v>
      </c>
      <c r="Z459" s="421" t="s">
        <v>3652</v>
      </c>
      <c r="AA459" s="416" t="s">
        <v>3767</v>
      </c>
      <c r="AB459" s="414" t="s">
        <v>3664</v>
      </c>
      <c r="AC459" s="422"/>
      <c r="AD459" s="421"/>
      <c r="AE459" s="420"/>
      <c r="AF459" s="421">
        <v>91075</v>
      </c>
      <c r="AG459" s="420" t="s">
        <v>3110</v>
      </c>
      <c r="AH459" s="421" t="s">
        <v>3770</v>
      </c>
      <c r="AI459" s="420" t="s">
        <v>4309</v>
      </c>
      <c r="AJ459" s="413" t="str">
        <f t="shared" si="30"/>
        <v>4590006250_002</v>
      </c>
      <c r="AK459" s="423"/>
      <c r="AL459" s="413"/>
      <c r="AM459" s="221"/>
      <c r="AN459" s="424"/>
      <c r="AO459" s="423"/>
      <c r="AP459" s="413"/>
      <c r="AQ459" s="222"/>
      <c r="AR459" s="424"/>
      <c r="AS459" s="614">
        <f ca="1">表格1_6[[#This Row],[total amount]]/表格1_6[[#This Row],[PO$]]</f>
        <v>0</v>
      </c>
      <c r="AT459" s="223">
        <f ca="1">表格1_6[[#This Row],[invoice amount]]+表格1_6[[#This Row],[invoice amount2]]</f>
        <v>0</v>
      </c>
      <c r="AU459" s="224"/>
      <c r="AV459" s="423"/>
      <c r="AW459" s="423" t="e">
        <f ca="1">VLOOKUP(表格1_6[[#This Row],[TI tool ID2]],工作表1!A:A,1,FALSE)</f>
        <v>#N/A</v>
      </c>
      <c r="AX459" s="425" t="e">
        <f ca="1">VLOOKUP(表格1_6[[#This Row],[PO+ITEM]],工作表1!B:E,2,FALSE)</f>
        <v>#N/A</v>
      </c>
      <c r="AY459" s="425" t="e">
        <f ca="1">VLOOKUP(表格1_6[[#This Row],[PO+ITEM]],工作表1!B:E,3,FALSE)</f>
        <v>#N/A</v>
      </c>
      <c r="AZ459" s="423" t="e">
        <f ca="1">VLOOKUP(表格1_6[[#This Row],[PO+ITEM]],工作表1!B:E,4,FALSE)</f>
        <v>#N/A</v>
      </c>
      <c r="BA459" s="425" t="e">
        <f ca="1">INDEX(工作表1!G:G, MATCH(表格1_6[[#This Row],[invoice number]]&amp;表格1_6[[#This Row],[invoice number2]],工作表1!G:G, 0))</f>
        <v>#N/A</v>
      </c>
      <c r="BB459" s="423" t="e">
        <f ca="1">VLOOKUP(表格1_6[[#This Row],[PO+ITEM]],工作表1!F:H,2,FALSE)</f>
        <v>#N/A</v>
      </c>
    </row>
    <row r="460" spans="1:54" s="429" customFormat="1" ht="14.45">
      <c r="A460" s="413">
        <v>459</v>
      </c>
      <c r="B460" s="566" t="s">
        <v>3765</v>
      </c>
      <c r="C460" s="509" t="s">
        <v>16</v>
      </c>
      <c r="D460" s="509" t="s">
        <v>3648</v>
      </c>
      <c r="E460" s="509"/>
      <c r="F460" s="509"/>
      <c r="G460" s="509"/>
      <c r="H460" s="509"/>
      <c r="I460" s="509"/>
      <c r="J460" s="509"/>
      <c r="K460" s="509"/>
      <c r="L460" s="524" t="s">
        <v>4919</v>
      </c>
      <c r="M460" s="510" t="s">
        <v>2999</v>
      </c>
      <c r="N460" s="510" t="s">
        <v>2999</v>
      </c>
      <c r="O460" s="511"/>
      <c r="P460" s="510">
        <v>4590006250</v>
      </c>
      <c r="Q460" s="590"/>
      <c r="R460" s="517">
        <v>3</v>
      </c>
      <c r="S460" s="545"/>
      <c r="T460" s="513" t="s">
        <v>2156</v>
      </c>
      <c r="U460" s="509" t="s">
        <v>3864</v>
      </c>
      <c r="V460" s="509" t="s">
        <v>3865</v>
      </c>
      <c r="W460" s="511" t="s">
        <v>3866</v>
      </c>
      <c r="X460" s="511"/>
      <c r="Y460" s="514" t="s">
        <v>3652</v>
      </c>
      <c r="Z460" s="514" t="s">
        <v>3652</v>
      </c>
      <c r="AA460" s="510" t="s">
        <v>3767</v>
      </c>
      <c r="AB460" s="509" t="s">
        <v>3664</v>
      </c>
      <c r="AC460" s="515"/>
      <c r="AD460" s="514"/>
      <c r="AE460" s="513"/>
      <c r="AF460" s="514">
        <v>91084</v>
      </c>
      <c r="AG460" s="513" t="s">
        <v>3111</v>
      </c>
      <c r="AH460" s="514" t="s">
        <v>3770</v>
      </c>
      <c r="AI460" s="513" t="s">
        <v>4309</v>
      </c>
      <c r="AJ460" s="516" t="str">
        <f t="shared" si="30"/>
        <v>4590006250_003</v>
      </c>
      <c r="AK460" s="518"/>
      <c r="AL460" s="516"/>
      <c r="AM460" s="519"/>
      <c r="AN460" s="520"/>
      <c r="AO460" s="518"/>
      <c r="AP460" s="516"/>
      <c r="AQ460" s="521"/>
      <c r="AR460" s="520"/>
      <c r="AS460" s="615"/>
      <c r="AT460" s="572">
        <f ca="1">表格1_6[[#This Row],[invoice amount]]+表格1_6[[#This Row],[invoice amount2]]</f>
        <v>0</v>
      </c>
      <c r="AU460" s="566" t="s">
        <v>3765</v>
      </c>
      <c r="AV460" s="522"/>
      <c r="AW460" s="522" t="e">
        <f ca="1">VLOOKUP(表格1_6[[#This Row],[TI tool ID2]],工作表1!A:A,1,FALSE)</f>
        <v>#N/A</v>
      </c>
      <c r="AX460" s="523" t="e">
        <f ca="1">VLOOKUP(表格1_6[[#This Row],[PO+ITEM]],工作表1!B:E,2,FALSE)</f>
        <v>#N/A</v>
      </c>
      <c r="AY460" s="523" t="e">
        <f ca="1">VLOOKUP(表格1_6[[#This Row],[PO+ITEM]],工作表1!B:E,3,FALSE)</f>
        <v>#N/A</v>
      </c>
      <c r="AZ460" s="522" t="e">
        <f ca="1">VLOOKUP(表格1_6[[#This Row],[PO+ITEM]],工作表1!B:E,4,FALSE)</f>
        <v>#N/A</v>
      </c>
      <c r="BA460" s="425" t="e">
        <f ca="1">INDEX(工作表1!G:G, MATCH(表格1_6[[#This Row],[invoice number]]&amp;表格1_6[[#This Row],[invoice number2]],工作表1!G:G, 0))</f>
        <v>#N/A</v>
      </c>
      <c r="BB460" s="522" t="e">
        <f ca="1">VLOOKUP(表格1_6[[#This Row],[PO+ITEM]],工作表1!F:H,2,FALSE)</f>
        <v>#N/A</v>
      </c>
    </row>
    <row r="461" spans="1:54" ht="14.45">
      <c r="A461" s="413">
        <v>460</v>
      </c>
      <c r="B461" s="413" t="s">
        <v>3659</v>
      </c>
      <c r="C461" s="414" t="s">
        <v>16</v>
      </c>
      <c r="D461" s="414" t="s">
        <v>3648</v>
      </c>
      <c r="E461" s="414"/>
      <c r="F461" s="414"/>
      <c r="G461" s="414"/>
      <c r="H461" s="414"/>
      <c r="I461" s="414"/>
      <c r="J461" s="414"/>
      <c r="K461" s="414"/>
      <c r="L461" s="415" t="s">
        <v>4920</v>
      </c>
      <c r="M461" s="416" t="s">
        <v>2999</v>
      </c>
      <c r="N461" s="416" t="s">
        <v>2999</v>
      </c>
      <c r="O461" s="417"/>
      <c r="P461" s="416">
        <v>4590006250</v>
      </c>
      <c r="Q461" s="418">
        <v>44836</v>
      </c>
      <c r="R461" s="419">
        <v>4</v>
      </c>
      <c r="S461" s="458">
        <v>14109.38</v>
      </c>
      <c r="T461" s="420" t="s">
        <v>2156</v>
      </c>
      <c r="U461" s="414" t="s">
        <v>3864</v>
      </c>
      <c r="V461" s="414" t="s">
        <v>3865</v>
      </c>
      <c r="W461" s="417" t="s">
        <v>3866</v>
      </c>
      <c r="X461" s="417"/>
      <c r="Y461" s="421" t="s">
        <v>3652</v>
      </c>
      <c r="Z461" s="421" t="s">
        <v>3652</v>
      </c>
      <c r="AA461" s="416" t="s">
        <v>3767</v>
      </c>
      <c r="AB461" s="414" t="s">
        <v>3664</v>
      </c>
      <c r="AC461" s="422"/>
      <c r="AD461" s="421"/>
      <c r="AE461" s="420"/>
      <c r="AF461" s="421">
        <v>91345</v>
      </c>
      <c r="AG461" s="420" t="s">
        <v>3814</v>
      </c>
      <c r="AH461" s="421" t="s">
        <v>3770</v>
      </c>
      <c r="AI461" s="420" t="s">
        <v>3719</v>
      </c>
      <c r="AJ461" s="413" t="str">
        <f t="shared" si="30"/>
        <v>4590006250_004</v>
      </c>
      <c r="AK461" s="423"/>
      <c r="AL461" s="413"/>
      <c r="AM461" s="221"/>
      <c r="AN461" s="424"/>
      <c r="AO461" s="423"/>
      <c r="AP461" s="413"/>
      <c r="AQ461" s="222"/>
      <c r="AR461" s="424"/>
      <c r="AS461" s="614">
        <f ca="1">表格1_6[[#This Row],[total amount]]/表格1_6[[#This Row],[PO$]]</f>
        <v>0</v>
      </c>
      <c r="AT461" s="223">
        <f ca="1">表格1_6[[#This Row],[invoice amount]]+表格1_6[[#This Row],[invoice amount2]]</f>
        <v>0</v>
      </c>
      <c r="AU461" s="224"/>
      <c r="AV461" s="423"/>
      <c r="AW461" s="423" t="e">
        <f ca="1">VLOOKUP(表格1_6[[#This Row],[TI tool ID2]],工作表1!A:A,1,FALSE)</f>
        <v>#N/A</v>
      </c>
      <c r="AX461" s="425" t="e">
        <f ca="1">VLOOKUP(表格1_6[[#This Row],[PO+ITEM]],工作表1!B:E,2,FALSE)</f>
        <v>#N/A</v>
      </c>
      <c r="AY461" s="425" t="e">
        <f ca="1">VLOOKUP(表格1_6[[#This Row],[PO+ITEM]],工作表1!B:E,3,FALSE)</f>
        <v>#N/A</v>
      </c>
      <c r="AZ461" s="423" t="e">
        <f ca="1">VLOOKUP(表格1_6[[#This Row],[PO+ITEM]],工作表1!B:E,4,FALSE)</f>
        <v>#N/A</v>
      </c>
      <c r="BA461" s="425" t="e">
        <f ca="1">INDEX(工作表1!G:G, MATCH(表格1_6[[#This Row],[invoice number]]&amp;表格1_6[[#This Row],[invoice number2]],工作表1!G:G, 0))</f>
        <v>#N/A</v>
      </c>
      <c r="BB461" s="423" t="e">
        <f ca="1">VLOOKUP(表格1_6[[#This Row],[PO+ITEM]],工作表1!F:H,2,FALSE)</f>
        <v>#N/A</v>
      </c>
    </row>
    <row r="462" spans="1:54" ht="14.45">
      <c r="A462" s="413">
        <v>461</v>
      </c>
      <c r="B462" s="413" t="s">
        <v>3659</v>
      </c>
      <c r="C462" s="414" t="s">
        <v>16</v>
      </c>
      <c r="D462" s="414" t="s">
        <v>3648</v>
      </c>
      <c r="E462" s="414"/>
      <c r="F462" s="414"/>
      <c r="G462" s="414"/>
      <c r="H462" s="414"/>
      <c r="I462" s="414"/>
      <c r="J462" s="414"/>
      <c r="K462" s="414"/>
      <c r="L462" s="415" t="s">
        <v>4921</v>
      </c>
      <c r="M462" s="416" t="s">
        <v>2999</v>
      </c>
      <c r="N462" s="416" t="s">
        <v>2999</v>
      </c>
      <c r="O462" s="417"/>
      <c r="P462" s="416">
        <v>4590006250</v>
      </c>
      <c r="Q462" s="418">
        <v>44836</v>
      </c>
      <c r="R462" s="419">
        <v>5</v>
      </c>
      <c r="S462" s="458">
        <v>14109.38</v>
      </c>
      <c r="T462" s="420" t="s">
        <v>2156</v>
      </c>
      <c r="U462" s="414" t="s">
        <v>3864</v>
      </c>
      <c r="V462" s="414" t="s">
        <v>3865</v>
      </c>
      <c r="W462" s="417" t="s">
        <v>3866</v>
      </c>
      <c r="X462" s="417"/>
      <c r="Y462" s="421" t="s">
        <v>3652</v>
      </c>
      <c r="Z462" s="421" t="s">
        <v>3652</v>
      </c>
      <c r="AA462" s="416" t="s">
        <v>3767</v>
      </c>
      <c r="AB462" s="414" t="s">
        <v>3664</v>
      </c>
      <c r="AC462" s="422"/>
      <c r="AD462" s="421"/>
      <c r="AE462" s="420"/>
      <c r="AF462" s="421">
        <v>91346</v>
      </c>
      <c r="AG462" s="420" t="s">
        <v>3816</v>
      </c>
      <c r="AH462" s="421" t="s">
        <v>3770</v>
      </c>
      <c r="AI462" s="420" t="s">
        <v>3719</v>
      </c>
      <c r="AJ462" s="413" t="str">
        <f t="shared" si="30"/>
        <v>4590006250_005</v>
      </c>
      <c r="AK462" s="423"/>
      <c r="AL462" s="413"/>
      <c r="AM462" s="221"/>
      <c r="AN462" s="424"/>
      <c r="AO462" s="423"/>
      <c r="AP462" s="413"/>
      <c r="AQ462" s="222"/>
      <c r="AR462" s="424"/>
      <c r="AS462" s="614">
        <f ca="1">表格1_6[[#This Row],[total amount]]/表格1_6[[#This Row],[PO$]]</f>
        <v>0</v>
      </c>
      <c r="AT462" s="223">
        <f ca="1">表格1_6[[#This Row],[invoice amount]]+表格1_6[[#This Row],[invoice amount2]]</f>
        <v>0</v>
      </c>
      <c r="AU462" s="224"/>
      <c r="AV462" s="423"/>
      <c r="AW462" s="423" t="e">
        <f ca="1">VLOOKUP(表格1_6[[#This Row],[TI tool ID2]],工作表1!A:A,1,FALSE)</f>
        <v>#N/A</v>
      </c>
      <c r="AX462" s="425" t="e">
        <f ca="1">VLOOKUP(表格1_6[[#This Row],[PO+ITEM]],工作表1!B:E,2,FALSE)</f>
        <v>#N/A</v>
      </c>
      <c r="AY462" s="425" t="e">
        <f ca="1">VLOOKUP(表格1_6[[#This Row],[PO+ITEM]],工作表1!B:E,3,FALSE)</f>
        <v>#N/A</v>
      </c>
      <c r="AZ462" s="423" t="e">
        <f ca="1">VLOOKUP(表格1_6[[#This Row],[PO+ITEM]],工作表1!B:E,4,FALSE)</f>
        <v>#N/A</v>
      </c>
      <c r="BA462" s="425" t="e">
        <f ca="1">INDEX(工作表1!G:G, MATCH(表格1_6[[#This Row],[invoice number]]&amp;表格1_6[[#This Row],[invoice number2]],工作表1!G:G, 0))</f>
        <v>#N/A</v>
      </c>
      <c r="BB462" s="423" t="e">
        <f ca="1">VLOOKUP(表格1_6[[#This Row],[PO+ITEM]],工作表1!F:H,2,FALSE)</f>
        <v>#N/A</v>
      </c>
    </row>
    <row r="463" spans="1:54" ht="14.45">
      <c r="A463" s="413">
        <v>462</v>
      </c>
      <c r="B463" s="413" t="s">
        <v>3659</v>
      </c>
      <c r="C463" s="414" t="s">
        <v>16</v>
      </c>
      <c r="D463" s="414" t="s">
        <v>3648</v>
      </c>
      <c r="E463" s="414"/>
      <c r="F463" s="414"/>
      <c r="G463" s="414"/>
      <c r="H463" s="414"/>
      <c r="I463" s="414"/>
      <c r="J463" s="414"/>
      <c r="K463" s="414"/>
      <c r="L463" s="415" t="s">
        <v>4922</v>
      </c>
      <c r="M463" s="416" t="s">
        <v>2999</v>
      </c>
      <c r="N463" s="416" t="s">
        <v>2999</v>
      </c>
      <c r="O463" s="417"/>
      <c r="P463" s="416">
        <v>4590006250</v>
      </c>
      <c r="Q463" s="418">
        <v>44836</v>
      </c>
      <c r="R463" s="419">
        <v>6</v>
      </c>
      <c r="S463" s="458">
        <v>14109.38</v>
      </c>
      <c r="T463" s="420" t="s">
        <v>2156</v>
      </c>
      <c r="U463" s="414" t="s">
        <v>3864</v>
      </c>
      <c r="V463" s="414" t="s">
        <v>3865</v>
      </c>
      <c r="W463" s="417" t="s">
        <v>3866</v>
      </c>
      <c r="X463" s="417"/>
      <c r="Y463" s="421" t="s">
        <v>3652</v>
      </c>
      <c r="Z463" s="421" t="s">
        <v>3652</v>
      </c>
      <c r="AA463" s="416" t="s">
        <v>3767</v>
      </c>
      <c r="AB463" s="414" t="s">
        <v>3664</v>
      </c>
      <c r="AC463" s="422"/>
      <c r="AD463" s="421"/>
      <c r="AE463" s="420"/>
      <c r="AF463" s="421">
        <v>91347</v>
      </c>
      <c r="AG463" s="420" t="s">
        <v>3818</v>
      </c>
      <c r="AH463" s="421" t="s">
        <v>3770</v>
      </c>
      <c r="AI463" s="420" t="s">
        <v>3719</v>
      </c>
      <c r="AJ463" s="413" t="str">
        <f t="shared" si="30"/>
        <v>4590006250_006</v>
      </c>
      <c r="AK463" s="423"/>
      <c r="AL463" s="413"/>
      <c r="AM463" s="221"/>
      <c r="AN463" s="424"/>
      <c r="AO463" s="423"/>
      <c r="AP463" s="413"/>
      <c r="AQ463" s="222"/>
      <c r="AR463" s="424"/>
      <c r="AS463" s="614">
        <f ca="1">表格1_6[[#This Row],[total amount]]/表格1_6[[#This Row],[PO$]]</f>
        <v>0</v>
      </c>
      <c r="AT463" s="223">
        <f ca="1">表格1_6[[#This Row],[invoice amount]]+表格1_6[[#This Row],[invoice amount2]]</f>
        <v>0</v>
      </c>
      <c r="AU463" s="224"/>
      <c r="AV463" s="423"/>
      <c r="AW463" s="423" t="e">
        <f ca="1">VLOOKUP(表格1_6[[#This Row],[TI tool ID2]],工作表1!A:A,1,FALSE)</f>
        <v>#N/A</v>
      </c>
      <c r="AX463" s="425" t="e">
        <f ca="1">VLOOKUP(表格1_6[[#This Row],[PO+ITEM]],工作表1!B:E,2,FALSE)</f>
        <v>#N/A</v>
      </c>
      <c r="AY463" s="425" t="e">
        <f ca="1">VLOOKUP(表格1_6[[#This Row],[PO+ITEM]],工作表1!B:E,3,FALSE)</f>
        <v>#N/A</v>
      </c>
      <c r="AZ463" s="423" t="e">
        <f ca="1">VLOOKUP(表格1_6[[#This Row],[PO+ITEM]],工作表1!B:E,4,FALSE)</f>
        <v>#N/A</v>
      </c>
      <c r="BA463" s="425" t="e">
        <f ca="1">INDEX(工作表1!G:G, MATCH(表格1_6[[#This Row],[invoice number]]&amp;表格1_6[[#This Row],[invoice number2]],工作表1!G:G, 0))</f>
        <v>#N/A</v>
      </c>
      <c r="BB463" s="423" t="e">
        <f ca="1">VLOOKUP(表格1_6[[#This Row],[PO+ITEM]],工作表1!F:H,2,FALSE)</f>
        <v>#N/A</v>
      </c>
    </row>
    <row r="464" spans="1:54" ht="14.45">
      <c r="A464" s="413">
        <v>463</v>
      </c>
      <c r="B464" s="413" t="s">
        <v>3659</v>
      </c>
      <c r="C464" s="414" t="s">
        <v>16</v>
      </c>
      <c r="D464" s="414" t="s">
        <v>3648</v>
      </c>
      <c r="E464" s="414"/>
      <c r="F464" s="414"/>
      <c r="G464" s="414"/>
      <c r="H464" s="414"/>
      <c r="I464" s="414"/>
      <c r="J464" s="414"/>
      <c r="K464" s="414"/>
      <c r="L464" s="420" t="s">
        <v>4923</v>
      </c>
      <c r="M464" s="416" t="s">
        <v>2999</v>
      </c>
      <c r="N464" s="416" t="s">
        <v>2999</v>
      </c>
      <c r="O464" s="417"/>
      <c r="P464" s="416">
        <v>4590006250</v>
      </c>
      <c r="Q464" s="418">
        <v>44836</v>
      </c>
      <c r="R464" s="419">
        <v>7</v>
      </c>
      <c r="S464" s="458">
        <v>14109.38</v>
      </c>
      <c r="T464" s="420" t="s">
        <v>2156</v>
      </c>
      <c r="U464" s="414" t="s">
        <v>3864</v>
      </c>
      <c r="V464" s="414" t="s">
        <v>3865</v>
      </c>
      <c r="W464" s="417" t="s">
        <v>3866</v>
      </c>
      <c r="X464" s="417"/>
      <c r="Y464" s="421" t="s">
        <v>3652</v>
      </c>
      <c r="Z464" s="421" t="s">
        <v>3652</v>
      </c>
      <c r="AA464" s="416" t="s">
        <v>3767</v>
      </c>
      <c r="AB464" s="414" t="s">
        <v>3664</v>
      </c>
      <c r="AC464" s="422"/>
      <c r="AD464" s="421"/>
      <c r="AE464" s="420"/>
      <c r="AF464" s="421">
        <v>91348</v>
      </c>
      <c r="AG464" s="420" t="s">
        <v>4924</v>
      </c>
      <c r="AH464" s="421" t="s">
        <v>3770</v>
      </c>
      <c r="AI464" s="420" t="s">
        <v>3719</v>
      </c>
      <c r="AJ464" s="413" t="str">
        <f t="shared" si="30"/>
        <v>4590006250_007</v>
      </c>
      <c r="AK464" s="423"/>
      <c r="AL464" s="413"/>
      <c r="AM464" s="221"/>
      <c r="AN464" s="424"/>
      <c r="AO464" s="423"/>
      <c r="AP464" s="413"/>
      <c r="AQ464" s="222"/>
      <c r="AR464" s="424"/>
      <c r="AS464" s="614">
        <f ca="1">表格1_6[[#This Row],[total amount]]/表格1_6[[#This Row],[PO$]]</f>
        <v>0</v>
      </c>
      <c r="AT464" s="223">
        <f ca="1">表格1_6[[#This Row],[invoice amount]]+表格1_6[[#This Row],[invoice amount2]]</f>
        <v>0</v>
      </c>
      <c r="AU464" s="224"/>
      <c r="AV464" s="423"/>
      <c r="AW464" s="423" t="e">
        <f ca="1">VLOOKUP(表格1_6[[#This Row],[TI tool ID2]],工作表1!A:A,1,FALSE)</f>
        <v>#N/A</v>
      </c>
      <c r="AX464" s="425" t="e">
        <f ca="1">VLOOKUP(表格1_6[[#This Row],[PO+ITEM]],工作表1!B:E,2,FALSE)</f>
        <v>#N/A</v>
      </c>
      <c r="AY464" s="425" t="e">
        <f ca="1">VLOOKUP(表格1_6[[#This Row],[PO+ITEM]],工作表1!B:E,3,FALSE)</f>
        <v>#N/A</v>
      </c>
      <c r="AZ464" s="423" t="e">
        <f ca="1">VLOOKUP(表格1_6[[#This Row],[PO+ITEM]],工作表1!B:E,4,FALSE)</f>
        <v>#N/A</v>
      </c>
      <c r="BA464" s="425" t="e">
        <f ca="1">INDEX(工作表1!G:G, MATCH(表格1_6[[#This Row],[invoice number]]&amp;表格1_6[[#This Row],[invoice number2]],工作表1!G:G, 0))</f>
        <v>#N/A</v>
      </c>
      <c r="BB464" s="423" t="e">
        <f ca="1">VLOOKUP(表格1_6[[#This Row],[PO+ITEM]],工作表1!F:H,2,FALSE)</f>
        <v>#N/A</v>
      </c>
    </row>
    <row r="465" spans="1:54" ht="14.45">
      <c r="A465" s="413">
        <v>464</v>
      </c>
      <c r="B465" s="413" t="s">
        <v>3659</v>
      </c>
      <c r="C465" s="414" t="s">
        <v>16</v>
      </c>
      <c r="D465" s="414" t="s">
        <v>3648</v>
      </c>
      <c r="E465" s="414"/>
      <c r="F465" s="414"/>
      <c r="G465" s="414"/>
      <c r="H465" s="414"/>
      <c r="I465" s="414"/>
      <c r="J465" s="414"/>
      <c r="K465" s="414"/>
      <c r="L465" s="415" t="s">
        <v>4925</v>
      </c>
      <c r="M465" s="416" t="s">
        <v>2999</v>
      </c>
      <c r="N465" s="416" t="s">
        <v>2999</v>
      </c>
      <c r="O465" s="417"/>
      <c r="P465" s="416">
        <v>4590006250</v>
      </c>
      <c r="Q465" s="418">
        <v>44836</v>
      </c>
      <c r="R465" s="419">
        <v>8</v>
      </c>
      <c r="S465" s="458">
        <v>14109.38</v>
      </c>
      <c r="T465" s="420" t="s">
        <v>2156</v>
      </c>
      <c r="U465" s="414" t="s">
        <v>3864</v>
      </c>
      <c r="V465" s="414" t="s">
        <v>3865</v>
      </c>
      <c r="W465" s="417" t="s">
        <v>3866</v>
      </c>
      <c r="X465" s="417"/>
      <c r="Y465" s="421" t="s">
        <v>3652</v>
      </c>
      <c r="Z465" s="421" t="s">
        <v>3652</v>
      </c>
      <c r="AA465" s="416" t="s">
        <v>3767</v>
      </c>
      <c r="AB465" s="414" t="s">
        <v>3664</v>
      </c>
      <c r="AC465" s="422"/>
      <c r="AD465" s="421"/>
      <c r="AE465" s="420"/>
      <c r="AF465" s="421">
        <v>91349</v>
      </c>
      <c r="AG465" s="420" t="s">
        <v>4926</v>
      </c>
      <c r="AH465" s="421" t="s">
        <v>3770</v>
      </c>
      <c r="AI465" s="420" t="s">
        <v>3719</v>
      </c>
      <c r="AJ465" s="413" t="str">
        <f t="shared" si="30"/>
        <v>4590006250_008</v>
      </c>
      <c r="AK465" s="423"/>
      <c r="AL465" s="413"/>
      <c r="AM465" s="221"/>
      <c r="AN465" s="424"/>
      <c r="AO465" s="423"/>
      <c r="AP465" s="413"/>
      <c r="AQ465" s="222"/>
      <c r="AR465" s="424"/>
      <c r="AS465" s="614">
        <f ca="1">表格1_6[[#This Row],[total amount]]/表格1_6[[#This Row],[PO$]]</f>
        <v>0</v>
      </c>
      <c r="AT465" s="223">
        <f ca="1">表格1_6[[#This Row],[invoice amount]]+表格1_6[[#This Row],[invoice amount2]]</f>
        <v>0</v>
      </c>
      <c r="AU465" s="224"/>
      <c r="AV465" s="423"/>
      <c r="AW465" s="423" t="e">
        <f ca="1">VLOOKUP(表格1_6[[#This Row],[TI tool ID2]],工作表1!A:A,1,FALSE)</f>
        <v>#N/A</v>
      </c>
      <c r="AX465" s="425" t="e">
        <f ca="1">VLOOKUP(表格1_6[[#This Row],[PO+ITEM]],工作表1!B:E,2,FALSE)</f>
        <v>#N/A</v>
      </c>
      <c r="AY465" s="425" t="e">
        <f ca="1">VLOOKUP(表格1_6[[#This Row],[PO+ITEM]],工作表1!B:E,3,FALSE)</f>
        <v>#N/A</v>
      </c>
      <c r="AZ465" s="423" t="e">
        <f ca="1">VLOOKUP(表格1_6[[#This Row],[PO+ITEM]],工作表1!B:E,4,FALSE)</f>
        <v>#N/A</v>
      </c>
      <c r="BA465" s="425" t="e">
        <f ca="1">INDEX(工作表1!G:G, MATCH(表格1_6[[#This Row],[invoice number]]&amp;表格1_6[[#This Row],[invoice number2]],工作表1!G:G, 0))</f>
        <v>#N/A</v>
      </c>
      <c r="BB465" s="423" t="e">
        <f ca="1">VLOOKUP(表格1_6[[#This Row],[PO+ITEM]],工作表1!F:H,2,FALSE)</f>
        <v>#N/A</v>
      </c>
    </row>
    <row r="466" spans="1:54" ht="14.45">
      <c r="A466" s="413">
        <v>465</v>
      </c>
      <c r="B466" s="413" t="s">
        <v>3659</v>
      </c>
      <c r="C466" s="414" t="s">
        <v>16</v>
      </c>
      <c r="D466" s="414" t="s">
        <v>3648</v>
      </c>
      <c r="E466" s="414"/>
      <c r="F466" s="414"/>
      <c r="G466" s="414"/>
      <c r="H466" s="414"/>
      <c r="I466" s="414"/>
      <c r="J466" s="414"/>
      <c r="K466" s="414"/>
      <c r="L466" s="415" t="s">
        <v>4927</v>
      </c>
      <c r="M466" s="416" t="s">
        <v>2999</v>
      </c>
      <c r="N466" s="416" t="s">
        <v>2999</v>
      </c>
      <c r="O466" s="417"/>
      <c r="P466" s="416">
        <v>4590006250</v>
      </c>
      <c r="Q466" s="418">
        <v>44836</v>
      </c>
      <c r="R466" s="419">
        <v>9</v>
      </c>
      <c r="S466" s="458">
        <v>14109.38</v>
      </c>
      <c r="T466" s="420" t="s">
        <v>2156</v>
      </c>
      <c r="U466" s="414" t="s">
        <v>3864</v>
      </c>
      <c r="V466" s="414" t="s">
        <v>3865</v>
      </c>
      <c r="W466" s="417" t="s">
        <v>3866</v>
      </c>
      <c r="X466" s="417"/>
      <c r="Y466" s="421" t="s">
        <v>3652</v>
      </c>
      <c r="Z466" s="421" t="s">
        <v>3652</v>
      </c>
      <c r="AA466" s="416" t="s">
        <v>3767</v>
      </c>
      <c r="AB466" s="414" t="s">
        <v>3664</v>
      </c>
      <c r="AC466" s="422"/>
      <c r="AD466" s="421"/>
      <c r="AE466" s="420"/>
      <c r="AF466" s="421">
        <v>91360</v>
      </c>
      <c r="AG466" s="420" t="s">
        <v>4928</v>
      </c>
      <c r="AH466" s="421" t="s">
        <v>3770</v>
      </c>
      <c r="AI466" s="420" t="s">
        <v>3719</v>
      </c>
      <c r="AJ466" s="413" t="str">
        <f t="shared" si="30"/>
        <v>4590006250_009</v>
      </c>
      <c r="AK466" s="423"/>
      <c r="AL466" s="413"/>
      <c r="AM466" s="221"/>
      <c r="AN466" s="424"/>
      <c r="AO466" s="423"/>
      <c r="AP466" s="413"/>
      <c r="AQ466" s="222"/>
      <c r="AR466" s="424"/>
      <c r="AS466" s="614">
        <f ca="1">表格1_6[[#This Row],[total amount]]/表格1_6[[#This Row],[PO$]]</f>
        <v>0</v>
      </c>
      <c r="AT466" s="223">
        <f ca="1">表格1_6[[#This Row],[invoice amount]]+表格1_6[[#This Row],[invoice amount2]]</f>
        <v>0</v>
      </c>
      <c r="AU466" s="224"/>
      <c r="AV466" s="423"/>
      <c r="AW466" s="423" t="e">
        <f ca="1">VLOOKUP(表格1_6[[#This Row],[TI tool ID2]],工作表1!A:A,1,FALSE)</f>
        <v>#N/A</v>
      </c>
      <c r="AX466" s="425" t="e">
        <f ca="1">VLOOKUP(表格1_6[[#This Row],[PO+ITEM]],工作表1!B:E,2,FALSE)</f>
        <v>#N/A</v>
      </c>
      <c r="AY466" s="425" t="e">
        <f ca="1">VLOOKUP(表格1_6[[#This Row],[PO+ITEM]],工作表1!B:E,3,FALSE)</f>
        <v>#N/A</v>
      </c>
      <c r="AZ466" s="423" t="e">
        <f ca="1">VLOOKUP(表格1_6[[#This Row],[PO+ITEM]],工作表1!B:E,4,FALSE)</f>
        <v>#N/A</v>
      </c>
      <c r="BA466" s="425" t="e">
        <f ca="1">INDEX(工作表1!G:G, MATCH(表格1_6[[#This Row],[invoice number]]&amp;表格1_6[[#This Row],[invoice number2]],工作表1!G:G, 0))</f>
        <v>#N/A</v>
      </c>
      <c r="BB466" s="423" t="e">
        <f ca="1">VLOOKUP(表格1_6[[#This Row],[PO+ITEM]],工作表1!F:H,2,FALSE)</f>
        <v>#N/A</v>
      </c>
    </row>
    <row r="467" spans="1:54" ht="14.45">
      <c r="A467" s="413">
        <v>466</v>
      </c>
      <c r="B467" s="413" t="s">
        <v>3659</v>
      </c>
      <c r="C467" s="414" t="s">
        <v>16</v>
      </c>
      <c r="D467" s="414" t="s">
        <v>3648</v>
      </c>
      <c r="E467" s="414"/>
      <c r="F467" s="414"/>
      <c r="G467" s="414"/>
      <c r="H467" s="414"/>
      <c r="I467" s="414"/>
      <c r="J467" s="414"/>
      <c r="K467" s="414"/>
      <c r="L467" s="415" t="s">
        <v>4929</v>
      </c>
      <c r="M467" s="416" t="s">
        <v>2999</v>
      </c>
      <c r="N467" s="416" t="s">
        <v>2999</v>
      </c>
      <c r="O467" s="417"/>
      <c r="P467" s="416">
        <v>4590006250</v>
      </c>
      <c r="Q467" s="418">
        <v>44836</v>
      </c>
      <c r="R467" s="419">
        <v>10</v>
      </c>
      <c r="S467" s="458">
        <v>14109.38</v>
      </c>
      <c r="T467" s="420" t="s">
        <v>2156</v>
      </c>
      <c r="U467" s="414" t="s">
        <v>3864</v>
      </c>
      <c r="V467" s="414" t="s">
        <v>3865</v>
      </c>
      <c r="W467" s="417" t="s">
        <v>3866</v>
      </c>
      <c r="X467" s="417"/>
      <c r="Y467" s="421" t="s">
        <v>3652</v>
      </c>
      <c r="Z467" s="421" t="s">
        <v>3652</v>
      </c>
      <c r="AA467" s="416" t="s">
        <v>3767</v>
      </c>
      <c r="AB467" s="414" t="s">
        <v>3664</v>
      </c>
      <c r="AC467" s="422"/>
      <c r="AD467" s="421"/>
      <c r="AE467" s="420"/>
      <c r="AF467" s="421">
        <v>91361</v>
      </c>
      <c r="AG467" s="420" t="s">
        <v>4930</v>
      </c>
      <c r="AH467" s="421" t="s">
        <v>3770</v>
      </c>
      <c r="AI467" s="420" t="s">
        <v>3719</v>
      </c>
      <c r="AJ467" s="413" t="str">
        <f t="shared" ref="AJ467:AJ498" si="31">P467&amp;"_0"&amp;R467</f>
        <v>4590006250_010</v>
      </c>
      <c r="AK467" s="423"/>
      <c r="AL467" s="413"/>
      <c r="AM467" s="221"/>
      <c r="AN467" s="424"/>
      <c r="AO467" s="423"/>
      <c r="AP467" s="413"/>
      <c r="AQ467" s="222"/>
      <c r="AR467" s="424"/>
      <c r="AS467" s="614">
        <f ca="1">表格1_6[[#This Row],[total amount]]/表格1_6[[#This Row],[PO$]]</f>
        <v>0</v>
      </c>
      <c r="AT467" s="223">
        <f ca="1">表格1_6[[#This Row],[invoice amount]]+表格1_6[[#This Row],[invoice amount2]]</f>
        <v>0</v>
      </c>
      <c r="AU467" s="224"/>
      <c r="AV467" s="423"/>
      <c r="AW467" s="423" t="e">
        <f ca="1">VLOOKUP(表格1_6[[#This Row],[TI tool ID2]],工作表1!A:A,1,FALSE)</f>
        <v>#N/A</v>
      </c>
      <c r="AX467" s="425" t="e">
        <f ca="1">VLOOKUP(表格1_6[[#This Row],[PO+ITEM]],工作表1!B:E,2,FALSE)</f>
        <v>#N/A</v>
      </c>
      <c r="AY467" s="425" t="e">
        <f ca="1">VLOOKUP(表格1_6[[#This Row],[PO+ITEM]],工作表1!B:E,3,FALSE)</f>
        <v>#N/A</v>
      </c>
      <c r="AZ467" s="423" t="e">
        <f ca="1">VLOOKUP(表格1_6[[#This Row],[PO+ITEM]],工作表1!B:E,4,FALSE)</f>
        <v>#N/A</v>
      </c>
      <c r="BA467" s="425" t="e">
        <f ca="1">INDEX(工作表1!G:G, MATCH(表格1_6[[#This Row],[invoice number]]&amp;表格1_6[[#This Row],[invoice number2]],工作表1!G:G, 0))</f>
        <v>#N/A</v>
      </c>
      <c r="BB467" s="423" t="e">
        <f ca="1">VLOOKUP(表格1_6[[#This Row],[PO+ITEM]],工作表1!F:H,2,FALSE)</f>
        <v>#N/A</v>
      </c>
    </row>
    <row r="468" spans="1:54" s="429" customFormat="1" ht="14.45">
      <c r="A468" s="413">
        <v>467</v>
      </c>
      <c r="B468" s="516" t="s">
        <v>3659</v>
      </c>
      <c r="C468" s="509" t="s">
        <v>16</v>
      </c>
      <c r="D468" s="509" t="s">
        <v>3648</v>
      </c>
      <c r="E468" s="509"/>
      <c r="F468" s="509"/>
      <c r="G468" s="509"/>
      <c r="H468" s="509"/>
      <c r="I468" s="509"/>
      <c r="J468" s="509"/>
      <c r="K468" s="509"/>
      <c r="L468" s="524" t="s">
        <v>4931</v>
      </c>
      <c r="M468" s="510" t="s">
        <v>2999</v>
      </c>
      <c r="N468" s="510" t="s">
        <v>2999</v>
      </c>
      <c r="O468" s="511"/>
      <c r="P468" s="510">
        <v>4590006250</v>
      </c>
      <c r="Q468" s="512">
        <v>44836</v>
      </c>
      <c r="R468" s="517">
        <v>11</v>
      </c>
      <c r="S468" s="545"/>
      <c r="T468" s="513" t="s">
        <v>2156</v>
      </c>
      <c r="U468" s="509" t="s">
        <v>3864</v>
      </c>
      <c r="V468" s="509" t="s">
        <v>3865</v>
      </c>
      <c r="W468" s="511" t="s">
        <v>3866</v>
      </c>
      <c r="X468" s="511"/>
      <c r="Y468" s="514" t="s">
        <v>3652</v>
      </c>
      <c r="Z468" s="514" t="s">
        <v>3652</v>
      </c>
      <c r="AA468" s="510" t="s">
        <v>3767</v>
      </c>
      <c r="AB468" s="509" t="s">
        <v>3664</v>
      </c>
      <c r="AC468" s="515"/>
      <c r="AD468" s="514"/>
      <c r="AE468" s="513"/>
      <c r="AF468" s="514">
        <v>91364</v>
      </c>
      <c r="AG468" s="513" t="s">
        <v>4932</v>
      </c>
      <c r="AH468" s="514" t="s">
        <v>3770</v>
      </c>
      <c r="AI468" s="513" t="s">
        <v>3719</v>
      </c>
      <c r="AJ468" s="516" t="str">
        <f t="shared" si="31"/>
        <v>4590006250_011</v>
      </c>
      <c r="AK468" s="518"/>
      <c r="AL468" s="516"/>
      <c r="AM468" s="519"/>
      <c r="AN468" s="520"/>
      <c r="AO468" s="518"/>
      <c r="AP468" s="516"/>
      <c r="AQ468" s="521"/>
      <c r="AR468" s="520"/>
      <c r="AS468" s="615"/>
      <c r="AT468" s="572">
        <f ca="1">表格1_6[[#This Row],[invoice amount]]+表格1_6[[#This Row],[invoice amount2]]</f>
        <v>0</v>
      </c>
      <c r="AU468" s="566" t="s">
        <v>3765</v>
      </c>
      <c r="AV468" s="522"/>
      <c r="AW468" s="522" t="e">
        <f ca="1">VLOOKUP(表格1_6[[#This Row],[TI tool ID2]],工作表1!A:A,1,FALSE)</f>
        <v>#N/A</v>
      </c>
      <c r="AX468" s="523" t="e">
        <f ca="1">VLOOKUP(表格1_6[[#This Row],[PO+ITEM]],工作表1!B:E,2,FALSE)</f>
        <v>#N/A</v>
      </c>
      <c r="AY468" s="523" t="e">
        <f ca="1">VLOOKUP(表格1_6[[#This Row],[PO+ITEM]],工作表1!B:E,3,FALSE)</f>
        <v>#N/A</v>
      </c>
      <c r="AZ468" s="522" t="e">
        <f ca="1">VLOOKUP(表格1_6[[#This Row],[PO+ITEM]],工作表1!B:E,4,FALSE)</f>
        <v>#N/A</v>
      </c>
      <c r="BA468" s="425" t="e">
        <f ca="1">INDEX(工作表1!G:G, MATCH(表格1_6[[#This Row],[invoice number]]&amp;表格1_6[[#This Row],[invoice number2]],工作表1!G:G, 0))</f>
        <v>#N/A</v>
      </c>
      <c r="BB468" s="522" t="e">
        <f ca="1">VLOOKUP(表格1_6[[#This Row],[PO+ITEM]],工作表1!F:H,2,FALSE)</f>
        <v>#N/A</v>
      </c>
    </row>
    <row r="469" spans="1:54" ht="14.45">
      <c r="A469" s="413">
        <v>468</v>
      </c>
      <c r="B469" s="413" t="s">
        <v>3659</v>
      </c>
      <c r="C469" s="414" t="s">
        <v>16</v>
      </c>
      <c r="D469" s="414" t="s">
        <v>3648</v>
      </c>
      <c r="E469" s="414"/>
      <c r="F469" s="414"/>
      <c r="G469" s="414"/>
      <c r="H469" s="414"/>
      <c r="I469" s="414"/>
      <c r="J469" s="414"/>
      <c r="K469" s="414"/>
      <c r="L469" s="415" t="s">
        <v>4933</v>
      </c>
      <c r="M469" s="416" t="s">
        <v>2999</v>
      </c>
      <c r="N469" s="416" t="s">
        <v>2999</v>
      </c>
      <c r="O469" s="417"/>
      <c r="P469" s="416">
        <v>4590006250</v>
      </c>
      <c r="Q469" s="418">
        <v>44836</v>
      </c>
      <c r="R469" s="419">
        <v>12</v>
      </c>
      <c r="S469" s="458">
        <v>14109.38</v>
      </c>
      <c r="T469" s="420" t="s">
        <v>2156</v>
      </c>
      <c r="U469" s="414" t="s">
        <v>3864</v>
      </c>
      <c r="V469" s="414" t="s">
        <v>3865</v>
      </c>
      <c r="W469" s="417" t="s">
        <v>3866</v>
      </c>
      <c r="X469" s="417"/>
      <c r="Y469" s="421" t="s">
        <v>3652</v>
      </c>
      <c r="Z469" s="421" t="s">
        <v>3652</v>
      </c>
      <c r="AA469" s="416" t="s">
        <v>3767</v>
      </c>
      <c r="AB469" s="414" t="s">
        <v>3664</v>
      </c>
      <c r="AC469" s="422"/>
      <c r="AD469" s="421"/>
      <c r="AE469" s="420"/>
      <c r="AF469" s="421">
        <v>91365</v>
      </c>
      <c r="AG469" s="420" t="s">
        <v>4934</v>
      </c>
      <c r="AH469" s="421" t="s">
        <v>3770</v>
      </c>
      <c r="AI469" s="420" t="s">
        <v>3719</v>
      </c>
      <c r="AJ469" s="413" t="str">
        <f t="shared" si="31"/>
        <v>4590006250_012</v>
      </c>
      <c r="AK469" s="423"/>
      <c r="AL469" s="413"/>
      <c r="AM469" s="221"/>
      <c r="AN469" s="424"/>
      <c r="AO469" s="423"/>
      <c r="AP469" s="413"/>
      <c r="AQ469" s="222"/>
      <c r="AR469" s="424"/>
      <c r="AS469" s="614">
        <f ca="1">表格1_6[[#This Row],[total amount]]/表格1_6[[#This Row],[PO$]]</f>
        <v>0</v>
      </c>
      <c r="AT469" s="223">
        <f ca="1">表格1_6[[#This Row],[invoice amount]]+表格1_6[[#This Row],[invoice amount2]]</f>
        <v>0</v>
      </c>
      <c r="AU469" s="224"/>
      <c r="AV469" s="423"/>
      <c r="AW469" s="423" t="e">
        <f ca="1">VLOOKUP(表格1_6[[#This Row],[TI tool ID2]],工作表1!A:A,1,FALSE)</f>
        <v>#N/A</v>
      </c>
      <c r="AX469" s="425" t="e">
        <f ca="1">VLOOKUP(表格1_6[[#This Row],[PO+ITEM]],工作表1!B:E,2,FALSE)</f>
        <v>#N/A</v>
      </c>
      <c r="AY469" s="425" t="e">
        <f ca="1">VLOOKUP(表格1_6[[#This Row],[PO+ITEM]],工作表1!B:E,3,FALSE)</f>
        <v>#N/A</v>
      </c>
      <c r="AZ469" s="423" t="e">
        <f ca="1">VLOOKUP(表格1_6[[#This Row],[PO+ITEM]],工作表1!B:E,4,FALSE)</f>
        <v>#N/A</v>
      </c>
      <c r="BA469" s="425" t="e">
        <f ca="1">INDEX(工作表1!G:G, MATCH(表格1_6[[#This Row],[invoice number]]&amp;表格1_6[[#This Row],[invoice number2]],工作表1!G:G, 0))</f>
        <v>#N/A</v>
      </c>
      <c r="BB469" s="423" t="e">
        <f ca="1">VLOOKUP(表格1_6[[#This Row],[PO+ITEM]],工作表1!F:H,2,FALSE)</f>
        <v>#N/A</v>
      </c>
    </row>
    <row r="470" spans="1:54" ht="14.45">
      <c r="A470" s="413">
        <v>469</v>
      </c>
      <c r="B470" s="413" t="s">
        <v>3659</v>
      </c>
      <c r="C470" s="414" t="s">
        <v>16</v>
      </c>
      <c r="D470" s="414" t="s">
        <v>3648</v>
      </c>
      <c r="E470" s="414"/>
      <c r="F470" s="414"/>
      <c r="G470" s="414"/>
      <c r="H470" s="414"/>
      <c r="I470" s="414"/>
      <c r="J470" s="414"/>
      <c r="K470" s="414"/>
      <c r="L470" s="415" t="s">
        <v>4935</v>
      </c>
      <c r="M470" s="416" t="s">
        <v>2999</v>
      </c>
      <c r="N470" s="416" t="s">
        <v>2999</v>
      </c>
      <c r="O470" s="417"/>
      <c r="P470" s="416">
        <v>4590006250</v>
      </c>
      <c r="Q470" s="418">
        <v>44836</v>
      </c>
      <c r="R470" s="419">
        <v>13</v>
      </c>
      <c r="S470" s="458">
        <v>14109.38</v>
      </c>
      <c r="T470" s="420" t="s">
        <v>2156</v>
      </c>
      <c r="U470" s="414" t="s">
        <v>3864</v>
      </c>
      <c r="V470" s="414" t="s">
        <v>3865</v>
      </c>
      <c r="W470" s="417" t="s">
        <v>3866</v>
      </c>
      <c r="X470" s="417"/>
      <c r="Y470" s="421" t="s">
        <v>3652</v>
      </c>
      <c r="Z470" s="421" t="s">
        <v>3652</v>
      </c>
      <c r="AA470" s="416" t="s">
        <v>3767</v>
      </c>
      <c r="AB470" s="414" t="s">
        <v>3664</v>
      </c>
      <c r="AC470" s="422"/>
      <c r="AD470" s="421"/>
      <c r="AE470" s="420"/>
      <c r="AF470" s="421">
        <v>91368</v>
      </c>
      <c r="AG470" s="420" t="s">
        <v>4936</v>
      </c>
      <c r="AH470" s="421" t="s">
        <v>3770</v>
      </c>
      <c r="AI470" s="420" t="s">
        <v>3719</v>
      </c>
      <c r="AJ470" s="413" t="str">
        <f t="shared" si="31"/>
        <v>4590006250_013</v>
      </c>
      <c r="AK470" s="423"/>
      <c r="AL470" s="413"/>
      <c r="AM470" s="221"/>
      <c r="AN470" s="424"/>
      <c r="AO470" s="423"/>
      <c r="AP470" s="413"/>
      <c r="AQ470" s="222"/>
      <c r="AR470" s="424"/>
      <c r="AS470" s="614">
        <f ca="1">表格1_6[[#This Row],[total amount]]/表格1_6[[#This Row],[PO$]]</f>
        <v>0</v>
      </c>
      <c r="AT470" s="223">
        <f ca="1">表格1_6[[#This Row],[invoice amount]]+表格1_6[[#This Row],[invoice amount2]]</f>
        <v>0</v>
      </c>
      <c r="AU470" s="224"/>
      <c r="AV470" s="423"/>
      <c r="AW470" s="423" t="e">
        <f ca="1">VLOOKUP(表格1_6[[#This Row],[TI tool ID2]],工作表1!A:A,1,FALSE)</f>
        <v>#N/A</v>
      </c>
      <c r="AX470" s="425" t="e">
        <f ca="1">VLOOKUP(表格1_6[[#This Row],[PO+ITEM]],工作表1!B:E,2,FALSE)</f>
        <v>#N/A</v>
      </c>
      <c r="AY470" s="425" t="e">
        <f ca="1">VLOOKUP(表格1_6[[#This Row],[PO+ITEM]],工作表1!B:E,3,FALSE)</f>
        <v>#N/A</v>
      </c>
      <c r="AZ470" s="423" t="e">
        <f ca="1">VLOOKUP(表格1_6[[#This Row],[PO+ITEM]],工作表1!B:E,4,FALSE)</f>
        <v>#N/A</v>
      </c>
      <c r="BA470" s="425" t="e">
        <f ca="1">INDEX(工作表1!G:G, MATCH(表格1_6[[#This Row],[invoice number]]&amp;表格1_6[[#This Row],[invoice number2]],工作表1!G:G, 0))</f>
        <v>#N/A</v>
      </c>
      <c r="BB470" s="423" t="e">
        <f ca="1">VLOOKUP(表格1_6[[#This Row],[PO+ITEM]],工作表1!F:H,2,FALSE)</f>
        <v>#N/A</v>
      </c>
    </row>
    <row r="471" spans="1:54" s="429" customFormat="1" ht="14.45">
      <c r="A471" s="413">
        <v>470</v>
      </c>
      <c r="B471" s="413" t="s">
        <v>3659</v>
      </c>
      <c r="C471" s="414" t="s">
        <v>16</v>
      </c>
      <c r="D471" s="414" t="s">
        <v>3648</v>
      </c>
      <c r="E471" s="414"/>
      <c r="F471" s="414"/>
      <c r="G471" s="414"/>
      <c r="H471" s="414"/>
      <c r="I471" s="414"/>
      <c r="J471" s="414"/>
      <c r="K471" s="414"/>
      <c r="L471" s="420" t="s">
        <v>4937</v>
      </c>
      <c r="M471" s="416" t="s">
        <v>2999</v>
      </c>
      <c r="N471" s="416" t="s">
        <v>2999</v>
      </c>
      <c r="O471" s="417"/>
      <c r="P471" s="416">
        <v>4590006250</v>
      </c>
      <c r="Q471" s="418">
        <v>44836</v>
      </c>
      <c r="R471" s="419">
        <v>14</v>
      </c>
      <c r="S471" s="458">
        <v>14109.38</v>
      </c>
      <c r="T471" s="420" t="s">
        <v>2156</v>
      </c>
      <c r="U471" s="414" t="s">
        <v>3864</v>
      </c>
      <c r="V471" s="414" t="s">
        <v>3865</v>
      </c>
      <c r="W471" s="417" t="s">
        <v>3866</v>
      </c>
      <c r="X471" s="417"/>
      <c r="Y471" s="421" t="s">
        <v>3652</v>
      </c>
      <c r="Z471" s="421" t="s">
        <v>3652</v>
      </c>
      <c r="AA471" s="416" t="s">
        <v>3767</v>
      </c>
      <c r="AB471" s="414" t="s">
        <v>3664</v>
      </c>
      <c r="AC471" s="422"/>
      <c r="AD471" s="421"/>
      <c r="AE471" s="420"/>
      <c r="AF471" s="421">
        <v>91370</v>
      </c>
      <c r="AG471" s="420" t="s">
        <v>4938</v>
      </c>
      <c r="AH471" s="421" t="s">
        <v>3770</v>
      </c>
      <c r="AI471" s="420" t="s">
        <v>3719</v>
      </c>
      <c r="AJ471" s="413" t="str">
        <f t="shared" si="31"/>
        <v>4590006250_014</v>
      </c>
      <c r="AK471" s="423"/>
      <c r="AL471" s="413"/>
      <c r="AM471" s="221"/>
      <c r="AN471" s="424"/>
      <c r="AO471" s="423"/>
      <c r="AP471" s="413"/>
      <c r="AQ471" s="222"/>
      <c r="AR471" s="424"/>
      <c r="AS471" s="614">
        <f ca="1">表格1_6[[#This Row],[total amount]]/表格1_6[[#This Row],[PO$]]</f>
        <v>0</v>
      </c>
      <c r="AT471" s="223">
        <f ca="1">表格1_6[[#This Row],[invoice amount]]+表格1_6[[#This Row],[invoice amount2]]</f>
        <v>0</v>
      </c>
      <c r="AU471" s="224"/>
      <c r="AV471" s="423"/>
      <c r="AW471" s="423" t="e">
        <f ca="1">VLOOKUP(表格1_6[[#This Row],[TI tool ID2]],工作表1!A:A,1,FALSE)</f>
        <v>#N/A</v>
      </c>
      <c r="AX471" s="425" t="e">
        <f ca="1">VLOOKUP(表格1_6[[#This Row],[PO+ITEM]],工作表1!B:E,2,FALSE)</f>
        <v>#N/A</v>
      </c>
      <c r="AY471" s="425" t="e">
        <f ca="1">VLOOKUP(表格1_6[[#This Row],[PO+ITEM]],工作表1!B:E,3,FALSE)</f>
        <v>#N/A</v>
      </c>
      <c r="AZ471" s="423" t="e">
        <f ca="1">VLOOKUP(表格1_6[[#This Row],[PO+ITEM]],工作表1!B:E,4,FALSE)</f>
        <v>#N/A</v>
      </c>
      <c r="BA471" s="425" t="e">
        <f ca="1">INDEX(工作表1!G:G, MATCH(表格1_6[[#This Row],[invoice number]]&amp;表格1_6[[#This Row],[invoice number2]],工作表1!G:G, 0))</f>
        <v>#N/A</v>
      </c>
      <c r="BB471" s="423" t="e">
        <f ca="1">VLOOKUP(表格1_6[[#This Row],[PO+ITEM]],工作表1!F:H,2,FALSE)</f>
        <v>#N/A</v>
      </c>
    </row>
    <row r="472" spans="1:54" ht="14.45">
      <c r="A472" s="413">
        <v>471</v>
      </c>
      <c r="B472" s="413" t="s">
        <v>3659</v>
      </c>
      <c r="C472" s="414" t="s">
        <v>16</v>
      </c>
      <c r="D472" s="414" t="s">
        <v>3648</v>
      </c>
      <c r="E472" s="414"/>
      <c r="F472" s="414"/>
      <c r="G472" s="414"/>
      <c r="H472" s="414"/>
      <c r="I472" s="414"/>
      <c r="J472" s="414"/>
      <c r="K472" s="414"/>
      <c r="L472" s="415" t="s">
        <v>4939</v>
      </c>
      <c r="M472" s="416" t="s">
        <v>2999</v>
      </c>
      <c r="N472" s="416" t="s">
        <v>2999</v>
      </c>
      <c r="O472" s="417"/>
      <c r="P472" s="416">
        <v>4590006250</v>
      </c>
      <c r="Q472" s="418">
        <v>44836</v>
      </c>
      <c r="R472" s="419">
        <v>15</v>
      </c>
      <c r="S472" s="458">
        <v>14109.38</v>
      </c>
      <c r="T472" s="420" t="s">
        <v>2156</v>
      </c>
      <c r="U472" s="414" t="s">
        <v>3864</v>
      </c>
      <c r="V472" s="414" t="s">
        <v>3865</v>
      </c>
      <c r="W472" s="417" t="s">
        <v>3866</v>
      </c>
      <c r="X472" s="417"/>
      <c r="Y472" s="421" t="s">
        <v>3652</v>
      </c>
      <c r="Z472" s="421" t="s">
        <v>3652</v>
      </c>
      <c r="AA472" s="416" t="s">
        <v>3767</v>
      </c>
      <c r="AB472" s="414" t="s">
        <v>3664</v>
      </c>
      <c r="AC472" s="422"/>
      <c r="AD472" s="421"/>
      <c r="AE472" s="420"/>
      <c r="AF472" s="421">
        <v>91371</v>
      </c>
      <c r="AG472" s="420" t="s">
        <v>4940</v>
      </c>
      <c r="AH472" s="421" t="s">
        <v>3770</v>
      </c>
      <c r="AI472" s="420" t="s">
        <v>3719</v>
      </c>
      <c r="AJ472" s="413" t="str">
        <f t="shared" si="31"/>
        <v>4590006250_015</v>
      </c>
      <c r="AK472" s="423"/>
      <c r="AL472" s="413"/>
      <c r="AM472" s="221"/>
      <c r="AN472" s="424"/>
      <c r="AO472" s="423"/>
      <c r="AP472" s="413"/>
      <c r="AQ472" s="222"/>
      <c r="AR472" s="424"/>
      <c r="AS472" s="614">
        <f ca="1">表格1_6[[#This Row],[total amount]]/表格1_6[[#This Row],[PO$]]</f>
        <v>0</v>
      </c>
      <c r="AT472" s="223">
        <f ca="1">表格1_6[[#This Row],[invoice amount]]+表格1_6[[#This Row],[invoice amount2]]</f>
        <v>0</v>
      </c>
      <c r="AU472" s="224"/>
      <c r="AV472" s="423"/>
      <c r="AW472" s="423" t="e">
        <f ca="1">VLOOKUP(表格1_6[[#This Row],[TI tool ID2]],工作表1!A:A,1,FALSE)</f>
        <v>#N/A</v>
      </c>
      <c r="AX472" s="425" t="e">
        <f ca="1">VLOOKUP(表格1_6[[#This Row],[PO+ITEM]],工作表1!B:E,2,FALSE)</f>
        <v>#N/A</v>
      </c>
      <c r="AY472" s="425" t="e">
        <f ca="1">VLOOKUP(表格1_6[[#This Row],[PO+ITEM]],工作表1!B:E,3,FALSE)</f>
        <v>#N/A</v>
      </c>
      <c r="AZ472" s="423" t="e">
        <f ca="1">VLOOKUP(表格1_6[[#This Row],[PO+ITEM]],工作表1!B:E,4,FALSE)</f>
        <v>#N/A</v>
      </c>
      <c r="BA472" s="425" t="e">
        <f ca="1">INDEX(工作表1!G:G, MATCH(表格1_6[[#This Row],[invoice number]]&amp;表格1_6[[#This Row],[invoice number2]],工作表1!G:G, 0))</f>
        <v>#N/A</v>
      </c>
      <c r="BB472" s="423" t="e">
        <f ca="1">VLOOKUP(表格1_6[[#This Row],[PO+ITEM]],工作表1!F:H,2,FALSE)</f>
        <v>#N/A</v>
      </c>
    </row>
    <row r="473" spans="1:54" ht="14.45">
      <c r="A473" s="413">
        <v>472</v>
      </c>
      <c r="B473" s="413" t="s">
        <v>3659</v>
      </c>
      <c r="C473" s="414" t="s">
        <v>16</v>
      </c>
      <c r="D473" s="414" t="s">
        <v>3648</v>
      </c>
      <c r="E473" s="414"/>
      <c r="F473" s="414"/>
      <c r="G473" s="414"/>
      <c r="H473" s="414"/>
      <c r="I473" s="414"/>
      <c r="J473" s="414"/>
      <c r="K473" s="414"/>
      <c r="L473" s="415" t="s">
        <v>4941</v>
      </c>
      <c r="M473" s="416" t="s">
        <v>2999</v>
      </c>
      <c r="N473" s="416" t="s">
        <v>2999</v>
      </c>
      <c r="O473" s="417"/>
      <c r="P473" s="416">
        <v>4590006250</v>
      </c>
      <c r="Q473" s="418">
        <v>44836</v>
      </c>
      <c r="R473" s="419">
        <v>16</v>
      </c>
      <c r="S473" s="458">
        <v>14109.38</v>
      </c>
      <c r="T473" s="420" t="s">
        <v>2156</v>
      </c>
      <c r="U473" s="414" t="s">
        <v>3864</v>
      </c>
      <c r="V473" s="414" t="s">
        <v>3865</v>
      </c>
      <c r="W473" s="417" t="s">
        <v>3866</v>
      </c>
      <c r="X473" s="417"/>
      <c r="Y473" s="421" t="s">
        <v>3652</v>
      </c>
      <c r="Z473" s="421" t="s">
        <v>3652</v>
      </c>
      <c r="AA473" s="416" t="s">
        <v>3767</v>
      </c>
      <c r="AB473" s="414" t="s">
        <v>3664</v>
      </c>
      <c r="AC473" s="422"/>
      <c r="AD473" s="421"/>
      <c r="AE473" s="420"/>
      <c r="AF473" s="421">
        <v>91372</v>
      </c>
      <c r="AG473" s="420" t="s">
        <v>4942</v>
      </c>
      <c r="AH473" s="421" t="s">
        <v>3770</v>
      </c>
      <c r="AI473" s="420" t="s">
        <v>3719</v>
      </c>
      <c r="AJ473" s="413" t="str">
        <f t="shared" si="31"/>
        <v>4590006250_016</v>
      </c>
      <c r="AK473" s="423"/>
      <c r="AL473" s="413"/>
      <c r="AM473" s="221"/>
      <c r="AN473" s="424"/>
      <c r="AO473" s="423"/>
      <c r="AP473" s="413"/>
      <c r="AQ473" s="222"/>
      <c r="AR473" s="424"/>
      <c r="AS473" s="614">
        <f ca="1">表格1_6[[#This Row],[total amount]]/表格1_6[[#This Row],[PO$]]</f>
        <v>0</v>
      </c>
      <c r="AT473" s="223">
        <f ca="1">表格1_6[[#This Row],[invoice amount]]+表格1_6[[#This Row],[invoice amount2]]</f>
        <v>0</v>
      </c>
      <c r="AU473" s="224"/>
      <c r="AV473" s="423"/>
      <c r="AW473" s="423" t="e">
        <f ca="1">VLOOKUP(表格1_6[[#This Row],[TI tool ID2]],工作表1!A:A,1,FALSE)</f>
        <v>#N/A</v>
      </c>
      <c r="AX473" s="425" t="e">
        <f ca="1">VLOOKUP(表格1_6[[#This Row],[PO+ITEM]],工作表1!B:E,2,FALSE)</f>
        <v>#N/A</v>
      </c>
      <c r="AY473" s="425" t="e">
        <f ca="1">VLOOKUP(表格1_6[[#This Row],[PO+ITEM]],工作表1!B:E,3,FALSE)</f>
        <v>#N/A</v>
      </c>
      <c r="AZ473" s="423" t="e">
        <f ca="1">VLOOKUP(表格1_6[[#This Row],[PO+ITEM]],工作表1!B:E,4,FALSE)</f>
        <v>#N/A</v>
      </c>
      <c r="BA473" s="425" t="e">
        <f ca="1">INDEX(工作表1!G:G, MATCH(表格1_6[[#This Row],[invoice number]]&amp;表格1_6[[#This Row],[invoice number2]],工作表1!G:G, 0))</f>
        <v>#N/A</v>
      </c>
      <c r="BB473" s="423" t="e">
        <f ca="1">VLOOKUP(表格1_6[[#This Row],[PO+ITEM]],工作表1!F:H,2,FALSE)</f>
        <v>#N/A</v>
      </c>
    </row>
    <row r="474" spans="1:54" ht="14.45">
      <c r="A474" s="413">
        <v>473</v>
      </c>
      <c r="B474" s="413" t="s">
        <v>3659</v>
      </c>
      <c r="C474" s="414" t="s">
        <v>16</v>
      </c>
      <c r="D474" s="414" t="s">
        <v>3648</v>
      </c>
      <c r="E474" s="414"/>
      <c r="F474" s="414"/>
      <c r="G474" s="414"/>
      <c r="H474" s="414"/>
      <c r="I474" s="414"/>
      <c r="J474" s="414"/>
      <c r="K474" s="414"/>
      <c r="L474" s="420" t="s">
        <v>4943</v>
      </c>
      <c r="M474" s="416" t="s">
        <v>2999</v>
      </c>
      <c r="N474" s="416" t="s">
        <v>2999</v>
      </c>
      <c r="O474" s="417"/>
      <c r="P474" s="416">
        <v>4590006250</v>
      </c>
      <c r="Q474" s="418">
        <v>44836</v>
      </c>
      <c r="R474" s="419">
        <v>17</v>
      </c>
      <c r="S474" s="458">
        <v>14109.38</v>
      </c>
      <c r="T474" s="420" t="s">
        <v>2156</v>
      </c>
      <c r="U474" s="414" t="s">
        <v>3864</v>
      </c>
      <c r="V474" s="414" t="s">
        <v>3865</v>
      </c>
      <c r="W474" s="417" t="s">
        <v>3866</v>
      </c>
      <c r="X474" s="417"/>
      <c r="Y474" s="421" t="s">
        <v>3652</v>
      </c>
      <c r="Z474" s="421" t="s">
        <v>3652</v>
      </c>
      <c r="AA474" s="416" t="s">
        <v>3767</v>
      </c>
      <c r="AB474" s="414" t="s">
        <v>3664</v>
      </c>
      <c r="AC474" s="422"/>
      <c r="AD474" s="421"/>
      <c r="AE474" s="420"/>
      <c r="AF474" s="421">
        <v>91375</v>
      </c>
      <c r="AG474" s="420" t="s">
        <v>4944</v>
      </c>
      <c r="AH474" s="421" t="s">
        <v>3770</v>
      </c>
      <c r="AI474" s="420" t="s">
        <v>3719</v>
      </c>
      <c r="AJ474" s="413" t="str">
        <f t="shared" si="31"/>
        <v>4590006250_017</v>
      </c>
      <c r="AK474" s="423"/>
      <c r="AL474" s="413"/>
      <c r="AM474" s="221"/>
      <c r="AN474" s="424"/>
      <c r="AO474" s="423"/>
      <c r="AP474" s="413"/>
      <c r="AQ474" s="222"/>
      <c r="AR474" s="424"/>
      <c r="AS474" s="614">
        <f ca="1">表格1_6[[#This Row],[total amount]]/表格1_6[[#This Row],[PO$]]</f>
        <v>0</v>
      </c>
      <c r="AT474" s="223">
        <f ca="1">表格1_6[[#This Row],[invoice amount]]+表格1_6[[#This Row],[invoice amount2]]</f>
        <v>0</v>
      </c>
      <c r="AU474" s="224"/>
      <c r="AV474" s="423"/>
      <c r="AW474" s="423" t="e">
        <f ca="1">VLOOKUP(表格1_6[[#This Row],[TI tool ID2]],工作表1!A:A,1,FALSE)</f>
        <v>#N/A</v>
      </c>
      <c r="AX474" s="425" t="e">
        <f ca="1">VLOOKUP(表格1_6[[#This Row],[PO+ITEM]],工作表1!B:E,2,FALSE)</f>
        <v>#N/A</v>
      </c>
      <c r="AY474" s="425" t="e">
        <f ca="1">VLOOKUP(表格1_6[[#This Row],[PO+ITEM]],工作表1!B:E,3,FALSE)</f>
        <v>#N/A</v>
      </c>
      <c r="AZ474" s="423" t="e">
        <f ca="1">VLOOKUP(表格1_6[[#This Row],[PO+ITEM]],工作表1!B:E,4,FALSE)</f>
        <v>#N/A</v>
      </c>
      <c r="BA474" s="425" t="e">
        <f ca="1">INDEX(工作表1!G:G, MATCH(表格1_6[[#This Row],[invoice number]]&amp;表格1_6[[#This Row],[invoice number2]],工作表1!G:G, 0))</f>
        <v>#N/A</v>
      </c>
      <c r="BB474" s="423" t="e">
        <f ca="1">VLOOKUP(表格1_6[[#This Row],[PO+ITEM]],工作表1!F:H,2,FALSE)</f>
        <v>#N/A</v>
      </c>
    </row>
    <row r="475" spans="1:54" ht="14.45">
      <c r="A475" s="413">
        <v>474</v>
      </c>
      <c r="B475" s="413" t="s">
        <v>3659</v>
      </c>
      <c r="C475" s="414" t="s">
        <v>16</v>
      </c>
      <c r="D475" s="414" t="s">
        <v>3648</v>
      </c>
      <c r="E475" s="414"/>
      <c r="F475" s="414"/>
      <c r="G475" s="414"/>
      <c r="H475" s="414"/>
      <c r="I475" s="414"/>
      <c r="J475" s="414"/>
      <c r="K475" s="414"/>
      <c r="L475" s="415" t="s">
        <v>4945</v>
      </c>
      <c r="M475" s="416" t="s">
        <v>2999</v>
      </c>
      <c r="N475" s="416" t="s">
        <v>2999</v>
      </c>
      <c r="O475" s="417"/>
      <c r="P475" s="416">
        <v>4590006250</v>
      </c>
      <c r="Q475" s="418">
        <v>44836</v>
      </c>
      <c r="R475" s="419">
        <v>18</v>
      </c>
      <c r="S475" s="458">
        <v>14109.38</v>
      </c>
      <c r="T475" s="420" t="s">
        <v>2156</v>
      </c>
      <c r="U475" s="414" t="s">
        <v>3864</v>
      </c>
      <c r="V475" s="414" t="s">
        <v>3865</v>
      </c>
      <c r="W475" s="417" t="s">
        <v>3866</v>
      </c>
      <c r="X475" s="417"/>
      <c r="Y475" s="421" t="s">
        <v>3652</v>
      </c>
      <c r="Z475" s="421" t="s">
        <v>3652</v>
      </c>
      <c r="AA475" s="416" t="s">
        <v>3767</v>
      </c>
      <c r="AB475" s="414" t="s">
        <v>3664</v>
      </c>
      <c r="AC475" s="422"/>
      <c r="AD475" s="421"/>
      <c r="AE475" s="420"/>
      <c r="AF475" s="421">
        <v>91376</v>
      </c>
      <c r="AG475" s="420" t="s">
        <v>4946</v>
      </c>
      <c r="AH475" s="421" t="s">
        <v>3770</v>
      </c>
      <c r="AI475" s="420" t="s">
        <v>3719</v>
      </c>
      <c r="AJ475" s="413" t="str">
        <f t="shared" si="31"/>
        <v>4590006250_018</v>
      </c>
      <c r="AK475" s="423"/>
      <c r="AL475" s="413"/>
      <c r="AM475" s="221"/>
      <c r="AN475" s="424"/>
      <c r="AO475" s="423"/>
      <c r="AP475" s="413"/>
      <c r="AQ475" s="222"/>
      <c r="AR475" s="424"/>
      <c r="AS475" s="614">
        <f ca="1">表格1_6[[#This Row],[total amount]]/表格1_6[[#This Row],[PO$]]</f>
        <v>0</v>
      </c>
      <c r="AT475" s="223">
        <f ca="1">表格1_6[[#This Row],[invoice amount]]+表格1_6[[#This Row],[invoice amount2]]</f>
        <v>0</v>
      </c>
      <c r="AU475" s="224"/>
      <c r="AV475" s="423"/>
      <c r="AW475" s="423" t="e">
        <f ca="1">VLOOKUP(表格1_6[[#This Row],[TI tool ID2]],工作表1!A:A,1,FALSE)</f>
        <v>#N/A</v>
      </c>
      <c r="AX475" s="425" t="e">
        <f ca="1">VLOOKUP(表格1_6[[#This Row],[PO+ITEM]],工作表1!B:E,2,FALSE)</f>
        <v>#N/A</v>
      </c>
      <c r="AY475" s="425" t="e">
        <f ca="1">VLOOKUP(表格1_6[[#This Row],[PO+ITEM]],工作表1!B:E,3,FALSE)</f>
        <v>#N/A</v>
      </c>
      <c r="AZ475" s="423" t="e">
        <f ca="1">VLOOKUP(表格1_6[[#This Row],[PO+ITEM]],工作表1!B:E,4,FALSE)</f>
        <v>#N/A</v>
      </c>
      <c r="BA475" s="425" t="e">
        <f ca="1">INDEX(工作表1!G:G, MATCH(表格1_6[[#This Row],[invoice number]]&amp;表格1_6[[#This Row],[invoice number2]],工作表1!G:G, 0))</f>
        <v>#N/A</v>
      </c>
      <c r="BB475" s="423" t="e">
        <f ca="1">VLOOKUP(表格1_6[[#This Row],[PO+ITEM]],工作表1!F:H,2,FALSE)</f>
        <v>#N/A</v>
      </c>
    </row>
    <row r="476" spans="1:54" ht="14.45">
      <c r="A476" s="413">
        <v>475</v>
      </c>
      <c r="B476" s="413" t="s">
        <v>3659</v>
      </c>
      <c r="C476" s="414" t="s">
        <v>16</v>
      </c>
      <c r="D476" s="414" t="s">
        <v>3648</v>
      </c>
      <c r="E476" s="414"/>
      <c r="F476" s="414"/>
      <c r="G476" s="414"/>
      <c r="H476" s="414"/>
      <c r="I476" s="414"/>
      <c r="J476" s="414"/>
      <c r="K476" s="414"/>
      <c r="L476" s="415" t="s">
        <v>4947</v>
      </c>
      <c r="M476" s="416" t="s">
        <v>2999</v>
      </c>
      <c r="N476" s="416" t="s">
        <v>2999</v>
      </c>
      <c r="O476" s="417"/>
      <c r="P476" s="416">
        <v>4590006250</v>
      </c>
      <c r="Q476" s="418">
        <v>44836</v>
      </c>
      <c r="R476" s="419">
        <v>19</v>
      </c>
      <c r="S476" s="458">
        <v>14109.38</v>
      </c>
      <c r="T476" s="420" t="s">
        <v>2156</v>
      </c>
      <c r="U476" s="414" t="s">
        <v>3864</v>
      </c>
      <c r="V476" s="414" t="s">
        <v>3865</v>
      </c>
      <c r="W476" s="417" t="s">
        <v>3866</v>
      </c>
      <c r="X476" s="417"/>
      <c r="Y476" s="421" t="s">
        <v>3652</v>
      </c>
      <c r="Z476" s="421" t="s">
        <v>3652</v>
      </c>
      <c r="AA476" s="416" t="s">
        <v>3767</v>
      </c>
      <c r="AB476" s="414" t="s">
        <v>3664</v>
      </c>
      <c r="AC476" s="422"/>
      <c r="AD476" s="421"/>
      <c r="AE476" s="420"/>
      <c r="AF476" s="421">
        <v>91377</v>
      </c>
      <c r="AG476" s="420" t="s">
        <v>4948</v>
      </c>
      <c r="AH476" s="421" t="s">
        <v>3770</v>
      </c>
      <c r="AI476" s="420" t="s">
        <v>3719</v>
      </c>
      <c r="AJ476" s="413" t="str">
        <f t="shared" si="31"/>
        <v>4590006250_019</v>
      </c>
      <c r="AK476" s="423"/>
      <c r="AL476" s="413"/>
      <c r="AM476" s="221"/>
      <c r="AN476" s="424"/>
      <c r="AO476" s="423"/>
      <c r="AP476" s="413"/>
      <c r="AQ476" s="222"/>
      <c r="AR476" s="424"/>
      <c r="AS476" s="614">
        <f ca="1">表格1_6[[#This Row],[total amount]]/表格1_6[[#This Row],[PO$]]</f>
        <v>0</v>
      </c>
      <c r="AT476" s="223">
        <f ca="1">表格1_6[[#This Row],[invoice amount]]+表格1_6[[#This Row],[invoice amount2]]</f>
        <v>0</v>
      </c>
      <c r="AU476" s="224"/>
      <c r="AV476" s="423"/>
      <c r="AW476" s="423" t="e">
        <f ca="1">VLOOKUP(表格1_6[[#This Row],[TI tool ID2]],工作表1!A:A,1,FALSE)</f>
        <v>#N/A</v>
      </c>
      <c r="AX476" s="425" t="e">
        <f ca="1">VLOOKUP(表格1_6[[#This Row],[PO+ITEM]],工作表1!B:E,2,FALSE)</f>
        <v>#N/A</v>
      </c>
      <c r="AY476" s="425" t="e">
        <f ca="1">VLOOKUP(表格1_6[[#This Row],[PO+ITEM]],工作表1!B:E,3,FALSE)</f>
        <v>#N/A</v>
      </c>
      <c r="AZ476" s="423" t="e">
        <f ca="1">VLOOKUP(表格1_6[[#This Row],[PO+ITEM]],工作表1!B:E,4,FALSE)</f>
        <v>#N/A</v>
      </c>
      <c r="BA476" s="425" t="e">
        <f ca="1">INDEX(工作表1!G:G, MATCH(表格1_6[[#This Row],[invoice number]]&amp;表格1_6[[#This Row],[invoice number2]],工作表1!G:G, 0))</f>
        <v>#N/A</v>
      </c>
      <c r="BB476" s="423" t="e">
        <f ca="1">VLOOKUP(表格1_6[[#This Row],[PO+ITEM]],工作表1!F:H,2,FALSE)</f>
        <v>#N/A</v>
      </c>
    </row>
    <row r="477" spans="1:54" ht="14.45">
      <c r="A477" s="413">
        <v>476</v>
      </c>
      <c r="B477" s="413" t="s">
        <v>3659</v>
      </c>
      <c r="C477" s="414" t="s">
        <v>16</v>
      </c>
      <c r="D477" s="414" t="s">
        <v>3648</v>
      </c>
      <c r="E477" s="414"/>
      <c r="F477" s="414"/>
      <c r="G477" s="414"/>
      <c r="H477" s="414"/>
      <c r="I477" s="414"/>
      <c r="J477" s="414"/>
      <c r="K477" s="414"/>
      <c r="L477" s="415" t="s">
        <v>4949</v>
      </c>
      <c r="M477" s="416" t="s">
        <v>2999</v>
      </c>
      <c r="N477" s="416" t="s">
        <v>2999</v>
      </c>
      <c r="O477" s="417"/>
      <c r="P477" s="416">
        <v>4590006250</v>
      </c>
      <c r="Q477" s="418">
        <v>44836</v>
      </c>
      <c r="R477" s="419">
        <v>20</v>
      </c>
      <c r="S477" s="458">
        <v>14109.38</v>
      </c>
      <c r="T477" s="420" t="s">
        <v>2156</v>
      </c>
      <c r="U477" s="414" t="s">
        <v>3864</v>
      </c>
      <c r="V477" s="414" t="s">
        <v>3865</v>
      </c>
      <c r="W477" s="417" t="s">
        <v>3866</v>
      </c>
      <c r="X477" s="417"/>
      <c r="Y477" s="421" t="s">
        <v>3652</v>
      </c>
      <c r="Z477" s="421" t="s">
        <v>3652</v>
      </c>
      <c r="AA477" s="416" t="s">
        <v>3767</v>
      </c>
      <c r="AB477" s="414" t="s">
        <v>3664</v>
      </c>
      <c r="AC477" s="422"/>
      <c r="AD477" s="421"/>
      <c r="AE477" s="420"/>
      <c r="AF477" s="421">
        <v>91378</v>
      </c>
      <c r="AG477" s="420" t="s">
        <v>4950</v>
      </c>
      <c r="AH477" s="421" t="s">
        <v>3770</v>
      </c>
      <c r="AI477" s="420" t="s">
        <v>3719</v>
      </c>
      <c r="AJ477" s="413" t="str">
        <f t="shared" si="31"/>
        <v>4590006250_020</v>
      </c>
      <c r="AK477" s="423"/>
      <c r="AL477" s="413"/>
      <c r="AM477" s="221"/>
      <c r="AN477" s="424"/>
      <c r="AO477" s="423"/>
      <c r="AP477" s="413"/>
      <c r="AQ477" s="222"/>
      <c r="AR477" s="424"/>
      <c r="AS477" s="614">
        <f ca="1">表格1_6[[#This Row],[total amount]]/表格1_6[[#This Row],[PO$]]</f>
        <v>0</v>
      </c>
      <c r="AT477" s="223">
        <f ca="1">表格1_6[[#This Row],[invoice amount]]+表格1_6[[#This Row],[invoice amount2]]</f>
        <v>0</v>
      </c>
      <c r="AU477" s="224"/>
      <c r="AV477" s="423"/>
      <c r="AW477" s="423" t="e">
        <f ca="1">VLOOKUP(表格1_6[[#This Row],[TI tool ID2]],工作表1!A:A,1,FALSE)</f>
        <v>#N/A</v>
      </c>
      <c r="AX477" s="425" t="e">
        <f ca="1">VLOOKUP(表格1_6[[#This Row],[PO+ITEM]],工作表1!B:E,2,FALSE)</f>
        <v>#N/A</v>
      </c>
      <c r="AY477" s="425" t="e">
        <f ca="1">VLOOKUP(表格1_6[[#This Row],[PO+ITEM]],工作表1!B:E,3,FALSE)</f>
        <v>#N/A</v>
      </c>
      <c r="AZ477" s="423" t="e">
        <f ca="1">VLOOKUP(表格1_6[[#This Row],[PO+ITEM]],工作表1!B:E,4,FALSE)</f>
        <v>#N/A</v>
      </c>
      <c r="BA477" s="425" t="e">
        <f ca="1">INDEX(工作表1!G:G, MATCH(表格1_6[[#This Row],[invoice number]]&amp;表格1_6[[#This Row],[invoice number2]],工作表1!G:G, 0))</f>
        <v>#N/A</v>
      </c>
      <c r="BB477" s="423" t="e">
        <f ca="1">VLOOKUP(表格1_6[[#This Row],[PO+ITEM]],工作表1!F:H,2,FALSE)</f>
        <v>#N/A</v>
      </c>
    </row>
    <row r="478" spans="1:54" ht="14.45">
      <c r="A478" s="413">
        <v>477</v>
      </c>
      <c r="B478" s="413" t="s">
        <v>3674</v>
      </c>
      <c r="C478" s="414" t="s">
        <v>16</v>
      </c>
      <c r="D478" s="414" t="s">
        <v>3648</v>
      </c>
      <c r="E478" s="414"/>
      <c r="F478" s="414"/>
      <c r="G478" s="414"/>
      <c r="H478" s="414"/>
      <c r="I478" s="414"/>
      <c r="J478" s="414"/>
      <c r="K478" s="414"/>
      <c r="L478" s="415" t="s">
        <v>4951</v>
      </c>
      <c r="M478" s="416" t="s">
        <v>2999</v>
      </c>
      <c r="N478" s="416" t="s">
        <v>2999</v>
      </c>
      <c r="O478" s="417"/>
      <c r="P478" s="416">
        <v>4590006250</v>
      </c>
      <c r="Q478" s="418">
        <v>44836</v>
      </c>
      <c r="R478" s="419">
        <v>21</v>
      </c>
      <c r="S478" s="349">
        <v>13701.87</v>
      </c>
      <c r="T478" s="420" t="s">
        <v>2156</v>
      </c>
      <c r="U478" s="414" t="s">
        <v>3864</v>
      </c>
      <c r="V478" s="414" t="s">
        <v>3865</v>
      </c>
      <c r="W478" s="417" t="s">
        <v>3866</v>
      </c>
      <c r="X478" s="417"/>
      <c r="Y478" s="421" t="s">
        <v>3652</v>
      </c>
      <c r="Z478" s="421" t="s">
        <v>3652</v>
      </c>
      <c r="AA478" s="416" t="s">
        <v>3767</v>
      </c>
      <c r="AB478" s="414" t="s">
        <v>3664</v>
      </c>
      <c r="AC478" s="422"/>
      <c r="AD478" s="421"/>
      <c r="AE478" s="420"/>
      <c r="AF478" s="421">
        <v>91010</v>
      </c>
      <c r="AG478" s="420" t="s">
        <v>3803</v>
      </c>
      <c r="AH478" s="421" t="s">
        <v>3770</v>
      </c>
      <c r="AI478" s="420" t="s">
        <v>3719</v>
      </c>
      <c r="AJ478" s="413" t="str">
        <f t="shared" si="31"/>
        <v>4590006250_021</v>
      </c>
      <c r="AK478" s="420" t="s">
        <v>4952</v>
      </c>
      <c r="AL478" s="424">
        <v>45471</v>
      </c>
      <c r="AM478" s="221">
        <v>13701.87</v>
      </c>
      <c r="AN478" s="424">
        <v>45519</v>
      </c>
      <c r="AO478" s="423"/>
      <c r="AP478" s="413"/>
      <c r="AQ478" s="222"/>
      <c r="AR478" s="424"/>
      <c r="AS478" s="614">
        <f ca="1">表格1_6[[#This Row],[total amount]]/表格1_6[[#This Row],[PO$]]</f>
        <v>1</v>
      </c>
      <c r="AT478" s="223">
        <f ca="1">表格1_6[[#This Row],[invoice amount]]+表格1_6[[#This Row],[invoice amount2]]</f>
        <v>13701.87</v>
      </c>
      <c r="AU478" s="224" t="s">
        <v>3657</v>
      </c>
      <c r="AV478" s="423"/>
      <c r="AW478" s="423" t="e">
        <f ca="1">VLOOKUP(表格1_6[[#This Row],[TI tool ID2]],工作表1!A:A,1,FALSE)</f>
        <v>#N/A</v>
      </c>
      <c r="AX478" s="425" t="e">
        <f ca="1">VLOOKUP(表格1_6[[#This Row],[PO+ITEM]],工作表1!B:E,2,FALSE)</f>
        <v>#N/A</v>
      </c>
      <c r="AY478" s="425" t="e">
        <f ca="1">VLOOKUP(表格1_6[[#This Row],[PO+ITEM]],工作表1!B:E,3,FALSE)</f>
        <v>#N/A</v>
      </c>
      <c r="AZ478" s="423" t="e">
        <f ca="1">VLOOKUP(表格1_6[[#This Row],[PO+ITEM]],工作表1!B:E,4,FALSE)</f>
        <v>#N/A</v>
      </c>
      <c r="BA478" s="425" t="e">
        <f ca="1">INDEX(工作表1!G:G, MATCH(表格1_6[[#This Row],[invoice number]]&amp;表格1_6[[#This Row],[invoice number2]],工作表1!G:G, 0))</f>
        <v>#N/A</v>
      </c>
      <c r="BB478" s="423" t="e">
        <f ca="1">VLOOKUP(表格1_6[[#This Row],[PO+ITEM]],工作表1!F:H,2,FALSE)</f>
        <v>#N/A</v>
      </c>
    </row>
    <row r="479" spans="1:54" s="429" customFormat="1" ht="14.45">
      <c r="A479" s="413">
        <v>478</v>
      </c>
      <c r="B479" s="413" t="s">
        <v>3659</v>
      </c>
      <c r="C479" s="414" t="s">
        <v>16</v>
      </c>
      <c r="D479" s="414" t="s">
        <v>3648</v>
      </c>
      <c r="E479" s="414"/>
      <c r="F479" s="414"/>
      <c r="G479" s="414"/>
      <c r="H479" s="414"/>
      <c r="I479" s="414"/>
      <c r="J479" s="414"/>
      <c r="K479" s="414"/>
      <c r="L479" s="415" t="s">
        <v>4953</v>
      </c>
      <c r="M479" s="416" t="s">
        <v>2999</v>
      </c>
      <c r="N479" s="416" t="s">
        <v>2999</v>
      </c>
      <c r="O479" s="417"/>
      <c r="P479" s="416">
        <v>4590006250</v>
      </c>
      <c r="Q479" s="418">
        <v>44836</v>
      </c>
      <c r="R479" s="419">
        <v>22</v>
      </c>
      <c r="S479" s="458">
        <v>14109.38</v>
      </c>
      <c r="T479" s="420" t="s">
        <v>2156</v>
      </c>
      <c r="U479" s="414" t="s">
        <v>3864</v>
      </c>
      <c r="V479" s="414" t="s">
        <v>3865</v>
      </c>
      <c r="W479" s="417" t="s">
        <v>3866</v>
      </c>
      <c r="X479" s="417"/>
      <c r="Y479" s="421" t="s">
        <v>3652</v>
      </c>
      <c r="Z479" s="421" t="s">
        <v>3652</v>
      </c>
      <c r="AA479" s="416" t="s">
        <v>3767</v>
      </c>
      <c r="AB479" s="414" t="s">
        <v>3664</v>
      </c>
      <c r="AC479" s="422"/>
      <c r="AD479" s="421"/>
      <c r="AE479" s="420"/>
      <c r="AF479" s="421">
        <v>91120</v>
      </c>
      <c r="AG479" s="420" t="s">
        <v>4954</v>
      </c>
      <c r="AH479" s="421" t="s">
        <v>3770</v>
      </c>
      <c r="AI479" s="420" t="s">
        <v>3719</v>
      </c>
      <c r="AJ479" s="413" t="str">
        <f t="shared" si="31"/>
        <v>4590006250_022</v>
      </c>
      <c r="AK479" s="423"/>
      <c r="AL479" s="413"/>
      <c r="AM479" s="221"/>
      <c r="AN479" s="424"/>
      <c r="AO479" s="423"/>
      <c r="AP479" s="413"/>
      <c r="AQ479" s="222"/>
      <c r="AR479" s="424"/>
      <c r="AS479" s="614">
        <f ca="1">表格1_6[[#This Row],[total amount]]/表格1_6[[#This Row],[PO$]]</f>
        <v>0</v>
      </c>
      <c r="AT479" s="223">
        <f ca="1">表格1_6[[#This Row],[invoice amount]]+表格1_6[[#This Row],[invoice amount2]]</f>
        <v>0</v>
      </c>
      <c r="AU479" s="224"/>
      <c r="AV479" s="423"/>
      <c r="AW479" s="423" t="e">
        <f ca="1">VLOOKUP(表格1_6[[#This Row],[TI tool ID2]],工作表1!A:A,1,FALSE)</f>
        <v>#N/A</v>
      </c>
      <c r="AX479" s="425" t="e">
        <f ca="1">VLOOKUP(表格1_6[[#This Row],[PO+ITEM]],工作表1!B:E,2,FALSE)</f>
        <v>#N/A</v>
      </c>
      <c r="AY479" s="425" t="e">
        <f ca="1">VLOOKUP(表格1_6[[#This Row],[PO+ITEM]],工作表1!B:E,3,FALSE)</f>
        <v>#N/A</v>
      </c>
      <c r="AZ479" s="423" t="e">
        <f ca="1">VLOOKUP(表格1_6[[#This Row],[PO+ITEM]],工作表1!B:E,4,FALSE)</f>
        <v>#N/A</v>
      </c>
      <c r="BA479" s="425" t="e">
        <f ca="1">INDEX(工作表1!G:G, MATCH(表格1_6[[#This Row],[invoice number]]&amp;表格1_6[[#This Row],[invoice number2]],工作表1!G:G, 0))</f>
        <v>#N/A</v>
      </c>
      <c r="BB479" s="423" t="e">
        <f ca="1">VLOOKUP(表格1_6[[#This Row],[PO+ITEM]],工作表1!F:H,2,FALSE)</f>
        <v>#N/A</v>
      </c>
    </row>
    <row r="480" spans="1:54" ht="14.45">
      <c r="A480" s="413">
        <v>479</v>
      </c>
      <c r="B480" s="413" t="s">
        <v>3659</v>
      </c>
      <c r="C480" s="414" t="s">
        <v>16</v>
      </c>
      <c r="D480" s="414" t="s">
        <v>3648</v>
      </c>
      <c r="E480" s="414"/>
      <c r="F480" s="414"/>
      <c r="G480" s="414"/>
      <c r="H480" s="414"/>
      <c r="I480" s="414"/>
      <c r="J480" s="414"/>
      <c r="K480" s="414"/>
      <c r="L480" s="415" t="s">
        <v>4955</v>
      </c>
      <c r="M480" s="416" t="s">
        <v>2999</v>
      </c>
      <c r="N480" s="416" t="s">
        <v>2999</v>
      </c>
      <c r="O480" s="417"/>
      <c r="P480" s="416">
        <v>4590006250</v>
      </c>
      <c r="Q480" s="418">
        <v>44836</v>
      </c>
      <c r="R480" s="419">
        <v>23</v>
      </c>
      <c r="S480" s="458">
        <v>14109.38</v>
      </c>
      <c r="T480" s="420" t="s">
        <v>2156</v>
      </c>
      <c r="U480" s="414" t="s">
        <v>3864</v>
      </c>
      <c r="V480" s="414" t="s">
        <v>3865</v>
      </c>
      <c r="W480" s="417" t="s">
        <v>3866</v>
      </c>
      <c r="X480" s="417"/>
      <c r="Y480" s="421" t="s">
        <v>3652</v>
      </c>
      <c r="Z480" s="421" t="s">
        <v>3652</v>
      </c>
      <c r="AA480" s="416" t="s">
        <v>3767</v>
      </c>
      <c r="AB480" s="414" t="s">
        <v>3664</v>
      </c>
      <c r="AC480" s="422"/>
      <c r="AD480" s="421"/>
      <c r="AE480" s="420"/>
      <c r="AF480" s="421">
        <v>91132</v>
      </c>
      <c r="AG480" s="420" t="s">
        <v>4956</v>
      </c>
      <c r="AH480" s="421" t="s">
        <v>3770</v>
      </c>
      <c r="AI480" s="420" t="s">
        <v>3719</v>
      </c>
      <c r="AJ480" s="413" t="str">
        <f t="shared" si="31"/>
        <v>4590006250_023</v>
      </c>
      <c r="AK480" s="423"/>
      <c r="AL480" s="413"/>
      <c r="AM480" s="221"/>
      <c r="AN480" s="424"/>
      <c r="AO480" s="423"/>
      <c r="AP480" s="413"/>
      <c r="AQ480" s="222"/>
      <c r="AR480" s="424"/>
      <c r="AS480" s="614">
        <f ca="1">表格1_6[[#This Row],[total amount]]/表格1_6[[#This Row],[PO$]]</f>
        <v>0</v>
      </c>
      <c r="AT480" s="223">
        <f ca="1">表格1_6[[#This Row],[invoice amount]]+表格1_6[[#This Row],[invoice amount2]]</f>
        <v>0</v>
      </c>
      <c r="AU480" s="224"/>
      <c r="AV480" s="423"/>
      <c r="AW480" s="423" t="e">
        <f ca="1">VLOOKUP(表格1_6[[#This Row],[TI tool ID2]],工作表1!A:A,1,FALSE)</f>
        <v>#N/A</v>
      </c>
      <c r="AX480" s="425" t="e">
        <f ca="1">VLOOKUP(表格1_6[[#This Row],[PO+ITEM]],工作表1!B:E,2,FALSE)</f>
        <v>#N/A</v>
      </c>
      <c r="AY480" s="425" t="e">
        <f ca="1">VLOOKUP(表格1_6[[#This Row],[PO+ITEM]],工作表1!B:E,3,FALSE)</f>
        <v>#N/A</v>
      </c>
      <c r="AZ480" s="423" t="e">
        <f ca="1">VLOOKUP(表格1_6[[#This Row],[PO+ITEM]],工作表1!B:E,4,FALSE)</f>
        <v>#N/A</v>
      </c>
      <c r="BA480" s="425" t="e">
        <f ca="1">INDEX(工作表1!G:G, MATCH(表格1_6[[#This Row],[invoice number]]&amp;表格1_6[[#This Row],[invoice number2]],工作表1!G:G, 0))</f>
        <v>#N/A</v>
      </c>
      <c r="BB480" s="423" t="e">
        <f ca="1">VLOOKUP(表格1_6[[#This Row],[PO+ITEM]],工作表1!F:H,2,FALSE)</f>
        <v>#N/A</v>
      </c>
    </row>
    <row r="481" spans="1:54" ht="14.45">
      <c r="A481" s="413">
        <v>480</v>
      </c>
      <c r="B481" s="413" t="s">
        <v>3659</v>
      </c>
      <c r="C481" s="414" t="s">
        <v>16</v>
      </c>
      <c r="D481" s="414" t="s">
        <v>3648</v>
      </c>
      <c r="E481" s="414"/>
      <c r="F481" s="414"/>
      <c r="G481" s="414"/>
      <c r="H481" s="414"/>
      <c r="I481" s="414"/>
      <c r="J481" s="414"/>
      <c r="K481" s="414"/>
      <c r="L481" s="415" t="s">
        <v>4957</v>
      </c>
      <c r="M481" s="416" t="s">
        <v>2999</v>
      </c>
      <c r="N481" s="416" t="s">
        <v>2999</v>
      </c>
      <c r="O481" s="417"/>
      <c r="P481" s="416">
        <v>4590006250</v>
      </c>
      <c r="Q481" s="418">
        <v>44836</v>
      </c>
      <c r="R481" s="419">
        <v>24</v>
      </c>
      <c r="S481" s="458">
        <v>14109.38</v>
      </c>
      <c r="T481" s="420" t="s">
        <v>2156</v>
      </c>
      <c r="U481" s="414" t="s">
        <v>3864</v>
      </c>
      <c r="V481" s="414" t="s">
        <v>3865</v>
      </c>
      <c r="W481" s="417" t="s">
        <v>3866</v>
      </c>
      <c r="X481" s="417"/>
      <c r="Y481" s="421" t="s">
        <v>3652</v>
      </c>
      <c r="Z481" s="421" t="s">
        <v>3652</v>
      </c>
      <c r="AA481" s="416" t="s">
        <v>3767</v>
      </c>
      <c r="AB481" s="414" t="s">
        <v>3664</v>
      </c>
      <c r="AC481" s="422"/>
      <c r="AD481" s="421"/>
      <c r="AE481" s="420"/>
      <c r="AF481" s="421">
        <v>91133</v>
      </c>
      <c r="AG481" s="420" t="s">
        <v>4958</v>
      </c>
      <c r="AH481" s="421" t="s">
        <v>3770</v>
      </c>
      <c r="AI481" s="420" t="s">
        <v>3719</v>
      </c>
      <c r="AJ481" s="413" t="str">
        <f t="shared" si="31"/>
        <v>4590006250_024</v>
      </c>
      <c r="AK481" s="423"/>
      <c r="AL481" s="413"/>
      <c r="AM481" s="221"/>
      <c r="AN481" s="424"/>
      <c r="AO481" s="423"/>
      <c r="AP481" s="413"/>
      <c r="AQ481" s="222"/>
      <c r="AR481" s="424"/>
      <c r="AS481" s="614">
        <f ca="1">表格1_6[[#This Row],[total amount]]/表格1_6[[#This Row],[PO$]]</f>
        <v>0</v>
      </c>
      <c r="AT481" s="223">
        <f ca="1">表格1_6[[#This Row],[invoice amount]]+表格1_6[[#This Row],[invoice amount2]]</f>
        <v>0</v>
      </c>
      <c r="AU481" s="224"/>
      <c r="AV481" s="423"/>
      <c r="AW481" s="423" t="e">
        <f ca="1">VLOOKUP(表格1_6[[#This Row],[TI tool ID2]],工作表1!A:A,1,FALSE)</f>
        <v>#N/A</v>
      </c>
      <c r="AX481" s="425" t="e">
        <f ca="1">VLOOKUP(表格1_6[[#This Row],[PO+ITEM]],工作表1!B:E,2,FALSE)</f>
        <v>#N/A</v>
      </c>
      <c r="AY481" s="425" t="e">
        <f ca="1">VLOOKUP(表格1_6[[#This Row],[PO+ITEM]],工作表1!B:E,3,FALSE)</f>
        <v>#N/A</v>
      </c>
      <c r="AZ481" s="423" t="e">
        <f ca="1">VLOOKUP(表格1_6[[#This Row],[PO+ITEM]],工作表1!B:E,4,FALSE)</f>
        <v>#N/A</v>
      </c>
      <c r="BA481" s="425" t="e">
        <f ca="1">INDEX(工作表1!G:G, MATCH(表格1_6[[#This Row],[invoice number]]&amp;表格1_6[[#This Row],[invoice number2]],工作表1!G:G, 0))</f>
        <v>#N/A</v>
      </c>
      <c r="BB481" s="423" t="e">
        <f ca="1">VLOOKUP(表格1_6[[#This Row],[PO+ITEM]],工作表1!F:H,2,FALSE)</f>
        <v>#N/A</v>
      </c>
    </row>
    <row r="482" spans="1:54" ht="14.45">
      <c r="A482" s="413">
        <v>481</v>
      </c>
      <c r="B482" s="413" t="s">
        <v>3659</v>
      </c>
      <c r="C482" s="414" t="s">
        <v>16</v>
      </c>
      <c r="D482" s="414" t="s">
        <v>3648</v>
      </c>
      <c r="E482" s="414"/>
      <c r="F482" s="414"/>
      <c r="G482" s="414"/>
      <c r="H482" s="414"/>
      <c r="I482" s="414"/>
      <c r="J482" s="414"/>
      <c r="K482" s="414"/>
      <c r="L482" s="415" t="s">
        <v>4959</v>
      </c>
      <c r="M482" s="416" t="s">
        <v>2999</v>
      </c>
      <c r="N482" s="416" t="s">
        <v>2999</v>
      </c>
      <c r="O482" s="417"/>
      <c r="P482" s="416">
        <v>4590006250</v>
      </c>
      <c r="Q482" s="418">
        <v>44836</v>
      </c>
      <c r="R482" s="419">
        <v>25</v>
      </c>
      <c r="S482" s="458">
        <v>14109.38</v>
      </c>
      <c r="T482" s="420" t="s">
        <v>2156</v>
      </c>
      <c r="U482" s="414" t="s">
        <v>3864</v>
      </c>
      <c r="V482" s="414" t="s">
        <v>3865</v>
      </c>
      <c r="W482" s="417" t="s">
        <v>3866</v>
      </c>
      <c r="X482" s="417"/>
      <c r="Y482" s="421" t="s">
        <v>3652</v>
      </c>
      <c r="Z482" s="421" t="s">
        <v>3652</v>
      </c>
      <c r="AA482" s="416" t="s">
        <v>3767</v>
      </c>
      <c r="AB482" s="414" t="s">
        <v>3664</v>
      </c>
      <c r="AC482" s="422"/>
      <c r="AD482" s="421"/>
      <c r="AE482" s="420"/>
      <c r="AF482" s="421">
        <v>91134</v>
      </c>
      <c r="AG482" s="420" t="s">
        <v>4960</v>
      </c>
      <c r="AH482" s="421" t="s">
        <v>3770</v>
      </c>
      <c r="AI482" s="420" t="s">
        <v>3719</v>
      </c>
      <c r="AJ482" s="413" t="str">
        <f t="shared" si="31"/>
        <v>4590006250_025</v>
      </c>
      <c r="AK482" s="423"/>
      <c r="AL482" s="413"/>
      <c r="AM482" s="221"/>
      <c r="AN482" s="424"/>
      <c r="AO482" s="423"/>
      <c r="AP482" s="413"/>
      <c r="AQ482" s="222"/>
      <c r="AR482" s="424"/>
      <c r="AS482" s="614">
        <f ca="1">表格1_6[[#This Row],[total amount]]/表格1_6[[#This Row],[PO$]]</f>
        <v>0</v>
      </c>
      <c r="AT482" s="223">
        <f ca="1">表格1_6[[#This Row],[invoice amount]]+表格1_6[[#This Row],[invoice amount2]]</f>
        <v>0</v>
      </c>
      <c r="AU482" s="224"/>
      <c r="AV482" s="423"/>
      <c r="AW482" s="423" t="e">
        <f ca="1">VLOOKUP(表格1_6[[#This Row],[TI tool ID2]],工作表1!A:A,1,FALSE)</f>
        <v>#N/A</v>
      </c>
      <c r="AX482" s="425" t="e">
        <f ca="1">VLOOKUP(表格1_6[[#This Row],[PO+ITEM]],工作表1!B:E,2,FALSE)</f>
        <v>#N/A</v>
      </c>
      <c r="AY482" s="425" t="e">
        <f ca="1">VLOOKUP(表格1_6[[#This Row],[PO+ITEM]],工作表1!B:E,3,FALSE)</f>
        <v>#N/A</v>
      </c>
      <c r="AZ482" s="423" t="e">
        <f ca="1">VLOOKUP(表格1_6[[#This Row],[PO+ITEM]],工作表1!B:E,4,FALSE)</f>
        <v>#N/A</v>
      </c>
      <c r="BA482" s="425" t="e">
        <f ca="1">INDEX(工作表1!G:G, MATCH(表格1_6[[#This Row],[invoice number]]&amp;表格1_6[[#This Row],[invoice number2]],工作表1!G:G, 0))</f>
        <v>#N/A</v>
      </c>
      <c r="BB482" s="423" t="e">
        <f ca="1">VLOOKUP(表格1_6[[#This Row],[PO+ITEM]],工作表1!F:H,2,FALSE)</f>
        <v>#N/A</v>
      </c>
    </row>
    <row r="483" spans="1:54" s="429" customFormat="1" ht="14.45">
      <c r="A483" s="413">
        <v>482</v>
      </c>
      <c r="B483" s="566" t="s">
        <v>3765</v>
      </c>
      <c r="C483" s="509" t="s">
        <v>16</v>
      </c>
      <c r="D483" s="509" t="s">
        <v>3648</v>
      </c>
      <c r="E483" s="509"/>
      <c r="F483" s="509"/>
      <c r="G483" s="509"/>
      <c r="H483" s="509"/>
      <c r="I483" s="509"/>
      <c r="J483" s="509"/>
      <c r="K483" s="509"/>
      <c r="L483" s="524" t="s">
        <v>4961</v>
      </c>
      <c r="M483" s="510" t="s">
        <v>2999</v>
      </c>
      <c r="N483" s="510" t="s">
        <v>2999</v>
      </c>
      <c r="O483" s="511"/>
      <c r="P483" s="510">
        <v>4590006250</v>
      </c>
      <c r="Q483" s="512">
        <v>44836</v>
      </c>
      <c r="R483" s="517">
        <v>26</v>
      </c>
      <c r="S483" s="545"/>
      <c r="T483" s="513" t="s">
        <v>2156</v>
      </c>
      <c r="U483" s="509" t="s">
        <v>3864</v>
      </c>
      <c r="V483" s="509" t="s">
        <v>3865</v>
      </c>
      <c r="W483" s="511" t="s">
        <v>3866</v>
      </c>
      <c r="X483" s="511"/>
      <c r="Y483" s="514" t="s">
        <v>3652</v>
      </c>
      <c r="Z483" s="514" t="s">
        <v>3652</v>
      </c>
      <c r="AA483" s="510" t="s">
        <v>3767</v>
      </c>
      <c r="AB483" s="509" t="s">
        <v>3664</v>
      </c>
      <c r="AC483" s="515"/>
      <c r="AD483" s="514"/>
      <c r="AE483" s="513"/>
      <c r="AF483" s="514">
        <v>91135</v>
      </c>
      <c r="AG483" s="513" t="s">
        <v>4962</v>
      </c>
      <c r="AH483" s="514" t="s">
        <v>3770</v>
      </c>
      <c r="AI483" s="513" t="s">
        <v>3719</v>
      </c>
      <c r="AJ483" s="516" t="str">
        <f t="shared" si="31"/>
        <v>4590006250_026</v>
      </c>
      <c r="AK483" s="518"/>
      <c r="AL483" s="516"/>
      <c r="AM483" s="519"/>
      <c r="AN483" s="520"/>
      <c r="AO483" s="518"/>
      <c r="AP483" s="516"/>
      <c r="AQ483" s="521"/>
      <c r="AR483" s="520"/>
      <c r="AS483" s="615"/>
      <c r="AT483" s="572">
        <f ca="1">表格1_6[[#This Row],[invoice amount]]+表格1_6[[#This Row],[invoice amount2]]</f>
        <v>0</v>
      </c>
      <c r="AU483" s="566" t="s">
        <v>3765</v>
      </c>
      <c r="AV483" s="522"/>
      <c r="AW483" s="522" t="e">
        <f ca="1">VLOOKUP(表格1_6[[#This Row],[TI tool ID2]],工作表1!A:A,1,FALSE)</f>
        <v>#N/A</v>
      </c>
      <c r="AX483" s="523" t="e">
        <f ca="1">VLOOKUP(表格1_6[[#This Row],[PO+ITEM]],工作表1!B:E,2,FALSE)</f>
        <v>#N/A</v>
      </c>
      <c r="AY483" s="523" t="e">
        <f ca="1">VLOOKUP(表格1_6[[#This Row],[PO+ITEM]],工作表1!B:E,3,FALSE)</f>
        <v>#N/A</v>
      </c>
      <c r="AZ483" s="522" t="e">
        <f ca="1">VLOOKUP(表格1_6[[#This Row],[PO+ITEM]],工作表1!B:E,4,FALSE)</f>
        <v>#N/A</v>
      </c>
      <c r="BA483" s="425" t="e">
        <f ca="1">INDEX(工作表1!G:G, MATCH(表格1_6[[#This Row],[invoice number]]&amp;表格1_6[[#This Row],[invoice number2]],工作表1!G:G, 0))</f>
        <v>#N/A</v>
      </c>
      <c r="BB483" s="522" t="e">
        <f ca="1">VLOOKUP(表格1_6[[#This Row],[PO+ITEM]],工作表1!F:H,2,FALSE)</f>
        <v>#N/A</v>
      </c>
    </row>
    <row r="484" spans="1:54" ht="14.45">
      <c r="A484" s="413">
        <v>483</v>
      </c>
      <c r="B484" s="413" t="s">
        <v>3659</v>
      </c>
      <c r="C484" s="414" t="s">
        <v>16</v>
      </c>
      <c r="D484" s="414" t="s">
        <v>3648</v>
      </c>
      <c r="E484" s="414"/>
      <c r="F484" s="414"/>
      <c r="G484" s="414"/>
      <c r="H484" s="414"/>
      <c r="I484" s="414"/>
      <c r="J484" s="414"/>
      <c r="K484" s="414"/>
      <c r="L484" s="415" t="s">
        <v>4963</v>
      </c>
      <c r="M484" s="416" t="s">
        <v>2999</v>
      </c>
      <c r="N484" s="416" t="s">
        <v>2999</v>
      </c>
      <c r="O484" s="417"/>
      <c r="P484" s="416">
        <v>4590006250</v>
      </c>
      <c r="Q484" s="418">
        <v>44836</v>
      </c>
      <c r="R484" s="419">
        <v>27</v>
      </c>
      <c r="S484" s="458">
        <v>13701.87</v>
      </c>
      <c r="T484" s="420" t="s">
        <v>2156</v>
      </c>
      <c r="U484" s="414" t="s">
        <v>3864</v>
      </c>
      <c r="V484" s="414" t="s">
        <v>3865</v>
      </c>
      <c r="W484" s="417" t="s">
        <v>3866</v>
      </c>
      <c r="X484" s="417"/>
      <c r="Y484" s="421" t="s">
        <v>3652</v>
      </c>
      <c r="Z484" s="421" t="s">
        <v>3652</v>
      </c>
      <c r="AA484" s="416" t="s">
        <v>3767</v>
      </c>
      <c r="AB484" s="414" t="s">
        <v>3664</v>
      </c>
      <c r="AC484" s="422"/>
      <c r="AD484" s="421"/>
      <c r="AE484" s="420"/>
      <c r="AF484" s="421">
        <v>91137</v>
      </c>
      <c r="AG484" s="420" t="s">
        <v>3781</v>
      </c>
      <c r="AH484" s="421" t="s">
        <v>3770</v>
      </c>
      <c r="AI484" s="420" t="s">
        <v>3719</v>
      </c>
      <c r="AJ484" s="413" t="str">
        <f t="shared" si="31"/>
        <v>4590006250_027</v>
      </c>
      <c r="AK484" s="423"/>
      <c r="AL484" s="413"/>
      <c r="AM484" s="221"/>
      <c r="AN484" s="424"/>
      <c r="AO484" s="423"/>
      <c r="AP484" s="413"/>
      <c r="AQ484" s="222"/>
      <c r="AR484" s="424"/>
      <c r="AS484" s="614">
        <f ca="1">表格1_6[[#This Row],[total amount]]/表格1_6[[#This Row],[PO$]]</f>
        <v>0</v>
      </c>
      <c r="AT484" s="223">
        <f ca="1">表格1_6[[#This Row],[invoice amount]]+表格1_6[[#This Row],[invoice amount2]]</f>
        <v>0</v>
      </c>
      <c r="AU484" s="224"/>
      <c r="AV484" s="423"/>
      <c r="AW484" s="423" t="e">
        <f ca="1">VLOOKUP(表格1_6[[#This Row],[TI tool ID2]],工作表1!A:A,1,FALSE)</f>
        <v>#N/A</v>
      </c>
      <c r="AX484" s="425" t="e">
        <f ca="1">VLOOKUP(表格1_6[[#This Row],[PO+ITEM]],工作表1!B:E,2,FALSE)</f>
        <v>#N/A</v>
      </c>
      <c r="AY484" s="425" t="e">
        <f ca="1">VLOOKUP(表格1_6[[#This Row],[PO+ITEM]],工作表1!B:E,3,FALSE)</f>
        <v>#N/A</v>
      </c>
      <c r="AZ484" s="423" t="e">
        <f ca="1">VLOOKUP(表格1_6[[#This Row],[PO+ITEM]],工作表1!B:E,4,FALSE)</f>
        <v>#N/A</v>
      </c>
      <c r="BA484" s="425" t="e">
        <f ca="1">INDEX(工作表1!G:G, MATCH(表格1_6[[#This Row],[invoice number]]&amp;表格1_6[[#This Row],[invoice number2]],工作表1!G:G, 0))</f>
        <v>#N/A</v>
      </c>
      <c r="BB484" s="423" t="e">
        <f ca="1">VLOOKUP(表格1_6[[#This Row],[PO+ITEM]],工作表1!F:H,2,FALSE)</f>
        <v>#N/A</v>
      </c>
    </row>
    <row r="485" spans="1:54" s="429" customFormat="1" ht="14.45">
      <c r="A485" s="413">
        <v>484</v>
      </c>
      <c r="B485" s="566" t="s">
        <v>3765</v>
      </c>
      <c r="C485" s="509" t="s">
        <v>16</v>
      </c>
      <c r="D485" s="509" t="s">
        <v>3648</v>
      </c>
      <c r="E485" s="509"/>
      <c r="F485" s="509"/>
      <c r="G485" s="509"/>
      <c r="H485" s="509"/>
      <c r="I485" s="509"/>
      <c r="J485" s="509"/>
      <c r="K485" s="509"/>
      <c r="L485" s="524" t="s">
        <v>4964</v>
      </c>
      <c r="M485" s="510" t="s">
        <v>2999</v>
      </c>
      <c r="N485" s="510" t="s">
        <v>2999</v>
      </c>
      <c r="O485" s="511"/>
      <c r="P485" s="510">
        <v>4590006250</v>
      </c>
      <c r="Q485" s="512">
        <v>44836</v>
      </c>
      <c r="R485" s="517">
        <v>28</v>
      </c>
      <c r="S485" s="545"/>
      <c r="T485" s="513" t="s">
        <v>2156</v>
      </c>
      <c r="U485" s="509" t="s">
        <v>3864</v>
      </c>
      <c r="V485" s="509" t="s">
        <v>3865</v>
      </c>
      <c r="W485" s="511" t="s">
        <v>3866</v>
      </c>
      <c r="X485" s="511"/>
      <c r="Y485" s="514" t="s">
        <v>3652</v>
      </c>
      <c r="Z485" s="514" t="s">
        <v>3652</v>
      </c>
      <c r="AA485" s="510" t="s">
        <v>3767</v>
      </c>
      <c r="AB485" s="509" t="s">
        <v>3664</v>
      </c>
      <c r="AC485" s="515"/>
      <c r="AD485" s="514"/>
      <c r="AE485" s="513"/>
      <c r="AF485" s="514">
        <v>91138</v>
      </c>
      <c r="AG485" s="513" t="s">
        <v>3801</v>
      </c>
      <c r="AH485" s="514" t="s">
        <v>3770</v>
      </c>
      <c r="AI485" s="513" t="s">
        <v>3719</v>
      </c>
      <c r="AJ485" s="516" t="str">
        <f t="shared" si="31"/>
        <v>4590006250_028</v>
      </c>
      <c r="AK485" s="518"/>
      <c r="AL485" s="516"/>
      <c r="AM485" s="519"/>
      <c r="AN485" s="520"/>
      <c r="AO485" s="518"/>
      <c r="AP485" s="516"/>
      <c r="AQ485" s="521"/>
      <c r="AR485" s="520"/>
      <c r="AS485" s="615"/>
      <c r="AT485" s="572">
        <f ca="1">表格1_6[[#This Row],[invoice amount]]+表格1_6[[#This Row],[invoice amount2]]</f>
        <v>0</v>
      </c>
      <c r="AU485" s="566" t="s">
        <v>3765</v>
      </c>
      <c r="AV485" s="522"/>
      <c r="AW485" s="522" t="e">
        <f ca="1">VLOOKUP(表格1_6[[#This Row],[TI tool ID2]],工作表1!A:A,1,FALSE)</f>
        <v>#N/A</v>
      </c>
      <c r="AX485" s="523" t="e">
        <f ca="1">VLOOKUP(表格1_6[[#This Row],[PO+ITEM]],工作表1!B:E,2,FALSE)</f>
        <v>#N/A</v>
      </c>
      <c r="AY485" s="523" t="e">
        <f ca="1">VLOOKUP(表格1_6[[#This Row],[PO+ITEM]],工作表1!B:E,3,FALSE)</f>
        <v>#N/A</v>
      </c>
      <c r="AZ485" s="522" t="e">
        <f ca="1">VLOOKUP(表格1_6[[#This Row],[PO+ITEM]],工作表1!B:E,4,FALSE)</f>
        <v>#N/A</v>
      </c>
      <c r="BA485" s="425" t="e">
        <f ca="1">INDEX(工作表1!G:G, MATCH(表格1_6[[#This Row],[invoice number]]&amp;表格1_6[[#This Row],[invoice number2]],工作表1!G:G, 0))</f>
        <v>#N/A</v>
      </c>
      <c r="BB485" s="522" t="e">
        <f ca="1">VLOOKUP(表格1_6[[#This Row],[PO+ITEM]],工作表1!F:H,2,FALSE)</f>
        <v>#N/A</v>
      </c>
    </row>
    <row r="486" spans="1:54" s="429" customFormat="1" ht="14.45">
      <c r="A486" s="413">
        <v>485</v>
      </c>
      <c r="B486" s="566" t="s">
        <v>3765</v>
      </c>
      <c r="C486" s="509" t="s">
        <v>16</v>
      </c>
      <c r="D486" s="509" t="s">
        <v>3648</v>
      </c>
      <c r="E486" s="509"/>
      <c r="F486" s="509"/>
      <c r="G486" s="509"/>
      <c r="H486" s="509"/>
      <c r="I486" s="509"/>
      <c r="J486" s="509"/>
      <c r="K486" s="509"/>
      <c r="L486" s="524" t="s">
        <v>4965</v>
      </c>
      <c r="M486" s="510" t="s">
        <v>2999</v>
      </c>
      <c r="N486" s="510" t="s">
        <v>2999</v>
      </c>
      <c r="O486" s="511"/>
      <c r="P486" s="510">
        <v>4590006250</v>
      </c>
      <c r="Q486" s="512">
        <v>44836</v>
      </c>
      <c r="R486" s="517">
        <v>29</v>
      </c>
      <c r="S486" s="545"/>
      <c r="T486" s="513" t="s">
        <v>2156</v>
      </c>
      <c r="U486" s="509" t="s">
        <v>3864</v>
      </c>
      <c r="V486" s="509" t="s">
        <v>3865</v>
      </c>
      <c r="W486" s="511" t="s">
        <v>3866</v>
      </c>
      <c r="X486" s="511"/>
      <c r="Y486" s="514" t="s">
        <v>3652</v>
      </c>
      <c r="Z486" s="514" t="s">
        <v>3652</v>
      </c>
      <c r="AA486" s="510" t="s">
        <v>3767</v>
      </c>
      <c r="AB486" s="509" t="s">
        <v>3664</v>
      </c>
      <c r="AC486" s="515"/>
      <c r="AD486" s="514"/>
      <c r="AE486" s="513"/>
      <c r="AF486" s="514">
        <v>91139</v>
      </c>
      <c r="AG486" s="513" t="s">
        <v>4966</v>
      </c>
      <c r="AH486" s="514" t="s">
        <v>3770</v>
      </c>
      <c r="AI486" s="513" t="s">
        <v>3719</v>
      </c>
      <c r="AJ486" s="516" t="str">
        <f t="shared" si="31"/>
        <v>4590006250_029</v>
      </c>
      <c r="AK486" s="518"/>
      <c r="AL486" s="516"/>
      <c r="AM486" s="519"/>
      <c r="AN486" s="520"/>
      <c r="AO486" s="518"/>
      <c r="AP486" s="516"/>
      <c r="AQ486" s="521"/>
      <c r="AR486" s="520"/>
      <c r="AS486" s="615"/>
      <c r="AT486" s="572">
        <f ca="1">表格1_6[[#This Row],[invoice amount]]+表格1_6[[#This Row],[invoice amount2]]</f>
        <v>0</v>
      </c>
      <c r="AU486" s="566" t="s">
        <v>3765</v>
      </c>
      <c r="AV486" s="522"/>
      <c r="AW486" s="522" t="e">
        <f ca="1">VLOOKUP(表格1_6[[#This Row],[TI tool ID2]],工作表1!A:A,1,FALSE)</f>
        <v>#N/A</v>
      </c>
      <c r="AX486" s="523" t="e">
        <f ca="1">VLOOKUP(表格1_6[[#This Row],[PO+ITEM]],工作表1!B:E,2,FALSE)</f>
        <v>#N/A</v>
      </c>
      <c r="AY486" s="523" t="e">
        <f ca="1">VLOOKUP(表格1_6[[#This Row],[PO+ITEM]],工作表1!B:E,3,FALSE)</f>
        <v>#N/A</v>
      </c>
      <c r="AZ486" s="522" t="e">
        <f ca="1">VLOOKUP(表格1_6[[#This Row],[PO+ITEM]],工作表1!B:E,4,FALSE)</f>
        <v>#N/A</v>
      </c>
      <c r="BA486" s="425" t="e">
        <f ca="1">INDEX(工作表1!G:G, MATCH(表格1_6[[#This Row],[invoice number]]&amp;表格1_6[[#This Row],[invoice number2]],工作表1!G:G, 0))</f>
        <v>#N/A</v>
      </c>
      <c r="BB486" s="522" t="e">
        <f ca="1">VLOOKUP(表格1_6[[#This Row],[PO+ITEM]],工作表1!F:H,2,FALSE)</f>
        <v>#N/A</v>
      </c>
    </row>
    <row r="487" spans="1:54" ht="14.45">
      <c r="A487" s="413">
        <v>486</v>
      </c>
      <c r="B487" s="413" t="s">
        <v>3659</v>
      </c>
      <c r="C487" s="414" t="s">
        <v>16</v>
      </c>
      <c r="D487" s="414" t="s">
        <v>3648</v>
      </c>
      <c r="E487" s="414"/>
      <c r="F487" s="414"/>
      <c r="G487" s="414"/>
      <c r="H487" s="414"/>
      <c r="I487" s="414"/>
      <c r="J487" s="414"/>
      <c r="K487" s="414"/>
      <c r="L487" s="415" t="s">
        <v>4967</v>
      </c>
      <c r="M487" s="416" t="s">
        <v>2999</v>
      </c>
      <c r="N487" s="416" t="s">
        <v>2999</v>
      </c>
      <c r="O487" s="417"/>
      <c r="P487" s="416">
        <v>4590006250</v>
      </c>
      <c r="Q487" s="418">
        <v>44836</v>
      </c>
      <c r="R487" s="419">
        <v>30</v>
      </c>
      <c r="S487" s="458">
        <v>14109.38</v>
      </c>
      <c r="T487" s="420" t="s">
        <v>2156</v>
      </c>
      <c r="U487" s="414" t="s">
        <v>3864</v>
      </c>
      <c r="V487" s="414" t="s">
        <v>3865</v>
      </c>
      <c r="W487" s="417" t="s">
        <v>3866</v>
      </c>
      <c r="X487" s="417"/>
      <c r="Y487" s="421" t="s">
        <v>3652</v>
      </c>
      <c r="Z487" s="421" t="s">
        <v>3652</v>
      </c>
      <c r="AA487" s="416" t="s">
        <v>3767</v>
      </c>
      <c r="AB487" s="414" t="s">
        <v>3664</v>
      </c>
      <c r="AC487" s="422"/>
      <c r="AD487" s="421"/>
      <c r="AE487" s="420"/>
      <c r="AF487" s="421">
        <v>91140</v>
      </c>
      <c r="AG487" s="420" t="s">
        <v>4968</v>
      </c>
      <c r="AH487" s="421" t="s">
        <v>3770</v>
      </c>
      <c r="AI487" s="420" t="s">
        <v>3719</v>
      </c>
      <c r="AJ487" s="413" t="str">
        <f t="shared" si="31"/>
        <v>4590006250_030</v>
      </c>
      <c r="AK487" s="423"/>
      <c r="AL487" s="413"/>
      <c r="AM487" s="221"/>
      <c r="AN487" s="424"/>
      <c r="AO487" s="423"/>
      <c r="AP487" s="413"/>
      <c r="AQ487" s="222"/>
      <c r="AR487" s="424"/>
      <c r="AS487" s="614">
        <f ca="1">表格1_6[[#This Row],[total amount]]/表格1_6[[#This Row],[PO$]]</f>
        <v>0</v>
      </c>
      <c r="AT487" s="223">
        <f ca="1">表格1_6[[#This Row],[invoice amount]]+表格1_6[[#This Row],[invoice amount2]]</f>
        <v>0</v>
      </c>
      <c r="AU487" s="224"/>
      <c r="AV487" s="423"/>
      <c r="AW487" s="423" t="e">
        <f ca="1">VLOOKUP(表格1_6[[#This Row],[TI tool ID2]],工作表1!A:A,1,FALSE)</f>
        <v>#N/A</v>
      </c>
      <c r="AX487" s="425" t="e">
        <f ca="1">VLOOKUP(表格1_6[[#This Row],[PO+ITEM]],工作表1!B:E,2,FALSE)</f>
        <v>#N/A</v>
      </c>
      <c r="AY487" s="425" t="e">
        <f ca="1">VLOOKUP(表格1_6[[#This Row],[PO+ITEM]],工作表1!B:E,3,FALSE)</f>
        <v>#N/A</v>
      </c>
      <c r="AZ487" s="423" t="e">
        <f ca="1">VLOOKUP(表格1_6[[#This Row],[PO+ITEM]],工作表1!B:E,4,FALSE)</f>
        <v>#N/A</v>
      </c>
      <c r="BA487" s="425" t="e">
        <f ca="1">INDEX(工作表1!G:G, MATCH(表格1_6[[#This Row],[invoice number]]&amp;表格1_6[[#This Row],[invoice number2]],工作表1!G:G, 0))</f>
        <v>#N/A</v>
      </c>
      <c r="BB487" s="423" t="e">
        <f ca="1">VLOOKUP(表格1_6[[#This Row],[PO+ITEM]],工作表1!F:H,2,FALSE)</f>
        <v>#N/A</v>
      </c>
    </row>
    <row r="488" spans="1:54" ht="14.45">
      <c r="A488" s="413">
        <v>487</v>
      </c>
      <c r="B488" s="413" t="s">
        <v>3659</v>
      </c>
      <c r="C488" s="414" t="s">
        <v>16</v>
      </c>
      <c r="D488" s="414" t="s">
        <v>3648</v>
      </c>
      <c r="E488" s="414"/>
      <c r="F488" s="414"/>
      <c r="G488" s="414"/>
      <c r="H488" s="414"/>
      <c r="I488" s="414"/>
      <c r="J488" s="414"/>
      <c r="K488" s="414"/>
      <c r="L488" s="415" t="s">
        <v>4969</v>
      </c>
      <c r="M488" s="416" t="s">
        <v>2999</v>
      </c>
      <c r="N488" s="416" t="s">
        <v>2999</v>
      </c>
      <c r="O488" s="417"/>
      <c r="P488" s="416">
        <v>4590006250</v>
      </c>
      <c r="Q488" s="418">
        <v>44836</v>
      </c>
      <c r="R488" s="419">
        <v>31</v>
      </c>
      <c r="S488" s="458">
        <v>14109.38</v>
      </c>
      <c r="T488" s="420" t="s">
        <v>2156</v>
      </c>
      <c r="U488" s="414" t="s">
        <v>3864</v>
      </c>
      <c r="V488" s="414" t="s">
        <v>3865</v>
      </c>
      <c r="W488" s="417" t="s">
        <v>3866</v>
      </c>
      <c r="X488" s="417"/>
      <c r="Y488" s="421" t="s">
        <v>3652</v>
      </c>
      <c r="Z488" s="421" t="s">
        <v>3652</v>
      </c>
      <c r="AA488" s="416" t="s">
        <v>3767</v>
      </c>
      <c r="AB488" s="414" t="s">
        <v>3664</v>
      </c>
      <c r="AC488" s="422"/>
      <c r="AD488" s="421"/>
      <c r="AE488" s="420"/>
      <c r="AF488" s="421">
        <v>91142</v>
      </c>
      <c r="AG488" s="420" t="s">
        <v>3786</v>
      </c>
      <c r="AH488" s="421" t="s">
        <v>3770</v>
      </c>
      <c r="AI488" s="420" t="s">
        <v>3719</v>
      </c>
      <c r="AJ488" s="413" t="str">
        <f t="shared" si="31"/>
        <v>4590006250_031</v>
      </c>
      <c r="AK488" s="423"/>
      <c r="AL488" s="413"/>
      <c r="AM488" s="221"/>
      <c r="AN488" s="424"/>
      <c r="AO488" s="423"/>
      <c r="AP488" s="413"/>
      <c r="AQ488" s="222"/>
      <c r="AR488" s="424"/>
      <c r="AS488" s="614">
        <f ca="1">表格1_6[[#This Row],[total amount]]/表格1_6[[#This Row],[PO$]]</f>
        <v>0</v>
      </c>
      <c r="AT488" s="223">
        <f ca="1">表格1_6[[#This Row],[invoice amount]]+表格1_6[[#This Row],[invoice amount2]]</f>
        <v>0</v>
      </c>
      <c r="AU488" s="224"/>
      <c r="AV488" s="423"/>
      <c r="AW488" s="423" t="e">
        <f ca="1">VLOOKUP(表格1_6[[#This Row],[TI tool ID2]],工作表1!A:A,1,FALSE)</f>
        <v>#N/A</v>
      </c>
      <c r="AX488" s="425" t="e">
        <f ca="1">VLOOKUP(表格1_6[[#This Row],[PO+ITEM]],工作表1!B:E,2,FALSE)</f>
        <v>#N/A</v>
      </c>
      <c r="AY488" s="425" t="e">
        <f ca="1">VLOOKUP(表格1_6[[#This Row],[PO+ITEM]],工作表1!B:E,3,FALSE)</f>
        <v>#N/A</v>
      </c>
      <c r="AZ488" s="423" t="e">
        <f ca="1">VLOOKUP(表格1_6[[#This Row],[PO+ITEM]],工作表1!B:E,4,FALSE)</f>
        <v>#N/A</v>
      </c>
      <c r="BA488" s="425" t="e">
        <f ca="1">INDEX(工作表1!G:G, MATCH(表格1_6[[#This Row],[invoice number]]&amp;表格1_6[[#This Row],[invoice number2]],工作表1!G:G, 0))</f>
        <v>#N/A</v>
      </c>
      <c r="BB488" s="423" t="e">
        <f ca="1">VLOOKUP(表格1_6[[#This Row],[PO+ITEM]],工作表1!F:H,2,FALSE)</f>
        <v>#N/A</v>
      </c>
    </row>
    <row r="489" spans="1:54" ht="14.45">
      <c r="A489" s="413">
        <v>488</v>
      </c>
      <c r="B489" s="413" t="s">
        <v>3659</v>
      </c>
      <c r="C489" s="414" t="s">
        <v>16</v>
      </c>
      <c r="D489" s="414" t="s">
        <v>3648</v>
      </c>
      <c r="E489" s="414"/>
      <c r="F489" s="414"/>
      <c r="G489" s="414"/>
      <c r="H489" s="414"/>
      <c r="I489" s="414"/>
      <c r="J489" s="414"/>
      <c r="K489" s="414"/>
      <c r="L489" s="415" t="s">
        <v>4970</v>
      </c>
      <c r="M489" s="416" t="s">
        <v>2999</v>
      </c>
      <c r="N489" s="416" t="s">
        <v>2999</v>
      </c>
      <c r="O489" s="417"/>
      <c r="P489" s="416">
        <v>4590006250</v>
      </c>
      <c r="Q489" s="418">
        <v>44836</v>
      </c>
      <c r="R489" s="419">
        <v>32</v>
      </c>
      <c r="S489" s="458">
        <v>14516.89</v>
      </c>
      <c r="T489" s="420" t="s">
        <v>2156</v>
      </c>
      <c r="U489" s="414" t="s">
        <v>3864</v>
      </c>
      <c r="V489" s="414" t="s">
        <v>3865</v>
      </c>
      <c r="W489" s="417" t="s">
        <v>3866</v>
      </c>
      <c r="X489" s="417"/>
      <c r="Y489" s="421" t="s">
        <v>3652</v>
      </c>
      <c r="Z489" s="421" t="s">
        <v>3652</v>
      </c>
      <c r="AA489" s="416" t="s">
        <v>3767</v>
      </c>
      <c r="AB489" s="414" t="s">
        <v>3664</v>
      </c>
      <c r="AC489" s="422"/>
      <c r="AD489" s="421"/>
      <c r="AE489" s="420"/>
      <c r="AF489" s="421">
        <v>91350</v>
      </c>
      <c r="AG489" s="420" t="s">
        <v>4971</v>
      </c>
      <c r="AH489" s="421" t="s">
        <v>3770</v>
      </c>
      <c r="AI489" s="420" t="s">
        <v>3719</v>
      </c>
      <c r="AJ489" s="413" t="str">
        <f t="shared" si="31"/>
        <v>4590006250_032</v>
      </c>
      <c r="AK489" s="423"/>
      <c r="AL489" s="413"/>
      <c r="AM489" s="221"/>
      <c r="AN489" s="424"/>
      <c r="AO489" s="423"/>
      <c r="AP489" s="413"/>
      <c r="AQ489" s="222"/>
      <c r="AR489" s="424"/>
      <c r="AS489" s="614">
        <f ca="1">表格1_6[[#This Row],[total amount]]/表格1_6[[#This Row],[PO$]]</f>
        <v>0</v>
      </c>
      <c r="AT489" s="223">
        <f ca="1">表格1_6[[#This Row],[invoice amount]]+表格1_6[[#This Row],[invoice amount2]]</f>
        <v>0</v>
      </c>
      <c r="AU489" s="224"/>
      <c r="AV489" s="423"/>
      <c r="AW489" s="423" t="e">
        <f ca="1">VLOOKUP(表格1_6[[#This Row],[TI tool ID2]],工作表1!A:A,1,FALSE)</f>
        <v>#N/A</v>
      </c>
      <c r="AX489" s="425" t="e">
        <f ca="1">VLOOKUP(表格1_6[[#This Row],[PO+ITEM]],工作表1!B:E,2,FALSE)</f>
        <v>#N/A</v>
      </c>
      <c r="AY489" s="425" t="e">
        <f ca="1">VLOOKUP(表格1_6[[#This Row],[PO+ITEM]],工作表1!B:E,3,FALSE)</f>
        <v>#N/A</v>
      </c>
      <c r="AZ489" s="423" t="e">
        <f ca="1">VLOOKUP(表格1_6[[#This Row],[PO+ITEM]],工作表1!B:E,4,FALSE)</f>
        <v>#N/A</v>
      </c>
      <c r="BA489" s="425" t="e">
        <f ca="1">INDEX(工作表1!G:G, MATCH(表格1_6[[#This Row],[invoice number]]&amp;表格1_6[[#This Row],[invoice number2]],工作表1!G:G, 0))</f>
        <v>#N/A</v>
      </c>
      <c r="BB489" s="423" t="e">
        <f ca="1">VLOOKUP(表格1_6[[#This Row],[PO+ITEM]],工作表1!F:H,2,FALSE)</f>
        <v>#N/A</v>
      </c>
    </row>
    <row r="490" spans="1:54" ht="14.45">
      <c r="A490" s="413">
        <v>489</v>
      </c>
      <c r="B490" s="413" t="s">
        <v>3659</v>
      </c>
      <c r="C490" s="414" t="s">
        <v>16</v>
      </c>
      <c r="D490" s="414" t="s">
        <v>3648</v>
      </c>
      <c r="E490" s="414"/>
      <c r="F490" s="414"/>
      <c r="G490" s="414"/>
      <c r="H490" s="414"/>
      <c r="I490" s="414"/>
      <c r="J490" s="414"/>
      <c r="K490" s="414"/>
      <c r="L490" s="415" t="s">
        <v>4972</v>
      </c>
      <c r="M490" s="416" t="s">
        <v>2999</v>
      </c>
      <c r="N490" s="416" t="s">
        <v>2999</v>
      </c>
      <c r="O490" s="417"/>
      <c r="P490" s="416">
        <v>4590006250</v>
      </c>
      <c r="Q490" s="418">
        <v>44836</v>
      </c>
      <c r="R490" s="419">
        <v>33</v>
      </c>
      <c r="S490" s="458">
        <v>14516.89</v>
      </c>
      <c r="T490" s="420" t="s">
        <v>2156</v>
      </c>
      <c r="U490" s="414" t="s">
        <v>3864</v>
      </c>
      <c r="V490" s="414" t="s">
        <v>3865</v>
      </c>
      <c r="W490" s="417" t="s">
        <v>3866</v>
      </c>
      <c r="X490" s="417"/>
      <c r="Y490" s="421" t="s">
        <v>3652</v>
      </c>
      <c r="Z490" s="421" t="s">
        <v>3652</v>
      </c>
      <c r="AA490" s="416" t="s">
        <v>3767</v>
      </c>
      <c r="AB490" s="414" t="s">
        <v>3664</v>
      </c>
      <c r="AC490" s="422"/>
      <c r="AD490" s="421"/>
      <c r="AE490" s="420"/>
      <c r="AF490" s="421">
        <v>91351</v>
      </c>
      <c r="AG490" s="420" t="s">
        <v>4973</v>
      </c>
      <c r="AH490" s="421" t="s">
        <v>3770</v>
      </c>
      <c r="AI490" s="420" t="s">
        <v>3719</v>
      </c>
      <c r="AJ490" s="413" t="str">
        <f t="shared" si="31"/>
        <v>4590006250_033</v>
      </c>
      <c r="AK490" s="423"/>
      <c r="AL490" s="413"/>
      <c r="AM490" s="221"/>
      <c r="AN490" s="424"/>
      <c r="AO490" s="423"/>
      <c r="AP490" s="413"/>
      <c r="AQ490" s="222"/>
      <c r="AR490" s="424"/>
      <c r="AS490" s="614">
        <f ca="1">表格1_6[[#This Row],[total amount]]/表格1_6[[#This Row],[PO$]]</f>
        <v>0</v>
      </c>
      <c r="AT490" s="223">
        <f ca="1">表格1_6[[#This Row],[invoice amount]]+表格1_6[[#This Row],[invoice amount2]]</f>
        <v>0</v>
      </c>
      <c r="AU490" s="224"/>
      <c r="AV490" s="423"/>
      <c r="AW490" s="423" t="e">
        <f ca="1">VLOOKUP(表格1_6[[#This Row],[TI tool ID2]],工作表1!A:A,1,FALSE)</f>
        <v>#N/A</v>
      </c>
      <c r="AX490" s="425" t="e">
        <f ca="1">VLOOKUP(表格1_6[[#This Row],[PO+ITEM]],工作表1!B:E,2,FALSE)</f>
        <v>#N/A</v>
      </c>
      <c r="AY490" s="425" t="e">
        <f ca="1">VLOOKUP(表格1_6[[#This Row],[PO+ITEM]],工作表1!B:E,3,FALSE)</f>
        <v>#N/A</v>
      </c>
      <c r="AZ490" s="423" t="e">
        <f ca="1">VLOOKUP(表格1_6[[#This Row],[PO+ITEM]],工作表1!B:E,4,FALSE)</f>
        <v>#N/A</v>
      </c>
      <c r="BA490" s="425" t="e">
        <f ca="1">INDEX(工作表1!G:G, MATCH(表格1_6[[#This Row],[invoice number]]&amp;表格1_6[[#This Row],[invoice number2]],工作表1!G:G, 0))</f>
        <v>#N/A</v>
      </c>
      <c r="BB490" s="423" t="e">
        <f ca="1">VLOOKUP(表格1_6[[#This Row],[PO+ITEM]],工作表1!F:H,2,FALSE)</f>
        <v>#N/A</v>
      </c>
    </row>
    <row r="491" spans="1:54" ht="15.6">
      <c r="A491" s="413">
        <v>490</v>
      </c>
      <c r="B491" s="413" t="s">
        <v>3659</v>
      </c>
      <c r="C491" s="414" t="s">
        <v>16</v>
      </c>
      <c r="D491" s="414" t="s">
        <v>3648</v>
      </c>
      <c r="E491" s="414"/>
      <c r="F491" s="414"/>
      <c r="G491" s="414"/>
      <c r="H491" s="414"/>
      <c r="I491" s="414"/>
      <c r="J491" s="414"/>
      <c r="K491" s="414"/>
      <c r="L491" s="420" t="s">
        <v>4974</v>
      </c>
      <c r="M491" s="416" t="s">
        <v>2999</v>
      </c>
      <c r="N491" s="416" t="s">
        <v>2999</v>
      </c>
      <c r="O491" s="417"/>
      <c r="P491" s="416">
        <v>4590006250</v>
      </c>
      <c r="Q491" s="418">
        <v>44836</v>
      </c>
      <c r="R491" s="419">
        <v>34</v>
      </c>
      <c r="S491" s="458">
        <v>20621.14</v>
      </c>
      <c r="T491" s="420" t="s">
        <v>2156</v>
      </c>
      <c r="U491" s="414" t="s">
        <v>3864</v>
      </c>
      <c r="V491" s="414" t="s">
        <v>3865</v>
      </c>
      <c r="W491" s="417" t="s">
        <v>3866</v>
      </c>
      <c r="X491" s="417"/>
      <c r="Y491" s="421" t="s">
        <v>3652</v>
      </c>
      <c r="Z491" s="421" t="s">
        <v>3652</v>
      </c>
      <c r="AA491" s="416" t="s">
        <v>3767</v>
      </c>
      <c r="AB491" s="414" t="s">
        <v>3664</v>
      </c>
      <c r="AC491" s="422"/>
      <c r="AD491" s="421"/>
      <c r="AE491" s="420"/>
      <c r="AF491" s="421">
        <v>91352</v>
      </c>
      <c r="AG491" s="420" t="s">
        <v>4975</v>
      </c>
      <c r="AH491" s="421" t="s">
        <v>3770</v>
      </c>
      <c r="AI491" s="420" t="s">
        <v>3719</v>
      </c>
      <c r="AJ491" s="413" t="str">
        <f t="shared" si="31"/>
        <v>4590006250_034</v>
      </c>
      <c r="AK491" s="423"/>
      <c r="AL491" s="427">
        <v>45047</v>
      </c>
      <c r="AM491" s="221">
        <v>0</v>
      </c>
      <c r="AN491" s="431" t="s">
        <v>3788</v>
      </c>
      <c r="AO491" s="423"/>
      <c r="AP491" s="413"/>
      <c r="AQ491" s="222"/>
      <c r="AR491" s="424"/>
      <c r="AS491" s="614">
        <f ca="1">表格1_6[[#This Row],[total amount]]/表格1_6[[#This Row],[PO$]]</f>
        <v>0</v>
      </c>
      <c r="AT491" s="223">
        <f ca="1">表格1_6[[#This Row],[invoice amount]]+表格1_6[[#This Row],[invoice amount2]]</f>
        <v>0</v>
      </c>
      <c r="AU491" s="224" t="s">
        <v>3789</v>
      </c>
      <c r="AV491" s="423" t="s">
        <v>4976</v>
      </c>
      <c r="AW491" s="423" t="e">
        <f ca="1">VLOOKUP(表格1_6[[#This Row],[TI tool ID2]],工作表1!A:A,1,FALSE)</f>
        <v>#N/A</v>
      </c>
      <c r="AX491" s="425" t="e">
        <f ca="1">VLOOKUP(表格1_6[[#This Row],[PO+ITEM]],工作表1!B:E,2,FALSE)</f>
        <v>#N/A</v>
      </c>
      <c r="AY491" s="425" t="e">
        <f ca="1">VLOOKUP(表格1_6[[#This Row],[PO+ITEM]],工作表1!B:E,3,FALSE)</f>
        <v>#N/A</v>
      </c>
      <c r="AZ491" s="423" t="e">
        <f ca="1">VLOOKUP(表格1_6[[#This Row],[PO+ITEM]],工作表1!B:E,4,FALSE)</f>
        <v>#N/A</v>
      </c>
      <c r="BA491" s="425" t="e">
        <f ca="1">INDEX(工作表1!G:G, MATCH(表格1_6[[#This Row],[invoice number]]&amp;表格1_6[[#This Row],[invoice number2]],工作表1!G:G, 0))</f>
        <v>#N/A</v>
      </c>
      <c r="BB491" s="423" t="e">
        <f ca="1">VLOOKUP(表格1_6[[#This Row],[PO+ITEM]],工作表1!F:H,2,FALSE)</f>
        <v>#N/A</v>
      </c>
    </row>
    <row r="492" spans="1:54" ht="14.45">
      <c r="A492" s="413">
        <v>491</v>
      </c>
      <c r="B492" s="413" t="s">
        <v>3659</v>
      </c>
      <c r="C492" s="414" t="s">
        <v>16</v>
      </c>
      <c r="D492" s="414" t="s">
        <v>3648</v>
      </c>
      <c r="E492" s="414"/>
      <c r="F492" s="414"/>
      <c r="G492" s="414"/>
      <c r="H492" s="414"/>
      <c r="I492" s="414"/>
      <c r="J492" s="414"/>
      <c r="K492" s="414"/>
      <c r="L492" s="415" t="s">
        <v>4977</v>
      </c>
      <c r="M492" s="416" t="s">
        <v>2999</v>
      </c>
      <c r="N492" s="416" t="s">
        <v>2999</v>
      </c>
      <c r="O492" s="417"/>
      <c r="P492" s="416">
        <v>4590006250</v>
      </c>
      <c r="Q492" s="418">
        <v>44836</v>
      </c>
      <c r="R492" s="419">
        <v>35</v>
      </c>
      <c r="S492" s="458">
        <v>14516.89</v>
      </c>
      <c r="T492" s="420" t="s">
        <v>2156</v>
      </c>
      <c r="U492" s="414" t="s">
        <v>3864</v>
      </c>
      <c r="V492" s="414" t="s">
        <v>3865</v>
      </c>
      <c r="W492" s="417" t="s">
        <v>3866</v>
      </c>
      <c r="X492" s="417"/>
      <c r="Y492" s="421" t="s">
        <v>3652</v>
      </c>
      <c r="Z492" s="421" t="s">
        <v>3652</v>
      </c>
      <c r="AA492" s="416" t="s">
        <v>3767</v>
      </c>
      <c r="AB492" s="414" t="s">
        <v>3664</v>
      </c>
      <c r="AC492" s="422"/>
      <c r="AD492" s="421"/>
      <c r="AE492" s="420"/>
      <c r="AF492" s="421">
        <v>91352</v>
      </c>
      <c r="AG492" s="420" t="s">
        <v>4975</v>
      </c>
      <c r="AH492" s="421" t="s">
        <v>3770</v>
      </c>
      <c r="AI492" s="420" t="s">
        <v>3719</v>
      </c>
      <c r="AJ492" s="413" t="str">
        <f t="shared" si="31"/>
        <v>4590006250_035</v>
      </c>
      <c r="AK492" s="423"/>
      <c r="AL492" s="413"/>
      <c r="AM492" s="221"/>
      <c r="AN492" s="424"/>
      <c r="AO492" s="423"/>
      <c r="AP492" s="413"/>
      <c r="AQ492" s="222"/>
      <c r="AR492" s="424"/>
      <c r="AS492" s="614">
        <f ca="1">表格1_6[[#This Row],[total amount]]/表格1_6[[#This Row],[PO$]]</f>
        <v>0</v>
      </c>
      <c r="AT492" s="223">
        <f ca="1">表格1_6[[#This Row],[invoice amount]]+表格1_6[[#This Row],[invoice amount2]]</f>
        <v>0</v>
      </c>
      <c r="AU492" s="224"/>
      <c r="AV492" s="423"/>
      <c r="AW492" s="423" t="e">
        <f ca="1">VLOOKUP(表格1_6[[#This Row],[TI tool ID2]],工作表1!A:A,1,FALSE)</f>
        <v>#N/A</v>
      </c>
      <c r="AX492" s="425" t="e">
        <f ca="1">VLOOKUP(表格1_6[[#This Row],[PO+ITEM]],工作表1!B:E,2,FALSE)</f>
        <v>#N/A</v>
      </c>
      <c r="AY492" s="425" t="e">
        <f ca="1">VLOOKUP(表格1_6[[#This Row],[PO+ITEM]],工作表1!B:E,3,FALSE)</f>
        <v>#N/A</v>
      </c>
      <c r="AZ492" s="423" t="e">
        <f ca="1">VLOOKUP(表格1_6[[#This Row],[PO+ITEM]],工作表1!B:E,4,FALSE)</f>
        <v>#N/A</v>
      </c>
      <c r="BA492" s="425" t="e">
        <f ca="1">INDEX(工作表1!G:G, MATCH(表格1_6[[#This Row],[invoice number]]&amp;表格1_6[[#This Row],[invoice number2]],工作表1!G:G, 0))</f>
        <v>#N/A</v>
      </c>
      <c r="BB492" s="423" t="e">
        <f ca="1">VLOOKUP(表格1_6[[#This Row],[PO+ITEM]],工作表1!F:H,2,FALSE)</f>
        <v>#N/A</v>
      </c>
    </row>
    <row r="493" spans="1:54" ht="14.45">
      <c r="A493" s="413">
        <v>492</v>
      </c>
      <c r="B493" s="413" t="s">
        <v>3659</v>
      </c>
      <c r="C493" s="414" t="s">
        <v>16</v>
      </c>
      <c r="D493" s="414" t="s">
        <v>3648</v>
      </c>
      <c r="E493" s="414"/>
      <c r="F493" s="414"/>
      <c r="G493" s="414"/>
      <c r="H493" s="414"/>
      <c r="I493" s="414"/>
      <c r="J493" s="414"/>
      <c r="K493" s="414"/>
      <c r="L493" s="415" t="s">
        <v>4978</v>
      </c>
      <c r="M493" s="416" t="s">
        <v>2999</v>
      </c>
      <c r="N493" s="416" t="s">
        <v>2999</v>
      </c>
      <c r="O493" s="417"/>
      <c r="P493" s="416">
        <v>4590006250</v>
      </c>
      <c r="Q493" s="418">
        <v>44836</v>
      </c>
      <c r="R493" s="419">
        <v>36</v>
      </c>
      <c r="S493" s="458">
        <v>14516.89</v>
      </c>
      <c r="T493" s="420" t="s">
        <v>2156</v>
      </c>
      <c r="U493" s="414" t="s">
        <v>3864</v>
      </c>
      <c r="V493" s="414" t="s">
        <v>3865</v>
      </c>
      <c r="W493" s="417" t="s">
        <v>3866</v>
      </c>
      <c r="X493" s="417"/>
      <c r="Y493" s="421" t="s">
        <v>3652</v>
      </c>
      <c r="Z493" s="421" t="s">
        <v>3652</v>
      </c>
      <c r="AA493" s="416" t="s">
        <v>3767</v>
      </c>
      <c r="AB493" s="414" t="s">
        <v>3664</v>
      </c>
      <c r="AC493" s="422"/>
      <c r="AD493" s="421"/>
      <c r="AE493" s="420"/>
      <c r="AF493" s="421">
        <v>91353</v>
      </c>
      <c r="AG493" s="420" t="s">
        <v>4979</v>
      </c>
      <c r="AH493" s="421" t="s">
        <v>3770</v>
      </c>
      <c r="AI493" s="420" t="s">
        <v>3719</v>
      </c>
      <c r="AJ493" s="413" t="str">
        <f t="shared" si="31"/>
        <v>4590006250_036</v>
      </c>
      <c r="AK493" s="423"/>
      <c r="AL493" s="413"/>
      <c r="AM493" s="221"/>
      <c r="AN493" s="424"/>
      <c r="AO493" s="423"/>
      <c r="AP493" s="413"/>
      <c r="AQ493" s="222"/>
      <c r="AR493" s="424"/>
      <c r="AS493" s="614">
        <f ca="1">表格1_6[[#This Row],[total amount]]/表格1_6[[#This Row],[PO$]]</f>
        <v>0</v>
      </c>
      <c r="AT493" s="223">
        <f ca="1">表格1_6[[#This Row],[invoice amount]]+表格1_6[[#This Row],[invoice amount2]]</f>
        <v>0</v>
      </c>
      <c r="AU493" s="224"/>
      <c r="AV493" s="423"/>
      <c r="AW493" s="423" t="e">
        <f ca="1">VLOOKUP(表格1_6[[#This Row],[TI tool ID2]],工作表1!A:A,1,FALSE)</f>
        <v>#N/A</v>
      </c>
      <c r="AX493" s="425" t="e">
        <f ca="1">VLOOKUP(表格1_6[[#This Row],[PO+ITEM]],工作表1!B:E,2,FALSE)</f>
        <v>#N/A</v>
      </c>
      <c r="AY493" s="425" t="e">
        <f ca="1">VLOOKUP(表格1_6[[#This Row],[PO+ITEM]],工作表1!B:E,3,FALSE)</f>
        <v>#N/A</v>
      </c>
      <c r="AZ493" s="423" t="e">
        <f ca="1">VLOOKUP(表格1_6[[#This Row],[PO+ITEM]],工作表1!B:E,4,FALSE)</f>
        <v>#N/A</v>
      </c>
      <c r="BA493" s="425" t="e">
        <f ca="1">INDEX(工作表1!G:G, MATCH(表格1_6[[#This Row],[invoice number]]&amp;表格1_6[[#This Row],[invoice number2]],工作表1!G:G, 0))</f>
        <v>#N/A</v>
      </c>
      <c r="BB493" s="423" t="e">
        <f ca="1">VLOOKUP(表格1_6[[#This Row],[PO+ITEM]],工作表1!F:H,2,FALSE)</f>
        <v>#N/A</v>
      </c>
    </row>
    <row r="494" spans="1:54" s="429" customFormat="1" ht="15.6">
      <c r="A494" s="413">
        <v>493</v>
      </c>
      <c r="B494" s="413" t="s">
        <v>3659</v>
      </c>
      <c r="C494" s="414" t="s">
        <v>16</v>
      </c>
      <c r="D494" s="414" t="s">
        <v>3648</v>
      </c>
      <c r="E494" s="414"/>
      <c r="F494" s="414"/>
      <c r="G494" s="414"/>
      <c r="H494" s="414"/>
      <c r="I494" s="414"/>
      <c r="J494" s="414"/>
      <c r="K494" s="414"/>
      <c r="L494" s="415" t="s">
        <v>4980</v>
      </c>
      <c r="M494" s="416" t="s">
        <v>2999</v>
      </c>
      <c r="N494" s="416" t="s">
        <v>2999</v>
      </c>
      <c r="O494" s="417"/>
      <c r="P494" s="416">
        <v>4590006250</v>
      </c>
      <c r="Q494" s="418">
        <v>44836</v>
      </c>
      <c r="R494" s="419">
        <v>37</v>
      </c>
      <c r="S494" s="458">
        <v>20621.14</v>
      </c>
      <c r="T494" s="420" t="s">
        <v>2156</v>
      </c>
      <c r="U494" s="414" t="s">
        <v>3864</v>
      </c>
      <c r="V494" s="414" t="s">
        <v>3865</v>
      </c>
      <c r="W494" s="417" t="s">
        <v>3866</v>
      </c>
      <c r="X494" s="417"/>
      <c r="Y494" s="421" t="s">
        <v>3652</v>
      </c>
      <c r="Z494" s="421" t="s">
        <v>3652</v>
      </c>
      <c r="AA494" s="416" t="s">
        <v>3767</v>
      </c>
      <c r="AB494" s="414" t="s">
        <v>3664</v>
      </c>
      <c r="AC494" s="422"/>
      <c r="AD494" s="421"/>
      <c r="AE494" s="420"/>
      <c r="AF494" s="421">
        <v>91354</v>
      </c>
      <c r="AG494" s="420" t="s">
        <v>4981</v>
      </c>
      <c r="AH494" s="421" t="s">
        <v>3770</v>
      </c>
      <c r="AI494" s="420" t="s">
        <v>3719</v>
      </c>
      <c r="AJ494" s="413" t="str">
        <f t="shared" si="31"/>
        <v>4590006250_037</v>
      </c>
      <c r="AK494" s="423"/>
      <c r="AL494" s="427">
        <v>45047</v>
      </c>
      <c r="AM494" s="221">
        <v>0</v>
      </c>
      <c r="AN494" s="431" t="s">
        <v>3788</v>
      </c>
      <c r="AO494" s="423"/>
      <c r="AP494" s="413"/>
      <c r="AQ494" s="222"/>
      <c r="AR494" s="424"/>
      <c r="AS494" s="614">
        <f ca="1">表格1_6[[#This Row],[total amount]]/表格1_6[[#This Row],[PO$]]</f>
        <v>0</v>
      </c>
      <c r="AT494" s="223">
        <f ca="1">表格1_6[[#This Row],[invoice amount]]+表格1_6[[#This Row],[invoice amount2]]</f>
        <v>0</v>
      </c>
      <c r="AU494" s="224" t="s">
        <v>3789</v>
      </c>
      <c r="AV494" s="423" t="s">
        <v>4976</v>
      </c>
      <c r="AW494" s="423" t="e">
        <f ca="1">VLOOKUP(表格1_6[[#This Row],[TI tool ID2]],工作表1!A:A,1,FALSE)</f>
        <v>#N/A</v>
      </c>
      <c r="AX494" s="425" t="e">
        <f ca="1">VLOOKUP(表格1_6[[#This Row],[PO+ITEM]],工作表1!B:E,2,FALSE)</f>
        <v>#N/A</v>
      </c>
      <c r="AY494" s="425" t="e">
        <f ca="1">VLOOKUP(表格1_6[[#This Row],[PO+ITEM]],工作表1!B:E,3,FALSE)</f>
        <v>#N/A</v>
      </c>
      <c r="AZ494" s="423" t="e">
        <f ca="1">VLOOKUP(表格1_6[[#This Row],[PO+ITEM]],工作表1!B:E,4,FALSE)</f>
        <v>#N/A</v>
      </c>
      <c r="BA494" s="425" t="e">
        <f ca="1">INDEX(工作表1!G:G, MATCH(表格1_6[[#This Row],[invoice number]]&amp;表格1_6[[#This Row],[invoice number2]],工作表1!G:G, 0))</f>
        <v>#N/A</v>
      </c>
      <c r="BB494" s="423" t="e">
        <f ca="1">VLOOKUP(表格1_6[[#This Row],[PO+ITEM]],工作表1!F:H,2,FALSE)</f>
        <v>#N/A</v>
      </c>
    </row>
    <row r="495" spans="1:54" ht="14.45">
      <c r="A495" s="413">
        <v>494</v>
      </c>
      <c r="B495" s="413" t="s">
        <v>3659</v>
      </c>
      <c r="C495" s="414" t="s">
        <v>16</v>
      </c>
      <c r="D495" s="414" t="s">
        <v>3648</v>
      </c>
      <c r="E495" s="414"/>
      <c r="F495" s="414"/>
      <c r="G495" s="414"/>
      <c r="H495" s="414"/>
      <c r="I495" s="414"/>
      <c r="J495" s="414"/>
      <c r="K495" s="414"/>
      <c r="L495" s="415" t="s">
        <v>4982</v>
      </c>
      <c r="M495" s="416" t="s">
        <v>2999</v>
      </c>
      <c r="N495" s="416" t="s">
        <v>2999</v>
      </c>
      <c r="O495" s="417"/>
      <c r="P495" s="416">
        <v>4590006250</v>
      </c>
      <c r="Q495" s="418">
        <v>44836</v>
      </c>
      <c r="R495" s="419">
        <v>38</v>
      </c>
      <c r="S495" s="458">
        <v>14516.89</v>
      </c>
      <c r="T495" s="420" t="s">
        <v>2156</v>
      </c>
      <c r="U495" s="414" t="s">
        <v>3864</v>
      </c>
      <c r="V495" s="414" t="s">
        <v>3865</v>
      </c>
      <c r="W495" s="417" t="s">
        <v>3866</v>
      </c>
      <c r="X495" s="417"/>
      <c r="Y495" s="421" t="s">
        <v>3652</v>
      </c>
      <c r="Z495" s="421" t="s">
        <v>3652</v>
      </c>
      <c r="AA495" s="416" t="s">
        <v>3767</v>
      </c>
      <c r="AB495" s="414" t="s">
        <v>3664</v>
      </c>
      <c r="AC495" s="422"/>
      <c r="AD495" s="421"/>
      <c r="AE495" s="420"/>
      <c r="AF495" s="421">
        <v>91354</v>
      </c>
      <c r="AG495" s="420" t="s">
        <v>4981</v>
      </c>
      <c r="AH495" s="421" t="s">
        <v>3770</v>
      </c>
      <c r="AI495" s="420" t="s">
        <v>3719</v>
      </c>
      <c r="AJ495" s="413" t="str">
        <f t="shared" si="31"/>
        <v>4590006250_038</v>
      </c>
      <c r="AK495" s="423"/>
      <c r="AL495" s="413"/>
      <c r="AM495" s="221"/>
      <c r="AN495" s="424"/>
      <c r="AO495" s="423"/>
      <c r="AP495" s="413"/>
      <c r="AQ495" s="222"/>
      <c r="AR495" s="424"/>
      <c r="AS495" s="614">
        <f ca="1">表格1_6[[#This Row],[total amount]]/表格1_6[[#This Row],[PO$]]</f>
        <v>0</v>
      </c>
      <c r="AT495" s="223">
        <f ca="1">表格1_6[[#This Row],[invoice amount]]+表格1_6[[#This Row],[invoice amount2]]</f>
        <v>0</v>
      </c>
      <c r="AU495" s="224"/>
      <c r="AV495" s="423"/>
      <c r="AW495" s="423" t="e">
        <f ca="1">VLOOKUP(表格1_6[[#This Row],[TI tool ID2]],工作表1!A:A,1,FALSE)</f>
        <v>#N/A</v>
      </c>
      <c r="AX495" s="425" t="e">
        <f ca="1">VLOOKUP(表格1_6[[#This Row],[PO+ITEM]],工作表1!B:E,2,FALSE)</f>
        <v>#N/A</v>
      </c>
      <c r="AY495" s="425" t="e">
        <f ca="1">VLOOKUP(表格1_6[[#This Row],[PO+ITEM]],工作表1!B:E,3,FALSE)</f>
        <v>#N/A</v>
      </c>
      <c r="AZ495" s="423" t="e">
        <f ca="1">VLOOKUP(表格1_6[[#This Row],[PO+ITEM]],工作表1!B:E,4,FALSE)</f>
        <v>#N/A</v>
      </c>
      <c r="BA495" s="425" t="e">
        <f ca="1">INDEX(工作表1!G:G, MATCH(表格1_6[[#This Row],[invoice number]]&amp;表格1_6[[#This Row],[invoice number2]],工作表1!G:G, 0))</f>
        <v>#N/A</v>
      </c>
      <c r="BB495" s="423" t="e">
        <f ca="1">VLOOKUP(表格1_6[[#This Row],[PO+ITEM]],工作表1!F:H,2,FALSE)</f>
        <v>#N/A</v>
      </c>
    </row>
    <row r="496" spans="1:54" s="429" customFormat="1" ht="14.45">
      <c r="A496" s="413">
        <v>495</v>
      </c>
      <c r="B496" s="413" t="s">
        <v>3659</v>
      </c>
      <c r="C496" s="414" t="s">
        <v>16</v>
      </c>
      <c r="D496" s="414" t="s">
        <v>3648</v>
      </c>
      <c r="E496" s="414"/>
      <c r="F496" s="414"/>
      <c r="G496" s="414"/>
      <c r="H496" s="414"/>
      <c r="I496" s="414"/>
      <c r="J496" s="414"/>
      <c r="K496" s="414"/>
      <c r="L496" s="415" t="s">
        <v>4983</v>
      </c>
      <c r="M496" s="416" t="s">
        <v>2999</v>
      </c>
      <c r="N496" s="416" t="s">
        <v>2999</v>
      </c>
      <c r="O496" s="417"/>
      <c r="P496" s="416">
        <v>4590006250</v>
      </c>
      <c r="Q496" s="418">
        <v>44836</v>
      </c>
      <c r="R496" s="419">
        <v>39</v>
      </c>
      <c r="S496" s="458">
        <v>14516.89</v>
      </c>
      <c r="T496" s="420" t="s">
        <v>2156</v>
      </c>
      <c r="U496" s="414" t="s">
        <v>3864</v>
      </c>
      <c r="V496" s="414" t="s">
        <v>3865</v>
      </c>
      <c r="W496" s="417" t="s">
        <v>3866</v>
      </c>
      <c r="X496" s="417"/>
      <c r="Y496" s="421" t="s">
        <v>3652</v>
      </c>
      <c r="Z496" s="421" t="s">
        <v>3652</v>
      </c>
      <c r="AA496" s="416" t="s">
        <v>3767</v>
      </c>
      <c r="AB496" s="414" t="s">
        <v>3664</v>
      </c>
      <c r="AC496" s="422"/>
      <c r="AD496" s="421"/>
      <c r="AE496" s="420"/>
      <c r="AF496" s="421">
        <v>91362</v>
      </c>
      <c r="AG496" s="420" t="s">
        <v>4984</v>
      </c>
      <c r="AH496" s="421" t="s">
        <v>3770</v>
      </c>
      <c r="AI496" s="420" t="s">
        <v>3719</v>
      </c>
      <c r="AJ496" s="413" t="str">
        <f t="shared" si="31"/>
        <v>4590006250_039</v>
      </c>
      <c r="AK496" s="423"/>
      <c r="AL496" s="413"/>
      <c r="AM496" s="221"/>
      <c r="AN496" s="424"/>
      <c r="AO496" s="423"/>
      <c r="AP496" s="413"/>
      <c r="AQ496" s="222"/>
      <c r="AR496" s="424"/>
      <c r="AS496" s="614">
        <f ca="1">表格1_6[[#This Row],[total amount]]/表格1_6[[#This Row],[PO$]]</f>
        <v>0</v>
      </c>
      <c r="AT496" s="223">
        <f ca="1">表格1_6[[#This Row],[invoice amount]]+表格1_6[[#This Row],[invoice amount2]]</f>
        <v>0</v>
      </c>
      <c r="AU496" s="224"/>
      <c r="AV496" s="423"/>
      <c r="AW496" s="423" t="e">
        <f ca="1">VLOOKUP(表格1_6[[#This Row],[TI tool ID2]],工作表1!A:A,1,FALSE)</f>
        <v>#N/A</v>
      </c>
      <c r="AX496" s="425" t="e">
        <f ca="1">VLOOKUP(表格1_6[[#This Row],[PO+ITEM]],工作表1!B:E,2,FALSE)</f>
        <v>#N/A</v>
      </c>
      <c r="AY496" s="425" t="e">
        <f ca="1">VLOOKUP(表格1_6[[#This Row],[PO+ITEM]],工作表1!B:E,3,FALSE)</f>
        <v>#N/A</v>
      </c>
      <c r="AZ496" s="423" t="e">
        <f ca="1">VLOOKUP(表格1_6[[#This Row],[PO+ITEM]],工作表1!B:E,4,FALSE)</f>
        <v>#N/A</v>
      </c>
      <c r="BA496" s="425" t="e">
        <f ca="1">INDEX(工作表1!G:G, MATCH(表格1_6[[#This Row],[invoice number]]&amp;表格1_6[[#This Row],[invoice number2]],工作表1!G:G, 0))</f>
        <v>#N/A</v>
      </c>
      <c r="BB496" s="423" t="e">
        <f ca="1">VLOOKUP(表格1_6[[#This Row],[PO+ITEM]],工作表1!F:H,2,FALSE)</f>
        <v>#N/A</v>
      </c>
    </row>
    <row r="497" spans="1:54" s="429" customFormat="1" ht="14.45">
      <c r="A497" s="413">
        <v>496</v>
      </c>
      <c r="B497" s="413" t="s">
        <v>3659</v>
      </c>
      <c r="C497" s="414" t="s">
        <v>16</v>
      </c>
      <c r="D497" s="414" t="s">
        <v>3648</v>
      </c>
      <c r="E497" s="414"/>
      <c r="F497" s="414"/>
      <c r="G497" s="414"/>
      <c r="H497" s="414"/>
      <c r="I497" s="414"/>
      <c r="J497" s="414"/>
      <c r="K497" s="414"/>
      <c r="L497" s="420" t="s">
        <v>4985</v>
      </c>
      <c r="M497" s="416" t="s">
        <v>2999</v>
      </c>
      <c r="N497" s="416" t="s">
        <v>2999</v>
      </c>
      <c r="O497" s="417"/>
      <c r="P497" s="416">
        <v>4590006250</v>
      </c>
      <c r="Q497" s="418">
        <v>44836</v>
      </c>
      <c r="R497" s="419">
        <v>40</v>
      </c>
      <c r="S497" s="458">
        <v>14516.89</v>
      </c>
      <c r="T497" s="420" t="s">
        <v>2156</v>
      </c>
      <c r="U497" s="414" t="s">
        <v>3864</v>
      </c>
      <c r="V497" s="414" t="s">
        <v>3865</v>
      </c>
      <c r="W497" s="417" t="s">
        <v>3866</v>
      </c>
      <c r="X497" s="417"/>
      <c r="Y497" s="421" t="s">
        <v>3652</v>
      </c>
      <c r="Z497" s="421" t="s">
        <v>3652</v>
      </c>
      <c r="AA497" s="416" t="s">
        <v>3767</v>
      </c>
      <c r="AB497" s="414" t="s">
        <v>3664</v>
      </c>
      <c r="AC497" s="422"/>
      <c r="AD497" s="421"/>
      <c r="AE497" s="420"/>
      <c r="AF497" s="421">
        <v>91363</v>
      </c>
      <c r="AG497" s="420" t="s">
        <v>4986</v>
      </c>
      <c r="AH497" s="421" t="s">
        <v>3770</v>
      </c>
      <c r="AI497" s="420" t="s">
        <v>3719</v>
      </c>
      <c r="AJ497" s="413" t="str">
        <f t="shared" si="31"/>
        <v>4590006250_040</v>
      </c>
      <c r="AK497" s="423"/>
      <c r="AL497" s="413"/>
      <c r="AM497" s="221"/>
      <c r="AN497" s="424"/>
      <c r="AO497" s="423"/>
      <c r="AP497" s="413"/>
      <c r="AQ497" s="222"/>
      <c r="AR497" s="424"/>
      <c r="AS497" s="614">
        <f ca="1">表格1_6[[#This Row],[total amount]]/表格1_6[[#This Row],[PO$]]</f>
        <v>0</v>
      </c>
      <c r="AT497" s="223">
        <f ca="1">表格1_6[[#This Row],[invoice amount]]+表格1_6[[#This Row],[invoice amount2]]</f>
        <v>0</v>
      </c>
      <c r="AU497" s="224"/>
      <c r="AV497" s="423"/>
      <c r="AW497" s="423" t="e">
        <f ca="1">VLOOKUP(表格1_6[[#This Row],[TI tool ID2]],工作表1!A:A,1,FALSE)</f>
        <v>#N/A</v>
      </c>
      <c r="AX497" s="425" t="e">
        <f ca="1">VLOOKUP(表格1_6[[#This Row],[PO+ITEM]],工作表1!B:E,2,FALSE)</f>
        <v>#N/A</v>
      </c>
      <c r="AY497" s="425" t="e">
        <f ca="1">VLOOKUP(表格1_6[[#This Row],[PO+ITEM]],工作表1!B:E,3,FALSE)</f>
        <v>#N/A</v>
      </c>
      <c r="AZ497" s="423" t="e">
        <f ca="1">VLOOKUP(表格1_6[[#This Row],[PO+ITEM]],工作表1!B:E,4,FALSE)</f>
        <v>#N/A</v>
      </c>
      <c r="BA497" s="425" t="e">
        <f ca="1">INDEX(工作表1!G:G, MATCH(表格1_6[[#This Row],[invoice number]]&amp;表格1_6[[#This Row],[invoice number2]],工作表1!G:G, 0))</f>
        <v>#N/A</v>
      </c>
      <c r="BB497" s="423" t="e">
        <f ca="1">VLOOKUP(表格1_6[[#This Row],[PO+ITEM]],工作表1!F:H,2,FALSE)</f>
        <v>#N/A</v>
      </c>
    </row>
    <row r="498" spans="1:54" ht="15.6">
      <c r="A498" s="413">
        <v>497</v>
      </c>
      <c r="B498" s="413" t="s">
        <v>3659</v>
      </c>
      <c r="C498" s="414" t="s">
        <v>16</v>
      </c>
      <c r="D498" s="414" t="s">
        <v>3648</v>
      </c>
      <c r="E498" s="414"/>
      <c r="F498" s="414"/>
      <c r="G498" s="414"/>
      <c r="H498" s="414"/>
      <c r="I498" s="414"/>
      <c r="J498" s="414"/>
      <c r="K498" s="414"/>
      <c r="L498" s="415" t="s">
        <v>4987</v>
      </c>
      <c r="M498" s="416" t="s">
        <v>2999</v>
      </c>
      <c r="N498" s="416" t="s">
        <v>2999</v>
      </c>
      <c r="O498" s="417"/>
      <c r="P498" s="416">
        <v>4590006250</v>
      </c>
      <c r="Q498" s="418">
        <v>44836</v>
      </c>
      <c r="R498" s="419">
        <v>41</v>
      </c>
      <c r="S498" s="458">
        <v>20621.14</v>
      </c>
      <c r="T498" s="420" t="s">
        <v>2156</v>
      </c>
      <c r="U498" s="414" t="s">
        <v>3864</v>
      </c>
      <c r="V498" s="414" t="s">
        <v>3865</v>
      </c>
      <c r="W498" s="417" t="s">
        <v>3866</v>
      </c>
      <c r="X498" s="417"/>
      <c r="Y498" s="421" t="s">
        <v>3652</v>
      </c>
      <c r="Z498" s="421" t="s">
        <v>3652</v>
      </c>
      <c r="AA498" s="416" t="s">
        <v>3767</v>
      </c>
      <c r="AB498" s="414" t="s">
        <v>3664</v>
      </c>
      <c r="AC498" s="422"/>
      <c r="AD498" s="421"/>
      <c r="AE498" s="420"/>
      <c r="AF498" s="421">
        <v>91353</v>
      </c>
      <c r="AG498" s="420" t="s">
        <v>4979</v>
      </c>
      <c r="AH498" s="421" t="s">
        <v>3770</v>
      </c>
      <c r="AI498" s="420" t="s">
        <v>3719</v>
      </c>
      <c r="AJ498" s="413" t="str">
        <f t="shared" si="31"/>
        <v>4590006250_041</v>
      </c>
      <c r="AK498" s="423"/>
      <c r="AL498" s="427">
        <v>45047</v>
      </c>
      <c r="AM498" s="221">
        <v>0</v>
      </c>
      <c r="AN498" s="431" t="s">
        <v>3788</v>
      </c>
      <c r="AO498" s="423"/>
      <c r="AP498" s="413"/>
      <c r="AQ498" s="222"/>
      <c r="AR498" s="424"/>
      <c r="AS498" s="614">
        <f ca="1">表格1_6[[#This Row],[total amount]]/表格1_6[[#This Row],[PO$]]</f>
        <v>0</v>
      </c>
      <c r="AT498" s="223">
        <f ca="1">表格1_6[[#This Row],[invoice amount]]+表格1_6[[#This Row],[invoice amount2]]</f>
        <v>0</v>
      </c>
      <c r="AU498" s="224" t="s">
        <v>3789</v>
      </c>
      <c r="AV498" s="423" t="s">
        <v>4976</v>
      </c>
      <c r="AW498" s="423" t="e">
        <f ca="1">VLOOKUP(表格1_6[[#This Row],[TI tool ID2]],工作表1!A:A,1,FALSE)</f>
        <v>#N/A</v>
      </c>
      <c r="AX498" s="425" t="e">
        <f ca="1">VLOOKUP(表格1_6[[#This Row],[PO+ITEM]],工作表1!B:E,2,FALSE)</f>
        <v>#N/A</v>
      </c>
      <c r="AY498" s="425" t="e">
        <f ca="1">VLOOKUP(表格1_6[[#This Row],[PO+ITEM]],工作表1!B:E,3,FALSE)</f>
        <v>#N/A</v>
      </c>
      <c r="AZ498" s="423" t="e">
        <f ca="1">VLOOKUP(表格1_6[[#This Row],[PO+ITEM]],工作表1!B:E,4,FALSE)</f>
        <v>#N/A</v>
      </c>
      <c r="BA498" s="425" t="e">
        <f ca="1">INDEX(工作表1!G:G, MATCH(表格1_6[[#This Row],[invoice number]]&amp;表格1_6[[#This Row],[invoice number2]],工作表1!G:G, 0))</f>
        <v>#N/A</v>
      </c>
      <c r="BB498" s="423" t="e">
        <f ca="1">VLOOKUP(表格1_6[[#This Row],[PO+ITEM]],工作表1!F:H,2,FALSE)</f>
        <v>#N/A</v>
      </c>
    </row>
    <row r="499" spans="1:54" ht="15.6">
      <c r="A499" s="413">
        <v>498</v>
      </c>
      <c r="B499" s="413" t="s">
        <v>3659</v>
      </c>
      <c r="C499" s="414" t="s">
        <v>16</v>
      </c>
      <c r="D499" s="414" t="s">
        <v>3648</v>
      </c>
      <c r="E499" s="414"/>
      <c r="F499" s="414"/>
      <c r="G499" s="414"/>
      <c r="H499" s="414"/>
      <c r="I499" s="414"/>
      <c r="J499" s="414"/>
      <c r="K499" s="414"/>
      <c r="L499" s="415" t="s">
        <v>4988</v>
      </c>
      <c r="M499" s="416" t="s">
        <v>2206</v>
      </c>
      <c r="N499" s="416" t="s">
        <v>2999</v>
      </c>
      <c r="O499" s="417"/>
      <c r="P499" s="416">
        <v>4590006251</v>
      </c>
      <c r="Q499" s="418">
        <v>44836</v>
      </c>
      <c r="R499" s="419">
        <v>1</v>
      </c>
      <c r="S499" s="458">
        <v>6719.7</v>
      </c>
      <c r="T499" s="420" t="s">
        <v>2156</v>
      </c>
      <c r="U499" s="414" t="s">
        <v>3864</v>
      </c>
      <c r="V499" s="414" t="s">
        <v>3865</v>
      </c>
      <c r="W499" s="417" t="s">
        <v>3866</v>
      </c>
      <c r="X499" s="417"/>
      <c r="Y499" s="421" t="s">
        <v>3652</v>
      </c>
      <c r="Z499" s="421" t="s">
        <v>3652</v>
      </c>
      <c r="AA499" s="416" t="s">
        <v>4437</v>
      </c>
      <c r="AB499" s="414" t="s">
        <v>3664</v>
      </c>
      <c r="AC499" s="422"/>
      <c r="AD499" s="421"/>
      <c r="AE499" s="420"/>
      <c r="AF499" s="421">
        <v>91197</v>
      </c>
      <c r="AG499" s="420" t="s">
        <v>4989</v>
      </c>
      <c r="AH499" s="421" t="s">
        <v>3681</v>
      </c>
      <c r="AI499" s="420" t="s">
        <v>846</v>
      </c>
      <c r="AJ499" s="413" t="str">
        <f t="shared" ref="AJ499:AJ525" si="32">P499&amp;"_00"&amp;R499</f>
        <v>4590006251_001</v>
      </c>
      <c r="AK499" s="423"/>
      <c r="AL499" s="424">
        <v>45047</v>
      </c>
      <c r="AM499" s="221">
        <v>2687.88</v>
      </c>
      <c r="AN499" s="228">
        <v>45303</v>
      </c>
      <c r="AO499" s="423"/>
      <c r="AP499" s="413"/>
      <c r="AQ499" s="222"/>
      <c r="AR499" s="424"/>
      <c r="AS499" s="614">
        <f ca="1">表格1_6[[#This Row],[total amount]]/表格1_6[[#This Row],[PO$]]</f>
        <v>0.4</v>
      </c>
      <c r="AT499" s="223">
        <f ca="1">表格1_6[[#This Row],[invoice amount]]+表格1_6[[#This Row],[invoice amount2]]</f>
        <v>2687.88</v>
      </c>
      <c r="AU499" s="224" t="s">
        <v>3673</v>
      </c>
      <c r="AV499" s="423"/>
      <c r="AW499" s="423" t="e">
        <f ca="1">VLOOKUP(表格1_6[[#This Row],[TI tool ID2]],工作表1!A:A,1,FALSE)</f>
        <v>#N/A</v>
      </c>
      <c r="AX499" s="425" t="e">
        <f ca="1">VLOOKUP(表格1_6[[#This Row],[PO+ITEM]],工作表1!B:E,2,FALSE)</f>
        <v>#N/A</v>
      </c>
      <c r="AY499" s="425" t="e">
        <f ca="1">VLOOKUP(表格1_6[[#This Row],[PO+ITEM]],工作表1!B:E,3,FALSE)</f>
        <v>#N/A</v>
      </c>
      <c r="AZ499" s="423" t="e">
        <f ca="1">VLOOKUP(表格1_6[[#This Row],[PO+ITEM]],工作表1!B:E,4,FALSE)</f>
        <v>#N/A</v>
      </c>
      <c r="BA499" s="425" t="e">
        <f ca="1">INDEX(工作表1!G:G, MATCH(表格1_6[[#This Row],[invoice number]]&amp;表格1_6[[#This Row],[invoice number2]],工作表1!G:G, 0))</f>
        <v>#N/A</v>
      </c>
      <c r="BB499" s="423" t="e">
        <f ca="1">VLOOKUP(表格1_6[[#This Row],[PO+ITEM]],工作表1!F:H,2,FALSE)</f>
        <v>#N/A</v>
      </c>
    </row>
    <row r="500" spans="1:54" ht="15.6">
      <c r="A500" s="413">
        <v>499</v>
      </c>
      <c r="B500" s="413" t="s">
        <v>3659</v>
      </c>
      <c r="C500" s="414" t="s">
        <v>16</v>
      </c>
      <c r="D500" s="414" t="s">
        <v>3648</v>
      </c>
      <c r="E500" s="414"/>
      <c r="F500" s="414"/>
      <c r="G500" s="414"/>
      <c r="H500" s="414"/>
      <c r="I500" s="414"/>
      <c r="J500" s="414"/>
      <c r="K500" s="414"/>
      <c r="L500" s="415" t="s">
        <v>4990</v>
      </c>
      <c r="M500" s="416" t="s">
        <v>2206</v>
      </c>
      <c r="N500" s="416" t="s">
        <v>2999</v>
      </c>
      <c r="O500" s="417"/>
      <c r="P500" s="416">
        <v>4590006251</v>
      </c>
      <c r="Q500" s="418">
        <v>44836</v>
      </c>
      <c r="R500" s="419">
        <v>2</v>
      </c>
      <c r="S500" s="458">
        <v>6719.7</v>
      </c>
      <c r="T500" s="420" t="s">
        <v>2156</v>
      </c>
      <c r="U500" s="414" t="s">
        <v>3864</v>
      </c>
      <c r="V500" s="414" t="s">
        <v>3865</v>
      </c>
      <c r="W500" s="417" t="s">
        <v>3866</v>
      </c>
      <c r="X500" s="417"/>
      <c r="Y500" s="421" t="s">
        <v>3652</v>
      </c>
      <c r="Z500" s="421" t="s">
        <v>3652</v>
      </c>
      <c r="AA500" s="416" t="s">
        <v>4437</v>
      </c>
      <c r="AB500" s="414" t="s">
        <v>3664</v>
      </c>
      <c r="AC500" s="422"/>
      <c r="AD500" s="421"/>
      <c r="AE500" s="420"/>
      <c r="AF500" s="421">
        <v>91198</v>
      </c>
      <c r="AG500" s="420" t="s">
        <v>4991</v>
      </c>
      <c r="AH500" s="421" t="s">
        <v>3681</v>
      </c>
      <c r="AI500" s="420" t="s">
        <v>846</v>
      </c>
      <c r="AJ500" s="413" t="str">
        <f t="shared" si="32"/>
        <v>4590006251_002</v>
      </c>
      <c r="AK500" s="423"/>
      <c r="AL500" s="424">
        <v>45047</v>
      </c>
      <c r="AM500" s="221">
        <v>2687.88</v>
      </c>
      <c r="AN500" s="228">
        <v>45303</v>
      </c>
      <c r="AO500" s="423"/>
      <c r="AP500" s="413"/>
      <c r="AQ500" s="222"/>
      <c r="AR500" s="424"/>
      <c r="AS500" s="614">
        <f ca="1">表格1_6[[#This Row],[total amount]]/表格1_6[[#This Row],[PO$]]</f>
        <v>0.4</v>
      </c>
      <c r="AT500" s="223">
        <f ca="1">表格1_6[[#This Row],[invoice amount]]+表格1_6[[#This Row],[invoice amount2]]</f>
        <v>2687.88</v>
      </c>
      <c r="AU500" s="224" t="s">
        <v>3673</v>
      </c>
      <c r="AV500" s="423"/>
      <c r="AW500" s="423" t="e">
        <f ca="1">VLOOKUP(表格1_6[[#This Row],[TI tool ID2]],工作表1!A:A,1,FALSE)</f>
        <v>#N/A</v>
      </c>
      <c r="AX500" s="425" t="e">
        <f ca="1">VLOOKUP(表格1_6[[#This Row],[PO+ITEM]],工作表1!B:E,2,FALSE)</f>
        <v>#N/A</v>
      </c>
      <c r="AY500" s="425" t="e">
        <f ca="1">VLOOKUP(表格1_6[[#This Row],[PO+ITEM]],工作表1!B:E,3,FALSE)</f>
        <v>#N/A</v>
      </c>
      <c r="AZ500" s="423" t="e">
        <f ca="1">VLOOKUP(表格1_6[[#This Row],[PO+ITEM]],工作表1!B:E,4,FALSE)</f>
        <v>#N/A</v>
      </c>
      <c r="BA500" s="425" t="e">
        <f ca="1">INDEX(工作表1!G:G, MATCH(表格1_6[[#This Row],[invoice number]]&amp;表格1_6[[#This Row],[invoice number2]],工作表1!G:G, 0))</f>
        <v>#N/A</v>
      </c>
      <c r="BB500" s="423" t="e">
        <f ca="1">VLOOKUP(表格1_6[[#This Row],[PO+ITEM]],工作表1!F:H,2,FALSE)</f>
        <v>#N/A</v>
      </c>
    </row>
    <row r="501" spans="1:54" ht="15.6">
      <c r="A501" s="413">
        <v>500</v>
      </c>
      <c r="B501" s="413" t="s">
        <v>3659</v>
      </c>
      <c r="C501" s="414" t="s">
        <v>16</v>
      </c>
      <c r="D501" s="414" t="s">
        <v>3648</v>
      </c>
      <c r="E501" s="414"/>
      <c r="F501" s="414"/>
      <c r="G501" s="414"/>
      <c r="H501" s="414"/>
      <c r="I501" s="414"/>
      <c r="J501" s="414"/>
      <c r="K501" s="414"/>
      <c r="L501" s="415" t="s">
        <v>4992</v>
      </c>
      <c r="M501" s="416" t="s">
        <v>2206</v>
      </c>
      <c r="N501" s="416" t="s">
        <v>2999</v>
      </c>
      <c r="O501" s="417"/>
      <c r="P501" s="416">
        <v>4590006251</v>
      </c>
      <c r="Q501" s="418">
        <v>44836</v>
      </c>
      <c r="R501" s="419">
        <v>3</v>
      </c>
      <c r="S501" s="458">
        <v>6719.7</v>
      </c>
      <c r="T501" s="420" t="s">
        <v>2156</v>
      </c>
      <c r="U501" s="414" t="s">
        <v>3864</v>
      </c>
      <c r="V501" s="414" t="s">
        <v>3865</v>
      </c>
      <c r="W501" s="417" t="s">
        <v>3866</v>
      </c>
      <c r="X501" s="417"/>
      <c r="Y501" s="421" t="s">
        <v>3652</v>
      </c>
      <c r="Z501" s="421" t="s">
        <v>3652</v>
      </c>
      <c r="AA501" s="416" t="s">
        <v>4437</v>
      </c>
      <c r="AB501" s="414" t="s">
        <v>3664</v>
      </c>
      <c r="AC501" s="422"/>
      <c r="AD501" s="421"/>
      <c r="AE501" s="420"/>
      <c r="AF501" s="421">
        <v>91199</v>
      </c>
      <c r="AG501" s="420" t="s">
        <v>4993</v>
      </c>
      <c r="AH501" s="421" t="s">
        <v>3681</v>
      </c>
      <c r="AI501" s="420" t="s">
        <v>846</v>
      </c>
      <c r="AJ501" s="413" t="str">
        <f t="shared" si="32"/>
        <v>4590006251_003</v>
      </c>
      <c r="AK501" s="423"/>
      <c r="AL501" s="424">
        <v>45047</v>
      </c>
      <c r="AM501" s="221">
        <v>2687.88</v>
      </c>
      <c r="AN501" s="228">
        <v>45303</v>
      </c>
      <c r="AO501" s="423"/>
      <c r="AP501" s="413"/>
      <c r="AQ501" s="222"/>
      <c r="AR501" s="424"/>
      <c r="AS501" s="614">
        <f ca="1">表格1_6[[#This Row],[total amount]]/表格1_6[[#This Row],[PO$]]</f>
        <v>0.4</v>
      </c>
      <c r="AT501" s="223">
        <f ca="1">表格1_6[[#This Row],[invoice amount]]+表格1_6[[#This Row],[invoice amount2]]</f>
        <v>2687.88</v>
      </c>
      <c r="AU501" s="224" t="s">
        <v>3673</v>
      </c>
      <c r="AV501" s="423"/>
      <c r="AW501" s="423" t="e">
        <f ca="1">VLOOKUP(表格1_6[[#This Row],[TI tool ID2]],工作表1!A:A,1,FALSE)</f>
        <v>#N/A</v>
      </c>
      <c r="AX501" s="425" t="e">
        <f ca="1">VLOOKUP(表格1_6[[#This Row],[PO+ITEM]],工作表1!B:E,2,FALSE)</f>
        <v>#N/A</v>
      </c>
      <c r="AY501" s="425" t="e">
        <f ca="1">VLOOKUP(表格1_6[[#This Row],[PO+ITEM]],工作表1!B:E,3,FALSE)</f>
        <v>#N/A</v>
      </c>
      <c r="AZ501" s="423" t="e">
        <f ca="1">VLOOKUP(表格1_6[[#This Row],[PO+ITEM]],工作表1!B:E,4,FALSE)</f>
        <v>#N/A</v>
      </c>
      <c r="BA501" s="425" t="e">
        <f ca="1">INDEX(工作表1!G:G, MATCH(表格1_6[[#This Row],[invoice number]]&amp;表格1_6[[#This Row],[invoice number2]],工作表1!G:G, 0))</f>
        <v>#N/A</v>
      </c>
      <c r="BB501" s="423" t="e">
        <f ca="1">VLOOKUP(表格1_6[[#This Row],[PO+ITEM]],工作表1!F:H,2,FALSE)</f>
        <v>#N/A</v>
      </c>
    </row>
    <row r="502" spans="1:54" ht="15.6">
      <c r="A502" s="413">
        <v>501</v>
      </c>
      <c r="B502" s="413" t="s">
        <v>3659</v>
      </c>
      <c r="C502" s="414" t="s">
        <v>16</v>
      </c>
      <c r="D502" s="414" t="s">
        <v>3648</v>
      </c>
      <c r="E502" s="414"/>
      <c r="F502" s="414"/>
      <c r="G502" s="414"/>
      <c r="H502" s="414"/>
      <c r="I502" s="414"/>
      <c r="J502" s="414"/>
      <c r="K502" s="414"/>
      <c r="L502" s="415" t="s">
        <v>4994</v>
      </c>
      <c r="M502" s="416" t="s">
        <v>2206</v>
      </c>
      <c r="N502" s="416" t="s">
        <v>2999</v>
      </c>
      <c r="O502" s="417"/>
      <c r="P502" s="416">
        <v>4590006251</v>
      </c>
      <c r="Q502" s="418">
        <v>44836</v>
      </c>
      <c r="R502" s="419">
        <v>4</v>
      </c>
      <c r="S502" s="458">
        <v>6719.7</v>
      </c>
      <c r="T502" s="420" t="s">
        <v>2156</v>
      </c>
      <c r="U502" s="414" t="s">
        <v>3864</v>
      </c>
      <c r="V502" s="414" t="s">
        <v>3865</v>
      </c>
      <c r="W502" s="417" t="s">
        <v>3866</v>
      </c>
      <c r="X502" s="417"/>
      <c r="Y502" s="421" t="s">
        <v>3652</v>
      </c>
      <c r="Z502" s="421" t="s">
        <v>3652</v>
      </c>
      <c r="AA502" s="416" t="s">
        <v>4437</v>
      </c>
      <c r="AB502" s="414" t="s">
        <v>3664</v>
      </c>
      <c r="AC502" s="422"/>
      <c r="AD502" s="421"/>
      <c r="AE502" s="420"/>
      <c r="AF502" s="421">
        <v>91337</v>
      </c>
      <c r="AG502" s="420" t="s">
        <v>4995</v>
      </c>
      <c r="AH502" s="421" t="s">
        <v>3681</v>
      </c>
      <c r="AI502" s="420" t="s">
        <v>846</v>
      </c>
      <c r="AJ502" s="413" t="str">
        <f t="shared" si="32"/>
        <v>4590006251_004</v>
      </c>
      <c r="AK502" s="423"/>
      <c r="AL502" s="424">
        <v>45108</v>
      </c>
      <c r="AM502" s="221">
        <v>2687.88</v>
      </c>
      <c r="AN502" s="228">
        <v>45303</v>
      </c>
      <c r="AO502" s="423"/>
      <c r="AP502" s="413"/>
      <c r="AQ502" s="222"/>
      <c r="AR502" s="424"/>
      <c r="AS502" s="614">
        <f ca="1">表格1_6[[#This Row],[total amount]]/表格1_6[[#This Row],[PO$]]</f>
        <v>0.4</v>
      </c>
      <c r="AT502" s="223">
        <f ca="1">表格1_6[[#This Row],[invoice amount]]+表格1_6[[#This Row],[invoice amount2]]</f>
        <v>2687.88</v>
      </c>
      <c r="AU502" s="224" t="s">
        <v>3673</v>
      </c>
      <c r="AV502" s="423"/>
      <c r="AW502" s="423" t="e">
        <f ca="1">VLOOKUP(表格1_6[[#This Row],[TI tool ID2]],工作表1!A:A,1,FALSE)</f>
        <v>#N/A</v>
      </c>
      <c r="AX502" s="425" t="e">
        <f ca="1">VLOOKUP(表格1_6[[#This Row],[PO+ITEM]],工作表1!B:E,2,FALSE)</f>
        <v>#N/A</v>
      </c>
      <c r="AY502" s="425" t="e">
        <f ca="1">VLOOKUP(表格1_6[[#This Row],[PO+ITEM]],工作表1!B:E,3,FALSE)</f>
        <v>#N/A</v>
      </c>
      <c r="AZ502" s="423" t="e">
        <f ca="1">VLOOKUP(表格1_6[[#This Row],[PO+ITEM]],工作表1!B:E,4,FALSE)</f>
        <v>#N/A</v>
      </c>
      <c r="BA502" s="425" t="e">
        <f ca="1">INDEX(工作表1!G:G, MATCH(表格1_6[[#This Row],[invoice number]]&amp;表格1_6[[#This Row],[invoice number2]],工作表1!G:G, 0))</f>
        <v>#N/A</v>
      </c>
      <c r="BB502" s="423" t="e">
        <f ca="1">VLOOKUP(表格1_6[[#This Row],[PO+ITEM]],工作表1!F:H,2,FALSE)</f>
        <v>#N/A</v>
      </c>
    </row>
    <row r="503" spans="1:54" ht="14.45">
      <c r="A503" s="413">
        <v>502</v>
      </c>
      <c r="B503" s="413" t="s">
        <v>3659</v>
      </c>
      <c r="C503" s="414" t="s">
        <v>16</v>
      </c>
      <c r="D503" s="414" t="s">
        <v>3648</v>
      </c>
      <c r="E503" s="414"/>
      <c r="F503" s="414"/>
      <c r="G503" s="414"/>
      <c r="H503" s="414"/>
      <c r="I503" s="414"/>
      <c r="J503" s="414"/>
      <c r="K503" s="414"/>
      <c r="L503" s="415" t="s">
        <v>4996</v>
      </c>
      <c r="M503" s="416" t="s">
        <v>2999</v>
      </c>
      <c r="N503" s="416" t="s">
        <v>2999</v>
      </c>
      <c r="O503" s="417"/>
      <c r="P503" s="416">
        <v>4590006251</v>
      </c>
      <c r="Q503" s="418">
        <v>44836</v>
      </c>
      <c r="R503" s="419">
        <v>5</v>
      </c>
      <c r="S503" s="458">
        <v>82970.73</v>
      </c>
      <c r="T503" s="420" t="s">
        <v>2156</v>
      </c>
      <c r="U503" s="414" t="s">
        <v>3864</v>
      </c>
      <c r="V503" s="414" t="s">
        <v>3865</v>
      </c>
      <c r="W503" s="417" t="s">
        <v>3866</v>
      </c>
      <c r="X503" s="417"/>
      <c r="Y503" s="421" t="s">
        <v>3652</v>
      </c>
      <c r="Z503" s="421" t="s">
        <v>3652</v>
      </c>
      <c r="AA503" s="416"/>
      <c r="AB503" s="414" t="s">
        <v>3664</v>
      </c>
      <c r="AC503" s="422"/>
      <c r="AD503" s="421"/>
      <c r="AE503" s="420"/>
      <c r="AF503" s="421">
        <v>91248</v>
      </c>
      <c r="AG503" s="420" t="s">
        <v>2880</v>
      </c>
      <c r="AH503" s="421" t="s">
        <v>3681</v>
      </c>
      <c r="AI503" s="420" t="s">
        <v>32</v>
      </c>
      <c r="AJ503" s="413" t="str">
        <f t="shared" si="32"/>
        <v>4590006251_005</v>
      </c>
      <c r="AK503" s="423"/>
      <c r="AL503" s="413"/>
      <c r="AM503" s="221"/>
      <c r="AN503" s="424"/>
      <c r="AO503" s="423"/>
      <c r="AP503" s="413"/>
      <c r="AQ503" s="222"/>
      <c r="AR503" s="424"/>
      <c r="AS503" s="614">
        <f ca="1">表格1_6[[#This Row],[total amount]]/表格1_6[[#This Row],[PO$]]</f>
        <v>0</v>
      </c>
      <c r="AT503" s="223">
        <f ca="1">表格1_6[[#This Row],[invoice amount]]+表格1_6[[#This Row],[invoice amount2]]</f>
        <v>0</v>
      </c>
      <c r="AU503" s="224"/>
      <c r="AV503" s="423"/>
      <c r="AW503" s="423" t="e">
        <f ca="1">VLOOKUP(表格1_6[[#This Row],[TI tool ID2]],工作表1!A:A,1,FALSE)</f>
        <v>#N/A</v>
      </c>
      <c r="AX503" s="425" t="e">
        <f ca="1">VLOOKUP(表格1_6[[#This Row],[PO+ITEM]],工作表1!B:E,2,FALSE)</f>
        <v>#N/A</v>
      </c>
      <c r="AY503" s="425" t="e">
        <f ca="1">VLOOKUP(表格1_6[[#This Row],[PO+ITEM]],工作表1!B:E,3,FALSE)</f>
        <v>#N/A</v>
      </c>
      <c r="AZ503" s="423" t="e">
        <f ca="1">VLOOKUP(表格1_6[[#This Row],[PO+ITEM]],工作表1!B:E,4,FALSE)</f>
        <v>#N/A</v>
      </c>
      <c r="BA503" s="425" t="e">
        <f ca="1">INDEX(工作表1!G:G, MATCH(表格1_6[[#This Row],[invoice number]]&amp;表格1_6[[#This Row],[invoice number2]],工作表1!G:G, 0))</f>
        <v>#N/A</v>
      </c>
      <c r="BB503" s="423" t="e">
        <f ca="1">VLOOKUP(表格1_6[[#This Row],[PO+ITEM]],工作表1!F:H,2,FALSE)</f>
        <v>#N/A</v>
      </c>
    </row>
    <row r="504" spans="1:54" ht="14.45">
      <c r="A504" s="413">
        <v>503</v>
      </c>
      <c r="B504" s="413" t="s">
        <v>3659</v>
      </c>
      <c r="C504" s="414" t="s">
        <v>16</v>
      </c>
      <c r="D504" s="414" t="s">
        <v>3648</v>
      </c>
      <c r="E504" s="414"/>
      <c r="F504" s="414"/>
      <c r="G504" s="414"/>
      <c r="H504" s="414"/>
      <c r="I504" s="414"/>
      <c r="J504" s="414"/>
      <c r="K504" s="414"/>
      <c r="L504" s="415" t="s">
        <v>4997</v>
      </c>
      <c r="M504" s="416" t="s">
        <v>2206</v>
      </c>
      <c r="N504" s="416" t="s">
        <v>2999</v>
      </c>
      <c r="O504" s="417"/>
      <c r="P504" s="416">
        <v>4590006252</v>
      </c>
      <c r="Q504" s="418">
        <v>44836</v>
      </c>
      <c r="R504" s="419">
        <v>1</v>
      </c>
      <c r="S504" s="458">
        <v>2664.88</v>
      </c>
      <c r="T504" s="420" t="s">
        <v>2156</v>
      </c>
      <c r="U504" s="414" t="s">
        <v>4468</v>
      </c>
      <c r="V504" s="414" t="s">
        <v>4469</v>
      </c>
      <c r="W504" s="417" t="s">
        <v>4470</v>
      </c>
      <c r="X504" s="417"/>
      <c r="Y504" s="421" t="s">
        <v>3652</v>
      </c>
      <c r="Z504" s="421" t="s">
        <v>3652</v>
      </c>
      <c r="AA504" s="416"/>
      <c r="AB504" s="414" t="s">
        <v>3664</v>
      </c>
      <c r="AC504" s="422"/>
      <c r="AD504" s="421"/>
      <c r="AE504" s="420"/>
      <c r="AF504" s="421">
        <v>91239</v>
      </c>
      <c r="AG504" s="420" t="s">
        <v>4998</v>
      </c>
      <c r="AH504" s="421" t="s">
        <v>4102</v>
      </c>
      <c r="AI504" s="420" t="s">
        <v>846</v>
      </c>
      <c r="AJ504" s="413" t="str">
        <f t="shared" si="32"/>
        <v>4590006252_001</v>
      </c>
      <c r="AK504" s="423"/>
      <c r="AL504" s="413"/>
      <c r="AM504" s="221"/>
      <c r="AN504" s="424"/>
      <c r="AO504" s="423"/>
      <c r="AP504" s="413"/>
      <c r="AQ504" s="222"/>
      <c r="AR504" s="424"/>
      <c r="AS504" s="614">
        <f ca="1">表格1_6[[#This Row],[total amount]]/表格1_6[[#This Row],[PO$]]</f>
        <v>0</v>
      </c>
      <c r="AT504" s="223">
        <f ca="1">表格1_6[[#This Row],[invoice amount]]+表格1_6[[#This Row],[invoice amount2]]</f>
        <v>0</v>
      </c>
      <c r="AU504" s="224"/>
      <c r="AV504" s="423"/>
      <c r="AW504" s="423" t="e">
        <f ca="1">VLOOKUP(表格1_6[[#This Row],[TI tool ID2]],工作表1!A:A,1,FALSE)</f>
        <v>#N/A</v>
      </c>
      <c r="AX504" s="425" t="e">
        <f ca="1">VLOOKUP(表格1_6[[#This Row],[PO+ITEM]],工作表1!B:E,2,FALSE)</f>
        <v>#N/A</v>
      </c>
      <c r="AY504" s="425" t="e">
        <f ca="1">VLOOKUP(表格1_6[[#This Row],[PO+ITEM]],工作表1!B:E,3,FALSE)</f>
        <v>#N/A</v>
      </c>
      <c r="AZ504" s="423" t="e">
        <f ca="1">VLOOKUP(表格1_6[[#This Row],[PO+ITEM]],工作表1!B:E,4,FALSE)</f>
        <v>#N/A</v>
      </c>
      <c r="BA504" s="425" t="e">
        <f ca="1">INDEX(工作表1!G:G, MATCH(表格1_6[[#This Row],[invoice number]]&amp;表格1_6[[#This Row],[invoice number2]],工作表1!G:G, 0))</f>
        <v>#N/A</v>
      </c>
      <c r="BB504" s="423" t="e">
        <f ca="1">VLOOKUP(表格1_6[[#This Row],[PO+ITEM]],工作表1!F:H,2,FALSE)</f>
        <v>#N/A</v>
      </c>
    </row>
    <row r="505" spans="1:54" ht="14.45">
      <c r="A505" s="413">
        <v>504</v>
      </c>
      <c r="B505" s="413" t="s">
        <v>3659</v>
      </c>
      <c r="C505" s="414" t="s">
        <v>16</v>
      </c>
      <c r="D505" s="414" t="s">
        <v>3648</v>
      </c>
      <c r="E505" s="414"/>
      <c r="F505" s="414"/>
      <c r="G505" s="414"/>
      <c r="H505" s="414"/>
      <c r="I505" s="414"/>
      <c r="J505" s="414"/>
      <c r="K505" s="414"/>
      <c r="L505" s="415" t="s">
        <v>4999</v>
      </c>
      <c r="M505" s="416" t="s">
        <v>2206</v>
      </c>
      <c r="N505" s="416" t="s">
        <v>2999</v>
      </c>
      <c r="O505" s="417"/>
      <c r="P505" s="416">
        <v>4590006252</v>
      </c>
      <c r="Q505" s="418">
        <v>44836</v>
      </c>
      <c r="R505" s="419">
        <v>2</v>
      </c>
      <c r="S505" s="458">
        <v>2664.88</v>
      </c>
      <c r="T505" s="420" t="s">
        <v>2156</v>
      </c>
      <c r="U505" s="414" t="s">
        <v>4468</v>
      </c>
      <c r="V505" s="414" t="s">
        <v>4469</v>
      </c>
      <c r="W505" s="417" t="s">
        <v>4470</v>
      </c>
      <c r="X505" s="417"/>
      <c r="Y505" s="421" t="s">
        <v>3652</v>
      </c>
      <c r="Z505" s="421" t="s">
        <v>3652</v>
      </c>
      <c r="AA505" s="416"/>
      <c r="AB505" s="414" t="s">
        <v>3664</v>
      </c>
      <c r="AC505" s="422"/>
      <c r="AD505" s="421"/>
      <c r="AE505" s="420"/>
      <c r="AF505" s="421">
        <v>91238</v>
      </c>
      <c r="AG505" s="420" t="s">
        <v>5000</v>
      </c>
      <c r="AH505" s="421" t="s">
        <v>4102</v>
      </c>
      <c r="AI505" s="420" t="s">
        <v>846</v>
      </c>
      <c r="AJ505" s="413" t="str">
        <f t="shared" si="32"/>
        <v>4590006252_002</v>
      </c>
      <c r="AK505" s="423"/>
      <c r="AL505" s="413"/>
      <c r="AM505" s="221"/>
      <c r="AN505" s="424"/>
      <c r="AO505" s="423"/>
      <c r="AP505" s="413"/>
      <c r="AQ505" s="222"/>
      <c r="AR505" s="424"/>
      <c r="AS505" s="614">
        <f ca="1">表格1_6[[#This Row],[total amount]]/表格1_6[[#This Row],[PO$]]</f>
        <v>0</v>
      </c>
      <c r="AT505" s="223">
        <f ca="1">表格1_6[[#This Row],[invoice amount]]+表格1_6[[#This Row],[invoice amount2]]</f>
        <v>0</v>
      </c>
      <c r="AU505" s="224"/>
      <c r="AV505" s="423"/>
      <c r="AW505" s="423" t="e">
        <f ca="1">VLOOKUP(表格1_6[[#This Row],[TI tool ID2]],工作表1!A:A,1,FALSE)</f>
        <v>#N/A</v>
      </c>
      <c r="AX505" s="425" t="e">
        <f ca="1">VLOOKUP(表格1_6[[#This Row],[PO+ITEM]],工作表1!B:E,2,FALSE)</f>
        <v>#N/A</v>
      </c>
      <c r="AY505" s="425" t="e">
        <f ca="1">VLOOKUP(表格1_6[[#This Row],[PO+ITEM]],工作表1!B:E,3,FALSE)</f>
        <v>#N/A</v>
      </c>
      <c r="AZ505" s="423" t="e">
        <f ca="1">VLOOKUP(表格1_6[[#This Row],[PO+ITEM]],工作表1!B:E,4,FALSE)</f>
        <v>#N/A</v>
      </c>
      <c r="BA505" s="425" t="e">
        <f ca="1">INDEX(工作表1!G:G, MATCH(表格1_6[[#This Row],[invoice number]]&amp;表格1_6[[#This Row],[invoice number2]],工作表1!G:G, 0))</f>
        <v>#N/A</v>
      </c>
      <c r="BB505" s="423" t="e">
        <f ca="1">VLOOKUP(表格1_6[[#This Row],[PO+ITEM]],工作表1!F:H,2,FALSE)</f>
        <v>#N/A</v>
      </c>
    </row>
    <row r="506" spans="1:54" ht="14.45">
      <c r="A506" s="413">
        <v>505</v>
      </c>
      <c r="B506" s="413" t="s">
        <v>3659</v>
      </c>
      <c r="C506" s="414" t="s">
        <v>16</v>
      </c>
      <c r="D506" s="414" t="s">
        <v>3648</v>
      </c>
      <c r="E506" s="414"/>
      <c r="F506" s="414"/>
      <c r="G506" s="414"/>
      <c r="H506" s="414"/>
      <c r="I506" s="414"/>
      <c r="J506" s="414"/>
      <c r="K506" s="414"/>
      <c r="L506" s="415" t="s">
        <v>5001</v>
      </c>
      <c r="M506" s="416" t="s">
        <v>2206</v>
      </c>
      <c r="N506" s="416" t="s">
        <v>2999</v>
      </c>
      <c r="O506" s="417"/>
      <c r="P506" s="416">
        <v>4590006252</v>
      </c>
      <c r="Q506" s="418">
        <v>44836</v>
      </c>
      <c r="R506" s="419">
        <v>3</v>
      </c>
      <c r="S506" s="458">
        <v>2664.88</v>
      </c>
      <c r="T506" s="420" t="s">
        <v>2156</v>
      </c>
      <c r="U506" s="414" t="s">
        <v>4468</v>
      </c>
      <c r="V506" s="414" t="s">
        <v>4469</v>
      </c>
      <c r="W506" s="417" t="s">
        <v>4470</v>
      </c>
      <c r="X506" s="417"/>
      <c r="Y506" s="421" t="s">
        <v>3652</v>
      </c>
      <c r="Z506" s="421" t="s">
        <v>3652</v>
      </c>
      <c r="AA506" s="416"/>
      <c r="AB506" s="414" t="s">
        <v>3664</v>
      </c>
      <c r="AC506" s="422"/>
      <c r="AD506" s="421"/>
      <c r="AE506" s="420"/>
      <c r="AF506" s="421">
        <v>91240</v>
      </c>
      <c r="AG506" s="420" t="s">
        <v>5002</v>
      </c>
      <c r="AH506" s="421" t="s">
        <v>4102</v>
      </c>
      <c r="AI506" s="420" t="s">
        <v>846</v>
      </c>
      <c r="AJ506" s="413" t="str">
        <f t="shared" si="32"/>
        <v>4590006252_003</v>
      </c>
      <c r="AK506" s="423"/>
      <c r="AL506" s="413"/>
      <c r="AM506" s="221"/>
      <c r="AN506" s="424"/>
      <c r="AO506" s="423"/>
      <c r="AP506" s="413"/>
      <c r="AQ506" s="222"/>
      <c r="AR506" s="424"/>
      <c r="AS506" s="614">
        <f ca="1">表格1_6[[#This Row],[total amount]]/表格1_6[[#This Row],[PO$]]</f>
        <v>0</v>
      </c>
      <c r="AT506" s="223">
        <f ca="1">表格1_6[[#This Row],[invoice amount]]+表格1_6[[#This Row],[invoice amount2]]</f>
        <v>0</v>
      </c>
      <c r="AU506" s="224"/>
      <c r="AV506" s="423"/>
      <c r="AW506" s="423" t="e">
        <f ca="1">VLOOKUP(表格1_6[[#This Row],[TI tool ID2]],工作表1!A:A,1,FALSE)</f>
        <v>#N/A</v>
      </c>
      <c r="AX506" s="425" t="e">
        <f ca="1">VLOOKUP(表格1_6[[#This Row],[PO+ITEM]],工作表1!B:E,2,FALSE)</f>
        <v>#N/A</v>
      </c>
      <c r="AY506" s="425" t="e">
        <f ca="1">VLOOKUP(表格1_6[[#This Row],[PO+ITEM]],工作表1!B:E,3,FALSE)</f>
        <v>#N/A</v>
      </c>
      <c r="AZ506" s="423" t="e">
        <f ca="1">VLOOKUP(表格1_6[[#This Row],[PO+ITEM]],工作表1!B:E,4,FALSE)</f>
        <v>#N/A</v>
      </c>
      <c r="BA506" s="425" t="e">
        <f ca="1">INDEX(工作表1!G:G, MATCH(表格1_6[[#This Row],[invoice number]]&amp;表格1_6[[#This Row],[invoice number2]],工作表1!G:G, 0))</f>
        <v>#N/A</v>
      </c>
      <c r="BB506" s="423" t="e">
        <f ca="1">VLOOKUP(表格1_6[[#This Row],[PO+ITEM]],工作表1!F:H,2,FALSE)</f>
        <v>#N/A</v>
      </c>
    </row>
    <row r="507" spans="1:54" ht="14.45">
      <c r="A507" s="413">
        <v>506</v>
      </c>
      <c r="B507" s="413" t="s">
        <v>3674</v>
      </c>
      <c r="C507" s="414" t="s">
        <v>16</v>
      </c>
      <c r="D507" s="414" t="s">
        <v>3648</v>
      </c>
      <c r="E507" s="414"/>
      <c r="F507" s="414"/>
      <c r="G507" s="414"/>
      <c r="H507" s="414"/>
      <c r="I507" s="414"/>
      <c r="J507" s="414"/>
      <c r="K507" s="414"/>
      <c r="L507" s="415" t="s">
        <v>5003</v>
      </c>
      <c r="M507" s="416" t="s">
        <v>2206</v>
      </c>
      <c r="N507" s="416" t="s">
        <v>2999</v>
      </c>
      <c r="O507" s="417"/>
      <c r="P507" s="416">
        <v>4590006252</v>
      </c>
      <c r="Q507" s="418">
        <v>44836</v>
      </c>
      <c r="R507" s="419">
        <v>4</v>
      </c>
      <c r="S507" s="458">
        <v>2664.88</v>
      </c>
      <c r="T507" s="420" t="s">
        <v>2156</v>
      </c>
      <c r="U507" s="414" t="s">
        <v>4468</v>
      </c>
      <c r="V507" s="414" t="s">
        <v>4469</v>
      </c>
      <c r="W507" s="417" t="s">
        <v>4470</v>
      </c>
      <c r="X507" s="417"/>
      <c r="Y507" s="421" t="s">
        <v>3652</v>
      </c>
      <c r="Z507" s="421" t="s">
        <v>3652</v>
      </c>
      <c r="AA507" s="416"/>
      <c r="AB507" s="414" t="s">
        <v>3664</v>
      </c>
      <c r="AC507" s="422"/>
      <c r="AD507" s="421"/>
      <c r="AE507" s="420"/>
      <c r="AF507" s="421">
        <v>91241</v>
      </c>
      <c r="AG507" s="420" t="s">
        <v>5004</v>
      </c>
      <c r="AH507" s="421" t="s">
        <v>4102</v>
      </c>
      <c r="AI507" s="420" t="s">
        <v>846</v>
      </c>
      <c r="AJ507" s="413" t="str">
        <f t="shared" si="32"/>
        <v>4590006252_004</v>
      </c>
      <c r="AK507" s="425" t="s">
        <v>5005</v>
      </c>
      <c r="AL507" s="424">
        <v>45562</v>
      </c>
      <c r="AM507" s="221">
        <v>2664.88</v>
      </c>
      <c r="AN507" s="424"/>
      <c r="AO507" s="423"/>
      <c r="AP507" s="413"/>
      <c r="AQ507" s="222"/>
      <c r="AR507" s="424"/>
      <c r="AS507" s="614">
        <f ca="1">表格1_6[[#This Row],[total amount]]/表格1_6[[#This Row],[PO$]]</f>
        <v>1</v>
      </c>
      <c r="AT507" s="223">
        <f ca="1">表格1_6[[#This Row],[invoice amount]]+表格1_6[[#This Row],[invoice amount2]]</f>
        <v>2664.88</v>
      </c>
      <c r="AU507" s="224" t="s">
        <v>3752</v>
      </c>
      <c r="AV507" s="423"/>
      <c r="AW507" s="423" t="e">
        <f ca="1">VLOOKUP(表格1_6[[#This Row],[TI tool ID2]],工作表1!A:A,1,FALSE)</f>
        <v>#N/A</v>
      </c>
      <c r="AX507" s="425" t="str">
        <f ca="1">VLOOKUP(表格1_6[[#This Row],[PO+ITEM]],工作表1!B:E,2,FALSE)</f>
        <v>MICUINT202409063</v>
      </c>
      <c r="AY507" s="425">
        <f ca="1">VLOOKUP(表格1_6[[#This Row],[PO+ITEM]],工作表1!B:E,3,FALSE)</f>
        <v>45562</v>
      </c>
      <c r="AZ507" s="423" t="e">
        <f ca="1">VLOOKUP(表格1_6[[#This Row],[PO+ITEM]],工作表1!B:E,4,FALSE)</f>
        <v>#REF!</v>
      </c>
      <c r="BA507" s="425" t="e">
        <f ca="1">INDEX(工作表1!G:G, MATCH(表格1_6[[#This Row],[invoice number]]&amp;表格1_6[[#This Row],[invoice number2]],工作表1!G:G, 0))</f>
        <v>#N/A</v>
      </c>
      <c r="BB507" s="423" t="e">
        <f ca="1">VLOOKUP(表格1_6[[#This Row],[PO+ITEM]],工作表1!F:H,2,FALSE)</f>
        <v>#N/A</v>
      </c>
    </row>
    <row r="508" spans="1:54" ht="14.45">
      <c r="A508" s="413">
        <v>507</v>
      </c>
      <c r="B508" s="413" t="s">
        <v>3674</v>
      </c>
      <c r="C508" s="414" t="s">
        <v>16</v>
      </c>
      <c r="D508" s="414" t="s">
        <v>3648</v>
      </c>
      <c r="E508" s="414"/>
      <c r="F508" s="414"/>
      <c r="G508" s="414"/>
      <c r="H508" s="414"/>
      <c r="I508" s="414"/>
      <c r="J508" s="414"/>
      <c r="K508" s="414"/>
      <c r="L508" s="415" t="s">
        <v>5006</v>
      </c>
      <c r="M508" s="416" t="s">
        <v>2206</v>
      </c>
      <c r="N508" s="416" t="s">
        <v>2999</v>
      </c>
      <c r="O508" s="417"/>
      <c r="P508" s="416">
        <v>4590006252</v>
      </c>
      <c r="Q508" s="418">
        <v>44836</v>
      </c>
      <c r="R508" s="419">
        <v>5</v>
      </c>
      <c r="S508" s="458">
        <v>2664.88</v>
      </c>
      <c r="T508" s="420" t="s">
        <v>2156</v>
      </c>
      <c r="U508" s="414" t="s">
        <v>4468</v>
      </c>
      <c r="V508" s="414" t="s">
        <v>4469</v>
      </c>
      <c r="W508" s="417" t="s">
        <v>4470</v>
      </c>
      <c r="X508" s="417"/>
      <c r="Y508" s="421" t="s">
        <v>3652</v>
      </c>
      <c r="Z508" s="421" t="s">
        <v>3652</v>
      </c>
      <c r="AA508" s="416"/>
      <c r="AB508" s="414" t="s">
        <v>3664</v>
      </c>
      <c r="AC508" s="422"/>
      <c r="AD508" s="421"/>
      <c r="AE508" s="420"/>
      <c r="AF508" s="421">
        <v>91242</v>
      </c>
      <c r="AG508" s="420" t="s">
        <v>5007</v>
      </c>
      <c r="AH508" s="421" t="s">
        <v>4102</v>
      </c>
      <c r="AI508" s="420" t="s">
        <v>846</v>
      </c>
      <c r="AJ508" s="413" t="str">
        <f t="shared" si="32"/>
        <v>4590006252_005</v>
      </c>
      <c r="AK508" s="423"/>
      <c r="AL508" s="413"/>
      <c r="AM508" s="221"/>
      <c r="AN508" s="424"/>
      <c r="AO508" s="423"/>
      <c r="AP508" s="413"/>
      <c r="AQ508" s="222"/>
      <c r="AR508" s="424"/>
      <c r="AS508" s="614">
        <f ca="1">表格1_6[[#This Row],[total amount]]/表格1_6[[#This Row],[PO$]]</f>
        <v>0</v>
      </c>
      <c r="AT508" s="223">
        <f ca="1">表格1_6[[#This Row],[invoice amount]]+表格1_6[[#This Row],[invoice amount2]]</f>
        <v>0</v>
      </c>
      <c r="AU508" s="224"/>
      <c r="AV508" s="423"/>
      <c r="AW508" s="423" t="e">
        <f ca="1">VLOOKUP(表格1_6[[#This Row],[TI tool ID2]],工作表1!A:A,1,FALSE)</f>
        <v>#N/A</v>
      </c>
      <c r="AX508" s="425" t="e">
        <f ca="1">VLOOKUP(表格1_6[[#This Row],[PO+ITEM]],工作表1!B:E,2,FALSE)</f>
        <v>#N/A</v>
      </c>
      <c r="AY508" s="425" t="e">
        <f ca="1">VLOOKUP(表格1_6[[#This Row],[PO+ITEM]],工作表1!B:E,3,FALSE)</f>
        <v>#N/A</v>
      </c>
      <c r="AZ508" s="423" t="e">
        <f ca="1">VLOOKUP(表格1_6[[#This Row],[PO+ITEM]],工作表1!B:E,4,FALSE)</f>
        <v>#N/A</v>
      </c>
      <c r="BA508" s="425" t="e">
        <f ca="1">INDEX(工作表1!G:G, MATCH(表格1_6[[#This Row],[invoice number]]&amp;表格1_6[[#This Row],[invoice number2]],工作表1!G:G, 0))</f>
        <v>#N/A</v>
      </c>
      <c r="BB508" s="423" t="e">
        <f ca="1">VLOOKUP(表格1_6[[#This Row],[PO+ITEM]],工作表1!F:H,2,FALSE)</f>
        <v>#N/A</v>
      </c>
    </row>
    <row r="509" spans="1:54" ht="14.45">
      <c r="A509" s="413">
        <v>508</v>
      </c>
      <c r="B509" s="413" t="s">
        <v>3659</v>
      </c>
      <c r="C509" s="414" t="s">
        <v>16</v>
      </c>
      <c r="D509" s="414" t="s">
        <v>3648</v>
      </c>
      <c r="E509" s="414"/>
      <c r="F509" s="414"/>
      <c r="G509" s="414"/>
      <c r="H509" s="414"/>
      <c r="I509" s="414"/>
      <c r="J509" s="414"/>
      <c r="K509" s="414"/>
      <c r="L509" s="415" t="s">
        <v>5008</v>
      </c>
      <c r="M509" s="416" t="s">
        <v>2206</v>
      </c>
      <c r="N509" s="416" t="s">
        <v>2999</v>
      </c>
      <c r="O509" s="417"/>
      <c r="P509" s="416">
        <v>4590006252</v>
      </c>
      <c r="Q509" s="418">
        <v>44836</v>
      </c>
      <c r="R509" s="419">
        <v>6</v>
      </c>
      <c r="S509" s="458">
        <v>2664.88</v>
      </c>
      <c r="T509" s="420" t="s">
        <v>2156</v>
      </c>
      <c r="U509" s="414" t="s">
        <v>4468</v>
      </c>
      <c r="V509" s="414" t="s">
        <v>4469</v>
      </c>
      <c r="W509" s="417" t="s">
        <v>4470</v>
      </c>
      <c r="X509" s="417"/>
      <c r="Y509" s="421" t="s">
        <v>3652</v>
      </c>
      <c r="Z509" s="421" t="s">
        <v>3652</v>
      </c>
      <c r="AA509" s="416"/>
      <c r="AB509" s="414" t="s">
        <v>3664</v>
      </c>
      <c r="AC509" s="422"/>
      <c r="AD509" s="421"/>
      <c r="AE509" s="420"/>
      <c r="AF509" s="421">
        <v>91243</v>
      </c>
      <c r="AG509" s="420" t="s">
        <v>5009</v>
      </c>
      <c r="AH509" s="421" t="s">
        <v>4102</v>
      </c>
      <c r="AI509" s="420" t="s">
        <v>846</v>
      </c>
      <c r="AJ509" s="413" t="str">
        <f t="shared" si="32"/>
        <v>4590006252_006</v>
      </c>
      <c r="AK509" s="423"/>
      <c r="AL509" s="413"/>
      <c r="AM509" s="221"/>
      <c r="AN509" s="424"/>
      <c r="AO509" s="423"/>
      <c r="AP509" s="413"/>
      <c r="AQ509" s="222"/>
      <c r="AR509" s="424"/>
      <c r="AS509" s="614">
        <f ca="1">表格1_6[[#This Row],[total amount]]/表格1_6[[#This Row],[PO$]]</f>
        <v>0</v>
      </c>
      <c r="AT509" s="223">
        <f ca="1">表格1_6[[#This Row],[invoice amount]]+表格1_6[[#This Row],[invoice amount2]]</f>
        <v>0</v>
      </c>
      <c r="AU509" s="224"/>
      <c r="AV509" s="423"/>
      <c r="AW509" s="423" t="e">
        <f ca="1">VLOOKUP(表格1_6[[#This Row],[TI tool ID2]],工作表1!A:A,1,FALSE)</f>
        <v>#N/A</v>
      </c>
      <c r="AX509" s="425" t="e">
        <f ca="1">VLOOKUP(表格1_6[[#This Row],[PO+ITEM]],工作表1!B:E,2,FALSE)</f>
        <v>#N/A</v>
      </c>
      <c r="AY509" s="425" t="e">
        <f ca="1">VLOOKUP(表格1_6[[#This Row],[PO+ITEM]],工作表1!B:E,3,FALSE)</f>
        <v>#N/A</v>
      </c>
      <c r="AZ509" s="423" t="e">
        <f ca="1">VLOOKUP(表格1_6[[#This Row],[PO+ITEM]],工作表1!B:E,4,FALSE)</f>
        <v>#N/A</v>
      </c>
      <c r="BA509" s="425" t="e">
        <f ca="1">INDEX(工作表1!G:G, MATCH(表格1_6[[#This Row],[invoice number]]&amp;表格1_6[[#This Row],[invoice number2]],工作表1!G:G, 0))</f>
        <v>#N/A</v>
      </c>
      <c r="BB509" s="423" t="e">
        <f ca="1">VLOOKUP(表格1_6[[#This Row],[PO+ITEM]],工作表1!F:H,2,FALSE)</f>
        <v>#N/A</v>
      </c>
    </row>
    <row r="510" spans="1:54" ht="14.45">
      <c r="A510" s="413">
        <v>509</v>
      </c>
      <c r="B510" s="413" t="s">
        <v>3674</v>
      </c>
      <c r="C510" s="414" t="s">
        <v>16</v>
      </c>
      <c r="D510" s="414" t="s">
        <v>3648</v>
      </c>
      <c r="E510" s="414"/>
      <c r="F510" s="414"/>
      <c r="G510" s="414"/>
      <c r="H510" s="414"/>
      <c r="I510" s="414"/>
      <c r="J510" s="414"/>
      <c r="K510" s="414"/>
      <c r="L510" s="415" t="s">
        <v>5010</v>
      </c>
      <c r="M510" s="416" t="s">
        <v>2206</v>
      </c>
      <c r="N510" s="416" t="s">
        <v>2999</v>
      </c>
      <c r="O510" s="417"/>
      <c r="P510" s="416">
        <v>4590006252</v>
      </c>
      <c r="Q510" s="418">
        <v>44836</v>
      </c>
      <c r="R510" s="419">
        <v>7</v>
      </c>
      <c r="S510" s="458">
        <v>2664.88</v>
      </c>
      <c r="T510" s="420" t="s">
        <v>2156</v>
      </c>
      <c r="U510" s="414" t="s">
        <v>4468</v>
      </c>
      <c r="V510" s="414" t="s">
        <v>4469</v>
      </c>
      <c r="W510" s="417" t="s">
        <v>4470</v>
      </c>
      <c r="X510" s="417"/>
      <c r="Y510" s="421" t="s">
        <v>3652</v>
      </c>
      <c r="Z510" s="421" t="s">
        <v>3652</v>
      </c>
      <c r="AA510" s="416"/>
      <c r="AB510" s="414" t="s">
        <v>3664</v>
      </c>
      <c r="AC510" s="422"/>
      <c r="AD510" s="421"/>
      <c r="AE510" s="420"/>
      <c r="AF510" s="421">
        <v>91244</v>
      </c>
      <c r="AG510" s="420" t="s">
        <v>5011</v>
      </c>
      <c r="AH510" s="421" t="s">
        <v>4102</v>
      </c>
      <c r="AI510" s="420" t="s">
        <v>846</v>
      </c>
      <c r="AJ510" s="413" t="str">
        <f t="shared" si="32"/>
        <v>4590006252_007</v>
      </c>
      <c r="AK510" s="423"/>
      <c r="AL510" s="413"/>
      <c r="AM510" s="221"/>
      <c r="AN510" s="424"/>
      <c r="AO510" s="423"/>
      <c r="AP510" s="413"/>
      <c r="AQ510" s="222"/>
      <c r="AR510" s="424"/>
      <c r="AS510" s="614">
        <f ca="1">表格1_6[[#This Row],[total amount]]/表格1_6[[#This Row],[PO$]]</f>
        <v>0</v>
      </c>
      <c r="AT510" s="223">
        <f ca="1">表格1_6[[#This Row],[invoice amount]]+表格1_6[[#This Row],[invoice amount2]]</f>
        <v>0</v>
      </c>
      <c r="AU510" s="224"/>
      <c r="AV510" s="423"/>
      <c r="AW510" s="423" t="e">
        <f ca="1">VLOOKUP(表格1_6[[#This Row],[TI tool ID2]],工作表1!A:A,1,FALSE)</f>
        <v>#N/A</v>
      </c>
      <c r="AX510" s="425" t="e">
        <f ca="1">VLOOKUP(表格1_6[[#This Row],[PO+ITEM]],工作表1!B:E,2,FALSE)</f>
        <v>#N/A</v>
      </c>
      <c r="AY510" s="425" t="e">
        <f ca="1">VLOOKUP(表格1_6[[#This Row],[PO+ITEM]],工作表1!B:E,3,FALSE)</f>
        <v>#N/A</v>
      </c>
      <c r="AZ510" s="423" t="e">
        <f ca="1">VLOOKUP(表格1_6[[#This Row],[PO+ITEM]],工作表1!B:E,4,FALSE)</f>
        <v>#N/A</v>
      </c>
      <c r="BA510" s="425" t="e">
        <f ca="1">INDEX(工作表1!G:G, MATCH(表格1_6[[#This Row],[invoice number]]&amp;表格1_6[[#This Row],[invoice number2]],工作表1!G:G, 0))</f>
        <v>#N/A</v>
      </c>
      <c r="BB510" s="423" t="e">
        <f ca="1">VLOOKUP(表格1_6[[#This Row],[PO+ITEM]],工作表1!F:H,2,FALSE)</f>
        <v>#N/A</v>
      </c>
    </row>
    <row r="511" spans="1:54" ht="15.6">
      <c r="A511" s="413">
        <v>510</v>
      </c>
      <c r="B511" s="413" t="s">
        <v>3659</v>
      </c>
      <c r="C511" s="414" t="s">
        <v>16</v>
      </c>
      <c r="D511" s="414" t="s">
        <v>3648</v>
      </c>
      <c r="E511" s="414"/>
      <c r="F511" s="414"/>
      <c r="G511" s="414"/>
      <c r="H511" s="414"/>
      <c r="I511" s="414"/>
      <c r="J511" s="414"/>
      <c r="K511" s="414"/>
      <c r="L511" s="415" t="s">
        <v>5012</v>
      </c>
      <c r="M511" s="416" t="s">
        <v>2206</v>
      </c>
      <c r="N511" s="416" t="s">
        <v>2999</v>
      </c>
      <c r="O511" s="417"/>
      <c r="P511" s="416">
        <v>4590006254</v>
      </c>
      <c r="Q511" s="418">
        <v>44836</v>
      </c>
      <c r="R511" s="419">
        <v>1</v>
      </c>
      <c r="S511" s="458">
        <v>1369.77</v>
      </c>
      <c r="T511" s="420" t="s">
        <v>2156</v>
      </c>
      <c r="U511" s="414" t="s">
        <v>3661</v>
      </c>
      <c r="V511" s="414" t="s">
        <v>3662</v>
      </c>
      <c r="W511" s="417" t="s">
        <v>3663</v>
      </c>
      <c r="X511" s="417"/>
      <c r="Y511" s="421" t="s">
        <v>3652</v>
      </c>
      <c r="Z511" s="421" t="s">
        <v>3652</v>
      </c>
      <c r="AA511" s="416" t="s">
        <v>4482</v>
      </c>
      <c r="AB511" s="414" t="s">
        <v>3664</v>
      </c>
      <c r="AC511" s="422"/>
      <c r="AD511" s="421"/>
      <c r="AE511" s="420"/>
      <c r="AF511" s="421">
        <v>91416</v>
      </c>
      <c r="AG511" s="420" t="s">
        <v>5013</v>
      </c>
      <c r="AH511" s="421" t="s">
        <v>3665</v>
      </c>
      <c r="AI511" s="420" t="s">
        <v>846</v>
      </c>
      <c r="AJ511" s="413" t="str">
        <f t="shared" si="32"/>
        <v>4590006254_001</v>
      </c>
      <c r="AK511" s="423"/>
      <c r="AL511" s="424">
        <v>45108</v>
      </c>
      <c r="AM511" s="221">
        <v>547.90800000000002</v>
      </c>
      <c r="AN511" s="244">
        <v>45229</v>
      </c>
      <c r="AO511" s="423"/>
      <c r="AP511" s="413"/>
      <c r="AQ511" s="222"/>
      <c r="AR511" s="424"/>
      <c r="AS511" s="614">
        <f ca="1">表格1_6[[#This Row],[total amount]]/表格1_6[[#This Row],[PO$]]</f>
        <v>0.4</v>
      </c>
      <c r="AT511" s="223">
        <f ca="1">表格1_6[[#This Row],[invoice amount]]+表格1_6[[#This Row],[invoice amount2]]</f>
        <v>547.90800000000002</v>
      </c>
      <c r="AU511" s="224" t="s">
        <v>3673</v>
      </c>
      <c r="AV511" s="423"/>
      <c r="AW511" s="423" t="e">
        <f ca="1">VLOOKUP(表格1_6[[#This Row],[TI tool ID2]],工作表1!A:A,1,FALSE)</f>
        <v>#N/A</v>
      </c>
      <c r="AX511" s="425" t="e">
        <f ca="1">VLOOKUP(表格1_6[[#This Row],[PO+ITEM]],工作表1!B:E,2,FALSE)</f>
        <v>#N/A</v>
      </c>
      <c r="AY511" s="425" t="e">
        <f ca="1">VLOOKUP(表格1_6[[#This Row],[PO+ITEM]],工作表1!B:E,3,FALSE)</f>
        <v>#N/A</v>
      </c>
      <c r="AZ511" s="423" t="e">
        <f ca="1">VLOOKUP(表格1_6[[#This Row],[PO+ITEM]],工作表1!B:E,4,FALSE)</f>
        <v>#N/A</v>
      </c>
      <c r="BA511" s="425" t="e">
        <f ca="1">INDEX(工作表1!G:G, MATCH(表格1_6[[#This Row],[invoice number]]&amp;表格1_6[[#This Row],[invoice number2]],工作表1!G:G, 0))</f>
        <v>#N/A</v>
      </c>
      <c r="BB511" s="423" t="e">
        <f ca="1">VLOOKUP(表格1_6[[#This Row],[PO+ITEM]],工作表1!F:H,2,FALSE)</f>
        <v>#N/A</v>
      </c>
    </row>
    <row r="512" spans="1:54" ht="15.6">
      <c r="A512" s="413">
        <v>511</v>
      </c>
      <c r="B512" s="413" t="s">
        <v>3659</v>
      </c>
      <c r="C512" s="414" t="s">
        <v>16</v>
      </c>
      <c r="D512" s="414" t="s">
        <v>3648</v>
      </c>
      <c r="E512" s="414"/>
      <c r="F512" s="414"/>
      <c r="G512" s="414"/>
      <c r="H512" s="414"/>
      <c r="I512" s="414"/>
      <c r="J512" s="414"/>
      <c r="K512" s="414"/>
      <c r="L512" s="415" t="s">
        <v>5014</v>
      </c>
      <c r="M512" s="416" t="s">
        <v>2999</v>
      </c>
      <c r="N512" s="416" t="s">
        <v>2999</v>
      </c>
      <c r="O512" s="417"/>
      <c r="P512" s="416">
        <v>4590006254</v>
      </c>
      <c r="Q512" s="418">
        <v>44836</v>
      </c>
      <c r="R512" s="419">
        <v>2</v>
      </c>
      <c r="S512" s="458">
        <v>3908.12</v>
      </c>
      <c r="T512" s="420" t="s">
        <v>2156</v>
      </c>
      <c r="U512" s="414" t="s">
        <v>3661</v>
      </c>
      <c r="V512" s="414" t="s">
        <v>3662</v>
      </c>
      <c r="W512" s="417" t="s">
        <v>3663</v>
      </c>
      <c r="X512" s="417"/>
      <c r="Y512" s="421" t="s">
        <v>3652</v>
      </c>
      <c r="Z512" s="421" t="s">
        <v>3652</v>
      </c>
      <c r="AA512" s="416" t="s">
        <v>4482</v>
      </c>
      <c r="AB512" s="414" t="s">
        <v>3664</v>
      </c>
      <c r="AC512" s="422"/>
      <c r="AD512" s="421"/>
      <c r="AE512" s="420"/>
      <c r="AF512" s="421">
        <v>91417</v>
      </c>
      <c r="AG512" s="420" t="s">
        <v>5015</v>
      </c>
      <c r="AH512" s="421" t="s">
        <v>3665</v>
      </c>
      <c r="AI512" s="420" t="s">
        <v>3719</v>
      </c>
      <c r="AJ512" s="413" t="str">
        <f t="shared" si="32"/>
        <v>4590006254_002</v>
      </c>
      <c r="AK512" s="423"/>
      <c r="AL512" s="424">
        <v>45108</v>
      </c>
      <c r="AM512" s="221">
        <v>1563.248</v>
      </c>
      <c r="AN512" s="244">
        <v>45229</v>
      </c>
      <c r="AO512" s="423"/>
      <c r="AP512" s="413"/>
      <c r="AQ512" s="222"/>
      <c r="AR512" s="424"/>
      <c r="AS512" s="614">
        <f ca="1">表格1_6[[#This Row],[total amount]]/表格1_6[[#This Row],[PO$]]</f>
        <v>0.4</v>
      </c>
      <c r="AT512" s="223">
        <f ca="1">表格1_6[[#This Row],[invoice amount]]+表格1_6[[#This Row],[invoice amount2]]</f>
        <v>1563.248</v>
      </c>
      <c r="AU512" s="224" t="s">
        <v>3673</v>
      </c>
      <c r="AV512" s="423"/>
      <c r="AW512" s="423" t="e">
        <f ca="1">VLOOKUP(表格1_6[[#This Row],[TI tool ID2]],工作表1!A:A,1,FALSE)</f>
        <v>#N/A</v>
      </c>
      <c r="AX512" s="425" t="e">
        <f ca="1">VLOOKUP(表格1_6[[#This Row],[PO+ITEM]],工作表1!B:E,2,FALSE)</f>
        <v>#N/A</v>
      </c>
      <c r="AY512" s="425" t="e">
        <f ca="1">VLOOKUP(表格1_6[[#This Row],[PO+ITEM]],工作表1!B:E,3,FALSE)</f>
        <v>#N/A</v>
      </c>
      <c r="AZ512" s="423" t="e">
        <f ca="1">VLOOKUP(表格1_6[[#This Row],[PO+ITEM]],工作表1!B:E,4,FALSE)</f>
        <v>#N/A</v>
      </c>
      <c r="BA512" s="425" t="e">
        <f ca="1">INDEX(工作表1!G:G, MATCH(表格1_6[[#This Row],[invoice number]]&amp;表格1_6[[#This Row],[invoice number2]],工作表1!G:G, 0))</f>
        <v>#N/A</v>
      </c>
      <c r="BB512" s="423" t="e">
        <f ca="1">VLOOKUP(表格1_6[[#This Row],[PO+ITEM]],工作表1!F:H,2,FALSE)</f>
        <v>#N/A</v>
      </c>
    </row>
    <row r="513" spans="1:54" ht="15.6">
      <c r="A513" s="413">
        <v>512</v>
      </c>
      <c r="B513" s="413" t="s">
        <v>3659</v>
      </c>
      <c r="C513" s="414" t="s">
        <v>16</v>
      </c>
      <c r="D513" s="414" t="s">
        <v>3648</v>
      </c>
      <c r="E513" s="414"/>
      <c r="F513" s="414"/>
      <c r="G513" s="414"/>
      <c r="H513" s="414"/>
      <c r="I513" s="414"/>
      <c r="J513" s="414"/>
      <c r="K513" s="414"/>
      <c r="L513" s="415" t="s">
        <v>5016</v>
      </c>
      <c r="M513" s="416" t="s">
        <v>2999</v>
      </c>
      <c r="N513" s="416" t="s">
        <v>2999</v>
      </c>
      <c r="O513" s="417"/>
      <c r="P513" s="416">
        <v>4590006254</v>
      </c>
      <c r="Q513" s="418">
        <v>44836</v>
      </c>
      <c r="R513" s="419">
        <v>3</v>
      </c>
      <c r="S513" s="458">
        <v>3908.12</v>
      </c>
      <c r="T513" s="420" t="s">
        <v>2156</v>
      </c>
      <c r="U513" s="414" t="s">
        <v>3661</v>
      </c>
      <c r="V513" s="414" t="s">
        <v>3662</v>
      </c>
      <c r="W513" s="417" t="s">
        <v>3663</v>
      </c>
      <c r="X513" s="417"/>
      <c r="Y513" s="421" t="s">
        <v>3652</v>
      </c>
      <c r="Z513" s="421" t="s">
        <v>3652</v>
      </c>
      <c r="AA513" s="416" t="s">
        <v>4482</v>
      </c>
      <c r="AB513" s="414" t="s">
        <v>3664</v>
      </c>
      <c r="AC513" s="422"/>
      <c r="AD513" s="421"/>
      <c r="AE513" s="420"/>
      <c r="AF513" s="421">
        <v>91418</v>
      </c>
      <c r="AG513" s="420" t="s">
        <v>5017</v>
      </c>
      <c r="AH513" s="421" t="s">
        <v>3665</v>
      </c>
      <c r="AI513" s="420" t="s">
        <v>3719</v>
      </c>
      <c r="AJ513" s="413" t="str">
        <f t="shared" si="32"/>
        <v>4590006254_003</v>
      </c>
      <c r="AK513" s="423"/>
      <c r="AL513" s="424">
        <v>45108</v>
      </c>
      <c r="AM513" s="221">
        <v>1563.248</v>
      </c>
      <c r="AN513" s="258">
        <v>45275</v>
      </c>
      <c r="AO513" s="423"/>
      <c r="AP513" s="413"/>
      <c r="AQ513" s="222"/>
      <c r="AR513" s="424"/>
      <c r="AS513" s="614">
        <f ca="1">表格1_6[[#This Row],[total amount]]/表格1_6[[#This Row],[PO$]]</f>
        <v>0.4</v>
      </c>
      <c r="AT513" s="223">
        <f ca="1">表格1_6[[#This Row],[invoice amount]]+表格1_6[[#This Row],[invoice amount2]]</f>
        <v>1563.248</v>
      </c>
      <c r="AU513" s="224" t="s">
        <v>3673</v>
      </c>
      <c r="AV513" s="423"/>
      <c r="AW513" s="423" t="e">
        <f ca="1">VLOOKUP(表格1_6[[#This Row],[TI tool ID2]],工作表1!A:A,1,FALSE)</f>
        <v>#N/A</v>
      </c>
      <c r="AX513" s="425" t="e">
        <f ca="1">VLOOKUP(表格1_6[[#This Row],[PO+ITEM]],工作表1!B:E,2,FALSE)</f>
        <v>#N/A</v>
      </c>
      <c r="AY513" s="425" t="e">
        <f ca="1">VLOOKUP(表格1_6[[#This Row],[PO+ITEM]],工作表1!B:E,3,FALSE)</f>
        <v>#N/A</v>
      </c>
      <c r="AZ513" s="423" t="e">
        <f ca="1">VLOOKUP(表格1_6[[#This Row],[PO+ITEM]],工作表1!B:E,4,FALSE)</f>
        <v>#N/A</v>
      </c>
      <c r="BA513" s="425" t="e">
        <f ca="1">INDEX(工作表1!G:G, MATCH(表格1_6[[#This Row],[invoice number]]&amp;表格1_6[[#This Row],[invoice number2]],工作表1!G:G, 0))</f>
        <v>#N/A</v>
      </c>
      <c r="BB513" s="423" t="e">
        <f ca="1">VLOOKUP(表格1_6[[#This Row],[PO+ITEM]],工作表1!F:H,2,FALSE)</f>
        <v>#N/A</v>
      </c>
    </row>
    <row r="514" spans="1:54" ht="15.6">
      <c r="A514" s="413">
        <v>513</v>
      </c>
      <c r="B514" s="413" t="s">
        <v>3659</v>
      </c>
      <c r="C514" s="414" t="s">
        <v>16</v>
      </c>
      <c r="D514" s="414" t="s">
        <v>3648</v>
      </c>
      <c r="E514" s="414"/>
      <c r="F514" s="414"/>
      <c r="G514" s="414"/>
      <c r="H514" s="414"/>
      <c r="I514" s="414"/>
      <c r="J514" s="414"/>
      <c r="K514" s="414"/>
      <c r="L514" s="420" t="s">
        <v>5018</v>
      </c>
      <c r="M514" s="416" t="s">
        <v>2999</v>
      </c>
      <c r="N514" s="416" t="s">
        <v>2999</v>
      </c>
      <c r="O514" s="417"/>
      <c r="P514" s="416">
        <v>4590006254</v>
      </c>
      <c r="Q514" s="418">
        <v>44836</v>
      </c>
      <c r="R514" s="419">
        <v>4</v>
      </c>
      <c r="S514" s="458">
        <v>3908.12</v>
      </c>
      <c r="T514" s="420" t="s">
        <v>2156</v>
      </c>
      <c r="U514" s="414" t="s">
        <v>3661</v>
      </c>
      <c r="V514" s="414" t="s">
        <v>3662</v>
      </c>
      <c r="W514" s="417" t="s">
        <v>3663</v>
      </c>
      <c r="X514" s="417"/>
      <c r="Y514" s="421" t="s">
        <v>3652</v>
      </c>
      <c r="Z514" s="421" t="s">
        <v>3652</v>
      </c>
      <c r="AA514" s="416" t="s">
        <v>4482</v>
      </c>
      <c r="AB514" s="414" t="s">
        <v>3664</v>
      </c>
      <c r="AC514" s="422"/>
      <c r="AD514" s="421"/>
      <c r="AE514" s="420"/>
      <c r="AF514" s="421">
        <v>91419</v>
      </c>
      <c r="AG514" s="420" t="s">
        <v>5019</v>
      </c>
      <c r="AH514" s="421" t="s">
        <v>3665</v>
      </c>
      <c r="AI514" s="420" t="s">
        <v>3719</v>
      </c>
      <c r="AJ514" s="413" t="str">
        <f t="shared" si="32"/>
        <v>4590006254_004</v>
      </c>
      <c r="AK514" s="423"/>
      <c r="AL514" s="424">
        <v>45108</v>
      </c>
      <c r="AM514" s="221">
        <v>1563.248</v>
      </c>
      <c r="AN514" s="244">
        <v>45229</v>
      </c>
      <c r="AO514" s="423"/>
      <c r="AP514" s="413"/>
      <c r="AQ514" s="222"/>
      <c r="AR514" s="424"/>
      <c r="AS514" s="614">
        <f ca="1">表格1_6[[#This Row],[total amount]]/表格1_6[[#This Row],[PO$]]</f>
        <v>0.4</v>
      </c>
      <c r="AT514" s="223">
        <f ca="1">表格1_6[[#This Row],[invoice amount]]+表格1_6[[#This Row],[invoice amount2]]</f>
        <v>1563.248</v>
      </c>
      <c r="AU514" s="224" t="s">
        <v>3673</v>
      </c>
      <c r="AV514" s="423"/>
      <c r="AW514" s="423" t="e">
        <f ca="1">VLOOKUP(表格1_6[[#This Row],[TI tool ID2]],工作表1!A:A,1,FALSE)</f>
        <v>#N/A</v>
      </c>
      <c r="AX514" s="425" t="e">
        <f ca="1">VLOOKUP(表格1_6[[#This Row],[PO+ITEM]],工作表1!B:E,2,FALSE)</f>
        <v>#N/A</v>
      </c>
      <c r="AY514" s="425" t="e">
        <f ca="1">VLOOKUP(表格1_6[[#This Row],[PO+ITEM]],工作表1!B:E,3,FALSE)</f>
        <v>#N/A</v>
      </c>
      <c r="AZ514" s="423" t="e">
        <f ca="1">VLOOKUP(表格1_6[[#This Row],[PO+ITEM]],工作表1!B:E,4,FALSE)</f>
        <v>#N/A</v>
      </c>
      <c r="BA514" s="425" t="e">
        <f ca="1">INDEX(工作表1!G:G, MATCH(表格1_6[[#This Row],[invoice number]]&amp;表格1_6[[#This Row],[invoice number2]],工作表1!G:G, 0))</f>
        <v>#N/A</v>
      </c>
      <c r="BB514" s="423" t="e">
        <f ca="1">VLOOKUP(表格1_6[[#This Row],[PO+ITEM]],工作表1!F:H,2,FALSE)</f>
        <v>#N/A</v>
      </c>
    </row>
    <row r="515" spans="1:54" ht="15.6">
      <c r="A515" s="413">
        <v>514</v>
      </c>
      <c r="B515" s="413" t="s">
        <v>3659</v>
      </c>
      <c r="C515" s="414" t="s">
        <v>16</v>
      </c>
      <c r="D515" s="414" t="s">
        <v>3648</v>
      </c>
      <c r="E515" s="414"/>
      <c r="F515" s="414"/>
      <c r="G515" s="414"/>
      <c r="H515" s="414"/>
      <c r="I515" s="414"/>
      <c r="J515" s="414"/>
      <c r="K515" s="414"/>
      <c r="L515" s="415" t="s">
        <v>5020</v>
      </c>
      <c r="M515" s="416" t="s">
        <v>2999</v>
      </c>
      <c r="N515" s="416" t="s">
        <v>2999</v>
      </c>
      <c r="O515" s="417"/>
      <c r="P515" s="416">
        <v>4590006254</v>
      </c>
      <c r="Q515" s="418">
        <v>44836</v>
      </c>
      <c r="R515" s="419">
        <v>5</v>
      </c>
      <c r="S515" s="458">
        <v>3908.12</v>
      </c>
      <c r="T515" s="420" t="s">
        <v>2156</v>
      </c>
      <c r="U515" s="414" t="s">
        <v>3661</v>
      </c>
      <c r="V515" s="414" t="s">
        <v>3662</v>
      </c>
      <c r="W515" s="417" t="s">
        <v>3663</v>
      </c>
      <c r="X515" s="417"/>
      <c r="Y515" s="421" t="s">
        <v>3652</v>
      </c>
      <c r="Z515" s="421" t="s">
        <v>3652</v>
      </c>
      <c r="AA515" s="416" t="s">
        <v>4482</v>
      </c>
      <c r="AB515" s="414" t="s">
        <v>3664</v>
      </c>
      <c r="AC515" s="422"/>
      <c r="AD515" s="421"/>
      <c r="AE515" s="420"/>
      <c r="AF515" s="421">
        <v>91422</v>
      </c>
      <c r="AG515" s="420" t="s">
        <v>5021</v>
      </c>
      <c r="AH515" s="421" t="s">
        <v>3665</v>
      </c>
      <c r="AI515" s="420" t="s">
        <v>3719</v>
      </c>
      <c r="AJ515" s="413" t="str">
        <f t="shared" si="32"/>
        <v>4590006254_005</v>
      </c>
      <c r="AK515" s="423"/>
      <c r="AL515" s="424">
        <v>45108</v>
      </c>
      <c r="AM515" s="221">
        <v>1563.248</v>
      </c>
      <c r="AN515" s="244">
        <v>45229</v>
      </c>
      <c r="AO515" s="423"/>
      <c r="AP515" s="413"/>
      <c r="AQ515" s="222"/>
      <c r="AR515" s="424"/>
      <c r="AS515" s="614">
        <f ca="1">表格1_6[[#This Row],[total amount]]/表格1_6[[#This Row],[PO$]]</f>
        <v>0.4</v>
      </c>
      <c r="AT515" s="223">
        <f ca="1">表格1_6[[#This Row],[invoice amount]]+表格1_6[[#This Row],[invoice amount2]]</f>
        <v>1563.248</v>
      </c>
      <c r="AU515" s="224" t="s">
        <v>3673</v>
      </c>
      <c r="AV515" s="423"/>
      <c r="AW515" s="423" t="e">
        <f ca="1">VLOOKUP(表格1_6[[#This Row],[TI tool ID2]],工作表1!A:A,1,FALSE)</f>
        <v>#N/A</v>
      </c>
      <c r="AX515" s="425" t="e">
        <f ca="1">VLOOKUP(表格1_6[[#This Row],[PO+ITEM]],工作表1!B:E,2,FALSE)</f>
        <v>#N/A</v>
      </c>
      <c r="AY515" s="425" t="e">
        <f ca="1">VLOOKUP(表格1_6[[#This Row],[PO+ITEM]],工作表1!B:E,3,FALSE)</f>
        <v>#N/A</v>
      </c>
      <c r="AZ515" s="423" t="e">
        <f ca="1">VLOOKUP(表格1_6[[#This Row],[PO+ITEM]],工作表1!B:E,4,FALSE)</f>
        <v>#N/A</v>
      </c>
      <c r="BA515" s="425" t="e">
        <f ca="1">INDEX(工作表1!G:G, MATCH(表格1_6[[#This Row],[invoice number]]&amp;表格1_6[[#This Row],[invoice number2]],工作表1!G:G, 0))</f>
        <v>#N/A</v>
      </c>
      <c r="BB515" s="423" t="e">
        <f ca="1">VLOOKUP(表格1_6[[#This Row],[PO+ITEM]],工作表1!F:H,2,FALSE)</f>
        <v>#N/A</v>
      </c>
    </row>
    <row r="516" spans="1:54" ht="15.6">
      <c r="A516" s="413">
        <v>515</v>
      </c>
      <c r="B516" s="413"/>
      <c r="C516" s="414" t="s">
        <v>16</v>
      </c>
      <c r="D516" s="414" t="s">
        <v>3648</v>
      </c>
      <c r="E516" s="414"/>
      <c r="F516" s="414"/>
      <c r="G516" s="414"/>
      <c r="H516" s="414"/>
      <c r="I516" s="414"/>
      <c r="J516" s="414"/>
      <c r="K516" s="414"/>
      <c r="L516" s="415" t="s">
        <v>5022</v>
      </c>
      <c r="M516" s="416" t="s">
        <v>2999</v>
      </c>
      <c r="N516" s="416" t="s">
        <v>2999</v>
      </c>
      <c r="O516" s="417"/>
      <c r="P516" s="416">
        <v>4590006254</v>
      </c>
      <c r="Q516" s="418">
        <v>44836</v>
      </c>
      <c r="R516" s="419">
        <v>6</v>
      </c>
      <c r="S516" s="458">
        <v>1369.77</v>
      </c>
      <c r="T516" s="420" t="s">
        <v>2156</v>
      </c>
      <c r="U516" s="414" t="s">
        <v>3661</v>
      </c>
      <c r="V516" s="414" t="s">
        <v>3662</v>
      </c>
      <c r="W516" s="417" t="s">
        <v>3663</v>
      </c>
      <c r="X516" s="417"/>
      <c r="Y516" s="421" t="s">
        <v>3652</v>
      </c>
      <c r="Z516" s="421" t="s">
        <v>3652</v>
      </c>
      <c r="AA516" s="416" t="s">
        <v>4482</v>
      </c>
      <c r="AB516" s="414" t="s">
        <v>3664</v>
      </c>
      <c r="AC516" s="422"/>
      <c r="AD516" s="421"/>
      <c r="AE516" s="420"/>
      <c r="AF516" s="421">
        <v>91429</v>
      </c>
      <c r="AG516" s="420" t="s">
        <v>5023</v>
      </c>
      <c r="AH516" s="421" t="s">
        <v>3665</v>
      </c>
      <c r="AI516" s="420" t="s">
        <v>3719</v>
      </c>
      <c r="AJ516" s="413" t="str">
        <f t="shared" si="32"/>
        <v>4590006254_006</v>
      </c>
      <c r="AK516" s="423"/>
      <c r="AL516" s="424">
        <v>45108</v>
      </c>
      <c r="AM516" s="221">
        <v>547.90800000000002</v>
      </c>
      <c r="AN516" s="244">
        <v>45229</v>
      </c>
      <c r="AO516" s="423"/>
      <c r="AP516" s="413"/>
      <c r="AQ516" s="222"/>
      <c r="AR516" s="424"/>
      <c r="AS516" s="614">
        <f ca="1">表格1_6[[#This Row],[total amount]]/表格1_6[[#This Row],[PO$]]</f>
        <v>0.4</v>
      </c>
      <c r="AT516" s="223">
        <f ca="1">表格1_6[[#This Row],[invoice amount]]+表格1_6[[#This Row],[invoice amount2]]</f>
        <v>547.90800000000002</v>
      </c>
      <c r="AU516" s="224" t="s">
        <v>3673</v>
      </c>
      <c r="AV516" s="423"/>
      <c r="AW516" s="423" t="e">
        <f ca="1">VLOOKUP(表格1_6[[#This Row],[TI tool ID2]],工作表1!A:A,1,FALSE)</f>
        <v>#N/A</v>
      </c>
      <c r="AX516" s="425" t="e">
        <f ca="1">VLOOKUP(表格1_6[[#This Row],[PO+ITEM]],工作表1!B:E,2,FALSE)</f>
        <v>#N/A</v>
      </c>
      <c r="AY516" s="425" t="e">
        <f ca="1">VLOOKUP(表格1_6[[#This Row],[PO+ITEM]],工作表1!B:E,3,FALSE)</f>
        <v>#N/A</v>
      </c>
      <c r="AZ516" s="423" t="e">
        <f ca="1">VLOOKUP(表格1_6[[#This Row],[PO+ITEM]],工作表1!B:E,4,FALSE)</f>
        <v>#N/A</v>
      </c>
      <c r="BA516" s="425" t="e">
        <f ca="1">INDEX(工作表1!G:G, MATCH(表格1_6[[#This Row],[invoice number]]&amp;表格1_6[[#This Row],[invoice number2]],工作表1!G:G, 0))</f>
        <v>#N/A</v>
      </c>
      <c r="BB516" s="423" t="e">
        <f ca="1">VLOOKUP(表格1_6[[#This Row],[PO+ITEM]],工作表1!F:H,2,FALSE)</f>
        <v>#N/A</v>
      </c>
    </row>
    <row r="517" spans="1:54" ht="14.45">
      <c r="A517" s="413">
        <v>516</v>
      </c>
      <c r="B517" s="413" t="s">
        <v>3659</v>
      </c>
      <c r="C517" s="414" t="s">
        <v>16</v>
      </c>
      <c r="D517" s="414" t="s">
        <v>3648</v>
      </c>
      <c r="E517" s="414"/>
      <c r="F517" s="414"/>
      <c r="G517" s="414"/>
      <c r="H517" s="414"/>
      <c r="I517" s="414"/>
      <c r="J517" s="414"/>
      <c r="K517" s="414"/>
      <c r="L517" s="415" t="s">
        <v>5024</v>
      </c>
      <c r="M517" s="416" t="s">
        <v>2999</v>
      </c>
      <c r="N517" s="416" t="s">
        <v>2999</v>
      </c>
      <c r="O517" s="417"/>
      <c r="P517" s="416">
        <v>4590006255</v>
      </c>
      <c r="Q517" s="418">
        <v>44836</v>
      </c>
      <c r="R517" s="419">
        <v>1</v>
      </c>
      <c r="S517" s="458">
        <v>2588.64</v>
      </c>
      <c r="T517" s="420" t="s">
        <v>2156</v>
      </c>
      <c r="U517" s="414" t="s">
        <v>3661</v>
      </c>
      <c r="V517" s="414" t="s">
        <v>3662</v>
      </c>
      <c r="W517" s="417" t="s">
        <v>3663</v>
      </c>
      <c r="X517" s="417"/>
      <c r="Y517" s="421" t="s">
        <v>3652</v>
      </c>
      <c r="Z517" s="421" t="s">
        <v>3652</v>
      </c>
      <c r="AA517" s="416" t="s">
        <v>5025</v>
      </c>
      <c r="AB517" s="414" t="s">
        <v>3664</v>
      </c>
      <c r="AC517" s="422"/>
      <c r="AD517" s="421"/>
      <c r="AE517" s="420"/>
      <c r="AF517" s="421">
        <v>90949</v>
      </c>
      <c r="AG517" s="420" t="s">
        <v>3210</v>
      </c>
      <c r="AH517" s="421" t="s">
        <v>3665</v>
      </c>
      <c r="AI517" s="420" t="s">
        <v>3666</v>
      </c>
      <c r="AJ517" s="413" t="str">
        <f t="shared" si="32"/>
        <v>4590006255_001</v>
      </c>
      <c r="AK517" s="423"/>
      <c r="AL517" s="424">
        <v>45047</v>
      </c>
      <c r="AM517" s="221">
        <v>1035.46</v>
      </c>
      <c r="AN517" s="424">
        <v>45153</v>
      </c>
      <c r="AO517" s="423"/>
      <c r="AP517" s="413"/>
      <c r="AQ517" s="222"/>
      <c r="AR517" s="424"/>
      <c r="AS517" s="614">
        <f ca="1">表格1_6[[#This Row],[total amount]]/表格1_6[[#This Row],[PO$]]</f>
        <v>0.40000154521293035</v>
      </c>
      <c r="AT517" s="223">
        <f ca="1">表格1_6[[#This Row],[invoice amount]]+表格1_6[[#This Row],[invoice amount2]]</f>
        <v>1035.46</v>
      </c>
      <c r="AU517" s="224" t="s">
        <v>3673</v>
      </c>
      <c r="AV517" s="423"/>
      <c r="AW517" s="423" t="e">
        <f ca="1">VLOOKUP(表格1_6[[#This Row],[TI tool ID2]],工作表1!A:A,1,FALSE)</f>
        <v>#N/A</v>
      </c>
      <c r="AX517" s="425" t="e">
        <f ca="1">VLOOKUP(表格1_6[[#This Row],[PO+ITEM]],工作表1!B:E,2,FALSE)</f>
        <v>#N/A</v>
      </c>
      <c r="AY517" s="425" t="e">
        <f ca="1">VLOOKUP(表格1_6[[#This Row],[PO+ITEM]],工作表1!B:E,3,FALSE)</f>
        <v>#N/A</v>
      </c>
      <c r="AZ517" s="423" t="e">
        <f ca="1">VLOOKUP(表格1_6[[#This Row],[PO+ITEM]],工作表1!B:E,4,FALSE)</f>
        <v>#N/A</v>
      </c>
      <c r="BA517" s="425" t="e">
        <f ca="1">INDEX(工作表1!G:G, MATCH(表格1_6[[#This Row],[invoice number]]&amp;表格1_6[[#This Row],[invoice number2]],工作表1!G:G, 0))</f>
        <v>#N/A</v>
      </c>
      <c r="BB517" s="423" t="e">
        <f ca="1">VLOOKUP(表格1_6[[#This Row],[PO+ITEM]],工作表1!F:H,2,FALSE)</f>
        <v>#N/A</v>
      </c>
    </row>
    <row r="518" spans="1:54" ht="14.45">
      <c r="A518" s="413">
        <v>517</v>
      </c>
      <c r="B518" s="413" t="s">
        <v>3659</v>
      </c>
      <c r="C518" s="414" t="s">
        <v>16</v>
      </c>
      <c r="D518" s="414" t="s">
        <v>3648</v>
      </c>
      <c r="E518" s="414"/>
      <c r="F518" s="414"/>
      <c r="G518" s="414"/>
      <c r="H518" s="414"/>
      <c r="I518" s="414"/>
      <c r="J518" s="414"/>
      <c r="K518" s="414"/>
      <c r="L518" s="420" t="s">
        <v>5026</v>
      </c>
      <c r="M518" s="416" t="s">
        <v>2999</v>
      </c>
      <c r="N518" s="416" t="s">
        <v>2999</v>
      </c>
      <c r="O518" s="417"/>
      <c r="P518" s="416">
        <v>4590006255</v>
      </c>
      <c r="Q518" s="418">
        <v>44836</v>
      </c>
      <c r="R518" s="419">
        <v>2</v>
      </c>
      <c r="S518" s="458">
        <v>2588.64</v>
      </c>
      <c r="T518" s="420" t="s">
        <v>2156</v>
      </c>
      <c r="U518" s="414" t="s">
        <v>3661</v>
      </c>
      <c r="V518" s="414" t="s">
        <v>3662</v>
      </c>
      <c r="W518" s="417" t="s">
        <v>3663</v>
      </c>
      <c r="X518" s="417"/>
      <c r="Y518" s="421" t="s">
        <v>3652</v>
      </c>
      <c r="Z518" s="421" t="s">
        <v>3652</v>
      </c>
      <c r="AA518" s="416" t="s">
        <v>5025</v>
      </c>
      <c r="AB518" s="414" t="s">
        <v>3664</v>
      </c>
      <c r="AC518" s="422"/>
      <c r="AD518" s="421"/>
      <c r="AE518" s="420"/>
      <c r="AF518" s="421">
        <v>90951</v>
      </c>
      <c r="AG518" s="420" t="s">
        <v>3212</v>
      </c>
      <c r="AH518" s="421" t="s">
        <v>3665</v>
      </c>
      <c r="AI518" s="420" t="s">
        <v>3666</v>
      </c>
      <c r="AJ518" s="413" t="str">
        <f t="shared" si="32"/>
        <v>4590006255_002</v>
      </c>
      <c r="AK518" s="423"/>
      <c r="AL518" s="424">
        <v>45047</v>
      </c>
      <c r="AM518" s="221">
        <v>1035.46</v>
      </c>
      <c r="AN518" s="424">
        <v>45153</v>
      </c>
      <c r="AO518" s="423"/>
      <c r="AP518" s="413"/>
      <c r="AQ518" s="222"/>
      <c r="AR518" s="424"/>
      <c r="AS518" s="614">
        <f ca="1">表格1_6[[#This Row],[total amount]]/表格1_6[[#This Row],[PO$]]</f>
        <v>0.40000154521293035</v>
      </c>
      <c r="AT518" s="223">
        <f ca="1">表格1_6[[#This Row],[invoice amount]]+表格1_6[[#This Row],[invoice amount2]]</f>
        <v>1035.46</v>
      </c>
      <c r="AU518" s="224" t="s">
        <v>3673</v>
      </c>
      <c r="AV518" s="423"/>
      <c r="AW518" s="423" t="e">
        <f ca="1">VLOOKUP(表格1_6[[#This Row],[TI tool ID2]],工作表1!A:A,1,FALSE)</f>
        <v>#N/A</v>
      </c>
      <c r="AX518" s="425" t="e">
        <f ca="1">VLOOKUP(表格1_6[[#This Row],[PO+ITEM]],工作表1!B:E,2,FALSE)</f>
        <v>#N/A</v>
      </c>
      <c r="AY518" s="425" t="e">
        <f ca="1">VLOOKUP(表格1_6[[#This Row],[PO+ITEM]],工作表1!B:E,3,FALSE)</f>
        <v>#N/A</v>
      </c>
      <c r="AZ518" s="423" t="e">
        <f ca="1">VLOOKUP(表格1_6[[#This Row],[PO+ITEM]],工作表1!B:E,4,FALSE)</f>
        <v>#N/A</v>
      </c>
      <c r="BA518" s="425" t="e">
        <f ca="1">INDEX(工作表1!G:G, MATCH(表格1_6[[#This Row],[invoice number]]&amp;表格1_6[[#This Row],[invoice number2]],工作表1!G:G, 0))</f>
        <v>#N/A</v>
      </c>
      <c r="BB518" s="423" t="e">
        <f ca="1">VLOOKUP(表格1_6[[#This Row],[PO+ITEM]],工作表1!F:H,2,FALSE)</f>
        <v>#N/A</v>
      </c>
    </row>
    <row r="519" spans="1:54" ht="14.45">
      <c r="A519" s="413">
        <v>518</v>
      </c>
      <c r="B519" s="413"/>
      <c r="C519" s="414" t="s">
        <v>16</v>
      </c>
      <c r="D519" s="414" t="s">
        <v>3648</v>
      </c>
      <c r="E519" s="414"/>
      <c r="F519" s="414"/>
      <c r="G519" s="414"/>
      <c r="H519" s="414"/>
      <c r="I519" s="414"/>
      <c r="J519" s="414"/>
      <c r="K519" s="414"/>
      <c r="L519" s="420" t="s">
        <v>5027</v>
      </c>
      <c r="M519" s="416" t="s">
        <v>2999</v>
      </c>
      <c r="N519" s="416" t="s">
        <v>2999</v>
      </c>
      <c r="O519" s="417"/>
      <c r="P519" s="416">
        <v>4590006255</v>
      </c>
      <c r="Q519" s="418">
        <v>44836</v>
      </c>
      <c r="R519" s="419">
        <v>3</v>
      </c>
      <c r="S519" s="458">
        <v>1319.47</v>
      </c>
      <c r="T519" s="420" t="s">
        <v>2156</v>
      </c>
      <c r="U519" s="414" t="s">
        <v>3661</v>
      </c>
      <c r="V519" s="414" t="s">
        <v>3662</v>
      </c>
      <c r="W519" s="417" t="s">
        <v>3663</v>
      </c>
      <c r="X519" s="417"/>
      <c r="Y519" s="421" t="s">
        <v>3652</v>
      </c>
      <c r="Z519" s="421" t="s">
        <v>3652</v>
      </c>
      <c r="AA519" s="416" t="s">
        <v>5025</v>
      </c>
      <c r="AB519" s="414" t="s">
        <v>3664</v>
      </c>
      <c r="AC519" s="422"/>
      <c r="AD519" s="421"/>
      <c r="AE519" s="420"/>
      <c r="AF519" s="421">
        <v>90993</v>
      </c>
      <c r="AG519" s="420" t="s">
        <v>3188</v>
      </c>
      <c r="AH519" s="421" t="s">
        <v>3665</v>
      </c>
      <c r="AI519" s="420" t="s">
        <v>3666</v>
      </c>
      <c r="AJ519" s="413" t="str">
        <f t="shared" si="32"/>
        <v>4590006255_003</v>
      </c>
      <c r="AK519" s="423"/>
      <c r="AL519" s="424">
        <v>45047</v>
      </c>
      <c r="AM519" s="221">
        <v>527.79</v>
      </c>
      <c r="AN519" s="424">
        <v>45153</v>
      </c>
      <c r="AO519" s="423"/>
      <c r="AP519" s="413"/>
      <c r="AQ519" s="222"/>
      <c r="AR519" s="424"/>
      <c r="AS519" s="614">
        <f ca="1">表格1_6[[#This Row],[total amount]]/表格1_6[[#This Row],[PO$]]</f>
        <v>0.40000151576011578</v>
      </c>
      <c r="AT519" s="223">
        <f ca="1">表格1_6[[#This Row],[invoice amount]]+表格1_6[[#This Row],[invoice amount2]]</f>
        <v>527.79</v>
      </c>
      <c r="AU519" s="224" t="s">
        <v>3673</v>
      </c>
      <c r="AV519" s="423"/>
      <c r="AW519" s="423" t="e">
        <f ca="1">VLOOKUP(表格1_6[[#This Row],[TI tool ID2]],工作表1!A:A,1,FALSE)</f>
        <v>#N/A</v>
      </c>
      <c r="AX519" s="425" t="e">
        <f ca="1">VLOOKUP(表格1_6[[#This Row],[PO+ITEM]],工作表1!B:E,2,FALSE)</f>
        <v>#N/A</v>
      </c>
      <c r="AY519" s="425" t="e">
        <f ca="1">VLOOKUP(表格1_6[[#This Row],[PO+ITEM]],工作表1!B:E,3,FALSE)</f>
        <v>#N/A</v>
      </c>
      <c r="AZ519" s="423" t="e">
        <f ca="1">VLOOKUP(表格1_6[[#This Row],[PO+ITEM]],工作表1!B:E,4,FALSE)</f>
        <v>#N/A</v>
      </c>
      <c r="BA519" s="425" t="e">
        <f ca="1">INDEX(工作表1!G:G, MATCH(表格1_6[[#This Row],[invoice number]]&amp;表格1_6[[#This Row],[invoice number2]],工作表1!G:G, 0))</f>
        <v>#N/A</v>
      </c>
      <c r="BB519" s="423" t="e">
        <f ca="1">VLOOKUP(表格1_6[[#This Row],[PO+ITEM]],工作表1!F:H,2,FALSE)</f>
        <v>#N/A</v>
      </c>
    </row>
    <row r="520" spans="1:54" ht="14.45">
      <c r="A520" s="413">
        <v>519</v>
      </c>
      <c r="B520" s="413" t="s">
        <v>3659</v>
      </c>
      <c r="C520" s="414" t="s">
        <v>16</v>
      </c>
      <c r="D520" s="414" t="s">
        <v>3648</v>
      </c>
      <c r="E520" s="414"/>
      <c r="F520" s="414"/>
      <c r="G520" s="414"/>
      <c r="H520" s="414"/>
      <c r="I520" s="414"/>
      <c r="J520" s="414"/>
      <c r="K520" s="414"/>
      <c r="L520" s="415" t="s">
        <v>5028</v>
      </c>
      <c r="M520" s="416" t="s">
        <v>2206</v>
      </c>
      <c r="N520" s="416" t="s">
        <v>2999</v>
      </c>
      <c r="O520" s="417"/>
      <c r="P520" s="416">
        <v>4590006255</v>
      </c>
      <c r="Q520" s="418">
        <v>44836</v>
      </c>
      <c r="R520" s="419">
        <v>4</v>
      </c>
      <c r="S520" s="458">
        <v>1369.77</v>
      </c>
      <c r="T520" s="420" t="s">
        <v>2156</v>
      </c>
      <c r="U520" s="414" t="s">
        <v>3661</v>
      </c>
      <c r="V520" s="414" t="s">
        <v>3662</v>
      </c>
      <c r="W520" s="417" t="s">
        <v>3663</v>
      </c>
      <c r="X520" s="417"/>
      <c r="Y520" s="421" t="s">
        <v>3652</v>
      </c>
      <c r="Z520" s="421" t="s">
        <v>3652</v>
      </c>
      <c r="AA520" s="416" t="s">
        <v>5025</v>
      </c>
      <c r="AB520" s="414" t="s">
        <v>3664</v>
      </c>
      <c r="AC520" s="422"/>
      <c r="AD520" s="421"/>
      <c r="AE520" s="420"/>
      <c r="AF520" s="421">
        <v>90997</v>
      </c>
      <c r="AG520" s="420" t="s">
        <v>5029</v>
      </c>
      <c r="AH520" s="421" t="s">
        <v>3665</v>
      </c>
      <c r="AI520" s="420" t="s">
        <v>846</v>
      </c>
      <c r="AJ520" s="413" t="str">
        <f t="shared" si="32"/>
        <v>4590006255_004</v>
      </c>
      <c r="AK520" s="423"/>
      <c r="AL520" s="424">
        <v>45108</v>
      </c>
      <c r="AM520" s="221">
        <v>547.91</v>
      </c>
      <c r="AN520" s="424">
        <v>45212</v>
      </c>
      <c r="AO520" s="423"/>
      <c r="AP520" s="413"/>
      <c r="AQ520" s="222"/>
      <c r="AR520" s="424"/>
      <c r="AS520" s="614">
        <f ca="1">表格1_6[[#This Row],[total amount]]/表格1_6[[#This Row],[PO$]]</f>
        <v>0.40000146009914073</v>
      </c>
      <c r="AT520" s="223">
        <f ca="1">表格1_6[[#This Row],[invoice amount]]+表格1_6[[#This Row],[invoice amount2]]</f>
        <v>547.91</v>
      </c>
      <c r="AU520" s="224" t="s">
        <v>3673</v>
      </c>
      <c r="AV520" s="423"/>
      <c r="AW520" s="423" t="e">
        <f ca="1">VLOOKUP(表格1_6[[#This Row],[TI tool ID2]],工作表1!A:A,1,FALSE)</f>
        <v>#N/A</v>
      </c>
      <c r="AX520" s="425" t="e">
        <f ca="1">VLOOKUP(表格1_6[[#This Row],[PO+ITEM]],工作表1!B:E,2,FALSE)</f>
        <v>#N/A</v>
      </c>
      <c r="AY520" s="425" t="e">
        <f ca="1">VLOOKUP(表格1_6[[#This Row],[PO+ITEM]],工作表1!B:E,3,FALSE)</f>
        <v>#N/A</v>
      </c>
      <c r="AZ520" s="423" t="e">
        <f ca="1">VLOOKUP(表格1_6[[#This Row],[PO+ITEM]],工作表1!B:E,4,FALSE)</f>
        <v>#N/A</v>
      </c>
      <c r="BA520" s="425" t="e">
        <f ca="1">INDEX(工作表1!G:G, MATCH(表格1_6[[#This Row],[invoice number]]&amp;表格1_6[[#This Row],[invoice number2]],工作表1!G:G, 0))</f>
        <v>#N/A</v>
      </c>
      <c r="BB520" s="423" t="e">
        <f ca="1">VLOOKUP(表格1_6[[#This Row],[PO+ITEM]],工作表1!F:H,2,FALSE)</f>
        <v>#N/A</v>
      </c>
    </row>
    <row r="521" spans="1:54" ht="14.45">
      <c r="A521" s="413">
        <v>520</v>
      </c>
      <c r="B521" s="413" t="s">
        <v>3659</v>
      </c>
      <c r="C521" s="414" t="s">
        <v>16</v>
      </c>
      <c r="D521" s="414" t="s">
        <v>3648</v>
      </c>
      <c r="E521" s="414"/>
      <c r="F521" s="414"/>
      <c r="G521" s="414"/>
      <c r="H521" s="414"/>
      <c r="I521" s="414"/>
      <c r="J521" s="414"/>
      <c r="K521" s="414"/>
      <c r="L521" s="415" t="s">
        <v>5030</v>
      </c>
      <c r="M521" s="416" t="s">
        <v>2999</v>
      </c>
      <c r="N521" s="416" t="s">
        <v>2999</v>
      </c>
      <c r="O521" s="417"/>
      <c r="P521" s="416">
        <v>4590006255</v>
      </c>
      <c r="Q521" s="418">
        <v>44836</v>
      </c>
      <c r="R521" s="419">
        <v>5</v>
      </c>
      <c r="S521" s="458">
        <v>2588.64</v>
      </c>
      <c r="T521" s="420" t="s">
        <v>2156</v>
      </c>
      <c r="U521" s="414" t="s">
        <v>3661</v>
      </c>
      <c r="V521" s="414" t="s">
        <v>3662</v>
      </c>
      <c r="W521" s="417" t="s">
        <v>3663</v>
      </c>
      <c r="X521" s="417"/>
      <c r="Y521" s="421" t="s">
        <v>3652</v>
      </c>
      <c r="Z521" s="421" t="s">
        <v>3652</v>
      </c>
      <c r="AA521" s="416" t="s">
        <v>5025</v>
      </c>
      <c r="AB521" s="414" t="s">
        <v>3664</v>
      </c>
      <c r="AC521" s="422"/>
      <c r="AD521" s="421"/>
      <c r="AE521" s="420"/>
      <c r="AF521" s="421">
        <v>90998</v>
      </c>
      <c r="AG521" s="420" t="s">
        <v>3224</v>
      </c>
      <c r="AH521" s="421" t="s">
        <v>3665</v>
      </c>
      <c r="AI521" s="420" t="s">
        <v>3666</v>
      </c>
      <c r="AJ521" s="413" t="str">
        <f t="shared" si="32"/>
        <v>4590006255_005</v>
      </c>
      <c r="AK521" s="423"/>
      <c r="AL521" s="424">
        <v>45047</v>
      </c>
      <c r="AM521" s="221">
        <v>1035.46</v>
      </c>
      <c r="AN521" s="424">
        <v>45153</v>
      </c>
      <c r="AO521" s="423"/>
      <c r="AP521" s="413"/>
      <c r="AQ521" s="222"/>
      <c r="AR521" s="424"/>
      <c r="AS521" s="614">
        <f ca="1">表格1_6[[#This Row],[total amount]]/表格1_6[[#This Row],[PO$]]</f>
        <v>0.40000154521293035</v>
      </c>
      <c r="AT521" s="223">
        <f ca="1">表格1_6[[#This Row],[invoice amount]]+表格1_6[[#This Row],[invoice amount2]]</f>
        <v>1035.46</v>
      </c>
      <c r="AU521" s="224" t="s">
        <v>3673</v>
      </c>
      <c r="AV521" s="423"/>
      <c r="AW521" s="423" t="e">
        <f ca="1">VLOOKUP(表格1_6[[#This Row],[TI tool ID2]],工作表1!A:A,1,FALSE)</f>
        <v>#N/A</v>
      </c>
      <c r="AX521" s="425" t="e">
        <f ca="1">VLOOKUP(表格1_6[[#This Row],[PO+ITEM]],工作表1!B:E,2,FALSE)</f>
        <v>#N/A</v>
      </c>
      <c r="AY521" s="425" t="e">
        <f ca="1">VLOOKUP(表格1_6[[#This Row],[PO+ITEM]],工作表1!B:E,3,FALSE)</f>
        <v>#N/A</v>
      </c>
      <c r="AZ521" s="423" t="e">
        <f ca="1">VLOOKUP(表格1_6[[#This Row],[PO+ITEM]],工作表1!B:E,4,FALSE)</f>
        <v>#N/A</v>
      </c>
      <c r="BA521" s="425" t="e">
        <f ca="1">INDEX(工作表1!G:G, MATCH(表格1_6[[#This Row],[invoice number]]&amp;表格1_6[[#This Row],[invoice number2]],工作表1!G:G, 0))</f>
        <v>#N/A</v>
      </c>
      <c r="BB521" s="423" t="e">
        <f ca="1">VLOOKUP(表格1_6[[#This Row],[PO+ITEM]],工作表1!F:H,2,FALSE)</f>
        <v>#N/A</v>
      </c>
    </row>
    <row r="522" spans="1:54" ht="14.45">
      <c r="A522" s="413">
        <v>521</v>
      </c>
      <c r="B522" s="413" t="s">
        <v>3659</v>
      </c>
      <c r="C522" s="414" t="s">
        <v>16</v>
      </c>
      <c r="D522" s="414" t="s">
        <v>3648</v>
      </c>
      <c r="E522" s="414"/>
      <c r="F522" s="414"/>
      <c r="G522" s="414"/>
      <c r="H522" s="414"/>
      <c r="I522" s="414"/>
      <c r="J522" s="414"/>
      <c r="K522" s="414"/>
      <c r="L522" s="415" t="s">
        <v>5031</v>
      </c>
      <c r="M522" s="416" t="s">
        <v>2206</v>
      </c>
      <c r="N522" s="416" t="s">
        <v>2999</v>
      </c>
      <c r="O522" s="417"/>
      <c r="P522" s="416">
        <v>4590006255</v>
      </c>
      <c r="Q522" s="418">
        <v>44836</v>
      </c>
      <c r="R522" s="419">
        <v>6</v>
      </c>
      <c r="S522" s="458">
        <v>3806.44</v>
      </c>
      <c r="T522" s="420" t="s">
        <v>2156</v>
      </c>
      <c r="U522" s="414" t="s">
        <v>3661</v>
      </c>
      <c r="V522" s="414" t="s">
        <v>3662</v>
      </c>
      <c r="W522" s="417" t="s">
        <v>3663</v>
      </c>
      <c r="X522" s="417"/>
      <c r="Y522" s="421" t="s">
        <v>3652</v>
      </c>
      <c r="Z522" s="421" t="s">
        <v>3652</v>
      </c>
      <c r="AA522" s="416" t="s">
        <v>5032</v>
      </c>
      <c r="AB522" s="414" t="s">
        <v>3664</v>
      </c>
      <c r="AC522" s="422"/>
      <c r="AD522" s="421"/>
      <c r="AE522" s="420"/>
      <c r="AF522" s="421">
        <v>91233</v>
      </c>
      <c r="AG522" s="420" t="s">
        <v>5033</v>
      </c>
      <c r="AH522" s="421" t="s">
        <v>3665</v>
      </c>
      <c r="AI522" s="420" t="s">
        <v>846</v>
      </c>
      <c r="AJ522" s="413" t="str">
        <f t="shared" si="32"/>
        <v>4590006255_006</v>
      </c>
      <c r="AK522" s="423"/>
      <c r="AL522" s="413"/>
      <c r="AM522" s="221"/>
      <c r="AN522" s="424"/>
      <c r="AO522" s="423"/>
      <c r="AP522" s="413"/>
      <c r="AQ522" s="222"/>
      <c r="AR522" s="424"/>
      <c r="AS522" s="614">
        <f ca="1">表格1_6[[#This Row],[total amount]]/表格1_6[[#This Row],[PO$]]</f>
        <v>0</v>
      </c>
      <c r="AT522" s="223">
        <f ca="1">表格1_6[[#This Row],[invoice amount]]+表格1_6[[#This Row],[invoice amount2]]</f>
        <v>0</v>
      </c>
      <c r="AU522" s="224"/>
      <c r="AV522" s="423"/>
      <c r="AW522" s="423" t="e">
        <f ca="1">VLOOKUP(表格1_6[[#This Row],[TI tool ID2]],工作表1!A:A,1,FALSE)</f>
        <v>#N/A</v>
      </c>
      <c r="AX522" s="425" t="e">
        <f ca="1">VLOOKUP(表格1_6[[#This Row],[PO+ITEM]],工作表1!B:E,2,FALSE)</f>
        <v>#N/A</v>
      </c>
      <c r="AY522" s="425" t="e">
        <f ca="1">VLOOKUP(表格1_6[[#This Row],[PO+ITEM]],工作表1!B:E,3,FALSE)</f>
        <v>#N/A</v>
      </c>
      <c r="AZ522" s="423" t="e">
        <f ca="1">VLOOKUP(表格1_6[[#This Row],[PO+ITEM]],工作表1!B:E,4,FALSE)</f>
        <v>#N/A</v>
      </c>
      <c r="BA522" s="425" t="e">
        <f ca="1">INDEX(工作表1!G:G, MATCH(表格1_6[[#This Row],[invoice number]]&amp;表格1_6[[#This Row],[invoice number2]],工作表1!G:G, 0))</f>
        <v>#N/A</v>
      </c>
      <c r="BB522" s="423" t="e">
        <f ca="1">VLOOKUP(表格1_6[[#This Row],[PO+ITEM]],工作表1!F:H,2,FALSE)</f>
        <v>#N/A</v>
      </c>
    </row>
    <row r="523" spans="1:54" ht="14.45">
      <c r="A523" s="413">
        <v>522</v>
      </c>
      <c r="B523" s="413" t="s">
        <v>3659</v>
      </c>
      <c r="C523" s="414" t="s">
        <v>16</v>
      </c>
      <c r="D523" s="414" t="s">
        <v>3648</v>
      </c>
      <c r="E523" s="414"/>
      <c r="F523" s="414"/>
      <c r="G523" s="414"/>
      <c r="H523" s="414"/>
      <c r="I523" s="414"/>
      <c r="J523" s="414"/>
      <c r="K523" s="414"/>
      <c r="L523" s="415" t="s">
        <v>5034</v>
      </c>
      <c r="M523" s="416" t="s">
        <v>2206</v>
      </c>
      <c r="N523" s="416" t="s">
        <v>2999</v>
      </c>
      <c r="O523" s="417"/>
      <c r="P523" s="416">
        <v>4590006255</v>
      </c>
      <c r="Q523" s="418">
        <v>44836</v>
      </c>
      <c r="R523" s="419">
        <v>7</v>
      </c>
      <c r="S523" s="458">
        <v>3806.44</v>
      </c>
      <c r="T523" s="420" t="s">
        <v>2156</v>
      </c>
      <c r="U523" s="414" t="s">
        <v>3661</v>
      </c>
      <c r="V523" s="414" t="s">
        <v>3662</v>
      </c>
      <c r="W523" s="417" t="s">
        <v>3663</v>
      </c>
      <c r="X523" s="417"/>
      <c r="Y523" s="421" t="s">
        <v>3652</v>
      </c>
      <c r="Z523" s="421" t="s">
        <v>3652</v>
      </c>
      <c r="AA523" s="416" t="s">
        <v>5032</v>
      </c>
      <c r="AB523" s="414" t="s">
        <v>3664</v>
      </c>
      <c r="AC523" s="422"/>
      <c r="AD523" s="421"/>
      <c r="AE523" s="420"/>
      <c r="AF523" s="421">
        <v>91234</v>
      </c>
      <c r="AG523" s="420" t="s">
        <v>5035</v>
      </c>
      <c r="AH523" s="421" t="s">
        <v>3665</v>
      </c>
      <c r="AI523" s="420" t="s">
        <v>846</v>
      </c>
      <c r="AJ523" s="413" t="str">
        <f t="shared" si="32"/>
        <v>4590006255_007</v>
      </c>
      <c r="AK523" s="423"/>
      <c r="AL523" s="413"/>
      <c r="AM523" s="221"/>
      <c r="AN523" s="424"/>
      <c r="AO523" s="423"/>
      <c r="AP523" s="413"/>
      <c r="AQ523" s="222"/>
      <c r="AR523" s="424"/>
      <c r="AS523" s="614">
        <f ca="1">表格1_6[[#This Row],[total amount]]/表格1_6[[#This Row],[PO$]]</f>
        <v>0</v>
      </c>
      <c r="AT523" s="223">
        <f ca="1">表格1_6[[#This Row],[invoice amount]]+表格1_6[[#This Row],[invoice amount2]]</f>
        <v>0</v>
      </c>
      <c r="AU523" s="224"/>
      <c r="AV523" s="423"/>
      <c r="AW523" s="423" t="e">
        <f ca="1">VLOOKUP(表格1_6[[#This Row],[TI tool ID2]],工作表1!A:A,1,FALSE)</f>
        <v>#N/A</v>
      </c>
      <c r="AX523" s="425" t="e">
        <f ca="1">VLOOKUP(表格1_6[[#This Row],[PO+ITEM]],工作表1!B:E,2,FALSE)</f>
        <v>#N/A</v>
      </c>
      <c r="AY523" s="425" t="e">
        <f ca="1">VLOOKUP(表格1_6[[#This Row],[PO+ITEM]],工作表1!B:E,3,FALSE)</f>
        <v>#N/A</v>
      </c>
      <c r="AZ523" s="423" t="e">
        <f ca="1">VLOOKUP(表格1_6[[#This Row],[PO+ITEM]],工作表1!B:E,4,FALSE)</f>
        <v>#N/A</v>
      </c>
      <c r="BA523" s="425" t="e">
        <f ca="1">INDEX(工作表1!G:G, MATCH(表格1_6[[#This Row],[invoice number]]&amp;表格1_6[[#This Row],[invoice number2]],工作表1!G:G, 0))</f>
        <v>#N/A</v>
      </c>
      <c r="BB523" s="423" t="e">
        <f ca="1">VLOOKUP(表格1_6[[#This Row],[PO+ITEM]],工作表1!F:H,2,FALSE)</f>
        <v>#N/A</v>
      </c>
    </row>
    <row r="524" spans="1:54" ht="14.45">
      <c r="A524" s="413">
        <v>523</v>
      </c>
      <c r="B524" s="413" t="s">
        <v>3659</v>
      </c>
      <c r="C524" s="414" t="s">
        <v>16</v>
      </c>
      <c r="D524" s="414" t="s">
        <v>3648</v>
      </c>
      <c r="E524" s="414"/>
      <c r="F524" s="414"/>
      <c r="G524" s="414"/>
      <c r="H524" s="414"/>
      <c r="I524" s="414"/>
      <c r="J524" s="414"/>
      <c r="K524" s="414"/>
      <c r="L524" s="415" t="s">
        <v>5036</v>
      </c>
      <c r="M524" s="416" t="s">
        <v>2206</v>
      </c>
      <c r="N524" s="416" t="s">
        <v>2999</v>
      </c>
      <c r="O524" s="417"/>
      <c r="P524" s="416">
        <v>4590006255</v>
      </c>
      <c r="Q524" s="418">
        <v>44836</v>
      </c>
      <c r="R524" s="419">
        <v>8</v>
      </c>
      <c r="S524" s="458">
        <v>3806.44</v>
      </c>
      <c r="T524" s="420" t="s">
        <v>2156</v>
      </c>
      <c r="U524" s="414" t="s">
        <v>3661</v>
      </c>
      <c r="V524" s="414" t="s">
        <v>3662</v>
      </c>
      <c r="W524" s="417" t="s">
        <v>3663</v>
      </c>
      <c r="X524" s="417"/>
      <c r="Y524" s="421" t="s">
        <v>3652</v>
      </c>
      <c r="Z524" s="421" t="s">
        <v>3652</v>
      </c>
      <c r="AA524" s="416" t="s">
        <v>5032</v>
      </c>
      <c r="AB524" s="414" t="s">
        <v>3664</v>
      </c>
      <c r="AC524" s="422"/>
      <c r="AD524" s="421"/>
      <c r="AE524" s="420"/>
      <c r="AF524" s="421">
        <v>91236</v>
      </c>
      <c r="AG524" s="420" t="s">
        <v>5037</v>
      </c>
      <c r="AH524" s="421" t="s">
        <v>3665</v>
      </c>
      <c r="AI524" s="420" t="s">
        <v>846</v>
      </c>
      <c r="AJ524" s="413" t="str">
        <f t="shared" si="32"/>
        <v>4590006255_008</v>
      </c>
      <c r="AK524" s="423"/>
      <c r="AL524" s="413"/>
      <c r="AM524" s="221"/>
      <c r="AN524" s="424"/>
      <c r="AO524" s="423"/>
      <c r="AP524" s="413"/>
      <c r="AQ524" s="222"/>
      <c r="AR524" s="424"/>
      <c r="AS524" s="614">
        <f ca="1">表格1_6[[#This Row],[total amount]]/表格1_6[[#This Row],[PO$]]</f>
        <v>0</v>
      </c>
      <c r="AT524" s="223">
        <f ca="1">表格1_6[[#This Row],[invoice amount]]+表格1_6[[#This Row],[invoice amount2]]</f>
        <v>0</v>
      </c>
      <c r="AU524" s="224"/>
      <c r="AV524" s="423"/>
      <c r="AW524" s="423" t="e">
        <f ca="1">VLOOKUP(表格1_6[[#This Row],[TI tool ID2]],工作表1!A:A,1,FALSE)</f>
        <v>#N/A</v>
      </c>
      <c r="AX524" s="425" t="e">
        <f ca="1">VLOOKUP(表格1_6[[#This Row],[PO+ITEM]],工作表1!B:E,2,FALSE)</f>
        <v>#N/A</v>
      </c>
      <c r="AY524" s="425" t="e">
        <f ca="1">VLOOKUP(表格1_6[[#This Row],[PO+ITEM]],工作表1!B:E,3,FALSE)</f>
        <v>#N/A</v>
      </c>
      <c r="AZ524" s="423" t="e">
        <f ca="1">VLOOKUP(表格1_6[[#This Row],[PO+ITEM]],工作表1!B:E,4,FALSE)</f>
        <v>#N/A</v>
      </c>
      <c r="BA524" s="425" t="e">
        <f ca="1">INDEX(工作表1!G:G, MATCH(表格1_6[[#This Row],[invoice number]]&amp;表格1_6[[#This Row],[invoice number2]],工作表1!G:G, 0))</f>
        <v>#N/A</v>
      </c>
      <c r="BB524" s="423" t="e">
        <f ca="1">VLOOKUP(表格1_6[[#This Row],[PO+ITEM]],工作表1!F:H,2,FALSE)</f>
        <v>#N/A</v>
      </c>
    </row>
    <row r="525" spans="1:54" ht="14.45">
      <c r="A525" s="413">
        <v>524</v>
      </c>
      <c r="B525" s="413" t="s">
        <v>3659</v>
      </c>
      <c r="C525" s="414" t="s">
        <v>16</v>
      </c>
      <c r="D525" s="414" t="s">
        <v>3648</v>
      </c>
      <c r="E525" s="414"/>
      <c r="F525" s="414"/>
      <c r="G525" s="414"/>
      <c r="H525" s="414"/>
      <c r="I525" s="414"/>
      <c r="J525" s="414"/>
      <c r="K525" s="414"/>
      <c r="L525" s="415" t="s">
        <v>5038</v>
      </c>
      <c r="M525" s="416" t="s">
        <v>2999</v>
      </c>
      <c r="N525" s="416" t="s">
        <v>2999</v>
      </c>
      <c r="O525" s="417"/>
      <c r="P525" s="416">
        <v>4590006255</v>
      </c>
      <c r="Q525" s="418">
        <v>44836</v>
      </c>
      <c r="R525" s="419">
        <v>9</v>
      </c>
      <c r="S525" s="458">
        <v>2588.64</v>
      </c>
      <c r="T525" s="420" t="s">
        <v>2156</v>
      </c>
      <c r="U525" s="414" t="s">
        <v>3661</v>
      </c>
      <c r="V525" s="414" t="s">
        <v>3662</v>
      </c>
      <c r="W525" s="417" t="s">
        <v>3663</v>
      </c>
      <c r="X525" s="417"/>
      <c r="Y525" s="421" t="s">
        <v>3652</v>
      </c>
      <c r="Z525" s="421" t="s">
        <v>3652</v>
      </c>
      <c r="AA525" s="416" t="s">
        <v>5025</v>
      </c>
      <c r="AB525" s="414" t="s">
        <v>3664</v>
      </c>
      <c r="AC525" s="422"/>
      <c r="AD525" s="421"/>
      <c r="AE525" s="420"/>
      <c r="AF525" s="421">
        <v>91298</v>
      </c>
      <c r="AG525" s="420" t="s">
        <v>3228</v>
      </c>
      <c r="AH525" s="421" t="s">
        <v>3665</v>
      </c>
      <c r="AI525" s="420" t="s">
        <v>3666</v>
      </c>
      <c r="AJ525" s="413" t="str">
        <f t="shared" si="32"/>
        <v>4590006255_009</v>
      </c>
      <c r="AK525" s="423"/>
      <c r="AL525" s="424">
        <v>45047</v>
      </c>
      <c r="AM525" s="221">
        <v>1035.46</v>
      </c>
      <c r="AN525" s="424">
        <v>45153</v>
      </c>
      <c r="AO525" s="423"/>
      <c r="AP525" s="413"/>
      <c r="AQ525" s="222"/>
      <c r="AR525" s="424"/>
      <c r="AS525" s="614">
        <f ca="1">表格1_6[[#This Row],[total amount]]/表格1_6[[#This Row],[PO$]]</f>
        <v>0.40000154521293035</v>
      </c>
      <c r="AT525" s="223">
        <f ca="1">表格1_6[[#This Row],[invoice amount]]+表格1_6[[#This Row],[invoice amount2]]</f>
        <v>1035.46</v>
      </c>
      <c r="AU525" s="224" t="s">
        <v>3673</v>
      </c>
      <c r="AV525" s="423"/>
      <c r="AW525" s="423" t="e">
        <f ca="1">VLOOKUP(表格1_6[[#This Row],[TI tool ID2]],工作表1!A:A,1,FALSE)</f>
        <v>#N/A</v>
      </c>
      <c r="AX525" s="425" t="e">
        <f ca="1">VLOOKUP(表格1_6[[#This Row],[PO+ITEM]],工作表1!B:E,2,FALSE)</f>
        <v>#N/A</v>
      </c>
      <c r="AY525" s="425" t="e">
        <f ca="1">VLOOKUP(表格1_6[[#This Row],[PO+ITEM]],工作表1!B:E,3,FALSE)</f>
        <v>#N/A</v>
      </c>
      <c r="AZ525" s="423" t="e">
        <f ca="1">VLOOKUP(表格1_6[[#This Row],[PO+ITEM]],工作表1!B:E,4,FALSE)</f>
        <v>#N/A</v>
      </c>
      <c r="BA525" s="425" t="e">
        <f ca="1">INDEX(工作表1!G:G, MATCH(表格1_6[[#This Row],[invoice number]]&amp;表格1_6[[#This Row],[invoice number2]],工作表1!G:G, 0))</f>
        <v>#N/A</v>
      </c>
      <c r="BB525" s="423" t="e">
        <f ca="1">VLOOKUP(表格1_6[[#This Row],[PO+ITEM]],工作表1!F:H,2,FALSE)</f>
        <v>#N/A</v>
      </c>
    </row>
    <row r="526" spans="1:54" ht="14.45">
      <c r="A526" s="413">
        <v>525</v>
      </c>
      <c r="B526" s="413" t="s">
        <v>3659</v>
      </c>
      <c r="C526" s="414" t="s">
        <v>16</v>
      </c>
      <c r="D526" s="414" t="s">
        <v>3648</v>
      </c>
      <c r="E526" s="414"/>
      <c r="F526" s="414"/>
      <c r="G526" s="414"/>
      <c r="H526" s="414"/>
      <c r="I526" s="414"/>
      <c r="J526" s="414"/>
      <c r="K526" s="414"/>
      <c r="L526" s="420" t="s">
        <v>5039</v>
      </c>
      <c r="M526" s="416" t="s">
        <v>2999</v>
      </c>
      <c r="N526" s="416" t="s">
        <v>2999</v>
      </c>
      <c r="O526" s="417"/>
      <c r="P526" s="416">
        <v>4590006255</v>
      </c>
      <c r="Q526" s="418">
        <v>44836</v>
      </c>
      <c r="R526" s="419">
        <v>10</v>
      </c>
      <c r="S526" s="458">
        <v>2588.64</v>
      </c>
      <c r="T526" s="420" t="s">
        <v>2156</v>
      </c>
      <c r="U526" s="414" t="s">
        <v>3661</v>
      </c>
      <c r="V526" s="414" t="s">
        <v>3662</v>
      </c>
      <c r="W526" s="417" t="s">
        <v>3663</v>
      </c>
      <c r="X526" s="417"/>
      <c r="Y526" s="421" t="s">
        <v>3652</v>
      </c>
      <c r="Z526" s="421" t="s">
        <v>3652</v>
      </c>
      <c r="AA526" s="416" t="s">
        <v>5025</v>
      </c>
      <c r="AB526" s="414" t="s">
        <v>3664</v>
      </c>
      <c r="AC526" s="422"/>
      <c r="AD526" s="421"/>
      <c r="AE526" s="420"/>
      <c r="AF526" s="421">
        <v>91302</v>
      </c>
      <c r="AG526" s="420" t="s">
        <v>3226</v>
      </c>
      <c r="AH526" s="421" t="s">
        <v>3665</v>
      </c>
      <c r="AI526" s="420" t="s">
        <v>3666</v>
      </c>
      <c r="AJ526" s="413" t="str">
        <f t="shared" ref="AJ526:AJ539" si="33">P526&amp;"_0"&amp;R526</f>
        <v>4590006255_010</v>
      </c>
      <c r="AK526" s="423"/>
      <c r="AL526" s="424">
        <v>45047</v>
      </c>
      <c r="AM526" s="221">
        <v>1035.46</v>
      </c>
      <c r="AN526" s="424">
        <v>45153</v>
      </c>
      <c r="AO526" s="423"/>
      <c r="AP526" s="413"/>
      <c r="AQ526" s="222"/>
      <c r="AR526" s="424"/>
      <c r="AS526" s="614">
        <f ca="1">表格1_6[[#This Row],[total amount]]/表格1_6[[#This Row],[PO$]]</f>
        <v>0.40000154521293035</v>
      </c>
      <c r="AT526" s="223">
        <f ca="1">表格1_6[[#This Row],[invoice amount]]+表格1_6[[#This Row],[invoice amount2]]</f>
        <v>1035.46</v>
      </c>
      <c r="AU526" s="224" t="s">
        <v>3673</v>
      </c>
      <c r="AV526" s="423"/>
      <c r="AW526" s="423" t="e">
        <f ca="1">VLOOKUP(表格1_6[[#This Row],[TI tool ID2]],工作表1!A:A,1,FALSE)</f>
        <v>#N/A</v>
      </c>
      <c r="AX526" s="425" t="e">
        <f ca="1">VLOOKUP(表格1_6[[#This Row],[PO+ITEM]],工作表1!B:E,2,FALSE)</f>
        <v>#N/A</v>
      </c>
      <c r="AY526" s="425" t="e">
        <f ca="1">VLOOKUP(表格1_6[[#This Row],[PO+ITEM]],工作表1!B:E,3,FALSE)</f>
        <v>#N/A</v>
      </c>
      <c r="AZ526" s="423" t="e">
        <f ca="1">VLOOKUP(表格1_6[[#This Row],[PO+ITEM]],工作表1!B:E,4,FALSE)</f>
        <v>#N/A</v>
      </c>
      <c r="BA526" s="425" t="e">
        <f ca="1">INDEX(工作表1!G:G, MATCH(表格1_6[[#This Row],[invoice number]]&amp;表格1_6[[#This Row],[invoice number2]],工作表1!G:G, 0))</f>
        <v>#N/A</v>
      </c>
      <c r="BB526" s="423" t="e">
        <f ca="1">VLOOKUP(表格1_6[[#This Row],[PO+ITEM]],工作表1!F:H,2,FALSE)</f>
        <v>#N/A</v>
      </c>
    </row>
    <row r="527" spans="1:54" ht="14.45">
      <c r="A527" s="413">
        <v>526</v>
      </c>
      <c r="B527" s="413" t="s">
        <v>3659</v>
      </c>
      <c r="C527" s="414" t="s">
        <v>16</v>
      </c>
      <c r="D527" s="414" t="s">
        <v>3648</v>
      </c>
      <c r="E527" s="414"/>
      <c r="F527" s="414"/>
      <c r="G527" s="414"/>
      <c r="H527" s="414"/>
      <c r="I527" s="414"/>
      <c r="J527" s="414"/>
      <c r="K527" s="414"/>
      <c r="L527" s="415" t="s">
        <v>5040</v>
      </c>
      <c r="M527" s="416" t="s">
        <v>2999</v>
      </c>
      <c r="N527" s="416" t="s">
        <v>2999</v>
      </c>
      <c r="O527" s="417"/>
      <c r="P527" s="416">
        <v>4590006255</v>
      </c>
      <c r="Q527" s="418">
        <v>44836</v>
      </c>
      <c r="R527" s="419">
        <v>11</v>
      </c>
      <c r="S527" s="458">
        <v>2588.64</v>
      </c>
      <c r="T527" s="420" t="s">
        <v>2156</v>
      </c>
      <c r="U527" s="414" t="s">
        <v>3661</v>
      </c>
      <c r="V527" s="414" t="s">
        <v>3662</v>
      </c>
      <c r="W527" s="417" t="s">
        <v>3663</v>
      </c>
      <c r="X527" s="417"/>
      <c r="Y527" s="421" t="s">
        <v>3652</v>
      </c>
      <c r="Z527" s="421" t="s">
        <v>3652</v>
      </c>
      <c r="AA527" s="416" t="s">
        <v>5025</v>
      </c>
      <c r="AB527" s="414" t="s">
        <v>3664</v>
      </c>
      <c r="AC527" s="422"/>
      <c r="AD527" s="421"/>
      <c r="AE527" s="420"/>
      <c r="AF527" s="421">
        <v>91306</v>
      </c>
      <c r="AG527" s="420" t="s">
        <v>3232</v>
      </c>
      <c r="AH527" s="421" t="s">
        <v>3665</v>
      </c>
      <c r="AI527" s="420" t="s">
        <v>3666</v>
      </c>
      <c r="AJ527" s="413" t="str">
        <f t="shared" si="33"/>
        <v>4590006255_011</v>
      </c>
      <c r="AK527" s="423"/>
      <c r="AL527" s="424">
        <v>45047</v>
      </c>
      <c r="AM527" s="221">
        <v>1035.46</v>
      </c>
      <c r="AN527" s="424">
        <v>45153</v>
      </c>
      <c r="AO527" s="423"/>
      <c r="AP527" s="413"/>
      <c r="AQ527" s="222"/>
      <c r="AR527" s="424"/>
      <c r="AS527" s="614">
        <f ca="1">表格1_6[[#This Row],[total amount]]/表格1_6[[#This Row],[PO$]]</f>
        <v>0.40000154521293035</v>
      </c>
      <c r="AT527" s="223">
        <f ca="1">表格1_6[[#This Row],[invoice amount]]+表格1_6[[#This Row],[invoice amount2]]</f>
        <v>1035.46</v>
      </c>
      <c r="AU527" s="224" t="s">
        <v>3673</v>
      </c>
      <c r="AV527" s="423"/>
      <c r="AW527" s="423" t="e">
        <f ca="1">VLOOKUP(表格1_6[[#This Row],[TI tool ID2]],工作表1!A:A,1,FALSE)</f>
        <v>#N/A</v>
      </c>
      <c r="AX527" s="425" t="e">
        <f ca="1">VLOOKUP(表格1_6[[#This Row],[PO+ITEM]],工作表1!B:E,2,FALSE)</f>
        <v>#N/A</v>
      </c>
      <c r="AY527" s="425" t="e">
        <f ca="1">VLOOKUP(表格1_6[[#This Row],[PO+ITEM]],工作表1!B:E,3,FALSE)</f>
        <v>#N/A</v>
      </c>
      <c r="AZ527" s="423" t="e">
        <f ca="1">VLOOKUP(表格1_6[[#This Row],[PO+ITEM]],工作表1!B:E,4,FALSE)</f>
        <v>#N/A</v>
      </c>
      <c r="BA527" s="425" t="e">
        <f ca="1">INDEX(工作表1!G:G, MATCH(表格1_6[[#This Row],[invoice number]]&amp;表格1_6[[#This Row],[invoice number2]],工作表1!G:G, 0))</f>
        <v>#N/A</v>
      </c>
      <c r="BB527" s="423" t="e">
        <f ca="1">VLOOKUP(表格1_6[[#This Row],[PO+ITEM]],工作表1!F:H,2,FALSE)</f>
        <v>#N/A</v>
      </c>
    </row>
    <row r="528" spans="1:54" ht="14.45">
      <c r="A528" s="413">
        <v>527</v>
      </c>
      <c r="B528" s="413" t="s">
        <v>3659</v>
      </c>
      <c r="C528" s="414" t="s">
        <v>16</v>
      </c>
      <c r="D528" s="414" t="s">
        <v>3648</v>
      </c>
      <c r="E528" s="414"/>
      <c r="F528" s="414"/>
      <c r="G528" s="414"/>
      <c r="H528" s="414"/>
      <c r="I528" s="414"/>
      <c r="J528" s="414"/>
      <c r="K528" s="414"/>
      <c r="L528" s="420" t="s">
        <v>5041</v>
      </c>
      <c r="M528" s="416" t="s">
        <v>2999</v>
      </c>
      <c r="N528" s="416" t="s">
        <v>2999</v>
      </c>
      <c r="O528" s="417"/>
      <c r="P528" s="416">
        <v>4590006255</v>
      </c>
      <c r="Q528" s="418">
        <v>44836</v>
      </c>
      <c r="R528" s="419">
        <v>12</v>
      </c>
      <c r="S528" s="458">
        <v>2588.64</v>
      </c>
      <c r="T528" s="420" t="s">
        <v>2156</v>
      </c>
      <c r="U528" s="414" t="s">
        <v>3661</v>
      </c>
      <c r="V528" s="414" t="s">
        <v>3662</v>
      </c>
      <c r="W528" s="417" t="s">
        <v>3663</v>
      </c>
      <c r="X528" s="417"/>
      <c r="Y528" s="421" t="s">
        <v>3652</v>
      </c>
      <c r="Z528" s="421" t="s">
        <v>3652</v>
      </c>
      <c r="AA528" s="416" t="s">
        <v>5025</v>
      </c>
      <c r="AB528" s="414" t="s">
        <v>3664</v>
      </c>
      <c r="AC528" s="422"/>
      <c r="AD528" s="421"/>
      <c r="AE528" s="420"/>
      <c r="AF528" s="421">
        <v>91307</v>
      </c>
      <c r="AG528" s="420" t="s">
        <v>3208</v>
      </c>
      <c r="AH528" s="421" t="s">
        <v>3665</v>
      </c>
      <c r="AI528" s="420" t="s">
        <v>3666</v>
      </c>
      <c r="AJ528" s="413" t="str">
        <f t="shared" si="33"/>
        <v>4590006255_012</v>
      </c>
      <c r="AK528" s="423"/>
      <c r="AL528" s="424">
        <v>45047</v>
      </c>
      <c r="AM528" s="221">
        <v>1035.46</v>
      </c>
      <c r="AN528" s="424">
        <v>45153</v>
      </c>
      <c r="AO528" s="423"/>
      <c r="AP528" s="413"/>
      <c r="AQ528" s="222"/>
      <c r="AR528" s="424"/>
      <c r="AS528" s="614">
        <f ca="1">表格1_6[[#This Row],[total amount]]/表格1_6[[#This Row],[PO$]]</f>
        <v>0.40000154521293035</v>
      </c>
      <c r="AT528" s="223">
        <f ca="1">表格1_6[[#This Row],[invoice amount]]+表格1_6[[#This Row],[invoice amount2]]</f>
        <v>1035.46</v>
      </c>
      <c r="AU528" s="224" t="s">
        <v>3673</v>
      </c>
      <c r="AV528" s="423"/>
      <c r="AW528" s="423" t="e">
        <f ca="1">VLOOKUP(表格1_6[[#This Row],[TI tool ID2]],工作表1!A:A,1,FALSE)</f>
        <v>#N/A</v>
      </c>
      <c r="AX528" s="425" t="e">
        <f ca="1">VLOOKUP(表格1_6[[#This Row],[PO+ITEM]],工作表1!B:E,2,FALSE)</f>
        <v>#N/A</v>
      </c>
      <c r="AY528" s="425" t="e">
        <f ca="1">VLOOKUP(表格1_6[[#This Row],[PO+ITEM]],工作表1!B:E,3,FALSE)</f>
        <v>#N/A</v>
      </c>
      <c r="AZ528" s="423" t="e">
        <f ca="1">VLOOKUP(表格1_6[[#This Row],[PO+ITEM]],工作表1!B:E,4,FALSE)</f>
        <v>#N/A</v>
      </c>
      <c r="BA528" s="425" t="e">
        <f ca="1">INDEX(工作表1!G:G, MATCH(表格1_6[[#This Row],[invoice number]]&amp;表格1_6[[#This Row],[invoice number2]],工作表1!G:G, 0))</f>
        <v>#N/A</v>
      </c>
      <c r="BB528" s="423" t="e">
        <f ca="1">VLOOKUP(表格1_6[[#This Row],[PO+ITEM]],工作表1!F:H,2,FALSE)</f>
        <v>#N/A</v>
      </c>
    </row>
    <row r="529" spans="1:54" ht="14.45">
      <c r="A529" s="413">
        <v>528</v>
      </c>
      <c r="B529" s="413" t="s">
        <v>3659</v>
      </c>
      <c r="C529" s="414" t="s">
        <v>16</v>
      </c>
      <c r="D529" s="414" t="s">
        <v>3648</v>
      </c>
      <c r="E529" s="414"/>
      <c r="F529" s="414"/>
      <c r="G529" s="414"/>
      <c r="H529" s="414"/>
      <c r="I529" s="414"/>
      <c r="J529" s="414"/>
      <c r="K529" s="414"/>
      <c r="L529" s="415" t="s">
        <v>5042</v>
      </c>
      <c r="M529" s="416" t="s">
        <v>2999</v>
      </c>
      <c r="N529" s="416" t="s">
        <v>2999</v>
      </c>
      <c r="O529" s="417"/>
      <c r="P529" s="416">
        <v>4590006255</v>
      </c>
      <c r="Q529" s="418">
        <v>44836</v>
      </c>
      <c r="R529" s="419">
        <v>13</v>
      </c>
      <c r="S529" s="458">
        <v>2588.64</v>
      </c>
      <c r="T529" s="420" t="s">
        <v>2156</v>
      </c>
      <c r="U529" s="414" t="s">
        <v>3661</v>
      </c>
      <c r="V529" s="414" t="s">
        <v>3662</v>
      </c>
      <c r="W529" s="417" t="s">
        <v>3663</v>
      </c>
      <c r="X529" s="417"/>
      <c r="Y529" s="421" t="s">
        <v>3652</v>
      </c>
      <c r="Z529" s="421" t="s">
        <v>3652</v>
      </c>
      <c r="AA529" s="416" t="s">
        <v>5025</v>
      </c>
      <c r="AB529" s="414" t="s">
        <v>3664</v>
      </c>
      <c r="AC529" s="422"/>
      <c r="AD529" s="421"/>
      <c r="AE529" s="420"/>
      <c r="AF529" s="421">
        <v>91308</v>
      </c>
      <c r="AG529" s="420" t="s">
        <v>3235</v>
      </c>
      <c r="AH529" s="421" t="s">
        <v>3665</v>
      </c>
      <c r="AI529" s="420" t="s">
        <v>3666</v>
      </c>
      <c r="AJ529" s="413" t="str">
        <f t="shared" si="33"/>
        <v>4590006255_013</v>
      </c>
      <c r="AK529" s="423"/>
      <c r="AL529" s="424">
        <v>45047</v>
      </c>
      <c r="AM529" s="221">
        <v>1035.46</v>
      </c>
      <c r="AN529" s="424">
        <v>45153</v>
      </c>
      <c r="AO529" s="423"/>
      <c r="AP529" s="413"/>
      <c r="AQ529" s="222"/>
      <c r="AR529" s="424"/>
      <c r="AS529" s="614">
        <f ca="1">表格1_6[[#This Row],[total amount]]/表格1_6[[#This Row],[PO$]]</f>
        <v>0.40000154521293035</v>
      </c>
      <c r="AT529" s="223">
        <f ca="1">表格1_6[[#This Row],[invoice amount]]+表格1_6[[#This Row],[invoice amount2]]</f>
        <v>1035.46</v>
      </c>
      <c r="AU529" s="224" t="s">
        <v>3673</v>
      </c>
      <c r="AV529" s="423"/>
      <c r="AW529" s="423" t="e">
        <f ca="1">VLOOKUP(表格1_6[[#This Row],[TI tool ID2]],工作表1!A:A,1,FALSE)</f>
        <v>#N/A</v>
      </c>
      <c r="AX529" s="425" t="e">
        <f ca="1">VLOOKUP(表格1_6[[#This Row],[PO+ITEM]],工作表1!B:E,2,FALSE)</f>
        <v>#N/A</v>
      </c>
      <c r="AY529" s="425" t="e">
        <f ca="1">VLOOKUP(表格1_6[[#This Row],[PO+ITEM]],工作表1!B:E,3,FALSE)</f>
        <v>#N/A</v>
      </c>
      <c r="AZ529" s="423" t="e">
        <f ca="1">VLOOKUP(表格1_6[[#This Row],[PO+ITEM]],工作表1!B:E,4,FALSE)</f>
        <v>#N/A</v>
      </c>
      <c r="BA529" s="425" t="e">
        <f ca="1">INDEX(工作表1!G:G, MATCH(表格1_6[[#This Row],[invoice number]]&amp;表格1_6[[#This Row],[invoice number2]],工作表1!G:G, 0))</f>
        <v>#N/A</v>
      </c>
      <c r="BB529" s="423" t="e">
        <f ca="1">VLOOKUP(表格1_6[[#This Row],[PO+ITEM]],工作表1!F:H,2,FALSE)</f>
        <v>#N/A</v>
      </c>
    </row>
    <row r="530" spans="1:54" ht="14.45">
      <c r="A530" s="413">
        <v>529</v>
      </c>
      <c r="B530" s="413" t="s">
        <v>3659</v>
      </c>
      <c r="C530" s="414" t="s">
        <v>16</v>
      </c>
      <c r="D530" s="414" t="s">
        <v>3648</v>
      </c>
      <c r="E530" s="414"/>
      <c r="F530" s="414"/>
      <c r="G530" s="414"/>
      <c r="H530" s="414"/>
      <c r="I530" s="414"/>
      <c r="J530" s="414"/>
      <c r="K530" s="414"/>
      <c r="L530" s="415" t="s">
        <v>5043</v>
      </c>
      <c r="M530" s="416" t="s">
        <v>2999</v>
      </c>
      <c r="N530" s="416" t="s">
        <v>2999</v>
      </c>
      <c r="O530" s="417"/>
      <c r="P530" s="416">
        <v>4590006255</v>
      </c>
      <c r="Q530" s="418">
        <v>44836</v>
      </c>
      <c r="R530" s="419">
        <v>14</v>
      </c>
      <c r="S530" s="458">
        <v>2588.64</v>
      </c>
      <c r="T530" s="420" t="s">
        <v>2156</v>
      </c>
      <c r="U530" s="414" t="s">
        <v>3661</v>
      </c>
      <c r="V530" s="414" t="s">
        <v>3662</v>
      </c>
      <c r="W530" s="417" t="s">
        <v>3663</v>
      </c>
      <c r="X530" s="417"/>
      <c r="Y530" s="421" t="s">
        <v>3652</v>
      </c>
      <c r="Z530" s="421" t="s">
        <v>3652</v>
      </c>
      <c r="AA530" s="416" t="s">
        <v>5025</v>
      </c>
      <c r="AB530" s="414" t="s">
        <v>3664</v>
      </c>
      <c r="AC530" s="422"/>
      <c r="AD530" s="421"/>
      <c r="AE530" s="420"/>
      <c r="AF530" s="421">
        <v>91309</v>
      </c>
      <c r="AG530" s="420" t="s">
        <v>3237</v>
      </c>
      <c r="AH530" s="421" t="s">
        <v>3665</v>
      </c>
      <c r="AI530" s="420" t="s">
        <v>3666</v>
      </c>
      <c r="AJ530" s="413" t="str">
        <f t="shared" si="33"/>
        <v>4590006255_014</v>
      </c>
      <c r="AK530" s="423"/>
      <c r="AL530" s="424">
        <v>45047</v>
      </c>
      <c r="AM530" s="221">
        <v>1035.46</v>
      </c>
      <c r="AN530" s="424">
        <v>45153</v>
      </c>
      <c r="AO530" s="423"/>
      <c r="AP530" s="413"/>
      <c r="AQ530" s="222"/>
      <c r="AR530" s="424"/>
      <c r="AS530" s="614">
        <f ca="1">表格1_6[[#This Row],[total amount]]/表格1_6[[#This Row],[PO$]]</f>
        <v>0.40000154521293035</v>
      </c>
      <c r="AT530" s="223">
        <f ca="1">表格1_6[[#This Row],[invoice amount]]+表格1_6[[#This Row],[invoice amount2]]</f>
        <v>1035.46</v>
      </c>
      <c r="AU530" s="224" t="s">
        <v>3673</v>
      </c>
      <c r="AV530" s="423"/>
      <c r="AW530" s="423" t="e">
        <f ca="1">VLOOKUP(表格1_6[[#This Row],[TI tool ID2]],工作表1!A:A,1,FALSE)</f>
        <v>#N/A</v>
      </c>
      <c r="AX530" s="425" t="e">
        <f ca="1">VLOOKUP(表格1_6[[#This Row],[PO+ITEM]],工作表1!B:E,2,FALSE)</f>
        <v>#N/A</v>
      </c>
      <c r="AY530" s="425" t="e">
        <f ca="1">VLOOKUP(表格1_6[[#This Row],[PO+ITEM]],工作表1!B:E,3,FALSE)</f>
        <v>#N/A</v>
      </c>
      <c r="AZ530" s="423" t="e">
        <f ca="1">VLOOKUP(表格1_6[[#This Row],[PO+ITEM]],工作表1!B:E,4,FALSE)</f>
        <v>#N/A</v>
      </c>
      <c r="BA530" s="425" t="e">
        <f ca="1">INDEX(工作表1!G:G, MATCH(表格1_6[[#This Row],[invoice number]]&amp;表格1_6[[#This Row],[invoice number2]],工作表1!G:G, 0))</f>
        <v>#N/A</v>
      </c>
      <c r="BB530" s="423" t="e">
        <f ca="1">VLOOKUP(表格1_6[[#This Row],[PO+ITEM]],工作表1!F:H,2,FALSE)</f>
        <v>#N/A</v>
      </c>
    </row>
    <row r="531" spans="1:54" ht="14.45">
      <c r="A531" s="413">
        <v>530</v>
      </c>
      <c r="B531" s="413" t="s">
        <v>3659</v>
      </c>
      <c r="C531" s="414" t="s">
        <v>16</v>
      </c>
      <c r="D531" s="414" t="s">
        <v>3648</v>
      </c>
      <c r="E531" s="414"/>
      <c r="F531" s="414"/>
      <c r="G531" s="414"/>
      <c r="H531" s="414"/>
      <c r="I531" s="414"/>
      <c r="J531" s="414"/>
      <c r="K531" s="414"/>
      <c r="L531" s="415" t="s">
        <v>5044</v>
      </c>
      <c r="M531" s="416" t="s">
        <v>2999</v>
      </c>
      <c r="N531" s="416" t="s">
        <v>2999</v>
      </c>
      <c r="O531" s="417"/>
      <c r="P531" s="416">
        <v>4590006255</v>
      </c>
      <c r="Q531" s="418">
        <v>44836</v>
      </c>
      <c r="R531" s="419">
        <v>15</v>
      </c>
      <c r="S531" s="458">
        <v>2588.64</v>
      </c>
      <c r="T531" s="420" t="s">
        <v>2156</v>
      </c>
      <c r="U531" s="414" t="s">
        <v>3661</v>
      </c>
      <c r="V531" s="414" t="s">
        <v>3662</v>
      </c>
      <c r="W531" s="417" t="s">
        <v>3663</v>
      </c>
      <c r="X531" s="417"/>
      <c r="Y531" s="421" t="s">
        <v>3652</v>
      </c>
      <c r="Z531" s="421" t="s">
        <v>3652</v>
      </c>
      <c r="AA531" s="416" t="s">
        <v>5025</v>
      </c>
      <c r="AB531" s="414" t="s">
        <v>3664</v>
      </c>
      <c r="AC531" s="422"/>
      <c r="AD531" s="421"/>
      <c r="AE531" s="420"/>
      <c r="AF531" s="421">
        <v>91312</v>
      </c>
      <c r="AG531" s="420" t="s">
        <v>3216</v>
      </c>
      <c r="AH531" s="421" t="s">
        <v>3665</v>
      </c>
      <c r="AI531" s="420" t="s">
        <v>3666</v>
      </c>
      <c r="AJ531" s="413" t="str">
        <f t="shared" si="33"/>
        <v>4590006255_015</v>
      </c>
      <c r="AK531" s="423"/>
      <c r="AL531" s="424">
        <v>45047</v>
      </c>
      <c r="AM531" s="221">
        <v>1035.46</v>
      </c>
      <c r="AN531" s="424">
        <v>45153</v>
      </c>
      <c r="AO531" s="423"/>
      <c r="AP531" s="413"/>
      <c r="AQ531" s="222"/>
      <c r="AR531" s="424"/>
      <c r="AS531" s="614">
        <f ca="1">表格1_6[[#This Row],[total amount]]/表格1_6[[#This Row],[PO$]]</f>
        <v>0.40000154521293035</v>
      </c>
      <c r="AT531" s="223">
        <f ca="1">表格1_6[[#This Row],[invoice amount]]+表格1_6[[#This Row],[invoice amount2]]</f>
        <v>1035.46</v>
      </c>
      <c r="AU531" s="224" t="s">
        <v>3673</v>
      </c>
      <c r="AV531" s="423"/>
      <c r="AW531" s="423" t="e">
        <f ca="1">VLOOKUP(表格1_6[[#This Row],[TI tool ID2]],工作表1!A:A,1,FALSE)</f>
        <v>#N/A</v>
      </c>
      <c r="AX531" s="425" t="e">
        <f ca="1">VLOOKUP(表格1_6[[#This Row],[PO+ITEM]],工作表1!B:E,2,FALSE)</f>
        <v>#N/A</v>
      </c>
      <c r="AY531" s="425" t="e">
        <f ca="1">VLOOKUP(表格1_6[[#This Row],[PO+ITEM]],工作表1!B:E,3,FALSE)</f>
        <v>#N/A</v>
      </c>
      <c r="AZ531" s="423" t="e">
        <f ca="1">VLOOKUP(表格1_6[[#This Row],[PO+ITEM]],工作表1!B:E,4,FALSE)</f>
        <v>#N/A</v>
      </c>
      <c r="BA531" s="425" t="e">
        <f ca="1">INDEX(工作表1!G:G, MATCH(表格1_6[[#This Row],[invoice number]]&amp;表格1_6[[#This Row],[invoice number2]],工作表1!G:G, 0))</f>
        <v>#N/A</v>
      </c>
      <c r="BB531" s="423" t="e">
        <f ca="1">VLOOKUP(表格1_6[[#This Row],[PO+ITEM]],工作表1!F:H,2,FALSE)</f>
        <v>#N/A</v>
      </c>
    </row>
    <row r="532" spans="1:54" ht="14.45">
      <c r="A532" s="413">
        <v>531</v>
      </c>
      <c r="B532" s="413" t="s">
        <v>3659</v>
      </c>
      <c r="C532" s="414" t="s">
        <v>16</v>
      </c>
      <c r="D532" s="414" t="s">
        <v>3648</v>
      </c>
      <c r="E532" s="414"/>
      <c r="F532" s="414"/>
      <c r="G532" s="414"/>
      <c r="H532" s="414"/>
      <c r="I532" s="414"/>
      <c r="J532" s="414"/>
      <c r="K532" s="414"/>
      <c r="L532" s="415" t="s">
        <v>5045</v>
      </c>
      <c r="M532" s="416" t="s">
        <v>2999</v>
      </c>
      <c r="N532" s="416" t="s">
        <v>2999</v>
      </c>
      <c r="O532" s="417"/>
      <c r="P532" s="416">
        <v>4590006255</v>
      </c>
      <c r="Q532" s="418">
        <v>44836</v>
      </c>
      <c r="R532" s="419">
        <v>16</v>
      </c>
      <c r="S532" s="458">
        <v>2588.64</v>
      </c>
      <c r="T532" s="420" t="s">
        <v>2156</v>
      </c>
      <c r="U532" s="414" t="s">
        <v>3661</v>
      </c>
      <c r="V532" s="414" t="s">
        <v>3662</v>
      </c>
      <c r="W532" s="417" t="s">
        <v>3663</v>
      </c>
      <c r="X532" s="417"/>
      <c r="Y532" s="421" t="s">
        <v>3652</v>
      </c>
      <c r="Z532" s="421" t="s">
        <v>3652</v>
      </c>
      <c r="AA532" s="416" t="s">
        <v>5025</v>
      </c>
      <c r="AB532" s="414" t="s">
        <v>3664</v>
      </c>
      <c r="AC532" s="422"/>
      <c r="AD532" s="421"/>
      <c r="AE532" s="420"/>
      <c r="AF532" s="421">
        <v>91320</v>
      </c>
      <c r="AG532" s="420" t="s">
        <v>3220</v>
      </c>
      <c r="AH532" s="421" t="s">
        <v>3665</v>
      </c>
      <c r="AI532" s="420" t="s">
        <v>3666</v>
      </c>
      <c r="AJ532" s="413" t="str">
        <f t="shared" si="33"/>
        <v>4590006255_016</v>
      </c>
      <c r="AK532" s="423"/>
      <c r="AL532" s="424">
        <v>45047</v>
      </c>
      <c r="AM532" s="221">
        <v>1035.46</v>
      </c>
      <c r="AN532" s="424">
        <v>45153</v>
      </c>
      <c r="AO532" s="423"/>
      <c r="AP532" s="413"/>
      <c r="AQ532" s="222"/>
      <c r="AR532" s="424"/>
      <c r="AS532" s="614">
        <f ca="1">表格1_6[[#This Row],[total amount]]/表格1_6[[#This Row],[PO$]]</f>
        <v>0.40000154521293035</v>
      </c>
      <c r="AT532" s="223">
        <f ca="1">表格1_6[[#This Row],[invoice amount]]+表格1_6[[#This Row],[invoice amount2]]</f>
        <v>1035.46</v>
      </c>
      <c r="AU532" s="224" t="s">
        <v>3673</v>
      </c>
      <c r="AV532" s="423"/>
      <c r="AW532" s="423" t="e">
        <f ca="1">VLOOKUP(表格1_6[[#This Row],[TI tool ID2]],工作表1!A:A,1,FALSE)</f>
        <v>#N/A</v>
      </c>
      <c r="AX532" s="425" t="e">
        <f ca="1">VLOOKUP(表格1_6[[#This Row],[PO+ITEM]],工作表1!B:E,2,FALSE)</f>
        <v>#N/A</v>
      </c>
      <c r="AY532" s="425" t="e">
        <f ca="1">VLOOKUP(表格1_6[[#This Row],[PO+ITEM]],工作表1!B:E,3,FALSE)</f>
        <v>#N/A</v>
      </c>
      <c r="AZ532" s="423" t="e">
        <f ca="1">VLOOKUP(表格1_6[[#This Row],[PO+ITEM]],工作表1!B:E,4,FALSE)</f>
        <v>#N/A</v>
      </c>
      <c r="BA532" s="425" t="e">
        <f ca="1">INDEX(工作表1!G:G, MATCH(表格1_6[[#This Row],[invoice number]]&amp;表格1_6[[#This Row],[invoice number2]],工作表1!G:G, 0))</f>
        <v>#N/A</v>
      </c>
      <c r="BB532" s="423" t="e">
        <f ca="1">VLOOKUP(表格1_6[[#This Row],[PO+ITEM]],工作表1!F:H,2,FALSE)</f>
        <v>#N/A</v>
      </c>
    </row>
    <row r="533" spans="1:54" ht="14.45">
      <c r="A533" s="413">
        <v>532</v>
      </c>
      <c r="B533" s="413" t="s">
        <v>3659</v>
      </c>
      <c r="C533" s="414" t="s">
        <v>16</v>
      </c>
      <c r="D533" s="414" t="s">
        <v>3648</v>
      </c>
      <c r="E533" s="414"/>
      <c r="F533" s="414"/>
      <c r="G533" s="414"/>
      <c r="H533" s="414"/>
      <c r="I533" s="414"/>
      <c r="J533" s="414"/>
      <c r="K533" s="414"/>
      <c r="L533" s="415" t="s">
        <v>5046</v>
      </c>
      <c r="M533" s="416" t="s">
        <v>2999</v>
      </c>
      <c r="N533" s="416" t="s">
        <v>2999</v>
      </c>
      <c r="O533" s="417"/>
      <c r="P533" s="416">
        <v>4590006255</v>
      </c>
      <c r="Q533" s="418">
        <v>44836</v>
      </c>
      <c r="R533" s="419">
        <v>17</v>
      </c>
      <c r="S533" s="458">
        <v>2588.64</v>
      </c>
      <c r="T533" s="420" t="s">
        <v>2156</v>
      </c>
      <c r="U533" s="414" t="s">
        <v>3661</v>
      </c>
      <c r="V533" s="414" t="s">
        <v>3662</v>
      </c>
      <c r="W533" s="417" t="s">
        <v>3663</v>
      </c>
      <c r="X533" s="417"/>
      <c r="Y533" s="421" t="s">
        <v>3652</v>
      </c>
      <c r="Z533" s="421" t="s">
        <v>3652</v>
      </c>
      <c r="AA533" s="416" t="s">
        <v>5025</v>
      </c>
      <c r="AB533" s="414" t="s">
        <v>3664</v>
      </c>
      <c r="AC533" s="422"/>
      <c r="AD533" s="421"/>
      <c r="AE533" s="420"/>
      <c r="AF533" s="421">
        <v>91321</v>
      </c>
      <c r="AG533" s="420" t="s">
        <v>3222</v>
      </c>
      <c r="AH533" s="421" t="s">
        <v>3665</v>
      </c>
      <c r="AI533" s="420" t="s">
        <v>3666</v>
      </c>
      <c r="AJ533" s="413" t="str">
        <f t="shared" si="33"/>
        <v>4590006255_017</v>
      </c>
      <c r="AK533" s="423"/>
      <c r="AL533" s="424">
        <v>45047</v>
      </c>
      <c r="AM533" s="221">
        <v>1035.46</v>
      </c>
      <c r="AN533" s="424">
        <v>45153</v>
      </c>
      <c r="AO533" s="423"/>
      <c r="AP533" s="413"/>
      <c r="AQ533" s="222"/>
      <c r="AR533" s="424"/>
      <c r="AS533" s="614">
        <f ca="1">表格1_6[[#This Row],[total amount]]/表格1_6[[#This Row],[PO$]]</f>
        <v>0.40000154521293035</v>
      </c>
      <c r="AT533" s="223">
        <f ca="1">表格1_6[[#This Row],[invoice amount]]+表格1_6[[#This Row],[invoice amount2]]</f>
        <v>1035.46</v>
      </c>
      <c r="AU533" s="224" t="s">
        <v>3673</v>
      </c>
      <c r="AV533" s="423"/>
      <c r="AW533" s="423" t="e">
        <f ca="1">VLOOKUP(表格1_6[[#This Row],[TI tool ID2]],工作表1!A:A,1,FALSE)</f>
        <v>#N/A</v>
      </c>
      <c r="AX533" s="425" t="e">
        <f ca="1">VLOOKUP(表格1_6[[#This Row],[PO+ITEM]],工作表1!B:E,2,FALSE)</f>
        <v>#N/A</v>
      </c>
      <c r="AY533" s="425" t="e">
        <f ca="1">VLOOKUP(表格1_6[[#This Row],[PO+ITEM]],工作表1!B:E,3,FALSE)</f>
        <v>#N/A</v>
      </c>
      <c r="AZ533" s="423" t="e">
        <f ca="1">VLOOKUP(表格1_6[[#This Row],[PO+ITEM]],工作表1!B:E,4,FALSE)</f>
        <v>#N/A</v>
      </c>
      <c r="BA533" s="425" t="e">
        <f ca="1">INDEX(工作表1!G:G, MATCH(表格1_6[[#This Row],[invoice number]]&amp;表格1_6[[#This Row],[invoice number2]],工作表1!G:G, 0))</f>
        <v>#N/A</v>
      </c>
      <c r="BB533" s="423" t="e">
        <f ca="1">VLOOKUP(表格1_6[[#This Row],[PO+ITEM]],工作表1!F:H,2,FALSE)</f>
        <v>#N/A</v>
      </c>
    </row>
    <row r="534" spans="1:54" ht="14.45">
      <c r="A534" s="413">
        <v>533</v>
      </c>
      <c r="B534" s="413" t="s">
        <v>3659</v>
      </c>
      <c r="C534" s="414" t="s">
        <v>16</v>
      </c>
      <c r="D534" s="414" t="s">
        <v>3648</v>
      </c>
      <c r="E534" s="414"/>
      <c r="F534" s="414"/>
      <c r="G534" s="414"/>
      <c r="H534" s="414"/>
      <c r="I534" s="414"/>
      <c r="J534" s="414"/>
      <c r="K534" s="414"/>
      <c r="L534" s="420" t="s">
        <v>5047</v>
      </c>
      <c r="M534" s="416" t="s">
        <v>2999</v>
      </c>
      <c r="N534" s="416" t="s">
        <v>2999</v>
      </c>
      <c r="O534" s="417"/>
      <c r="P534" s="416">
        <v>4590006255</v>
      </c>
      <c r="Q534" s="418">
        <v>44836</v>
      </c>
      <c r="R534" s="419">
        <v>18</v>
      </c>
      <c r="S534" s="458">
        <v>2588.64</v>
      </c>
      <c r="T534" s="420" t="s">
        <v>2156</v>
      </c>
      <c r="U534" s="414" t="s">
        <v>3661</v>
      </c>
      <c r="V534" s="414" t="s">
        <v>3662</v>
      </c>
      <c r="W534" s="417" t="s">
        <v>3663</v>
      </c>
      <c r="X534" s="417"/>
      <c r="Y534" s="421" t="s">
        <v>3652</v>
      </c>
      <c r="Z534" s="421" t="s">
        <v>3652</v>
      </c>
      <c r="AA534" s="416" t="s">
        <v>5025</v>
      </c>
      <c r="AB534" s="414" t="s">
        <v>3664</v>
      </c>
      <c r="AC534" s="422"/>
      <c r="AD534" s="421"/>
      <c r="AE534" s="420"/>
      <c r="AF534" s="421">
        <v>91333</v>
      </c>
      <c r="AG534" s="420" t="s">
        <v>3214</v>
      </c>
      <c r="AH534" s="421" t="s">
        <v>3665</v>
      </c>
      <c r="AI534" s="420" t="s">
        <v>3666</v>
      </c>
      <c r="AJ534" s="413" t="str">
        <f t="shared" si="33"/>
        <v>4590006255_018</v>
      </c>
      <c r="AK534" s="423"/>
      <c r="AL534" s="424">
        <v>45047</v>
      </c>
      <c r="AM534" s="221">
        <v>1035.46</v>
      </c>
      <c r="AN534" s="424">
        <v>45153</v>
      </c>
      <c r="AO534" s="423"/>
      <c r="AP534" s="413"/>
      <c r="AQ534" s="222"/>
      <c r="AR534" s="424"/>
      <c r="AS534" s="614">
        <f ca="1">表格1_6[[#This Row],[total amount]]/表格1_6[[#This Row],[PO$]]</f>
        <v>0.40000154521293035</v>
      </c>
      <c r="AT534" s="223">
        <f ca="1">表格1_6[[#This Row],[invoice amount]]+表格1_6[[#This Row],[invoice amount2]]</f>
        <v>1035.46</v>
      </c>
      <c r="AU534" s="224" t="s">
        <v>3673</v>
      </c>
      <c r="AV534" s="423"/>
      <c r="AW534" s="423" t="e">
        <f ca="1">VLOOKUP(表格1_6[[#This Row],[TI tool ID2]],工作表1!A:A,1,FALSE)</f>
        <v>#N/A</v>
      </c>
      <c r="AX534" s="425" t="e">
        <f ca="1">VLOOKUP(表格1_6[[#This Row],[PO+ITEM]],工作表1!B:E,2,FALSE)</f>
        <v>#N/A</v>
      </c>
      <c r="AY534" s="425" t="e">
        <f ca="1">VLOOKUP(表格1_6[[#This Row],[PO+ITEM]],工作表1!B:E,3,FALSE)</f>
        <v>#N/A</v>
      </c>
      <c r="AZ534" s="423" t="e">
        <f ca="1">VLOOKUP(表格1_6[[#This Row],[PO+ITEM]],工作表1!B:E,4,FALSE)</f>
        <v>#N/A</v>
      </c>
      <c r="BA534" s="425" t="e">
        <f ca="1">INDEX(工作表1!G:G, MATCH(表格1_6[[#This Row],[invoice number]]&amp;表格1_6[[#This Row],[invoice number2]],工作表1!G:G, 0))</f>
        <v>#N/A</v>
      </c>
      <c r="BB534" s="423" t="e">
        <f ca="1">VLOOKUP(表格1_6[[#This Row],[PO+ITEM]],工作表1!F:H,2,FALSE)</f>
        <v>#N/A</v>
      </c>
    </row>
    <row r="535" spans="1:54" ht="14.45">
      <c r="A535" s="413">
        <v>534</v>
      </c>
      <c r="B535" s="413" t="s">
        <v>3659</v>
      </c>
      <c r="C535" s="414" t="s">
        <v>16</v>
      </c>
      <c r="D535" s="414" t="s">
        <v>3648</v>
      </c>
      <c r="E535" s="414"/>
      <c r="F535" s="414"/>
      <c r="G535" s="414"/>
      <c r="H535" s="414"/>
      <c r="I535" s="414"/>
      <c r="J535" s="414"/>
      <c r="K535" s="414"/>
      <c r="L535" s="415" t="s">
        <v>5048</v>
      </c>
      <c r="M535" s="416" t="s">
        <v>2999</v>
      </c>
      <c r="N535" s="416" t="s">
        <v>2999</v>
      </c>
      <c r="O535" s="417"/>
      <c r="P535" s="416">
        <v>4590006255</v>
      </c>
      <c r="Q535" s="418">
        <v>44836</v>
      </c>
      <c r="R535" s="419">
        <v>19</v>
      </c>
      <c r="S535" s="458">
        <v>2588.64</v>
      </c>
      <c r="T535" s="420" t="s">
        <v>2156</v>
      </c>
      <c r="U535" s="414" t="s">
        <v>3661</v>
      </c>
      <c r="V535" s="414" t="s">
        <v>3662</v>
      </c>
      <c r="W535" s="417" t="s">
        <v>3663</v>
      </c>
      <c r="X535" s="417"/>
      <c r="Y535" s="421" t="s">
        <v>3652</v>
      </c>
      <c r="Z535" s="421" t="s">
        <v>3652</v>
      </c>
      <c r="AA535" s="416" t="s">
        <v>5025</v>
      </c>
      <c r="AB535" s="414" t="s">
        <v>3664</v>
      </c>
      <c r="AC535" s="422"/>
      <c r="AD535" s="421"/>
      <c r="AE535" s="420"/>
      <c r="AF535" s="421">
        <v>91334</v>
      </c>
      <c r="AG535" s="420" t="s">
        <v>3218</v>
      </c>
      <c r="AH535" s="421" t="s">
        <v>3665</v>
      </c>
      <c r="AI535" s="420" t="s">
        <v>3666</v>
      </c>
      <c r="AJ535" s="413" t="str">
        <f t="shared" si="33"/>
        <v>4590006255_019</v>
      </c>
      <c r="AK535" s="423"/>
      <c r="AL535" s="424">
        <v>45047</v>
      </c>
      <c r="AM535" s="221">
        <v>1035.46</v>
      </c>
      <c r="AN535" s="424">
        <v>45153</v>
      </c>
      <c r="AO535" s="423"/>
      <c r="AP535" s="413"/>
      <c r="AQ535" s="222"/>
      <c r="AR535" s="424"/>
      <c r="AS535" s="614">
        <f ca="1">表格1_6[[#This Row],[total amount]]/表格1_6[[#This Row],[PO$]]</f>
        <v>0.40000154521293035</v>
      </c>
      <c r="AT535" s="223">
        <f ca="1">表格1_6[[#This Row],[invoice amount]]+表格1_6[[#This Row],[invoice amount2]]</f>
        <v>1035.46</v>
      </c>
      <c r="AU535" s="224" t="s">
        <v>3673</v>
      </c>
      <c r="AV535" s="423"/>
      <c r="AW535" s="423" t="e">
        <f ca="1">VLOOKUP(表格1_6[[#This Row],[TI tool ID2]],工作表1!A:A,1,FALSE)</f>
        <v>#N/A</v>
      </c>
      <c r="AX535" s="425" t="e">
        <f ca="1">VLOOKUP(表格1_6[[#This Row],[PO+ITEM]],工作表1!B:E,2,FALSE)</f>
        <v>#N/A</v>
      </c>
      <c r="AY535" s="425" t="e">
        <f ca="1">VLOOKUP(表格1_6[[#This Row],[PO+ITEM]],工作表1!B:E,3,FALSE)</f>
        <v>#N/A</v>
      </c>
      <c r="AZ535" s="423" t="e">
        <f ca="1">VLOOKUP(表格1_6[[#This Row],[PO+ITEM]],工作表1!B:E,4,FALSE)</f>
        <v>#N/A</v>
      </c>
      <c r="BA535" s="425" t="e">
        <f ca="1">INDEX(工作表1!G:G, MATCH(表格1_6[[#This Row],[invoice number]]&amp;表格1_6[[#This Row],[invoice number2]],工作表1!G:G, 0))</f>
        <v>#N/A</v>
      </c>
      <c r="BB535" s="423" t="e">
        <f ca="1">VLOOKUP(表格1_6[[#This Row],[PO+ITEM]],工作表1!F:H,2,FALSE)</f>
        <v>#N/A</v>
      </c>
    </row>
    <row r="536" spans="1:54" ht="14.45">
      <c r="A536" s="413">
        <v>535</v>
      </c>
      <c r="B536" s="413" t="s">
        <v>3659</v>
      </c>
      <c r="C536" s="414" t="s">
        <v>16</v>
      </c>
      <c r="D536" s="414" t="s">
        <v>3648</v>
      </c>
      <c r="E536" s="414"/>
      <c r="F536" s="414"/>
      <c r="G536" s="414"/>
      <c r="H536" s="414"/>
      <c r="I536" s="414"/>
      <c r="J536" s="414"/>
      <c r="K536" s="414"/>
      <c r="L536" s="415" t="s">
        <v>5049</v>
      </c>
      <c r="M536" s="416" t="s">
        <v>2999</v>
      </c>
      <c r="N536" s="416" t="s">
        <v>2999</v>
      </c>
      <c r="O536" s="417"/>
      <c r="P536" s="416">
        <v>4590006255</v>
      </c>
      <c r="Q536" s="418">
        <v>44836</v>
      </c>
      <c r="R536" s="419">
        <v>20</v>
      </c>
      <c r="S536" s="458">
        <v>1369.77</v>
      </c>
      <c r="T536" s="420" t="s">
        <v>2156</v>
      </c>
      <c r="U536" s="414" t="s">
        <v>3661</v>
      </c>
      <c r="V536" s="414" t="s">
        <v>3662</v>
      </c>
      <c r="W536" s="417" t="s">
        <v>3663</v>
      </c>
      <c r="X536" s="417"/>
      <c r="Y536" s="421" t="s">
        <v>3652</v>
      </c>
      <c r="Z536" s="421" t="s">
        <v>3652</v>
      </c>
      <c r="AA536" s="416" t="s">
        <v>5025</v>
      </c>
      <c r="AB536" s="414" t="s">
        <v>3664</v>
      </c>
      <c r="AC536" s="422"/>
      <c r="AD536" s="421"/>
      <c r="AE536" s="420"/>
      <c r="AF536" s="421">
        <v>91366</v>
      </c>
      <c r="AG536" s="420" t="s">
        <v>5050</v>
      </c>
      <c r="AH536" s="421" t="s">
        <v>3665</v>
      </c>
      <c r="AI536" s="420" t="s">
        <v>3719</v>
      </c>
      <c r="AJ536" s="413" t="str">
        <f t="shared" si="33"/>
        <v>4590006255_020</v>
      </c>
      <c r="AK536" s="423"/>
      <c r="AL536" s="424">
        <v>45108</v>
      </c>
      <c r="AM536" s="221">
        <v>547.91</v>
      </c>
      <c r="AN536" s="424">
        <v>45212</v>
      </c>
      <c r="AO536" s="423"/>
      <c r="AP536" s="413"/>
      <c r="AQ536" s="222"/>
      <c r="AR536" s="424"/>
      <c r="AS536" s="614">
        <f ca="1">表格1_6[[#This Row],[total amount]]/表格1_6[[#This Row],[PO$]]</f>
        <v>0.40000146009914073</v>
      </c>
      <c r="AT536" s="223">
        <f ca="1">表格1_6[[#This Row],[invoice amount]]+表格1_6[[#This Row],[invoice amount2]]</f>
        <v>547.91</v>
      </c>
      <c r="AU536" s="224" t="s">
        <v>3673</v>
      </c>
      <c r="AV536" s="423"/>
      <c r="AW536" s="423" t="e">
        <f ca="1">VLOOKUP(表格1_6[[#This Row],[TI tool ID2]],工作表1!A:A,1,FALSE)</f>
        <v>#N/A</v>
      </c>
      <c r="AX536" s="425" t="e">
        <f ca="1">VLOOKUP(表格1_6[[#This Row],[PO+ITEM]],工作表1!B:E,2,FALSE)</f>
        <v>#N/A</v>
      </c>
      <c r="AY536" s="425" t="e">
        <f ca="1">VLOOKUP(表格1_6[[#This Row],[PO+ITEM]],工作表1!B:E,3,FALSE)</f>
        <v>#N/A</v>
      </c>
      <c r="AZ536" s="423" t="e">
        <f ca="1">VLOOKUP(表格1_6[[#This Row],[PO+ITEM]],工作表1!B:E,4,FALSE)</f>
        <v>#N/A</v>
      </c>
      <c r="BA536" s="425" t="e">
        <f ca="1">INDEX(工作表1!G:G, MATCH(表格1_6[[#This Row],[invoice number]]&amp;表格1_6[[#This Row],[invoice number2]],工作表1!G:G, 0))</f>
        <v>#N/A</v>
      </c>
      <c r="BB536" s="423" t="e">
        <f ca="1">VLOOKUP(表格1_6[[#This Row],[PO+ITEM]],工作表1!F:H,2,FALSE)</f>
        <v>#N/A</v>
      </c>
    </row>
    <row r="537" spans="1:54" ht="14.45">
      <c r="A537" s="413">
        <v>536</v>
      </c>
      <c r="B537" s="413" t="s">
        <v>3659</v>
      </c>
      <c r="C537" s="414" t="s">
        <v>16</v>
      </c>
      <c r="D537" s="414" t="s">
        <v>3648</v>
      </c>
      <c r="E537" s="414"/>
      <c r="F537" s="414"/>
      <c r="G537" s="414"/>
      <c r="H537" s="414"/>
      <c r="I537" s="414"/>
      <c r="J537" s="414"/>
      <c r="K537" s="414"/>
      <c r="L537" s="415" t="s">
        <v>5051</v>
      </c>
      <c r="M537" s="416" t="s">
        <v>2999</v>
      </c>
      <c r="N537" s="416" t="s">
        <v>2999</v>
      </c>
      <c r="O537" s="417"/>
      <c r="P537" s="416">
        <v>4590006255</v>
      </c>
      <c r="Q537" s="418">
        <v>44836</v>
      </c>
      <c r="R537" s="419">
        <v>21</v>
      </c>
      <c r="S537" s="458">
        <v>1369.77</v>
      </c>
      <c r="T537" s="420" t="s">
        <v>2156</v>
      </c>
      <c r="U537" s="414" t="s">
        <v>3661</v>
      </c>
      <c r="V537" s="414" t="s">
        <v>3662</v>
      </c>
      <c r="W537" s="417" t="s">
        <v>3663</v>
      </c>
      <c r="X537" s="417"/>
      <c r="Y537" s="421" t="s">
        <v>3652</v>
      </c>
      <c r="Z537" s="421" t="s">
        <v>3652</v>
      </c>
      <c r="AA537" s="416" t="s">
        <v>5025</v>
      </c>
      <c r="AB537" s="414" t="s">
        <v>3664</v>
      </c>
      <c r="AC537" s="422"/>
      <c r="AD537" s="421"/>
      <c r="AE537" s="420"/>
      <c r="AF537" s="421">
        <v>91367</v>
      </c>
      <c r="AG537" s="420" t="s">
        <v>5052</v>
      </c>
      <c r="AH537" s="421" t="s">
        <v>3665</v>
      </c>
      <c r="AI537" s="420" t="s">
        <v>3719</v>
      </c>
      <c r="AJ537" s="413" t="str">
        <f t="shared" si="33"/>
        <v>4590006255_021</v>
      </c>
      <c r="AK537" s="423"/>
      <c r="AL537" s="424">
        <v>45108</v>
      </c>
      <c r="AM537" s="221">
        <v>547.91</v>
      </c>
      <c r="AN537" s="424">
        <v>45212</v>
      </c>
      <c r="AO537" s="423"/>
      <c r="AP537" s="413"/>
      <c r="AQ537" s="222"/>
      <c r="AR537" s="424"/>
      <c r="AS537" s="614">
        <f ca="1">表格1_6[[#This Row],[total amount]]/表格1_6[[#This Row],[PO$]]</f>
        <v>0.40000146009914073</v>
      </c>
      <c r="AT537" s="223">
        <f ca="1">表格1_6[[#This Row],[invoice amount]]+表格1_6[[#This Row],[invoice amount2]]</f>
        <v>547.91</v>
      </c>
      <c r="AU537" s="224" t="s">
        <v>3673</v>
      </c>
      <c r="AV537" s="423"/>
      <c r="AW537" s="423" t="e">
        <f ca="1">VLOOKUP(表格1_6[[#This Row],[TI tool ID2]],工作表1!A:A,1,FALSE)</f>
        <v>#N/A</v>
      </c>
      <c r="AX537" s="425" t="e">
        <f ca="1">VLOOKUP(表格1_6[[#This Row],[PO+ITEM]],工作表1!B:E,2,FALSE)</f>
        <v>#N/A</v>
      </c>
      <c r="AY537" s="425" t="e">
        <f ca="1">VLOOKUP(表格1_6[[#This Row],[PO+ITEM]],工作表1!B:E,3,FALSE)</f>
        <v>#N/A</v>
      </c>
      <c r="AZ537" s="423" t="e">
        <f ca="1">VLOOKUP(表格1_6[[#This Row],[PO+ITEM]],工作表1!B:E,4,FALSE)</f>
        <v>#N/A</v>
      </c>
      <c r="BA537" s="425" t="e">
        <f ca="1">INDEX(工作表1!G:G, MATCH(表格1_6[[#This Row],[invoice number]]&amp;表格1_6[[#This Row],[invoice number2]],工作表1!G:G, 0))</f>
        <v>#N/A</v>
      </c>
      <c r="BB537" s="423" t="e">
        <f ca="1">VLOOKUP(表格1_6[[#This Row],[PO+ITEM]],工作表1!F:H,2,FALSE)</f>
        <v>#N/A</v>
      </c>
    </row>
    <row r="538" spans="1:54" ht="14.45">
      <c r="A538" s="413">
        <v>537</v>
      </c>
      <c r="B538" s="413" t="s">
        <v>3659</v>
      </c>
      <c r="C538" s="414" t="s">
        <v>16</v>
      </c>
      <c r="D538" s="414" t="s">
        <v>3648</v>
      </c>
      <c r="E538" s="414"/>
      <c r="F538" s="414"/>
      <c r="G538" s="414"/>
      <c r="H538" s="414"/>
      <c r="I538" s="414"/>
      <c r="J538" s="414"/>
      <c r="K538" s="414"/>
      <c r="L538" s="415" t="s">
        <v>5053</v>
      </c>
      <c r="M538" s="416" t="s">
        <v>2999</v>
      </c>
      <c r="N538" s="416" t="s">
        <v>2999</v>
      </c>
      <c r="O538" s="417"/>
      <c r="P538" s="416">
        <v>4590006255</v>
      </c>
      <c r="Q538" s="418">
        <v>44836</v>
      </c>
      <c r="R538" s="419">
        <v>22</v>
      </c>
      <c r="S538" s="458">
        <v>2588.64</v>
      </c>
      <c r="T538" s="420" t="s">
        <v>2156</v>
      </c>
      <c r="U538" s="414" t="s">
        <v>3661</v>
      </c>
      <c r="V538" s="414" t="s">
        <v>3662</v>
      </c>
      <c r="W538" s="417" t="s">
        <v>3663</v>
      </c>
      <c r="X538" s="417"/>
      <c r="Y538" s="421" t="s">
        <v>3652</v>
      </c>
      <c r="Z538" s="421" t="s">
        <v>3652</v>
      </c>
      <c r="AA538" s="416" t="s">
        <v>5025</v>
      </c>
      <c r="AB538" s="414" t="s">
        <v>3664</v>
      </c>
      <c r="AC538" s="422"/>
      <c r="AD538" s="421"/>
      <c r="AE538" s="420"/>
      <c r="AF538" s="421">
        <v>91396</v>
      </c>
      <c r="AG538" s="420" t="s">
        <v>3230</v>
      </c>
      <c r="AH538" s="421" t="s">
        <v>3665</v>
      </c>
      <c r="AI538" s="420" t="s">
        <v>3666</v>
      </c>
      <c r="AJ538" s="413" t="str">
        <f t="shared" si="33"/>
        <v>4590006255_022</v>
      </c>
      <c r="AK538" s="423"/>
      <c r="AL538" s="424">
        <v>45047</v>
      </c>
      <c r="AM538" s="221">
        <v>1035.46</v>
      </c>
      <c r="AN538" s="424">
        <v>45153</v>
      </c>
      <c r="AO538" s="423"/>
      <c r="AP538" s="413"/>
      <c r="AQ538" s="222"/>
      <c r="AR538" s="424"/>
      <c r="AS538" s="614">
        <f ca="1">表格1_6[[#This Row],[total amount]]/表格1_6[[#This Row],[PO$]]</f>
        <v>0.40000154521293035</v>
      </c>
      <c r="AT538" s="223">
        <f ca="1">表格1_6[[#This Row],[invoice amount]]+表格1_6[[#This Row],[invoice amount2]]</f>
        <v>1035.46</v>
      </c>
      <c r="AU538" s="224" t="s">
        <v>3673</v>
      </c>
      <c r="AV538" s="423"/>
      <c r="AW538" s="423" t="e">
        <f ca="1">VLOOKUP(表格1_6[[#This Row],[TI tool ID2]],工作表1!A:A,1,FALSE)</f>
        <v>#N/A</v>
      </c>
      <c r="AX538" s="425" t="e">
        <f ca="1">VLOOKUP(表格1_6[[#This Row],[PO+ITEM]],工作表1!B:E,2,FALSE)</f>
        <v>#N/A</v>
      </c>
      <c r="AY538" s="425" t="e">
        <f ca="1">VLOOKUP(表格1_6[[#This Row],[PO+ITEM]],工作表1!B:E,3,FALSE)</f>
        <v>#N/A</v>
      </c>
      <c r="AZ538" s="423" t="e">
        <f ca="1">VLOOKUP(表格1_6[[#This Row],[PO+ITEM]],工作表1!B:E,4,FALSE)</f>
        <v>#N/A</v>
      </c>
      <c r="BA538" s="425" t="e">
        <f ca="1">INDEX(工作表1!G:G, MATCH(表格1_6[[#This Row],[invoice number]]&amp;表格1_6[[#This Row],[invoice number2]],工作表1!G:G, 0))</f>
        <v>#N/A</v>
      </c>
      <c r="BB538" s="423" t="e">
        <f ca="1">VLOOKUP(表格1_6[[#This Row],[PO+ITEM]],工作表1!F:H,2,FALSE)</f>
        <v>#N/A</v>
      </c>
    </row>
    <row r="539" spans="1:54" ht="14.45">
      <c r="A539" s="413">
        <v>538</v>
      </c>
      <c r="B539" s="413" t="s">
        <v>3659</v>
      </c>
      <c r="C539" s="414" t="s">
        <v>16</v>
      </c>
      <c r="D539" s="414" t="s">
        <v>3648</v>
      </c>
      <c r="E539" s="414"/>
      <c r="F539" s="414"/>
      <c r="G539" s="414"/>
      <c r="H539" s="414"/>
      <c r="I539" s="414"/>
      <c r="J539" s="414"/>
      <c r="K539" s="414"/>
      <c r="L539" s="415" t="s">
        <v>5054</v>
      </c>
      <c r="M539" s="416" t="s">
        <v>2999</v>
      </c>
      <c r="N539" s="416" t="s">
        <v>2999</v>
      </c>
      <c r="O539" s="417"/>
      <c r="P539" s="416">
        <v>4590006255</v>
      </c>
      <c r="Q539" s="418">
        <v>44836</v>
      </c>
      <c r="R539" s="419">
        <v>23</v>
      </c>
      <c r="S539" s="458">
        <v>1369.77</v>
      </c>
      <c r="T539" s="420" t="s">
        <v>2156</v>
      </c>
      <c r="U539" s="414" t="s">
        <v>3661</v>
      </c>
      <c r="V539" s="414" t="s">
        <v>3662</v>
      </c>
      <c r="W539" s="417" t="s">
        <v>3663</v>
      </c>
      <c r="X539" s="417"/>
      <c r="Y539" s="421" t="s">
        <v>3652</v>
      </c>
      <c r="Z539" s="421" t="s">
        <v>3652</v>
      </c>
      <c r="AA539" s="416" t="s">
        <v>5025</v>
      </c>
      <c r="AB539" s="414" t="s">
        <v>3664</v>
      </c>
      <c r="AC539" s="422"/>
      <c r="AD539" s="421"/>
      <c r="AE539" s="420"/>
      <c r="AF539" s="421">
        <v>91412</v>
      </c>
      <c r="AG539" s="420" t="s">
        <v>5055</v>
      </c>
      <c r="AH539" s="421" t="s">
        <v>3665</v>
      </c>
      <c r="AI539" s="420" t="s">
        <v>3719</v>
      </c>
      <c r="AJ539" s="413" t="str">
        <f t="shared" si="33"/>
        <v>4590006255_023</v>
      </c>
      <c r="AK539" s="423"/>
      <c r="AL539" s="424">
        <v>45108</v>
      </c>
      <c r="AM539" s="221">
        <v>547.91</v>
      </c>
      <c r="AN539" s="424">
        <v>45212</v>
      </c>
      <c r="AO539" s="423"/>
      <c r="AP539" s="413"/>
      <c r="AQ539" s="222"/>
      <c r="AR539" s="424"/>
      <c r="AS539" s="614">
        <f ca="1">表格1_6[[#This Row],[total amount]]/表格1_6[[#This Row],[PO$]]</f>
        <v>0.40000146009914073</v>
      </c>
      <c r="AT539" s="223">
        <f ca="1">表格1_6[[#This Row],[invoice amount]]+表格1_6[[#This Row],[invoice amount2]]</f>
        <v>547.91</v>
      </c>
      <c r="AU539" s="224" t="s">
        <v>3673</v>
      </c>
      <c r="AV539" s="423"/>
      <c r="AW539" s="423" t="e">
        <f ca="1">VLOOKUP(表格1_6[[#This Row],[TI tool ID2]],工作表1!A:A,1,FALSE)</f>
        <v>#N/A</v>
      </c>
      <c r="AX539" s="425" t="e">
        <f ca="1">VLOOKUP(表格1_6[[#This Row],[PO+ITEM]],工作表1!B:E,2,FALSE)</f>
        <v>#N/A</v>
      </c>
      <c r="AY539" s="425" t="e">
        <f ca="1">VLOOKUP(表格1_6[[#This Row],[PO+ITEM]],工作表1!B:E,3,FALSE)</f>
        <v>#N/A</v>
      </c>
      <c r="AZ539" s="423" t="e">
        <f ca="1">VLOOKUP(表格1_6[[#This Row],[PO+ITEM]],工作表1!B:E,4,FALSE)</f>
        <v>#N/A</v>
      </c>
      <c r="BA539" s="425" t="e">
        <f ca="1">INDEX(工作表1!G:G, MATCH(表格1_6[[#This Row],[invoice number]]&amp;表格1_6[[#This Row],[invoice number2]],工作表1!G:G, 0))</f>
        <v>#N/A</v>
      </c>
      <c r="BB539" s="423" t="e">
        <f ca="1">VLOOKUP(表格1_6[[#This Row],[PO+ITEM]],工作表1!F:H,2,FALSE)</f>
        <v>#N/A</v>
      </c>
    </row>
    <row r="540" spans="1:54" ht="14.45">
      <c r="A540" s="413">
        <v>539</v>
      </c>
      <c r="B540" s="413" t="s">
        <v>3659</v>
      </c>
      <c r="C540" s="414" t="s">
        <v>16</v>
      </c>
      <c r="D540" s="414" t="s">
        <v>3648</v>
      </c>
      <c r="E540" s="414"/>
      <c r="F540" s="414"/>
      <c r="G540" s="414"/>
      <c r="H540" s="414"/>
      <c r="I540" s="414"/>
      <c r="J540" s="414"/>
      <c r="K540" s="414"/>
      <c r="L540" s="415" t="s">
        <v>5056</v>
      </c>
      <c r="M540" s="416" t="s">
        <v>2999</v>
      </c>
      <c r="N540" s="416" t="s">
        <v>2999</v>
      </c>
      <c r="O540" s="417"/>
      <c r="P540" s="416">
        <v>4590006257</v>
      </c>
      <c r="Q540" s="418">
        <v>44836</v>
      </c>
      <c r="R540" s="419">
        <v>1</v>
      </c>
      <c r="S540" s="458">
        <v>913.18</v>
      </c>
      <c r="T540" s="420" t="s">
        <v>2156</v>
      </c>
      <c r="U540" s="414" t="s">
        <v>3661</v>
      </c>
      <c r="V540" s="414" t="s">
        <v>3662</v>
      </c>
      <c r="W540" s="417" t="s">
        <v>3663</v>
      </c>
      <c r="X540" s="417"/>
      <c r="Y540" s="421" t="s">
        <v>3652</v>
      </c>
      <c r="Z540" s="421" t="s">
        <v>3652</v>
      </c>
      <c r="AA540" s="416" t="s">
        <v>4648</v>
      </c>
      <c r="AB540" s="414" t="s">
        <v>3664</v>
      </c>
      <c r="AC540" s="422"/>
      <c r="AD540" s="421"/>
      <c r="AE540" s="420"/>
      <c r="AF540" s="421">
        <v>90995</v>
      </c>
      <c r="AG540" s="420" t="s">
        <v>3254</v>
      </c>
      <c r="AH540" s="421" t="s">
        <v>3711</v>
      </c>
      <c r="AI540" s="420" t="s">
        <v>3666</v>
      </c>
      <c r="AJ540" s="413" t="str">
        <f t="shared" ref="AJ540:AJ548" si="34">P540&amp;"_00"&amp;R540</f>
        <v>4590006257_001</v>
      </c>
      <c r="AK540" s="423"/>
      <c r="AL540" s="424">
        <v>45108</v>
      </c>
      <c r="AM540" s="221">
        <v>365.27199999999999</v>
      </c>
      <c r="AN540" s="424">
        <v>45260</v>
      </c>
      <c r="AO540" s="423"/>
      <c r="AP540" s="413"/>
      <c r="AQ540" s="222"/>
      <c r="AR540" s="424"/>
      <c r="AS540" s="614">
        <f ca="1">表格1_6[[#This Row],[total amount]]/表格1_6[[#This Row],[PO$]]</f>
        <v>0.4</v>
      </c>
      <c r="AT540" s="223">
        <f ca="1">表格1_6[[#This Row],[invoice amount]]+表格1_6[[#This Row],[invoice amount2]]</f>
        <v>365.27199999999999</v>
      </c>
      <c r="AU540" s="224" t="s">
        <v>3673</v>
      </c>
      <c r="AV540" s="423"/>
      <c r="AW540" s="423" t="e">
        <f ca="1">VLOOKUP(表格1_6[[#This Row],[TI tool ID2]],工作表1!A:A,1,FALSE)</f>
        <v>#N/A</v>
      </c>
      <c r="AX540" s="425" t="e">
        <f ca="1">VLOOKUP(表格1_6[[#This Row],[PO+ITEM]],工作表1!B:E,2,FALSE)</f>
        <v>#N/A</v>
      </c>
      <c r="AY540" s="425" t="e">
        <f ca="1">VLOOKUP(表格1_6[[#This Row],[PO+ITEM]],工作表1!B:E,3,FALSE)</f>
        <v>#N/A</v>
      </c>
      <c r="AZ540" s="423" t="e">
        <f ca="1">VLOOKUP(表格1_6[[#This Row],[PO+ITEM]],工作表1!B:E,4,FALSE)</f>
        <v>#N/A</v>
      </c>
      <c r="BA540" s="425" t="e">
        <f ca="1">INDEX(工作表1!G:G, MATCH(表格1_6[[#This Row],[invoice number]]&amp;表格1_6[[#This Row],[invoice number2]],工作表1!G:G, 0))</f>
        <v>#N/A</v>
      </c>
      <c r="BB540" s="423" t="e">
        <f ca="1">VLOOKUP(表格1_6[[#This Row],[PO+ITEM]],工作表1!F:H,2,FALSE)</f>
        <v>#N/A</v>
      </c>
    </row>
    <row r="541" spans="1:54" ht="15.6">
      <c r="A541" s="413">
        <v>540</v>
      </c>
      <c r="B541" s="413" t="s">
        <v>3659</v>
      </c>
      <c r="C541" s="414" t="s">
        <v>16</v>
      </c>
      <c r="D541" s="414" t="s">
        <v>3648</v>
      </c>
      <c r="E541" s="414"/>
      <c r="F541" s="414"/>
      <c r="G541" s="414"/>
      <c r="H541" s="414"/>
      <c r="I541" s="414"/>
      <c r="J541" s="414"/>
      <c r="K541" s="414"/>
      <c r="L541" s="415" t="s">
        <v>5057</v>
      </c>
      <c r="M541" s="416" t="s">
        <v>2999</v>
      </c>
      <c r="N541" s="416" t="s">
        <v>2999</v>
      </c>
      <c r="O541" s="417"/>
      <c r="P541" s="416">
        <v>4590006257</v>
      </c>
      <c r="Q541" s="418">
        <v>44836</v>
      </c>
      <c r="R541" s="419">
        <v>2</v>
      </c>
      <c r="S541" s="458">
        <v>95912.23</v>
      </c>
      <c r="T541" s="420" t="s">
        <v>2156</v>
      </c>
      <c r="U541" s="414" t="s">
        <v>3661</v>
      </c>
      <c r="V541" s="414" t="s">
        <v>3662</v>
      </c>
      <c r="W541" s="417" t="s">
        <v>3663</v>
      </c>
      <c r="X541" s="417"/>
      <c r="Y541" s="421" t="s">
        <v>3652</v>
      </c>
      <c r="Z541" s="421" t="s">
        <v>3652</v>
      </c>
      <c r="AA541" s="416" t="s">
        <v>4648</v>
      </c>
      <c r="AB541" s="414" t="s">
        <v>3664</v>
      </c>
      <c r="AC541" s="422"/>
      <c r="AD541" s="421"/>
      <c r="AE541" s="420"/>
      <c r="AF541" s="421">
        <v>90999</v>
      </c>
      <c r="AG541" s="420" t="s">
        <v>3271</v>
      </c>
      <c r="AH541" s="421" t="s">
        <v>3711</v>
      </c>
      <c r="AI541" s="420" t="s">
        <v>3666</v>
      </c>
      <c r="AJ541" s="413" t="str">
        <f t="shared" si="34"/>
        <v>4590006257_002</v>
      </c>
      <c r="AK541" s="423"/>
      <c r="AL541" s="424">
        <v>45108</v>
      </c>
      <c r="AM541" s="221">
        <v>38364.892</v>
      </c>
      <c r="AN541" s="258">
        <v>45288</v>
      </c>
      <c r="AO541" s="423"/>
      <c r="AP541" s="413"/>
      <c r="AQ541" s="222"/>
      <c r="AR541" s="424"/>
      <c r="AS541" s="614">
        <f ca="1">表格1_6[[#This Row],[total amount]]/表格1_6[[#This Row],[PO$]]</f>
        <v>0.4</v>
      </c>
      <c r="AT541" s="223">
        <f ca="1">表格1_6[[#This Row],[invoice amount]]+表格1_6[[#This Row],[invoice amount2]]</f>
        <v>38364.892</v>
      </c>
      <c r="AU541" s="224" t="s">
        <v>3673</v>
      </c>
      <c r="AV541" s="423"/>
      <c r="AW541" s="423" t="e">
        <f ca="1">VLOOKUP(表格1_6[[#This Row],[TI tool ID2]],工作表1!A:A,1,FALSE)</f>
        <v>#N/A</v>
      </c>
      <c r="AX541" s="425" t="e">
        <f ca="1">VLOOKUP(表格1_6[[#This Row],[PO+ITEM]],工作表1!B:E,2,FALSE)</f>
        <v>#N/A</v>
      </c>
      <c r="AY541" s="425" t="e">
        <f ca="1">VLOOKUP(表格1_6[[#This Row],[PO+ITEM]],工作表1!B:E,3,FALSE)</f>
        <v>#N/A</v>
      </c>
      <c r="AZ541" s="423" t="e">
        <f ca="1">VLOOKUP(表格1_6[[#This Row],[PO+ITEM]],工作表1!B:E,4,FALSE)</f>
        <v>#N/A</v>
      </c>
      <c r="BA541" s="425" t="e">
        <f ca="1">INDEX(工作表1!G:G, MATCH(表格1_6[[#This Row],[invoice number]]&amp;表格1_6[[#This Row],[invoice number2]],工作表1!G:G, 0))</f>
        <v>#N/A</v>
      </c>
      <c r="BB541" s="423" t="e">
        <f ca="1">VLOOKUP(表格1_6[[#This Row],[PO+ITEM]],工作表1!F:H,2,FALSE)</f>
        <v>#N/A</v>
      </c>
    </row>
    <row r="542" spans="1:54" ht="14.45">
      <c r="A542" s="413">
        <v>541</v>
      </c>
      <c r="B542" s="413" t="s">
        <v>3659</v>
      </c>
      <c r="C542" s="414" t="s">
        <v>16</v>
      </c>
      <c r="D542" s="414" t="s">
        <v>3648</v>
      </c>
      <c r="E542" s="414"/>
      <c r="F542" s="414"/>
      <c r="G542" s="414"/>
      <c r="H542" s="414"/>
      <c r="I542" s="414"/>
      <c r="J542" s="414"/>
      <c r="K542" s="414"/>
      <c r="L542" s="415" t="s">
        <v>5058</v>
      </c>
      <c r="M542" s="416" t="s">
        <v>2999</v>
      </c>
      <c r="N542" s="416" t="s">
        <v>2999</v>
      </c>
      <c r="O542" s="417"/>
      <c r="P542" s="416">
        <v>4590006257</v>
      </c>
      <c r="Q542" s="418">
        <v>44836</v>
      </c>
      <c r="R542" s="419">
        <v>3</v>
      </c>
      <c r="S542" s="458">
        <v>4720.7</v>
      </c>
      <c r="T542" s="420" t="s">
        <v>2156</v>
      </c>
      <c r="U542" s="414" t="s">
        <v>3661</v>
      </c>
      <c r="V542" s="414" t="s">
        <v>3662</v>
      </c>
      <c r="W542" s="417" t="s">
        <v>3663</v>
      </c>
      <c r="X542" s="417"/>
      <c r="Y542" s="421" t="s">
        <v>3652</v>
      </c>
      <c r="Z542" s="421" t="s">
        <v>3652</v>
      </c>
      <c r="AA542" s="416" t="s">
        <v>4648</v>
      </c>
      <c r="AB542" s="414" t="s">
        <v>3664</v>
      </c>
      <c r="AC542" s="422"/>
      <c r="AD542" s="421"/>
      <c r="AE542" s="420"/>
      <c r="AF542" s="421">
        <v>91089</v>
      </c>
      <c r="AG542" s="420" t="s">
        <v>5059</v>
      </c>
      <c r="AH542" s="421" t="s">
        <v>3711</v>
      </c>
      <c r="AI542" s="420" t="s">
        <v>3719</v>
      </c>
      <c r="AJ542" s="413" t="str">
        <f t="shared" si="34"/>
        <v>4590006257_003</v>
      </c>
      <c r="AK542" s="423"/>
      <c r="AL542" s="413"/>
      <c r="AM542" s="221"/>
      <c r="AN542" s="424"/>
      <c r="AO542" s="423"/>
      <c r="AP542" s="413"/>
      <c r="AQ542" s="222"/>
      <c r="AR542" s="424"/>
      <c r="AS542" s="614">
        <f ca="1">表格1_6[[#This Row],[total amount]]/表格1_6[[#This Row],[PO$]]</f>
        <v>0</v>
      </c>
      <c r="AT542" s="223">
        <f ca="1">表格1_6[[#This Row],[invoice amount]]+表格1_6[[#This Row],[invoice amount2]]</f>
        <v>0</v>
      </c>
      <c r="AU542" s="224"/>
      <c r="AV542" s="423"/>
      <c r="AW542" s="423" t="e">
        <f ca="1">VLOOKUP(表格1_6[[#This Row],[TI tool ID2]],工作表1!A:A,1,FALSE)</f>
        <v>#N/A</v>
      </c>
      <c r="AX542" s="425" t="e">
        <f ca="1">VLOOKUP(表格1_6[[#This Row],[PO+ITEM]],工作表1!B:E,2,FALSE)</f>
        <v>#N/A</v>
      </c>
      <c r="AY542" s="425" t="e">
        <f ca="1">VLOOKUP(表格1_6[[#This Row],[PO+ITEM]],工作表1!B:E,3,FALSE)</f>
        <v>#N/A</v>
      </c>
      <c r="AZ542" s="423" t="e">
        <f ca="1">VLOOKUP(表格1_6[[#This Row],[PO+ITEM]],工作表1!B:E,4,FALSE)</f>
        <v>#N/A</v>
      </c>
      <c r="BA542" s="425" t="e">
        <f ca="1">INDEX(工作表1!G:G, MATCH(表格1_6[[#This Row],[invoice number]]&amp;表格1_6[[#This Row],[invoice number2]],工作表1!G:G, 0))</f>
        <v>#N/A</v>
      </c>
      <c r="BB542" s="423" t="e">
        <f ca="1">VLOOKUP(表格1_6[[#This Row],[PO+ITEM]],工作表1!F:H,2,FALSE)</f>
        <v>#N/A</v>
      </c>
    </row>
    <row r="543" spans="1:54" ht="14.45">
      <c r="A543" s="413">
        <v>542</v>
      </c>
      <c r="B543" s="413" t="s">
        <v>3659</v>
      </c>
      <c r="C543" s="414" t="s">
        <v>16</v>
      </c>
      <c r="D543" s="414" t="s">
        <v>3648</v>
      </c>
      <c r="E543" s="414"/>
      <c r="F543" s="414"/>
      <c r="G543" s="414"/>
      <c r="H543" s="414"/>
      <c r="I543" s="414"/>
      <c r="J543" s="414"/>
      <c r="K543" s="414"/>
      <c r="L543" s="420" t="s">
        <v>5060</v>
      </c>
      <c r="M543" s="416" t="s">
        <v>2999</v>
      </c>
      <c r="N543" s="416" t="s">
        <v>2999</v>
      </c>
      <c r="O543" s="417"/>
      <c r="P543" s="416">
        <v>4590006257</v>
      </c>
      <c r="Q543" s="418">
        <v>44836</v>
      </c>
      <c r="R543" s="419">
        <v>4</v>
      </c>
      <c r="S543" s="458">
        <v>4720.7</v>
      </c>
      <c r="T543" s="420" t="s">
        <v>2156</v>
      </c>
      <c r="U543" s="414" t="s">
        <v>3661</v>
      </c>
      <c r="V543" s="414" t="s">
        <v>3662</v>
      </c>
      <c r="W543" s="417" t="s">
        <v>3663</v>
      </c>
      <c r="X543" s="417"/>
      <c r="Y543" s="421" t="s">
        <v>3652</v>
      </c>
      <c r="Z543" s="421" t="s">
        <v>3652</v>
      </c>
      <c r="AA543" s="416" t="s">
        <v>4648</v>
      </c>
      <c r="AB543" s="414" t="s">
        <v>3664</v>
      </c>
      <c r="AC543" s="422"/>
      <c r="AD543" s="421"/>
      <c r="AE543" s="420"/>
      <c r="AF543" s="421">
        <v>91090</v>
      </c>
      <c r="AG543" s="420" t="s">
        <v>5061</v>
      </c>
      <c r="AH543" s="421" t="s">
        <v>3711</v>
      </c>
      <c r="AI543" s="420" t="s">
        <v>3719</v>
      </c>
      <c r="AJ543" s="413" t="str">
        <f t="shared" si="34"/>
        <v>4590006257_004</v>
      </c>
      <c r="AK543" s="423"/>
      <c r="AL543" s="413"/>
      <c r="AM543" s="221"/>
      <c r="AN543" s="424"/>
      <c r="AO543" s="423"/>
      <c r="AP543" s="413"/>
      <c r="AQ543" s="222"/>
      <c r="AR543" s="424"/>
      <c r="AS543" s="614">
        <f ca="1">表格1_6[[#This Row],[total amount]]/表格1_6[[#This Row],[PO$]]</f>
        <v>0</v>
      </c>
      <c r="AT543" s="223">
        <f ca="1">表格1_6[[#This Row],[invoice amount]]+表格1_6[[#This Row],[invoice amount2]]</f>
        <v>0</v>
      </c>
      <c r="AU543" s="224"/>
      <c r="AV543" s="423"/>
      <c r="AW543" s="423" t="e">
        <f ca="1">VLOOKUP(表格1_6[[#This Row],[TI tool ID2]],工作表1!A:A,1,FALSE)</f>
        <v>#N/A</v>
      </c>
      <c r="AX543" s="425" t="e">
        <f ca="1">VLOOKUP(表格1_6[[#This Row],[PO+ITEM]],工作表1!B:E,2,FALSE)</f>
        <v>#N/A</v>
      </c>
      <c r="AY543" s="425" t="e">
        <f ca="1">VLOOKUP(表格1_6[[#This Row],[PO+ITEM]],工作表1!B:E,3,FALSE)</f>
        <v>#N/A</v>
      </c>
      <c r="AZ543" s="423" t="e">
        <f ca="1">VLOOKUP(表格1_6[[#This Row],[PO+ITEM]],工作表1!B:E,4,FALSE)</f>
        <v>#N/A</v>
      </c>
      <c r="BA543" s="425" t="e">
        <f ca="1">INDEX(工作表1!G:G, MATCH(表格1_6[[#This Row],[invoice number]]&amp;表格1_6[[#This Row],[invoice number2]],工作表1!G:G, 0))</f>
        <v>#N/A</v>
      </c>
      <c r="BB543" s="423" t="e">
        <f ca="1">VLOOKUP(表格1_6[[#This Row],[PO+ITEM]],工作表1!F:H,2,FALSE)</f>
        <v>#N/A</v>
      </c>
    </row>
    <row r="544" spans="1:54" ht="14.45">
      <c r="A544" s="413">
        <v>543</v>
      </c>
      <c r="B544" s="413" t="s">
        <v>3659</v>
      </c>
      <c r="C544" s="414" t="s">
        <v>16</v>
      </c>
      <c r="D544" s="414" t="s">
        <v>3648</v>
      </c>
      <c r="E544" s="414"/>
      <c r="F544" s="414"/>
      <c r="G544" s="414"/>
      <c r="H544" s="414"/>
      <c r="I544" s="414"/>
      <c r="J544" s="414"/>
      <c r="K544" s="414"/>
      <c r="L544" s="415" t="s">
        <v>5062</v>
      </c>
      <c r="M544" s="416" t="s">
        <v>2999</v>
      </c>
      <c r="N544" s="416" t="s">
        <v>2999</v>
      </c>
      <c r="O544" s="417"/>
      <c r="P544" s="416">
        <v>4590006257</v>
      </c>
      <c r="Q544" s="418">
        <v>44836</v>
      </c>
      <c r="R544" s="419">
        <v>5</v>
      </c>
      <c r="S544" s="458">
        <v>4720.7</v>
      </c>
      <c r="T544" s="420" t="s">
        <v>2156</v>
      </c>
      <c r="U544" s="414" t="s">
        <v>3661</v>
      </c>
      <c r="V544" s="414" t="s">
        <v>3662</v>
      </c>
      <c r="W544" s="417" t="s">
        <v>3663</v>
      </c>
      <c r="X544" s="417"/>
      <c r="Y544" s="421" t="s">
        <v>3652</v>
      </c>
      <c r="Z544" s="421" t="s">
        <v>3652</v>
      </c>
      <c r="AA544" s="416" t="s">
        <v>4648</v>
      </c>
      <c r="AB544" s="414" t="s">
        <v>3664</v>
      </c>
      <c r="AC544" s="422"/>
      <c r="AD544" s="421"/>
      <c r="AE544" s="420"/>
      <c r="AF544" s="421">
        <v>91091</v>
      </c>
      <c r="AG544" s="420" t="s">
        <v>5063</v>
      </c>
      <c r="AH544" s="421" t="s">
        <v>3711</v>
      </c>
      <c r="AI544" s="420" t="s">
        <v>3719</v>
      </c>
      <c r="AJ544" s="413" t="str">
        <f t="shared" si="34"/>
        <v>4590006257_005</v>
      </c>
      <c r="AK544" s="423"/>
      <c r="AL544" s="424">
        <v>45108</v>
      </c>
      <c r="AM544" s="221">
        <v>1888.28</v>
      </c>
      <c r="AN544" s="424">
        <v>45198</v>
      </c>
      <c r="AO544" s="423"/>
      <c r="AP544" s="413"/>
      <c r="AQ544" s="222"/>
      <c r="AR544" s="424"/>
      <c r="AS544" s="614">
        <f ca="1">表格1_6[[#This Row],[total amount]]/表格1_6[[#This Row],[PO$]]</f>
        <v>0.4</v>
      </c>
      <c r="AT544" s="223">
        <f ca="1">表格1_6[[#This Row],[invoice amount]]+表格1_6[[#This Row],[invoice amount2]]</f>
        <v>1888.28</v>
      </c>
      <c r="AU544" s="224" t="s">
        <v>3673</v>
      </c>
      <c r="AV544" s="423"/>
      <c r="AW544" s="423" t="e">
        <f ca="1">VLOOKUP(表格1_6[[#This Row],[TI tool ID2]],工作表1!A:A,1,FALSE)</f>
        <v>#N/A</v>
      </c>
      <c r="AX544" s="425" t="e">
        <f ca="1">VLOOKUP(表格1_6[[#This Row],[PO+ITEM]],工作表1!B:E,2,FALSE)</f>
        <v>#N/A</v>
      </c>
      <c r="AY544" s="425" t="e">
        <f ca="1">VLOOKUP(表格1_6[[#This Row],[PO+ITEM]],工作表1!B:E,3,FALSE)</f>
        <v>#N/A</v>
      </c>
      <c r="AZ544" s="423" t="e">
        <f ca="1">VLOOKUP(表格1_6[[#This Row],[PO+ITEM]],工作表1!B:E,4,FALSE)</f>
        <v>#N/A</v>
      </c>
      <c r="BA544" s="425" t="e">
        <f ca="1">INDEX(工作表1!G:G, MATCH(表格1_6[[#This Row],[invoice number]]&amp;表格1_6[[#This Row],[invoice number2]],工作表1!G:G, 0))</f>
        <v>#N/A</v>
      </c>
      <c r="BB544" s="423" t="e">
        <f ca="1">VLOOKUP(表格1_6[[#This Row],[PO+ITEM]],工作表1!F:H,2,FALSE)</f>
        <v>#N/A</v>
      </c>
    </row>
    <row r="545" spans="1:54" ht="14.45">
      <c r="A545" s="413">
        <v>544</v>
      </c>
      <c r="B545" s="413" t="s">
        <v>3659</v>
      </c>
      <c r="C545" s="414" t="s">
        <v>16</v>
      </c>
      <c r="D545" s="414" t="s">
        <v>3648</v>
      </c>
      <c r="E545" s="414"/>
      <c r="F545" s="414"/>
      <c r="G545" s="414"/>
      <c r="H545" s="414"/>
      <c r="I545" s="414"/>
      <c r="J545" s="414"/>
      <c r="K545" s="414"/>
      <c r="L545" s="420" t="s">
        <v>5064</v>
      </c>
      <c r="M545" s="416" t="s">
        <v>2999</v>
      </c>
      <c r="N545" s="416" t="s">
        <v>2999</v>
      </c>
      <c r="O545" s="417"/>
      <c r="P545" s="416">
        <v>4590006257</v>
      </c>
      <c r="Q545" s="418">
        <v>44836</v>
      </c>
      <c r="R545" s="419">
        <v>6</v>
      </c>
      <c r="S545" s="458">
        <v>4720.7</v>
      </c>
      <c r="T545" s="420" t="s">
        <v>2156</v>
      </c>
      <c r="U545" s="414" t="s">
        <v>3661</v>
      </c>
      <c r="V545" s="414" t="s">
        <v>3662</v>
      </c>
      <c r="W545" s="417" t="s">
        <v>3663</v>
      </c>
      <c r="X545" s="417"/>
      <c r="Y545" s="421" t="s">
        <v>3652</v>
      </c>
      <c r="Z545" s="421" t="s">
        <v>3652</v>
      </c>
      <c r="AA545" s="416" t="s">
        <v>4648</v>
      </c>
      <c r="AB545" s="414" t="s">
        <v>3664</v>
      </c>
      <c r="AC545" s="422"/>
      <c r="AD545" s="421"/>
      <c r="AE545" s="420"/>
      <c r="AF545" s="421">
        <v>91092</v>
      </c>
      <c r="AG545" s="420" t="s">
        <v>5065</v>
      </c>
      <c r="AH545" s="421" t="s">
        <v>3711</v>
      </c>
      <c r="AI545" s="420" t="s">
        <v>3719</v>
      </c>
      <c r="AJ545" s="413" t="str">
        <f t="shared" si="34"/>
        <v>4590006257_006</v>
      </c>
      <c r="AK545" s="423"/>
      <c r="AL545" s="424">
        <v>45108</v>
      </c>
      <c r="AM545" s="221">
        <v>1888.28</v>
      </c>
      <c r="AN545" s="424">
        <v>45198</v>
      </c>
      <c r="AO545" s="423"/>
      <c r="AP545" s="413"/>
      <c r="AQ545" s="222"/>
      <c r="AR545" s="424"/>
      <c r="AS545" s="614">
        <f ca="1">表格1_6[[#This Row],[total amount]]/表格1_6[[#This Row],[PO$]]</f>
        <v>0.4</v>
      </c>
      <c r="AT545" s="223">
        <f ca="1">表格1_6[[#This Row],[invoice amount]]+表格1_6[[#This Row],[invoice amount2]]</f>
        <v>1888.28</v>
      </c>
      <c r="AU545" s="224" t="s">
        <v>3673</v>
      </c>
      <c r="AV545" s="423"/>
      <c r="AW545" s="423" t="e">
        <f ca="1">VLOOKUP(表格1_6[[#This Row],[TI tool ID2]],工作表1!A:A,1,FALSE)</f>
        <v>#N/A</v>
      </c>
      <c r="AX545" s="425" t="e">
        <f ca="1">VLOOKUP(表格1_6[[#This Row],[PO+ITEM]],工作表1!B:E,2,FALSE)</f>
        <v>#N/A</v>
      </c>
      <c r="AY545" s="425" t="e">
        <f ca="1">VLOOKUP(表格1_6[[#This Row],[PO+ITEM]],工作表1!B:E,3,FALSE)</f>
        <v>#N/A</v>
      </c>
      <c r="AZ545" s="423" t="e">
        <f ca="1">VLOOKUP(表格1_6[[#This Row],[PO+ITEM]],工作表1!B:E,4,FALSE)</f>
        <v>#N/A</v>
      </c>
      <c r="BA545" s="425" t="e">
        <f ca="1">INDEX(工作表1!G:G, MATCH(表格1_6[[#This Row],[invoice number]]&amp;表格1_6[[#This Row],[invoice number2]],工作表1!G:G, 0))</f>
        <v>#N/A</v>
      </c>
      <c r="BB545" s="423" t="e">
        <f ca="1">VLOOKUP(表格1_6[[#This Row],[PO+ITEM]],工作表1!F:H,2,FALSE)</f>
        <v>#N/A</v>
      </c>
    </row>
    <row r="546" spans="1:54" ht="14.45">
      <c r="A546" s="413">
        <v>545</v>
      </c>
      <c r="B546" s="413" t="s">
        <v>3659</v>
      </c>
      <c r="C546" s="414" t="s">
        <v>16</v>
      </c>
      <c r="D546" s="414" t="s">
        <v>3648</v>
      </c>
      <c r="E546" s="414"/>
      <c r="F546" s="414"/>
      <c r="G546" s="414"/>
      <c r="H546" s="414"/>
      <c r="I546" s="414"/>
      <c r="J546" s="414"/>
      <c r="K546" s="414"/>
      <c r="L546" s="415" t="s">
        <v>5066</v>
      </c>
      <c r="M546" s="416" t="s">
        <v>2999</v>
      </c>
      <c r="N546" s="416" t="s">
        <v>2999</v>
      </c>
      <c r="O546" s="417"/>
      <c r="P546" s="416">
        <v>4590006257</v>
      </c>
      <c r="Q546" s="418">
        <v>44836</v>
      </c>
      <c r="R546" s="419">
        <v>7</v>
      </c>
      <c r="S546" s="458">
        <v>4720.7</v>
      </c>
      <c r="T546" s="420" t="s">
        <v>2156</v>
      </c>
      <c r="U546" s="414" t="s">
        <v>3661</v>
      </c>
      <c r="V546" s="414" t="s">
        <v>3662</v>
      </c>
      <c r="W546" s="417" t="s">
        <v>3663</v>
      </c>
      <c r="X546" s="417"/>
      <c r="Y546" s="421" t="s">
        <v>3652</v>
      </c>
      <c r="Z546" s="421" t="s">
        <v>3652</v>
      </c>
      <c r="AA546" s="416" t="s">
        <v>4648</v>
      </c>
      <c r="AB546" s="414" t="s">
        <v>3664</v>
      </c>
      <c r="AC546" s="422"/>
      <c r="AD546" s="421"/>
      <c r="AE546" s="420"/>
      <c r="AF546" s="421">
        <v>91094</v>
      </c>
      <c r="AG546" s="420" t="s">
        <v>5067</v>
      </c>
      <c r="AH546" s="421" t="s">
        <v>3711</v>
      </c>
      <c r="AI546" s="420" t="s">
        <v>3719</v>
      </c>
      <c r="AJ546" s="413" t="str">
        <f t="shared" si="34"/>
        <v>4590006257_007</v>
      </c>
      <c r="AK546" s="423"/>
      <c r="AL546" s="424">
        <v>45108</v>
      </c>
      <c r="AM546" s="221">
        <v>1888.28</v>
      </c>
      <c r="AN546" s="424">
        <v>45198</v>
      </c>
      <c r="AO546" s="423"/>
      <c r="AP546" s="413"/>
      <c r="AQ546" s="222"/>
      <c r="AR546" s="424"/>
      <c r="AS546" s="614">
        <f ca="1">表格1_6[[#This Row],[total amount]]/表格1_6[[#This Row],[PO$]]</f>
        <v>0.4</v>
      </c>
      <c r="AT546" s="223">
        <f ca="1">表格1_6[[#This Row],[invoice amount]]+表格1_6[[#This Row],[invoice amount2]]</f>
        <v>1888.28</v>
      </c>
      <c r="AU546" s="224" t="s">
        <v>3673</v>
      </c>
      <c r="AV546" s="423"/>
      <c r="AW546" s="423" t="e">
        <f ca="1">VLOOKUP(表格1_6[[#This Row],[TI tool ID2]],工作表1!A:A,1,FALSE)</f>
        <v>#N/A</v>
      </c>
      <c r="AX546" s="425" t="e">
        <f ca="1">VLOOKUP(表格1_6[[#This Row],[PO+ITEM]],工作表1!B:E,2,FALSE)</f>
        <v>#N/A</v>
      </c>
      <c r="AY546" s="425" t="e">
        <f ca="1">VLOOKUP(表格1_6[[#This Row],[PO+ITEM]],工作表1!B:E,3,FALSE)</f>
        <v>#N/A</v>
      </c>
      <c r="AZ546" s="423" t="e">
        <f ca="1">VLOOKUP(表格1_6[[#This Row],[PO+ITEM]],工作表1!B:E,4,FALSE)</f>
        <v>#N/A</v>
      </c>
      <c r="BA546" s="425" t="e">
        <f ca="1">INDEX(工作表1!G:G, MATCH(表格1_6[[#This Row],[invoice number]]&amp;表格1_6[[#This Row],[invoice number2]],工作表1!G:G, 0))</f>
        <v>#N/A</v>
      </c>
      <c r="BB546" s="423" t="e">
        <f ca="1">VLOOKUP(表格1_6[[#This Row],[PO+ITEM]],工作表1!F:H,2,FALSE)</f>
        <v>#N/A</v>
      </c>
    </row>
    <row r="547" spans="1:54" ht="14.45">
      <c r="A547" s="413">
        <v>546</v>
      </c>
      <c r="B547" s="413" t="s">
        <v>3659</v>
      </c>
      <c r="C547" s="414" t="s">
        <v>16</v>
      </c>
      <c r="D547" s="414" t="s">
        <v>3648</v>
      </c>
      <c r="E547" s="414"/>
      <c r="F547" s="414"/>
      <c r="G547" s="414"/>
      <c r="H547" s="414"/>
      <c r="I547" s="414"/>
      <c r="J547" s="414"/>
      <c r="K547" s="414"/>
      <c r="L547" s="415" t="s">
        <v>5068</v>
      </c>
      <c r="M547" s="416" t="s">
        <v>2999</v>
      </c>
      <c r="N547" s="416" t="s">
        <v>2999</v>
      </c>
      <c r="O547" s="417"/>
      <c r="P547" s="416">
        <v>4590006257</v>
      </c>
      <c r="Q547" s="418">
        <v>44836</v>
      </c>
      <c r="R547" s="419">
        <v>8</v>
      </c>
      <c r="S547" s="458">
        <v>4720.7</v>
      </c>
      <c r="T547" s="420" t="s">
        <v>2156</v>
      </c>
      <c r="U547" s="414" t="s">
        <v>3661</v>
      </c>
      <c r="V547" s="414" t="s">
        <v>3662</v>
      </c>
      <c r="W547" s="417" t="s">
        <v>3663</v>
      </c>
      <c r="X547" s="417"/>
      <c r="Y547" s="421" t="s">
        <v>3652</v>
      </c>
      <c r="Z547" s="421" t="s">
        <v>3652</v>
      </c>
      <c r="AA547" s="416" t="s">
        <v>4648</v>
      </c>
      <c r="AB547" s="414" t="s">
        <v>3664</v>
      </c>
      <c r="AC547" s="422"/>
      <c r="AD547" s="421"/>
      <c r="AE547" s="420"/>
      <c r="AF547" s="421">
        <v>91095</v>
      </c>
      <c r="AG547" s="420" t="s">
        <v>5069</v>
      </c>
      <c r="AH547" s="421" t="s">
        <v>3711</v>
      </c>
      <c r="AI547" s="420" t="s">
        <v>3719</v>
      </c>
      <c r="AJ547" s="413" t="str">
        <f t="shared" si="34"/>
        <v>4590006257_008</v>
      </c>
      <c r="AK547" s="423"/>
      <c r="AL547" s="424">
        <v>45108</v>
      </c>
      <c r="AM547" s="221">
        <v>1888.28</v>
      </c>
      <c r="AN547" s="424">
        <v>45198</v>
      </c>
      <c r="AO547" s="423"/>
      <c r="AP547" s="413"/>
      <c r="AQ547" s="222"/>
      <c r="AR547" s="424"/>
      <c r="AS547" s="614">
        <f ca="1">表格1_6[[#This Row],[total amount]]/表格1_6[[#This Row],[PO$]]</f>
        <v>0.4</v>
      </c>
      <c r="AT547" s="223">
        <f ca="1">表格1_6[[#This Row],[invoice amount]]+表格1_6[[#This Row],[invoice amount2]]</f>
        <v>1888.28</v>
      </c>
      <c r="AU547" s="224" t="s">
        <v>3673</v>
      </c>
      <c r="AV547" s="423"/>
      <c r="AW547" s="423" t="e">
        <f ca="1">VLOOKUP(表格1_6[[#This Row],[TI tool ID2]],工作表1!A:A,1,FALSE)</f>
        <v>#N/A</v>
      </c>
      <c r="AX547" s="425" t="e">
        <f ca="1">VLOOKUP(表格1_6[[#This Row],[PO+ITEM]],工作表1!B:E,2,FALSE)</f>
        <v>#N/A</v>
      </c>
      <c r="AY547" s="425" t="e">
        <f ca="1">VLOOKUP(表格1_6[[#This Row],[PO+ITEM]],工作表1!B:E,3,FALSE)</f>
        <v>#N/A</v>
      </c>
      <c r="AZ547" s="423" t="e">
        <f ca="1">VLOOKUP(表格1_6[[#This Row],[PO+ITEM]],工作表1!B:E,4,FALSE)</f>
        <v>#N/A</v>
      </c>
      <c r="BA547" s="425" t="e">
        <f ca="1">INDEX(工作表1!G:G, MATCH(表格1_6[[#This Row],[invoice number]]&amp;表格1_6[[#This Row],[invoice number2]],工作表1!G:G, 0))</f>
        <v>#N/A</v>
      </c>
      <c r="BB547" s="423" t="e">
        <f ca="1">VLOOKUP(表格1_6[[#This Row],[PO+ITEM]],工作表1!F:H,2,FALSE)</f>
        <v>#N/A</v>
      </c>
    </row>
    <row r="548" spans="1:54" ht="14.45">
      <c r="A548" s="413">
        <v>547</v>
      </c>
      <c r="B548" s="413" t="s">
        <v>3659</v>
      </c>
      <c r="C548" s="414" t="s">
        <v>16</v>
      </c>
      <c r="D548" s="414" t="s">
        <v>3648</v>
      </c>
      <c r="E548" s="414"/>
      <c r="F548" s="414"/>
      <c r="G548" s="414"/>
      <c r="H548" s="414"/>
      <c r="I548" s="414"/>
      <c r="J548" s="414"/>
      <c r="K548" s="414"/>
      <c r="L548" s="415" t="s">
        <v>5070</v>
      </c>
      <c r="M548" s="416" t="s">
        <v>2999</v>
      </c>
      <c r="N548" s="416" t="s">
        <v>2999</v>
      </c>
      <c r="O548" s="417"/>
      <c r="P548" s="416">
        <v>4590006257</v>
      </c>
      <c r="Q548" s="418">
        <v>44836</v>
      </c>
      <c r="R548" s="419">
        <v>9</v>
      </c>
      <c r="S548" s="458">
        <v>4720.7</v>
      </c>
      <c r="T548" s="420" t="s">
        <v>2156</v>
      </c>
      <c r="U548" s="414" t="s">
        <v>3661</v>
      </c>
      <c r="V548" s="414" t="s">
        <v>3662</v>
      </c>
      <c r="W548" s="417" t="s">
        <v>3663</v>
      </c>
      <c r="X548" s="417"/>
      <c r="Y548" s="421" t="s">
        <v>3652</v>
      </c>
      <c r="Z548" s="421" t="s">
        <v>3652</v>
      </c>
      <c r="AA548" s="416" t="s">
        <v>4648</v>
      </c>
      <c r="AB548" s="414" t="s">
        <v>3664</v>
      </c>
      <c r="AC548" s="422"/>
      <c r="AD548" s="421"/>
      <c r="AE548" s="420"/>
      <c r="AF548" s="421">
        <v>91096</v>
      </c>
      <c r="AG548" s="420" t="s">
        <v>5071</v>
      </c>
      <c r="AH548" s="421" t="s">
        <v>3711</v>
      </c>
      <c r="AI548" s="420" t="s">
        <v>3719</v>
      </c>
      <c r="AJ548" s="413" t="str">
        <f t="shared" si="34"/>
        <v>4590006257_009</v>
      </c>
      <c r="AK548" s="423"/>
      <c r="AL548" s="424">
        <v>45108</v>
      </c>
      <c r="AM548" s="221">
        <v>1888.28</v>
      </c>
      <c r="AN548" s="424">
        <v>45198</v>
      </c>
      <c r="AO548" s="423"/>
      <c r="AP548" s="413"/>
      <c r="AQ548" s="222"/>
      <c r="AR548" s="424"/>
      <c r="AS548" s="614">
        <f ca="1">表格1_6[[#This Row],[total amount]]/表格1_6[[#This Row],[PO$]]</f>
        <v>0.4</v>
      </c>
      <c r="AT548" s="223">
        <f ca="1">表格1_6[[#This Row],[invoice amount]]+表格1_6[[#This Row],[invoice amount2]]</f>
        <v>1888.28</v>
      </c>
      <c r="AU548" s="224" t="s">
        <v>3673</v>
      </c>
      <c r="AV548" s="423"/>
      <c r="AW548" s="423" t="e">
        <f ca="1">VLOOKUP(表格1_6[[#This Row],[TI tool ID2]],工作表1!A:A,1,FALSE)</f>
        <v>#N/A</v>
      </c>
      <c r="AX548" s="425" t="e">
        <f ca="1">VLOOKUP(表格1_6[[#This Row],[PO+ITEM]],工作表1!B:E,2,FALSE)</f>
        <v>#N/A</v>
      </c>
      <c r="AY548" s="425" t="e">
        <f ca="1">VLOOKUP(表格1_6[[#This Row],[PO+ITEM]],工作表1!B:E,3,FALSE)</f>
        <v>#N/A</v>
      </c>
      <c r="AZ548" s="423" t="e">
        <f ca="1">VLOOKUP(表格1_6[[#This Row],[PO+ITEM]],工作表1!B:E,4,FALSE)</f>
        <v>#N/A</v>
      </c>
      <c r="BA548" s="425" t="e">
        <f ca="1">INDEX(工作表1!G:G, MATCH(表格1_6[[#This Row],[invoice number]]&amp;表格1_6[[#This Row],[invoice number2]],工作表1!G:G, 0))</f>
        <v>#N/A</v>
      </c>
      <c r="BB548" s="423" t="e">
        <f ca="1">VLOOKUP(表格1_6[[#This Row],[PO+ITEM]],工作表1!F:H,2,FALSE)</f>
        <v>#N/A</v>
      </c>
    </row>
    <row r="549" spans="1:54" ht="14.45">
      <c r="A549" s="413">
        <v>548</v>
      </c>
      <c r="B549" s="413" t="s">
        <v>3659</v>
      </c>
      <c r="C549" s="414" t="s">
        <v>16</v>
      </c>
      <c r="D549" s="414" t="s">
        <v>3648</v>
      </c>
      <c r="E549" s="414"/>
      <c r="F549" s="414"/>
      <c r="G549" s="414"/>
      <c r="H549" s="414"/>
      <c r="I549" s="414"/>
      <c r="J549" s="414"/>
      <c r="K549" s="414"/>
      <c r="L549" s="415" t="s">
        <v>5072</v>
      </c>
      <c r="M549" s="416" t="s">
        <v>2999</v>
      </c>
      <c r="N549" s="416" t="s">
        <v>2999</v>
      </c>
      <c r="O549" s="417"/>
      <c r="P549" s="416">
        <v>4590006257</v>
      </c>
      <c r="Q549" s="418">
        <v>44836</v>
      </c>
      <c r="R549" s="419">
        <v>10</v>
      </c>
      <c r="S549" s="458">
        <v>4720.7</v>
      </c>
      <c r="T549" s="420" t="s">
        <v>2156</v>
      </c>
      <c r="U549" s="414" t="s">
        <v>3661</v>
      </c>
      <c r="V549" s="414" t="s">
        <v>3662</v>
      </c>
      <c r="W549" s="417" t="s">
        <v>3663</v>
      </c>
      <c r="X549" s="417"/>
      <c r="Y549" s="421" t="s">
        <v>3652</v>
      </c>
      <c r="Z549" s="421" t="s">
        <v>3652</v>
      </c>
      <c r="AA549" s="416" t="s">
        <v>4648</v>
      </c>
      <c r="AB549" s="414" t="s">
        <v>3664</v>
      </c>
      <c r="AC549" s="422"/>
      <c r="AD549" s="421"/>
      <c r="AE549" s="420"/>
      <c r="AF549" s="421">
        <v>91097</v>
      </c>
      <c r="AG549" s="420" t="s">
        <v>5073</v>
      </c>
      <c r="AH549" s="421" t="s">
        <v>3711</v>
      </c>
      <c r="AI549" s="420" t="s">
        <v>3719</v>
      </c>
      <c r="AJ549" s="413" t="str">
        <f t="shared" ref="AJ549:AJ566" si="35">P549&amp;"_0"&amp;R549</f>
        <v>4590006257_010</v>
      </c>
      <c r="AK549" s="423"/>
      <c r="AL549" s="413"/>
      <c r="AM549" s="221"/>
      <c r="AN549" s="424"/>
      <c r="AO549" s="423"/>
      <c r="AP549" s="413"/>
      <c r="AQ549" s="222"/>
      <c r="AR549" s="424"/>
      <c r="AS549" s="614">
        <f ca="1">表格1_6[[#This Row],[total amount]]/表格1_6[[#This Row],[PO$]]</f>
        <v>0</v>
      </c>
      <c r="AT549" s="223">
        <f ca="1">表格1_6[[#This Row],[invoice amount]]+表格1_6[[#This Row],[invoice amount2]]</f>
        <v>0</v>
      </c>
      <c r="AU549" s="224"/>
      <c r="AV549" s="423"/>
      <c r="AW549" s="423" t="e">
        <f ca="1">VLOOKUP(表格1_6[[#This Row],[TI tool ID2]],工作表1!A:A,1,FALSE)</f>
        <v>#N/A</v>
      </c>
      <c r="AX549" s="425" t="e">
        <f ca="1">VLOOKUP(表格1_6[[#This Row],[PO+ITEM]],工作表1!B:E,2,FALSE)</f>
        <v>#N/A</v>
      </c>
      <c r="AY549" s="425" t="e">
        <f ca="1">VLOOKUP(表格1_6[[#This Row],[PO+ITEM]],工作表1!B:E,3,FALSE)</f>
        <v>#N/A</v>
      </c>
      <c r="AZ549" s="423" t="e">
        <f ca="1">VLOOKUP(表格1_6[[#This Row],[PO+ITEM]],工作表1!B:E,4,FALSE)</f>
        <v>#N/A</v>
      </c>
      <c r="BA549" s="425" t="e">
        <f ca="1">INDEX(工作表1!G:G, MATCH(表格1_6[[#This Row],[invoice number]]&amp;表格1_6[[#This Row],[invoice number2]],工作表1!G:G, 0))</f>
        <v>#N/A</v>
      </c>
      <c r="BB549" s="423" t="e">
        <f ca="1">VLOOKUP(表格1_6[[#This Row],[PO+ITEM]],工作表1!F:H,2,FALSE)</f>
        <v>#N/A</v>
      </c>
    </row>
    <row r="550" spans="1:54" ht="14.45">
      <c r="A550" s="413">
        <v>549</v>
      </c>
      <c r="B550" s="413" t="s">
        <v>3659</v>
      </c>
      <c r="C550" s="414" t="s">
        <v>16</v>
      </c>
      <c r="D550" s="414" t="s">
        <v>3648</v>
      </c>
      <c r="E550" s="414"/>
      <c r="F550" s="414"/>
      <c r="G550" s="414"/>
      <c r="H550" s="414"/>
      <c r="I550" s="414"/>
      <c r="J550" s="414"/>
      <c r="K550" s="414"/>
      <c r="L550" s="415" t="s">
        <v>5074</v>
      </c>
      <c r="M550" s="416" t="s">
        <v>2999</v>
      </c>
      <c r="N550" s="416" t="s">
        <v>2999</v>
      </c>
      <c r="O550" s="417"/>
      <c r="P550" s="416">
        <v>4590006257</v>
      </c>
      <c r="Q550" s="418">
        <v>44836</v>
      </c>
      <c r="R550" s="419">
        <v>11</v>
      </c>
      <c r="S550" s="458">
        <v>4720.7</v>
      </c>
      <c r="T550" s="420" t="s">
        <v>2156</v>
      </c>
      <c r="U550" s="414" t="s">
        <v>3661</v>
      </c>
      <c r="V550" s="414" t="s">
        <v>3662</v>
      </c>
      <c r="W550" s="417" t="s">
        <v>3663</v>
      </c>
      <c r="X550" s="417"/>
      <c r="Y550" s="421" t="s">
        <v>3652</v>
      </c>
      <c r="Z550" s="421" t="s">
        <v>3652</v>
      </c>
      <c r="AA550" s="416" t="s">
        <v>4648</v>
      </c>
      <c r="AB550" s="414" t="s">
        <v>3664</v>
      </c>
      <c r="AC550" s="422"/>
      <c r="AD550" s="421"/>
      <c r="AE550" s="420"/>
      <c r="AF550" s="421">
        <v>91098</v>
      </c>
      <c r="AG550" s="420" t="s">
        <v>5075</v>
      </c>
      <c r="AH550" s="421" t="s">
        <v>3711</v>
      </c>
      <c r="AI550" s="420" t="s">
        <v>3719</v>
      </c>
      <c r="AJ550" s="413" t="str">
        <f t="shared" si="35"/>
        <v>4590006257_011</v>
      </c>
      <c r="AK550" s="423"/>
      <c r="AL550" s="424">
        <v>45108</v>
      </c>
      <c r="AM550" s="221">
        <v>1888.28</v>
      </c>
      <c r="AN550" s="424">
        <v>45198</v>
      </c>
      <c r="AO550" s="423"/>
      <c r="AP550" s="413"/>
      <c r="AQ550" s="222"/>
      <c r="AR550" s="424"/>
      <c r="AS550" s="614">
        <f ca="1">表格1_6[[#This Row],[total amount]]/表格1_6[[#This Row],[PO$]]</f>
        <v>0.4</v>
      </c>
      <c r="AT550" s="223">
        <f ca="1">表格1_6[[#This Row],[invoice amount]]+表格1_6[[#This Row],[invoice amount2]]</f>
        <v>1888.28</v>
      </c>
      <c r="AU550" s="224" t="s">
        <v>3673</v>
      </c>
      <c r="AV550" s="423"/>
      <c r="AW550" s="423" t="e">
        <f ca="1">VLOOKUP(表格1_6[[#This Row],[TI tool ID2]],工作表1!A:A,1,FALSE)</f>
        <v>#N/A</v>
      </c>
      <c r="AX550" s="425" t="e">
        <f ca="1">VLOOKUP(表格1_6[[#This Row],[PO+ITEM]],工作表1!B:E,2,FALSE)</f>
        <v>#N/A</v>
      </c>
      <c r="AY550" s="425" t="e">
        <f ca="1">VLOOKUP(表格1_6[[#This Row],[PO+ITEM]],工作表1!B:E,3,FALSE)</f>
        <v>#N/A</v>
      </c>
      <c r="AZ550" s="423" t="e">
        <f ca="1">VLOOKUP(表格1_6[[#This Row],[PO+ITEM]],工作表1!B:E,4,FALSE)</f>
        <v>#N/A</v>
      </c>
      <c r="BA550" s="425" t="e">
        <f ca="1">INDEX(工作表1!G:G, MATCH(表格1_6[[#This Row],[invoice number]]&amp;表格1_6[[#This Row],[invoice number2]],工作表1!G:G, 0))</f>
        <v>#N/A</v>
      </c>
      <c r="BB550" s="423" t="e">
        <f ca="1">VLOOKUP(表格1_6[[#This Row],[PO+ITEM]],工作表1!F:H,2,FALSE)</f>
        <v>#N/A</v>
      </c>
    </row>
    <row r="551" spans="1:54" ht="14.45">
      <c r="A551" s="413">
        <v>550</v>
      </c>
      <c r="B551" s="413" t="s">
        <v>3659</v>
      </c>
      <c r="C551" s="414" t="s">
        <v>16</v>
      </c>
      <c r="D551" s="414" t="s">
        <v>3648</v>
      </c>
      <c r="E551" s="414"/>
      <c r="F551" s="414"/>
      <c r="G551" s="414"/>
      <c r="H551" s="414"/>
      <c r="I551" s="414"/>
      <c r="J551" s="414"/>
      <c r="K551" s="414"/>
      <c r="L551" s="415" t="s">
        <v>5076</v>
      </c>
      <c r="M551" s="416" t="s">
        <v>2999</v>
      </c>
      <c r="N551" s="416" t="s">
        <v>2999</v>
      </c>
      <c r="O551" s="417"/>
      <c r="P551" s="416">
        <v>4590006257</v>
      </c>
      <c r="Q551" s="418">
        <v>44836</v>
      </c>
      <c r="R551" s="419">
        <v>12</v>
      </c>
      <c r="S551" s="458">
        <v>4720.7</v>
      </c>
      <c r="T551" s="420" t="s">
        <v>2156</v>
      </c>
      <c r="U551" s="414" t="s">
        <v>3661</v>
      </c>
      <c r="V551" s="414" t="s">
        <v>3662</v>
      </c>
      <c r="W551" s="417" t="s">
        <v>3663</v>
      </c>
      <c r="X551" s="417"/>
      <c r="Y551" s="421" t="s">
        <v>3652</v>
      </c>
      <c r="Z551" s="421" t="s">
        <v>3652</v>
      </c>
      <c r="AA551" s="416" t="s">
        <v>4648</v>
      </c>
      <c r="AB551" s="414" t="s">
        <v>3664</v>
      </c>
      <c r="AC551" s="422"/>
      <c r="AD551" s="421"/>
      <c r="AE551" s="420"/>
      <c r="AF551" s="421">
        <v>91099</v>
      </c>
      <c r="AG551" s="420" t="s">
        <v>5077</v>
      </c>
      <c r="AH551" s="421" t="s">
        <v>3711</v>
      </c>
      <c r="AI551" s="420" t="s">
        <v>3719</v>
      </c>
      <c r="AJ551" s="413" t="str">
        <f t="shared" si="35"/>
        <v>4590006257_012</v>
      </c>
      <c r="AK551" s="423"/>
      <c r="AL551" s="413"/>
      <c r="AM551" s="221"/>
      <c r="AN551" s="424"/>
      <c r="AO551" s="423"/>
      <c r="AP551" s="413"/>
      <c r="AQ551" s="222"/>
      <c r="AR551" s="424"/>
      <c r="AS551" s="614">
        <f ca="1">表格1_6[[#This Row],[total amount]]/表格1_6[[#This Row],[PO$]]</f>
        <v>0</v>
      </c>
      <c r="AT551" s="223">
        <f ca="1">表格1_6[[#This Row],[invoice amount]]+表格1_6[[#This Row],[invoice amount2]]</f>
        <v>0</v>
      </c>
      <c r="AU551" s="224"/>
      <c r="AV551" s="423"/>
      <c r="AW551" s="423" t="e">
        <f ca="1">VLOOKUP(表格1_6[[#This Row],[TI tool ID2]],工作表1!A:A,1,FALSE)</f>
        <v>#N/A</v>
      </c>
      <c r="AX551" s="425" t="e">
        <f ca="1">VLOOKUP(表格1_6[[#This Row],[PO+ITEM]],工作表1!B:E,2,FALSE)</f>
        <v>#N/A</v>
      </c>
      <c r="AY551" s="425" t="e">
        <f ca="1">VLOOKUP(表格1_6[[#This Row],[PO+ITEM]],工作表1!B:E,3,FALSE)</f>
        <v>#N/A</v>
      </c>
      <c r="AZ551" s="423" t="e">
        <f ca="1">VLOOKUP(表格1_6[[#This Row],[PO+ITEM]],工作表1!B:E,4,FALSE)</f>
        <v>#N/A</v>
      </c>
      <c r="BA551" s="425" t="e">
        <f ca="1">INDEX(工作表1!G:G, MATCH(表格1_6[[#This Row],[invoice number]]&amp;表格1_6[[#This Row],[invoice number2]],工作表1!G:G, 0))</f>
        <v>#N/A</v>
      </c>
      <c r="BB551" s="423" t="e">
        <f ca="1">VLOOKUP(表格1_6[[#This Row],[PO+ITEM]],工作表1!F:H,2,FALSE)</f>
        <v>#N/A</v>
      </c>
    </row>
    <row r="552" spans="1:54" ht="14.45">
      <c r="A552" s="413">
        <v>551</v>
      </c>
      <c r="B552" s="413" t="s">
        <v>3659</v>
      </c>
      <c r="C552" s="414" t="s">
        <v>16</v>
      </c>
      <c r="D552" s="414" t="s">
        <v>3648</v>
      </c>
      <c r="E552" s="414"/>
      <c r="F552" s="414"/>
      <c r="G552" s="414"/>
      <c r="H552" s="414"/>
      <c r="I552" s="414"/>
      <c r="J552" s="414"/>
      <c r="K552" s="414"/>
      <c r="L552" s="415" t="s">
        <v>5078</v>
      </c>
      <c r="M552" s="416" t="s">
        <v>2999</v>
      </c>
      <c r="N552" s="416" t="s">
        <v>2999</v>
      </c>
      <c r="O552" s="417"/>
      <c r="P552" s="416">
        <v>4590006257</v>
      </c>
      <c r="Q552" s="418">
        <v>44836</v>
      </c>
      <c r="R552" s="419">
        <v>13</v>
      </c>
      <c r="S552" s="458">
        <v>4720.7</v>
      </c>
      <c r="T552" s="420" t="s">
        <v>2156</v>
      </c>
      <c r="U552" s="414" t="s">
        <v>3661</v>
      </c>
      <c r="V552" s="414" t="s">
        <v>3662</v>
      </c>
      <c r="W552" s="417" t="s">
        <v>3663</v>
      </c>
      <c r="X552" s="417"/>
      <c r="Y552" s="421" t="s">
        <v>3652</v>
      </c>
      <c r="Z552" s="421" t="s">
        <v>3652</v>
      </c>
      <c r="AA552" s="416" t="s">
        <v>4648</v>
      </c>
      <c r="AB552" s="414" t="s">
        <v>3664</v>
      </c>
      <c r="AC552" s="422"/>
      <c r="AD552" s="421"/>
      <c r="AE552" s="420"/>
      <c r="AF552" s="421">
        <v>91101</v>
      </c>
      <c r="AG552" s="420" t="s">
        <v>5079</v>
      </c>
      <c r="AH552" s="421" t="s">
        <v>3711</v>
      </c>
      <c r="AI552" s="420" t="s">
        <v>3719</v>
      </c>
      <c r="AJ552" s="413" t="str">
        <f t="shared" si="35"/>
        <v>4590006257_013</v>
      </c>
      <c r="AK552" s="423"/>
      <c r="AL552" s="424">
        <v>45108</v>
      </c>
      <c r="AM552" s="221">
        <v>1888.28</v>
      </c>
      <c r="AN552" s="424">
        <v>45198</v>
      </c>
      <c r="AO552" s="423"/>
      <c r="AP552" s="413"/>
      <c r="AQ552" s="222"/>
      <c r="AR552" s="424"/>
      <c r="AS552" s="614">
        <f ca="1">表格1_6[[#This Row],[total amount]]/表格1_6[[#This Row],[PO$]]</f>
        <v>0.4</v>
      </c>
      <c r="AT552" s="223">
        <f ca="1">表格1_6[[#This Row],[invoice amount]]+表格1_6[[#This Row],[invoice amount2]]</f>
        <v>1888.28</v>
      </c>
      <c r="AU552" s="224" t="s">
        <v>3673</v>
      </c>
      <c r="AV552" s="423"/>
      <c r="AW552" s="423" t="e">
        <f ca="1">VLOOKUP(表格1_6[[#This Row],[TI tool ID2]],工作表1!A:A,1,FALSE)</f>
        <v>#N/A</v>
      </c>
      <c r="AX552" s="425" t="e">
        <f ca="1">VLOOKUP(表格1_6[[#This Row],[PO+ITEM]],工作表1!B:E,2,FALSE)</f>
        <v>#N/A</v>
      </c>
      <c r="AY552" s="425" t="e">
        <f ca="1">VLOOKUP(表格1_6[[#This Row],[PO+ITEM]],工作表1!B:E,3,FALSE)</f>
        <v>#N/A</v>
      </c>
      <c r="AZ552" s="423" t="e">
        <f ca="1">VLOOKUP(表格1_6[[#This Row],[PO+ITEM]],工作表1!B:E,4,FALSE)</f>
        <v>#N/A</v>
      </c>
      <c r="BA552" s="425" t="e">
        <f ca="1">INDEX(工作表1!G:G, MATCH(表格1_6[[#This Row],[invoice number]]&amp;表格1_6[[#This Row],[invoice number2]],工作表1!G:G, 0))</f>
        <v>#N/A</v>
      </c>
      <c r="BB552" s="423" t="e">
        <f ca="1">VLOOKUP(表格1_6[[#This Row],[PO+ITEM]],工作表1!F:H,2,FALSE)</f>
        <v>#N/A</v>
      </c>
    </row>
    <row r="553" spans="1:54" ht="14.45">
      <c r="A553" s="413">
        <v>552</v>
      </c>
      <c r="B553" s="413" t="s">
        <v>3659</v>
      </c>
      <c r="C553" s="414" t="s">
        <v>16</v>
      </c>
      <c r="D553" s="414" t="s">
        <v>3648</v>
      </c>
      <c r="E553" s="414"/>
      <c r="F553" s="414"/>
      <c r="G553" s="414"/>
      <c r="H553" s="414"/>
      <c r="I553" s="414"/>
      <c r="J553" s="414"/>
      <c r="K553" s="414"/>
      <c r="L553" s="420" t="s">
        <v>5080</v>
      </c>
      <c r="M553" s="416" t="s">
        <v>2206</v>
      </c>
      <c r="N553" s="416" t="s">
        <v>2999</v>
      </c>
      <c r="O553" s="417"/>
      <c r="P553" s="416">
        <v>4590006257</v>
      </c>
      <c r="Q553" s="418">
        <v>44836</v>
      </c>
      <c r="R553" s="419">
        <v>14</v>
      </c>
      <c r="S553" s="458">
        <v>28348.33</v>
      </c>
      <c r="T553" s="420" t="s">
        <v>2156</v>
      </c>
      <c r="U553" s="414" t="s">
        <v>3661</v>
      </c>
      <c r="V553" s="414" t="s">
        <v>3662</v>
      </c>
      <c r="W553" s="417" t="s">
        <v>3663</v>
      </c>
      <c r="X553" s="417"/>
      <c r="Y553" s="421" t="s">
        <v>3652</v>
      </c>
      <c r="Z553" s="421" t="s">
        <v>3652</v>
      </c>
      <c r="AA553" s="416" t="s">
        <v>4648</v>
      </c>
      <c r="AB553" s="414" t="s">
        <v>3664</v>
      </c>
      <c r="AC553" s="422"/>
      <c r="AD553" s="421"/>
      <c r="AE553" s="420"/>
      <c r="AF553" s="421">
        <v>91232</v>
      </c>
      <c r="AG553" s="420" t="s">
        <v>5081</v>
      </c>
      <c r="AH553" s="421" t="s">
        <v>3711</v>
      </c>
      <c r="AI553" s="420" t="s">
        <v>846</v>
      </c>
      <c r="AJ553" s="413" t="str">
        <f t="shared" si="35"/>
        <v>4590006257_014</v>
      </c>
      <c r="AK553" s="423"/>
      <c r="AL553" s="413"/>
      <c r="AM553" s="221"/>
      <c r="AN553" s="424"/>
      <c r="AO553" s="423"/>
      <c r="AP553" s="413"/>
      <c r="AQ553" s="222"/>
      <c r="AR553" s="424"/>
      <c r="AS553" s="614">
        <f ca="1">表格1_6[[#This Row],[total amount]]/表格1_6[[#This Row],[PO$]]</f>
        <v>0</v>
      </c>
      <c r="AT553" s="223">
        <f ca="1">表格1_6[[#This Row],[invoice amount]]+表格1_6[[#This Row],[invoice amount2]]</f>
        <v>0</v>
      </c>
      <c r="AU553" s="224"/>
      <c r="AV553" s="423"/>
      <c r="AW553" s="423" t="e">
        <f ca="1">VLOOKUP(表格1_6[[#This Row],[TI tool ID2]],工作表1!A:A,1,FALSE)</f>
        <v>#N/A</v>
      </c>
      <c r="AX553" s="425" t="e">
        <f ca="1">VLOOKUP(表格1_6[[#This Row],[PO+ITEM]],工作表1!B:E,2,FALSE)</f>
        <v>#N/A</v>
      </c>
      <c r="AY553" s="425" t="e">
        <f ca="1">VLOOKUP(表格1_6[[#This Row],[PO+ITEM]],工作表1!B:E,3,FALSE)</f>
        <v>#N/A</v>
      </c>
      <c r="AZ553" s="423" t="e">
        <f ca="1">VLOOKUP(表格1_6[[#This Row],[PO+ITEM]],工作表1!B:E,4,FALSE)</f>
        <v>#N/A</v>
      </c>
      <c r="BA553" s="425" t="e">
        <f ca="1">INDEX(工作表1!G:G, MATCH(表格1_6[[#This Row],[invoice number]]&amp;表格1_6[[#This Row],[invoice number2]],工作表1!G:G, 0))</f>
        <v>#N/A</v>
      </c>
      <c r="BB553" s="423" t="e">
        <f ca="1">VLOOKUP(表格1_6[[#This Row],[PO+ITEM]],工作表1!F:H,2,FALSE)</f>
        <v>#N/A</v>
      </c>
    </row>
    <row r="554" spans="1:54" ht="14.45">
      <c r="A554" s="413">
        <v>553</v>
      </c>
      <c r="B554" s="413" t="s">
        <v>3659</v>
      </c>
      <c r="C554" s="414" t="s">
        <v>16</v>
      </c>
      <c r="D554" s="414" t="s">
        <v>3648</v>
      </c>
      <c r="E554" s="414"/>
      <c r="F554" s="414"/>
      <c r="G554" s="414"/>
      <c r="H554" s="414"/>
      <c r="I554" s="414"/>
      <c r="J554" s="414"/>
      <c r="K554" s="414"/>
      <c r="L554" s="415" t="s">
        <v>5082</v>
      </c>
      <c r="M554" s="416" t="s">
        <v>2206</v>
      </c>
      <c r="N554" s="416" t="s">
        <v>2999</v>
      </c>
      <c r="O554" s="417"/>
      <c r="P554" s="416">
        <v>4590006257</v>
      </c>
      <c r="Q554" s="418">
        <v>44836</v>
      </c>
      <c r="R554" s="419">
        <v>15</v>
      </c>
      <c r="S554" s="458">
        <v>913.18</v>
      </c>
      <c r="T554" s="420" t="s">
        <v>2156</v>
      </c>
      <c r="U554" s="414" t="s">
        <v>3661</v>
      </c>
      <c r="V554" s="414" t="s">
        <v>3662</v>
      </c>
      <c r="W554" s="417" t="s">
        <v>3663</v>
      </c>
      <c r="X554" s="417"/>
      <c r="Y554" s="421" t="s">
        <v>3652</v>
      </c>
      <c r="Z554" s="421" t="s">
        <v>3652</v>
      </c>
      <c r="AA554" s="416" t="s">
        <v>4648</v>
      </c>
      <c r="AB554" s="414" t="s">
        <v>3664</v>
      </c>
      <c r="AC554" s="422"/>
      <c r="AD554" s="421"/>
      <c r="AE554" s="420"/>
      <c r="AF554" s="421">
        <v>91235</v>
      </c>
      <c r="AG554" s="420" t="s">
        <v>5083</v>
      </c>
      <c r="AH554" s="421" t="s">
        <v>3711</v>
      </c>
      <c r="AI554" s="420" t="s">
        <v>846</v>
      </c>
      <c r="AJ554" s="413" t="str">
        <f t="shared" si="35"/>
        <v>4590006257_015</v>
      </c>
      <c r="AK554" s="423"/>
      <c r="AL554" s="424">
        <v>45108</v>
      </c>
      <c r="AM554" s="221">
        <v>365.27199999999999</v>
      </c>
      <c r="AN554" s="424">
        <v>45198</v>
      </c>
      <c r="AO554" s="423"/>
      <c r="AP554" s="413"/>
      <c r="AQ554" s="222"/>
      <c r="AR554" s="424"/>
      <c r="AS554" s="614">
        <f ca="1">表格1_6[[#This Row],[total amount]]/表格1_6[[#This Row],[PO$]]</f>
        <v>0.4</v>
      </c>
      <c r="AT554" s="223">
        <f ca="1">表格1_6[[#This Row],[invoice amount]]+表格1_6[[#This Row],[invoice amount2]]</f>
        <v>365.27199999999999</v>
      </c>
      <c r="AU554" s="224" t="s">
        <v>3673</v>
      </c>
      <c r="AV554" s="423"/>
      <c r="AW554" s="423" t="e">
        <f ca="1">VLOOKUP(表格1_6[[#This Row],[TI tool ID2]],工作表1!A:A,1,FALSE)</f>
        <v>#N/A</v>
      </c>
      <c r="AX554" s="425" t="e">
        <f ca="1">VLOOKUP(表格1_6[[#This Row],[PO+ITEM]],工作表1!B:E,2,FALSE)</f>
        <v>#N/A</v>
      </c>
      <c r="AY554" s="425" t="e">
        <f ca="1">VLOOKUP(表格1_6[[#This Row],[PO+ITEM]],工作表1!B:E,3,FALSE)</f>
        <v>#N/A</v>
      </c>
      <c r="AZ554" s="423" t="e">
        <f ca="1">VLOOKUP(表格1_6[[#This Row],[PO+ITEM]],工作表1!B:E,4,FALSE)</f>
        <v>#N/A</v>
      </c>
      <c r="BA554" s="425" t="e">
        <f ca="1">INDEX(工作表1!G:G, MATCH(表格1_6[[#This Row],[invoice number]]&amp;表格1_6[[#This Row],[invoice number2]],工作表1!G:G, 0))</f>
        <v>#N/A</v>
      </c>
      <c r="BB554" s="423" t="e">
        <f ca="1">VLOOKUP(表格1_6[[#This Row],[PO+ITEM]],工作表1!F:H,2,FALSE)</f>
        <v>#N/A</v>
      </c>
    </row>
    <row r="555" spans="1:54" ht="14.45">
      <c r="A555" s="413">
        <v>554</v>
      </c>
      <c r="B555" s="413" t="s">
        <v>3659</v>
      </c>
      <c r="C555" s="414" t="s">
        <v>16</v>
      </c>
      <c r="D555" s="414" t="s">
        <v>3648</v>
      </c>
      <c r="E555" s="414"/>
      <c r="F555" s="414"/>
      <c r="G555" s="414"/>
      <c r="H555" s="414"/>
      <c r="I555" s="414"/>
      <c r="J555" s="414"/>
      <c r="K555" s="414"/>
      <c r="L555" s="415" t="s">
        <v>5084</v>
      </c>
      <c r="M555" s="416" t="s">
        <v>2999</v>
      </c>
      <c r="N555" s="416" t="s">
        <v>2999</v>
      </c>
      <c r="O555" s="417"/>
      <c r="P555" s="416">
        <v>4590006257</v>
      </c>
      <c r="Q555" s="418">
        <v>44836</v>
      </c>
      <c r="R555" s="419">
        <v>16</v>
      </c>
      <c r="S555" s="458">
        <v>1369.77</v>
      </c>
      <c r="T555" s="420" t="s">
        <v>2156</v>
      </c>
      <c r="U555" s="414" t="s">
        <v>3661</v>
      </c>
      <c r="V555" s="414" t="s">
        <v>3662</v>
      </c>
      <c r="W555" s="417" t="s">
        <v>3663</v>
      </c>
      <c r="X555" s="417"/>
      <c r="Y555" s="421" t="s">
        <v>3652</v>
      </c>
      <c r="Z555" s="421" t="s">
        <v>3652</v>
      </c>
      <c r="AA555" s="416" t="s">
        <v>4648</v>
      </c>
      <c r="AB555" s="414" t="s">
        <v>3664</v>
      </c>
      <c r="AC555" s="422"/>
      <c r="AD555" s="421"/>
      <c r="AE555" s="420"/>
      <c r="AF555" s="421">
        <v>91310</v>
      </c>
      <c r="AG555" s="420" t="s">
        <v>3190</v>
      </c>
      <c r="AH555" s="421" t="s">
        <v>3711</v>
      </c>
      <c r="AI555" s="420" t="s">
        <v>3666</v>
      </c>
      <c r="AJ555" s="413" t="str">
        <f t="shared" si="35"/>
        <v>4590006257_016</v>
      </c>
      <c r="AK555" s="423"/>
      <c r="AL555" s="424">
        <v>45108</v>
      </c>
      <c r="AM555" s="221">
        <v>547.90800000000002</v>
      </c>
      <c r="AN555" s="424">
        <v>45260</v>
      </c>
      <c r="AO555" s="423"/>
      <c r="AP555" s="413"/>
      <c r="AQ555" s="222"/>
      <c r="AR555" s="424"/>
      <c r="AS555" s="614">
        <f ca="1">表格1_6[[#This Row],[total amount]]/表格1_6[[#This Row],[PO$]]</f>
        <v>0.4</v>
      </c>
      <c r="AT555" s="223">
        <f ca="1">表格1_6[[#This Row],[invoice amount]]+表格1_6[[#This Row],[invoice amount2]]</f>
        <v>547.90800000000002</v>
      </c>
      <c r="AU555" s="224" t="s">
        <v>3673</v>
      </c>
      <c r="AV555" s="423"/>
      <c r="AW555" s="423" t="e">
        <f ca="1">VLOOKUP(表格1_6[[#This Row],[TI tool ID2]],工作表1!A:A,1,FALSE)</f>
        <v>#N/A</v>
      </c>
      <c r="AX555" s="425" t="e">
        <f ca="1">VLOOKUP(表格1_6[[#This Row],[PO+ITEM]],工作表1!B:E,2,FALSE)</f>
        <v>#N/A</v>
      </c>
      <c r="AY555" s="425" t="e">
        <f ca="1">VLOOKUP(表格1_6[[#This Row],[PO+ITEM]],工作表1!B:E,3,FALSE)</f>
        <v>#N/A</v>
      </c>
      <c r="AZ555" s="423" t="e">
        <f ca="1">VLOOKUP(表格1_6[[#This Row],[PO+ITEM]],工作表1!B:E,4,FALSE)</f>
        <v>#N/A</v>
      </c>
      <c r="BA555" s="425" t="e">
        <f ca="1">INDEX(工作表1!G:G, MATCH(表格1_6[[#This Row],[invoice number]]&amp;表格1_6[[#This Row],[invoice number2]],工作表1!G:G, 0))</f>
        <v>#N/A</v>
      </c>
      <c r="BB555" s="423" t="e">
        <f ca="1">VLOOKUP(表格1_6[[#This Row],[PO+ITEM]],工作表1!F:H,2,FALSE)</f>
        <v>#N/A</v>
      </c>
    </row>
    <row r="556" spans="1:54" ht="14.45">
      <c r="A556" s="413">
        <v>555</v>
      </c>
      <c r="B556" s="413" t="s">
        <v>3659</v>
      </c>
      <c r="C556" s="414" t="s">
        <v>16</v>
      </c>
      <c r="D556" s="414" t="s">
        <v>3648</v>
      </c>
      <c r="E556" s="414"/>
      <c r="F556" s="414"/>
      <c r="G556" s="414"/>
      <c r="H556" s="414"/>
      <c r="I556" s="414"/>
      <c r="J556" s="414"/>
      <c r="K556" s="414"/>
      <c r="L556" s="415" t="s">
        <v>5085</v>
      </c>
      <c r="M556" s="416" t="s">
        <v>2999</v>
      </c>
      <c r="N556" s="416" t="s">
        <v>2999</v>
      </c>
      <c r="O556" s="417"/>
      <c r="P556" s="416">
        <v>4590006257</v>
      </c>
      <c r="Q556" s="418">
        <v>44836</v>
      </c>
      <c r="R556" s="419">
        <v>17</v>
      </c>
      <c r="S556" s="458">
        <v>61402.51</v>
      </c>
      <c r="T556" s="420" t="s">
        <v>2156</v>
      </c>
      <c r="U556" s="414" t="s">
        <v>3661</v>
      </c>
      <c r="V556" s="414" t="s">
        <v>3662</v>
      </c>
      <c r="W556" s="417" t="s">
        <v>3663</v>
      </c>
      <c r="X556" s="417"/>
      <c r="Y556" s="421" t="s">
        <v>3652</v>
      </c>
      <c r="Z556" s="421" t="s">
        <v>3652</v>
      </c>
      <c r="AA556" s="416" t="s">
        <v>4648</v>
      </c>
      <c r="AB556" s="414" t="s">
        <v>3664</v>
      </c>
      <c r="AC556" s="422"/>
      <c r="AD556" s="421"/>
      <c r="AE556" s="420"/>
      <c r="AF556" s="421">
        <v>91311</v>
      </c>
      <c r="AG556" s="420" t="s">
        <v>3289</v>
      </c>
      <c r="AH556" s="421" t="s">
        <v>3711</v>
      </c>
      <c r="AI556" s="420" t="s">
        <v>3666</v>
      </c>
      <c r="AJ556" s="413" t="str">
        <f t="shared" si="35"/>
        <v>4590006257_017</v>
      </c>
      <c r="AK556" s="423"/>
      <c r="AL556" s="413"/>
      <c r="AM556" s="221"/>
      <c r="AN556" s="424"/>
      <c r="AO556" s="423"/>
      <c r="AP556" s="413"/>
      <c r="AQ556" s="222"/>
      <c r="AR556" s="424"/>
      <c r="AS556" s="614">
        <f ca="1">表格1_6[[#This Row],[total amount]]/表格1_6[[#This Row],[PO$]]</f>
        <v>0</v>
      </c>
      <c r="AT556" s="223">
        <f ca="1">表格1_6[[#This Row],[invoice amount]]+表格1_6[[#This Row],[invoice amount2]]</f>
        <v>0</v>
      </c>
      <c r="AU556" s="224"/>
      <c r="AV556" s="423"/>
      <c r="AW556" s="423" t="e">
        <f ca="1">VLOOKUP(表格1_6[[#This Row],[TI tool ID2]],工作表1!A:A,1,FALSE)</f>
        <v>#N/A</v>
      </c>
      <c r="AX556" s="425" t="e">
        <f ca="1">VLOOKUP(表格1_6[[#This Row],[PO+ITEM]],工作表1!B:E,2,FALSE)</f>
        <v>#N/A</v>
      </c>
      <c r="AY556" s="425" t="e">
        <f ca="1">VLOOKUP(表格1_6[[#This Row],[PO+ITEM]],工作表1!B:E,3,FALSE)</f>
        <v>#N/A</v>
      </c>
      <c r="AZ556" s="423" t="e">
        <f ca="1">VLOOKUP(表格1_6[[#This Row],[PO+ITEM]],工作表1!B:E,4,FALSE)</f>
        <v>#N/A</v>
      </c>
      <c r="BA556" s="425" t="e">
        <f ca="1">INDEX(工作表1!G:G, MATCH(表格1_6[[#This Row],[invoice number]]&amp;表格1_6[[#This Row],[invoice number2]],工作表1!G:G, 0))</f>
        <v>#N/A</v>
      </c>
      <c r="BB556" s="423" t="e">
        <f ca="1">VLOOKUP(表格1_6[[#This Row],[PO+ITEM]],工作表1!F:H,2,FALSE)</f>
        <v>#N/A</v>
      </c>
    </row>
    <row r="557" spans="1:54" ht="14.45">
      <c r="A557" s="413">
        <v>556</v>
      </c>
      <c r="B557" s="413" t="s">
        <v>3659</v>
      </c>
      <c r="C557" s="414" t="s">
        <v>16</v>
      </c>
      <c r="D557" s="414" t="s">
        <v>3648</v>
      </c>
      <c r="E557" s="414"/>
      <c r="F557" s="414"/>
      <c r="G557" s="414"/>
      <c r="H557" s="414"/>
      <c r="I557" s="414"/>
      <c r="J557" s="414"/>
      <c r="K557" s="414"/>
      <c r="L557" s="415" t="s">
        <v>5086</v>
      </c>
      <c r="M557" s="416" t="s">
        <v>2999</v>
      </c>
      <c r="N557" s="416" t="s">
        <v>2999</v>
      </c>
      <c r="O557" s="417"/>
      <c r="P557" s="416">
        <v>4590006257</v>
      </c>
      <c r="Q557" s="418">
        <v>44836</v>
      </c>
      <c r="R557" s="419">
        <v>18</v>
      </c>
      <c r="S557" s="458">
        <v>913.18</v>
      </c>
      <c r="T557" s="420" t="s">
        <v>2156</v>
      </c>
      <c r="U557" s="414" t="s">
        <v>3661</v>
      </c>
      <c r="V557" s="414" t="s">
        <v>3662</v>
      </c>
      <c r="W557" s="417" t="s">
        <v>3663</v>
      </c>
      <c r="X557" s="417"/>
      <c r="Y557" s="421" t="s">
        <v>3652</v>
      </c>
      <c r="Z557" s="421" t="s">
        <v>3652</v>
      </c>
      <c r="AA557" s="416" t="s">
        <v>4648</v>
      </c>
      <c r="AB557" s="414" t="s">
        <v>3664</v>
      </c>
      <c r="AC557" s="422"/>
      <c r="AD557" s="421"/>
      <c r="AE557" s="420"/>
      <c r="AF557" s="421">
        <v>91314</v>
      </c>
      <c r="AG557" s="420" t="s">
        <v>3248</v>
      </c>
      <c r="AH557" s="421" t="s">
        <v>3711</v>
      </c>
      <c r="AI557" s="420" t="s">
        <v>3666</v>
      </c>
      <c r="AJ557" s="413" t="str">
        <f t="shared" si="35"/>
        <v>4590006257_018</v>
      </c>
      <c r="AK557" s="423"/>
      <c r="AL557" s="424">
        <v>45108</v>
      </c>
      <c r="AM557" s="221">
        <v>365.27199999999999</v>
      </c>
      <c r="AN557" s="424">
        <v>45260</v>
      </c>
      <c r="AO557" s="423"/>
      <c r="AP557" s="413"/>
      <c r="AQ557" s="222"/>
      <c r="AR557" s="424"/>
      <c r="AS557" s="614">
        <f ca="1">表格1_6[[#This Row],[total amount]]/表格1_6[[#This Row],[PO$]]</f>
        <v>0.4</v>
      </c>
      <c r="AT557" s="223">
        <f ca="1">表格1_6[[#This Row],[invoice amount]]+表格1_6[[#This Row],[invoice amount2]]</f>
        <v>365.27199999999999</v>
      </c>
      <c r="AU557" s="224" t="s">
        <v>3673</v>
      </c>
      <c r="AV557" s="423"/>
      <c r="AW557" s="423" t="e">
        <f ca="1">VLOOKUP(表格1_6[[#This Row],[TI tool ID2]],工作表1!A:A,1,FALSE)</f>
        <v>#N/A</v>
      </c>
      <c r="AX557" s="425" t="e">
        <f ca="1">VLOOKUP(表格1_6[[#This Row],[PO+ITEM]],工作表1!B:E,2,FALSE)</f>
        <v>#N/A</v>
      </c>
      <c r="AY557" s="425" t="e">
        <f ca="1">VLOOKUP(表格1_6[[#This Row],[PO+ITEM]],工作表1!B:E,3,FALSE)</f>
        <v>#N/A</v>
      </c>
      <c r="AZ557" s="423" t="e">
        <f ca="1">VLOOKUP(表格1_6[[#This Row],[PO+ITEM]],工作表1!B:E,4,FALSE)</f>
        <v>#N/A</v>
      </c>
      <c r="BA557" s="425" t="e">
        <f ca="1">INDEX(工作表1!G:G, MATCH(表格1_6[[#This Row],[invoice number]]&amp;表格1_6[[#This Row],[invoice number2]],工作表1!G:G, 0))</f>
        <v>#N/A</v>
      </c>
      <c r="BB557" s="423" t="e">
        <f ca="1">VLOOKUP(表格1_6[[#This Row],[PO+ITEM]],工作表1!F:H,2,FALSE)</f>
        <v>#N/A</v>
      </c>
    </row>
    <row r="558" spans="1:54" ht="14.45">
      <c r="A558" s="413">
        <v>557</v>
      </c>
      <c r="B558" s="413" t="s">
        <v>3659</v>
      </c>
      <c r="C558" s="414" t="s">
        <v>16</v>
      </c>
      <c r="D558" s="414" t="s">
        <v>3648</v>
      </c>
      <c r="E558" s="414"/>
      <c r="F558" s="414"/>
      <c r="G558" s="414"/>
      <c r="H558" s="414"/>
      <c r="I558" s="414"/>
      <c r="J558" s="414"/>
      <c r="K558" s="414"/>
      <c r="L558" s="415" t="s">
        <v>5087</v>
      </c>
      <c r="M558" s="416" t="s">
        <v>2999</v>
      </c>
      <c r="N558" s="416" t="s">
        <v>2999</v>
      </c>
      <c r="O558" s="417"/>
      <c r="P558" s="416">
        <v>4590006257</v>
      </c>
      <c r="Q558" s="418">
        <v>44836</v>
      </c>
      <c r="R558" s="419">
        <v>19</v>
      </c>
      <c r="S558" s="458">
        <v>913.18</v>
      </c>
      <c r="T558" s="420" t="s">
        <v>2156</v>
      </c>
      <c r="U558" s="414" t="s">
        <v>3661</v>
      </c>
      <c r="V558" s="414" t="s">
        <v>3662</v>
      </c>
      <c r="W558" s="417" t="s">
        <v>3663</v>
      </c>
      <c r="X558" s="417"/>
      <c r="Y558" s="421" t="s">
        <v>3652</v>
      </c>
      <c r="Z558" s="421" t="s">
        <v>3652</v>
      </c>
      <c r="AA558" s="416" t="s">
        <v>4648</v>
      </c>
      <c r="AB558" s="414" t="s">
        <v>3664</v>
      </c>
      <c r="AC558" s="422"/>
      <c r="AD558" s="421"/>
      <c r="AE558" s="420"/>
      <c r="AF558" s="421">
        <v>91315</v>
      </c>
      <c r="AG558" s="420" t="s">
        <v>3250</v>
      </c>
      <c r="AH558" s="421" t="s">
        <v>3711</v>
      </c>
      <c r="AI558" s="420" t="s">
        <v>3666</v>
      </c>
      <c r="AJ558" s="413" t="str">
        <f t="shared" si="35"/>
        <v>4590006257_019</v>
      </c>
      <c r="AK558" s="423"/>
      <c r="AL558" s="424">
        <v>45108</v>
      </c>
      <c r="AM558" s="221">
        <v>365.27199999999999</v>
      </c>
      <c r="AN558" s="424">
        <v>45260</v>
      </c>
      <c r="AO558" s="423"/>
      <c r="AP558" s="413"/>
      <c r="AQ558" s="222"/>
      <c r="AR558" s="424"/>
      <c r="AS558" s="614">
        <f ca="1">表格1_6[[#This Row],[total amount]]/表格1_6[[#This Row],[PO$]]</f>
        <v>0.4</v>
      </c>
      <c r="AT558" s="223">
        <f ca="1">表格1_6[[#This Row],[invoice amount]]+表格1_6[[#This Row],[invoice amount2]]</f>
        <v>365.27199999999999</v>
      </c>
      <c r="AU558" s="224" t="s">
        <v>3673</v>
      </c>
      <c r="AV558" s="423"/>
      <c r="AW558" s="423" t="e">
        <f ca="1">VLOOKUP(表格1_6[[#This Row],[TI tool ID2]],工作表1!A:A,1,FALSE)</f>
        <v>#N/A</v>
      </c>
      <c r="AX558" s="425" t="e">
        <f ca="1">VLOOKUP(表格1_6[[#This Row],[PO+ITEM]],工作表1!B:E,2,FALSE)</f>
        <v>#N/A</v>
      </c>
      <c r="AY558" s="425" t="e">
        <f ca="1">VLOOKUP(表格1_6[[#This Row],[PO+ITEM]],工作表1!B:E,3,FALSE)</f>
        <v>#N/A</v>
      </c>
      <c r="AZ558" s="423" t="e">
        <f ca="1">VLOOKUP(表格1_6[[#This Row],[PO+ITEM]],工作表1!B:E,4,FALSE)</f>
        <v>#N/A</v>
      </c>
      <c r="BA558" s="425" t="e">
        <f ca="1">INDEX(工作表1!G:G, MATCH(表格1_6[[#This Row],[invoice number]]&amp;表格1_6[[#This Row],[invoice number2]],工作表1!G:G, 0))</f>
        <v>#N/A</v>
      </c>
      <c r="BB558" s="423" t="e">
        <f ca="1">VLOOKUP(表格1_6[[#This Row],[PO+ITEM]],工作表1!F:H,2,FALSE)</f>
        <v>#N/A</v>
      </c>
    </row>
    <row r="559" spans="1:54" ht="14.45">
      <c r="A559" s="413">
        <v>558</v>
      </c>
      <c r="B559" s="413" t="s">
        <v>3659</v>
      </c>
      <c r="C559" s="414" t="s">
        <v>16</v>
      </c>
      <c r="D559" s="414" t="s">
        <v>3648</v>
      </c>
      <c r="E559" s="414"/>
      <c r="F559" s="414"/>
      <c r="G559" s="414"/>
      <c r="H559" s="414"/>
      <c r="I559" s="414"/>
      <c r="J559" s="414"/>
      <c r="K559" s="414"/>
      <c r="L559" s="415" t="s">
        <v>5088</v>
      </c>
      <c r="M559" s="416" t="s">
        <v>2999</v>
      </c>
      <c r="N559" s="416" t="s">
        <v>2999</v>
      </c>
      <c r="O559" s="417"/>
      <c r="P559" s="416">
        <v>4590006257</v>
      </c>
      <c r="Q559" s="418">
        <v>44836</v>
      </c>
      <c r="R559" s="419">
        <v>20</v>
      </c>
      <c r="S559" s="458">
        <v>1369.77</v>
      </c>
      <c r="T559" s="420" t="s">
        <v>2156</v>
      </c>
      <c r="U559" s="414" t="s">
        <v>3661</v>
      </c>
      <c r="V559" s="414" t="s">
        <v>3662</v>
      </c>
      <c r="W559" s="417" t="s">
        <v>3663</v>
      </c>
      <c r="X559" s="417"/>
      <c r="Y559" s="421" t="s">
        <v>3652</v>
      </c>
      <c r="Z559" s="421" t="s">
        <v>3652</v>
      </c>
      <c r="AA559" s="416" t="s">
        <v>4648</v>
      </c>
      <c r="AB559" s="414" t="s">
        <v>3664</v>
      </c>
      <c r="AC559" s="422"/>
      <c r="AD559" s="421"/>
      <c r="AE559" s="420"/>
      <c r="AF559" s="421">
        <v>91317</v>
      </c>
      <c r="AG559" s="420" t="s">
        <v>3177</v>
      </c>
      <c r="AH559" s="421" t="s">
        <v>3711</v>
      </c>
      <c r="AI559" s="420" t="s">
        <v>3666</v>
      </c>
      <c r="AJ559" s="413" t="str">
        <f t="shared" si="35"/>
        <v>4590006257_020</v>
      </c>
      <c r="AK559" s="423"/>
      <c r="AL559" s="424">
        <v>45108</v>
      </c>
      <c r="AM559" s="221">
        <v>547.90800000000002</v>
      </c>
      <c r="AN559" s="424">
        <v>45260</v>
      </c>
      <c r="AO559" s="423"/>
      <c r="AP559" s="413"/>
      <c r="AQ559" s="222"/>
      <c r="AR559" s="424"/>
      <c r="AS559" s="614">
        <f ca="1">表格1_6[[#This Row],[total amount]]/表格1_6[[#This Row],[PO$]]</f>
        <v>0.4</v>
      </c>
      <c r="AT559" s="223">
        <f ca="1">表格1_6[[#This Row],[invoice amount]]+表格1_6[[#This Row],[invoice amount2]]</f>
        <v>547.90800000000002</v>
      </c>
      <c r="AU559" s="224" t="s">
        <v>3673</v>
      </c>
      <c r="AV559" s="423"/>
      <c r="AW559" s="423" t="e">
        <f ca="1">VLOOKUP(表格1_6[[#This Row],[TI tool ID2]],工作表1!A:A,1,FALSE)</f>
        <v>#N/A</v>
      </c>
      <c r="AX559" s="425" t="e">
        <f ca="1">VLOOKUP(表格1_6[[#This Row],[PO+ITEM]],工作表1!B:E,2,FALSE)</f>
        <v>#N/A</v>
      </c>
      <c r="AY559" s="425" t="e">
        <f ca="1">VLOOKUP(表格1_6[[#This Row],[PO+ITEM]],工作表1!B:E,3,FALSE)</f>
        <v>#N/A</v>
      </c>
      <c r="AZ559" s="423" t="e">
        <f ca="1">VLOOKUP(表格1_6[[#This Row],[PO+ITEM]],工作表1!B:E,4,FALSE)</f>
        <v>#N/A</v>
      </c>
      <c r="BA559" s="425" t="e">
        <f ca="1">INDEX(工作表1!G:G, MATCH(表格1_6[[#This Row],[invoice number]]&amp;表格1_6[[#This Row],[invoice number2]],工作表1!G:G, 0))</f>
        <v>#N/A</v>
      </c>
      <c r="BB559" s="423" t="e">
        <f ca="1">VLOOKUP(表格1_6[[#This Row],[PO+ITEM]],工作表1!F:H,2,FALSE)</f>
        <v>#N/A</v>
      </c>
    </row>
    <row r="560" spans="1:54" ht="14.45">
      <c r="A560" s="413">
        <v>559</v>
      </c>
      <c r="B560" s="413" t="s">
        <v>3659</v>
      </c>
      <c r="C560" s="414" t="s">
        <v>16</v>
      </c>
      <c r="D560" s="414" t="s">
        <v>3648</v>
      </c>
      <c r="E560" s="414"/>
      <c r="F560" s="414"/>
      <c r="G560" s="414"/>
      <c r="H560" s="414"/>
      <c r="I560" s="414"/>
      <c r="J560" s="414"/>
      <c r="K560" s="414"/>
      <c r="L560" s="420" t="s">
        <v>5089</v>
      </c>
      <c r="M560" s="416" t="s">
        <v>2999</v>
      </c>
      <c r="N560" s="416" t="s">
        <v>2999</v>
      </c>
      <c r="O560" s="417"/>
      <c r="P560" s="416">
        <v>4590006257</v>
      </c>
      <c r="Q560" s="418">
        <v>44836</v>
      </c>
      <c r="R560" s="419">
        <v>21</v>
      </c>
      <c r="S560" s="458">
        <v>913.18</v>
      </c>
      <c r="T560" s="420" t="s">
        <v>2156</v>
      </c>
      <c r="U560" s="414" t="s">
        <v>3661</v>
      </c>
      <c r="V560" s="414" t="s">
        <v>3662</v>
      </c>
      <c r="W560" s="417" t="s">
        <v>3663</v>
      </c>
      <c r="X560" s="417"/>
      <c r="Y560" s="421" t="s">
        <v>3652</v>
      </c>
      <c r="Z560" s="421" t="s">
        <v>3652</v>
      </c>
      <c r="AA560" s="416" t="s">
        <v>4648</v>
      </c>
      <c r="AB560" s="414" t="s">
        <v>3664</v>
      </c>
      <c r="AC560" s="422"/>
      <c r="AD560" s="421"/>
      <c r="AE560" s="420"/>
      <c r="AF560" s="421">
        <v>91319</v>
      </c>
      <c r="AG560" s="420" t="s">
        <v>3252</v>
      </c>
      <c r="AH560" s="421" t="s">
        <v>3711</v>
      </c>
      <c r="AI560" s="420" t="s">
        <v>3666</v>
      </c>
      <c r="AJ560" s="413" t="str">
        <f t="shared" si="35"/>
        <v>4590006257_021</v>
      </c>
      <c r="AK560" s="423"/>
      <c r="AL560" s="424">
        <v>45108</v>
      </c>
      <c r="AM560" s="221">
        <v>365.27199999999999</v>
      </c>
      <c r="AN560" s="424">
        <v>45260</v>
      </c>
      <c r="AO560" s="423"/>
      <c r="AP560" s="413"/>
      <c r="AQ560" s="222"/>
      <c r="AR560" s="424"/>
      <c r="AS560" s="614">
        <f ca="1">表格1_6[[#This Row],[total amount]]/表格1_6[[#This Row],[PO$]]</f>
        <v>0.4</v>
      </c>
      <c r="AT560" s="223">
        <f ca="1">表格1_6[[#This Row],[invoice amount]]+表格1_6[[#This Row],[invoice amount2]]</f>
        <v>365.27199999999999</v>
      </c>
      <c r="AU560" s="224" t="s">
        <v>3673</v>
      </c>
      <c r="AV560" s="423"/>
      <c r="AW560" s="423" t="e">
        <f ca="1">VLOOKUP(表格1_6[[#This Row],[TI tool ID2]],工作表1!A:A,1,FALSE)</f>
        <v>#N/A</v>
      </c>
      <c r="AX560" s="425" t="e">
        <f ca="1">VLOOKUP(表格1_6[[#This Row],[PO+ITEM]],工作表1!B:E,2,FALSE)</f>
        <v>#N/A</v>
      </c>
      <c r="AY560" s="425" t="e">
        <f ca="1">VLOOKUP(表格1_6[[#This Row],[PO+ITEM]],工作表1!B:E,3,FALSE)</f>
        <v>#N/A</v>
      </c>
      <c r="AZ560" s="423" t="e">
        <f ca="1">VLOOKUP(表格1_6[[#This Row],[PO+ITEM]],工作表1!B:E,4,FALSE)</f>
        <v>#N/A</v>
      </c>
      <c r="BA560" s="425" t="e">
        <f ca="1">INDEX(工作表1!G:G, MATCH(表格1_6[[#This Row],[invoice number]]&amp;表格1_6[[#This Row],[invoice number2]],工作表1!G:G, 0))</f>
        <v>#N/A</v>
      </c>
      <c r="BB560" s="423" t="e">
        <f ca="1">VLOOKUP(表格1_6[[#This Row],[PO+ITEM]],工作表1!F:H,2,FALSE)</f>
        <v>#N/A</v>
      </c>
    </row>
    <row r="561" spans="1:54" ht="14.45">
      <c r="A561" s="413">
        <v>560</v>
      </c>
      <c r="B561" s="413" t="s">
        <v>3659</v>
      </c>
      <c r="C561" s="414" t="s">
        <v>16</v>
      </c>
      <c r="D561" s="414" t="s">
        <v>3648</v>
      </c>
      <c r="E561" s="414"/>
      <c r="F561" s="414"/>
      <c r="G561" s="414"/>
      <c r="H561" s="414"/>
      <c r="I561" s="414"/>
      <c r="J561" s="414"/>
      <c r="K561" s="414"/>
      <c r="L561" s="415" t="s">
        <v>5090</v>
      </c>
      <c r="M561" s="416" t="s">
        <v>2206</v>
      </c>
      <c r="N561" s="416" t="s">
        <v>2999</v>
      </c>
      <c r="O561" s="417"/>
      <c r="P561" s="416">
        <v>4590006257</v>
      </c>
      <c r="Q561" s="418">
        <v>44836</v>
      </c>
      <c r="R561" s="419">
        <v>22</v>
      </c>
      <c r="S561" s="458">
        <v>28348.33</v>
      </c>
      <c r="T561" s="420" t="s">
        <v>2156</v>
      </c>
      <c r="U561" s="414" t="s">
        <v>3661</v>
      </c>
      <c r="V561" s="414" t="s">
        <v>3662</v>
      </c>
      <c r="W561" s="417" t="s">
        <v>3663</v>
      </c>
      <c r="X561" s="417"/>
      <c r="Y561" s="421" t="s">
        <v>3652</v>
      </c>
      <c r="Z561" s="421" t="s">
        <v>3652</v>
      </c>
      <c r="AA561" s="416" t="s">
        <v>4648</v>
      </c>
      <c r="AB561" s="414" t="s">
        <v>3664</v>
      </c>
      <c r="AC561" s="422"/>
      <c r="AD561" s="421"/>
      <c r="AE561" s="420"/>
      <c r="AF561" s="421">
        <v>91393</v>
      </c>
      <c r="AG561" s="420" t="s">
        <v>5091</v>
      </c>
      <c r="AH561" s="421" t="s">
        <v>3711</v>
      </c>
      <c r="AI561" s="420" t="s">
        <v>846</v>
      </c>
      <c r="AJ561" s="413" t="str">
        <f t="shared" si="35"/>
        <v>4590006257_022</v>
      </c>
      <c r="AK561" s="423"/>
      <c r="AL561" s="413"/>
      <c r="AM561" s="221"/>
      <c r="AN561" s="424"/>
      <c r="AO561" s="423"/>
      <c r="AP561" s="413"/>
      <c r="AQ561" s="222"/>
      <c r="AR561" s="424"/>
      <c r="AS561" s="614">
        <f ca="1">表格1_6[[#This Row],[total amount]]/表格1_6[[#This Row],[PO$]]</f>
        <v>0</v>
      </c>
      <c r="AT561" s="223">
        <f ca="1">表格1_6[[#This Row],[invoice amount]]+表格1_6[[#This Row],[invoice amount2]]</f>
        <v>0</v>
      </c>
      <c r="AU561" s="224"/>
      <c r="AV561" s="423"/>
      <c r="AW561" s="423" t="e">
        <f ca="1">VLOOKUP(表格1_6[[#This Row],[TI tool ID2]],工作表1!A:A,1,FALSE)</f>
        <v>#N/A</v>
      </c>
      <c r="AX561" s="425" t="e">
        <f ca="1">VLOOKUP(表格1_6[[#This Row],[PO+ITEM]],工作表1!B:E,2,FALSE)</f>
        <v>#N/A</v>
      </c>
      <c r="AY561" s="425" t="e">
        <f ca="1">VLOOKUP(表格1_6[[#This Row],[PO+ITEM]],工作表1!B:E,3,FALSE)</f>
        <v>#N/A</v>
      </c>
      <c r="AZ561" s="423" t="e">
        <f ca="1">VLOOKUP(表格1_6[[#This Row],[PO+ITEM]],工作表1!B:E,4,FALSE)</f>
        <v>#N/A</v>
      </c>
      <c r="BA561" s="425" t="e">
        <f ca="1">INDEX(工作表1!G:G, MATCH(表格1_6[[#This Row],[invoice number]]&amp;表格1_6[[#This Row],[invoice number2]],工作表1!G:G, 0))</f>
        <v>#N/A</v>
      </c>
      <c r="BB561" s="423" t="e">
        <f ca="1">VLOOKUP(表格1_6[[#This Row],[PO+ITEM]],工作表1!F:H,2,FALSE)</f>
        <v>#N/A</v>
      </c>
    </row>
    <row r="562" spans="1:54" ht="14.45">
      <c r="A562" s="413">
        <v>561</v>
      </c>
      <c r="B562" s="413" t="s">
        <v>3659</v>
      </c>
      <c r="C562" s="414" t="s">
        <v>16</v>
      </c>
      <c r="D562" s="414" t="s">
        <v>3648</v>
      </c>
      <c r="E562" s="414"/>
      <c r="F562" s="414"/>
      <c r="G562" s="414"/>
      <c r="H562" s="414"/>
      <c r="I562" s="414"/>
      <c r="J562" s="414"/>
      <c r="K562" s="414"/>
      <c r="L562" s="420" t="s">
        <v>5092</v>
      </c>
      <c r="M562" s="416" t="s">
        <v>2999</v>
      </c>
      <c r="N562" s="416" t="s">
        <v>2999</v>
      </c>
      <c r="O562" s="417"/>
      <c r="P562" s="416">
        <v>4590006257</v>
      </c>
      <c r="Q562" s="418">
        <v>44836</v>
      </c>
      <c r="R562" s="419">
        <v>23</v>
      </c>
      <c r="S562" s="458">
        <v>4720.7</v>
      </c>
      <c r="T562" s="420" t="s">
        <v>2156</v>
      </c>
      <c r="U562" s="414" t="s">
        <v>3661</v>
      </c>
      <c r="V562" s="414" t="s">
        <v>3662</v>
      </c>
      <c r="W562" s="417" t="s">
        <v>3663</v>
      </c>
      <c r="X562" s="417"/>
      <c r="Y562" s="421" t="s">
        <v>3652</v>
      </c>
      <c r="Z562" s="421" t="s">
        <v>3652</v>
      </c>
      <c r="AA562" s="416" t="s">
        <v>4648</v>
      </c>
      <c r="AB562" s="414" t="s">
        <v>3664</v>
      </c>
      <c r="AC562" s="422"/>
      <c r="AD562" s="421"/>
      <c r="AE562" s="420"/>
      <c r="AF562" s="421">
        <v>91415</v>
      </c>
      <c r="AG562" s="420" t="s">
        <v>5093</v>
      </c>
      <c r="AH562" s="421" t="s">
        <v>3711</v>
      </c>
      <c r="AI562" s="420" t="s">
        <v>3719</v>
      </c>
      <c r="AJ562" s="413" t="str">
        <f t="shared" si="35"/>
        <v>4590006257_023</v>
      </c>
      <c r="AK562" s="423"/>
      <c r="AL562" s="424">
        <v>45108</v>
      </c>
      <c r="AM562" s="221">
        <v>1888.28</v>
      </c>
      <c r="AN562" s="424">
        <v>45198</v>
      </c>
      <c r="AO562" s="423"/>
      <c r="AP562" s="413"/>
      <c r="AQ562" s="222"/>
      <c r="AR562" s="424"/>
      <c r="AS562" s="614">
        <f ca="1">表格1_6[[#This Row],[total amount]]/表格1_6[[#This Row],[PO$]]</f>
        <v>0.4</v>
      </c>
      <c r="AT562" s="223">
        <f ca="1">表格1_6[[#This Row],[invoice amount]]+表格1_6[[#This Row],[invoice amount2]]</f>
        <v>1888.28</v>
      </c>
      <c r="AU562" s="224" t="s">
        <v>3673</v>
      </c>
      <c r="AV562" s="423"/>
      <c r="AW562" s="423" t="e">
        <f ca="1">VLOOKUP(表格1_6[[#This Row],[TI tool ID2]],工作表1!A:A,1,FALSE)</f>
        <v>#N/A</v>
      </c>
      <c r="AX562" s="425" t="e">
        <f ca="1">VLOOKUP(表格1_6[[#This Row],[PO+ITEM]],工作表1!B:E,2,FALSE)</f>
        <v>#N/A</v>
      </c>
      <c r="AY562" s="425" t="e">
        <f ca="1">VLOOKUP(表格1_6[[#This Row],[PO+ITEM]],工作表1!B:E,3,FALSE)</f>
        <v>#N/A</v>
      </c>
      <c r="AZ562" s="423" t="e">
        <f ca="1">VLOOKUP(表格1_6[[#This Row],[PO+ITEM]],工作表1!B:E,4,FALSE)</f>
        <v>#N/A</v>
      </c>
      <c r="BA562" s="425" t="e">
        <f ca="1">INDEX(工作表1!G:G, MATCH(表格1_6[[#This Row],[invoice number]]&amp;表格1_6[[#This Row],[invoice number2]],工作表1!G:G, 0))</f>
        <v>#N/A</v>
      </c>
      <c r="BB562" s="423" t="e">
        <f ca="1">VLOOKUP(表格1_6[[#This Row],[PO+ITEM]],工作表1!F:H,2,FALSE)</f>
        <v>#N/A</v>
      </c>
    </row>
    <row r="563" spans="1:54" ht="14.45">
      <c r="A563" s="413">
        <v>562</v>
      </c>
      <c r="B563" s="413" t="s">
        <v>3659</v>
      </c>
      <c r="C563" s="414" t="s">
        <v>16</v>
      </c>
      <c r="D563" s="414" t="s">
        <v>3648</v>
      </c>
      <c r="E563" s="414"/>
      <c r="F563" s="414"/>
      <c r="G563" s="414"/>
      <c r="H563" s="414"/>
      <c r="I563" s="414"/>
      <c r="J563" s="414"/>
      <c r="K563" s="414"/>
      <c r="L563" s="420" t="s">
        <v>5094</v>
      </c>
      <c r="M563" s="416" t="s">
        <v>2206</v>
      </c>
      <c r="N563" s="416" t="s">
        <v>2999</v>
      </c>
      <c r="O563" s="417"/>
      <c r="P563" s="416">
        <v>4590006257</v>
      </c>
      <c r="Q563" s="418">
        <v>44836</v>
      </c>
      <c r="R563" s="419">
        <v>24</v>
      </c>
      <c r="S563" s="458">
        <v>913.18</v>
      </c>
      <c r="T563" s="420" t="s">
        <v>2156</v>
      </c>
      <c r="U563" s="414" t="s">
        <v>3661</v>
      </c>
      <c r="V563" s="414" t="s">
        <v>3662</v>
      </c>
      <c r="W563" s="417" t="s">
        <v>3663</v>
      </c>
      <c r="X563" s="417"/>
      <c r="Y563" s="421" t="s">
        <v>3652</v>
      </c>
      <c r="Z563" s="421" t="s">
        <v>3652</v>
      </c>
      <c r="AA563" s="416" t="s">
        <v>4648</v>
      </c>
      <c r="AB563" s="414" t="s">
        <v>3664</v>
      </c>
      <c r="AC563" s="422"/>
      <c r="AD563" s="421"/>
      <c r="AE563" s="420"/>
      <c r="AF563" s="421">
        <v>91420</v>
      </c>
      <c r="AG563" s="420" t="s">
        <v>5095</v>
      </c>
      <c r="AH563" s="421" t="s">
        <v>3711</v>
      </c>
      <c r="AI563" s="420" t="s">
        <v>846</v>
      </c>
      <c r="AJ563" s="413" t="str">
        <f t="shared" si="35"/>
        <v>4590006257_024</v>
      </c>
      <c r="AK563" s="423"/>
      <c r="AL563" s="424">
        <v>45108</v>
      </c>
      <c r="AM563" s="221">
        <v>365.27199999999999</v>
      </c>
      <c r="AN563" s="424">
        <v>45198</v>
      </c>
      <c r="AO563" s="423"/>
      <c r="AP563" s="413"/>
      <c r="AQ563" s="222"/>
      <c r="AR563" s="424"/>
      <c r="AS563" s="614">
        <f ca="1">表格1_6[[#This Row],[total amount]]/表格1_6[[#This Row],[PO$]]</f>
        <v>0.4</v>
      </c>
      <c r="AT563" s="223">
        <f ca="1">表格1_6[[#This Row],[invoice amount]]+表格1_6[[#This Row],[invoice amount2]]</f>
        <v>365.27199999999999</v>
      </c>
      <c r="AU563" s="224" t="s">
        <v>3673</v>
      </c>
      <c r="AV563" s="423"/>
      <c r="AW563" s="423" t="e">
        <f ca="1">VLOOKUP(表格1_6[[#This Row],[TI tool ID2]],工作表1!A:A,1,FALSE)</f>
        <v>#N/A</v>
      </c>
      <c r="AX563" s="425" t="e">
        <f ca="1">VLOOKUP(表格1_6[[#This Row],[PO+ITEM]],工作表1!B:E,2,FALSE)</f>
        <v>#N/A</v>
      </c>
      <c r="AY563" s="425" t="e">
        <f ca="1">VLOOKUP(表格1_6[[#This Row],[PO+ITEM]],工作表1!B:E,3,FALSE)</f>
        <v>#N/A</v>
      </c>
      <c r="AZ563" s="423" t="e">
        <f ca="1">VLOOKUP(表格1_6[[#This Row],[PO+ITEM]],工作表1!B:E,4,FALSE)</f>
        <v>#N/A</v>
      </c>
      <c r="BA563" s="425" t="e">
        <f ca="1">INDEX(工作表1!G:G, MATCH(表格1_6[[#This Row],[invoice number]]&amp;表格1_6[[#This Row],[invoice number2]],工作表1!G:G, 0))</f>
        <v>#N/A</v>
      </c>
      <c r="BB563" s="423" t="e">
        <f ca="1">VLOOKUP(表格1_6[[#This Row],[PO+ITEM]],工作表1!F:H,2,FALSE)</f>
        <v>#N/A</v>
      </c>
    </row>
    <row r="564" spans="1:54" ht="14.45">
      <c r="A564" s="413">
        <v>563</v>
      </c>
      <c r="B564" s="413" t="s">
        <v>3659</v>
      </c>
      <c r="C564" s="414" t="s">
        <v>16</v>
      </c>
      <c r="D564" s="414" t="s">
        <v>3648</v>
      </c>
      <c r="E564" s="414"/>
      <c r="F564" s="414"/>
      <c r="G564" s="414"/>
      <c r="H564" s="414"/>
      <c r="I564" s="414"/>
      <c r="J564" s="414"/>
      <c r="K564" s="414"/>
      <c r="L564" s="420" t="s">
        <v>5096</v>
      </c>
      <c r="M564" s="416" t="s">
        <v>2206</v>
      </c>
      <c r="N564" s="416" t="s">
        <v>2999</v>
      </c>
      <c r="O564" s="417"/>
      <c r="P564" s="416">
        <v>4590006257</v>
      </c>
      <c r="Q564" s="418">
        <v>44836</v>
      </c>
      <c r="R564" s="419">
        <v>25</v>
      </c>
      <c r="S564" s="458">
        <v>28348.33</v>
      </c>
      <c r="T564" s="420" t="s">
        <v>2156</v>
      </c>
      <c r="U564" s="414" t="s">
        <v>3661</v>
      </c>
      <c r="V564" s="414" t="s">
        <v>3662</v>
      </c>
      <c r="W564" s="417" t="s">
        <v>3663</v>
      </c>
      <c r="X564" s="417"/>
      <c r="Y564" s="421" t="s">
        <v>3652</v>
      </c>
      <c r="Z564" s="421" t="s">
        <v>3652</v>
      </c>
      <c r="AA564" s="416" t="s">
        <v>4648</v>
      </c>
      <c r="AB564" s="414" t="s">
        <v>3664</v>
      </c>
      <c r="AC564" s="422"/>
      <c r="AD564" s="421"/>
      <c r="AE564" s="420"/>
      <c r="AF564" s="421">
        <v>91421</v>
      </c>
      <c r="AG564" s="420" t="s">
        <v>5097</v>
      </c>
      <c r="AH564" s="421" t="s">
        <v>3711</v>
      </c>
      <c r="AI564" s="420" t="s">
        <v>846</v>
      </c>
      <c r="AJ564" s="413" t="str">
        <f t="shared" si="35"/>
        <v>4590006257_025</v>
      </c>
      <c r="AK564" s="423"/>
      <c r="AL564" s="413"/>
      <c r="AM564" s="221"/>
      <c r="AN564" s="424"/>
      <c r="AO564" s="423"/>
      <c r="AP564" s="413"/>
      <c r="AQ564" s="222"/>
      <c r="AR564" s="424"/>
      <c r="AS564" s="614">
        <f ca="1">表格1_6[[#This Row],[total amount]]/表格1_6[[#This Row],[PO$]]</f>
        <v>0</v>
      </c>
      <c r="AT564" s="223">
        <f ca="1">表格1_6[[#This Row],[invoice amount]]+表格1_6[[#This Row],[invoice amount2]]</f>
        <v>0</v>
      </c>
      <c r="AU564" s="224"/>
      <c r="AV564" s="423"/>
      <c r="AW564" s="423" t="e">
        <f ca="1">VLOOKUP(表格1_6[[#This Row],[TI tool ID2]],工作表1!A:A,1,FALSE)</f>
        <v>#N/A</v>
      </c>
      <c r="AX564" s="425" t="e">
        <f ca="1">VLOOKUP(表格1_6[[#This Row],[PO+ITEM]],工作表1!B:E,2,FALSE)</f>
        <v>#N/A</v>
      </c>
      <c r="AY564" s="425" t="e">
        <f ca="1">VLOOKUP(表格1_6[[#This Row],[PO+ITEM]],工作表1!B:E,3,FALSE)</f>
        <v>#N/A</v>
      </c>
      <c r="AZ564" s="423" t="e">
        <f ca="1">VLOOKUP(表格1_6[[#This Row],[PO+ITEM]],工作表1!B:E,4,FALSE)</f>
        <v>#N/A</v>
      </c>
      <c r="BA564" s="425" t="e">
        <f ca="1">INDEX(工作表1!G:G, MATCH(表格1_6[[#This Row],[invoice number]]&amp;表格1_6[[#This Row],[invoice number2]],工作表1!G:G, 0))</f>
        <v>#N/A</v>
      </c>
      <c r="BB564" s="423" t="e">
        <f ca="1">VLOOKUP(表格1_6[[#This Row],[PO+ITEM]],工作表1!F:H,2,FALSE)</f>
        <v>#N/A</v>
      </c>
    </row>
    <row r="565" spans="1:54" ht="14.45">
      <c r="A565" s="413">
        <v>564</v>
      </c>
      <c r="B565" s="413" t="s">
        <v>3659</v>
      </c>
      <c r="C565" s="414" t="s">
        <v>16</v>
      </c>
      <c r="D565" s="414" t="s">
        <v>3648</v>
      </c>
      <c r="E565" s="414"/>
      <c r="F565" s="414"/>
      <c r="G565" s="414"/>
      <c r="H565" s="414"/>
      <c r="I565" s="414"/>
      <c r="J565" s="414"/>
      <c r="K565" s="414"/>
      <c r="L565" s="415" t="s">
        <v>5098</v>
      </c>
      <c r="M565" s="416" t="s">
        <v>2999</v>
      </c>
      <c r="N565" s="416" t="s">
        <v>2999</v>
      </c>
      <c r="O565" s="417"/>
      <c r="P565" s="416">
        <v>4590006257</v>
      </c>
      <c r="Q565" s="418">
        <v>44836</v>
      </c>
      <c r="R565" s="419">
        <v>26</v>
      </c>
      <c r="S565" s="458">
        <v>1369.77</v>
      </c>
      <c r="T565" s="420" t="s">
        <v>2156</v>
      </c>
      <c r="U565" s="414" t="s">
        <v>3661</v>
      </c>
      <c r="V565" s="414" t="s">
        <v>3662</v>
      </c>
      <c r="W565" s="417" t="s">
        <v>3663</v>
      </c>
      <c r="X565" s="417"/>
      <c r="Y565" s="421" t="s">
        <v>3652</v>
      </c>
      <c r="Z565" s="421" t="s">
        <v>3652</v>
      </c>
      <c r="AA565" s="416" t="s">
        <v>4648</v>
      </c>
      <c r="AB565" s="414" t="s">
        <v>3664</v>
      </c>
      <c r="AC565" s="422"/>
      <c r="AD565" s="421"/>
      <c r="AE565" s="420"/>
      <c r="AF565" s="421">
        <v>91424</v>
      </c>
      <c r="AG565" s="420" t="s">
        <v>3179</v>
      </c>
      <c r="AH565" s="421" t="s">
        <v>3711</v>
      </c>
      <c r="AI565" s="420" t="s">
        <v>3666</v>
      </c>
      <c r="AJ565" s="413" t="str">
        <f t="shared" si="35"/>
        <v>4590006257_026</v>
      </c>
      <c r="AK565" s="423"/>
      <c r="AL565" s="424">
        <v>45108</v>
      </c>
      <c r="AM565" s="221">
        <v>547.90800000000002</v>
      </c>
      <c r="AN565" s="424">
        <v>45198</v>
      </c>
      <c r="AO565" s="423"/>
      <c r="AP565" s="413"/>
      <c r="AQ565" s="222"/>
      <c r="AR565" s="424"/>
      <c r="AS565" s="614">
        <f ca="1">表格1_6[[#This Row],[total amount]]/表格1_6[[#This Row],[PO$]]</f>
        <v>0.4</v>
      </c>
      <c r="AT565" s="223">
        <f ca="1">表格1_6[[#This Row],[invoice amount]]+表格1_6[[#This Row],[invoice amount2]]</f>
        <v>547.90800000000002</v>
      </c>
      <c r="AU565" s="224" t="s">
        <v>3673</v>
      </c>
      <c r="AV565" s="423"/>
      <c r="AW565" s="423" t="e">
        <f ca="1">VLOOKUP(表格1_6[[#This Row],[TI tool ID2]],工作表1!A:A,1,FALSE)</f>
        <v>#N/A</v>
      </c>
      <c r="AX565" s="425" t="e">
        <f ca="1">VLOOKUP(表格1_6[[#This Row],[PO+ITEM]],工作表1!B:E,2,FALSE)</f>
        <v>#N/A</v>
      </c>
      <c r="AY565" s="425" t="e">
        <f ca="1">VLOOKUP(表格1_6[[#This Row],[PO+ITEM]],工作表1!B:E,3,FALSE)</f>
        <v>#N/A</v>
      </c>
      <c r="AZ565" s="423" t="e">
        <f ca="1">VLOOKUP(表格1_6[[#This Row],[PO+ITEM]],工作表1!B:E,4,FALSE)</f>
        <v>#N/A</v>
      </c>
      <c r="BA565" s="425" t="e">
        <f ca="1">INDEX(工作表1!G:G, MATCH(表格1_6[[#This Row],[invoice number]]&amp;表格1_6[[#This Row],[invoice number2]],工作表1!G:G, 0))</f>
        <v>#N/A</v>
      </c>
      <c r="BB565" s="423" t="e">
        <f ca="1">VLOOKUP(表格1_6[[#This Row],[PO+ITEM]],工作表1!F:H,2,FALSE)</f>
        <v>#N/A</v>
      </c>
    </row>
    <row r="566" spans="1:54" ht="14.45">
      <c r="A566" s="413">
        <v>565</v>
      </c>
      <c r="B566" s="413"/>
      <c r="C566" s="414" t="s">
        <v>16</v>
      </c>
      <c r="D566" s="414" t="s">
        <v>3648</v>
      </c>
      <c r="E566" s="414"/>
      <c r="F566" s="414"/>
      <c r="G566" s="414"/>
      <c r="H566" s="414"/>
      <c r="I566" s="414"/>
      <c r="J566" s="414"/>
      <c r="K566" s="414"/>
      <c r="L566" s="415" t="s">
        <v>5099</v>
      </c>
      <c r="M566" s="416" t="s">
        <v>2999</v>
      </c>
      <c r="N566" s="416" t="s">
        <v>2999</v>
      </c>
      <c r="O566" s="417"/>
      <c r="P566" s="416">
        <v>4590006257</v>
      </c>
      <c r="Q566" s="418">
        <v>44836</v>
      </c>
      <c r="R566" s="419">
        <v>27</v>
      </c>
      <c r="S566" s="458">
        <v>4720.7</v>
      </c>
      <c r="T566" s="420" t="s">
        <v>2156</v>
      </c>
      <c r="U566" s="414" t="s">
        <v>3661</v>
      </c>
      <c r="V566" s="414" t="s">
        <v>3662</v>
      </c>
      <c r="W566" s="417" t="s">
        <v>3663</v>
      </c>
      <c r="X566" s="417"/>
      <c r="Y566" s="421" t="s">
        <v>3652</v>
      </c>
      <c r="Z566" s="421" t="s">
        <v>3652</v>
      </c>
      <c r="AA566" s="416" t="s">
        <v>4648</v>
      </c>
      <c r="AB566" s="414" t="s">
        <v>3664</v>
      </c>
      <c r="AC566" s="422"/>
      <c r="AD566" s="421"/>
      <c r="AE566" s="420"/>
      <c r="AF566" s="421">
        <v>91430</v>
      </c>
      <c r="AG566" s="420" t="s">
        <v>5100</v>
      </c>
      <c r="AH566" s="421" t="s">
        <v>3711</v>
      </c>
      <c r="AI566" s="420" t="s">
        <v>3719</v>
      </c>
      <c r="AJ566" s="413" t="str">
        <f t="shared" si="35"/>
        <v>4590006257_027</v>
      </c>
      <c r="AK566" s="423"/>
      <c r="AL566" s="413"/>
      <c r="AM566" s="221"/>
      <c r="AN566" s="424"/>
      <c r="AO566" s="423"/>
      <c r="AP566" s="413"/>
      <c r="AQ566" s="222"/>
      <c r="AR566" s="424"/>
      <c r="AS566" s="614">
        <f ca="1">表格1_6[[#This Row],[total amount]]/表格1_6[[#This Row],[PO$]]</f>
        <v>0</v>
      </c>
      <c r="AT566" s="223">
        <f ca="1">表格1_6[[#This Row],[invoice amount]]+表格1_6[[#This Row],[invoice amount2]]</f>
        <v>0</v>
      </c>
      <c r="AU566" s="224"/>
      <c r="AV566" s="423"/>
      <c r="AW566" s="423" t="e">
        <f ca="1">VLOOKUP(表格1_6[[#This Row],[TI tool ID2]],工作表1!A:A,1,FALSE)</f>
        <v>#N/A</v>
      </c>
      <c r="AX566" s="425" t="e">
        <f ca="1">VLOOKUP(表格1_6[[#This Row],[PO+ITEM]],工作表1!B:E,2,FALSE)</f>
        <v>#N/A</v>
      </c>
      <c r="AY566" s="425" t="e">
        <f ca="1">VLOOKUP(表格1_6[[#This Row],[PO+ITEM]],工作表1!B:E,3,FALSE)</f>
        <v>#N/A</v>
      </c>
      <c r="AZ566" s="423" t="e">
        <f ca="1">VLOOKUP(表格1_6[[#This Row],[PO+ITEM]],工作表1!B:E,4,FALSE)</f>
        <v>#N/A</v>
      </c>
      <c r="BA566" s="425" t="e">
        <f ca="1">INDEX(工作表1!G:G, MATCH(表格1_6[[#This Row],[invoice number]]&amp;表格1_6[[#This Row],[invoice number2]],工作表1!G:G, 0))</f>
        <v>#N/A</v>
      </c>
      <c r="BB566" s="423" t="e">
        <f ca="1">VLOOKUP(表格1_6[[#This Row],[PO+ITEM]],工作表1!F:H,2,FALSE)</f>
        <v>#N/A</v>
      </c>
    </row>
    <row r="567" spans="1:54" ht="15.6">
      <c r="A567" s="413">
        <v>566</v>
      </c>
      <c r="B567" s="413" t="s">
        <v>3674</v>
      </c>
      <c r="C567" s="414" t="s">
        <v>16</v>
      </c>
      <c r="D567" s="414" t="s">
        <v>3648</v>
      </c>
      <c r="E567" s="414"/>
      <c r="F567" s="414"/>
      <c r="G567" s="414"/>
      <c r="H567" s="414"/>
      <c r="I567" s="414"/>
      <c r="J567" s="414"/>
      <c r="K567" s="414"/>
      <c r="L567" s="415" t="s">
        <v>5101</v>
      </c>
      <c r="M567" s="416" t="s">
        <v>2999</v>
      </c>
      <c r="N567" s="416" t="s">
        <v>2999</v>
      </c>
      <c r="O567" s="417"/>
      <c r="P567" s="416">
        <v>4590006258</v>
      </c>
      <c r="Q567" s="418">
        <v>44836</v>
      </c>
      <c r="R567" s="419">
        <v>1</v>
      </c>
      <c r="S567" s="458">
        <v>1521.25</v>
      </c>
      <c r="T567" s="420" t="s">
        <v>2156</v>
      </c>
      <c r="U567" s="414" t="s">
        <v>4027</v>
      </c>
      <c r="V567" s="414" t="s">
        <v>3992</v>
      </c>
      <c r="W567" s="417" t="s">
        <v>3993</v>
      </c>
      <c r="X567" s="417"/>
      <c r="Y567" s="421" t="s">
        <v>3652</v>
      </c>
      <c r="Z567" s="421" t="s">
        <v>3652</v>
      </c>
      <c r="AA567" s="416" t="s">
        <v>5102</v>
      </c>
      <c r="AB567" s="414" t="s">
        <v>3664</v>
      </c>
      <c r="AC567" s="422"/>
      <c r="AD567" s="421"/>
      <c r="AE567" s="420"/>
      <c r="AF567" s="421">
        <v>91016</v>
      </c>
      <c r="AG567" s="420" t="s">
        <v>3885</v>
      </c>
      <c r="AH567" s="421" t="s">
        <v>2250</v>
      </c>
      <c r="AI567" s="420" t="s">
        <v>3875</v>
      </c>
      <c r="AJ567" s="413" t="str">
        <f t="shared" ref="AJ567:AJ583" si="36">P567&amp;"_00"&amp;R567</f>
        <v>4590006258_001</v>
      </c>
      <c r="AK567" s="423"/>
      <c r="AL567" s="424">
        <v>45047</v>
      </c>
      <c r="AM567" s="221">
        <v>608.5</v>
      </c>
      <c r="AN567" s="226">
        <v>45153</v>
      </c>
      <c r="AO567" s="425" t="s">
        <v>5103</v>
      </c>
      <c r="AP567" s="424">
        <v>45562</v>
      </c>
      <c r="AQ567" s="273">
        <v>912.75</v>
      </c>
      <c r="AR567" s="424"/>
      <c r="AS567" s="614">
        <f ca="1">表格1_6[[#This Row],[total amount]]/表格1_6[[#This Row],[PO$]]</f>
        <v>1</v>
      </c>
      <c r="AT567" s="223">
        <f ca="1">表格1_6[[#This Row],[invoice amount]]+表格1_6[[#This Row],[invoice amount2]]</f>
        <v>1521.25</v>
      </c>
      <c r="AU567" s="224" t="s">
        <v>4235</v>
      </c>
      <c r="AV567" s="423"/>
      <c r="AW567" s="423" t="e">
        <f ca="1">VLOOKUP(表格1_6[[#This Row],[TI tool ID2]],工作表1!A:A,1,FALSE)</f>
        <v>#N/A</v>
      </c>
      <c r="AX567" s="425" t="str">
        <f ca="1">VLOOKUP(表格1_6[[#This Row],[PO+ITEM]],工作表1!B:E,2,FALSE)</f>
        <v>MICUINT202409064</v>
      </c>
      <c r="AY567" s="425">
        <f ca="1">VLOOKUP(表格1_6[[#This Row],[PO+ITEM]],工作表1!B:E,3,FALSE)</f>
        <v>45562</v>
      </c>
      <c r="AZ567" s="423" t="e">
        <f ca="1">VLOOKUP(表格1_6[[#This Row],[PO+ITEM]],工作表1!B:E,4,FALSE)</f>
        <v>#REF!</v>
      </c>
      <c r="BA567" s="425" t="e">
        <f ca="1">INDEX(工作表1!G:G, MATCH(表格1_6[[#This Row],[invoice number]]&amp;表格1_6[[#This Row],[invoice number2]],工作表1!G:G, 0))</f>
        <v>#N/A</v>
      </c>
      <c r="BB567" s="423" t="e">
        <f ca="1">VLOOKUP(表格1_6[[#This Row],[PO+ITEM]],工作表1!F:H,2,FALSE)</f>
        <v>#N/A</v>
      </c>
    </row>
    <row r="568" spans="1:54" ht="15.6">
      <c r="A568" s="413">
        <v>567</v>
      </c>
      <c r="B568" s="413" t="s">
        <v>3674</v>
      </c>
      <c r="C568" s="414" t="s">
        <v>16</v>
      </c>
      <c r="D568" s="414" t="s">
        <v>3648</v>
      </c>
      <c r="E568" s="414"/>
      <c r="F568" s="414"/>
      <c r="G568" s="414"/>
      <c r="H568" s="414"/>
      <c r="I568" s="414"/>
      <c r="J568" s="414"/>
      <c r="K568" s="414"/>
      <c r="L568" s="420" t="s">
        <v>5104</v>
      </c>
      <c r="M568" s="416" t="s">
        <v>2999</v>
      </c>
      <c r="N568" s="416" t="s">
        <v>2999</v>
      </c>
      <c r="O568" s="417"/>
      <c r="P568" s="416">
        <v>4590006258</v>
      </c>
      <c r="Q568" s="418">
        <v>44836</v>
      </c>
      <c r="R568" s="419">
        <v>2</v>
      </c>
      <c r="S568" s="458">
        <v>1521.25</v>
      </c>
      <c r="T568" s="420" t="s">
        <v>2156</v>
      </c>
      <c r="U568" s="414" t="s">
        <v>4027</v>
      </c>
      <c r="V568" s="414" t="s">
        <v>3992</v>
      </c>
      <c r="W568" s="417" t="s">
        <v>3993</v>
      </c>
      <c r="X568" s="417"/>
      <c r="Y568" s="421" t="s">
        <v>3652</v>
      </c>
      <c r="Z568" s="421" t="s">
        <v>3652</v>
      </c>
      <c r="AA568" s="416" t="s">
        <v>5102</v>
      </c>
      <c r="AB568" s="414" t="s">
        <v>3664</v>
      </c>
      <c r="AC568" s="422"/>
      <c r="AD568" s="421"/>
      <c r="AE568" s="420"/>
      <c r="AF568" s="421">
        <v>91017</v>
      </c>
      <c r="AG568" s="420" t="s">
        <v>3895</v>
      </c>
      <c r="AH568" s="421" t="s">
        <v>2250</v>
      </c>
      <c r="AI568" s="420" t="s">
        <v>3875</v>
      </c>
      <c r="AJ568" s="413" t="str">
        <f t="shared" si="36"/>
        <v>4590006258_002</v>
      </c>
      <c r="AK568" s="423"/>
      <c r="AL568" s="424">
        <v>45047</v>
      </c>
      <c r="AM568" s="221">
        <v>608.5</v>
      </c>
      <c r="AN568" s="226">
        <v>45153</v>
      </c>
      <c r="AO568" s="423"/>
      <c r="AP568" s="413"/>
      <c r="AQ568" s="222"/>
      <c r="AR568" s="424"/>
      <c r="AS568" s="614">
        <f ca="1">表格1_6[[#This Row],[total amount]]/表格1_6[[#This Row],[PO$]]</f>
        <v>0.4</v>
      </c>
      <c r="AT568" s="223">
        <f ca="1">表格1_6[[#This Row],[invoice amount]]+表格1_6[[#This Row],[invoice amount2]]</f>
        <v>608.5</v>
      </c>
      <c r="AU568" s="224" t="s">
        <v>3673</v>
      </c>
      <c r="AV568" s="423"/>
      <c r="AW568" s="423" t="e">
        <f ca="1">VLOOKUP(表格1_6[[#This Row],[TI tool ID2]],工作表1!A:A,1,FALSE)</f>
        <v>#N/A</v>
      </c>
      <c r="AX568" s="425" t="e">
        <f ca="1">VLOOKUP(表格1_6[[#This Row],[PO+ITEM]],工作表1!B:E,2,FALSE)</f>
        <v>#N/A</v>
      </c>
      <c r="AY568" s="425" t="e">
        <f ca="1">VLOOKUP(表格1_6[[#This Row],[PO+ITEM]],工作表1!B:E,3,FALSE)</f>
        <v>#N/A</v>
      </c>
      <c r="AZ568" s="423" t="e">
        <f ca="1">VLOOKUP(表格1_6[[#This Row],[PO+ITEM]],工作表1!B:E,4,FALSE)</f>
        <v>#N/A</v>
      </c>
      <c r="BA568" s="425" t="e">
        <f ca="1">INDEX(工作表1!G:G, MATCH(表格1_6[[#This Row],[invoice number]]&amp;表格1_6[[#This Row],[invoice number2]],工作表1!G:G, 0))</f>
        <v>#N/A</v>
      </c>
      <c r="BB568" s="423" t="e">
        <f ca="1">VLOOKUP(表格1_6[[#This Row],[PO+ITEM]],工作表1!F:H,2,FALSE)</f>
        <v>#N/A</v>
      </c>
    </row>
    <row r="569" spans="1:54" ht="15.6">
      <c r="A569" s="413">
        <v>568</v>
      </c>
      <c r="B569" s="413" t="s">
        <v>3659</v>
      </c>
      <c r="C569" s="414" t="s">
        <v>16</v>
      </c>
      <c r="D569" s="414" t="s">
        <v>3648</v>
      </c>
      <c r="E569" s="414"/>
      <c r="F569" s="414"/>
      <c r="G569" s="414"/>
      <c r="H569" s="414"/>
      <c r="I569" s="414"/>
      <c r="J569" s="414"/>
      <c r="K569" s="414"/>
      <c r="L569" s="415" t="s">
        <v>5105</v>
      </c>
      <c r="M569" s="416" t="s">
        <v>3762</v>
      </c>
      <c r="N569" s="416" t="s">
        <v>3762</v>
      </c>
      <c r="O569" s="417"/>
      <c r="P569" s="416">
        <v>4590006259</v>
      </c>
      <c r="Q569" s="418">
        <v>44836</v>
      </c>
      <c r="R569" s="419">
        <v>1</v>
      </c>
      <c r="S569" s="458">
        <v>30443.5</v>
      </c>
      <c r="T569" s="420" t="s">
        <v>2156</v>
      </c>
      <c r="U569" s="414" t="s">
        <v>4027</v>
      </c>
      <c r="V569" s="414" t="s">
        <v>3992</v>
      </c>
      <c r="W569" s="417" t="s">
        <v>3993</v>
      </c>
      <c r="X569" s="417"/>
      <c r="Y569" s="421" t="s">
        <v>3652</v>
      </c>
      <c r="Z569" s="421" t="s">
        <v>3652</v>
      </c>
      <c r="AA569" s="416" t="s">
        <v>4732</v>
      </c>
      <c r="AB569" s="414" t="s">
        <v>3664</v>
      </c>
      <c r="AC569" s="422"/>
      <c r="AD569" s="421"/>
      <c r="AE569" s="420"/>
      <c r="AF569" s="421">
        <v>91285</v>
      </c>
      <c r="AG569" s="420" t="s">
        <v>5106</v>
      </c>
      <c r="AH569" s="421" t="s">
        <v>3718</v>
      </c>
      <c r="AI569" s="420" t="s">
        <v>4734</v>
      </c>
      <c r="AJ569" s="413" t="str">
        <f t="shared" si="36"/>
        <v>4590006259_001</v>
      </c>
      <c r="AK569" s="423"/>
      <c r="AL569" s="424">
        <v>45047</v>
      </c>
      <c r="AM569" s="221">
        <v>12177.400000000001</v>
      </c>
      <c r="AN569" s="226">
        <v>45153</v>
      </c>
      <c r="AO569" s="425" t="s">
        <v>5107</v>
      </c>
      <c r="AP569" s="424">
        <v>45562</v>
      </c>
      <c r="AQ569" s="273">
        <v>18266.099999999999</v>
      </c>
      <c r="AR569" s="424"/>
      <c r="AS569" s="614">
        <f ca="1">表格1_6[[#This Row],[total amount]]/表格1_6[[#This Row],[PO$]]</f>
        <v>1</v>
      </c>
      <c r="AT569" s="223">
        <f ca="1">表格1_6[[#This Row],[invoice amount]]+表格1_6[[#This Row],[invoice amount2]]</f>
        <v>30443.5</v>
      </c>
      <c r="AU569" s="224" t="s">
        <v>4235</v>
      </c>
      <c r="AV569" s="423"/>
      <c r="AW569" s="423" t="e">
        <f ca="1">VLOOKUP(表格1_6[[#This Row],[TI tool ID2]],工作表1!A:A,1,FALSE)</f>
        <v>#N/A</v>
      </c>
      <c r="AX569" s="425" t="str">
        <f ca="1">VLOOKUP(表格1_6[[#This Row],[PO+ITEM]],工作表1!B:E,2,FALSE)</f>
        <v>MICUINT202409065</v>
      </c>
      <c r="AY569" s="425">
        <f ca="1">VLOOKUP(表格1_6[[#This Row],[PO+ITEM]],工作表1!B:E,3,FALSE)</f>
        <v>45562</v>
      </c>
      <c r="AZ569" s="423" t="e">
        <f ca="1">VLOOKUP(表格1_6[[#This Row],[PO+ITEM]],工作表1!B:E,4,FALSE)</f>
        <v>#REF!</v>
      </c>
      <c r="BA569" s="425" t="e">
        <f ca="1">INDEX(工作表1!G:G, MATCH(表格1_6[[#This Row],[invoice number]]&amp;表格1_6[[#This Row],[invoice number2]],工作表1!G:G, 0))</f>
        <v>#N/A</v>
      </c>
      <c r="BB569" s="423" t="e">
        <f ca="1">VLOOKUP(表格1_6[[#This Row],[PO+ITEM]],工作表1!F:H,2,FALSE)</f>
        <v>#N/A</v>
      </c>
    </row>
    <row r="570" spans="1:54" ht="15.6">
      <c r="A570" s="413">
        <v>569</v>
      </c>
      <c r="B570" s="413" t="s">
        <v>3659</v>
      </c>
      <c r="C570" s="414" t="s">
        <v>16</v>
      </c>
      <c r="D570" s="414" t="s">
        <v>3648</v>
      </c>
      <c r="E570" s="414"/>
      <c r="F570" s="414"/>
      <c r="G570" s="414"/>
      <c r="H570" s="414"/>
      <c r="I570" s="414"/>
      <c r="J570" s="414"/>
      <c r="K570" s="414"/>
      <c r="L570" s="415" t="s">
        <v>5108</v>
      </c>
      <c r="M570" s="416" t="s">
        <v>3762</v>
      </c>
      <c r="N570" s="416" t="s">
        <v>3762</v>
      </c>
      <c r="O570" s="417"/>
      <c r="P570" s="416">
        <v>4590006259</v>
      </c>
      <c r="Q570" s="418">
        <v>44836</v>
      </c>
      <c r="R570" s="419">
        <v>2</v>
      </c>
      <c r="S570" s="458">
        <v>16737.97</v>
      </c>
      <c r="T570" s="420" t="s">
        <v>2156</v>
      </c>
      <c r="U570" s="414" t="s">
        <v>4027</v>
      </c>
      <c r="V570" s="414" t="s">
        <v>3992</v>
      </c>
      <c r="W570" s="417" t="s">
        <v>3993</v>
      </c>
      <c r="X570" s="417"/>
      <c r="Y570" s="421" t="s">
        <v>3652</v>
      </c>
      <c r="Z570" s="421" t="s">
        <v>3652</v>
      </c>
      <c r="AA570" s="416" t="s">
        <v>4732</v>
      </c>
      <c r="AB570" s="414" t="s">
        <v>3664</v>
      </c>
      <c r="AC570" s="422"/>
      <c r="AD570" s="421"/>
      <c r="AE570" s="420"/>
      <c r="AF570" s="421">
        <v>91286</v>
      </c>
      <c r="AG570" s="420" t="s">
        <v>5109</v>
      </c>
      <c r="AH570" s="421" t="s">
        <v>3718</v>
      </c>
      <c r="AI570" s="420" t="s">
        <v>3719</v>
      </c>
      <c r="AJ570" s="413" t="str">
        <f t="shared" si="36"/>
        <v>4590006259_002</v>
      </c>
      <c r="AK570" s="423"/>
      <c r="AL570" s="424">
        <v>45047</v>
      </c>
      <c r="AM570" s="221">
        <v>6695.19</v>
      </c>
      <c r="AN570" s="226">
        <v>45153</v>
      </c>
      <c r="AO570" s="423"/>
      <c r="AP570" s="413"/>
      <c r="AQ570" s="222"/>
      <c r="AR570" s="424"/>
      <c r="AS570" s="614">
        <f ca="1">表格1_6[[#This Row],[total amount]]/表格1_6[[#This Row],[PO$]]</f>
        <v>0.40000011948880293</v>
      </c>
      <c r="AT570" s="223">
        <f ca="1">表格1_6[[#This Row],[invoice amount]]+表格1_6[[#This Row],[invoice amount2]]</f>
        <v>6695.19</v>
      </c>
      <c r="AU570" s="224" t="s">
        <v>3673</v>
      </c>
      <c r="AV570" s="423"/>
      <c r="AW570" s="423" t="e">
        <f ca="1">VLOOKUP(表格1_6[[#This Row],[TI tool ID2]],工作表1!A:A,1,FALSE)</f>
        <v>#N/A</v>
      </c>
      <c r="AX570" s="425" t="e">
        <f ca="1">VLOOKUP(表格1_6[[#This Row],[PO+ITEM]],工作表1!B:E,2,FALSE)</f>
        <v>#N/A</v>
      </c>
      <c r="AY570" s="425" t="e">
        <f ca="1">VLOOKUP(表格1_6[[#This Row],[PO+ITEM]],工作表1!B:E,3,FALSE)</f>
        <v>#N/A</v>
      </c>
      <c r="AZ570" s="423" t="e">
        <f ca="1">VLOOKUP(表格1_6[[#This Row],[PO+ITEM]],工作表1!B:E,4,FALSE)</f>
        <v>#N/A</v>
      </c>
      <c r="BA570" s="425" t="e">
        <f ca="1">INDEX(工作表1!G:G, MATCH(表格1_6[[#This Row],[invoice number]]&amp;表格1_6[[#This Row],[invoice number2]],工作表1!G:G, 0))</f>
        <v>#N/A</v>
      </c>
      <c r="BB570" s="423" t="e">
        <f ca="1">VLOOKUP(表格1_6[[#This Row],[PO+ITEM]],工作表1!F:H,2,FALSE)</f>
        <v>#N/A</v>
      </c>
    </row>
    <row r="571" spans="1:54" ht="15.6">
      <c r="A571" s="413">
        <v>570</v>
      </c>
      <c r="B571" s="413" t="s">
        <v>3659</v>
      </c>
      <c r="C571" s="414" t="s">
        <v>16</v>
      </c>
      <c r="D571" s="414" t="s">
        <v>3648</v>
      </c>
      <c r="E571" s="414"/>
      <c r="F571" s="414"/>
      <c r="G571" s="414"/>
      <c r="H571" s="414"/>
      <c r="I571" s="414"/>
      <c r="J571" s="414"/>
      <c r="K571" s="414"/>
      <c r="L571" s="415" t="s">
        <v>5110</v>
      </c>
      <c r="M571" s="416" t="s">
        <v>3762</v>
      </c>
      <c r="N571" s="416" t="s">
        <v>3762</v>
      </c>
      <c r="O571" s="417"/>
      <c r="P571" s="416">
        <v>4590006259</v>
      </c>
      <c r="Q571" s="418">
        <v>44836</v>
      </c>
      <c r="R571" s="419">
        <v>3</v>
      </c>
      <c r="S571" s="458">
        <v>55386.48</v>
      </c>
      <c r="T571" s="420" t="s">
        <v>2156</v>
      </c>
      <c r="U571" s="414" t="s">
        <v>4027</v>
      </c>
      <c r="V571" s="414" t="s">
        <v>3992</v>
      </c>
      <c r="W571" s="417" t="s">
        <v>3993</v>
      </c>
      <c r="X571" s="417"/>
      <c r="Y571" s="421" t="s">
        <v>3652</v>
      </c>
      <c r="Z571" s="421" t="s">
        <v>3652</v>
      </c>
      <c r="AA571" s="416" t="s">
        <v>4732</v>
      </c>
      <c r="AB571" s="414" t="s">
        <v>3664</v>
      </c>
      <c r="AC571" s="422"/>
      <c r="AD571" s="421"/>
      <c r="AE571" s="420"/>
      <c r="AF571" s="421">
        <v>91288</v>
      </c>
      <c r="AG571" s="420" t="s">
        <v>3758</v>
      </c>
      <c r="AH571" s="421" t="s">
        <v>3718</v>
      </c>
      <c r="AI571" s="420" t="s">
        <v>3719</v>
      </c>
      <c r="AJ571" s="413" t="str">
        <f t="shared" si="36"/>
        <v>4590006259_003</v>
      </c>
      <c r="AK571" s="423"/>
      <c r="AL571" s="424">
        <v>45047</v>
      </c>
      <c r="AM571" s="221">
        <v>22154.59</v>
      </c>
      <c r="AN571" s="226">
        <v>45153</v>
      </c>
      <c r="AO571" s="423"/>
      <c r="AP571" s="413"/>
      <c r="AQ571" s="222"/>
      <c r="AR571" s="424"/>
      <c r="AS571" s="614">
        <f ca="1">表格1_6[[#This Row],[total amount]]/表格1_6[[#This Row],[PO$]]</f>
        <v>0.39999996389010456</v>
      </c>
      <c r="AT571" s="223">
        <f ca="1">表格1_6[[#This Row],[invoice amount]]+表格1_6[[#This Row],[invoice amount2]]</f>
        <v>22154.59</v>
      </c>
      <c r="AU571" s="224" t="s">
        <v>3673</v>
      </c>
      <c r="AV571" s="423"/>
      <c r="AW571" s="423" t="e">
        <f ca="1">VLOOKUP(表格1_6[[#This Row],[TI tool ID2]],工作表1!A:A,1,FALSE)</f>
        <v>#N/A</v>
      </c>
      <c r="AX571" s="425" t="e">
        <f ca="1">VLOOKUP(表格1_6[[#This Row],[PO+ITEM]],工作表1!B:E,2,FALSE)</f>
        <v>#N/A</v>
      </c>
      <c r="AY571" s="425" t="e">
        <f ca="1">VLOOKUP(表格1_6[[#This Row],[PO+ITEM]],工作表1!B:E,3,FALSE)</f>
        <v>#N/A</v>
      </c>
      <c r="AZ571" s="423" t="e">
        <f ca="1">VLOOKUP(表格1_6[[#This Row],[PO+ITEM]],工作表1!B:E,4,FALSE)</f>
        <v>#N/A</v>
      </c>
      <c r="BA571" s="425" t="e">
        <f ca="1">INDEX(工作表1!G:G, MATCH(表格1_6[[#This Row],[invoice number]]&amp;表格1_6[[#This Row],[invoice number2]],工作表1!G:G, 0))</f>
        <v>#N/A</v>
      </c>
      <c r="BB571" s="423" t="e">
        <f ca="1">VLOOKUP(表格1_6[[#This Row],[PO+ITEM]],工作表1!F:H,2,FALSE)</f>
        <v>#N/A</v>
      </c>
    </row>
    <row r="572" spans="1:54" ht="15.6">
      <c r="A572" s="413">
        <v>571</v>
      </c>
      <c r="B572" s="413" t="s">
        <v>3659</v>
      </c>
      <c r="C572" s="414" t="s">
        <v>16</v>
      </c>
      <c r="D572" s="414" t="s">
        <v>3648</v>
      </c>
      <c r="E572" s="414"/>
      <c r="F572" s="414"/>
      <c r="G572" s="414"/>
      <c r="H572" s="414"/>
      <c r="I572" s="414"/>
      <c r="J572" s="414"/>
      <c r="K572" s="414"/>
      <c r="L572" s="415" t="s">
        <v>5111</v>
      </c>
      <c r="M572" s="416" t="s">
        <v>3762</v>
      </c>
      <c r="N572" s="416" t="s">
        <v>3762</v>
      </c>
      <c r="O572" s="417"/>
      <c r="P572" s="416">
        <v>4590006259</v>
      </c>
      <c r="Q572" s="418">
        <v>44836</v>
      </c>
      <c r="R572" s="419">
        <v>4</v>
      </c>
      <c r="S572" s="458">
        <v>41539.86</v>
      </c>
      <c r="T572" s="420" t="s">
        <v>2156</v>
      </c>
      <c r="U572" s="414" t="s">
        <v>4027</v>
      </c>
      <c r="V572" s="414" t="s">
        <v>3992</v>
      </c>
      <c r="W572" s="417" t="s">
        <v>3993</v>
      </c>
      <c r="X572" s="417"/>
      <c r="Y572" s="421" t="s">
        <v>3652</v>
      </c>
      <c r="Z572" s="421" t="s">
        <v>3652</v>
      </c>
      <c r="AA572" s="416" t="s">
        <v>4732</v>
      </c>
      <c r="AB572" s="414" t="s">
        <v>3664</v>
      </c>
      <c r="AC572" s="422"/>
      <c r="AD572" s="421"/>
      <c r="AE572" s="420"/>
      <c r="AF572" s="421">
        <v>91289</v>
      </c>
      <c r="AG572" s="420" t="s">
        <v>5112</v>
      </c>
      <c r="AH572" s="421" t="s">
        <v>3718</v>
      </c>
      <c r="AI572" s="420" t="s">
        <v>5113</v>
      </c>
      <c r="AJ572" s="413" t="str">
        <f t="shared" si="36"/>
        <v>4590006259_004</v>
      </c>
      <c r="AK572" s="423"/>
      <c r="AL572" s="424">
        <v>45047</v>
      </c>
      <c r="AM572" s="221">
        <v>16615.939999999999</v>
      </c>
      <c r="AN572" s="226">
        <v>45153</v>
      </c>
      <c r="AO572" s="423"/>
      <c r="AP572" s="413"/>
      <c r="AQ572" s="222"/>
      <c r="AR572" s="424"/>
      <c r="AS572" s="614">
        <f ca="1">表格1_6[[#This Row],[total amount]]/表格1_6[[#This Row],[PO$]]</f>
        <v>0.39999990370694555</v>
      </c>
      <c r="AT572" s="223">
        <f ca="1">表格1_6[[#This Row],[invoice amount]]+表格1_6[[#This Row],[invoice amount2]]</f>
        <v>16615.939999999999</v>
      </c>
      <c r="AU572" s="224" t="s">
        <v>3673</v>
      </c>
      <c r="AV572" s="423"/>
      <c r="AW572" s="423" t="e">
        <f ca="1">VLOOKUP(表格1_6[[#This Row],[TI tool ID2]],工作表1!A:A,1,FALSE)</f>
        <v>#N/A</v>
      </c>
      <c r="AX572" s="425" t="e">
        <f ca="1">VLOOKUP(表格1_6[[#This Row],[PO+ITEM]],工作表1!B:E,2,FALSE)</f>
        <v>#N/A</v>
      </c>
      <c r="AY572" s="425" t="e">
        <f ca="1">VLOOKUP(表格1_6[[#This Row],[PO+ITEM]],工作表1!B:E,3,FALSE)</f>
        <v>#N/A</v>
      </c>
      <c r="AZ572" s="423" t="e">
        <f ca="1">VLOOKUP(表格1_6[[#This Row],[PO+ITEM]],工作表1!B:E,4,FALSE)</f>
        <v>#N/A</v>
      </c>
      <c r="BA572" s="425" t="e">
        <f ca="1">INDEX(工作表1!G:G, MATCH(表格1_6[[#This Row],[invoice number]]&amp;表格1_6[[#This Row],[invoice number2]],工作表1!G:G, 0))</f>
        <v>#N/A</v>
      </c>
      <c r="BB572" s="423" t="e">
        <f ca="1">VLOOKUP(表格1_6[[#This Row],[PO+ITEM]],工作表1!F:H,2,FALSE)</f>
        <v>#N/A</v>
      </c>
    </row>
    <row r="573" spans="1:54" ht="15.6">
      <c r="A573" s="413">
        <v>572</v>
      </c>
      <c r="B573" s="413" t="s">
        <v>3659</v>
      </c>
      <c r="C573" s="414" t="s">
        <v>16</v>
      </c>
      <c r="D573" s="414" t="s">
        <v>3648</v>
      </c>
      <c r="E573" s="414"/>
      <c r="F573" s="414"/>
      <c r="G573" s="414"/>
      <c r="H573" s="414"/>
      <c r="I573" s="414"/>
      <c r="J573" s="414"/>
      <c r="K573" s="414"/>
      <c r="L573" s="415" t="s">
        <v>5114</v>
      </c>
      <c r="M573" s="416" t="s">
        <v>3762</v>
      </c>
      <c r="N573" s="416" t="s">
        <v>3762</v>
      </c>
      <c r="O573" s="417"/>
      <c r="P573" s="416">
        <v>4590006259</v>
      </c>
      <c r="Q573" s="418">
        <v>44836</v>
      </c>
      <c r="R573" s="419">
        <v>5</v>
      </c>
      <c r="S573" s="458">
        <v>60887.01</v>
      </c>
      <c r="T573" s="420" t="s">
        <v>2156</v>
      </c>
      <c r="U573" s="414" t="s">
        <v>4027</v>
      </c>
      <c r="V573" s="414" t="s">
        <v>3992</v>
      </c>
      <c r="W573" s="417" t="s">
        <v>3993</v>
      </c>
      <c r="X573" s="417"/>
      <c r="Y573" s="421" t="s">
        <v>3652</v>
      </c>
      <c r="Z573" s="421" t="s">
        <v>3652</v>
      </c>
      <c r="AA573" s="416" t="s">
        <v>4732</v>
      </c>
      <c r="AB573" s="414" t="s">
        <v>3664</v>
      </c>
      <c r="AC573" s="422"/>
      <c r="AD573" s="421"/>
      <c r="AE573" s="420"/>
      <c r="AF573" s="421">
        <v>90988</v>
      </c>
      <c r="AG573" s="420" t="s">
        <v>5115</v>
      </c>
      <c r="AH573" s="421" t="s">
        <v>3718</v>
      </c>
      <c r="AI573" s="420" t="s">
        <v>5116</v>
      </c>
      <c r="AJ573" s="413" t="str">
        <f t="shared" si="36"/>
        <v>4590006259_005</v>
      </c>
      <c r="AK573" s="423"/>
      <c r="AL573" s="424">
        <v>45108</v>
      </c>
      <c r="AM573" s="221">
        <v>24354.799999999999</v>
      </c>
      <c r="AN573" s="226">
        <v>45168</v>
      </c>
      <c r="AO573" s="423"/>
      <c r="AP573" s="413"/>
      <c r="AQ573" s="222"/>
      <c r="AR573" s="424"/>
      <c r="AS573" s="614">
        <f ca="1">表格1_6[[#This Row],[total amount]]/表格1_6[[#This Row],[PO$]]</f>
        <v>0.39999993430454212</v>
      </c>
      <c r="AT573" s="223">
        <f ca="1">表格1_6[[#This Row],[invoice amount]]+表格1_6[[#This Row],[invoice amount2]]</f>
        <v>24354.799999999999</v>
      </c>
      <c r="AU573" s="224" t="s">
        <v>3673</v>
      </c>
      <c r="AV573" s="423"/>
      <c r="AW573" s="423" t="e">
        <f ca="1">VLOOKUP(表格1_6[[#This Row],[TI tool ID2]],工作表1!A:A,1,FALSE)</f>
        <v>#N/A</v>
      </c>
      <c r="AX573" s="425" t="e">
        <f ca="1">VLOOKUP(表格1_6[[#This Row],[PO+ITEM]],工作表1!B:E,2,FALSE)</f>
        <v>#N/A</v>
      </c>
      <c r="AY573" s="425" t="e">
        <f ca="1">VLOOKUP(表格1_6[[#This Row],[PO+ITEM]],工作表1!B:E,3,FALSE)</f>
        <v>#N/A</v>
      </c>
      <c r="AZ573" s="423" t="e">
        <f ca="1">VLOOKUP(表格1_6[[#This Row],[PO+ITEM]],工作表1!B:E,4,FALSE)</f>
        <v>#N/A</v>
      </c>
      <c r="BA573" s="425" t="e">
        <f ca="1">INDEX(工作表1!G:G, MATCH(表格1_6[[#This Row],[invoice number]]&amp;表格1_6[[#This Row],[invoice number2]],工作表1!G:G, 0))</f>
        <v>#N/A</v>
      </c>
      <c r="BB573" s="423" t="e">
        <f ca="1">VLOOKUP(表格1_6[[#This Row],[PO+ITEM]],工作表1!F:H,2,FALSE)</f>
        <v>#N/A</v>
      </c>
    </row>
    <row r="574" spans="1:54" ht="15.6">
      <c r="A574" s="413">
        <v>573</v>
      </c>
      <c r="B574" s="413" t="s">
        <v>3659</v>
      </c>
      <c r="C574" s="414" t="s">
        <v>16</v>
      </c>
      <c r="D574" s="414" t="s">
        <v>3648</v>
      </c>
      <c r="E574" s="414"/>
      <c r="F574" s="414"/>
      <c r="G574" s="414"/>
      <c r="H574" s="414"/>
      <c r="I574" s="414"/>
      <c r="J574" s="414"/>
      <c r="K574" s="414"/>
      <c r="L574" s="415" t="s">
        <v>5117</v>
      </c>
      <c r="M574" s="416" t="s">
        <v>3762</v>
      </c>
      <c r="N574" s="416" t="s">
        <v>3762</v>
      </c>
      <c r="O574" s="417"/>
      <c r="P574" s="416">
        <v>4590006259</v>
      </c>
      <c r="Q574" s="418">
        <v>44836</v>
      </c>
      <c r="R574" s="419">
        <v>6</v>
      </c>
      <c r="S574" s="458">
        <v>41539.86</v>
      </c>
      <c r="T574" s="420" t="s">
        <v>2156</v>
      </c>
      <c r="U574" s="414" t="s">
        <v>4027</v>
      </c>
      <c r="V574" s="414" t="s">
        <v>3992</v>
      </c>
      <c r="W574" s="417" t="s">
        <v>3993</v>
      </c>
      <c r="X574" s="417"/>
      <c r="Y574" s="421" t="s">
        <v>3652</v>
      </c>
      <c r="Z574" s="421" t="s">
        <v>3652</v>
      </c>
      <c r="AA574" s="416" t="s">
        <v>4732</v>
      </c>
      <c r="AB574" s="414" t="s">
        <v>3664</v>
      </c>
      <c r="AC574" s="422"/>
      <c r="AD574" s="421"/>
      <c r="AE574" s="420"/>
      <c r="AF574" s="421">
        <v>91279</v>
      </c>
      <c r="AG574" s="420" t="s">
        <v>5118</v>
      </c>
      <c r="AH574" s="421" t="s">
        <v>3718</v>
      </c>
      <c r="AI574" s="420" t="s">
        <v>5113</v>
      </c>
      <c r="AJ574" s="413" t="str">
        <f t="shared" si="36"/>
        <v>4590006259_006</v>
      </c>
      <c r="AK574" s="423"/>
      <c r="AL574" s="424">
        <v>45108</v>
      </c>
      <c r="AM574" s="221">
        <v>16615.939999999999</v>
      </c>
      <c r="AN574" s="226">
        <v>45168</v>
      </c>
      <c r="AO574" s="423"/>
      <c r="AP574" s="413"/>
      <c r="AQ574" s="222"/>
      <c r="AR574" s="424"/>
      <c r="AS574" s="614">
        <f ca="1">表格1_6[[#This Row],[total amount]]/表格1_6[[#This Row],[PO$]]</f>
        <v>0.39999990370694555</v>
      </c>
      <c r="AT574" s="223">
        <f ca="1">表格1_6[[#This Row],[invoice amount]]+表格1_6[[#This Row],[invoice amount2]]</f>
        <v>16615.939999999999</v>
      </c>
      <c r="AU574" s="224" t="s">
        <v>3673</v>
      </c>
      <c r="AV574" s="423"/>
      <c r="AW574" s="423" t="e">
        <f ca="1">VLOOKUP(表格1_6[[#This Row],[TI tool ID2]],工作表1!A:A,1,FALSE)</f>
        <v>#N/A</v>
      </c>
      <c r="AX574" s="425" t="e">
        <f ca="1">VLOOKUP(表格1_6[[#This Row],[PO+ITEM]],工作表1!B:E,2,FALSE)</f>
        <v>#N/A</v>
      </c>
      <c r="AY574" s="425" t="e">
        <f ca="1">VLOOKUP(表格1_6[[#This Row],[PO+ITEM]],工作表1!B:E,3,FALSE)</f>
        <v>#N/A</v>
      </c>
      <c r="AZ574" s="423" t="e">
        <f ca="1">VLOOKUP(表格1_6[[#This Row],[PO+ITEM]],工作表1!B:E,4,FALSE)</f>
        <v>#N/A</v>
      </c>
      <c r="BA574" s="425" t="e">
        <f ca="1">INDEX(工作表1!G:G, MATCH(表格1_6[[#This Row],[invoice number]]&amp;表格1_6[[#This Row],[invoice number2]],工作表1!G:G, 0))</f>
        <v>#N/A</v>
      </c>
      <c r="BB574" s="423" t="e">
        <f ca="1">VLOOKUP(表格1_6[[#This Row],[PO+ITEM]],工作表1!F:H,2,FALSE)</f>
        <v>#N/A</v>
      </c>
    </row>
    <row r="575" spans="1:54" ht="14.45">
      <c r="A575" s="413">
        <v>574</v>
      </c>
      <c r="B575" s="413" t="s">
        <v>3674</v>
      </c>
      <c r="C575" s="414" t="s">
        <v>16</v>
      </c>
      <c r="D575" s="414" t="s">
        <v>3648</v>
      </c>
      <c r="E575" s="414"/>
      <c r="F575" s="414"/>
      <c r="G575" s="414"/>
      <c r="H575" s="414"/>
      <c r="I575" s="414"/>
      <c r="J575" s="414"/>
      <c r="K575" s="414"/>
      <c r="L575" s="415" t="s">
        <v>5119</v>
      </c>
      <c r="M575" s="416" t="s">
        <v>4269</v>
      </c>
      <c r="N575" s="416" t="s">
        <v>2999</v>
      </c>
      <c r="O575" s="417"/>
      <c r="P575" s="416">
        <v>4590006260</v>
      </c>
      <c r="Q575" s="418">
        <v>44836</v>
      </c>
      <c r="R575" s="419">
        <v>1</v>
      </c>
      <c r="S575" s="458">
        <v>2286.87</v>
      </c>
      <c r="T575" s="420" t="s">
        <v>2156</v>
      </c>
      <c r="U575" s="414" t="s">
        <v>4021</v>
      </c>
      <c r="V575" s="414" t="s">
        <v>4022</v>
      </c>
      <c r="W575" s="417" t="s">
        <v>4023</v>
      </c>
      <c r="X575" s="417"/>
      <c r="Y575" s="421" t="s">
        <v>3652</v>
      </c>
      <c r="Z575" s="421" t="s">
        <v>3652</v>
      </c>
      <c r="AA575" s="416"/>
      <c r="AB575" s="414" t="s">
        <v>3664</v>
      </c>
      <c r="AC575" s="422"/>
      <c r="AD575" s="421"/>
      <c r="AE575" s="420"/>
      <c r="AF575" s="421">
        <v>90611</v>
      </c>
      <c r="AG575" s="420" t="s">
        <v>3438</v>
      </c>
      <c r="AH575" s="421" t="s">
        <v>3911</v>
      </c>
      <c r="AI575" s="420" t="s">
        <v>5120</v>
      </c>
      <c r="AJ575" s="413" t="str">
        <f t="shared" si="36"/>
        <v>4590006260_001</v>
      </c>
      <c r="AK575" s="425" t="s">
        <v>5121</v>
      </c>
      <c r="AL575" s="424">
        <v>45548</v>
      </c>
      <c r="AM575" s="221">
        <v>2286.87</v>
      </c>
      <c r="AN575" s="424"/>
      <c r="AO575" s="423"/>
      <c r="AP575" s="413"/>
      <c r="AQ575" s="222"/>
      <c r="AR575" s="424"/>
      <c r="AS575" s="614">
        <f ca="1">表格1_6[[#This Row],[total amount]]/表格1_6[[#This Row],[PO$]]</f>
        <v>1</v>
      </c>
      <c r="AT575" s="223">
        <f ca="1">表格1_6[[#This Row],[invoice amount]]+表格1_6[[#This Row],[invoice amount2]]</f>
        <v>2286.87</v>
      </c>
      <c r="AU575" s="224" t="s">
        <v>3701</v>
      </c>
      <c r="AV575" s="423"/>
      <c r="AW575" s="423" t="e">
        <f ca="1">VLOOKUP(表格1_6[[#This Row],[TI tool ID2]],工作表1!A:A,1,FALSE)</f>
        <v>#N/A</v>
      </c>
      <c r="AX575" s="425" t="e">
        <f ca="1">VLOOKUP(表格1_6[[#This Row],[PO+ITEM]],工作表1!B:E,2,FALSE)</f>
        <v>#N/A</v>
      </c>
      <c r="AY575" s="425" t="e">
        <f ca="1">VLOOKUP(表格1_6[[#This Row],[PO+ITEM]],工作表1!B:E,3,FALSE)</f>
        <v>#N/A</v>
      </c>
      <c r="AZ575" s="423" t="e">
        <f ca="1">VLOOKUP(表格1_6[[#This Row],[PO+ITEM]],工作表1!B:E,4,FALSE)</f>
        <v>#N/A</v>
      </c>
      <c r="BA575" s="425" t="e">
        <f ca="1">INDEX(工作表1!G:G, MATCH(表格1_6[[#This Row],[invoice number]]&amp;表格1_6[[#This Row],[invoice number2]],工作表1!G:G, 0))</f>
        <v>#N/A</v>
      </c>
      <c r="BB575" s="423" t="e">
        <f ca="1">VLOOKUP(表格1_6[[#This Row],[PO+ITEM]],工作表1!F:H,2,FALSE)</f>
        <v>#N/A</v>
      </c>
    </row>
    <row r="576" spans="1:54" ht="15.6">
      <c r="A576" s="413">
        <v>575</v>
      </c>
      <c r="B576" s="413" t="s">
        <v>3659</v>
      </c>
      <c r="C576" s="414" t="s">
        <v>16</v>
      </c>
      <c r="D576" s="414" t="s">
        <v>3648</v>
      </c>
      <c r="E576" s="414"/>
      <c r="F576" s="414"/>
      <c r="G576" s="414"/>
      <c r="H576" s="414"/>
      <c r="I576" s="414"/>
      <c r="J576" s="414"/>
      <c r="K576" s="414"/>
      <c r="L576" s="415" t="s">
        <v>5122</v>
      </c>
      <c r="M576" s="416" t="s">
        <v>2206</v>
      </c>
      <c r="N576" s="416" t="s">
        <v>2999</v>
      </c>
      <c r="O576" s="417"/>
      <c r="P576" s="416">
        <v>4590006260</v>
      </c>
      <c r="Q576" s="418">
        <v>44836</v>
      </c>
      <c r="R576" s="419">
        <v>2</v>
      </c>
      <c r="S576" s="458">
        <v>10229.49</v>
      </c>
      <c r="T576" s="420" t="s">
        <v>2156</v>
      </c>
      <c r="U576" s="414" t="s">
        <v>4021</v>
      </c>
      <c r="V576" s="414" t="s">
        <v>4022</v>
      </c>
      <c r="W576" s="417" t="s">
        <v>4023</v>
      </c>
      <c r="X576" s="417"/>
      <c r="Y576" s="421" t="s">
        <v>3652</v>
      </c>
      <c r="Z576" s="421" t="s">
        <v>3652</v>
      </c>
      <c r="AA576" s="416" t="s">
        <v>4752</v>
      </c>
      <c r="AB576" s="414" t="s">
        <v>3664</v>
      </c>
      <c r="AC576" s="422"/>
      <c r="AD576" s="421"/>
      <c r="AE576" s="420"/>
      <c r="AF576" s="421">
        <v>91224</v>
      </c>
      <c r="AG576" s="420" t="s">
        <v>5123</v>
      </c>
      <c r="AH576" s="421" t="s">
        <v>3911</v>
      </c>
      <c r="AI576" s="420" t="s">
        <v>846</v>
      </c>
      <c r="AJ576" s="413" t="str">
        <f t="shared" si="36"/>
        <v>4590006260_002</v>
      </c>
      <c r="AK576" s="423"/>
      <c r="AL576" s="424">
        <v>45108</v>
      </c>
      <c r="AM576" s="221">
        <v>4091.7960000000003</v>
      </c>
      <c r="AN576" s="258">
        <v>45288</v>
      </c>
      <c r="AO576" s="423"/>
      <c r="AP576" s="413"/>
      <c r="AQ576" s="222"/>
      <c r="AR576" s="424"/>
      <c r="AS576" s="614">
        <f ca="1">表格1_6[[#This Row],[total amount]]/表格1_6[[#This Row],[PO$]]</f>
        <v>0.4</v>
      </c>
      <c r="AT576" s="223">
        <f ca="1">表格1_6[[#This Row],[invoice amount]]+表格1_6[[#This Row],[invoice amount2]]</f>
        <v>4091.7960000000003</v>
      </c>
      <c r="AU576" s="224" t="s">
        <v>3673</v>
      </c>
      <c r="AV576" s="423"/>
      <c r="AW576" s="423" t="e">
        <f ca="1">VLOOKUP(表格1_6[[#This Row],[TI tool ID2]],工作表1!A:A,1,FALSE)</f>
        <v>#N/A</v>
      </c>
      <c r="AX576" s="425" t="e">
        <f ca="1">VLOOKUP(表格1_6[[#This Row],[PO+ITEM]],工作表1!B:E,2,FALSE)</f>
        <v>#N/A</v>
      </c>
      <c r="AY576" s="425" t="e">
        <f ca="1">VLOOKUP(表格1_6[[#This Row],[PO+ITEM]],工作表1!B:E,3,FALSE)</f>
        <v>#N/A</v>
      </c>
      <c r="AZ576" s="423" t="e">
        <f ca="1">VLOOKUP(表格1_6[[#This Row],[PO+ITEM]],工作表1!B:E,4,FALSE)</f>
        <v>#N/A</v>
      </c>
      <c r="BA576" s="425" t="e">
        <f ca="1">INDEX(工作表1!G:G, MATCH(表格1_6[[#This Row],[invoice number]]&amp;表格1_6[[#This Row],[invoice number2]],工作表1!G:G, 0))</f>
        <v>#N/A</v>
      </c>
      <c r="BB576" s="423" t="e">
        <f ca="1">VLOOKUP(表格1_6[[#This Row],[PO+ITEM]],工作表1!F:H,2,FALSE)</f>
        <v>#N/A</v>
      </c>
    </row>
    <row r="577" spans="1:54" ht="15.6">
      <c r="A577" s="413">
        <v>576</v>
      </c>
      <c r="B577" s="413" t="s">
        <v>3659</v>
      </c>
      <c r="C577" s="414" t="s">
        <v>16</v>
      </c>
      <c r="D577" s="414" t="s">
        <v>3648</v>
      </c>
      <c r="E577" s="414"/>
      <c r="F577" s="414"/>
      <c r="G577" s="414"/>
      <c r="H577" s="414"/>
      <c r="I577" s="414"/>
      <c r="J577" s="414"/>
      <c r="K577" s="414"/>
      <c r="L577" s="415" t="s">
        <v>5124</v>
      </c>
      <c r="M577" s="416" t="s">
        <v>2206</v>
      </c>
      <c r="N577" s="416" t="s">
        <v>2999</v>
      </c>
      <c r="O577" s="417"/>
      <c r="P577" s="416">
        <v>4590006260</v>
      </c>
      <c r="Q577" s="418">
        <v>44836</v>
      </c>
      <c r="R577" s="419">
        <v>3</v>
      </c>
      <c r="S577" s="458">
        <v>3803.58</v>
      </c>
      <c r="T577" s="420" t="s">
        <v>2156</v>
      </c>
      <c r="U577" s="414" t="s">
        <v>4021</v>
      </c>
      <c r="V577" s="414" t="s">
        <v>4022</v>
      </c>
      <c r="W577" s="417" t="s">
        <v>4023</v>
      </c>
      <c r="X577" s="417"/>
      <c r="Y577" s="421" t="s">
        <v>3652</v>
      </c>
      <c r="Z577" s="421" t="s">
        <v>3652</v>
      </c>
      <c r="AA577" s="416" t="s">
        <v>4752</v>
      </c>
      <c r="AB577" s="414" t="s">
        <v>3664</v>
      </c>
      <c r="AC577" s="422"/>
      <c r="AD577" s="421"/>
      <c r="AE577" s="420"/>
      <c r="AF577" s="421">
        <v>91225</v>
      </c>
      <c r="AG577" s="420" t="s">
        <v>5125</v>
      </c>
      <c r="AH577" s="421" t="s">
        <v>3911</v>
      </c>
      <c r="AI577" s="420" t="s">
        <v>846</v>
      </c>
      <c r="AJ577" s="413" t="str">
        <f t="shared" si="36"/>
        <v>4590006260_003</v>
      </c>
      <c r="AK577" s="423"/>
      <c r="AL577" s="424">
        <v>45017</v>
      </c>
      <c r="AM577" s="221">
        <v>1521.432</v>
      </c>
      <c r="AN577" s="258">
        <v>45288</v>
      </c>
      <c r="AO577" s="423"/>
      <c r="AP577" s="413"/>
      <c r="AQ577" s="222"/>
      <c r="AR577" s="424"/>
      <c r="AS577" s="614">
        <f ca="1">表格1_6[[#This Row],[total amount]]/表格1_6[[#This Row],[PO$]]</f>
        <v>0.4</v>
      </c>
      <c r="AT577" s="223">
        <f ca="1">表格1_6[[#This Row],[invoice amount]]+表格1_6[[#This Row],[invoice amount2]]</f>
        <v>1521.432</v>
      </c>
      <c r="AU577" s="224" t="s">
        <v>3673</v>
      </c>
      <c r="AV577" s="423"/>
      <c r="AW577" s="423" t="e">
        <f ca="1">VLOOKUP(表格1_6[[#This Row],[TI tool ID2]],工作表1!A:A,1,FALSE)</f>
        <v>#N/A</v>
      </c>
      <c r="AX577" s="425" t="e">
        <f ca="1">VLOOKUP(表格1_6[[#This Row],[PO+ITEM]],工作表1!B:E,2,FALSE)</f>
        <v>#N/A</v>
      </c>
      <c r="AY577" s="425" t="e">
        <f ca="1">VLOOKUP(表格1_6[[#This Row],[PO+ITEM]],工作表1!B:E,3,FALSE)</f>
        <v>#N/A</v>
      </c>
      <c r="AZ577" s="423" t="e">
        <f ca="1">VLOOKUP(表格1_6[[#This Row],[PO+ITEM]],工作表1!B:E,4,FALSE)</f>
        <v>#N/A</v>
      </c>
      <c r="BA577" s="425" t="e">
        <f ca="1">INDEX(工作表1!G:G, MATCH(表格1_6[[#This Row],[invoice number]]&amp;表格1_6[[#This Row],[invoice number2]],工作表1!G:G, 0))</f>
        <v>#N/A</v>
      </c>
      <c r="BB577" s="423" t="e">
        <f ca="1">VLOOKUP(表格1_6[[#This Row],[PO+ITEM]],工作表1!F:H,2,FALSE)</f>
        <v>#N/A</v>
      </c>
    </row>
    <row r="578" spans="1:54" ht="15.6">
      <c r="A578" s="413">
        <v>577</v>
      </c>
      <c r="B578" s="413" t="s">
        <v>3659</v>
      </c>
      <c r="C578" s="414" t="s">
        <v>16</v>
      </c>
      <c r="D578" s="414" t="s">
        <v>3648</v>
      </c>
      <c r="E578" s="414"/>
      <c r="F578" s="414"/>
      <c r="G578" s="414"/>
      <c r="H578" s="414"/>
      <c r="I578" s="414"/>
      <c r="J578" s="414"/>
      <c r="K578" s="414"/>
      <c r="L578" s="420" t="s">
        <v>5126</v>
      </c>
      <c r="M578" s="416" t="s">
        <v>2206</v>
      </c>
      <c r="N578" s="416" t="s">
        <v>2999</v>
      </c>
      <c r="O578" s="417"/>
      <c r="P578" s="416">
        <v>4590006260</v>
      </c>
      <c r="Q578" s="418">
        <v>44836</v>
      </c>
      <c r="R578" s="419">
        <v>4</v>
      </c>
      <c r="S578" s="458">
        <v>3803.58</v>
      </c>
      <c r="T578" s="420" t="s">
        <v>2156</v>
      </c>
      <c r="U578" s="414" t="s">
        <v>4021</v>
      </c>
      <c r="V578" s="414" t="s">
        <v>4022</v>
      </c>
      <c r="W578" s="417" t="s">
        <v>4023</v>
      </c>
      <c r="X578" s="417"/>
      <c r="Y578" s="421" t="s">
        <v>3652</v>
      </c>
      <c r="Z578" s="421" t="s">
        <v>3652</v>
      </c>
      <c r="AA578" s="416" t="s">
        <v>4752</v>
      </c>
      <c r="AB578" s="414" t="s">
        <v>3664</v>
      </c>
      <c r="AC578" s="422"/>
      <c r="AD578" s="421"/>
      <c r="AE578" s="420"/>
      <c r="AF578" s="421">
        <v>91226</v>
      </c>
      <c r="AG578" s="420" t="s">
        <v>5127</v>
      </c>
      <c r="AH578" s="421" t="s">
        <v>3911</v>
      </c>
      <c r="AI578" s="420" t="s">
        <v>846</v>
      </c>
      <c r="AJ578" s="413" t="str">
        <f t="shared" si="36"/>
        <v>4590006260_004</v>
      </c>
      <c r="AK578" s="423"/>
      <c r="AL578" s="424">
        <v>45108</v>
      </c>
      <c r="AM578" s="221">
        <v>1521.43</v>
      </c>
      <c r="AN578" s="258">
        <v>45288</v>
      </c>
      <c r="AO578" s="423"/>
      <c r="AP578" s="413"/>
      <c r="AQ578" s="222"/>
      <c r="AR578" s="424"/>
      <c r="AS578" s="614">
        <f ca="1">表格1_6[[#This Row],[total amount]]/表格1_6[[#This Row],[PO$]]</f>
        <v>0.39999947417958875</v>
      </c>
      <c r="AT578" s="223">
        <f ca="1">表格1_6[[#This Row],[invoice amount]]+表格1_6[[#This Row],[invoice amount2]]</f>
        <v>1521.43</v>
      </c>
      <c r="AU578" s="224" t="s">
        <v>3673</v>
      </c>
      <c r="AV578" s="423"/>
      <c r="AW578" s="423" t="e">
        <f ca="1">VLOOKUP(表格1_6[[#This Row],[TI tool ID2]],工作表1!A:A,1,FALSE)</f>
        <v>#N/A</v>
      </c>
      <c r="AX578" s="425" t="e">
        <f ca="1">VLOOKUP(表格1_6[[#This Row],[PO+ITEM]],工作表1!B:E,2,FALSE)</f>
        <v>#N/A</v>
      </c>
      <c r="AY578" s="425" t="e">
        <f ca="1">VLOOKUP(表格1_6[[#This Row],[PO+ITEM]],工作表1!B:E,3,FALSE)</f>
        <v>#N/A</v>
      </c>
      <c r="AZ578" s="423" t="e">
        <f ca="1">VLOOKUP(表格1_6[[#This Row],[PO+ITEM]],工作表1!B:E,4,FALSE)</f>
        <v>#N/A</v>
      </c>
      <c r="BA578" s="425" t="e">
        <f ca="1">INDEX(工作表1!G:G, MATCH(表格1_6[[#This Row],[invoice number]]&amp;表格1_6[[#This Row],[invoice number2]],工作表1!G:G, 0))</f>
        <v>#N/A</v>
      </c>
      <c r="BB578" s="423" t="e">
        <f ca="1">VLOOKUP(表格1_6[[#This Row],[PO+ITEM]],工作表1!F:H,2,FALSE)</f>
        <v>#N/A</v>
      </c>
    </row>
    <row r="579" spans="1:54" ht="15.6">
      <c r="A579" s="413">
        <v>578</v>
      </c>
      <c r="B579" s="413" t="s">
        <v>3659</v>
      </c>
      <c r="C579" s="414" t="s">
        <v>16</v>
      </c>
      <c r="D579" s="414" t="s">
        <v>3648</v>
      </c>
      <c r="E579" s="414"/>
      <c r="F579" s="414"/>
      <c r="G579" s="414"/>
      <c r="H579" s="414"/>
      <c r="I579" s="414"/>
      <c r="J579" s="414"/>
      <c r="K579" s="414"/>
      <c r="L579" s="415" t="s">
        <v>5128</v>
      </c>
      <c r="M579" s="416" t="s">
        <v>2206</v>
      </c>
      <c r="N579" s="416" t="s">
        <v>2999</v>
      </c>
      <c r="O579" s="417"/>
      <c r="P579" s="416">
        <v>4590006260</v>
      </c>
      <c r="Q579" s="418">
        <v>44836</v>
      </c>
      <c r="R579" s="419">
        <v>5</v>
      </c>
      <c r="S579" s="458">
        <v>3803.58</v>
      </c>
      <c r="T579" s="420" t="s">
        <v>2156</v>
      </c>
      <c r="U579" s="414" t="s">
        <v>4021</v>
      </c>
      <c r="V579" s="414" t="s">
        <v>4022</v>
      </c>
      <c r="W579" s="417" t="s">
        <v>4023</v>
      </c>
      <c r="X579" s="417"/>
      <c r="Y579" s="421" t="s">
        <v>3652</v>
      </c>
      <c r="Z579" s="421" t="s">
        <v>3652</v>
      </c>
      <c r="AA579" s="416" t="s">
        <v>4752</v>
      </c>
      <c r="AB579" s="414" t="s">
        <v>3664</v>
      </c>
      <c r="AC579" s="422"/>
      <c r="AD579" s="421"/>
      <c r="AE579" s="420"/>
      <c r="AF579" s="421">
        <v>91335</v>
      </c>
      <c r="AG579" s="420" t="s">
        <v>5129</v>
      </c>
      <c r="AH579" s="421" t="s">
        <v>3911</v>
      </c>
      <c r="AI579" s="420" t="s">
        <v>846</v>
      </c>
      <c r="AJ579" s="413" t="str">
        <f t="shared" si="36"/>
        <v>4590006260_005</v>
      </c>
      <c r="AK579" s="423"/>
      <c r="AL579" s="424">
        <v>45017</v>
      </c>
      <c r="AM579" s="221">
        <v>1521.432</v>
      </c>
      <c r="AN579" s="258">
        <v>45288</v>
      </c>
      <c r="AO579" s="423"/>
      <c r="AP579" s="413"/>
      <c r="AQ579" s="222"/>
      <c r="AR579" s="424"/>
      <c r="AS579" s="614">
        <f ca="1">表格1_6[[#This Row],[total amount]]/表格1_6[[#This Row],[PO$]]</f>
        <v>0.4</v>
      </c>
      <c r="AT579" s="223">
        <f ca="1">表格1_6[[#This Row],[invoice amount]]+表格1_6[[#This Row],[invoice amount2]]</f>
        <v>1521.432</v>
      </c>
      <c r="AU579" s="224" t="s">
        <v>3673</v>
      </c>
      <c r="AV579" s="423"/>
      <c r="AW579" s="423" t="e">
        <f ca="1">VLOOKUP(表格1_6[[#This Row],[TI tool ID2]],工作表1!A:A,1,FALSE)</f>
        <v>#N/A</v>
      </c>
      <c r="AX579" s="425" t="e">
        <f ca="1">VLOOKUP(表格1_6[[#This Row],[PO+ITEM]],工作表1!B:E,2,FALSE)</f>
        <v>#N/A</v>
      </c>
      <c r="AY579" s="425" t="e">
        <f ca="1">VLOOKUP(表格1_6[[#This Row],[PO+ITEM]],工作表1!B:E,3,FALSE)</f>
        <v>#N/A</v>
      </c>
      <c r="AZ579" s="423" t="e">
        <f ca="1">VLOOKUP(表格1_6[[#This Row],[PO+ITEM]],工作表1!B:E,4,FALSE)</f>
        <v>#N/A</v>
      </c>
      <c r="BA579" s="425" t="e">
        <f ca="1">INDEX(工作表1!G:G, MATCH(表格1_6[[#This Row],[invoice number]]&amp;表格1_6[[#This Row],[invoice number2]],工作表1!G:G, 0))</f>
        <v>#N/A</v>
      </c>
      <c r="BB579" s="423" t="e">
        <f ca="1">VLOOKUP(表格1_6[[#This Row],[PO+ITEM]],工作表1!F:H,2,FALSE)</f>
        <v>#N/A</v>
      </c>
    </row>
    <row r="580" spans="1:54" ht="15.6">
      <c r="A580" s="413">
        <v>579</v>
      </c>
      <c r="B580" s="413" t="s">
        <v>3659</v>
      </c>
      <c r="C580" s="414" t="s">
        <v>16</v>
      </c>
      <c r="D580" s="414" t="s">
        <v>3648</v>
      </c>
      <c r="E580" s="414"/>
      <c r="F580" s="414"/>
      <c r="G580" s="414"/>
      <c r="H580" s="414"/>
      <c r="I580" s="414"/>
      <c r="J580" s="414"/>
      <c r="K580" s="414"/>
      <c r="L580" s="415" t="s">
        <v>5130</v>
      </c>
      <c r="M580" s="416" t="s">
        <v>2206</v>
      </c>
      <c r="N580" s="416" t="s">
        <v>2999</v>
      </c>
      <c r="O580" s="417"/>
      <c r="P580" s="416">
        <v>4590006260</v>
      </c>
      <c r="Q580" s="418">
        <v>44836</v>
      </c>
      <c r="R580" s="419">
        <v>6</v>
      </c>
      <c r="S580" s="458">
        <v>3803.58</v>
      </c>
      <c r="T580" s="420" t="s">
        <v>2156</v>
      </c>
      <c r="U580" s="414" t="s">
        <v>4021</v>
      </c>
      <c r="V580" s="414" t="s">
        <v>4022</v>
      </c>
      <c r="W580" s="417" t="s">
        <v>4023</v>
      </c>
      <c r="X580" s="417"/>
      <c r="Y580" s="421" t="s">
        <v>3652</v>
      </c>
      <c r="Z580" s="421" t="s">
        <v>3652</v>
      </c>
      <c r="AA580" s="416" t="s">
        <v>4752</v>
      </c>
      <c r="AB580" s="414" t="s">
        <v>3664</v>
      </c>
      <c r="AC580" s="422"/>
      <c r="AD580" s="421"/>
      <c r="AE580" s="420"/>
      <c r="AF580" s="421">
        <v>91336</v>
      </c>
      <c r="AG580" s="420" t="s">
        <v>5131</v>
      </c>
      <c r="AH580" s="421" t="s">
        <v>3911</v>
      </c>
      <c r="AI580" s="420" t="s">
        <v>846</v>
      </c>
      <c r="AJ580" s="413" t="str">
        <f t="shared" si="36"/>
        <v>4590006260_006</v>
      </c>
      <c r="AK580" s="423"/>
      <c r="AL580" s="424">
        <v>45047</v>
      </c>
      <c r="AM580" s="221">
        <v>1521.432</v>
      </c>
      <c r="AN580" s="258">
        <v>45288</v>
      </c>
      <c r="AO580" s="423"/>
      <c r="AP580" s="413"/>
      <c r="AQ580" s="222"/>
      <c r="AR580" s="424"/>
      <c r="AS580" s="614">
        <f ca="1">表格1_6[[#This Row],[total amount]]/表格1_6[[#This Row],[PO$]]</f>
        <v>0.4</v>
      </c>
      <c r="AT580" s="223">
        <f ca="1">表格1_6[[#This Row],[invoice amount]]+表格1_6[[#This Row],[invoice amount2]]</f>
        <v>1521.432</v>
      </c>
      <c r="AU580" s="224" t="s">
        <v>3673</v>
      </c>
      <c r="AV580" s="423"/>
      <c r="AW580" s="423" t="e">
        <f ca="1">VLOOKUP(表格1_6[[#This Row],[TI tool ID2]],工作表1!A:A,1,FALSE)</f>
        <v>#N/A</v>
      </c>
      <c r="AX580" s="425" t="e">
        <f ca="1">VLOOKUP(表格1_6[[#This Row],[PO+ITEM]],工作表1!B:E,2,FALSE)</f>
        <v>#N/A</v>
      </c>
      <c r="AY580" s="425" t="e">
        <f ca="1">VLOOKUP(表格1_6[[#This Row],[PO+ITEM]],工作表1!B:E,3,FALSE)</f>
        <v>#N/A</v>
      </c>
      <c r="AZ580" s="423" t="e">
        <f ca="1">VLOOKUP(表格1_6[[#This Row],[PO+ITEM]],工作表1!B:E,4,FALSE)</f>
        <v>#N/A</v>
      </c>
      <c r="BA580" s="425" t="e">
        <f ca="1">INDEX(工作表1!G:G, MATCH(表格1_6[[#This Row],[invoice number]]&amp;表格1_6[[#This Row],[invoice number2]],工作表1!G:G, 0))</f>
        <v>#N/A</v>
      </c>
      <c r="BB580" s="423" t="e">
        <f ca="1">VLOOKUP(表格1_6[[#This Row],[PO+ITEM]],工作表1!F:H,2,FALSE)</f>
        <v>#N/A</v>
      </c>
    </row>
    <row r="581" spans="1:54" ht="15.6">
      <c r="A581" s="413">
        <v>580</v>
      </c>
      <c r="B581" s="413" t="s">
        <v>3659</v>
      </c>
      <c r="C581" s="414" t="s">
        <v>16</v>
      </c>
      <c r="D581" s="414" t="s">
        <v>3648</v>
      </c>
      <c r="E581" s="414"/>
      <c r="F581" s="414"/>
      <c r="G581" s="414"/>
      <c r="H581" s="414"/>
      <c r="I581" s="414"/>
      <c r="J581" s="414"/>
      <c r="K581" s="414"/>
      <c r="L581" s="415" t="s">
        <v>5130</v>
      </c>
      <c r="M581" s="416" t="s">
        <v>2206</v>
      </c>
      <c r="N581" s="416" t="s">
        <v>2999</v>
      </c>
      <c r="O581" s="417"/>
      <c r="P581" s="416">
        <v>4590006260</v>
      </c>
      <c r="Q581" s="418">
        <v>44836</v>
      </c>
      <c r="R581" s="419">
        <v>7</v>
      </c>
      <c r="S581" s="458">
        <v>8393.52</v>
      </c>
      <c r="T581" s="420" t="s">
        <v>2156</v>
      </c>
      <c r="U581" s="414" t="s">
        <v>4021</v>
      </c>
      <c r="V581" s="414" t="s">
        <v>4022</v>
      </c>
      <c r="W581" s="417" t="s">
        <v>4023</v>
      </c>
      <c r="X581" s="417"/>
      <c r="Y581" s="421" t="s">
        <v>3652</v>
      </c>
      <c r="Z581" s="421" t="s">
        <v>3652</v>
      </c>
      <c r="AA581" s="416" t="s">
        <v>4752</v>
      </c>
      <c r="AB581" s="414" t="s">
        <v>3664</v>
      </c>
      <c r="AC581" s="422"/>
      <c r="AD581" s="421"/>
      <c r="AE581" s="420"/>
      <c r="AF581" s="421">
        <v>91336</v>
      </c>
      <c r="AG581" s="420" t="s">
        <v>5131</v>
      </c>
      <c r="AH581" s="421" t="s">
        <v>3911</v>
      </c>
      <c r="AI581" s="420" t="s">
        <v>846</v>
      </c>
      <c r="AJ581" s="413" t="str">
        <f t="shared" si="36"/>
        <v>4590006260_007</v>
      </c>
      <c r="AK581" s="423"/>
      <c r="AL581" s="424">
        <v>45170</v>
      </c>
      <c r="AM581" s="221">
        <v>3357.41</v>
      </c>
      <c r="AN581" s="258">
        <v>45288</v>
      </c>
      <c r="AO581" s="423"/>
      <c r="AP581" s="413"/>
      <c r="AQ581" s="222"/>
      <c r="AR581" s="424"/>
      <c r="AS581" s="614">
        <f ca="1">表格1_6[[#This Row],[total amount]]/表格1_6[[#This Row],[PO$]]</f>
        <v>0.40000023827905334</v>
      </c>
      <c r="AT581" s="223">
        <f ca="1">表格1_6[[#This Row],[invoice amount]]+表格1_6[[#This Row],[invoice amount2]]</f>
        <v>3357.41</v>
      </c>
      <c r="AU581" s="224" t="s">
        <v>3673</v>
      </c>
      <c r="AV581" s="423"/>
      <c r="AW581" s="423" t="e">
        <f ca="1">VLOOKUP(表格1_6[[#This Row],[TI tool ID2]],工作表1!A:A,1,FALSE)</f>
        <v>#N/A</v>
      </c>
      <c r="AX581" s="425" t="e">
        <f ca="1">VLOOKUP(表格1_6[[#This Row],[PO+ITEM]],工作表1!B:E,2,FALSE)</f>
        <v>#N/A</v>
      </c>
      <c r="AY581" s="425" t="e">
        <f ca="1">VLOOKUP(表格1_6[[#This Row],[PO+ITEM]],工作表1!B:E,3,FALSE)</f>
        <v>#N/A</v>
      </c>
      <c r="AZ581" s="423" t="e">
        <f ca="1">VLOOKUP(表格1_6[[#This Row],[PO+ITEM]],工作表1!B:E,4,FALSE)</f>
        <v>#N/A</v>
      </c>
      <c r="BA581" s="425" t="e">
        <f ca="1">INDEX(工作表1!G:G, MATCH(表格1_6[[#This Row],[invoice number]]&amp;表格1_6[[#This Row],[invoice number2]],工作表1!G:G, 0))</f>
        <v>#N/A</v>
      </c>
      <c r="BB581" s="423" t="e">
        <f ca="1">VLOOKUP(表格1_6[[#This Row],[PO+ITEM]],工作表1!F:H,2,FALSE)</f>
        <v>#N/A</v>
      </c>
    </row>
    <row r="582" spans="1:54" ht="15.6">
      <c r="A582" s="413">
        <v>581</v>
      </c>
      <c r="B582" s="413" t="s">
        <v>3659</v>
      </c>
      <c r="C582" s="414" t="s">
        <v>16</v>
      </c>
      <c r="D582" s="414" t="s">
        <v>3648</v>
      </c>
      <c r="E582" s="414"/>
      <c r="F582" s="414"/>
      <c r="G582" s="414"/>
      <c r="H582" s="414"/>
      <c r="I582" s="414"/>
      <c r="J582" s="414"/>
      <c r="K582" s="414"/>
      <c r="L582" s="415" t="s">
        <v>5132</v>
      </c>
      <c r="M582" s="416" t="s">
        <v>2206</v>
      </c>
      <c r="N582" s="416" t="s">
        <v>2999</v>
      </c>
      <c r="O582" s="417"/>
      <c r="P582" s="416">
        <v>4590006260</v>
      </c>
      <c r="Q582" s="418">
        <v>44836</v>
      </c>
      <c r="R582" s="419">
        <v>8</v>
      </c>
      <c r="S582" s="458">
        <v>7475.53</v>
      </c>
      <c r="T582" s="420" t="s">
        <v>2156</v>
      </c>
      <c r="U582" s="414" t="s">
        <v>4021</v>
      </c>
      <c r="V582" s="414" t="s">
        <v>4022</v>
      </c>
      <c r="W582" s="417" t="s">
        <v>4023</v>
      </c>
      <c r="X582" s="417"/>
      <c r="Y582" s="421" t="s">
        <v>3652</v>
      </c>
      <c r="Z582" s="421" t="s">
        <v>3652</v>
      </c>
      <c r="AA582" s="416" t="s">
        <v>4752</v>
      </c>
      <c r="AB582" s="414" t="s">
        <v>3664</v>
      </c>
      <c r="AC582" s="422"/>
      <c r="AD582" s="421"/>
      <c r="AE582" s="420"/>
      <c r="AF582" s="421">
        <v>91399</v>
      </c>
      <c r="AG582" s="420" t="s">
        <v>5133</v>
      </c>
      <c r="AH582" s="421" t="s">
        <v>3911</v>
      </c>
      <c r="AI582" s="420" t="s">
        <v>846</v>
      </c>
      <c r="AJ582" s="413" t="str">
        <f t="shared" si="36"/>
        <v>4590006260_008</v>
      </c>
      <c r="AK582" s="423"/>
      <c r="AL582" s="424">
        <v>45047</v>
      </c>
      <c r="AM582" s="221">
        <v>2990.212</v>
      </c>
      <c r="AN582" s="258">
        <v>45288</v>
      </c>
      <c r="AO582" s="423"/>
      <c r="AP582" s="413"/>
      <c r="AQ582" s="222"/>
      <c r="AR582" s="424"/>
      <c r="AS582" s="614">
        <f ca="1">表格1_6[[#This Row],[total amount]]/表格1_6[[#This Row],[PO$]]</f>
        <v>0.4</v>
      </c>
      <c r="AT582" s="223">
        <f ca="1">表格1_6[[#This Row],[invoice amount]]+表格1_6[[#This Row],[invoice amount2]]</f>
        <v>2990.212</v>
      </c>
      <c r="AU582" s="224" t="s">
        <v>3673</v>
      </c>
      <c r="AV582" s="423"/>
      <c r="AW582" s="423" t="e">
        <f ca="1">VLOOKUP(表格1_6[[#This Row],[TI tool ID2]],工作表1!A:A,1,FALSE)</f>
        <v>#N/A</v>
      </c>
      <c r="AX582" s="425" t="e">
        <f ca="1">VLOOKUP(表格1_6[[#This Row],[PO+ITEM]],工作表1!B:E,2,FALSE)</f>
        <v>#N/A</v>
      </c>
      <c r="AY582" s="425" t="e">
        <f ca="1">VLOOKUP(表格1_6[[#This Row],[PO+ITEM]],工作表1!B:E,3,FALSE)</f>
        <v>#N/A</v>
      </c>
      <c r="AZ582" s="423" t="e">
        <f ca="1">VLOOKUP(表格1_6[[#This Row],[PO+ITEM]],工作表1!B:E,4,FALSE)</f>
        <v>#N/A</v>
      </c>
      <c r="BA582" s="425" t="e">
        <f ca="1">INDEX(工作表1!G:G, MATCH(表格1_6[[#This Row],[invoice number]]&amp;表格1_6[[#This Row],[invoice number2]],工作表1!G:G, 0))</f>
        <v>#N/A</v>
      </c>
      <c r="BB582" s="423" t="e">
        <f ca="1">VLOOKUP(表格1_6[[#This Row],[PO+ITEM]],工作表1!F:H,2,FALSE)</f>
        <v>#N/A</v>
      </c>
    </row>
    <row r="583" spans="1:54" ht="15.6">
      <c r="A583" s="413">
        <v>582</v>
      </c>
      <c r="B583" s="413" t="s">
        <v>3659</v>
      </c>
      <c r="C583" s="414" t="s">
        <v>16</v>
      </c>
      <c r="D583" s="414" t="s">
        <v>3648</v>
      </c>
      <c r="E583" s="414"/>
      <c r="F583" s="414"/>
      <c r="G583" s="414"/>
      <c r="H583" s="414"/>
      <c r="I583" s="414"/>
      <c r="J583" s="414"/>
      <c r="K583" s="414"/>
      <c r="L583" s="415" t="s">
        <v>5134</v>
      </c>
      <c r="M583" s="416" t="s">
        <v>2206</v>
      </c>
      <c r="N583" s="416" t="s">
        <v>2999</v>
      </c>
      <c r="O583" s="417"/>
      <c r="P583" s="416">
        <v>4590006260</v>
      </c>
      <c r="Q583" s="418">
        <v>44836</v>
      </c>
      <c r="R583" s="419">
        <v>9</v>
      </c>
      <c r="S583" s="458">
        <v>7475.53</v>
      </c>
      <c r="T583" s="420" t="s">
        <v>2156</v>
      </c>
      <c r="U583" s="414" t="s">
        <v>4021</v>
      </c>
      <c r="V583" s="414" t="s">
        <v>4022</v>
      </c>
      <c r="W583" s="417" t="s">
        <v>4023</v>
      </c>
      <c r="X583" s="417"/>
      <c r="Y583" s="421" t="s">
        <v>3652</v>
      </c>
      <c r="Z583" s="421" t="s">
        <v>3652</v>
      </c>
      <c r="AA583" s="416" t="s">
        <v>4752</v>
      </c>
      <c r="AB583" s="414" t="s">
        <v>3664</v>
      </c>
      <c r="AC583" s="422"/>
      <c r="AD583" s="421"/>
      <c r="AE583" s="420"/>
      <c r="AF583" s="421">
        <v>91400</v>
      </c>
      <c r="AG583" s="420" t="s">
        <v>5135</v>
      </c>
      <c r="AH583" s="421" t="s">
        <v>3911</v>
      </c>
      <c r="AI583" s="420" t="s">
        <v>846</v>
      </c>
      <c r="AJ583" s="413" t="str">
        <f t="shared" si="36"/>
        <v>4590006260_009</v>
      </c>
      <c r="AK583" s="423"/>
      <c r="AL583" s="424">
        <v>45047</v>
      </c>
      <c r="AM583" s="221">
        <v>2990.212</v>
      </c>
      <c r="AN583" s="258">
        <v>45288</v>
      </c>
      <c r="AO583" s="423"/>
      <c r="AP583" s="413"/>
      <c r="AQ583" s="222"/>
      <c r="AR583" s="424"/>
      <c r="AS583" s="614">
        <f ca="1">表格1_6[[#This Row],[total amount]]/表格1_6[[#This Row],[PO$]]</f>
        <v>0.4</v>
      </c>
      <c r="AT583" s="223">
        <f ca="1">表格1_6[[#This Row],[invoice amount]]+表格1_6[[#This Row],[invoice amount2]]</f>
        <v>2990.212</v>
      </c>
      <c r="AU583" s="224" t="s">
        <v>3673</v>
      </c>
      <c r="AV583" s="423"/>
      <c r="AW583" s="423" t="e">
        <f ca="1">VLOOKUP(表格1_6[[#This Row],[TI tool ID2]],工作表1!A:A,1,FALSE)</f>
        <v>#N/A</v>
      </c>
      <c r="AX583" s="425" t="e">
        <f ca="1">VLOOKUP(表格1_6[[#This Row],[PO+ITEM]],工作表1!B:E,2,FALSE)</f>
        <v>#N/A</v>
      </c>
      <c r="AY583" s="425" t="e">
        <f ca="1">VLOOKUP(表格1_6[[#This Row],[PO+ITEM]],工作表1!B:E,3,FALSE)</f>
        <v>#N/A</v>
      </c>
      <c r="AZ583" s="423" t="e">
        <f ca="1">VLOOKUP(表格1_6[[#This Row],[PO+ITEM]],工作表1!B:E,4,FALSE)</f>
        <v>#N/A</v>
      </c>
      <c r="BA583" s="425" t="e">
        <f ca="1">INDEX(工作表1!G:G, MATCH(表格1_6[[#This Row],[invoice number]]&amp;表格1_6[[#This Row],[invoice number2]],工作表1!G:G, 0))</f>
        <v>#N/A</v>
      </c>
      <c r="BB583" s="423" t="e">
        <f ca="1">VLOOKUP(表格1_6[[#This Row],[PO+ITEM]],工作表1!F:H,2,FALSE)</f>
        <v>#N/A</v>
      </c>
    </row>
    <row r="584" spans="1:54" ht="15.6">
      <c r="A584" s="413">
        <v>583</v>
      </c>
      <c r="B584" s="413" t="s">
        <v>3659</v>
      </c>
      <c r="C584" s="414" t="s">
        <v>16</v>
      </c>
      <c r="D584" s="414" t="s">
        <v>3648</v>
      </c>
      <c r="E584" s="414"/>
      <c r="F584" s="414"/>
      <c r="G584" s="414"/>
      <c r="H584" s="414"/>
      <c r="I584" s="414"/>
      <c r="J584" s="414"/>
      <c r="K584" s="414"/>
      <c r="L584" s="415" t="s">
        <v>5136</v>
      </c>
      <c r="M584" s="416" t="s">
        <v>2206</v>
      </c>
      <c r="N584" s="416" t="s">
        <v>2999</v>
      </c>
      <c r="O584" s="417"/>
      <c r="P584" s="416">
        <v>4590006260</v>
      </c>
      <c r="Q584" s="418">
        <v>44836</v>
      </c>
      <c r="R584" s="419">
        <v>10</v>
      </c>
      <c r="S584" s="458">
        <v>7475.53</v>
      </c>
      <c r="T584" s="420" t="s">
        <v>2156</v>
      </c>
      <c r="U584" s="414" t="s">
        <v>4021</v>
      </c>
      <c r="V584" s="414" t="s">
        <v>4022</v>
      </c>
      <c r="W584" s="417" t="s">
        <v>4023</v>
      </c>
      <c r="X584" s="417"/>
      <c r="Y584" s="421" t="s">
        <v>3652</v>
      </c>
      <c r="Z584" s="421" t="s">
        <v>3652</v>
      </c>
      <c r="AA584" s="416" t="s">
        <v>4752</v>
      </c>
      <c r="AB584" s="414" t="s">
        <v>3664</v>
      </c>
      <c r="AC584" s="422"/>
      <c r="AD584" s="421"/>
      <c r="AE584" s="420"/>
      <c r="AF584" s="421">
        <v>91401</v>
      </c>
      <c r="AG584" s="420" t="s">
        <v>5137</v>
      </c>
      <c r="AH584" s="421" t="s">
        <v>3911</v>
      </c>
      <c r="AI584" s="420" t="s">
        <v>846</v>
      </c>
      <c r="AJ584" s="413" t="str">
        <f t="shared" ref="AJ584:AJ599" si="37">P584&amp;"_0"&amp;R584</f>
        <v>4590006260_010</v>
      </c>
      <c r="AK584" s="423"/>
      <c r="AL584" s="424">
        <v>45047</v>
      </c>
      <c r="AM584" s="221">
        <v>2990.212</v>
      </c>
      <c r="AN584" s="258">
        <v>45288</v>
      </c>
      <c r="AO584" s="423"/>
      <c r="AP584" s="413"/>
      <c r="AQ584" s="222"/>
      <c r="AR584" s="424"/>
      <c r="AS584" s="614">
        <f ca="1">表格1_6[[#This Row],[total amount]]/表格1_6[[#This Row],[PO$]]</f>
        <v>0.4</v>
      </c>
      <c r="AT584" s="223">
        <f ca="1">表格1_6[[#This Row],[invoice amount]]+表格1_6[[#This Row],[invoice amount2]]</f>
        <v>2990.212</v>
      </c>
      <c r="AU584" s="224" t="s">
        <v>3673</v>
      </c>
      <c r="AV584" s="423"/>
      <c r="AW584" s="423" t="e">
        <f ca="1">VLOOKUP(表格1_6[[#This Row],[TI tool ID2]],工作表1!A:A,1,FALSE)</f>
        <v>#N/A</v>
      </c>
      <c r="AX584" s="425" t="e">
        <f ca="1">VLOOKUP(表格1_6[[#This Row],[PO+ITEM]],工作表1!B:E,2,FALSE)</f>
        <v>#N/A</v>
      </c>
      <c r="AY584" s="425" t="e">
        <f ca="1">VLOOKUP(表格1_6[[#This Row],[PO+ITEM]],工作表1!B:E,3,FALSE)</f>
        <v>#N/A</v>
      </c>
      <c r="AZ584" s="423" t="e">
        <f ca="1">VLOOKUP(表格1_6[[#This Row],[PO+ITEM]],工作表1!B:E,4,FALSE)</f>
        <v>#N/A</v>
      </c>
      <c r="BA584" s="425" t="e">
        <f ca="1">INDEX(工作表1!G:G, MATCH(表格1_6[[#This Row],[invoice number]]&amp;表格1_6[[#This Row],[invoice number2]],工作表1!G:G, 0))</f>
        <v>#N/A</v>
      </c>
      <c r="BB584" s="423" t="e">
        <f ca="1">VLOOKUP(表格1_6[[#This Row],[PO+ITEM]],工作表1!F:H,2,FALSE)</f>
        <v>#N/A</v>
      </c>
    </row>
    <row r="585" spans="1:54" ht="15.6">
      <c r="A585" s="413">
        <v>584</v>
      </c>
      <c r="B585" s="413" t="s">
        <v>3659</v>
      </c>
      <c r="C585" s="414" t="s">
        <v>16</v>
      </c>
      <c r="D585" s="414" t="s">
        <v>3648</v>
      </c>
      <c r="E585" s="414"/>
      <c r="F585" s="414"/>
      <c r="G585" s="414"/>
      <c r="H585" s="414"/>
      <c r="I585" s="414"/>
      <c r="J585" s="414"/>
      <c r="K585" s="414"/>
      <c r="L585" s="415" t="s">
        <v>5138</v>
      </c>
      <c r="M585" s="416" t="s">
        <v>2206</v>
      </c>
      <c r="N585" s="416" t="s">
        <v>2999</v>
      </c>
      <c r="O585" s="417"/>
      <c r="P585" s="416">
        <v>4590006260</v>
      </c>
      <c r="Q585" s="418">
        <v>44836</v>
      </c>
      <c r="R585" s="419">
        <v>11</v>
      </c>
      <c r="S585" s="458">
        <v>7475.53</v>
      </c>
      <c r="T585" s="420" t="s">
        <v>2156</v>
      </c>
      <c r="U585" s="414" t="s">
        <v>4021</v>
      </c>
      <c r="V585" s="414" t="s">
        <v>4022</v>
      </c>
      <c r="W585" s="417" t="s">
        <v>4023</v>
      </c>
      <c r="X585" s="417"/>
      <c r="Y585" s="421" t="s">
        <v>3652</v>
      </c>
      <c r="Z585" s="421" t="s">
        <v>3652</v>
      </c>
      <c r="AA585" s="416" t="s">
        <v>4752</v>
      </c>
      <c r="AB585" s="414" t="s">
        <v>3664</v>
      </c>
      <c r="AC585" s="422"/>
      <c r="AD585" s="421"/>
      <c r="AE585" s="420"/>
      <c r="AF585" s="421">
        <v>91402</v>
      </c>
      <c r="AG585" s="420" t="s">
        <v>5139</v>
      </c>
      <c r="AH585" s="421" t="s">
        <v>3911</v>
      </c>
      <c r="AI585" s="420" t="s">
        <v>846</v>
      </c>
      <c r="AJ585" s="413" t="str">
        <f t="shared" si="37"/>
        <v>4590006260_011</v>
      </c>
      <c r="AK585" s="423"/>
      <c r="AL585" s="424">
        <v>45047</v>
      </c>
      <c r="AM585" s="221">
        <v>2990.212</v>
      </c>
      <c r="AN585" s="258">
        <v>45288</v>
      </c>
      <c r="AO585" s="423"/>
      <c r="AP585" s="413"/>
      <c r="AQ585" s="222"/>
      <c r="AR585" s="424"/>
      <c r="AS585" s="614">
        <f ca="1">表格1_6[[#This Row],[total amount]]/表格1_6[[#This Row],[PO$]]</f>
        <v>0.4</v>
      </c>
      <c r="AT585" s="223">
        <f ca="1">表格1_6[[#This Row],[invoice amount]]+表格1_6[[#This Row],[invoice amount2]]</f>
        <v>2990.212</v>
      </c>
      <c r="AU585" s="224" t="s">
        <v>3673</v>
      </c>
      <c r="AV585" s="423"/>
      <c r="AW585" s="423" t="e">
        <f ca="1">VLOOKUP(表格1_6[[#This Row],[TI tool ID2]],工作表1!A:A,1,FALSE)</f>
        <v>#N/A</v>
      </c>
      <c r="AX585" s="425" t="e">
        <f ca="1">VLOOKUP(表格1_6[[#This Row],[PO+ITEM]],工作表1!B:E,2,FALSE)</f>
        <v>#N/A</v>
      </c>
      <c r="AY585" s="425" t="e">
        <f ca="1">VLOOKUP(表格1_6[[#This Row],[PO+ITEM]],工作表1!B:E,3,FALSE)</f>
        <v>#N/A</v>
      </c>
      <c r="AZ585" s="423" t="e">
        <f ca="1">VLOOKUP(表格1_6[[#This Row],[PO+ITEM]],工作表1!B:E,4,FALSE)</f>
        <v>#N/A</v>
      </c>
      <c r="BA585" s="425" t="e">
        <f ca="1">INDEX(工作表1!G:G, MATCH(表格1_6[[#This Row],[invoice number]]&amp;表格1_6[[#This Row],[invoice number2]],工作表1!G:G, 0))</f>
        <v>#N/A</v>
      </c>
      <c r="BB585" s="423" t="e">
        <f ca="1">VLOOKUP(表格1_6[[#This Row],[PO+ITEM]],工作表1!F:H,2,FALSE)</f>
        <v>#N/A</v>
      </c>
    </row>
    <row r="586" spans="1:54" ht="15.6">
      <c r="A586" s="413">
        <v>585</v>
      </c>
      <c r="B586" s="413" t="s">
        <v>3659</v>
      </c>
      <c r="C586" s="414" t="s">
        <v>16</v>
      </c>
      <c r="D586" s="414" t="s">
        <v>3648</v>
      </c>
      <c r="E586" s="414"/>
      <c r="F586" s="414"/>
      <c r="G586" s="414"/>
      <c r="H586" s="414"/>
      <c r="I586" s="414"/>
      <c r="J586" s="414"/>
      <c r="K586" s="414"/>
      <c r="L586" s="420" t="s">
        <v>5140</v>
      </c>
      <c r="M586" s="416" t="s">
        <v>2206</v>
      </c>
      <c r="N586" s="416" t="s">
        <v>2999</v>
      </c>
      <c r="O586" s="417"/>
      <c r="P586" s="416">
        <v>4590006260</v>
      </c>
      <c r="Q586" s="418">
        <v>44836</v>
      </c>
      <c r="R586" s="419">
        <v>12</v>
      </c>
      <c r="S586" s="458">
        <v>7475.53</v>
      </c>
      <c r="T586" s="420" t="s">
        <v>2156</v>
      </c>
      <c r="U586" s="414" t="s">
        <v>4021</v>
      </c>
      <c r="V586" s="414" t="s">
        <v>4022</v>
      </c>
      <c r="W586" s="417" t="s">
        <v>4023</v>
      </c>
      <c r="X586" s="417"/>
      <c r="Y586" s="421" t="s">
        <v>3652</v>
      </c>
      <c r="Z586" s="421" t="s">
        <v>3652</v>
      </c>
      <c r="AA586" s="416" t="s">
        <v>4752</v>
      </c>
      <c r="AB586" s="414" t="s">
        <v>3664</v>
      </c>
      <c r="AC586" s="422"/>
      <c r="AD586" s="421"/>
      <c r="AE586" s="420"/>
      <c r="AF586" s="421">
        <v>91406</v>
      </c>
      <c r="AG586" s="420" t="s">
        <v>5141</v>
      </c>
      <c r="AH586" s="421" t="s">
        <v>3911</v>
      </c>
      <c r="AI586" s="420" t="s">
        <v>846</v>
      </c>
      <c r="AJ586" s="413" t="str">
        <f t="shared" si="37"/>
        <v>4590006260_012</v>
      </c>
      <c r="AK586" s="423"/>
      <c r="AL586" s="424">
        <v>45170</v>
      </c>
      <c r="AM586" s="221">
        <v>2990.21</v>
      </c>
      <c r="AN586" s="258">
        <v>45288</v>
      </c>
      <c r="AO586" s="423"/>
      <c r="AP586" s="413"/>
      <c r="AQ586" s="222"/>
      <c r="AR586" s="424"/>
      <c r="AS586" s="614">
        <f ca="1">表格1_6[[#This Row],[total amount]]/表格1_6[[#This Row],[PO$]]</f>
        <v>0.39999973246044096</v>
      </c>
      <c r="AT586" s="223">
        <f ca="1">表格1_6[[#This Row],[invoice amount]]+表格1_6[[#This Row],[invoice amount2]]</f>
        <v>2990.21</v>
      </c>
      <c r="AU586" s="224" t="s">
        <v>3673</v>
      </c>
      <c r="AV586" s="423"/>
      <c r="AW586" s="423" t="e">
        <f ca="1">VLOOKUP(表格1_6[[#This Row],[TI tool ID2]],工作表1!A:A,1,FALSE)</f>
        <v>#N/A</v>
      </c>
      <c r="AX586" s="425" t="e">
        <f ca="1">VLOOKUP(表格1_6[[#This Row],[PO+ITEM]],工作表1!B:E,2,FALSE)</f>
        <v>#N/A</v>
      </c>
      <c r="AY586" s="425" t="e">
        <f ca="1">VLOOKUP(表格1_6[[#This Row],[PO+ITEM]],工作表1!B:E,3,FALSE)</f>
        <v>#N/A</v>
      </c>
      <c r="AZ586" s="423" t="e">
        <f ca="1">VLOOKUP(表格1_6[[#This Row],[PO+ITEM]],工作表1!B:E,4,FALSE)</f>
        <v>#N/A</v>
      </c>
      <c r="BA586" s="425" t="e">
        <f ca="1">INDEX(工作表1!G:G, MATCH(表格1_6[[#This Row],[invoice number]]&amp;表格1_6[[#This Row],[invoice number2]],工作表1!G:G, 0))</f>
        <v>#N/A</v>
      </c>
      <c r="BB586" s="423" t="e">
        <f ca="1">VLOOKUP(表格1_6[[#This Row],[PO+ITEM]],工作表1!F:H,2,FALSE)</f>
        <v>#N/A</v>
      </c>
    </row>
    <row r="587" spans="1:54" ht="15.6">
      <c r="A587" s="413">
        <v>586</v>
      </c>
      <c r="B587" s="413" t="s">
        <v>3659</v>
      </c>
      <c r="C587" s="414" t="s">
        <v>16</v>
      </c>
      <c r="D587" s="414" t="s">
        <v>3648</v>
      </c>
      <c r="E587" s="414"/>
      <c r="F587" s="414"/>
      <c r="G587" s="414"/>
      <c r="H587" s="414"/>
      <c r="I587" s="414"/>
      <c r="J587" s="414"/>
      <c r="K587" s="414"/>
      <c r="L587" s="415" t="s">
        <v>5142</v>
      </c>
      <c r="M587" s="416" t="s">
        <v>2206</v>
      </c>
      <c r="N587" s="416" t="s">
        <v>2999</v>
      </c>
      <c r="O587" s="417"/>
      <c r="P587" s="416">
        <v>4590006260</v>
      </c>
      <c r="Q587" s="418">
        <v>44836</v>
      </c>
      <c r="R587" s="419">
        <v>13</v>
      </c>
      <c r="S587" s="458">
        <v>3803.58</v>
      </c>
      <c r="T587" s="420" t="s">
        <v>2156</v>
      </c>
      <c r="U587" s="414" t="s">
        <v>4021</v>
      </c>
      <c r="V587" s="414" t="s">
        <v>4022</v>
      </c>
      <c r="W587" s="417" t="s">
        <v>4023</v>
      </c>
      <c r="X587" s="417"/>
      <c r="Y587" s="421" t="s">
        <v>3652</v>
      </c>
      <c r="Z587" s="421" t="s">
        <v>3652</v>
      </c>
      <c r="AA587" s="416" t="s">
        <v>4752</v>
      </c>
      <c r="AB587" s="414" t="s">
        <v>3664</v>
      </c>
      <c r="AC587" s="422"/>
      <c r="AD587" s="421"/>
      <c r="AE587" s="420"/>
      <c r="AF587" s="421">
        <v>91003</v>
      </c>
      <c r="AG587" s="420" t="s">
        <v>5143</v>
      </c>
      <c r="AH587" s="421" t="s">
        <v>3911</v>
      </c>
      <c r="AI587" s="420" t="s">
        <v>846</v>
      </c>
      <c r="AJ587" s="413" t="str">
        <f t="shared" si="37"/>
        <v>4590006260_013</v>
      </c>
      <c r="AK587" s="423"/>
      <c r="AL587" s="424">
        <v>45170</v>
      </c>
      <c r="AM587" s="221">
        <v>1521.43</v>
      </c>
      <c r="AN587" s="258">
        <v>45288</v>
      </c>
      <c r="AO587" s="423"/>
      <c r="AP587" s="413"/>
      <c r="AQ587" s="222"/>
      <c r="AR587" s="424"/>
      <c r="AS587" s="614">
        <f ca="1">表格1_6[[#This Row],[total amount]]/表格1_6[[#This Row],[PO$]]</f>
        <v>0.39999947417958875</v>
      </c>
      <c r="AT587" s="223">
        <f ca="1">表格1_6[[#This Row],[invoice amount]]+表格1_6[[#This Row],[invoice amount2]]</f>
        <v>1521.43</v>
      </c>
      <c r="AU587" s="224" t="s">
        <v>3673</v>
      </c>
      <c r="AV587" s="423"/>
      <c r="AW587" s="423" t="e">
        <f ca="1">VLOOKUP(表格1_6[[#This Row],[TI tool ID2]],工作表1!A:A,1,FALSE)</f>
        <v>#N/A</v>
      </c>
      <c r="AX587" s="425" t="e">
        <f ca="1">VLOOKUP(表格1_6[[#This Row],[PO+ITEM]],工作表1!B:E,2,FALSE)</f>
        <v>#N/A</v>
      </c>
      <c r="AY587" s="425" t="e">
        <f ca="1">VLOOKUP(表格1_6[[#This Row],[PO+ITEM]],工作表1!B:E,3,FALSE)</f>
        <v>#N/A</v>
      </c>
      <c r="AZ587" s="423" t="e">
        <f ca="1">VLOOKUP(表格1_6[[#This Row],[PO+ITEM]],工作表1!B:E,4,FALSE)</f>
        <v>#N/A</v>
      </c>
      <c r="BA587" s="425" t="e">
        <f ca="1">INDEX(工作表1!G:G, MATCH(表格1_6[[#This Row],[invoice number]]&amp;表格1_6[[#This Row],[invoice number2]],工作表1!G:G, 0))</f>
        <v>#N/A</v>
      </c>
      <c r="BB587" s="423" t="e">
        <f ca="1">VLOOKUP(表格1_6[[#This Row],[PO+ITEM]],工作表1!F:H,2,FALSE)</f>
        <v>#N/A</v>
      </c>
    </row>
    <row r="588" spans="1:54" ht="15.6">
      <c r="A588" s="413">
        <v>587</v>
      </c>
      <c r="B588" s="413" t="s">
        <v>3659</v>
      </c>
      <c r="C588" s="414" t="s">
        <v>16</v>
      </c>
      <c r="D588" s="414" t="s">
        <v>3648</v>
      </c>
      <c r="E588" s="414"/>
      <c r="F588" s="414"/>
      <c r="G588" s="414"/>
      <c r="H588" s="414"/>
      <c r="I588" s="414"/>
      <c r="J588" s="414"/>
      <c r="K588" s="414"/>
      <c r="L588" s="415" t="s">
        <v>5144</v>
      </c>
      <c r="M588" s="416" t="s">
        <v>2206</v>
      </c>
      <c r="N588" s="416" t="s">
        <v>2999</v>
      </c>
      <c r="O588" s="417"/>
      <c r="P588" s="416">
        <v>4590006260</v>
      </c>
      <c r="Q588" s="418">
        <v>44836</v>
      </c>
      <c r="R588" s="419">
        <v>14</v>
      </c>
      <c r="S588" s="458">
        <v>7901.07</v>
      </c>
      <c r="T588" s="420" t="s">
        <v>2156</v>
      </c>
      <c r="U588" s="414" t="s">
        <v>4021</v>
      </c>
      <c r="V588" s="414" t="s">
        <v>4022</v>
      </c>
      <c r="W588" s="417" t="s">
        <v>4023</v>
      </c>
      <c r="X588" s="417"/>
      <c r="Y588" s="421" t="s">
        <v>3652</v>
      </c>
      <c r="Z588" s="421" t="s">
        <v>3652</v>
      </c>
      <c r="AA588" s="416" t="s">
        <v>4752</v>
      </c>
      <c r="AB588" s="414" t="s">
        <v>3664</v>
      </c>
      <c r="AC588" s="422"/>
      <c r="AD588" s="421"/>
      <c r="AE588" s="420"/>
      <c r="AF588" s="421">
        <v>91373</v>
      </c>
      <c r="AG588" s="420" t="s">
        <v>5145</v>
      </c>
      <c r="AH588" s="421" t="s">
        <v>3911</v>
      </c>
      <c r="AI588" s="420" t="s">
        <v>846</v>
      </c>
      <c r="AJ588" s="413" t="str">
        <f t="shared" si="37"/>
        <v>4590006260_014</v>
      </c>
      <c r="AK588" s="423"/>
      <c r="AL588" s="424">
        <v>45017</v>
      </c>
      <c r="AM588" s="221">
        <v>3160.4279999999999</v>
      </c>
      <c r="AN588" s="258">
        <v>45288</v>
      </c>
      <c r="AO588" s="423"/>
      <c r="AP588" s="413"/>
      <c r="AQ588" s="222"/>
      <c r="AR588" s="424"/>
      <c r="AS588" s="614">
        <f ca="1">表格1_6[[#This Row],[total amount]]/表格1_6[[#This Row],[PO$]]</f>
        <v>0.4</v>
      </c>
      <c r="AT588" s="223">
        <f ca="1">表格1_6[[#This Row],[invoice amount]]+表格1_6[[#This Row],[invoice amount2]]</f>
        <v>3160.4279999999999</v>
      </c>
      <c r="AU588" s="224" t="s">
        <v>3673</v>
      </c>
      <c r="AV588" s="423"/>
      <c r="AW588" s="423" t="e">
        <f ca="1">VLOOKUP(表格1_6[[#This Row],[TI tool ID2]],工作表1!A:A,1,FALSE)</f>
        <v>#N/A</v>
      </c>
      <c r="AX588" s="425" t="e">
        <f ca="1">VLOOKUP(表格1_6[[#This Row],[PO+ITEM]],工作表1!B:E,2,FALSE)</f>
        <v>#N/A</v>
      </c>
      <c r="AY588" s="425" t="e">
        <f ca="1">VLOOKUP(表格1_6[[#This Row],[PO+ITEM]],工作表1!B:E,3,FALSE)</f>
        <v>#N/A</v>
      </c>
      <c r="AZ588" s="423" t="e">
        <f ca="1">VLOOKUP(表格1_6[[#This Row],[PO+ITEM]],工作表1!B:E,4,FALSE)</f>
        <v>#N/A</v>
      </c>
      <c r="BA588" s="425" t="e">
        <f ca="1">INDEX(工作表1!G:G, MATCH(表格1_6[[#This Row],[invoice number]]&amp;表格1_6[[#This Row],[invoice number2]],工作表1!G:G, 0))</f>
        <v>#N/A</v>
      </c>
      <c r="BB588" s="423" t="e">
        <f ca="1">VLOOKUP(表格1_6[[#This Row],[PO+ITEM]],工作表1!F:H,2,FALSE)</f>
        <v>#N/A</v>
      </c>
    </row>
    <row r="589" spans="1:54" ht="15.6">
      <c r="A589" s="413">
        <v>588</v>
      </c>
      <c r="B589" s="413" t="s">
        <v>3659</v>
      </c>
      <c r="C589" s="414" t="s">
        <v>16</v>
      </c>
      <c r="D589" s="414" t="s">
        <v>3648</v>
      </c>
      <c r="E589" s="414"/>
      <c r="F589" s="414"/>
      <c r="G589" s="414"/>
      <c r="H589" s="414"/>
      <c r="I589" s="414"/>
      <c r="J589" s="414"/>
      <c r="K589" s="414"/>
      <c r="L589" s="415" t="s">
        <v>5146</v>
      </c>
      <c r="M589" s="416" t="s">
        <v>2206</v>
      </c>
      <c r="N589" s="416" t="s">
        <v>2999</v>
      </c>
      <c r="O589" s="417"/>
      <c r="P589" s="416">
        <v>4590006260</v>
      </c>
      <c r="Q589" s="418">
        <v>44836</v>
      </c>
      <c r="R589" s="419">
        <v>15</v>
      </c>
      <c r="S589" s="458">
        <v>7901.07</v>
      </c>
      <c r="T589" s="420" t="s">
        <v>2156</v>
      </c>
      <c r="U589" s="414" t="s">
        <v>4021</v>
      </c>
      <c r="V589" s="414" t="s">
        <v>4022</v>
      </c>
      <c r="W589" s="417" t="s">
        <v>4023</v>
      </c>
      <c r="X589" s="417"/>
      <c r="Y589" s="421" t="s">
        <v>3652</v>
      </c>
      <c r="Z589" s="421" t="s">
        <v>3652</v>
      </c>
      <c r="AA589" s="416" t="s">
        <v>4752</v>
      </c>
      <c r="AB589" s="414" t="s">
        <v>3664</v>
      </c>
      <c r="AC589" s="422"/>
      <c r="AD589" s="421"/>
      <c r="AE589" s="420"/>
      <c r="AF589" s="421">
        <v>91379</v>
      </c>
      <c r="AG589" s="420" t="s">
        <v>5147</v>
      </c>
      <c r="AH589" s="421" t="s">
        <v>3911</v>
      </c>
      <c r="AI589" s="420" t="s">
        <v>846</v>
      </c>
      <c r="AJ589" s="413" t="str">
        <f t="shared" si="37"/>
        <v>4590006260_015</v>
      </c>
      <c r="AK589" s="423"/>
      <c r="AL589" s="424">
        <v>45017</v>
      </c>
      <c r="AM589" s="221">
        <v>3160.4279999999999</v>
      </c>
      <c r="AN589" s="258">
        <v>45288</v>
      </c>
      <c r="AO589" s="423"/>
      <c r="AP589" s="413"/>
      <c r="AQ589" s="222"/>
      <c r="AR589" s="424"/>
      <c r="AS589" s="614">
        <f ca="1">表格1_6[[#This Row],[total amount]]/表格1_6[[#This Row],[PO$]]</f>
        <v>0.4</v>
      </c>
      <c r="AT589" s="223">
        <f ca="1">表格1_6[[#This Row],[invoice amount]]+表格1_6[[#This Row],[invoice amount2]]</f>
        <v>3160.4279999999999</v>
      </c>
      <c r="AU589" s="224" t="s">
        <v>3673</v>
      </c>
      <c r="AV589" s="423"/>
      <c r="AW589" s="423" t="e">
        <f ca="1">VLOOKUP(表格1_6[[#This Row],[TI tool ID2]],工作表1!A:A,1,FALSE)</f>
        <v>#N/A</v>
      </c>
      <c r="AX589" s="425" t="e">
        <f ca="1">VLOOKUP(表格1_6[[#This Row],[PO+ITEM]],工作表1!B:E,2,FALSE)</f>
        <v>#N/A</v>
      </c>
      <c r="AY589" s="425" t="e">
        <f ca="1">VLOOKUP(表格1_6[[#This Row],[PO+ITEM]],工作表1!B:E,3,FALSE)</f>
        <v>#N/A</v>
      </c>
      <c r="AZ589" s="423" t="e">
        <f ca="1">VLOOKUP(表格1_6[[#This Row],[PO+ITEM]],工作表1!B:E,4,FALSE)</f>
        <v>#N/A</v>
      </c>
      <c r="BA589" s="425" t="e">
        <f ca="1">INDEX(工作表1!G:G, MATCH(表格1_6[[#This Row],[invoice number]]&amp;表格1_6[[#This Row],[invoice number2]],工作表1!G:G, 0))</f>
        <v>#N/A</v>
      </c>
      <c r="BB589" s="423" t="e">
        <f ca="1">VLOOKUP(表格1_6[[#This Row],[PO+ITEM]],工作表1!F:H,2,FALSE)</f>
        <v>#N/A</v>
      </c>
    </row>
    <row r="590" spans="1:54" ht="15.6">
      <c r="A590" s="413">
        <v>589</v>
      </c>
      <c r="B590" s="413" t="s">
        <v>3659</v>
      </c>
      <c r="C590" s="414" t="s">
        <v>16</v>
      </c>
      <c r="D590" s="414" t="s">
        <v>3648</v>
      </c>
      <c r="E590" s="414"/>
      <c r="F590" s="414"/>
      <c r="G590" s="414"/>
      <c r="H590" s="414"/>
      <c r="I590" s="414"/>
      <c r="J590" s="414"/>
      <c r="K590" s="414"/>
      <c r="L590" s="415" t="s">
        <v>5148</v>
      </c>
      <c r="M590" s="416" t="s">
        <v>2206</v>
      </c>
      <c r="N590" s="416" t="s">
        <v>2999</v>
      </c>
      <c r="O590" s="417"/>
      <c r="P590" s="416">
        <v>4590006260</v>
      </c>
      <c r="Q590" s="418">
        <v>44836</v>
      </c>
      <c r="R590" s="419">
        <v>16</v>
      </c>
      <c r="S590" s="458">
        <v>8393.52</v>
      </c>
      <c r="T590" s="420" t="s">
        <v>2156</v>
      </c>
      <c r="U590" s="414" t="s">
        <v>4021</v>
      </c>
      <c r="V590" s="414" t="s">
        <v>4022</v>
      </c>
      <c r="W590" s="417" t="s">
        <v>4023</v>
      </c>
      <c r="X590" s="417"/>
      <c r="Y590" s="421" t="s">
        <v>3652</v>
      </c>
      <c r="Z590" s="421" t="s">
        <v>3652</v>
      </c>
      <c r="AA590" s="416" t="s">
        <v>4752</v>
      </c>
      <c r="AB590" s="414" t="s">
        <v>3664</v>
      </c>
      <c r="AC590" s="422"/>
      <c r="AD590" s="421"/>
      <c r="AE590" s="420"/>
      <c r="AF590" s="421">
        <v>91404</v>
      </c>
      <c r="AG590" s="420" t="s">
        <v>5149</v>
      </c>
      <c r="AH590" s="421" t="s">
        <v>3911</v>
      </c>
      <c r="AI590" s="420" t="s">
        <v>846</v>
      </c>
      <c r="AJ590" s="413" t="str">
        <f t="shared" si="37"/>
        <v>4590006260_016</v>
      </c>
      <c r="AK590" s="423"/>
      <c r="AL590" s="424">
        <v>45170</v>
      </c>
      <c r="AM590" s="221">
        <v>3357.41</v>
      </c>
      <c r="AN590" s="258">
        <v>45288</v>
      </c>
      <c r="AO590" s="423"/>
      <c r="AP590" s="413"/>
      <c r="AQ590" s="222"/>
      <c r="AR590" s="424"/>
      <c r="AS590" s="614">
        <f ca="1">表格1_6[[#This Row],[total amount]]/表格1_6[[#This Row],[PO$]]</f>
        <v>0.40000023827905334</v>
      </c>
      <c r="AT590" s="223">
        <f ca="1">表格1_6[[#This Row],[invoice amount]]+表格1_6[[#This Row],[invoice amount2]]</f>
        <v>3357.41</v>
      </c>
      <c r="AU590" s="224" t="s">
        <v>3673</v>
      </c>
      <c r="AV590" s="423"/>
      <c r="AW590" s="423" t="e">
        <f ca="1">VLOOKUP(表格1_6[[#This Row],[TI tool ID2]],工作表1!A:A,1,FALSE)</f>
        <v>#N/A</v>
      </c>
      <c r="AX590" s="425" t="e">
        <f ca="1">VLOOKUP(表格1_6[[#This Row],[PO+ITEM]],工作表1!B:E,2,FALSE)</f>
        <v>#N/A</v>
      </c>
      <c r="AY590" s="425" t="e">
        <f ca="1">VLOOKUP(表格1_6[[#This Row],[PO+ITEM]],工作表1!B:E,3,FALSE)</f>
        <v>#N/A</v>
      </c>
      <c r="AZ590" s="423" t="e">
        <f ca="1">VLOOKUP(表格1_6[[#This Row],[PO+ITEM]],工作表1!B:E,4,FALSE)</f>
        <v>#N/A</v>
      </c>
      <c r="BA590" s="425" t="e">
        <f ca="1">INDEX(工作表1!G:G, MATCH(表格1_6[[#This Row],[invoice number]]&amp;表格1_6[[#This Row],[invoice number2]],工作表1!G:G, 0))</f>
        <v>#N/A</v>
      </c>
      <c r="BB590" s="423" t="e">
        <f ca="1">VLOOKUP(表格1_6[[#This Row],[PO+ITEM]],工作表1!F:H,2,FALSE)</f>
        <v>#N/A</v>
      </c>
    </row>
    <row r="591" spans="1:54" ht="15.6">
      <c r="A591" s="413">
        <v>590</v>
      </c>
      <c r="B591" s="413"/>
      <c r="C591" s="414" t="s">
        <v>16</v>
      </c>
      <c r="D591" s="414" t="s">
        <v>3648</v>
      </c>
      <c r="E591" s="414"/>
      <c r="F591" s="414"/>
      <c r="G591" s="414"/>
      <c r="H591" s="414"/>
      <c r="I591" s="414"/>
      <c r="J591" s="414"/>
      <c r="K591" s="414"/>
      <c r="L591" s="420" t="s">
        <v>5150</v>
      </c>
      <c r="M591" s="416" t="s">
        <v>2206</v>
      </c>
      <c r="N591" s="416" t="s">
        <v>2999</v>
      </c>
      <c r="O591" s="417"/>
      <c r="P591" s="416">
        <v>4590006260</v>
      </c>
      <c r="Q591" s="418">
        <v>44836</v>
      </c>
      <c r="R591" s="419">
        <v>17</v>
      </c>
      <c r="S591" s="458">
        <v>7475.53</v>
      </c>
      <c r="T591" s="420" t="s">
        <v>2156</v>
      </c>
      <c r="U591" s="414" t="s">
        <v>4021</v>
      </c>
      <c r="V591" s="414" t="s">
        <v>4022</v>
      </c>
      <c r="W591" s="417" t="s">
        <v>4023</v>
      </c>
      <c r="X591" s="417"/>
      <c r="Y591" s="421" t="s">
        <v>3652</v>
      </c>
      <c r="Z591" s="421" t="s">
        <v>3652</v>
      </c>
      <c r="AA591" s="416" t="s">
        <v>4752</v>
      </c>
      <c r="AB591" s="414" t="s">
        <v>3664</v>
      </c>
      <c r="AC591" s="422"/>
      <c r="AD591" s="421"/>
      <c r="AE591" s="420"/>
      <c r="AF591" s="421">
        <v>91407</v>
      </c>
      <c r="AG591" s="420" t="s">
        <v>5151</v>
      </c>
      <c r="AH591" s="421" t="s">
        <v>3911</v>
      </c>
      <c r="AI591" s="420" t="s">
        <v>846</v>
      </c>
      <c r="AJ591" s="413" t="str">
        <f t="shared" si="37"/>
        <v>4590006260_017</v>
      </c>
      <c r="AK591" s="423"/>
      <c r="AL591" s="424">
        <v>45170</v>
      </c>
      <c r="AM591" s="221">
        <v>2990.21</v>
      </c>
      <c r="AN591" s="258">
        <v>45288</v>
      </c>
      <c r="AO591" s="423"/>
      <c r="AP591" s="413"/>
      <c r="AQ591" s="222"/>
      <c r="AR591" s="424"/>
      <c r="AS591" s="614">
        <f ca="1">表格1_6[[#This Row],[total amount]]/表格1_6[[#This Row],[PO$]]</f>
        <v>0.39999973246044096</v>
      </c>
      <c r="AT591" s="223">
        <f ca="1">表格1_6[[#This Row],[invoice amount]]+表格1_6[[#This Row],[invoice amount2]]</f>
        <v>2990.21</v>
      </c>
      <c r="AU591" s="224" t="s">
        <v>3673</v>
      </c>
      <c r="AV591" s="423"/>
      <c r="AW591" s="423" t="e">
        <f ca="1">VLOOKUP(表格1_6[[#This Row],[TI tool ID2]],工作表1!A:A,1,FALSE)</f>
        <v>#N/A</v>
      </c>
      <c r="AX591" s="425" t="e">
        <f ca="1">VLOOKUP(表格1_6[[#This Row],[PO+ITEM]],工作表1!B:E,2,FALSE)</f>
        <v>#N/A</v>
      </c>
      <c r="AY591" s="425" t="e">
        <f ca="1">VLOOKUP(表格1_6[[#This Row],[PO+ITEM]],工作表1!B:E,3,FALSE)</f>
        <v>#N/A</v>
      </c>
      <c r="AZ591" s="423" t="e">
        <f ca="1">VLOOKUP(表格1_6[[#This Row],[PO+ITEM]],工作表1!B:E,4,FALSE)</f>
        <v>#N/A</v>
      </c>
      <c r="BA591" s="425" t="e">
        <f ca="1">INDEX(工作表1!G:G, MATCH(表格1_6[[#This Row],[invoice number]]&amp;表格1_6[[#This Row],[invoice number2]],工作表1!G:G, 0))</f>
        <v>#N/A</v>
      </c>
      <c r="BB591" s="423" t="e">
        <f ca="1">VLOOKUP(表格1_6[[#This Row],[PO+ITEM]],工作表1!F:H,2,FALSE)</f>
        <v>#N/A</v>
      </c>
    </row>
    <row r="592" spans="1:54" ht="15.6">
      <c r="A592" s="413">
        <v>591</v>
      </c>
      <c r="B592" s="413" t="s">
        <v>3659</v>
      </c>
      <c r="C592" s="414" t="s">
        <v>16</v>
      </c>
      <c r="D592" s="414" t="s">
        <v>3648</v>
      </c>
      <c r="E592" s="414"/>
      <c r="F592" s="414"/>
      <c r="G592" s="414"/>
      <c r="H592" s="414"/>
      <c r="I592" s="414"/>
      <c r="J592" s="414"/>
      <c r="K592" s="414"/>
      <c r="L592" s="415" t="s">
        <v>5152</v>
      </c>
      <c r="M592" s="416" t="s">
        <v>2206</v>
      </c>
      <c r="N592" s="416" t="s">
        <v>2999</v>
      </c>
      <c r="O592" s="417"/>
      <c r="P592" s="416">
        <v>4590006260</v>
      </c>
      <c r="Q592" s="418">
        <v>44836</v>
      </c>
      <c r="R592" s="419">
        <v>18</v>
      </c>
      <c r="S592" s="458">
        <v>7475.53</v>
      </c>
      <c r="T592" s="420" t="s">
        <v>2156</v>
      </c>
      <c r="U592" s="414" t="s">
        <v>4021</v>
      </c>
      <c r="V592" s="414" t="s">
        <v>4022</v>
      </c>
      <c r="W592" s="417" t="s">
        <v>4023</v>
      </c>
      <c r="X592" s="417"/>
      <c r="Y592" s="421" t="s">
        <v>3652</v>
      </c>
      <c r="Z592" s="421" t="s">
        <v>3652</v>
      </c>
      <c r="AA592" s="416" t="s">
        <v>4752</v>
      </c>
      <c r="AB592" s="414" t="s">
        <v>3664</v>
      </c>
      <c r="AC592" s="422"/>
      <c r="AD592" s="421"/>
      <c r="AE592" s="420"/>
      <c r="AF592" s="421">
        <v>91411</v>
      </c>
      <c r="AG592" s="420" t="s">
        <v>5153</v>
      </c>
      <c r="AH592" s="421" t="s">
        <v>3911</v>
      </c>
      <c r="AI592" s="420" t="s">
        <v>846</v>
      </c>
      <c r="AJ592" s="413" t="str">
        <f t="shared" si="37"/>
        <v>4590006260_018</v>
      </c>
      <c r="AK592" s="423"/>
      <c r="AL592" s="424">
        <v>45108</v>
      </c>
      <c r="AM592" s="221">
        <v>2990.212</v>
      </c>
      <c r="AN592" s="258">
        <v>45288</v>
      </c>
      <c r="AO592" s="423"/>
      <c r="AP592" s="413"/>
      <c r="AQ592" s="222"/>
      <c r="AR592" s="424"/>
      <c r="AS592" s="614">
        <f ca="1">表格1_6[[#This Row],[total amount]]/表格1_6[[#This Row],[PO$]]</f>
        <v>0.4</v>
      </c>
      <c r="AT592" s="223">
        <f ca="1">表格1_6[[#This Row],[invoice amount]]+表格1_6[[#This Row],[invoice amount2]]</f>
        <v>2990.212</v>
      </c>
      <c r="AU592" s="224" t="s">
        <v>3673</v>
      </c>
      <c r="AV592" s="423"/>
      <c r="AW592" s="423" t="e">
        <f ca="1">VLOOKUP(表格1_6[[#This Row],[TI tool ID2]],工作表1!A:A,1,FALSE)</f>
        <v>#N/A</v>
      </c>
      <c r="AX592" s="425" t="e">
        <f ca="1">VLOOKUP(表格1_6[[#This Row],[PO+ITEM]],工作表1!B:E,2,FALSE)</f>
        <v>#N/A</v>
      </c>
      <c r="AY592" s="425" t="e">
        <f ca="1">VLOOKUP(表格1_6[[#This Row],[PO+ITEM]],工作表1!B:E,3,FALSE)</f>
        <v>#N/A</v>
      </c>
      <c r="AZ592" s="423" t="e">
        <f ca="1">VLOOKUP(表格1_6[[#This Row],[PO+ITEM]],工作表1!B:E,4,FALSE)</f>
        <v>#N/A</v>
      </c>
      <c r="BA592" s="425" t="e">
        <f ca="1">INDEX(工作表1!G:G, MATCH(表格1_6[[#This Row],[invoice number]]&amp;表格1_6[[#This Row],[invoice number2]],工作表1!G:G, 0))</f>
        <v>#N/A</v>
      </c>
      <c r="BB592" s="423" t="e">
        <f ca="1">VLOOKUP(表格1_6[[#This Row],[PO+ITEM]],工作表1!F:H,2,FALSE)</f>
        <v>#N/A</v>
      </c>
    </row>
    <row r="593" spans="1:54" ht="14.45">
      <c r="A593" s="413">
        <v>592</v>
      </c>
      <c r="B593" s="413" t="s">
        <v>3674</v>
      </c>
      <c r="C593" s="414" t="s">
        <v>16</v>
      </c>
      <c r="D593" s="414" t="s">
        <v>3648</v>
      </c>
      <c r="E593" s="414"/>
      <c r="F593" s="414"/>
      <c r="G593" s="414"/>
      <c r="H593" s="414"/>
      <c r="I593" s="414"/>
      <c r="J593" s="414"/>
      <c r="K593" s="414"/>
      <c r="L593" s="415" t="s">
        <v>5154</v>
      </c>
      <c r="M593" s="416" t="s">
        <v>4269</v>
      </c>
      <c r="N593" s="416" t="s">
        <v>2999</v>
      </c>
      <c r="O593" s="417"/>
      <c r="P593" s="416">
        <v>4590006260</v>
      </c>
      <c r="Q593" s="418">
        <v>44836</v>
      </c>
      <c r="R593" s="419">
        <v>19</v>
      </c>
      <c r="S593" s="458">
        <v>2286.87</v>
      </c>
      <c r="T593" s="420" t="s">
        <v>2156</v>
      </c>
      <c r="U593" s="414" t="s">
        <v>4021</v>
      </c>
      <c r="V593" s="414" t="s">
        <v>4022</v>
      </c>
      <c r="W593" s="417" t="s">
        <v>4023</v>
      </c>
      <c r="X593" s="417"/>
      <c r="Y593" s="421" t="s">
        <v>3652</v>
      </c>
      <c r="Z593" s="421" t="s">
        <v>3652</v>
      </c>
      <c r="AA593" s="416"/>
      <c r="AB593" s="414" t="s">
        <v>3664</v>
      </c>
      <c r="AC593" s="422"/>
      <c r="AD593" s="421"/>
      <c r="AE593" s="420"/>
      <c r="AF593" s="421">
        <v>90965</v>
      </c>
      <c r="AG593" s="420" t="s">
        <v>3436</v>
      </c>
      <c r="AH593" s="421" t="s">
        <v>3911</v>
      </c>
      <c r="AI593" s="420" t="s">
        <v>5120</v>
      </c>
      <c r="AJ593" s="413" t="str">
        <f t="shared" si="37"/>
        <v>4590006260_019</v>
      </c>
      <c r="AK593" s="425" t="s">
        <v>5155</v>
      </c>
      <c r="AL593" s="424">
        <v>45548</v>
      </c>
      <c r="AM593" s="221">
        <v>2286.87</v>
      </c>
      <c r="AN593" s="424"/>
      <c r="AO593" s="423"/>
      <c r="AP593" s="413"/>
      <c r="AQ593" s="222"/>
      <c r="AR593" s="424"/>
      <c r="AS593" s="614">
        <f ca="1">表格1_6[[#This Row],[total amount]]/表格1_6[[#This Row],[PO$]]</f>
        <v>1</v>
      </c>
      <c r="AT593" s="223">
        <f ca="1">表格1_6[[#This Row],[invoice amount]]+表格1_6[[#This Row],[invoice amount2]]</f>
        <v>2286.87</v>
      </c>
      <c r="AU593" s="224" t="s">
        <v>3701</v>
      </c>
      <c r="AV593" s="423"/>
      <c r="AW593" s="423" t="e">
        <f ca="1">VLOOKUP(表格1_6[[#This Row],[TI tool ID2]],工作表1!A:A,1,FALSE)</f>
        <v>#N/A</v>
      </c>
      <c r="AX593" s="425" t="e">
        <f ca="1">VLOOKUP(表格1_6[[#This Row],[PO+ITEM]],工作表1!B:E,2,FALSE)</f>
        <v>#N/A</v>
      </c>
      <c r="AY593" s="425" t="e">
        <f ca="1">VLOOKUP(表格1_6[[#This Row],[PO+ITEM]],工作表1!B:E,3,FALSE)</f>
        <v>#N/A</v>
      </c>
      <c r="AZ593" s="423" t="e">
        <f ca="1">VLOOKUP(表格1_6[[#This Row],[PO+ITEM]],工作表1!B:E,4,FALSE)</f>
        <v>#N/A</v>
      </c>
      <c r="BA593" s="425" t="e">
        <f ca="1">INDEX(工作表1!G:G, MATCH(表格1_6[[#This Row],[invoice number]]&amp;表格1_6[[#This Row],[invoice number2]],工作表1!G:G, 0))</f>
        <v>#N/A</v>
      </c>
      <c r="BB593" s="423" t="e">
        <f ca="1">VLOOKUP(表格1_6[[#This Row],[PO+ITEM]],工作表1!F:H,2,FALSE)</f>
        <v>#N/A</v>
      </c>
    </row>
    <row r="594" spans="1:54" ht="14.45">
      <c r="A594" s="413">
        <v>593</v>
      </c>
      <c r="B594" s="413" t="s">
        <v>3659</v>
      </c>
      <c r="C594" s="414" t="s">
        <v>16</v>
      </c>
      <c r="D594" s="414" t="s">
        <v>3648</v>
      </c>
      <c r="E594" s="414"/>
      <c r="F594" s="414"/>
      <c r="G594" s="414"/>
      <c r="H594" s="414"/>
      <c r="I594" s="414"/>
      <c r="J594" s="414"/>
      <c r="K594" s="414"/>
      <c r="L594" s="415" t="s">
        <v>5156</v>
      </c>
      <c r="M594" s="416" t="s">
        <v>4269</v>
      </c>
      <c r="N594" s="416" t="s">
        <v>2999</v>
      </c>
      <c r="O594" s="417"/>
      <c r="P594" s="416">
        <v>4590006260</v>
      </c>
      <c r="Q594" s="418">
        <v>44836</v>
      </c>
      <c r="R594" s="419">
        <v>20</v>
      </c>
      <c r="S594" s="458">
        <v>2286.87</v>
      </c>
      <c r="T594" s="420" t="s">
        <v>2156</v>
      </c>
      <c r="U594" s="414" t="s">
        <v>4021</v>
      </c>
      <c r="V594" s="414" t="s">
        <v>4022</v>
      </c>
      <c r="W594" s="417" t="s">
        <v>4023</v>
      </c>
      <c r="X594" s="417"/>
      <c r="Y594" s="421" t="s">
        <v>3652</v>
      </c>
      <c r="Z594" s="421" t="s">
        <v>3652</v>
      </c>
      <c r="AA594" s="416"/>
      <c r="AB594" s="414" t="s">
        <v>3664</v>
      </c>
      <c r="AC594" s="422"/>
      <c r="AD594" s="421"/>
      <c r="AE594" s="420"/>
      <c r="AF594" s="421">
        <v>91002</v>
      </c>
      <c r="AG594" s="420" t="s">
        <v>3433</v>
      </c>
      <c r="AH594" s="421" t="s">
        <v>3911</v>
      </c>
      <c r="AI594" s="420" t="s">
        <v>5120</v>
      </c>
      <c r="AJ594" s="413" t="str">
        <f t="shared" si="37"/>
        <v>4590006260_020</v>
      </c>
      <c r="AK594" s="423"/>
      <c r="AL594" s="413"/>
      <c r="AM594" s="221"/>
      <c r="AN594" s="424"/>
      <c r="AO594" s="423"/>
      <c r="AP594" s="413"/>
      <c r="AQ594" s="222"/>
      <c r="AR594" s="424"/>
      <c r="AS594" s="614">
        <f ca="1">表格1_6[[#This Row],[total amount]]/表格1_6[[#This Row],[PO$]]</f>
        <v>0</v>
      </c>
      <c r="AT594" s="223">
        <f ca="1">表格1_6[[#This Row],[invoice amount]]+表格1_6[[#This Row],[invoice amount2]]</f>
        <v>0</v>
      </c>
      <c r="AU594" s="224"/>
      <c r="AV594" s="423"/>
      <c r="AW594" s="423" t="e">
        <f ca="1">VLOOKUP(表格1_6[[#This Row],[TI tool ID2]],工作表1!A:A,1,FALSE)</f>
        <v>#N/A</v>
      </c>
      <c r="AX594" s="425" t="e">
        <f ca="1">VLOOKUP(表格1_6[[#This Row],[PO+ITEM]],工作表1!B:E,2,FALSE)</f>
        <v>#N/A</v>
      </c>
      <c r="AY594" s="425" t="e">
        <f ca="1">VLOOKUP(表格1_6[[#This Row],[PO+ITEM]],工作表1!B:E,3,FALSE)</f>
        <v>#N/A</v>
      </c>
      <c r="AZ594" s="423" t="e">
        <f ca="1">VLOOKUP(表格1_6[[#This Row],[PO+ITEM]],工作表1!B:E,4,FALSE)</f>
        <v>#N/A</v>
      </c>
      <c r="BA594" s="425" t="e">
        <f ca="1">INDEX(工作表1!G:G, MATCH(表格1_6[[#This Row],[invoice number]]&amp;表格1_6[[#This Row],[invoice number2]],工作表1!G:G, 0))</f>
        <v>#N/A</v>
      </c>
      <c r="BB594" s="423" t="e">
        <f ca="1">VLOOKUP(表格1_6[[#This Row],[PO+ITEM]],工作表1!F:H,2,FALSE)</f>
        <v>#N/A</v>
      </c>
    </row>
    <row r="595" spans="1:54" ht="15.6">
      <c r="A595" s="413">
        <v>594</v>
      </c>
      <c r="B595" s="413" t="s">
        <v>3674</v>
      </c>
      <c r="C595" s="414" t="s">
        <v>16</v>
      </c>
      <c r="D595" s="414" t="s">
        <v>3648</v>
      </c>
      <c r="E595" s="414"/>
      <c r="F595" s="414"/>
      <c r="G595" s="414"/>
      <c r="H595" s="414"/>
      <c r="I595" s="414"/>
      <c r="J595" s="414"/>
      <c r="K595" s="414"/>
      <c r="L595" s="415" t="s">
        <v>5157</v>
      </c>
      <c r="M595" s="416" t="s">
        <v>2206</v>
      </c>
      <c r="N595" s="416" t="s">
        <v>2999</v>
      </c>
      <c r="O595" s="417"/>
      <c r="P595" s="416">
        <v>4590006260</v>
      </c>
      <c r="Q595" s="418">
        <v>44836</v>
      </c>
      <c r="R595" s="419">
        <v>21</v>
      </c>
      <c r="S595" s="458">
        <v>3803.58</v>
      </c>
      <c r="T595" s="420" t="s">
        <v>2156</v>
      </c>
      <c r="U595" s="414" t="s">
        <v>4021</v>
      </c>
      <c r="V595" s="414" t="s">
        <v>4022</v>
      </c>
      <c r="W595" s="417" t="s">
        <v>4023</v>
      </c>
      <c r="X595" s="417"/>
      <c r="Y595" s="421" t="s">
        <v>3652</v>
      </c>
      <c r="Z595" s="421" t="s">
        <v>3652</v>
      </c>
      <c r="AA595" s="416" t="s">
        <v>4750</v>
      </c>
      <c r="AB595" s="414" t="s">
        <v>3664</v>
      </c>
      <c r="AC595" s="422"/>
      <c r="AD595" s="421"/>
      <c r="AE595" s="420"/>
      <c r="AF595" s="421">
        <v>91222</v>
      </c>
      <c r="AG595" s="420" t="s">
        <v>5158</v>
      </c>
      <c r="AH595" s="421" t="s">
        <v>3911</v>
      </c>
      <c r="AI595" s="420" t="s">
        <v>846</v>
      </c>
      <c r="AJ595" s="413" t="str">
        <f t="shared" si="37"/>
        <v>4590006260_021</v>
      </c>
      <c r="AK595" s="423"/>
      <c r="AL595" s="424">
        <v>45108</v>
      </c>
      <c r="AM595" s="221">
        <v>1521.432</v>
      </c>
      <c r="AN595" s="258">
        <v>45288</v>
      </c>
      <c r="AO595" s="423"/>
      <c r="AP595" s="413"/>
      <c r="AQ595" s="222"/>
      <c r="AR595" s="424"/>
      <c r="AS595" s="614">
        <f ca="1">表格1_6[[#This Row],[total amount]]/表格1_6[[#This Row],[PO$]]</f>
        <v>0.4</v>
      </c>
      <c r="AT595" s="223">
        <f ca="1">表格1_6[[#This Row],[invoice amount]]+表格1_6[[#This Row],[invoice amount2]]</f>
        <v>1521.432</v>
      </c>
      <c r="AU595" s="224" t="s">
        <v>3673</v>
      </c>
      <c r="AV595" s="423"/>
      <c r="AW595" s="423" t="e">
        <f ca="1">VLOOKUP(表格1_6[[#This Row],[TI tool ID2]],工作表1!A:A,1,FALSE)</f>
        <v>#N/A</v>
      </c>
      <c r="AX595" s="425" t="e">
        <f ca="1">VLOOKUP(表格1_6[[#This Row],[PO+ITEM]],工作表1!B:E,2,FALSE)</f>
        <v>#N/A</v>
      </c>
      <c r="AY595" s="425" t="e">
        <f ca="1">VLOOKUP(表格1_6[[#This Row],[PO+ITEM]],工作表1!B:E,3,FALSE)</f>
        <v>#N/A</v>
      </c>
      <c r="AZ595" s="423" t="e">
        <f ca="1">VLOOKUP(表格1_6[[#This Row],[PO+ITEM]],工作表1!B:E,4,FALSE)</f>
        <v>#N/A</v>
      </c>
      <c r="BA595" s="425" t="e">
        <f ca="1">INDEX(工作表1!G:G, MATCH(表格1_6[[#This Row],[invoice number]]&amp;表格1_6[[#This Row],[invoice number2]],工作表1!G:G, 0))</f>
        <v>#N/A</v>
      </c>
      <c r="BB595" s="423" t="e">
        <f ca="1">VLOOKUP(表格1_6[[#This Row],[PO+ITEM]],工作表1!F:H,2,FALSE)</f>
        <v>#N/A</v>
      </c>
    </row>
    <row r="596" spans="1:54" ht="15.6">
      <c r="A596" s="413">
        <v>595</v>
      </c>
      <c r="B596" s="413" t="s">
        <v>3659</v>
      </c>
      <c r="C596" s="414" t="s">
        <v>16</v>
      </c>
      <c r="D596" s="414" t="s">
        <v>3648</v>
      </c>
      <c r="E596" s="414"/>
      <c r="F596" s="414"/>
      <c r="G596" s="414"/>
      <c r="H596" s="414"/>
      <c r="I596" s="414"/>
      <c r="J596" s="414"/>
      <c r="K596" s="414"/>
      <c r="L596" s="420" t="s">
        <v>5159</v>
      </c>
      <c r="M596" s="416" t="s">
        <v>2206</v>
      </c>
      <c r="N596" s="416" t="s">
        <v>2999</v>
      </c>
      <c r="O596" s="417"/>
      <c r="P596" s="416">
        <v>4590006260</v>
      </c>
      <c r="Q596" s="418">
        <v>44836</v>
      </c>
      <c r="R596" s="419">
        <v>22</v>
      </c>
      <c r="S596" s="458">
        <v>10229.49</v>
      </c>
      <c r="T596" s="420" t="s">
        <v>2156</v>
      </c>
      <c r="U596" s="414" t="s">
        <v>4021</v>
      </c>
      <c r="V596" s="414" t="s">
        <v>4022</v>
      </c>
      <c r="W596" s="417" t="s">
        <v>4023</v>
      </c>
      <c r="X596" s="417"/>
      <c r="Y596" s="421" t="s">
        <v>3652</v>
      </c>
      <c r="Z596" s="421" t="s">
        <v>3652</v>
      </c>
      <c r="AA596" s="416" t="s">
        <v>4752</v>
      </c>
      <c r="AB596" s="414" t="s">
        <v>3664</v>
      </c>
      <c r="AC596" s="422"/>
      <c r="AD596" s="421"/>
      <c r="AE596" s="420"/>
      <c r="AF596" s="421">
        <v>91223</v>
      </c>
      <c r="AG596" s="420" t="s">
        <v>5160</v>
      </c>
      <c r="AH596" s="421" t="s">
        <v>3911</v>
      </c>
      <c r="AI596" s="420" t="s">
        <v>846</v>
      </c>
      <c r="AJ596" s="413" t="str">
        <f t="shared" si="37"/>
        <v>4590006260_022</v>
      </c>
      <c r="AK596" s="423"/>
      <c r="AL596" s="424">
        <v>45108</v>
      </c>
      <c r="AM596" s="221">
        <v>4091.7960000000003</v>
      </c>
      <c r="AN596" s="258">
        <v>45288</v>
      </c>
      <c r="AO596" s="423"/>
      <c r="AP596" s="413"/>
      <c r="AQ596" s="222"/>
      <c r="AR596" s="424"/>
      <c r="AS596" s="614">
        <f ca="1">表格1_6[[#This Row],[total amount]]/表格1_6[[#This Row],[PO$]]</f>
        <v>0.4</v>
      </c>
      <c r="AT596" s="223">
        <f ca="1">表格1_6[[#This Row],[invoice amount]]+表格1_6[[#This Row],[invoice amount2]]</f>
        <v>4091.7960000000003</v>
      </c>
      <c r="AU596" s="224" t="s">
        <v>3673</v>
      </c>
      <c r="AV596" s="423"/>
      <c r="AW596" s="423" t="e">
        <f ca="1">VLOOKUP(表格1_6[[#This Row],[TI tool ID2]],工作表1!A:A,1,FALSE)</f>
        <v>#N/A</v>
      </c>
      <c r="AX596" s="425" t="e">
        <f ca="1">VLOOKUP(表格1_6[[#This Row],[PO+ITEM]],工作表1!B:E,2,FALSE)</f>
        <v>#N/A</v>
      </c>
      <c r="AY596" s="425" t="e">
        <f ca="1">VLOOKUP(表格1_6[[#This Row],[PO+ITEM]],工作表1!B:E,3,FALSE)</f>
        <v>#N/A</v>
      </c>
      <c r="AZ596" s="423" t="e">
        <f ca="1">VLOOKUP(表格1_6[[#This Row],[PO+ITEM]],工作表1!B:E,4,FALSE)</f>
        <v>#N/A</v>
      </c>
      <c r="BA596" s="425" t="e">
        <f ca="1">INDEX(工作表1!G:G, MATCH(表格1_6[[#This Row],[invoice number]]&amp;表格1_6[[#This Row],[invoice number2]],工作表1!G:G, 0))</f>
        <v>#N/A</v>
      </c>
      <c r="BB596" s="423" t="e">
        <f ca="1">VLOOKUP(表格1_6[[#This Row],[PO+ITEM]],工作表1!F:H,2,FALSE)</f>
        <v>#N/A</v>
      </c>
    </row>
    <row r="597" spans="1:54" ht="15.6">
      <c r="A597" s="413">
        <v>596</v>
      </c>
      <c r="B597" s="413" t="s">
        <v>3659</v>
      </c>
      <c r="C597" s="414" t="s">
        <v>16</v>
      </c>
      <c r="D597" s="414" t="s">
        <v>3648</v>
      </c>
      <c r="E597" s="414"/>
      <c r="F597" s="414"/>
      <c r="G597" s="414"/>
      <c r="H597" s="414"/>
      <c r="I597" s="414"/>
      <c r="J597" s="414"/>
      <c r="K597" s="414"/>
      <c r="L597" s="415" t="s">
        <v>5161</v>
      </c>
      <c r="M597" s="416" t="s">
        <v>2206</v>
      </c>
      <c r="N597" s="416" t="s">
        <v>2999</v>
      </c>
      <c r="O597" s="417"/>
      <c r="P597" s="416">
        <v>4590006260</v>
      </c>
      <c r="Q597" s="418">
        <v>44836</v>
      </c>
      <c r="R597" s="419">
        <v>23</v>
      </c>
      <c r="S597" s="458">
        <v>3803.58</v>
      </c>
      <c r="T597" s="420" t="s">
        <v>2156</v>
      </c>
      <c r="U597" s="414" t="s">
        <v>4021</v>
      </c>
      <c r="V597" s="414" t="s">
        <v>4022</v>
      </c>
      <c r="W597" s="417" t="s">
        <v>4023</v>
      </c>
      <c r="X597" s="417"/>
      <c r="Y597" s="421" t="s">
        <v>3652</v>
      </c>
      <c r="Z597" s="421" t="s">
        <v>3652</v>
      </c>
      <c r="AA597" s="416" t="s">
        <v>4752</v>
      </c>
      <c r="AB597" s="414" t="s">
        <v>3664</v>
      </c>
      <c r="AC597" s="422"/>
      <c r="AD597" s="421"/>
      <c r="AE597" s="420"/>
      <c r="AF597" s="421">
        <v>91389</v>
      </c>
      <c r="AG597" s="420" t="s">
        <v>5162</v>
      </c>
      <c r="AH597" s="421" t="s">
        <v>3911</v>
      </c>
      <c r="AI597" s="420" t="s">
        <v>846</v>
      </c>
      <c r="AJ597" s="413" t="str">
        <f t="shared" si="37"/>
        <v>4590006260_023</v>
      </c>
      <c r="AK597" s="423"/>
      <c r="AL597" s="424">
        <v>45108</v>
      </c>
      <c r="AM597" s="221">
        <v>1521.432</v>
      </c>
      <c r="AN597" s="258">
        <v>45288</v>
      </c>
      <c r="AO597" s="423"/>
      <c r="AP597" s="413"/>
      <c r="AQ597" s="222"/>
      <c r="AR597" s="424"/>
      <c r="AS597" s="614">
        <f ca="1">表格1_6[[#This Row],[total amount]]/表格1_6[[#This Row],[PO$]]</f>
        <v>0.4</v>
      </c>
      <c r="AT597" s="223">
        <f ca="1">表格1_6[[#This Row],[invoice amount]]+表格1_6[[#This Row],[invoice amount2]]</f>
        <v>1521.432</v>
      </c>
      <c r="AU597" s="224" t="s">
        <v>3673</v>
      </c>
      <c r="AV597" s="423"/>
      <c r="AW597" s="423" t="e">
        <f ca="1">VLOOKUP(表格1_6[[#This Row],[TI tool ID2]],工作表1!A:A,1,FALSE)</f>
        <v>#N/A</v>
      </c>
      <c r="AX597" s="425" t="e">
        <f ca="1">VLOOKUP(表格1_6[[#This Row],[PO+ITEM]],工作表1!B:E,2,FALSE)</f>
        <v>#N/A</v>
      </c>
      <c r="AY597" s="425" t="e">
        <f ca="1">VLOOKUP(表格1_6[[#This Row],[PO+ITEM]],工作表1!B:E,3,FALSE)</f>
        <v>#N/A</v>
      </c>
      <c r="AZ597" s="423" t="e">
        <f ca="1">VLOOKUP(表格1_6[[#This Row],[PO+ITEM]],工作表1!B:E,4,FALSE)</f>
        <v>#N/A</v>
      </c>
      <c r="BA597" s="425" t="e">
        <f ca="1">INDEX(工作表1!G:G, MATCH(表格1_6[[#This Row],[invoice number]]&amp;表格1_6[[#This Row],[invoice number2]],工作表1!G:G, 0))</f>
        <v>#N/A</v>
      </c>
      <c r="BB597" s="423" t="e">
        <f ca="1">VLOOKUP(表格1_6[[#This Row],[PO+ITEM]],工作表1!F:H,2,FALSE)</f>
        <v>#N/A</v>
      </c>
    </row>
    <row r="598" spans="1:54" ht="15.6">
      <c r="A598" s="413">
        <v>597</v>
      </c>
      <c r="B598" s="413" t="s">
        <v>3659</v>
      </c>
      <c r="C598" s="414" t="s">
        <v>16</v>
      </c>
      <c r="D598" s="414" t="s">
        <v>3648</v>
      </c>
      <c r="E598" s="414"/>
      <c r="F598" s="414"/>
      <c r="G598" s="414"/>
      <c r="H598" s="414"/>
      <c r="I598" s="414"/>
      <c r="J598" s="414"/>
      <c r="K598" s="414"/>
      <c r="L598" s="415" t="s">
        <v>5163</v>
      </c>
      <c r="M598" s="416" t="s">
        <v>2206</v>
      </c>
      <c r="N598" s="416" t="s">
        <v>2999</v>
      </c>
      <c r="O598" s="417"/>
      <c r="P598" s="416">
        <v>4590006260</v>
      </c>
      <c r="Q598" s="418">
        <v>44836</v>
      </c>
      <c r="R598" s="419">
        <v>24</v>
      </c>
      <c r="S598" s="458">
        <v>3803.58</v>
      </c>
      <c r="T598" s="420" t="s">
        <v>2156</v>
      </c>
      <c r="U598" s="414" t="s">
        <v>4021</v>
      </c>
      <c r="V598" s="414" t="s">
        <v>4022</v>
      </c>
      <c r="W598" s="417" t="s">
        <v>4023</v>
      </c>
      <c r="X598" s="417"/>
      <c r="Y598" s="421" t="s">
        <v>3652</v>
      </c>
      <c r="Z598" s="421" t="s">
        <v>3652</v>
      </c>
      <c r="AA598" s="416" t="s">
        <v>4752</v>
      </c>
      <c r="AB598" s="414" t="s">
        <v>3664</v>
      </c>
      <c r="AC598" s="422"/>
      <c r="AD598" s="421"/>
      <c r="AE598" s="420"/>
      <c r="AF598" s="421">
        <v>91394</v>
      </c>
      <c r="AG598" s="420" t="s">
        <v>5164</v>
      </c>
      <c r="AH598" s="421" t="s">
        <v>3911</v>
      </c>
      <c r="AI598" s="420" t="s">
        <v>846</v>
      </c>
      <c r="AJ598" s="413" t="str">
        <f t="shared" si="37"/>
        <v>4590006260_024</v>
      </c>
      <c r="AK598" s="423"/>
      <c r="AL598" s="424">
        <v>45108</v>
      </c>
      <c r="AM598" s="221">
        <v>1521.432</v>
      </c>
      <c r="AN598" s="258">
        <v>45288</v>
      </c>
      <c r="AO598" s="423"/>
      <c r="AP598" s="413"/>
      <c r="AQ598" s="222"/>
      <c r="AR598" s="424"/>
      <c r="AS598" s="614">
        <f ca="1">表格1_6[[#This Row],[total amount]]/表格1_6[[#This Row],[PO$]]</f>
        <v>0.4</v>
      </c>
      <c r="AT598" s="223">
        <f ca="1">表格1_6[[#This Row],[invoice amount]]+表格1_6[[#This Row],[invoice amount2]]</f>
        <v>1521.432</v>
      </c>
      <c r="AU598" s="224" t="s">
        <v>3673</v>
      </c>
      <c r="AV598" s="423"/>
      <c r="AW598" s="423" t="e">
        <f ca="1">VLOOKUP(表格1_6[[#This Row],[TI tool ID2]],工作表1!A:A,1,FALSE)</f>
        <v>#N/A</v>
      </c>
      <c r="AX598" s="425" t="e">
        <f ca="1">VLOOKUP(表格1_6[[#This Row],[PO+ITEM]],工作表1!B:E,2,FALSE)</f>
        <v>#N/A</v>
      </c>
      <c r="AY598" s="425" t="e">
        <f ca="1">VLOOKUP(表格1_6[[#This Row],[PO+ITEM]],工作表1!B:E,3,FALSE)</f>
        <v>#N/A</v>
      </c>
      <c r="AZ598" s="423" t="e">
        <f ca="1">VLOOKUP(表格1_6[[#This Row],[PO+ITEM]],工作表1!B:E,4,FALSE)</f>
        <v>#N/A</v>
      </c>
      <c r="BA598" s="425" t="e">
        <f ca="1">INDEX(工作表1!G:G, MATCH(表格1_6[[#This Row],[invoice number]]&amp;表格1_6[[#This Row],[invoice number2]],工作表1!G:G, 0))</f>
        <v>#N/A</v>
      </c>
      <c r="BB598" s="423" t="e">
        <f ca="1">VLOOKUP(表格1_6[[#This Row],[PO+ITEM]],工作表1!F:H,2,FALSE)</f>
        <v>#N/A</v>
      </c>
    </row>
    <row r="599" spans="1:54" ht="15.6">
      <c r="A599" s="413">
        <v>598</v>
      </c>
      <c r="B599" s="413" t="s">
        <v>3659</v>
      </c>
      <c r="C599" s="414" t="s">
        <v>16</v>
      </c>
      <c r="D599" s="414" t="s">
        <v>3648</v>
      </c>
      <c r="E599" s="414"/>
      <c r="F599" s="414"/>
      <c r="G599" s="414"/>
      <c r="H599" s="414"/>
      <c r="I599" s="414"/>
      <c r="J599" s="414"/>
      <c r="K599" s="414"/>
      <c r="L599" s="415" t="s">
        <v>5165</v>
      </c>
      <c r="M599" s="416" t="s">
        <v>2206</v>
      </c>
      <c r="N599" s="416" t="s">
        <v>2999</v>
      </c>
      <c r="O599" s="417"/>
      <c r="P599" s="416">
        <v>4590006260</v>
      </c>
      <c r="Q599" s="418">
        <v>44836</v>
      </c>
      <c r="R599" s="419">
        <v>25</v>
      </c>
      <c r="S599" s="458">
        <v>6557.54</v>
      </c>
      <c r="T599" s="420" t="s">
        <v>2156</v>
      </c>
      <c r="U599" s="414" t="s">
        <v>4021</v>
      </c>
      <c r="V599" s="414" t="s">
        <v>4022</v>
      </c>
      <c r="W599" s="417" t="s">
        <v>4023</v>
      </c>
      <c r="X599" s="417"/>
      <c r="Y599" s="421" t="s">
        <v>3652</v>
      </c>
      <c r="Z599" s="421" t="s">
        <v>3652</v>
      </c>
      <c r="AA599" s="416" t="s">
        <v>4752</v>
      </c>
      <c r="AB599" s="414" t="s">
        <v>3664</v>
      </c>
      <c r="AC599" s="422"/>
      <c r="AD599" s="421"/>
      <c r="AE599" s="420"/>
      <c r="AF599" s="421">
        <v>91403</v>
      </c>
      <c r="AG599" s="420" t="s">
        <v>5166</v>
      </c>
      <c r="AH599" s="421" t="s">
        <v>3911</v>
      </c>
      <c r="AI599" s="420" t="s">
        <v>846</v>
      </c>
      <c r="AJ599" s="413" t="str">
        <f t="shared" si="37"/>
        <v>4590006260_025</v>
      </c>
      <c r="AK599" s="423"/>
      <c r="AL599" s="424">
        <v>45108</v>
      </c>
      <c r="AM599" s="221">
        <v>2623.0160000000001</v>
      </c>
      <c r="AN599" s="258">
        <v>45288</v>
      </c>
      <c r="AO599" s="423"/>
      <c r="AP599" s="413"/>
      <c r="AQ599" s="222"/>
      <c r="AR599" s="424"/>
      <c r="AS599" s="614">
        <f ca="1">表格1_6[[#This Row],[total amount]]/表格1_6[[#This Row],[PO$]]</f>
        <v>0.4</v>
      </c>
      <c r="AT599" s="223">
        <f ca="1">表格1_6[[#This Row],[invoice amount]]+表格1_6[[#This Row],[invoice amount2]]</f>
        <v>2623.0160000000001</v>
      </c>
      <c r="AU599" s="224" t="s">
        <v>3673</v>
      </c>
      <c r="AV599" s="423"/>
      <c r="AW599" s="423" t="e">
        <f ca="1">VLOOKUP(表格1_6[[#This Row],[TI tool ID2]],工作表1!A:A,1,FALSE)</f>
        <v>#N/A</v>
      </c>
      <c r="AX599" s="425" t="e">
        <f ca="1">VLOOKUP(表格1_6[[#This Row],[PO+ITEM]],工作表1!B:E,2,FALSE)</f>
        <v>#N/A</v>
      </c>
      <c r="AY599" s="425" t="e">
        <f ca="1">VLOOKUP(表格1_6[[#This Row],[PO+ITEM]],工作表1!B:E,3,FALSE)</f>
        <v>#N/A</v>
      </c>
      <c r="AZ599" s="423" t="e">
        <f ca="1">VLOOKUP(表格1_6[[#This Row],[PO+ITEM]],工作表1!B:E,4,FALSE)</f>
        <v>#N/A</v>
      </c>
      <c r="BA599" s="425" t="e">
        <f ca="1">INDEX(工作表1!G:G, MATCH(表格1_6[[#This Row],[invoice number]]&amp;表格1_6[[#This Row],[invoice number2]],工作表1!G:G, 0))</f>
        <v>#N/A</v>
      </c>
      <c r="BB599" s="423" t="e">
        <f ca="1">VLOOKUP(表格1_6[[#This Row],[PO+ITEM]],工作表1!F:H,2,FALSE)</f>
        <v>#N/A</v>
      </c>
    </row>
    <row r="600" spans="1:54" ht="15.6">
      <c r="A600" s="413">
        <v>599</v>
      </c>
      <c r="B600" s="413" t="s">
        <v>3674</v>
      </c>
      <c r="C600" s="414" t="s">
        <v>16</v>
      </c>
      <c r="D600" s="414" t="s">
        <v>3648</v>
      </c>
      <c r="E600" s="414"/>
      <c r="F600" s="414"/>
      <c r="G600" s="414"/>
      <c r="H600" s="414"/>
      <c r="I600" s="414"/>
      <c r="J600" s="414"/>
      <c r="K600" s="414"/>
      <c r="L600" s="415" t="s">
        <v>5167</v>
      </c>
      <c r="M600" s="416" t="s">
        <v>2206</v>
      </c>
      <c r="N600" s="416" t="s">
        <v>2999</v>
      </c>
      <c r="O600" s="417"/>
      <c r="P600" s="416">
        <v>4590006261</v>
      </c>
      <c r="Q600" s="418">
        <v>44836</v>
      </c>
      <c r="R600" s="419">
        <v>1</v>
      </c>
      <c r="S600" s="458">
        <v>12141.96</v>
      </c>
      <c r="T600" s="420" t="s">
        <v>2156</v>
      </c>
      <c r="U600" s="414" t="s">
        <v>4021</v>
      </c>
      <c r="V600" s="414" t="s">
        <v>4022</v>
      </c>
      <c r="W600" s="417" t="s">
        <v>4023</v>
      </c>
      <c r="X600" s="417"/>
      <c r="Y600" s="421" t="s">
        <v>3652</v>
      </c>
      <c r="Z600" s="421" t="s">
        <v>3652</v>
      </c>
      <c r="AA600" s="416" t="s">
        <v>4815</v>
      </c>
      <c r="AB600" s="414" t="s">
        <v>3664</v>
      </c>
      <c r="AC600" s="422"/>
      <c r="AD600" s="421"/>
      <c r="AE600" s="420"/>
      <c r="AF600" s="421">
        <v>90113</v>
      </c>
      <c r="AG600" s="420" t="s">
        <v>2698</v>
      </c>
      <c r="AH600" s="421" t="s">
        <v>4784</v>
      </c>
      <c r="AI600" s="420" t="s">
        <v>846</v>
      </c>
      <c r="AJ600" s="413" t="str">
        <f t="shared" ref="AJ600:AJ608" si="38">P600&amp;"_00"&amp;R600</f>
        <v>4590006261_001</v>
      </c>
      <c r="AK600" s="423"/>
      <c r="AL600" s="424">
        <v>45108</v>
      </c>
      <c r="AM600" s="221">
        <v>4856.7839999999997</v>
      </c>
      <c r="AN600" s="226">
        <v>45168</v>
      </c>
      <c r="AO600" s="423"/>
      <c r="AP600" s="413"/>
      <c r="AQ600" s="222"/>
      <c r="AR600" s="424"/>
      <c r="AS600" s="614">
        <f ca="1">表格1_6[[#This Row],[total amount]]/表格1_6[[#This Row],[PO$]]</f>
        <v>0.4</v>
      </c>
      <c r="AT600" s="223">
        <f ca="1">表格1_6[[#This Row],[invoice amount]]+表格1_6[[#This Row],[invoice amount2]]</f>
        <v>4856.7839999999997</v>
      </c>
      <c r="AU600" s="224" t="s">
        <v>3673</v>
      </c>
      <c r="AV600" s="423"/>
      <c r="AW600" s="423" t="e">
        <f ca="1">VLOOKUP(表格1_6[[#This Row],[TI tool ID2]],工作表1!A:A,1,FALSE)</f>
        <v>#N/A</v>
      </c>
      <c r="AX600" s="425" t="e">
        <f ca="1">VLOOKUP(表格1_6[[#This Row],[PO+ITEM]],工作表1!B:E,2,FALSE)</f>
        <v>#N/A</v>
      </c>
      <c r="AY600" s="425" t="e">
        <f ca="1">VLOOKUP(表格1_6[[#This Row],[PO+ITEM]],工作表1!B:E,3,FALSE)</f>
        <v>#N/A</v>
      </c>
      <c r="AZ600" s="423" t="e">
        <f ca="1">VLOOKUP(表格1_6[[#This Row],[PO+ITEM]],工作表1!B:E,4,FALSE)</f>
        <v>#N/A</v>
      </c>
      <c r="BA600" s="425" t="e">
        <f ca="1">INDEX(工作表1!G:G, MATCH(表格1_6[[#This Row],[invoice number]]&amp;表格1_6[[#This Row],[invoice number2]],工作表1!G:G, 0))</f>
        <v>#N/A</v>
      </c>
      <c r="BB600" s="423" t="e">
        <f ca="1">VLOOKUP(表格1_6[[#This Row],[PO+ITEM]],工作表1!F:H,2,FALSE)</f>
        <v>#N/A</v>
      </c>
    </row>
    <row r="601" spans="1:54" ht="15.6">
      <c r="A601" s="413">
        <v>600</v>
      </c>
      <c r="B601" s="413" t="s">
        <v>3659</v>
      </c>
      <c r="C601" s="414" t="s">
        <v>16</v>
      </c>
      <c r="D601" s="414" t="s">
        <v>3648</v>
      </c>
      <c r="E601" s="414"/>
      <c r="F601" s="414"/>
      <c r="G601" s="414"/>
      <c r="H601" s="414"/>
      <c r="I601" s="414"/>
      <c r="J601" s="414"/>
      <c r="K601" s="414"/>
      <c r="L601" s="415" t="s">
        <v>5168</v>
      </c>
      <c r="M601" s="416" t="s">
        <v>2206</v>
      </c>
      <c r="N601" s="416" t="s">
        <v>2999</v>
      </c>
      <c r="O601" s="417"/>
      <c r="P601" s="416">
        <v>4590006261</v>
      </c>
      <c r="Q601" s="418">
        <v>44836</v>
      </c>
      <c r="R601" s="419">
        <v>2</v>
      </c>
      <c r="S601" s="458">
        <v>12141.96</v>
      </c>
      <c r="T601" s="420" t="s">
        <v>2156</v>
      </c>
      <c r="U601" s="414" t="s">
        <v>4021</v>
      </c>
      <c r="V601" s="414" t="s">
        <v>4022</v>
      </c>
      <c r="W601" s="417" t="s">
        <v>4023</v>
      </c>
      <c r="X601" s="417"/>
      <c r="Y601" s="421" t="s">
        <v>3652</v>
      </c>
      <c r="Z601" s="421" t="s">
        <v>3652</v>
      </c>
      <c r="AA601" s="416" t="s">
        <v>5169</v>
      </c>
      <c r="AB601" s="414" t="s">
        <v>3664</v>
      </c>
      <c r="AC601" s="422"/>
      <c r="AD601" s="421"/>
      <c r="AE601" s="420"/>
      <c r="AF601" s="421">
        <v>90089</v>
      </c>
      <c r="AG601" s="420" t="s">
        <v>5170</v>
      </c>
      <c r="AH601" s="421" t="s">
        <v>4784</v>
      </c>
      <c r="AI601" s="420" t="s">
        <v>846</v>
      </c>
      <c r="AJ601" s="413" t="str">
        <f t="shared" si="38"/>
        <v>4590006261_002</v>
      </c>
      <c r="AK601" s="423"/>
      <c r="AL601" s="427">
        <v>45108</v>
      </c>
      <c r="AM601" s="221">
        <v>0</v>
      </c>
      <c r="AN601" s="431" t="s">
        <v>3788</v>
      </c>
      <c r="AO601" s="423"/>
      <c r="AP601" s="413"/>
      <c r="AQ601" s="222"/>
      <c r="AR601" s="424"/>
      <c r="AS601" s="614">
        <f ca="1">表格1_6[[#This Row],[total amount]]/表格1_6[[#This Row],[PO$]]</f>
        <v>0</v>
      </c>
      <c r="AT601" s="223">
        <f ca="1">表格1_6[[#This Row],[invoice amount]]+表格1_6[[#This Row],[invoice amount2]]</f>
        <v>0</v>
      </c>
      <c r="AU601" s="224" t="s">
        <v>3789</v>
      </c>
      <c r="AV601" s="423"/>
      <c r="AW601" s="423" t="e">
        <f ca="1">VLOOKUP(表格1_6[[#This Row],[TI tool ID2]],工作表1!A:A,1,FALSE)</f>
        <v>#N/A</v>
      </c>
      <c r="AX601" s="425" t="e">
        <f ca="1">VLOOKUP(表格1_6[[#This Row],[PO+ITEM]],工作表1!B:E,2,FALSE)</f>
        <v>#N/A</v>
      </c>
      <c r="AY601" s="425" t="e">
        <f ca="1">VLOOKUP(表格1_6[[#This Row],[PO+ITEM]],工作表1!B:E,3,FALSE)</f>
        <v>#N/A</v>
      </c>
      <c r="AZ601" s="423" t="e">
        <f ca="1">VLOOKUP(表格1_6[[#This Row],[PO+ITEM]],工作表1!B:E,4,FALSE)</f>
        <v>#N/A</v>
      </c>
      <c r="BA601" s="425" t="e">
        <f ca="1">INDEX(工作表1!G:G, MATCH(表格1_6[[#This Row],[invoice number]]&amp;表格1_6[[#This Row],[invoice number2]],工作表1!G:G, 0))</f>
        <v>#N/A</v>
      </c>
      <c r="BB601" s="423" t="e">
        <f ca="1">VLOOKUP(表格1_6[[#This Row],[PO+ITEM]],工作表1!F:H,2,FALSE)</f>
        <v>#N/A</v>
      </c>
    </row>
    <row r="602" spans="1:54" ht="14.45">
      <c r="A602" s="413">
        <v>601</v>
      </c>
      <c r="B602" s="413" t="s">
        <v>3659</v>
      </c>
      <c r="C602" s="414" t="s">
        <v>16</v>
      </c>
      <c r="D602" s="414" t="s">
        <v>3648</v>
      </c>
      <c r="E602" s="414"/>
      <c r="F602" s="414"/>
      <c r="G602" s="414"/>
      <c r="H602" s="414"/>
      <c r="I602" s="414"/>
      <c r="J602" s="414"/>
      <c r="K602" s="414"/>
      <c r="L602" s="415" t="s">
        <v>5171</v>
      </c>
      <c r="M602" s="416" t="s">
        <v>4269</v>
      </c>
      <c r="N602" s="416" t="s">
        <v>2999</v>
      </c>
      <c r="O602" s="417"/>
      <c r="P602" s="416">
        <v>4590006261</v>
      </c>
      <c r="Q602" s="418">
        <v>44836</v>
      </c>
      <c r="R602" s="419">
        <v>3</v>
      </c>
      <c r="S602" s="458">
        <v>1835.98</v>
      </c>
      <c r="T602" s="420" t="s">
        <v>2156</v>
      </c>
      <c r="U602" s="414" t="s">
        <v>4021</v>
      </c>
      <c r="V602" s="414" t="s">
        <v>4022</v>
      </c>
      <c r="W602" s="417" t="s">
        <v>4023</v>
      </c>
      <c r="X602" s="417"/>
      <c r="Y602" s="421" t="s">
        <v>3652</v>
      </c>
      <c r="Z602" s="421" t="s">
        <v>3652</v>
      </c>
      <c r="AA602" s="416" t="s">
        <v>5169</v>
      </c>
      <c r="AB602" s="414" t="s">
        <v>3664</v>
      </c>
      <c r="AC602" s="422"/>
      <c r="AD602" s="421"/>
      <c r="AE602" s="420"/>
      <c r="AF602" s="421">
        <v>91026</v>
      </c>
      <c r="AG602" s="420" t="s">
        <v>3127</v>
      </c>
      <c r="AH602" s="421" t="s">
        <v>4784</v>
      </c>
      <c r="AI602" s="420" t="s">
        <v>4309</v>
      </c>
      <c r="AJ602" s="413" t="str">
        <f t="shared" si="38"/>
        <v>4590006261_003</v>
      </c>
      <c r="AK602" s="423"/>
      <c r="AL602" s="413"/>
      <c r="AM602" s="221"/>
      <c r="AN602" s="424"/>
      <c r="AO602" s="423"/>
      <c r="AP602" s="413"/>
      <c r="AQ602" s="222"/>
      <c r="AR602" s="424"/>
      <c r="AS602" s="614">
        <f ca="1">表格1_6[[#This Row],[total amount]]/表格1_6[[#This Row],[PO$]]</f>
        <v>0</v>
      </c>
      <c r="AT602" s="223">
        <f ca="1">表格1_6[[#This Row],[invoice amount]]+表格1_6[[#This Row],[invoice amount2]]</f>
        <v>0</v>
      </c>
      <c r="AU602" s="224"/>
      <c r="AV602" s="423"/>
      <c r="AW602" s="423" t="e">
        <f ca="1">VLOOKUP(表格1_6[[#This Row],[TI tool ID2]],工作表1!A:A,1,FALSE)</f>
        <v>#N/A</v>
      </c>
      <c r="AX602" s="425" t="e">
        <f ca="1">VLOOKUP(表格1_6[[#This Row],[PO+ITEM]],工作表1!B:E,2,FALSE)</f>
        <v>#N/A</v>
      </c>
      <c r="AY602" s="425" t="e">
        <f ca="1">VLOOKUP(表格1_6[[#This Row],[PO+ITEM]],工作表1!B:E,3,FALSE)</f>
        <v>#N/A</v>
      </c>
      <c r="AZ602" s="423" t="e">
        <f ca="1">VLOOKUP(表格1_6[[#This Row],[PO+ITEM]],工作表1!B:E,4,FALSE)</f>
        <v>#N/A</v>
      </c>
      <c r="BA602" s="425" t="e">
        <f ca="1">INDEX(工作表1!G:G, MATCH(表格1_6[[#This Row],[invoice number]]&amp;表格1_6[[#This Row],[invoice number2]],工作表1!G:G, 0))</f>
        <v>#N/A</v>
      </c>
      <c r="BB602" s="423" t="e">
        <f ca="1">VLOOKUP(表格1_6[[#This Row],[PO+ITEM]],工作表1!F:H,2,FALSE)</f>
        <v>#N/A</v>
      </c>
    </row>
    <row r="603" spans="1:54" ht="14.45">
      <c r="A603" s="413">
        <v>602</v>
      </c>
      <c r="B603" s="413" t="s">
        <v>3659</v>
      </c>
      <c r="C603" s="414" t="s">
        <v>16</v>
      </c>
      <c r="D603" s="414" t="s">
        <v>3648</v>
      </c>
      <c r="E603" s="414"/>
      <c r="F603" s="414"/>
      <c r="G603" s="414"/>
      <c r="H603" s="414"/>
      <c r="I603" s="414"/>
      <c r="J603" s="414"/>
      <c r="K603" s="414"/>
      <c r="L603" s="415" t="s">
        <v>5172</v>
      </c>
      <c r="M603" s="416" t="s">
        <v>4269</v>
      </c>
      <c r="N603" s="416" t="s">
        <v>2999</v>
      </c>
      <c r="O603" s="417"/>
      <c r="P603" s="416">
        <v>4590006261</v>
      </c>
      <c r="Q603" s="418">
        <v>44836</v>
      </c>
      <c r="R603" s="419">
        <v>4</v>
      </c>
      <c r="S603" s="458">
        <v>1835.98</v>
      </c>
      <c r="T603" s="420" t="s">
        <v>2156</v>
      </c>
      <c r="U603" s="414" t="s">
        <v>4021</v>
      </c>
      <c r="V603" s="414" t="s">
        <v>4022</v>
      </c>
      <c r="W603" s="417" t="s">
        <v>4023</v>
      </c>
      <c r="X603" s="417"/>
      <c r="Y603" s="421" t="s">
        <v>3652</v>
      </c>
      <c r="Z603" s="421" t="s">
        <v>3652</v>
      </c>
      <c r="AA603" s="416" t="s">
        <v>5169</v>
      </c>
      <c r="AB603" s="414" t="s">
        <v>3664</v>
      </c>
      <c r="AC603" s="422"/>
      <c r="AD603" s="421"/>
      <c r="AE603" s="420"/>
      <c r="AF603" s="421">
        <v>91027</v>
      </c>
      <c r="AG603" s="420" t="s">
        <v>3128</v>
      </c>
      <c r="AH603" s="421" t="s">
        <v>4784</v>
      </c>
      <c r="AI603" s="420" t="s">
        <v>4309</v>
      </c>
      <c r="AJ603" s="413" t="str">
        <f t="shared" si="38"/>
        <v>4590006261_004</v>
      </c>
      <c r="AK603" s="423"/>
      <c r="AL603" s="413"/>
      <c r="AM603" s="221"/>
      <c r="AN603" s="424"/>
      <c r="AO603" s="423"/>
      <c r="AP603" s="413"/>
      <c r="AQ603" s="222"/>
      <c r="AR603" s="424"/>
      <c r="AS603" s="614">
        <f ca="1">表格1_6[[#This Row],[total amount]]/表格1_6[[#This Row],[PO$]]</f>
        <v>0</v>
      </c>
      <c r="AT603" s="223">
        <f ca="1">表格1_6[[#This Row],[invoice amount]]+表格1_6[[#This Row],[invoice amount2]]</f>
        <v>0</v>
      </c>
      <c r="AU603" s="224"/>
      <c r="AV603" s="423"/>
      <c r="AW603" s="423" t="e">
        <f ca="1">VLOOKUP(表格1_6[[#This Row],[TI tool ID2]],工作表1!A:A,1,FALSE)</f>
        <v>#N/A</v>
      </c>
      <c r="AX603" s="425" t="e">
        <f ca="1">VLOOKUP(表格1_6[[#This Row],[PO+ITEM]],工作表1!B:E,2,FALSE)</f>
        <v>#N/A</v>
      </c>
      <c r="AY603" s="425" t="e">
        <f ca="1">VLOOKUP(表格1_6[[#This Row],[PO+ITEM]],工作表1!B:E,3,FALSE)</f>
        <v>#N/A</v>
      </c>
      <c r="AZ603" s="423" t="e">
        <f ca="1">VLOOKUP(表格1_6[[#This Row],[PO+ITEM]],工作表1!B:E,4,FALSE)</f>
        <v>#N/A</v>
      </c>
      <c r="BA603" s="425" t="e">
        <f ca="1">INDEX(工作表1!G:G, MATCH(表格1_6[[#This Row],[invoice number]]&amp;表格1_6[[#This Row],[invoice number2]],工作表1!G:G, 0))</f>
        <v>#N/A</v>
      </c>
      <c r="BB603" s="423" t="e">
        <f ca="1">VLOOKUP(表格1_6[[#This Row],[PO+ITEM]],工作表1!F:H,2,FALSE)</f>
        <v>#N/A</v>
      </c>
    </row>
    <row r="604" spans="1:54" ht="14.45">
      <c r="A604" s="413">
        <v>603</v>
      </c>
      <c r="B604" s="413" t="s">
        <v>3659</v>
      </c>
      <c r="C604" s="414" t="s">
        <v>16</v>
      </c>
      <c r="D604" s="414" t="s">
        <v>3648</v>
      </c>
      <c r="E604" s="414"/>
      <c r="F604" s="414"/>
      <c r="G604" s="414"/>
      <c r="H604" s="414"/>
      <c r="I604" s="414"/>
      <c r="J604" s="414"/>
      <c r="K604" s="414"/>
      <c r="L604" s="415" t="s">
        <v>5173</v>
      </c>
      <c r="M604" s="416" t="s">
        <v>4269</v>
      </c>
      <c r="N604" s="416" t="s">
        <v>2999</v>
      </c>
      <c r="O604" s="417"/>
      <c r="P604" s="416">
        <v>4590006261</v>
      </c>
      <c r="Q604" s="418">
        <v>44836</v>
      </c>
      <c r="R604" s="419">
        <v>5</v>
      </c>
      <c r="S604" s="458">
        <v>1835.98</v>
      </c>
      <c r="T604" s="420" t="s">
        <v>2156</v>
      </c>
      <c r="U604" s="414" t="s">
        <v>4021</v>
      </c>
      <c r="V604" s="414" t="s">
        <v>4022</v>
      </c>
      <c r="W604" s="417" t="s">
        <v>4023</v>
      </c>
      <c r="X604" s="417"/>
      <c r="Y604" s="421" t="s">
        <v>3652</v>
      </c>
      <c r="Z604" s="421" t="s">
        <v>3652</v>
      </c>
      <c r="AA604" s="416" t="s">
        <v>5169</v>
      </c>
      <c r="AB604" s="414" t="s">
        <v>3664</v>
      </c>
      <c r="AC604" s="422"/>
      <c r="AD604" s="421"/>
      <c r="AE604" s="420"/>
      <c r="AF604" s="421">
        <v>91028</v>
      </c>
      <c r="AG604" s="420" t="s">
        <v>3126</v>
      </c>
      <c r="AH604" s="421" t="s">
        <v>4784</v>
      </c>
      <c r="AI604" s="420" t="s">
        <v>4309</v>
      </c>
      <c r="AJ604" s="413" t="str">
        <f t="shared" si="38"/>
        <v>4590006261_005</v>
      </c>
      <c r="AK604" s="423"/>
      <c r="AL604" s="413"/>
      <c r="AM604" s="221"/>
      <c r="AN604" s="424"/>
      <c r="AO604" s="423"/>
      <c r="AP604" s="413"/>
      <c r="AQ604" s="222"/>
      <c r="AR604" s="424"/>
      <c r="AS604" s="614">
        <f ca="1">表格1_6[[#This Row],[total amount]]/表格1_6[[#This Row],[PO$]]</f>
        <v>0</v>
      </c>
      <c r="AT604" s="223">
        <f ca="1">表格1_6[[#This Row],[invoice amount]]+表格1_6[[#This Row],[invoice amount2]]</f>
        <v>0</v>
      </c>
      <c r="AU604" s="224"/>
      <c r="AV604" s="423"/>
      <c r="AW604" s="423" t="e">
        <f ca="1">VLOOKUP(表格1_6[[#This Row],[TI tool ID2]],工作表1!A:A,1,FALSE)</f>
        <v>#N/A</v>
      </c>
      <c r="AX604" s="425" t="e">
        <f ca="1">VLOOKUP(表格1_6[[#This Row],[PO+ITEM]],工作表1!B:E,2,FALSE)</f>
        <v>#N/A</v>
      </c>
      <c r="AY604" s="425" t="e">
        <f ca="1">VLOOKUP(表格1_6[[#This Row],[PO+ITEM]],工作表1!B:E,3,FALSE)</f>
        <v>#N/A</v>
      </c>
      <c r="AZ604" s="423" t="e">
        <f ca="1">VLOOKUP(表格1_6[[#This Row],[PO+ITEM]],工作表1!B:E,4,FALSE)</f>
        <v>#N/A</v>
      </c>
      <c r="BA604" s="425" t="e">
        <f ca="1">INDEX(工作表1!G:G, MATCH(表格1_6[[#This Row],[invoice number]]&amp;表格1_6[[#This Row],[invoice number2]],工作表1!G:G, 0))</f>
        <v>#N/A</v>
      </c>
      <c r="BB604" s="423" t="e">
        <f ca="1">VLOOKUP(表格1_6[[#This Row],[PO+ITEM]],工作表1!F:H,2,FALSE)</f>
        <v>#N/A</v>
      </c>
    </row>
    <row r="605" spans="1:54" ht="14.45">
      <c r="A605" s="413">
        <v>604</v>
      </c>
      <c r="B605" s="413" t="s">
        <v>3659</v>
      </c>
      <c r="C605" s="414" t="s">
        <v>16</v>
      </c>
      <c r="D605" s="414" t="s">
        <v>3648</v>
      </c>
      <c r="E605" s="414"/>
      <c r="F605" s="414"/>
      <c r="G605" s="414"/>
      <c r="H605" s="414"/>
      <c r="I605" s="414"/>
      <c r="J605" s="414"/>
      <c r="K605" s="414"/>
      <c r="L605" s="415" t="s">
        <v>5174</v>
      </c>
      <c r="M605" s="416" t="s">
        <v>4269</v>
      </c>
      <c r="N605" s="416" t="s">
        <v>2999</v>
      </c>
      <c r="O605" s="417"/>
      <c r="P605" s="416">
        <v>4590006261</v>
      </c>
      <c r="Q605" s="418">
        <v>44836</v>
      </c>
      <c r="R605" s="419">
        <v>6</v>
      </c>
      <c r="S605" s="458">
        <v>1835.98</v>
      </c>
      <c r="T605" s="420" t="s">
        <v>2156</v>
      </c>
      <c r="U605" s="414" t="s">
        <v>4021</v>
      </c>
      <c r="V605" s="414" t="s">
        <v>4022</v>
      </c>
      <c r="W605" s="417" t="s">
        <v>4023</v>
      </c>
      <c r="X605" s="417"/>
      <c r="Y605" s="421" t="s">
        <v>3652</v>
      </c>
      <c r="Z605" s="421" t="s">
        <v>3652</v>
      </c>
      <c r="AA605" s="416" t="s">
        <v>5169</v>
      </c>
      <c r="AB605" s="414" t="s">
        <v>3664</v>
      </c>
      <c r="AC605" s="422"/>
      <c r="AD605" s="421"/>
      <c r="AE605" s="420"/>
      <c r="AF605" s="421">
        <v>91031</v>
      </c>
      <c r="AG605" s="420" t="s">
        <v>5175</v>
      </c>
      <c r="AH605" s="421" t="s">
        <v>4784</v>
      </c>
      <c r="AI605" s="420" t="s">
        <v>4309</v>
      </c>
      <c r="AJ605" s="413" t="str">
        <f t="shared" si="38"/>
        <v>4590006261_006</v>
      </c>
      <c r="AK605" s="423"/>
      <c r="AL605" s="413"/>
      <c r="AM605" s="221"/>
      <c r="AN605" s="424"/>
      <c r="AO605" s="423"/>
      <c r="AP605" s="413"/>
      <c r="AQ605" s="222"/>
      <c r="AR605" s="424"/>
      <c r="AS605" s="614">
        <f ca="1">表格1_6[[#This Row],[total amount]]/表格1_6[[#This Row],[PO$]]</f>
        <v>0</v>
      </c>
      <c r="AT605" s="223">
        <f ca="1">表格1_6[[#This Row],[invoice amount]]+表格1_6[[#This Row],[invoice amount2]]</f>
        <v>0</v>
      </c>
      <c r="AU605" s="224"/>
      <c r="AV605" s="423"/>
      <c r="AW605" s="423" t="e">
        <f ca="1">VLOOKUP(表格1_6[[#This Row],[TI tool ID2]],工作表1!A:A,1,FALSE)</f>
        <v>#N/A</v>
      </c>
      <c r="AX605" s="425" t="e">
        <f ca="1">VLOOKUP(表格1_6[[#This Row],[PO+ITEM]],工作表1!B:E,2,FALSE)</f>
        <v>#N/A</v>
      </c>
      <c r="AY605" s="425" t="e">
        <f ca="1">VLOOKUP(表格1_6[[#This Row],[PO+ITEM]],工作表1!B:E,3,FALSE)</f>
        <v>#N/A</v>
      </c>
      <c r="AZ605" s="423" t="e">
        <f ca="1">VLOOKUP(表格1_6[[#This Row],[PO+ITEM]],工作表1!B:E,4,FALSE)</f>
        <v>#N/A</v>
      </c>
      <c r="BA605" s="425" t="e">
        <f ca="1">INDEX(工作表1!G:G, MATCH(表格1_6[[#This Row],[invoice number]]&amp;表格1_6[[#This Row],[invoice number2]],工作表1!G:G, 0))</f>
        <v>#N/A</v>
      </c>
      <c r="BB605" s="423" t="e">
        <f ca="1">VLOOKUP(表格1_6[[#This Row],[PO+ITEM]],工作表1!F:H,2,FALSE)</f>
        <v>#N/A</v>
      </c>
    </row>
    <row r="606" spans="1:54" ht="14.45">
      <c r="A606" s="413">
        <v>605</v>
      </c>
      <c r="B606" s="413" t="s">
        <v>3659</v>
      </c>
      <c r="C606" s="414" t="s">
        <v>16</v>
      </c>
      <c r="D606" s="414" t="s">
        <v>3648</v>
      </c>
      <c r="E606" s="414"/>
      <c r="F606" s="414"/>
      <c r="G606" s="414"/>
      <c r="H606" s="414"/>
      <c r="I606" s="414"/>
      <c r="J606" s="414"/>
      <c r="K606" s="414"/>
      <c r="L606" s="415" t="s">
        <v>5176</v>
      </c>
      <c r="M606" s="416" t="s">
        <v>4269</v>
      </c>
      <c r="N606" s="416" t="s">
        <v>2999</v>
      </c>
      <c r="O606" s="417"/>
      <c r="P606" s="416">
        <v>4590006261</v>
      </c>
      <c r="Q606" s="418">
        <v>44836</v>
      </c>
      <c r="R606" s="419">
        <v>7</v>
      </c>
      <c r="S606" s="458">
        <v>1835.98</v>
      </c>
      <c r="T606" s="420" t="s">
        <v>2156</v>
      </c>
      <c r="U606" s="414" t="s">
        <v>4021</v>
      </c>
      <c r="V606" s="414" t="s">
        <v>4022</v>
      </c>
      <c r="W606" s="417" t="s">
        <v>4023</v>
      </c>
      <c r="X606" s="417"/>
      <c r="Y606" s="421" t="s">
        <v>3652</v>
      </c>
      <c r="Z606" s="421" t="s">
        <v>3652</v>
      </c>
      <c r="AA606" s="416" t="s">
        <v>5169</v>
      </c>
      <c r="AB606" s="414" t="s">
        <v>3664</v>
      </c>
      <c r="AC606" s="422"/>
      <c r="AD606" s="421"/>
      <c r="AE606" s="420"/>
      <c r="AF606" s="421">
        <v>91032</v>
      </c>
      <c r="AG606" s="420" t="s">
        <v>3124</v>
      </c>
      <c r="AH606" s="421" t="s">
        <v>4784</v>
      </c>
      <c r="AI606" s="420" t="s">
        <v>4309</v>
      </c>
      <c r="AJ606" s="413" t="str">
        <f t="shared" si="38"/>
        <v>4590006261_007</v>
      </c>
      <c r="AK606" s="423"/>
      <c r="AL606" s="413"/>
      <c r="AM606" s="221"/>
      <c r="AN606" s="424"/>
      <c r="AO606" s="423"/>
      <c r="AP606" s="413"/>
      <c r="AQ606" s="222"/>
      <c r="AR606" s="424"/>
      <c r="AS606" s="614">
        <f ca="1">表格1_6[[#This Row],[total amount]]/表格1_6[[#This Row],[PO$]]</f>
        <v>0</v>
      </c>
      <c r="AT606" s="223">
        <f ca="1">表格1_6[[#This Row],[invoice amount]]+表格1_6[[#This Row],[invoice amount2]]</f>
        <v>0</v>
      </c>
      <c r="AU606" s="224"/>
      <c r="AV606" s="423"/>
      <c r="AW606" s="423" t="e">
        <f ca="1">VLOOKUP(表格1_6[[#This Row],[TI tool ID2]],工作表1!A:A,1,FALSE)</f>
        <v>#N/A</v>
      </c>
      <c r="AX606" s="425" t="e">
        <f ca="1">VLOOKUP(表格1_6[[#This Row],[PO+ITEM]],工作表1!B:E,2,FALSE)</f>
        <v>#N/A</v>
      </c>
      <c r="AY606" s="425" t="e">
        <f ca="1">VLOOKUP(表格1_6[[#This Row],[PO+ITEM]],工作表1!B:E,3,FALSE)</f>
        <v>#N/A</v>
      </c>
      <c r="AZ606" s="423" t="e">
        <f ca="1">VLOOKUP(表格1_6[[#This Row],[PO+ITEM]],工作表1!B:E,4,FALSE)</f>
        <v>#N/A</v>
      </c>
      <c r="BA606" s="425" t="e">
        <f ca="1">INDEX(工作表1!G:G, MATCH(表格1_6[[#This Row],[invoice number]]&amp;表格1_6[[#This Row],[invoice number2]],工作表1!G:G, 0))</f>
        <v>#N/A</v>
      </c>
      <c r="BB606" s="423" t="e">
        <f ca="1">VLOOKUP(表格1_6[[#This Row],[PO+ITEM]],工作表1!F:H,2,FALSE)</f>
        <v>#N/A</v>
      </c>
    </row>
    <row r="607" spans="1:54" ht="14.45">
      <c r="A607" s="413">
        <v>606</v>
      </c>
      <c r="B607" s="413" t="s">
        <v>3659</v>
      </c>
      <c r="C607" s="414" t="s">
        <v>16</v>
      </c>
      <c r="D607" s="414" t="s">
        <v>3648</v>
      </c>
      <c r="E607" s="414"/>
      <c r="F607" s="414"/>
      <c r="G607" s="414"/>
      <c r="H607" s="414"/>
      <c r="I607" s="414"/>
      <c r="J607" s="414"/>
      <c r="K607" s="414"/>
      <c r="L607" s="415" t="s">
        <v>5177</v>
      </c>
      <c r="M607" s="416" t="s">
        <v>4269</v>
      </c>
      <c r="N607" s="416" t="s">
        <v>2999</v>
      </c>
      <c r="O607" s="417"/>
      <c r="P607" s="416">
        <v>4590006261</v>
      </c>
      <c r="Q607" s="418">
        <v>44836</v>
      </c>
      <c r="R607" s="419">
        <v>8</v>
      </c>
      <c r="S607" s="458">
        <v>1835.98</v>
      </c>
      <c r="T607" s="420" t="s">
        <v>2156</v>
      </c>
      <c r="U607" s="414" t="s">
        <v>4021</v>
      </c>
      <c r="V607" s="414" t="s">
        <v>4022</v>
      </c>
      <c r="W607" s="417" t="s">
        <v>4023</v>
      </c>
      <c r="X607" s="417"/>
      <c r="Y607" s="421" t="s">
        <v>3652</v>
      </c>
      <c r="Z607" s="421" t="s">
        <v>3652</v>
      </c>
      <c r="AA607" s="416" t="s">
        <v>5169</v>
      </c>
      <c r="AB607" s="414" t="s">
        <v>3664</v>
      </c>
      <c r="AC607" s="422"/>
      <c r="AD607" s="421"/>
      <c r="AE607" s="420"/>
      <c r="AF607" s="421">
        <v>91081</v>
      </c>
      <c r="AG607" s="420" t="s">
        <v>3117</v>
      </c>
      <c r="AH607" s="421" t="s">
        <v>4784</v>
      </c>
      <c r="AI607" s="420" t="s">
        <v>4309</v>
      </c>
      <c r="AJ607" s="413" t="str">
        <f t="shared" si="38"/>
        <v>4590006261_008</v>
      </c>
      <c r="AK607" s="423"/>
      <c r="AL607" s="413"/>
      <c r="AM607" s="221"/>
      <c r="AN607" s="424"/>
      <c r="AO607" s="423"/>
      <c r="AP607" s="413"/>
      <c r="AQ607" s="222"/>
      <c r="AR607" s="424"/>
      <c r="AS607" s="614">
        <f ca="1">表格1_6[[#This Row],[total amount]]/表格1_6[[#This Row],[PO$]]</f>
        <v>0</v>
      </c>
      <c r="AT607" s="223">
        <f ca="1">表格1_6[[#This Row],[invoice amount]]+表格1_6[[#This Row],[invoice amount2]]</f>
        <v>0</v>
      </c>
      <c r="AU607" s="224"/>
      <c r="AV607" s="423"/>
      <c r="AW607" s="423" t="e">
        <f ca="1">VLOOKUP(表格1_6[[#This Row],[TI tool ID2]],工作表1!A:A,1,FALSE)</f>
        <v>#N/A</v>
      </c>
      <c r="AX607" s="425" t="e">
        <f ca="1">VLOOKUP(表格1_6[[#This Row],[PO+ITEM]],工作表1!B:E,2,FALSE)</f>
        <v>#N/A</v>
      </c>
      <c r="AY607" s="425" t="e">
        <f ca="1">VLOOKUP(表格1_6[[#This Row],[PO+ITEM]],工作表1!B:E,3,FALSE)</f>
        <v>#N/A</v>
      </c>
      <c r="AZ607" s="423" t="e">
        <f ca="1">VLOOKUP(表格1_6[[#This Row],[PO+ITEM]],工作表1!B:E,4,FALSE)</f>
        <v>#N/A</v>
      </c>
      <c r="BA607" s="425" t="e">
        <f ca="1">INDEX(工作表1!G:G, MATCH(表格1_6[[#This Row],[invoice number]]&amp;表格1_6[[#This Row],[invoice number2]],工作表1!G:G, 0))</f>
        <v>#N/A</v>
      </c>
      <c r="BB607" s="423" t="e">
        <f ca="1">VLOOKUP(表格1_6[[#This Row],[PO+ITEM]],工作表1!F:H,2,FALSE)</f>
        <v>#N/A</v>
      </c>
    </row>
    <row r="608" spans="1:54" ht="14.45">
      <c r="A608" s="413">
        <v>607</v>
      </c>
      <c r="B608" s="413" t="s">
        <v>3659</v>
      </c>
      <c r="C608" s="414" t="s">
        <v>16</v>
      </c>
      <c r="D608" s="414" t="s">
        <v>3648</v>
      </c>
      <c r="E608" s="414"/>
      <c r="F608" s="414"/>
      <c r="G608" s="414"/>
      <c r="H608" s="414"/>
      <c r="I608" s="414"/>
      <c r="J608" s="414"/>
      <c r="K608" s="414"/>
      <c r="L608" s="415" t="s">
        <v>5178</v>
      </c>
      <c r="M608" s="416" t="s">
        <v>4269</v>
      </c>
      <c r="N608" s="416" t="s">
        <v>2999</v>
      </c>
      <c r="O608" s="417"/>
      <c r="P608" s="416">
        <v>4590006261</v>
      </c>
      <c r="Q608" s="418">
        <v>44836</v>
      </c>
      <c r="R608" s="419">
        <v>9</v>
      </c>
      <c r="S608" s="458">
        <v>1835.98</v>
      </c>
      <c r="T608" s="420" t="s">
        <v>2156</v>
      </c>
      <c r="U608" s="414" t="s">
        <v>4021</v>
      </c>
      <c r="V608" s="414" t="s">
        <v>4022</v>
      </c>
      <c r="W608" s="417" t="s">
        <v>4023</v>
      </c>
      <c r="X608" s="417"/>
      <c r="Y608" s="421" t="s">
        <v>3652</v>
      </c>
      <c r="Z608" s="421" t="s">
        <v>3652</v>
      </c>
      <c r="AA608" s="416" t="s">
        <v>5169</v>
      </c>
      <c r="AB608" s="414" t="s">
        <v>3664</v>
      </c>
      <c r="AC608" s="422"/>
      <c r="AD608" s="421"/>
      <c r="AE608" s="420"/>
      <c r="AF608" s="421">
        <v>91086</v>
      </c>
      <c r="AG608" s="420" t="s">
        <v>3122</v>
      </c>
      <c r="AH608" s="421" t="s">
        <v>4784</v>
      </c>
      <c r="AI608" s="420" t="s">
        <v>4309</v>
      </c>
      <c r="AJ608" s="413" t="str">
        <f t="shared" si="38"/>
        <v>4590006261_009</v>
      </c>
      <c r="AK608" s="423"/>
      <c r="AL608" s="413"/>
      <c r="AM608" s="221"/>
      <c r="AN608" s="424"/>
      <c r="AO608" s="423"/>
      <c r="AP608" s="413"/>
      <c r="AQ608" s="222"/>
      <c r="AR608" s="424"/>
      <c r="AS608" s="614">
        <f ca="1">表格1_6[[#This Row],[total amount]]/表格1_6[[#This Row],[PO$]]</f>
        <v>0</v>
      </c>
      <c r="AT608" s="223">
        <f ca="1">表格1_6[[#This Row],[invoice amount]]+表格1_6[[#This Row],[invoice amount2]]</f>
        <v>0</v>
      </c>
      <c r="AU608" s="224"/>
      <c r="AV608" s="423"/>
      <c r="AW608" s="423" t="e">
        <f ca="1">VLOOKUP(表格1_6[[#This Row],[TI tool ID2]],工作表1!A:A,1,FALSE)</f>
        <v>#N/A</v>
      </c>
      <c r="AX608" s="425" t="e">
        <f ca="1">VLOOKUP(表格1_6[[#This Row],[PO+ITEM]],工作表1!B:E,2,FALSE)</f>
        <v>#N/A</v>
      </c>
      <c r="AY608" s="425" t="e">
        <f ca="1">VLOOKUP(表格1_6[[#This Row],[PO+ITEM]],工作表1!B:E,3,FALSE)</f>
        <v>#N/A</v>
      </c>
      <c r="AZ608" s="423" t="e">
        <f ca="1">VLOOKUP(表格1_6[[#This Row],[PO+ITEM]],工作表1!B:E,4,FALSE)</f>
        <v>#N/A</v>
      </c>
      <c r="BA608" s="425" t="e">
        <f ca="1">INDEX(工作表1!G:G, MATCH(表格1_6[[#This Row],[invoice number]]&amp;表格1_6[[#This Row],[invoice number2]],工作表1!G:G, 0))</f>
        <v>#N/A</v>
      </c>
      <c r="BB608" s="423" t="e">
        <f ca="1">VLOOKUP(表格1_6[[#This Row],[PO+ITEM]],工作表1!F:H,2,FALSE)</f>
        <v>#N/A</v>
      </c>
    </row>
    <row r="609" spans="1:54" ht="14.45">
      <c r="A609" s="413">
        <v>608</v>
      </c>
      <c r="B609" s="413" t="s">
        <v>3659</v>
      </c>
      <c r="C609" s="414" t="s">
        <v>16</v>
      </c>
      <c r="D609" s="414" t="s">
        <v>3648</v>
      </c>
      <c r="E609" s="414"/>
      <c r="F609" s="414"/>
      <c r="G609" s="414"/>
      <c r="H609" s="414"/>
      <c r="I609" s="414"/>
      <c r="J609" s="414"/>
      <c r="K609" s="414"/>
      <c r="L609" s="415" t="s">
        <v>5179</v>
      </c>
      <c r="M609" s="416" t="s">
        <v>4269</v>
      </c>
      <c r="N609" s="416" t="s">
        <v>2999</v>
      </c>
      <c r="O609" s="417"/>
      <c r="P609" s="416">
        <v>4590006261</v>
      </c>
      <c r="Q609" s="418">
        <v>44836</v>
      </c>
      <c r="R609" s="419">
        <v>10</v>
      </c>
      <c r="S609" s="458">
        <v>1835.98</v>
      </c>
      <c r="T609" s="420" t="s">
        <v>2156</v>
      </c>
      <c r="U609" s="414" t="s">
        <v>4021</v>
      </c>
      <c r="V609" s="414" t="s">
        <v>4022</v>
      </c>
      <c r="W609" s="417" t="s">
        <v>4023</v>
      </c>
      <c r="X609" s="417"/>
      <c r="Y609" s="421" t="s">
        <v>3652</v>
      </c>
      <c r="Z609" s="421" t="s">
        <v>3652</v>
      </c>
      <c r="AA609" s="416" t="s">
        <v>5169</v>
      </c>
      <c r="AB609" s="414" t="s">
        <v>3664</v>
      </c>
      <c r="AC609" s="422"/>
      <c r="AD609" s="421"/>
      <c r="AE609" s="420"/>
      <c r="AF609" s="421">
        <v>91087</v>
      </c>
      <c r="AG609" s="420" t="s">
        <v>3123</v>
      </c>
      <c r="AH609" s="421" t="s">
        <v>4784</v>
      </c>
      <c r="AI609" s="420" t="s">
        <v>4309</v>
      </c>
      <c r="AJ609" s="413" t="str">
        <f t="shared" ref="AJ609:AJ622" si="39">P609&amp;"_0"&amp;R609</f>
        <v>4590006261_010</v>
      </c>
      <c r="AK609" s="423"/>
      <c r="AL609" s="413"/>
      <c r="AM609" s="221"/>
      <c r="AN609" s="424"/>
      <c r="AO609" s="423"/>
      <c r="AP609" s="413"/>
      <c r="AQ609" s="222"/>
      <c r="AR609" s="424"/>
      <c r="AS609" s="614">
        <f ca="1">表格1_6[[#This Row],[total amount]]/表格1_6[[#This Row],[PO$]]</f>
        <v>0</v>
      </c>
      <c r="AT609" s="223">
        <f ca="1">表格1_6[[#This Row],[invoice amount]]+表格1_6[[#This Row],[invoice amount2]]</f>
        <v>0</v>
      </c>
      <c r="AU609" s="224"/>
      <c r="AV609" s="423"/>
      <c r="AW609" s="423" t="e">
        <f ca="1">VLOOKUP(表格1_6[[#This Row],[TI tool ID2]],工作表1!A:A,1,FALSE)</f>
        <v>#N/A</v>
      </c>
      <c r="AX609" s="425" t="e">
        <f ca="1">VLOOKUP(表格1_6[[#This Row],[PO+ITEM]],工作表1!B:E,2,FALSE)</f>
        <v>#N/A</v>
      </c>
      <c r="AY609" s="425" t="e">
        <f ca="1">VLOOKUP(表格1_6[[#This Row],[PO+ITEM]],工作表1!B:E,3,FALSE)</f>
        <v>#N/A</v>
      </c>
      <c r="AZ609" s="423" t="e">
        <f ca="1">VLOOKUP(表格1_6[[#This Row],[PO+ITEM]],工作表1!B:E,4,FALSE)</f>
        <v>#N/A</v>
      </c>
      <c r="BA609" s="425" t="e">
        <f ca="1">INDEX(工作表1!G:G, MATCH(表格1_6[[#This Row],[invoice number]]&amp;表格1_6[[#This Row],[invoice number2]],工作表1!G:G, 0))</f>
        <v>#N/A</v>
      </c>
      <c r="BB609" s="423" t="e">
        <f ca="1">VLOOKUP(表格1_6[[#This Row],[PO+ITEM]],工作表1!F:H,2,FALSE)</f>
        <v>#N/A</v>
      </c>
    </row>
    <row r="610" spans="1:54" ht="14.45">
      <c r="A610" s="413">
        <v>609</v>
      </c>
      <c r="B610" s="413" t="s">
        <v>3659</v>
      </c>
      <c r="C610" s="414" t="s">
        <v>16</v>
      </c>
      <c r="D610" s="414" t="s">
        <v>3648</v>
      </c>
      <c r="E610" s="414"/>
      <c r="F610" s="414"/>
      <c r="G610" s="414"/>
      <c r="H610" s="414"/>
      <c r="I610" s="414"/>
      <c r="J610" s="414"/>
      <c r="K610" s="414"/>
      <c r="L610" s="415" t="s">
        <v>5180</v>
      </c>
      <c r="M610" s="416" t="s">
        <v>4269</v>
      </c>
      <c r="N610" s="416" t="s">
        <v>2999</v>
      </c>
      <c r="O610" s="417"/>
      <c r="P610" s="416">
        <v>4590006261</v>
      </c>
      <c r="Q610" s="418">
        <v>44836</v>
      </c>
      <c r="R610" s="419">
        <v>11</v>
      </c>
      <c r="S610" s="458">
        <v>1835.98</v>
      </c>
      <c r="T610" s="420" t="s">
        <v>2156</v>
      </c>
      <c r="U610" s="414" t="s">
        <v>4021</v>
      </c>
      <c r="V610" s="414" t="s">
        <v>4022</v>
      </c>
      <c r="W610" s="417" t="s">
        <v>4023</v>
      </c>
      <c r="X610" s="417"/>
      <c r="Y610" s="421" t="s">
        <v>3652</v>
      </c>
      <c r="Z610" s="421" t="s">
        <v>3652</v>
      </c>
      <c r="AA610" s="416" t="s">
        <v>5169</v>
      </c>
      <c r="AB610" s="414" t="s">
        <v>3664</v>
      </c>
      <c r="AC610" s="422"/>
      <c r="AD610" s="421"/>
      <c r="AE610" s="420"/>
      <c r="AF610" s="421">
        <v>91088</v>
      </c>
      <c r="AG610" s="420" t="s">
        <v>3112</v>
      </c>
      <c r="AH610" s="421" t="s">
        <v>4784</v>
      </c>
      <c r="AI610" s="420" t="s">
        <v>4309</v>
      </c>
      <c r="AJ610" s="413" t="str">
        <f t="shared" si="39"/>
        <v>4590006261_011</v>
      </c>
      <c r="AK610" s="423"/>
      <c r="AL610" s="413"/>
      <c r="AM610" s="221"/>
      <c r="AN610" s="424"/>
      <c r="AO610" s="423"/>
      <c r="AP610" s="413"/>
      <c r="AQ610" s="222"/>
      <c r="AR610" s="424"/>
      <c r="AS610" s="614">
        <f ca="1">表格1_6[[#This Row],[total amount]]/表格1_6[[#This Row],[PO$]]</f>
        <v>0</v>
      </c>
      <c r="AT610" s="223">
        <f ca="1">表格1_6[[#This Row],[invoice amount]]+表格1_6[[#This Row],[invoice amount2]]</f>
        <v>0</v>
      </c>
      <c r="AU610" s="224"/>
      <c r="AV610" s="423"/>
      <c r="AW610" s="423" t="e">
        <f ca="1">VLOOKUP(表格1_6[[#This Row],[TI tool ID2]],工作表1!A:A,1,FALSE)</f>
        <v>#N/A</v>
      </c>
      <c r="AX610" s="425" t="e">
        <f ca="1">VLOOKUP(表格1_6[[#This Row],[PO+ITEM]],工作表1!B:E,2,FALSE)</f>
        <v>#N/A</v>
      </c>
      <c r="AY610" s="425" t="e">
        <f ca="1">VLOOKUP(表格1_6[[#This Row],[PO+ITEM]],工作表1!B:E,3,FALSE)</f>
        <v>#N/A</v>
      </c>
      <c r="AZ610" s="423" t="e">
        <f ca="1">VLOOKUP(表格1_6[[#This Row],[PO+ITEM]],工作表1!B:E,4,FALSE)</f>
        <v>#N/A</v>
      </c>
      <c r="BA610" s="425" t="e">
        <f ca="1">INDEX(工作表1!G:G, MATCH(表格1_6[[#This Row],[invoice number]]&amp;表格1_6[[#This Row],[invoice number2]],工作表1!G:G, 0))</f>
        <v>#N/A</v>
      </c>
      <c r="BB610" s="423" t="e">
        <f ca="1">VLOOKUP(表格1_6[[#This Row],[PO+ITEM]],工作表1!F:H,2,FALSE)</f>
        <v>#N/A</v>
      </c>
    </row>
    <row r="611" spans="1:54" ht="15.6">
      <c r="A611" s="413">
        <v>610</v>
      </c>
      <c r="B611" s="413" t="s">
        <v>3659</v>
      </c>
      <c r="C611" s="414" t="s">
        <v>16</v>
      </c>
      <c r="D611" s="414" t="s">
        <v>3648</v>
      </c>
      <c r="E611" s="414"/>
      <c r="F611" s="414"/>
      <c r="G611" s="414"/>
      <c r="H611" s="414"/>
      <c r="I611" s="414"/>
      <c r="J611" s="414"/>
      <c r="K611" s="414"/>
      <c r="L611" s="415" t="s">
        <v>5181</v>
      </c>
      <c r="M611" s="416" t="s">
        <v>2206</v>
      </c>
      <c r="N611" s="416" t="s">
        <v>2999</v>
      </c>
      <c r="O611" s="417"/>
      <c r="P611" s="416">
        <v>4590006261</v>
      </c>
      <c r="Q611" s="418">
        <v>44836</v>
      </c>
      <c r="R611" s="419">
        <v>12</v>
      </c>
      <c r="S611" s="458">
        <v>12141.96</v>
      </c>
      <c r="T611" s="420" t="s">
        <v>2156</v>
      </c>
      <c r="U611" s="414" t="s">
        <v>4021</v>
      </c>
      <c r="V611" s="414" t="s">
        <v>4022</v>
      </c>
      <c r="W611" s="417" t="s">
        <v>4023</v>
      </c>
      <c r="X611" s="417"/>
      <c r="Y611" s="421" t="s">
        <v>3652</v>
      </c>
      <c r="Z611" s="421" t="s">
        <v>3652</v>
      </c>
      <c r="AA611" s="416" t="s">
        <v>5169</v>
      </c>
      <c r="AB611" s="414" t="s">
        <v>3664</v>
      </c>
      <c r="AC611" s="422"/>
      <c r="AD611" s="421"/>
      <c r="AE611" s="420"/>
      <c r="AF611" s="421">
        <v>91150</v>
      </c>
      <c r="AG611" s="420" t="s">
        <v>5182</v>
      </c>
      <c r="AH611" s="421" t="s">
        <v>4784</v>
      </c>
      <c r="AI611" s="420" t="s">
        <v>846</v>
      </c>
      <c r="AJ611" s="413" t="str">
        <f t="shared" si="39"/>
        <v>4590006261_012</v>
      </c>
      <c r="AK611" s="423"/>
      <c r="AL611" s="424">
        <v>45108</v>
      </c>
      <c r="AM611" s="221">
        <v>4856.7839999999997</v>
      </c>
      <c r="AN611" s="226">
        <v>45168</v>
      </c>
      <c r="AO611" s="423"/>
      <c r="AP611" s="413"/>
      <c r="AQ611" s="222"/>
      <c r="AR611" s="424"/>
      <c r="AS611" s="614">
        <f ca="1">表格1_6[[#This Row],[total amount]]/表格1_6[[#This Row],[PO$]]</f>
        <v>0.4</v>
      </c>
      <c r="AT611" s="223">
        <f ca="1">表格1_6[[#This Row],[invoice amount]]+表格1_6[[#This Row],[invoice amount2]]</f>
        <v>4856.7839999999997</v>
      </c>
      <c r="AU611" s="224" t="s">
        <v>3673</v>
      </c>
      <c r="AV611" s="423"/>
      <c r="AW611" s="423" t="e">
        <f ca="1">VLOOKUP(表格1_6[[#This Row],[TI tool ID2]],工作表1!A:A,1,FALSE)</f>
        <v>#N/A</v>
      </c>
      <c r="AX611" s="425" t="e">
        <f ca="1">VLOOKUP(表格1_6[[#This Row],[PO+ITEM]],工作表1!B:E,2,FALSE)</f>
        <v>#N/A</v>
      </c>
      <c r="AY611" s="425" t="e">
        <f ca="1">VLOOKUP(表格1_6[[#This Row],[PO+ITEM]],工作表1!B:E,3,FALSE)</f>
        <v>#N/A</v>
      </c>
      <c r="AZ611" s="423" t="e">
        <f ca="1">VLOOKUP(表格1_6[[#This Row],[PO+ITEM]],工作表1!B:E,4,FALSE)</f>
        <v>#N/A</v>
      </c>
      <c r="BA611" s="425" t="e">
        <f ca="1">INDEX(工作表1!G:G, MATCH(表格1_6[[#This Row],[invoice number]]&amp;表格1_6[[#This Row],[invoice number2]],工作表1!G:G, 0))</f>
        <v>#N/A</v>
      </c>
      <c r="BB611" s="423" t="e">
        <f ca="1">VLOOKUP(表格1_6[[#This Row],[PO+ITEM]],工作表1!F:H,2,FALSE)</f>
        <v>#N/A</v>
      </c>
    </row>
    <row r="612" spans="1:54" ht="15.6">
      <c r="A612" s="413">
        <v>611</v>
      </c>
      <c r="B612" s="413" t="s">
        <v>3659</v>
      </c>
      <c r="C612" s="414" t="s">
        <v>16</v>
      </c>
      <c r="D612" s="414" t="s">
        <v>3648</v>
      </c>
      <c r="E612" s="414"/>
      <c r="F612" s="414"/>
      <c r="G612" s="414"/>
      <c r="H612" s="414"/>
      <c r="I612" s="414"/>
      <c r="J612" s="414"/>
      <c r="K612" s="414"/>
      <c r="L612" s="420" t="s">
        <v>5183</v>
      </c>
      <c r="M612" s="416" t="s">
        <v>2206</v>
      </c>
      <c r="N612" s="416" t="s">
        <v>2999</v>
      </c>
      <c r="O612" s="417"/>
      <c r="P612" s="416">
        <v>4590006261</v>
      </c>
      <c r="Q612" s="418">
        <v>44836</v>
      </c>
      <c r="R612" s="419">
        <v>13</v>
      </c>
      <c r="S612" s="458">
        <v>12141.96</v>
      </c>
      <c r="T612" s="420" t="s">
        <v>2156</v>
      </c>
      <c r="U612" s="414" t="s">
        <v>4021</v>
      </c>
      <c r="V612" s="414" t="s">
        <v>4022</v>
      </c>
      <c r="W612" s="417" t="s">
        <v>4023</v>
      </c>
      <c r="X612" s="417"/>
      <c r="Y612" s="421" t="s">
        <v>3652</v>
      </c>
      <c r="Z612" s="421" t="s">
        <v>3652</v>
      </c>
      <c r="AA612" s="416" t="s">
        <v>5169</v>
      </c>
      <c r="AB612" s="414" t="s">
        <v>3664</v>
      </c>
      <c r="AC612" s="422"/>
      <c r="AD612" s="421"/>
      <c r="AE612" s="420"/>
      <c r="AF612" s="421">
        <v>91152</v>
      </c>
      <c r="AG612" s="420" t="s">
        <v>5184</v>
      </c>
      <c r="AH612" s="421" t="s">
        <v>4784</v>
      </c>
      <c r="AI612" s="420" t="s">
        <v>846</v>
      </c>
      <c r="AJ612" s="413" t="str">
        <f t="shared" si="39"/>
        <v>4590006261_013</v>
      </c>
      <c r="AK612" s="423"/>
      <c r="AL612" s="424">
        <v>45108</v>
      </c>
      <c r="AM612" s="221">
        <v>4856.7839999999997</v>
      </c>
      <c r="AN612" s="226">
        <v>45168</v>
      </c>
      <c r="AO612" s="423"/>
      <c r="AP612" s="413"/>
      <c r="AQ612" s="222"/>
      <c r="AR612" s="424"/>
      <c r="AS612" s="614">
        <f ca="1">表格1_6[[#This Row],[total amount]]/表格1_6[[#This Row],[PO$]]</f>
        <v>0.4</v>
      </c>
      <c r="AT612" s="223">
        <f ca="1">表格1_6[[#This Row],[invoice amount]]+表格1_6[[#This Row],[invoice amount2]]</f>
        <v>4856.7839999999997</v>
      </c>
      <c r="AU612" s="224" t="s">
        <v>3673</v>
      </c>
      <c r="AV612" s="423"/>
      <c r="AW612" s="423" t="e">
        <f ca="1">VLOOKUP(表格1_6[[#This Row],[TI tool ID2]],工作表1!A:A,1,FALSE)</f>
        <v>#N/A</v>
      </c>
      <c r="AX612" s="425" t="e">
        <f ca="1">VLOOKUP(表格1_6[[#This Row],[PO+ITEM]],工作表1!B:E,2,FALSE)</f>
        <v>#N/A</v>
      </c>
      <c r="AY612" s="425" t="e">
        <f ca="1">VLOOKUP(表格1_6[[#This Row],[PO+ITEM]],工作表1!B:E,3,FALSE)</f>
        <v>#N/A</v>
      </c>
      <c r="AZ612" s="423" t="e">
        <f ca="1">VLOOKUP(表格1_6[[#This Row],[PO+ITEM]],工作表1!B:E,4,FALSE)</f>
        <v>#N/A</v>
      </c>
      <c r="BA612" s="425" t="e">
        <f ca="1">INDEX(工作表1!G:G, MATCH(表格1_6[[#This Row],[invoice number]]&amp;表格1_6[[#This Row],[invoice number2]],工作表1!G:G, 0))</f>
        <v>#N/A</v>
      </c>
      <c r="BB612" s="423" t="e">
        <f ca="1">VLOOKUP(表格1_6[[#This Row],[PO+ITEM]],工作表1!F:H,2,FALSE)</f>
        <v>#N/A</v>
      </c>
    </row>
    <row r="613" spans="1:54" s="429" customFormat="1" ht="14.45">
      <c r="A613" s="413">
        <v>612</v>
      </c>
      <c r="B613" s="566" t="s">
        <v>3765</v>
      </c>
      <c r="C613" s="509" t="s">
        <v>16</v>
      </c>
      <c r="D613" s="509" t="s">
        <v>3648</v>
      </c>
      <c r="E613" s="509"/>
      <c r="F613" s="509"/>
      <c r="G613" s="509"/>
      <c r="H613" s="509"/>
      <c r="I613" s="509"/>
      <c r="J613" s="509"/>
      <c r="K613" s="509"/>
      <c r="L613" s="524" t="s">
        <v>5185</v>
      </c>
      <c r="M613" s="510" t="s">
        <v>4269</v>
      </c>
      <c r="N613" s="510" t="s">
        <v>2999</v>
      </c>
      <c r="O613" s="511"/>
      <c r="P613" s="510">
        <v>4590006261</v>
      </c>
      <c r="Q613" s="512">
        <v>44836</v>
      </c>
      <c r="R613" s="517">
        <v>14</v>
      </c>
      <c r="S613" s="545"/>
      <c r="T613" s="513" t="s">
        <v>2156</v>
      </c>
      <c r="U613" s="509" t="s">
        <v>4021</v>
      </c>
      <c r="V613" s="509" t="s">
        <v>4022</v>
      </c>
      <c r="W613" s="511" t="s">
        <v>4023</v>
      </c>
      <c r="X613" s="511"/>
      <c r="Y613" s="514" t="s">
        <v>3652</v>
      </c>
      <c r="Z613" s="514" t="s">
        <v>3652</v>
      </c>
      <c r="AA613" s="510" t="s">
        <v>5169</v>
      </c>
      <c r="AB613" s="509" t="s">
        <v>3664</v>
      </c>
      <c r="AC613" s="515"/>
      <c r="AD613" s="514"/>
      <c r="AE613" s="513"/>
      <c r="AF613" s="514">
        <v>91291</v>
      </c>
      <c r="AG613" s="513" t="s">
        <v>3116</v>
      </c>
      <c r="AH613" s="514" t="s">
        <v>4784</v>
      </c>
      <c r="AI613" s="513" t="s">
        <v>4309</v>
      </c>
      <c r="AJ613" s="516" t="str">
        <f t="shared" si="39"/>
        <v>4590006261_014</v>
      </c>
      <c r="AK613" s="518"/>
      <c r="AL613" s="516"/>
      <c r="AM613" s="519"/>
      <c r="AN613" s="520"/>
      <c r="AO613" s="518"/>
      <c r="AP613" s="516"/>
      <c r="AQ613" s="521"/>
      <c r="AR613" s="520"/>
      <c r="AS613" s="615"/>
      <c r="AT613" s="572">
        <f ca="1">表格1_6[[#This Row],[invoice amount]]+表格1_6[[#This Row],[invoice amount2]]</f>
        <v>0</v>
      </c>
      <c r="AU613" s="566" t="s">
        <v>3765</v>
      </c>
      <c r="AV613" s="522"/>
      <c r="AW613" s="522" t="e">
        <f ca="1">VLOOKUP(表格1_6[[#This Row],[TI tool ID2]],工作表1!A:A,1,FALSE)</f>
        <v>#N/A</v>
      </c>
      <c r="AX613" s="523" t="e">
        <f ca="1">VLOOKUP(表格1_6[[#This Row],[PO+ITEM]],工作表1!B:E,2,FALSE)</f>
        <v>#N/A</v>
      </c>
      <c r="AY613" s="523" t="e">
        <f ca="1">VLOOKUP(表格1_6[[#This Row],[PO+ITEM]],工作表1!B:E,3,FALSE)</f>
        <v>#N/A</v>
      </c>
      <c r="AZ613" s="522" t="e">
        <f ca="1">VLOOKUP(表格1_6[[#This Row],[PO+ITEM]],工作表1!B:E,4,FALSE)</f>
        <v>#N/A</v>
      </c>
      <c r="BA613" s="425" t="e">
        <f ca="1">INDEX(工作表1!G:G, MATCH(表格1_6[[#This Row],[invoice number]]&amp;表格1_6[[#This Row],[invoice number2]],工作表1!G:G, 0))</f>
        <v>#N/A</v>
      </c>
      <c r="BB613" s="522" t="e">
        <f ca="1">VLOOKUP(表格1_6[[#This Row],[PO+ITEM]],工作表1!F:H,2,FALSE)</f>
        <v>#N/A</v>
      </c>
    </row>
    <row r="614" spans="1:54" ht="14.45">
      <c r="A614" s="413">
        <v>613</v>
      </c>
      <c r="B614" s="413" t="s">
        <v>3659</v>
      </c>
      <c r="C614" s="414" t="s">
        <v>16</v>
      </c>
      <c r="D614" s="414" t="s">
        <v>3648</v>
      </c>
      <c r="E614" s="414"/>
      <c r="F614" s="414"/>
      <c r="G614" s="414"/>
      <c r="H614" s="414"/>
      <c r="I614" s="414"/>
      <c r="J614" s="414"/>
      <c r="K614" s="414"/>
      <c r="L614" s="415" t="s">
        <v>5186</v>
      </c>
      <c r="M614" s="416" t="s">
        <v>4269</v>
      </c>
      <c r="N614" s="416" t="s">
        <v>2999</v>
      </c>
      <c r="O614" s="417"/>
      <c r="P614" s="416">
        <v>4590006261</v>
      </c>
      <c r="Q614" s="418">
        <v>44836</v>
      </c>
      <c r="R614" s="419">
        <v>15</v>
      </c>
      <c r="S614" s="458">
        <v>1835.98</v>
      </c>
      <c r="T614" s="420" t="s">
        <v>2156</v>
      </c>
      <c r="U614" s="414" t="s">
        <v>4021</v>
      </c>
      <c r="V614" s="414" t="s">
        <v>4022</v>
      </c>
      <c r="W614" s="417" t="s">
        <v>4023</v>
      </c>
      <c r="X614" s="417"/>
      <c r="Y614" s="421" t="s">
        <v>3652</v>
      </c>
      <c r="Z614" s="421" t="s">
        <v>3652</v>
      </c>
      <c r="AA614" s="416" t="s">
        <v>5169</v>
      </c>
      <c r="AB614" s="414" t="s">
        <v>3664</v>
      </c>
      <c r="AC614" s="422"/>
      <c r="AD614" s="421"/>
      <c r="AE614" s="420"/>
      <c r="AF614" s="421">
        <v>91292</v>
      </c>
      <c r="AG614" s="420" t="s">
        <v>3115</v>
      </c>
      <c r="AH614" s="421" t="s">
        <v>4784</v>
      </c>
      <c r="AI614" s="420" t="s">
        <v>4309</v>
      </c>
      <c r="AJ614" s="413" t="str">
        <f t="shared" si="39"/>
        <v>4590006261_015</v>
      </c>
      <c r="AK614" s="423"/>
      <c r="AL614" s="413"/>
      <c r="AM614" s="221"/>
      <c r="AN614" s="424"/>
      <c r="AO614" s="423"/>
      <c r="AP614" s="413"/>
      <c r="AQ614" s="222"/>
      <c r="AR614" s="424"/>
      <c r="AS614" s="614">
        <f ca="1">表格1_6[[#This Row],[total amount]]/表格1_6[[#This Row],[PO$]]</f>
        <v>0</v>
      </c>
      <c r="AT614" s="223">
        <f ca="1">表格1_6[[#This Row],[invoice amount]]+表格1_6[[#This Row],[invoice amount2]]</f>
        <v>0</v>
      </c>
      <c r="AU614" s="224"/>
      <c r="AV614" s="423"/>
      <c r="AW614" s="423" t="e">
        <f ca="1">VLOOKUP(表格1_6[[#This Row],[TI tool ID2]],工作表1!A:A,1,FALSE)</f>
        <v>#N/A</v>
      </c>
      <c r="AX614" s="425" t="e">
        <f ca="1">VLOOKUP(表格1_6[[#This Row],[PO+ITEM]],工作表1!B:E,2,FALSE)</f>
        <v>#N/A</v>
      </c>
      <c r="AY614" s="425" t="e">
        <f ca="1">VLOOKUP(表格1_6[[#This Row],[PO+ITEM]],工作表1!B:E,3,FALSE)</f>
        <v>#N/A</v>
      </c>
      <c r="AZ614" s="423" t="e">
        <f ca="1">VLOOKUP(表格1_6[[#This Row],[PO+ITEM]],工作表1!B:E,4,FALSE)</f>
        <v>#N/A</v>
      </c>
      <c r="BA614" s="425" t="e">
        <f ca="1">INDEX(工作表1!G:G, MATCH(表格1_6[[#This Row],[invoice number]]&amp;表格1_6[[#This Row],[invoice number2]],工作表1!G:G, 0))</f>
        <v>#N/A</v>
      </c>
      <c r="BB614" s="423" t="e">
        <f ca="1">VLOOKUP(表格1_6[[#This Row],[PO+ITEM]],工作表1!F:H,2,FALSE)</f>
        <v>#N/A</v>
      </c>
    </row>
    <row r="615" spans="1:54" ht="14.45">
      <c r="A615" s="413">
        <v>614</v>
      </c>
      <c r="B615" s="413" t="s">
        <v>3659</v>
      </c>
      <c r="C615" s="414" t="s">
        <v>16</v>
      </c>
      <c r="D615" s="414" t="s">
        <v>3648</v>
      </c>
      <c r="E615" s="414"/>
      <c r="F615" s="414"/>
      <c r="G615" s="414"/>
      <c r="H615" s="414"/>
      <c r="I615" s="414"/>
      <c r="J615" s="414"/>
      <c r="K615" s="414"/>
      <c r="L615" s="420" t="s">
        <v>5187</v>
      </c>
      <c r="M615" s="416" t="s">
        <v>4269</v>
      </c>
      <c r="N615" s="416" t="s">
        <v>2999</v>
      </c>
      <c r="O615" s="417"/>
      <c r="P615" s="416">
        <v>4590006261</v>
      </c>
      <c r="Q615" s="418">
        <v>44836</v>
      </c>
      <c r="R615" s="419">
        <v>16</v>
      </c>
      <c r="S615" s="458">
        <v>1835.98</v>
      </c>
      <c r="T615" s="420" t="s">
        <v>2156</v>
      </c>
      <c r="U615" s="414" t="s">
        <v>4021</v>
      </c>
      <c r="V615" s="414" t="s">
        <v>4022</v>
      </c>
      <c r="W615" s="417" t="s">
        <v>4023</v>
      </c>
      <c r="X615" s="417"/>
      <c r="Y615" s="421" t="s">
        <v>3652</v>
      </c>
      <c r="Z615" s="421" t="s">
        <v>3652</v>
      </c>
      <c r="AA615" s="416" t="s">
        <v>5169</v>
      </c>
      <c r="AB615" s="414" t="s">
        <v>3664</v>
      </c>
      <c r="AC615" s="422"/>
      <c r="AD615" s="421"/>
      <c r="AE615" s="420"/>
      <c r="AF615" s="421">
        <v>91293</v>
      </c>
      <c r="AG615" s="420" t="s">
        <v>3114</v>
      </c>
      <c r="AH615" s="421" t="s">
        <v>4784</v>
      </c>
      <c r="AI615" s="420" t="s">
        <v>4309</v>
      </c>
      <c r="AJ615" s="413" t="str">
        <f t="shared" si="39"/>
        <v>4590006261_016</v>
      </c>
      <c r="AK615" s="423"/>
      <c r="AL615" s="413"/>
      <c r="AM615" s="221"/>
      <c r="AN615" s="424"/>
      <c r="AO615" s="423"/>
      <c r="AP615" s="413"/>
      <c r="AQ615" s="222"/>
      <c r="AR615" s="424"/>
      <c r="AS615" s="614">
        <f ca="1">表格1_6[[#This Row],[total amount]]/表格1_6[[#This Row],[PO$]]</f>
        <v>0</v>
      </c>
      <c r="AT615" s="223">
        <f ca="1">表格1_6[[#This Row],[invoice amount]]+表格1_6[[#This Row],[invoice amount2]]</f>
        <v>0</v>
      </c>
      <c r="AU615" s="224"/>
      <c r="AV615" s="423"/>
      <c r="AW615" s="423" t="e">
        <f ca="1">VLOOKUP(表格1_6[[#This Row],[TI tool ID2]],工作表1!A:A,1,FALSE)</f>
        <v>#N/A</v>
      </c>
      <c r="AX615" s="425" t="e">
        <f ca="1">VLOOKUP(表格1_6[[#This Row],[PO+ITEM]],工作表1!B:E,2,FALSE)</f>
        <v>#N/A</v>
      </c>
      <c r="AY615" s="425" t="e">
        <f ca="1">VLOOKUP(表格1_6[[#This Row],[PO+ITEM]],工作表1!B:E,3,FALSE)</f>
        <v>#N/A</v>
      </c>
      <c r="AZ615" s="423" t="e">
        <f ca="1">VLOOKUP(表格1_6[[#This Row],[PO+ITEM]],工作表1!B:E,4,FALSE)</f>
        <v>#N/A</v>
      </c>
      <c r="BA615" s="425" t="e">
        <f ca="1">INDEX(工作表1!G:G, MATCH(表格1_6[[#This Row],[invoice number]]&amp;表格1_6[[#This Row],[invoice number2]],工作表1!G:G, 0))</f>
        <v>#N/A</v>
      </c>
      <c r="BB615" s="423" t="e">
        <f ca="1">VLOOKUP(表格1_6[[#This Row],[PO+ITEM]],工作表1!F:H,2,FALSE)</f>
        <v>#N/A</v>
      </c>
    </row>
    <row r="616" spans="1:54" ht="15.6">
      <c r="A616" s="413">
        <v>615</v>
      </c>
      <c r="B616" s="413" t="s">
        <v>3659</v>
      </c>
      <c r="C616" s="414" t="s">
        <v>16</v>
      </c>
      <c r="D616" s="414" t="s">
        <v>3648</v>
      </c>
      <c r="E616" s="414"/>
      <c r="F616" s="414"/>
      <c r="G616" s="414"/>
      <c r="H616" s="414"/>
      <c r="I616" s="414"/>
      <c r="J616" s="414"/>
      <c r="K616" s="414"/>
      <c r="L616" s="415" t="s">
        <v>5188</v>
      </c>
      <c r="M616" s="416" t="s">
        <v>2206</v>
      </c>
      <c r="N616" s="416" t="s">
        <v>2999</v>
      </c>
      <c r="O616" s="417"/>
      <c r="P616" s="416">
        <v>4590006261</v>
      </c>
      <c r="Q616" s="418">
        <v>44836</v>
      </c>
      <c r="R616" s="419">
        <v>17</v>
      </c>
      <c r="S616" s="458">
        <v>6557.54</v>
      </c>
      <c r="T616" s="420" t="s">
        <v>2156</v>
      </c>
      <c r="U616" s="414" t="s">
        <v>4021</v>
      </c>
      <c r="V616" s="414" t="s">
        <v>4022</v>
      </c>
      <c r="W616" s="417" t="s">
        <v>4023</v>
      </c>
      <c r="X616" s="417"/>
      <c r="Y616" s="421" t="s">
        <v>3652</v>
      </c>
      <c r="Z616" s="421" t="s">
        <v>3652</v>
      </c>
      <c r="AA616" s="416" t="s">
        <v>5169</v>
      </c>
      <c r="AB616" s="414" t="s">
        <v>3664</v>
      </c>
      <c r="AC616" s="422"/>
      <c r="AD616" s="421"/>
      <c r="AE616" s="420"/>
      <c r="AF616" s="421">
        <v>91397</v>
      </c>
      <c r="AG616" s="420" t="s">
        <v>5189</v>
      </c>
      <c r="AH616" s="421" t="s">
        <v>4784</v>
      </c>
      <c r="AI616" s="420" t="s">
        <v>846</v>
      </c>
      <c r="AJ616" s="413" t="str">
        <f t="shared" si="39"/>
        <v>4590006261_017</v>
      </c>
      <c r="AK616" s="423"/>
      <c r="AL616" s="424">
        <v>45017</v>
      </c>
      <c r="AM616" s="221">
        <v>2623.0160000000001</v>
      </c>
      <c r="AN616" s="226">
        <v>45168</v>
      </c>
      <c r="AO616" s="423"/>
      <c r="AP616" s="413"/>
      <c r="AQ616" s="222"/>
      <c r="AR616" s="424"/>
      <c r="AS616" s="614">
        <f ca="1">表格1_6[[#This Row],[total amount]]/表格1_6[[#This Row],[PO$]]</f>
        <v>0.4</v>
      </c>
      <c r="AT616" s="223">
        <f ca="1">表格1_6[[#This Row],[invoice amount]]+表格1_6[[#This Row],[invoice amount2]]</f>
        <v>2623.0160000000001</v>
      </c>
      <c r="AU616" s="224" t="s">
        <v>3673</v>
      </c>
      <c r="AV616" s="423"/>
      <c r="AW616" s="423" t="e">
        <f ca="1">VLOOKUP(表格1_6[[#This Row],[TI tool ID2]],工作表1!A:A,1,FALSE)</f>
        <v>#N/A</v>
      </c>
      <c r="AX616" s="425" t="e">
        <f ca="1">VLOOKUP(表格1_6[[#This Row],[PO+ITEM]],工作表1!B:E,2,FALSE)</f>
        <v>#N/A</v>
      </c>
      <c r="AY616" s="425" t="e">
        <f ca="1">VLOOKUP(表格1_6[[#This Row],[PO+ITEM]],工作表1!B:E,3,FALSE)</f>
        <v>#N/A</v>
      </c>
      <c r="AZ616" s="423" t="e">
        <f ca="1">VLOOKUP(表格1_6[[#This Row],[PO+ITEM]],工作表1!B:E,4,FALSE)</f>
        <v>#N/A</v>
      </c>
      <c r="BA616" s="425" t="e">
        <f ca="1">INDEX(工作表1!G:G, MATCH(表格1_6[[#This Row],[invoice number]]&amp;表格1_6[[#This Row],[invoice number2]],工作表1!G:G, 0))</f>
        <v>#N/A</v>
      </c>
      <c r="BB616" s="423" t="e">
        <f ca="1">VLOOKUP(表格1_6[[#This Row],[PO+ITEM]],工作表1!F:H,2,FALSE)</f>
        <v>#N/A</v>
      </c>
    </row>
    <row r="617" spans="1:54" ht="15.6">
      <c r="A617" s="413">
        <v>616</v>
      </c>
      <c r="B617" s="413" t="s">
        <v>3659</v>
      </c>
      <c r="C617" s="414" t="s">
        <v>16</v>
      </c>
      <c r="D617" s="414" t="s">
        <v>3648</v>
      </c>
      <c r="E617" s="414"/>
      <c r="F617" s="414"/>
      <c r="G617" s="414"/>
      <c r="H617" s="414"/>
      <c r="I617" s="414"/>
      <c r="J617" s="414"/>
      <c r="K617" s="414"/>
      <c r="L617" s="415" t="s">
        <v>5190</v>
      </c>
      <c r="M617" s="416" t="s">
        <v>2206</v>
      </c>
      <c r="N617" s="416" t="s">
        <v>2999</v>
      </c>
      <c r="O617" s="417"/>
      <c r="P617" s="416">
        <v>4590006261</v>
      </c>
      <c r="Q617" s="418">
        <v>44836</v>
      </c>
      <c r="R617" s="419">
        <v>18</v>
      </c>
      <c r="S617" s="458">
        <v>8393.52</v>
      </c>
      <c r="T617" s="420" t="s">
        <v>2156</v>
      </c>
      <c r="U617" s="414" t="s">
        <v>4021</v>
      </c>
      <c r="V617" s="414" t="s">
        <v>4022</v>
      </c>
      <c r="W617" s="417" t="s">
        <v>4023</v>
      </c>
      <c r="X617" s="417"/>
      <c r="Y617" s="421" t="s">
        <v>3652</v>
      </c>
      <c r="Z617" s="421" t="s">
        <v>3652</v>
      </c>
      <c r="AA617" s="416" t="s">
        <v>5169</v>
      </c>
      <c r="AB617" s="414" t="s">
        <v>3664</v>
      </c>
      <c r="AC617" s="422"/>
      <c r="AD617" s="421"/>
      <c r="AE617" s="420"/>
      <c r="AF617" s="421">
        <v>91398</v>
      </c>
      <c r="AG617" s="420" t="s">
        <v>5191</v>
      </c>
      <c r="AH617" s="421" t="s">
        <v>4784</v>
      </c>
      <c r="AI617" s="420" t="s">
        <v>846</v>
      </c>
      <c r="AJ617" s="413" t="str">
        <f t="shared" si="39"/>
        <v>4590006261_018</v>
      </c>
      <c r="AK617" s="423"/>
      <c r="AL617" s="424">
        <v>45108</v>
      </c>
      <c r="AM617" s="221">
        <v>3357.4080000000004</v>
      </c>
      <c r="AN617" s="226">
        <v>45168</v>
      </c>
      <c r="AO617" s="423"/>
      <c r="AP617" s="413"/>
      <c r="AQ617" s="222"/>
      <c r="AR617" s="424"/>
      <c r="AS617" s="614">
        <f ca="1">表格1_6[[#This Row],[total amount]]/表格1_6[[#This Row],[PO$]]</f>
        <v>0.4</v>
      </c>
      <c r="AT617" s="223">
        <f ca="1">表格1_6[[#This Row],[invoice amount]]+表格1_6[[#This Row],[invoice amount2]]</f>
        <v>3357.4080000000004</v>
      </c>
      <c r="AU617" s="224" t="s">
        <v>3673</v>
      </c>
      <c r="AV617" s="423"/>
      <c r="AW617" s="423" t="e">
        <f ca="1">VLOOKUP(表格1_6[[#This Row],[TI tool ID2]],工作表1!A:A,1,FALSE)</f>
        <v>#N/A</v>
      </c>
      <c r="AX617" s="425" t="e">
        <f ca="1">VLOOKUP(表格1_6[[#This Row],[PO+ITEM]],工作表1!B:E,2,FALSE)</f>
        <v>#N/A</v>
      </c>
      <c r="AY617" s="425" t="e">
        <f ca="1">VLOOKUP(表格1_6[[#This Row],[PO+ITEM]],工作表1!B:E,3,FALSE)</f>
        <v>#N/A</v>
      </c>
      <c r="AZ617" s="423" t="e">
        <f ca="1">VLOOKUP(表格1_6[[#This Row],[PO+ITEM]],工作表1!B:E,4,FALSE)</f>
        <v>#N/A</v>
      </c>
      <c r="BA617" s="425" t="e">
        <f ca="1">INDEX(工作表1!G:G, MATCH(表格1_6[[#This Row],[invoice number]]&amp;表格1_6[[#This Row],[invoice number2]],工作表1!G:G, 0))</f>
        <v>#N/A</v>
      </c>
      <c r="BB617" s="423" t="e">
        <f ca="1">VLOOKUP(表格1_6[[#This Row],[PO+ITEM]],工作表1!F:H,2,FALSE)</f>
        <v>#N/A</v>
      </c>
    </row>
    <row r="618" spans="1:54" ht="15.6">
      <c r="A618" s="413">
        <v>617</v>
      </c>
      <c r="B618" s="413" t="s">
        <v>3659</v>
      </c>
      <c r="C618" s="414" t="s">
        <v>16</v>
      </c>
      <c r="D618" s="414" t="s">
        <v>3648</v>
      </c>
      <c r="E618" s="414"/>
      <c r="F618" s="414"/>
      <c r="G618" s="414"/>
      <c r="H618" s="414"/>
      <c r="I618" s="414"/>
      <c r="J618" s="414"/>
      <c r="K618" s="414"/>
      <c r="L618" s="415" t="s">
        <v>5192</v>
      </c>
      <c r="M618" s="416" t="s">
        <v>2206</v>
      </c>
      <c r="N618" s="416" t="s">
        <v>2999</v>
      </c>
      <c r="O618" s="417"/>
      <c r="P618" s="416">
        <v>4590006261</v>
      </c>
      <c r="Q618" s="418">
        <v>44836</v>
      </c>
      <c r="R618" s="419">
        <v>19</v>
      </c>
      <c r="S618" s="458">
        <v>6557.54</v>
      </c>
      <c r="T618" s="420" t="s">
        <v>2156</v>
      </c>
      <c r="U618" s="414" t="s">
        <v>4021</v>
      </c>
      <c r="V618" s="414" t="s">
        <v>4022</v>
      </c>
      <c r="W618" s="417" t="s">
        <v>4023</v>
      </c>
      <c r="X618" s="417"/>
      <c r="Y618" s="421" t="s">
        <v>3652</v>
      </c>
      <c r="Z618" s="421" t="s">
        <v>3652</v>
      </c>
      <c r="AA618" s="416" t="s">
        <v>5169</v>
      </c>
      <c r="AB618" s="414" t="s">
        <v>3664</v>
      </c>
      <c r="AC618" s="422"/>
      <c r="AD618" s="421"/>
      <c r="AE618" s="420"/>
      <c r="AF618" s="421">
        <v>91405</v>
      </c>
      <c r="AG618" s="420" t="s">
        <v>5193</v>
      </c>
      <c r="AH618" s="421" t="s">
        <v>4784</v>
      </c>
      <c r="AI618" s="420" t="s">
        <v>846</v>
      </c>
      <c r="AJ618" s="413" t="str">
        <f t="shared" si="39"/>
        <v>4590006261_019</v>
      </c>
      <c r="AK618" s="423"/>
      <c r="AL618" s="424">
        <v>45017</v>
      </c>
      <c r="AM618" s="221">
        <v>2623.0160000000001</v>
      </c>
      <c r="AN618" s="226">
        <v>45168</v>
      </c>
      <c r="AO618" s="423"/>
      <c r="AP618" s="413"/>
      <c r="AQ618" s="222"/>
      <c r="AR618" s="424"/>
      <c r="AS618" s="614">
        <f ca="1">表格1_6[[#This Row],[total amount]]/表格1_6[[#This Row],[PO$]]</f>
        <v>0.4</v>
      </c>
      <c r="AT618" s="223">
        <f ca="1">表格1_6[[#This Row],[invoice amount]]+表格1_6[[#This Row],[invoice amount2]]</f>
        <v>2623.0160000000001</v>
      </c>
      <c r="AU618" s="224" t="s">
        <v>3673</v>
      </c>
      <c r="AV618" s="423"/>
      <c r="AW618" s="423" t="e">
        <f ca="1">VLOOKUP(表格1_6[[#This Row],[TI tool ID2]],工作表1!A:A,1,FALSE)</f>
        <v>#N/A</v>
      </c>
      <c r="AX618" s="425" t="e">
        <f ca="1">VLOOKUP(表格1_6[[#This Row],[PO+ITEM]],工作表1!B:E,2,FALSE)</f>
        <v>#N/A</v>
      </c>
      <c r="AY618" s="425" t="e">
        <f ca="1">VLOOKUP(表格1_6[[#This Row],[PO+ITEM]],工作表1!B:E,3,FALSE)</f>
        <v>#N/A</v>
      </c>
      <c r="AZ618" s="423" t="e">
        <f ca="1">VLOOKUP(表格1_6[[#This Row],[PO+ITEM]],工作表1!B:E,4,FALSE)</f>
        <v>#N/A</v>
      </c>
      <c r="BA618" s="425" t="e">
        <f ca="1">INDEX(工作表1!G:G, MATCH(表格1_6[[#This Row],[invoice number]]&amp;表格1_6[[#This Row],[invoice number2]],工作表1!G:G, 0))</f>
        <v>#N/A</v>
      </c>
      <c r="BB618" s="423" t="e">
        <f ca="1">VLOOKUP(表格1_6[[#This Row],[PO+ITEM]],工作表1!F:H,2,FALSE)</f>
        <v>#N/A</v>
      </c>
    </row>
    <row r="619" spans="1:54" ht="14.45">
      <c r="A619" s="413">
        <v>618</v>
      </c>
      <c r="B619" s="413" t="s">
        <v>3659</v>
      </c>
      <c r="C619" s="414" t="s">
        <v>16</v>
      </c>
      <c r="D619" s="414" t="s">
        <v>3648</v>
      </c>
      <c r="E619" s="414"/>
      <c r="F619" s="414"/>
      <c r="G619" s="414"/>
      <c r="H619" s="414"/>
      <c r="I619" s="414"/>
      <c r="J619" s="414"/>
      <c r="K619" s="414"/>
      <c r="L619" s="415" t="s">
        <v>5194</v>
      </c>
      <c r="M619" s="416" t="s">
        <v>4269</v>
      </c>
      <c r="N619" s="416" t="s">
        <v>2999</v>
      </c>
      <c r="O619" s="417"/>
      <c r="P619" s="416">
        <v>4590006261</v>
      </c>
      <c r="Q619" s="418">
        <v>44836</v>
      </c>
      <c r="R619" s="419">
        <v>20</v>
      </c>
      <c r="S619" s="458">
        <v>3931.29</v>
      </c>
      <c r="T619" s="420" t="s">
        <v>2156</v>
      </c>
      <c r="U619" s="414" t="s">
        <v>4021</v>
      </c>
      <c r="V619" s="414" t="s">
        <v>4022</v>
      </c>
      <c r="W619" s="417" t="s">
        <v>4023</v>
      </c>
      <c r="X619" s="417"/>
      <c r="Y619" s="421" t="s">
        <v>3652</v>
      </c>
      <c r="Z619" s="421" t="s">
        <v>3652</v>
      </c>
      <c r="AA619" s="416" t="s">
        <v>5169</v>
      </c>
      <c r="AB619" s="414" t="s">
        <v>3664</v>
      </c>
      <c r="AC619" s="422"/>
      <c r="AD619" s="421"/>
      <c r="AE619" s="420"/>
      <c r="AF619" s="421">
        <v>91413</v>
      </c>
      <c r="AG619" s="420" t="s">
        <v>5195</v>
      </c>
      <c r="AH619" s="421" t="s">
        <v>4784</v>
      </c>
      <c r="AI619" s="420" t="s">
        <v>3719</v>
      </c>
      <c r="AJ619" s="413" t="str">
        <f t="shared" si="39"/>
        <v>4590006261_020</v>
      </c>
      <c r="AK619" s="423"/>
      <c r="AL619" s="413"/>
      <c r="AM619" s="221"/>
      <c r="AN619" s="424"/>
      <c r="AO619" s="423"/>
      <c r="AP619" s="413"/>
      <c r="AQ619" s="222"/>
      <c r="AR619" s="424"/>
      <c r="AS619" s="614">
        <f ca="1">表格1_6[[#This Row],[total amount]]/表格1_6[[#This Row],[PO$]]</f>
        <v>0</v>
      </c>
      <c r="AT619" s="223">
        <f ca="1">表格1_6[[#This Row],[invoice amount]]+表格1_6[[#This Row],[invoice amount2]]</f>
        <v>0</v>
      </c>
      <c r="AU619" s="224"/>
      <c r="AV619" s="423"/>
      <c r="AW619" s="423" t="e">
        <f ca="1">VLOOKUP(表格1_6[[#This Row],[TI tool ID2]],工作表1!A:A,1,FALSE)</f>
        <v>#N/A</v>
      </c>
      <c r="AX619" s="425" t="e">
        <f ca="1">VLOOKUP(表格1_6[[#This Row],[PO+ITEM]],工作表1!B:E,2,FALSE)</f>
        <v>#N/A</v>
      </c>
      <c r="AY619" s="425" t="e">
        <f ca="1">VLOOKUP(表格1_6[[#This Row],[PO+ITEM]],工作表1!B:E,3,FALSE)</f>
        <v>#N/A</v>
      </c>
      <c r="AZ619" s="423" t="e">
        <f ca="1">VLOOKUP(表格1_6[[#This Row],[PO+ITEM]],工作表1!B:E,4,FALSE)</f>
        <v>#N/A</v>
      </c>
      <c r="BA619" s="425" t="e">
        <f ca="1">INDEX(工作表1!G:G, MATCH(表格1_6[[#This Row],[invoice number]]&amp;表格1_6[[#This Row],[invoice number2]],工作表1!G:G, 0))</f>
        <v>#N/A</v>
      </c>
      <c r="BB619" s="423" t="e">
        <f ca="1">VLOOKUP(表格1_6[[#This Row],[PO+ITEM]],工作表1!F:H,2,FALSE)</f>
        <v>#N/A</v>
      </c>
    </row>
    <row r="620" spans="1:54" ht="14.45">
      <c r="A620" s="413">
        <v>619</v>
      </c>
      <c r="B620" s="413" t="s">
        <v>3659</v>
      </c>
      <c r="C620" s="414" t="s">
        <v>16</v>
      </c>
      <c r="D620" s="414" t="s">
        <v>3648</v>
      </c>
      <c r="E620" s="414"/>
      <c r="F620" s="414"/>
      <c r="G620" s="414"/>
      <c r="H620" s="414"/>
      <c r="I620" s="414"/>
      <c r="J620" s="414"/>
      <c r="K620" s="414"/>
      <c r="L620" s="415" t="s">
        <v>5196</v>
      </c>
      <c r="M620" s="416" t="s">
        <v>4269</v>
      </c>
      <c r="N620" s="416" t="s">
        <v>2999</v>
      </c>
      <c r="O620" s="417"/>
      <c r="P620" s="416">
        <v>4590006261</v>
      </c>
      <c r="Q620" s="418">
        <v>44836</v>
      </c>
      <c r="R620" s="419">
        <v>21</v>
      </c>
      <c r="S620" s="458">
        <v>12341.94</v>
      </c>
      <c r="T620" s="420" t="s">
        <v>2156</v>
      </c>
      <c r="U620" s="414" t="s">
        <v>4021</v>
      </c>
      <c r="V620" s="414" t="s">
        <v>4022</v>
      </c>
      <c r="W620" s="417" t="s">
        <v>4023</v>
      </c>
      <c r="X620" s="417"/>
      <c r="Y620" s="421" t="s">
        <v>3652</v>
      </c>
      <c r="Z620" s="421" t="s">
        <v>3652</v>
      </c>
      <c r="AA620" s="416" t="s">
        <v>5169</v>
      </c>
      <c r="AB620" s="414" t="s">
        <v>3664</v>
      </c>
      <c r="AC620" s="422"/>
      <c r="AD620" s="421"/>
      <c r="AE620" s="420"/>
      <c r="AF620" s="421">
        <v>91022</v>
      </c>
      <c r="AG620" s="420" t="s">
        <v>2832</v>
      </c>
      <c r="AH620" s="421" t="s">
        <v>4784</v>
      </c>
      <c r="AI620" s="420" t="s">
        <v>32</v>
      </c>
      <c r="AJ620" s="413" t="str">
        <f t="shared" si="39"/>
        <v>4590006261_021</v>
      </c>
      <c r="AK620" s="423"/>
      <c r="AL620" s="413"/>
      <c r="AM620" s="221"/>
      <c r="AN620" s="424"/>
      <c r="AO620" s="423"/>
      <c r="AP620" s="413"/>
      <c r="AQ620" s="222"/>
      <c r="AR620" s="424"/>
      <c r="AS620" s="614">
        <f ca="1">表格1_6[[#This Row],[total amount]]/表格1_6[[#This Row],[PO$]]</f>
        <v>0</v>
      </c>
      <c r="AT620" s="223">
        <f ca="1">表格1_6[[#This Row],[invoice amount]]+表格1_6[[#This Row],[invoice amount2]]</f>
        <v>0</v>
      </c>
      <c r="AU620" s="224"/>
      <c r="AV620" s="423"/>
      <c r="AW620" s="423" t="e">
        <f ca="1">VLOOKUP(表格1_6[[#This Row],[TI tool ID2]],工作表1!A:A,1,FALSE)</f>
        <v>#N/A</v>
      </c>
      <c r="AX620" s="425" t="e">
        <f ca="1">VLOOKUP(表格1_6[[#This Row],[PO+ITEM]],工作表1!B:E,2,FALSE)</f>
        <v>#N/A</v>
      </c>
      <c r="AY620" s="425" t="e">
        <f ca="1">VLOOKUP(表格1_6[[#This Row],[PO+ITEM]],工作表1!B:E,3,FALSE)</f>
        <v>#N/A</v>
      </c>
      <c r="AZ620" s="423" t="e">
        <f ca="1">VLOOKUP(表格1_6[[#This Row],[PO+ITEM]],工作表1!B:E,4,FALSE)</f>
        <v>#N/A</v>
      </c>
      <c r="BA620" s="425" t="e">
        <f ca="1">INDEX(工作表1!G:G, MATCH(表格1_6[[#This Row],[invoice number]]&amp;表格1_6[[#This Row],[invoice number2]],工作表1!G:G, 0))</f>
        <v>#N/A</v>
      </c>
      <c r="BB620" s="423" t="e">
        <f ca="1">VLOOKUP(表格1_6[[#This Row],[PO+ITEM]],工作表1!F:H,2,FALSE)</f>
        <v>#N/A</v>
      </c>
    </row>
    <row r="621" spans="1:54" ht="14.45">
      <c r="A621" s="413">
        <v>620</v>
      </c>
      <c r="B621" s="413" t="s">
        <v>3659</v>
      </c>
      <c r="C621" s="414" t="s">
        <v>16</v>
      </c>
      <c r="D621" s="414" t="s">
        <v>3648</v>
      </c>
      <c r="E621" s="414"/>
      <c r="F621" s="414"/>
      <c r="G621" s="414"/>
      <c r="H621" s="414"/>
      <c r="I621" s="414"/>
      <c r="J621" s="414"/>
      <c r="K621" s="414"/>
      <c r="L621" s="420" t="s">
        <v>5197</v>
      </c>
      <c r="M621" s="416" t="s">
        <v>4269</v>
      </c>
      <c r="N621" s="416" t="s">
        <v>2999</v>
      </c>
      <c r="O621" s="417"/>
      <c r="P621" s="416">
        <v>4590006261</v>
      </c>
      <c r="Q621" s="418">
        <v>44836</v>
      </c>
      <c r="R621" s="419">
        <v>22</v>
      </c>
      <c r="S621" s="458">
        <v>12341.94</v>
      </c>
      <c r="T621" s="420" t="s">
        <v>2156</v>
      </c>
      <c r="U621" s="414" t="s">
        <v>4021</v>
      </c>
      <c r="V621" s="414" t="s">
        <v>4022</v>
      </c>
      <c r="W621" s="417" t="s">
        <v>4023</v>
      </c>
      <c r="X621" s="417"/>
      <c r="Y621" s="421" t="s">
        <v>3652</v>
      </c>
      <c r="Z621" s="421" t="s">
        <v>3652</v>
      </c>
      <c r="AA621" s="416" t="s">
        <v>5169</v>
      </c>
      <c r="AB621" s="414" t="s">
        <v>3664</v>
      </c>
      <c r="AC621" s="422"/>
      <c r="AD621" s="421"/>
      <c r="AE621" s="420"/>
      <c r="AF621" s="421">
        <v>91151</v>
      </c>
      <c r="AG621" s="420" t="s">
        <v>2864</v>
      </c>
      <c r="AH621" s="421" t="s">
        <v>4784</v>
      </c>
      <c r="AI621" s="420" t="s">
        <v>32</v>
      </c>
      <c r="AJ621" s="413" t="str">
        <f t="shared" si="39"/>
        <v>4590006261_022</v>
      </c>
      <c r="AK621" s="423"/>
      <c r="AL621" s="413"/>
      <c r="AM621" s="221"/>
      <c r="AN621" s="424"/>
      <c r="AO621" s="423"/>
      <c r="AP621" s="413"/>
      <c r="AQ621" s="222"/>
      <c r="AR621" s="424"/>
      <c r="AS621" s="614">
        <f ca="1">表格1_6[[#This Row],[total amount]]/表格1_6[[#This Row],[PO$]]</f>
        <v>0</v>
      </c>
      <c r="AT621" s="223">
        <f ca="1">表格1_6[[#This Row],[invoice amount]]+表格1_6[[#This Row],[invoice amount2]]</f>
        <v>0</v>
      </c>
      <c r="AU621" s="224"/>
      <c r="AV621" s="423"/>
      <c r="AW621" s="423" t="e">
        <f ca="1">VLOOKUP(表格1_6[[#This Row],[TI tool ID2]],工作表1!A:A,1,FALSE)</f>
        <v>#N/A</v>
      </c>
      <c r="AX621" s="425" t="e">
        <f ca="1">VLOOKUP(表格1_6[[#This Row],[PO+ITEM]],工作表1!B:E,2,FALSE)</f>
        <v>#N/A</v>
      </c>
      <c r="AY621" s="425" t="e">
        <f ca="1">VLOOKUP(表格1_6[[#This Row],[PO+ITEM]],工作表1!B:E,3,FALSE)</f>
        <v>#N/A</v>
      </c>
      <c r="AZ621" s="423" t="e">
        <f ca="1">VLOOKUP(表格1_6[[#This Row],[PO+ITEM]],工作表1!B:E,4,FALSE)</f>
        <v>#N/A</v>
      </c>
      <c r="BA621" s="425" t="e">
        <f ca="1">INDEX(工作表1!G:G, MATCH(表格1_6[[#This Row],[invoice number]]&amp;表格1_6[[#This Row],[invoice number2]],工作表1!G:G, 0))</f>
        <v>#N/A</v>
      </c>
      <c r="BB621" s="423" t="e">
        <f ca="1">VLOOKUP(表格1_6[[#This Row],[PO+ITEM]],工作表1!F:H,2,FALSE)</f>
        <v>#N/A</v>
      </c>
    </row>
    <row r="622" spans="1:54" ht="14.45">
      <c r="A622" s="413">
        <v>621</v>
      </c>
      <c r="B622" s="413" t="s">
        <v>3659</v>
      </c>
      <c r="C622" s="414" t="s">
        <v>16</v>
      </c>
      <c r="D622" s="414" t="s">
        <v>3648</v>
      </c>
      <c r="E622" s="414"/>
      <c r="F622" s="414"/>
      <c r="G622" s="414"/>
      <c r="H622" s="414"/>
      <c r="I622" s="414"/>
      <c r="J622" s="414"/>
      <c r="K622" s="414"/>
      <c r="L622" s="415" t="s">
        <v>5198</v>
      </c>
      <c r="M622" s="416" t="s">
        <v>2206</v>
      </c>
      <c r="N622" s="416" t="s">
        <v>2999</v>
      </c>
      <c r="O622" s="417"/>
      <c r="P622" s="416">
        <v>4590006261</v>
      </c>
      <c r="Q622" s="418">
        <v>44836</v>
      </c>
      <c r="R622" s="419">
        <v>23</v>
      </c>
      <c r="S622" s="458">
        <v>14348.29</v>
      </c>
      <c r="T622" s="420" t="s">
        <v>2156</v>
      </c>
      <c r="U622" s="414" t="s">
        <v>4021</v>
      </c>
      <c r="V622" s="414" t="s">
        <v>4022</v>
      </c>
      <c r="W622" s="417" t="s">
        <v>4023</v>
      </c>
      <c r="X622" s="417"/>
      <c r="Y622" s="421" t="s">
        <v>3652</v>
      </c>
      <c r="Z622" s="421" t="s">
        <v>3652</v>
      </c>
      <c r="AA622" s="416" t="s">
        <v>5169</v>
      </c>
      <c r="AB622" s="414" t="s">
        <v>3664</v>
      </c>
      <c r="AC622" s="422"/>
      <c r="AD622" s="421"/>
      <c r="AE622" s="420"/>
      <c r="AF622" s="421">
        <v>91153</v>
      </c>
      <c r="AG622" s="420" t="s">
        <v>5199</v>
      </c>
      <c r="AH622" s="421" t="s">
        <v>4784</v>
      </c>
      <c r="AI622" s="420" t="s">
        <v>846</v>
      </c>
      <c r="AJ622" s="413" t="str">
        <f t="shared" si="39"/>
        <v>4590006261_023</v>
      </c>
      <c r="AK622" s="423"/>
      <c r="AL622" s="413"/>
      <c r="AM622" s="221"/>
      <c r="AN622" s="424"/>
      <c r="AO622" s="423"/>
      <c r="AP622" s="413"/>
      <c r="AQ622" s="222"/>
      <c r="AR622" s="424"/>
      <c r="AS622" s="614">
        <f ca="1">表格1_6[[#This Row],[total amount]]/表格1_6[[#This Row],[PO$]]</f>
        <v>0</v>
      </c>
      <c r="AT622" s="223">
        <f ca="1">表格1_6[[#This Row],[invoice amount]]+表格1_6[[#This Row],[invoice amount2]]</f>
        <v>0</v>
      </c>
      <c r="AU622" s="224"/>
      <c r="AV622" s="423"/>
      <c r="AW622" s="423" t="e">
        <f ca="1">VLOOKUP(表格1_6[[#This Row],[TI tool ID2]],工作表1!A:A,1,FALSE)</f>
        <v>#N/A</v>
      </c>
      <c r="AX622" s="425" t="e">
        <f ca="1">VLOOKUP(表格1_6[[#This Row],[PO+ITEM]],工作表1!B:E,2,FALSE)</f>
        <v>#N/A</v>
      </c>
      <c r="AY622" s="425" t="e">
        <f ca="1">VLOOKUP(表格1_6[[#This Row],[PO+ITEM]],工作表1!B:E,3,FALSE)</f>
        <v>#N/A</v>
      </c>
      <c r="AZ622" s="423" t="e">
        <f ca="1">VLOOKUP(表格1_6[[#This Row],[PO+ITEM]],工作表1!B:E,4,FALSE)</f>
        <v>#N/A</v>
      </c>
      <c r="BA622" s="425" t="e">
        <f ca="1">INDEX(工作表1!G:G, MATCH(表格1_6[[#This Row],[invoice number]]&amp;表格1_6[[#This Row],[invoice number2]],工作表1!G:G, 0))</f>
        <v>#N/A</v>
      </c>
      <c r="BB622" s="423" t="e">
        <f ca="1">VLOOKUP(表格1_6[[#This Row],[PO+ITEM]],工作表1!F:H,2,FALSE)</f>
        <v>#N/A</v>
      </c>
    </row>
    <row r="623" spans="1:54" ht="14.45">
      <c r="A623" s="413">
        <v>622</v>
      </c>
      <c r="B623" s="413" t="s">
        <v>3659</v>
      </c>
      <c r="C623" s="414" t="s">
        <v>17</v>
      </c>
      <c r="D623" s="414" t="s">
        <v>3648</v>
      </c>
      <c r="E623" s="414"/>
      <c r="F623" s="414"/>
      <c r="G623" s="414"/>
      <c r="H623" s="414"/>
      <c r="I623" s="414"/>
      <c r="J623" s="414"/>
      <c r="K623" s="414"/>
      <c r="L623" s="415" t="s">
        <v>5200</v>
      </c>
      <c r="M623" s="416" t="s">
        <v>2999</v>
      </c>
      <c r="N623" s="416" t="s">
        <v>2999</v>
      </c>
      <c r="O623" s="417"/>
      <c r="P623" s="416">
        <v>4590007615</v>
      </c>
      <c r="Q623" s="418">
        <v>44855</v>
      </c>
      <c r="R623" s="419">
        <v>1</v>
      </c>
      <c r="S623" s="458">
        <v>25272</v>
      </c>
      <c r="T623" s="420" t="s">
        <v>2156</v>
      </c>
      <c r="U623" s="414" t="s">
        <v>3713</v>
      </c>
      <c r="V623" s="414" t="s">
        <v>3714</v>
      </c>
      <c r="W623" s="417" t="s">
        <v>3715</v>
      </c>
      <c r="X623" s="417"/>
      <c r="Y623" s="421" t="s">
        <v>3652</v>
      </c>
      <c r="Z623" s="421" t="s">
        <v>3652</v>
      </c>
      <c r="AA623" s="416" t="s">
        <v>3767</v>
      </c>
      <c r="AB623" s="414" t="s">
        <v>3768</v>
      </c>
      <c r="AC623" s="426"/>
      <c r="AD623" s="421"/>
      <c r="AE623" s="420"/>
      <c r="AF623" s="421">
        <v>91348</v>
      </c>
      <c r="AG623" s="420" t="s">
        <v>4924</v>
      </c>
      <c r="AH623" s="421" t="s">
        <v>3770</v>
      </c>
      <c r="AI623" s="420" t="s">
        <v>3771</v>
      </c>
      <c r="AJ623" s="413" t="str">
        <f t="shared" ref="AJ623:AJ631" si="40">P623&amp;"_00"&amp;R623</f>
        <v>4590007615_001</v>
      </c>
      <c r="AK623" s="423"/>
      <c r="AL623" s="413"/>
      <c r="AM623" s="221"/>
      <c r="AN623" s="424"/>
      <c r="AO623" s="423"/>
      <c r="AP623" s="413"/>
      <c r="AQ623" s="222"/>
      <c r="AR623" s="424"/>
      <c r="AS623" s="614">
        <f ca="1">表格1_6[[#This Row],[total amount]]/表格1_6[[#This Row],[PO$]]</f>
        <v>0</v>
      </c>
      <c r="AT623" s="223">
        <f ca="1">表格1_6[[#This Row],[invoice amount]]+表格1_6[[#This Row],[invoice amount2]]</f>
        <v>0</v>
      </c>
      <c r="AU623" s="224"/>
      <c r="AV623" s="423"/>
      <c r="AW623" s="423" t="e">
        <f ca="1">VLOOKUP(表格1_6[[#This Row],[TI tool ID2]],工作表1!A:A,1,FALSE)</f>
        <v>#N/A</v>
      </c>
      <c r="AX623" s="425" t="e">
        <f ca="1">VLOOKUP(表格1_6[[#This Row],[PO+ITEM]],工作表1!B:E,2,FALSE)</f>
        <v>#N/A</v>
      </c>
      <c r="AY623" s="425" t="e">
        <f ca="1">VLOOKUP(表格1_6[[#This Row],[PO+ITEM]],工作表1!B:E,3,FALSE)</f>
        <v>#N/A</v>
      </c>
      <c r="AZ623" s="423" t="e">
        <f ca="1">VLOOKUP(表格1_6[[#This Row],[PO+ITEM]],工作表1!B:E,4,FALSE)</f>
        <v>#N/A</v>
      </c>
      <c r="BA623" s="425" t="e">
        <f ca="1">INDEX(工作表1!G:G, MATCH(表格1_6[[#This Row],[invoice number]]&amp;表格1_6[[#This Row],[invoice number2]],工作表1!G:G, 0))</f>
        <v>#N/A</v>
      </c>
      <c r="BB623" s="423" t="e">
        <f ca="1">VLOOKUP(表格1_6[[#This Row],[PO+ITEM]],工作表1!F:H,2,FALSE)</f>
        <v>#N/A</v>
      </c>
    </row>
    <row r="624" spans="1:54" s="429" customFormat="1" ht="14.45">
      <c r="A624" s="413">
        <v>623</v>
      </c>
      <c r="B624" s="413" t="s">
        <v>3659</v>
      </c>
      <c r="C624" s="414" t="s">
        <v>17</v>
      </c>
      <c r="D624" s="414" t="s">
        <v>3648</v>
      </c>
      <c r="E624" s="414"/>
      <c r="F624" s="414"/>
      <c r="G624" s="414"/>
      <c r="H624" s="414"/>
      <c r="I624" s="414"/>
      <c r="J624" s="414"/>
      <c r="K624" s="414"/>
      <c r="L624" s="415" t="s">
        <v>5201</v>
      </c>
      <c r="M624" s="416" t="s">
        <v>2999</v>
      </c>
      <c r="N624" s="416" t="s">
        <v>2999</v>
      </c>
      <c r="O624" s="417"/>
      <c r="P624" s="416">
        <v>4590007615</v>
      </c>
      <c r="Q624" s="418">
        <v>44855</v>
      </c>
      <c r="R624" s="419">
        <v>2</v>
      </c>
      <c r="S624" s="458">
        <v>25272</v>
      </c>
      <c r="T624" s="420" t="s">
        <v>2156</v>
      </c>
      <c r="U624" s="414" t="s">
        <v>3713</v>
      </c>
      <c r="V624" s="414" t="s">
        <v>3714</v>
      </c>
      <c r="W624" s="417" t="s">
        <v>3715</v>
      </c>
      <c r="X624" s="417"/>
      <c r="Y624" s="421" t="s">
        <v>3652</v>
      </c>
      <c r="Z624" s="421" t="s">
        <v>3652</v>
      </c>
      <c r="AA624" s="416" t="s">
        <v>3767</v>
      </c>
      <c r="AB624" s="414" t="s">
        <v>3768</v>
      </c>
      <c r="AC624" s="426"/>
      <c r="AD624" s="421"/>
      <c r="AE624" s="420"/>
      <c r="AF624" s="421">
        <v>91349</v>
      </c>
      <c r="AG624" s="420" t="s">
        <v>4926</v>
      </c>
      <c r="AH624" s="421" t="s">
        <v>3770</v>
      </c>
      <c r="AI624" s="420" t="s">
        <v>3771</v>
      </c>
      <c r="AJ624" s="413" t="str">
        <f t="shared" si="40"/>
        <v>4590007615_002</v>
      </c>
      <c r="AK624" s="423"/>
      <c r="AL624" s="413"/>
      <c r="AM624" s="221"/>
      <c r="AN624" s="424"/>
      <c r="AO624" s="423"/>
      <c r="AP624" s="413"/>
      <c r="AQ624" s="222"/>
      <c r="AR624" s="424"/>
      <c r="AS624" s="614">
        <f ca="1">表格1_6[[#This Row],[total amount]]/表格1_6[[#This Row],[PO$]]</f>
        <v>0</v>
      </c>
      <c r="AT624" s="223">
        <f ca="1">表格1_6[[#This Row],[invoice amount]]+表格1_6[[#This Row],[invoice amount2]]</f>
        <v>0</v>
      </c>
      <c r="AU624" s="224"/>
      <c r="AV624" s="423"/>
      <c r="AW624" s="423" t="e">
        <f ca="1">VLOOKUP(表格1_6[[#This Row],[TI tool ID2]],工作表1!A:A,1,FALSE)</f>
        <v>#N/A</v>
      </c>
      <c r="AX624" s="425" t="e">
        <f ca="1">VLOOKUP(表格1_6[[#This Row],[PO+ITEM]],工作表1!B:E,2,FALSE)</f>
        <v>#N/A</v>
      </c>
      <c r="AY624" s="425" t="e">
        <f ca="1">VLOOKUP(表格1_6[[#This Row],[PO+ITEM]],工作表1!B:E,3,FALSE)</f>
        <v>#N/A</v>
      </c>
      <c r="AZ624" s="423" t="e">
        <f ca="1">VLOOKUP(表格1_6[[#This Row],[PO+ITEM]],工作表1!B:E,4,FALSE)</f>
        <v>#N/A</v>
      </c>
      <c r="BA624" s="425" t="e">
        <f ca="1">INDEX(工作表1!G:G, MATCH(表格1_6[[#This Row],[invoice number]]&amp;表格1_6[[#This Row],[invoice number2]],工作表1!G:G, 0))</f>
        <v>#N/A</v>
      </c>
      <c r="BB624" s="423" t="e">
        <f ca="1">VLOOKUP(表格1_6[[#This Row],[PO+ITEM]],工作表1!F:H,2,FALSE)</f>
        <v>#N/A</v>
      </c>
    </row>
    <row r="625" spans="1:54" ht="14.45">
      <c r="A625" s="413">
        <v>624</v>
      </c>
      <c r="B625" s="413" t="s">
        <v>3674</v>
      </c>
      <c r="C625" s="414" t="s">
        <v>17</v>
      </c>
      <c r="D625" s="414" t="s">
        <v>3648</v>
      </c>
      <c r="E625" s="414"/>
      <c r="F625" s="414"/>
      <c r="G625" s="414"/>
      <c r="H625" s="414"/>
      <c r="I625" s="414"/>
      <c r="J625" s="414"/>
      <c r="K625" s="414"/>
      <c r="L625" s="415" t="s">
        <v>5202</v>
      </c>
      <c r="M625" s="416" t="s">
        <v>2999</v>
      </c>
      <c r="N625" s="416" t="s">
        <v>2999</v>
      </c>
      <c r="O625" s="417"/>
      <c r="P625" s="416">
        <v>4590007615</v>
      </c>
      <c r="Q625" s="418">
        <v>44855</v>
      </c>
      <c r="R625" s="419">
        <v>3</v>
      </c>
      <c r="S625" s="458">
        <v>25272</v>
      </c>
      <c r="T625" s="420" t="s">
        <v>2156</v>
      </c>
      <c r="U625" s="414" t="s">
        <v>3713</v>
      </c>
      <c r="V625" s="414" t="s">
        <v>3714</v>
      </c>
      <c r="W625" s="417" t="s">
        <v>3715</v>
      </c>
      <c r="X625" s="417"/>
      <c r="Y625" s="421" t="s">
        <v>3652</v>
      </c>
      <c r="Z625" s="421" t="s">
        <v>3652</v>
      </c>
      <c r="AA625" s="416" t="s">
        <v>3767</v>
      </c>
      <c r="AB625" s="414" t="s">
        <v>3768</v>
      </c>
      <c r="AC625" s="426"/>
      <c r="AD625" s="421"/>
      <c r="AE625" s="420"/>
      <c r="AF625" s="421">
        <v>90557</v>
      </c>
      <c r="AG625" s="420" t="s">
        <v>4375</v>
      </c>
      <c r="AH625" s="421" t="s">
        <v>3770</v>
      </c>
      <c r="AI625" s="420" t="s">
        <v>3771</v>
      </c>
      <c r="AJ625" s="413" t="str">
        <f t="shared" si="40"/>
        <v>4590007615_003</v>
      </c>
      <c r="AK625" s="423" t="s">
        <v>5203</v>
      </c>
      <c r="AL625" s="424">
        <v>45415</v>
      </c>
      <c r="AM625" s="222">
        <v>25272</v>
      </c>
      <c r="AN625" s="424">
        <v>45519</v>
      </c>
      <c r="AO625" s="423"/>
      <c r="AP625" s="413"/>
      <c r="AQ625" s="222"/>
      <c r="AR625" s="424"/>
      <c r="AS625" s="614">
        <f ca="1">表格1_6[[#This Row],[total amount]]/表格1_6[[#This Row],[PO$]]</f>
        <v>1</v>
      </c>
      <c r="AT625" s="223">
        <f ca="1">表格1_6[[#This Row],[invoice amount]]+表格1_6[[#This Row],[invoice amount2]]</f>
        <v>25272</v>
      </c>
      <c r="AU625" s="224" t="s">
        <v>3657</v>
      </c>
      <c r="AV625" s="423" t="s">
        <v>3773</v>
      </c>
      <c r="AW625" s="423" t="e">
        <f ca="1">VLOOKUP(表格1_6[[#This Row],[TI tool ID2]],工作表1!A:A,1,FALSE)</f>
        <v>#N/A</v>
      </c>
      <c r="AX625" s="425" t="e">
        <f ca="1">VLOOKUP(表格1_6[[#This Row],[PO+ITEM]],工作表1!B:E,2,FALSE)</f>
        <v>#N/A</v>
      </c>
      <c r="AY625" s="425" t="e">
        <f ca="1">VLOOKUP(表格1_6[[#This Row],[PO+ITEM]],工作表1!B:E,3,FALSE)</f>
        <v>#N/A</v>
      </c>
      <c r="AZ625" s="423" t="e">
        <f ca="1">VLOOKUP(表格1_6[[#This Row],[PO+ITEM]],工作表1!B:E,4,FALSE)</f>
        <v>#N/A</v>
      </c>
      <c r="BA625" s="425" t="e">
        <f ca="1">INDEX(工作表1!G:G, MATCH(表格1_6[[#This Row],[invoice number]]&amp;表格1_6[[#This Row],[invoice number2]],工作表1!G:G, 0))</f>
        <v>#N/A</v>
      </c>
      <c r="BB625" s="423" t="e">
        <f ca="1">VLOOKUP(表格1_6[[#This Row],[PO+ITEM]],工作表1!F:H,2,FALSE)</f>
        <v>#N/A</v>
      </c>
    </row>
    <row r="626" spans="1:54" ht="14.45">
      <c r="A626" s="413">
        <v>625</v>
      </c>
      <c r="B626" s="413" t="s">
        <v>3674</v>
      </c>
      <c r="C626" s="414" t="s">
        <v>17</v>
      </c>
      <c r="D626" s="414" t="s">
        <v>3648</v>
      </c>
      <c r="E626" s="414"/>
      <c r="F626" s="414"/>
      <c r="G626" s="414"/>
      <c r="H626" s="414"/>
      <c r="I626" s="414"/>
      <c r="J626" s="414"/>
      <c r="K626" s="414"/>
      <c r="L626" s="420" t="s">
        <v>5204</v>
      </c>
      <c r="M626" s="416" t="s">
        <v>2999</v>
      </c>
      <c r="N626" s="416" t="s">
        <v>2999</v>
      </c>
      <c r="O626" s="417"/>
      <c r="P626" s="416">
        <v>4590007615</v>
      </c>
      <c r="Q626" s="418">
        <v>44855</v>
      </c>
      <c r="R626" s="419">
        <v>4</v>
      </c>
      <c r="S626" s="458">
        <v>25272</v>
      </c>
      <c r="T626" s="420" t="s">
        <v>2156</v>
      </c>
      <c r="U626" s="414" t="s">
        <v>3713</v>
      </c>
      <c r="V626" s="414" t="s">
        <v>3714</v>
      </c>
      <c r="W626" s="417" t="s">
        <v>3715</v>
      </c>
      <c r="X626" s="417"/>
      <c r="Y626" s="421" t="s">
        <v>3652</v>
      </c>
      <c r="Z626" s="421" t="s">
        <v>3652</v>
      </c>
      <c r="AA626" s="416" t="s">
        <v>3767</v>
      </c>
      <c r="AB626" s="414" t="s">
        <v>3768</v>
      </c>
      <c r="AC626" s="426"/>
      <c r="AD626" s="421"/>
      <c r="AE626" s="420"/>
      <c r="AF626" s="421">
        <v>90558</v>
      </c>
      <c r="AG626" s="420" t="s">
        <v>4378</v>
      </c>
      <c r="AH626" s="421" t="s">
        <v>3770</v>
      </c>
      <c r="AI626" s="420" t="s">
        <v>3771</v>
      </c>
      <c r="AJ626" s="413" t="str">
        <f t="shared" si="40"/>
        <v>4590007615_004</v>
      </c>
      <c r="AK626" s="423" t="s">
        <v>5205</v>
      </c>
      <c r="AL626" s="424">
        <v>45415</v>
      </c>
      <c r="AM626" s="222">
        <v>25272</v>
      </c>
      <c r="AN626" s="424">
        <v>45519</v>
      </c>
      <c r="AO626" s="423"/>
      <c r="AP626" s="413"/>
      <c r="AQ626" s="222"/>
      <c r="AR626" s="424"/>
      <c r="AS626" s="614">
        <f ca="1">表格1_6[[#This Row],[total amount]]/表格1_6[[#This Row],[PO$]]</f>
        <v>1</v>
      </c>
      <c r="AT626" s="223">
        <f ca="1">表格1_6[[#This Row],[invoice amount]]+表格1_6[[#This Row],[invoice amount2]]</f>
        <v>25272</v>
      </c>
      <c r="AU626" s="224" t="s">
        <v>3657</v>
      </c>
      <c r="AV626" s="423" t="s">
        <v>3773</v>
      </c>
      <c r="AW626" s="423" t="e">
        <f ca="1">VLOOKUP(表格1_6[[#This Row],[TI tool ID2]],工作表1!A:A,1,FALSE)</f>
        <v>#N/A</v>
      </c>
      <c r="AX626" s="425" t="e">
        <f ca="1">VLOOKUP(表格1_6[[#This Row],[PO+ITEM]],工作表1!B:E,2,FALSE)</f>
        <v>#N/A</v>
      </c>
      <c r="AY626" s="425" t="e">
        <f ca="1">VLOOKUP(表格1_6[[#This Row],[PO+ITEM]],工作表1!B:E,3,FALSE)</f>
        <v>#N/A</v>
      </c>
      <c r="AZ626" s="423" t="e">
        <f ca="1">VLOOKUP(表格1_6[[#This Row],[PO+ITEM]],工作表1!B:E,4,FALSE)</f>
        <v>#N/A</v>
      </c>
      <c r="BA626" s="425" t="e">
        <f ca="1">INDEX(工作表1!G:G, MATCH(表格1_6[[#This Row],[invoice number]]&amp;表格1_6[[#This Row],[invoice number2]],工作表1!G:G, 0))</f>
        <v>#N/A</v>
      </c>
      <c r="BB626" s="423" t="e">
        <f ca="1">VLOOKUP(表格1_6[[#This Row],[PO+ITEM]],工作表1!F:H,2,FALSE)</f>
        <v>#N/A</v>
      </c>
    </row>
    <row r="627" spans="1:54" ht="14.45">
      <c r="A627" s="413">
        <v>626</v>
      </c>
      <c r="B627" s="413" t="s">
        <v>3674</v>
      </c>
      <c r="C627" s="414" t="s">
        <v>17</v>
      </c>
      <c r="D627" s="414" t="s">
        <v>3648</v>
      </c>
      <c r="E627" s="414"/>
      <c r="F627" s="414"/>
      <c r="G627" s="414"/>
      <c r="H627" s="414"/>
      <c r="I627" s="414"/>
      <c r="J627" s="414"/>
      <c r="K627" s="414"/>
      <c r="L627" s="415" t="s">
        <v>5206</v>
      </c>
      <c r="M627" s="416" t="s">
        <v>2999</v>
      </c>
      <c r="N627" s="416" t="s">
        <v>2999</v>
      </c>
      <c r="O627" s="417"/>
      <c r="P627" s="416">
        <v>4590007615</v>
      </c>
      <c r="Q627" s="418">
        <v>44855</v>
      </c>
      <c r="R627" s="419">
        <v>5</v>
      </c>
      <c r="S627" s="458">
        <v>25272</v>
      </c>
      <c r="T627" s="420" t="s">
        <v>2156</v>
      </c>
      <c r="U627" s="414" t="s">
        <v>3713</v>
      </c>
      <c r="V627" s="414" t="s">
        <v>3714</v>
      </c>
      <c r="W627" s="417" t="s">
        <v>3715</v>
      </c>
      <c r="X627" s="417"/>
      <c r="Y627" s="421" t="s">
        <v>3652</v>
      </c>
      <c r="Z627" s="421" t="s">
        <v>3652</v>
      </c>
      <c r="AA627" s="416" t="s">
        <v>3767</v>
      </c>
      <c r="AB627" s="414" t="s">
        <v>3768</v>
      </c>
      <c r="AC627" s="426"/>
      <c r="AD627" s="421"/>
      <c r="AE627" s="420"/>
      <c r="AF627" s="421">
        <v>90559</v>
      </c>
      <c r="AG627" s="420" t="s">
        <v>4381</v>
      </c>
      <c r="AH627" s="421" t="s">
        <v>3770</v>
      </c>
      <c r="AI627" s="420" t="s">
        <v>3771</v>
      </c>
      <c r="AJ627" s="413" t="str">
        <f t="shared" si="40"/>
        <v>4590007615_005</v>
      </c>
      <c r="AK627" s="423" t="s">
        <v>5207</v>
      </c>
      <c r="AL627" s="424">
        <v>45401</v>
      </c>
      <c r="AM627" s="221">
        <v>25272</v>
      </c>
      <c r="AN627" s="424">
        <v>45519</v>
      </c>
      <c r="AO627" s="423"/>
      <c r="AP627" s="413"/>
      <c r="AQ627" s="222"/>
      <c r="AR627" s="424"/>
      <c r="AS627" s="614">
        <f ca="1">表格1_6[[#This Row],[total amount]]/表格1_6[[#This Row],[PO$]]</f>
        <v>1</v>
      </c>
      <c r="AT627" s="223">
        <f ca="1">表格1_6[[#This Row],[invoice amount]]+表格1_6[[#This Row],[invoice amount2]]</f>
        <v>25272</v>
      </c>
      <c r="AU627" s="224" t="s">
        <v>3657</v>
      </c>
      <c r="AV627" s="423"/>
      <c r="AW627" s="423" t="e">
        <f ca="1">VLOOKUP(表格1_6[[#This Row],[TI tool ID2]],工作表1!A:A,1,FALSE)</f>
        <v>#N/A</v>
      </c>
      <c r="AX627" s="425" t="e">
        <f ca="1">VLOOKUP(表格1_6[[#This Row],[PO+ITEM]],工作表1!B:E,2,FALSE)</f>
        <v>#N/A</v>
      </c>
      <c r="AY627" s="425" t="e">
        <f ca="1">VLOOKUP(表格1_6[[#This Row],[PO+ITEM]],工作表1!B:E,3,FALSE)</f>
        <v>#N/A</v>
      </c>
      <c r="AZ627" s="423" t="e">
        <f ca="1">VLOOKUP(表格1_6[[#This Row],[PO+ITEM]],工作表1!B:E,4,FALSE)</f>
        <v>#N/A</v>
      </c>
      <c r="BA627" s="425" t="e">
        <f ca="1">INDEX(工作表1!G:G, MATCH(表格1_6[[#This Row],[invoice number]]&amp;表格1_6[[#This Row],[invoice number2]],工作表1!G:G, 0))</f>
        <v>#N/A</v>
      </c>
      <c r="BB627" s="423" t="e">
        <f ca="1">VLOOKUP(表格1_6[[#This Row],[PO+ITEM]],工作表1!F:H,2,FALSE)</f>
        <v>#N/A</v>
      </c>
    </row>
    <row r="628" spans="1:54" ht="15.6">
      <c r="A628" s="413">
        <v>627</v>
      </c>
      <c r="B628" s="413" t="s">
        <v>3674</v>
      </c>
      <c r="C628" s="414" t="s">
        <v>17</v>
      </c>
      <c r="D628" s="414" t="s">
        <v>3648</v>
      </c>
      <c r="E628" s="414"/>
      <c r="F628" s="414"/>
      <c r="G628" s="414"/>
      <c r="H628" s="414"/>
      <c r="I628" s="414"/>
      <c r="J628" s="414"/>
      <c r="K628" s="414"/>
      <c r="L628" s="415" t="s">
        <v>5208</v>
      </c>
      <c r="M628" s="416" t="s">
        <v>2999</v>
      </c>
      <c r="N628" s="416" t="s">
        <v>2999</v>
      </c>
      <c r="O628" s="417"/>
      <c r="P628" s="416">
        <v>4590007615</v>
      </c>
      <c r="Q628" s="418">
        <v>44855</v>
      </c>
      <c r="R628" s="419">
        <v>6</v>
      </c>
      <c r="S628" s="458">
        <v>25272</v>
      </c>
      <c r="T628" s="420" t="s">
        <v>2156</v>
      </c>
      <c r="U628" s="414" t="s">
        <v>3713</v>
      </c>
      <c r="V628" s="414" t="s">
        <v>3714</v>
      </c>
      <c r="W628" s="417" t="s">
        <v>3715</v>
      </c>
      <c r="X628" s="417"/>
      <c r="Y628" s="421" t="s">
        <v>3652</v>
      </c>
      <c r="Z628" s="421" t="s">
        <v>3652</v>
      </c>
      <c r="AA628" s="416" t="s">
        <v>3767</v>
      </c>
      <c r="AB628" s="414" t="s">
        <v>3768</v>
      </c>
      <c r="AC628" s="426"/>
      <c r="AD628" s="421"/>
      <c r="AE628" s="420"/>
      <c r="AF628" s="421">
        <v>90560</v>
      </c>
      <c r="AG628" s="420" t="s">
        <v>4384</v>
      </c>
      <c r="AH628" s="421" t="s">
        <v>3770</v>
      </c>
      <c r="AI628" s="420" t="s">
        <v>3771</v>
      </c>
      <c r="AJ628" s="413" t="str">
        <f t="shared" si="40"/>
        <v>4590007615_006</v>
      </c>
      <c r="AK628" s="423" t="s">
        <v>5209</v>
      </c>
      <c r="AL628" s="424">
        <v>45401</v>
      </c>
      <c r="AM628" s="222">
        <v>25272</v>
      </c>
      <c r="AN628" s="431">
        <v>45458</v>
      </c>
      <c r="AO628" s="423"/>
      <c r="AP628" s="413"/>
      <c r="AQ628" s="222"/>
      <c r="AR628" s="424"/>
      <c r="AS628" s="614">
        <f ca="1">表格1_6[[#This Row],[total amount]]/表格1_6[[#This Row],[PO$]]</f>
        <v>1</v>
      </c>
      <c r="AT628" s="223">
        <f ca="1">表格1_6[[#This Row],[invoice amount]]+表格1_6[[#This Row],[invoice amount2]]</f>
        <v>25272</v>
      </c>
      <c r="AU628" s="224" t="s">
        <v>3725</v>
      </c>
      <c r="AV628" s="423" t="s">
        <v>3773</v>
      </c>
      <c r="AW628" s="423" t="e">
        <f ca="1">VLOOKUP(表格1_6[[#This Row],[TI tool ID2]],工作表1!A:A,1,FALSE)</f>
        <v>#N/A</v>
      </c>
      <c r="AX628" s="425" t="e">
        <f ca="1">VLOOKUP(表格1_6[[#This Row],[PO+ITEM]],工作表1!B:E,2,FALSE)</f>
        <v>#N/A</v>
      </c>
      <c r="AY628" s="425" t="e">
        <f ca="1">VLOOKUP(表格1_6[[#This Row],[PO+ITEM]],工作表1!B:E,3,FALSE)</f>
        <v>#N/A</v>
      </c>
      <c r="AZ628" s="423" t="e">
        <f ca="1">VLOOKUP(表格1_6[[#This Row],[PO+ITEM]],工作表1!B:E,4,FALSE)</f>
        <v>#N/A</v>
      </c>
      <c r="BA628" s="425" t="e">
        <f ca="1">INDEX(工作表1!G:G, MATCH(表格1_6[[#This Row],[invoice number]]&amp;表格1_6[[#This Row],[invoice number2]],工作表1!G:G, 0))</f>
        <v>#N/A</v>
      </c>
      <c r="BB628" s="423" t="e">
        <f ca="1">VLOOKUP(表格1_6[[#This Row],[PO+ITEM]],工作表1!F:H,2,FALSE)</f>
        <v>#N/A</v>
      </c>
    </row>
    <row r="629" spans="1:54" ht="14.45">
      <c r="A629" s="413">
        <v>628</v>
      </c>
      <c r="B629" s="413" t="s">
        <v>3659</v>
      </c>
      <c r="C629" s="414" t="s">
        <v>17</v>
      </c>
      <c r="D629" s="414" t="s">
        <v>3648</v>
      </c>
      <c r="E629" s="414"/>
      <c r="F629" s="414"/>
      <c r="G629" s="414"/>
      <c r="H629" s="414"/>
      <c r="I629" s="414"/>
      <c r="J629" s="414"/>
      <c r="K629" s="414"/>
      <c r="L629" s="415" t="s">
        <v>5210</v>
      </c>
      <c r="M629" s="416" t="s">
        <v>2999</v>
      </c>
      <c r="N629" s="416" t="s">
        <v>2999</v>
      </c>
      <c r="O629" s="417"/>
      <c r="P629" s="416">
        <v>4590007615</v>
      </c>
      <c r="Q629" s="418">
        <v>44855</v>
      </c>
      <c r="R629" s="419">
        <v>7</v>
      </c>
      <c r="S629" s="458">
        <v>25272</v>
      </c>
      <c r="T629" s="420" t="s">
        <v>2156</v>
      </c>
      <c r="U629" s="414" t="s">
        <v>3713</v>
      </c>
      <c r="V629" s="414" t="s">
        <v>3714</v>
      </c>
      <c r="W629" s="415" t="s">
        <v>3715</v>
      </c>
      <c r="X629" s="415"/>
      <c r="Y629" s="421" t="s">
        <v>3652</v>
      </c>
      <c r="Z629" s="421" t="s">
        <v>3652</v>
      </c>
      <c r="AA629" s="416" t="s">
        <v>3767</v>
      </c>
      <c r="AB629" s="414" t="s">
        <v>3768</v>
      </c>
      <c r="AC629" s="426"/>
      <c r="AD629" s="421"/>
      <c r="AE629" s="420"/>
      <c r="AF629" s="421">
        <v>91368</v>
      </c>
      <c r="AG629" s="420" t="s">
        <v>4936</v>
      </c>
      <c r="AH629" s="421" t="s">
        <v>3770</v>
      </c>
      <c r="AI629" s="420" t="s">
        <v>3771</v>
      </c>
      <c r="AJ629" s="413" t="str">
        <f t="shared" si="40"/>
        <v>4590007615_007</v>
      </c>
      <c r="AK629" s="423"/>
      <c r="AL629" s="413"/>
      <c r="AM629" s="221"/>
      <c r="AN629" s="424"/>
      <c r="AO629" s="423"/>
      <c r="AP629" s="413"/>
      <c r="AQ629" s="222"/>
      <c r="AR629" s="424"/>
      <c r="AS629" s="614">
        <f ca="1">表格1_6[[#This Row],[total amount]]/表格1_6[[#This Row],[PO$]]</f>
        <v>0</v>
      </c>
      <c r="AT629" s="223">
        <f ca="1">表格1_6[[#This Row],[invoice amount]]+表格1_6[[#This Row],[invoice amount2]]</f>
        <v>0</v>
      </c>
      <c r="AU629" s="224"/>
      <c r="AV629" s="423"/>
      <c r="AW629" s="423" t="e">
        <f ca="1">VLOOKUP(表格1_6[[#This Row],[TI tool ID2]],工作表1!A:A,1,FALSE)</f>
        <v>#N/A</v>
      </c>
      <c r="AX629" s="425" t="e">
        <f ca="1">VLOOKUP(表格1_6[[#This Row],[PO+ITEM]],工作表1!B:E,2,FALSE)</f>
        <v>#N/A</v>
      </c>
      <c r="AY629" s="425" t="e">
        <f ca="1">VLOOKUP(表格1_6[[#This Row],[PO+ITEM]],工作表1!B:E,3,FALSE)</f>
        <v>#N/A</v>
      </c>
      <c r="AZ629" s="423" t="e">
        <f ca="1">VLOOKUP(表格1_6[[#This Row],[PO+ITEM]],工作表1!B:E,4,FALSE)</f>
        <v>#N/A</v>
      </c>
      <c r="BA629" s="425" t="e">
        <f ca="1">INDEX(工作表1!G:G, MATCH(表格1_6[[#This Row],[invoice number]]&amp;表格1_6[[#This Row],[invoice number2]],工作表1!G:G, 0))</f>
        <v>#N/A</v>
      </c>
      <c r="BB629" s="423" t="e">
        <f ca="1">VLOOKUP(表格1_6[[#This Row],[PO+ITEM]],工作表1!F:H,2,FALSE)</f>
        <v>#N/A</v>
      </c>
    </row>
    <row r="630" spans="1:54" ht="14.45">
      <c r="A630" s="413">
        <v>629</v>
      </c>
      <c r="B630" s="413" t="s">
        <v>3659</v>
      </c>
      <c r="C630" s="414" t="s">
        <v>17</v>
      </c>
      <c r="D630" s="414" t="s">
        <v>3648</v>
      </c>
      <c r="E630" s="414"/>
      <c r="F630" s="414"/>
      <c r="G630" s="414"/>
      <c r="H630" s="414"/>
      <c r="I630" s="414"/>
      <c r="J630" s="414"/>
      <c r="K630" s="414"/>
      <c r="L630" s="415" t="s">
        <v>5211</v>
      </c>
      <c r="M630" s="416" t="s">
        <v>2999</v>
      </c>
      <c r="N630" s="416" t="s">
        <v>2999</v>
      </c>
      <c r="O630" s="417"/>
      <c r="P630" s="416">
        <v>4590007615</v>
      </c>
      <c r="Q630" s="418">
        <v>44855</v>
      </c>
      <c r="R630" s="419">
        <v>8</v>
      </c>
      <c r="S630" s="458">
        <v>25272</v>
      </c>
      <c r="T630" s="420" t="s">
        <v>2156</v>
      </c>
      <c r="U630" s="414" t="s">
        <v>3713</v>
      </c>
      <c r="V630" s="414" t="s">
        <v>3714</v>
      </c>
      <c r="W630" s="417" t="s">
        <v>3715</v>
      </c>
      <c r="X630" s="417"/>
      <c r="Y630" s="421" t="s">
        <v>3652</v>
      </c>
      <c r="Z630" s="421" t="s">
        <v>3652</v>
      </c>
      <c r="AA630" s="416" t="s">
        <v>3767</v>
      </c>
      <c r="AB630" s="414" t="s">
        <v>3768</v>
      </c>
      <c r="AC630" s="426"/>
      <c r="AD630" s="421"/>
      <c r="AE630" s="420"/>
      <c r="AF630" s="421">
        <v>91369</v>
      </c>
      <c r="AG630" s="420" t="s">
        <v>3867</v>
      </c>
      <c r="AH630" s="421" t="s">
        <v>3770</v>
      </c>
      <c r="AI630" s="420" t="s">
        <v>3771</v>
      </c>
      <c r="AJ630" s="413" t="str">
        <f t="shared" si="40"/>
        <v>4590007615_008</v>
      </c>
      <c r="AK630" s="423"/>
      <c r="AL630" s="413"/>
      <c r="AM630" s="221"/>
      <c r="AN630" s="424"/>
      <c r="AO630" s="423"/>
      <c r="AP630" s="413"/>
      <c r="AQ630" s="222"/>
      <c r="AR630" s="424"/>
      <c r="AS630" s="614">
        <f ca="1">表格1_6[[#This Row],[total amount]]/表格1_6[[#This Row],[PO$]]</f>
        <v>0</v>
      </c>
      <c r="AT630" s="223">
        <f ca="1">表格1_6[[#This Row],[invoice amount]]+表格1_6[[#This Row],[invoice amount2]]</f>
        <v>0</v>
      </c>
      <c r="AU630" s="224"/>
      <c r="AV630" s="423"/>
      <c r="AW630" s="423" t="e">
        <f ca="1">VLOOKUP(表格1_6[[#This Row],[TI tool ID2]],工作表1!A:A,1,FALSE)</f>
        <v>#N/A</v>
      </c>
      <c r="AX630" s="425" t="e">
        <f ca="1">VLOOKUP(表格1_6[[#This Row],[PO+ITEM]],工作表1!B:E,2,FALSE)</f>
        <v>#N/A</v>
      </c>
      <c r="AY630" s="425" t="e">
        <f ca="1">VLOOKUP(表格1_6[[#This Row],[PO+ITEM]],工作表1!B:E,3,FALSE)</f>
        <v>#N/A</v>
      </c>
      <c r="AZ630" s="423" t="e">
        <f ca="1">VLOOKUP(表格1_6[[#This Row],[PO+ITEM]],工作表1!B:E,4,FALSE)</f>
        <v>#N/A</v>
      </c>
      <c r="BA630" s="425" t="e">
        <f ca="1">INDEX(工作表1!G:G, MATCH(表格1_6[[#This Row],[invoice number]]&amp;表格1_6[[#This Row],[invoice number2]],工作表1!G:G, 0))</f>
        <v>#N/A</v>
      </c>
      <c r="BB630" s="423" t="e">
        <f ca="1">VLOOKUP(表格1_6[[#This Row],[PO+ITEM]],工作表1!F:H,2,FALSE)</f>
        <v>#N/A</v>
      </c>
    </row>
    <row r="631" spans="1:54" ht="14.45">
      <c r="A631" s="413">
        <v>630</v>
      </c>
      <c r="B631" s="413" t="s">
        <v>3659</v>
      </c>
      <c r="C631" s="414" t="s">
        <v>17</v>
      </c>
      <c r="D631" s="414" t="s">
        <v>3648</v>
      </c>
      <c r="E631" s="414"/>
      <c r="F631" s="414"/>
      <c r="G631" s="414"/>
      <c r="H631" s="414"/>
      <c r="I631" s="414"/>
      <c r="J631" s="414"/>
      <c r="K631" s="414"/>
      <c r="L631" s="415" t="s">
        <v>5212</v>
      </c>
      <c r="M631" s="416" t="s">
        <v>2999</v>
      </c>
      <c r="N631" s="416" t="s">
        <v>2999</v>
      </c>
      <c r="O631" s="417"/>
      <c r="P631" s="416">
        <v>4590007615</v>
      </c>
      <c r="Q631" s="418">
        <v>44855</v>
      </c>
      <c r="R631" s="419">
        <v>9</v>
      </c>
      <c r="S631" s="458">
        <v>25272</v>
      </c>
      <c r="T631" s="420" t="s">
        <v>2156</v>
      </c>
      <c r="U631" s="414" t="s">
        <v>3713</v>
      </c>
      <c r="V631" s="414" t="s">
        <v>3714</v>
      </c>
      <c r="W631" s="417" t="s">
        <v>3715</v>
      </c>
      <c r="X631" s="417"/>
      <c r="Y631" s="421" t="s">
        <v>3652</v>
      </c>
      <c r="Z631" s="421" t="s">
        <v>3652</v>
      </c>
      <c r="AA631" s="416" t="s">
        <v>3767</v>
      </c>
      <c r="AB631" s="414" t="s">
        <v>3768</v>
      </c>
      <c r="AC631" s="426"/>
      <c r="AD631" s="421"/>
      <c r="AE631" s="420"/>
      <c r="AF631" s="421">
        <v>91370</v>
      </c>
      <c r="AG631" s="420" t="s">
        <v>4938</v>
      </c>
      <c r="AH631" s="421" t="s">
        <v>3770</v>
      </c>
      <c r="AI631" s="420" t="s">
        <v>3771</v>
      </c>
      <c r="AJ631" s="413" t="str">
        <f t="shared" si="40"/>
        <v>4590007615_009</v>
      </c>
      <c r="AK631" s="423"/>
      <c r="AL631" s="413"/>
      <c r="AM631" s="221"/>
      <c r="AN631" s="424"/>
      <c r="AO631" s="423"/>
      <c r="AP631" s="413"/>
      <c r="AQ631" s="222"/>
      <c r="AR631" s="424"/>
      <c r="AS631" s="614">
        <f ca="1">表格1_6[[#This Row],[total amount]]/表格1_6[[#This Row],[PO$]]</f>
        <v>0</v>
      </c>
      <c r="AT631" s="223">
        <f ca="1">表格1_6[[#This Row],[invoice amount]]+表格1_6[[#This Row],[invoice amount2]]</f>
        <v>0</v>
      </c>
      <c r="AU631" s="224"/>
      <c r="AV631" s="423"/>
      <c r="AW631" s="423" t="e">
        <f ca="1">VLOOKUP(表格1_6[[#This Row],[TI tool ID2]],工作表1!A:A,1,FALSE)</f>
        <v>#N/A</v>
      </c>
      <c r="AX631" s="425" t="e">
        <f ca="1">VLOOKUP(表格1_6[[#This Row],[PO+ITEM]],工作表1!B:E,2,FALSE)</f>
        <v>#N/A</v>
      </c>
      <c r="AY631" s="425" t="e">
        <f ca="1">VLOOKUP(表格1_6[[#This Row],[PO+ITEM]],工作表1!B:E,3,FALSE)</f>
        <v>#N/A</v>
      </c>
      <c r="AZ631" s="423" t="e">
        <f ca="1">VLOOKUP(表格1_6[[#This Row],[PO+ITEM]],工作表1!B:E,4,FALSE)</f>
        <v>#N/A</v>
      </c>
      <c r="BA631" s="425" t="e">
        <f ca="1">INDEX(工作表1!G:G, MATCH(表格1_6[[#This Row],[invoice number]]&amp;表格1_6[[#This Row],[invoice number2]],工作表1!G:G, 0))</f>
        <v>#N/A</v>
      </c>
      <c r="BB631" s="423" t="e">
        <f ca="1">VLOOKUP(表格1_6[[#This Row],[PO+ITEM]],工作表1!F:H,2,FALSE)</f>
        <v>#N/A</v>
      </c>
    </row>
    <row r="632" spans="1:54" ht="14.45">
      <c r="A632" s="413">
        <v>631</v>
      </c>
      <c r="B632" s="413" t="s">
        <v>3659</v>
      </c>
      <c r="C632" s="414" t="s">
        <v>17</v>
      </c>
      <c r="D632" s="414" t="s">
        <v>3648</v>
      </c>
      <c r="E632" s="414"/>
      <c r="F632" s="414"/>
      <c r="G632" s="414"/>
      <c r="H632" s="414"/>
      <c r="I632" s="414"/>
      <c r="J632" s="414"/>
      <c r="K632" s="414"/>
      <c r="L632" s="415" t="s">
        <v>5213</v>
      </c>
      <c r="M632" s="416" t="s">
        <v>2999</v>
      </c>
      <c r="N632" s="416" t="s">
        <v>2999</v>
      </c>
      <c r="O632" s="417"/>
      <c r="P632" s="416">
        <v>4590007615</v>
      </c>
      <c r="Q632" s="418">
        <v>44855</v>
      </c>
      <c r="R632" s="419">
        <v>10</v>
      </c>
      <c r="S632" s="458">
        <v>25272</v>
      </c>
      <c r="T632" s="420" t="s">
        <v>2156</v>
      </c>
      <c r="U632" s="414" t="s">
        <v>3713</v>
      </c>
      <c r="V632" s="414" t="s">
        <v>3714</v>
      </c>
      <c r="W632" s="417" t="s">
        <v>3715</v>
      </c>
      <c r="X632" s="417"/>
      <c r="Y632" s="421" t="s">
        <v>3652</v>
      </c>
      <c r="Z632" s="421" t="s">
        <v>3652</v>
      </c>
      <c r="AA632" s="416" t="s">
        <v>3767</v>
      </c>
      <c r="AB632" s="414" t="s">
        <v>3768</v>
      </c>
      <c r="AC632" s="426"/>
      <c r="AD632" s="421"/>
      <c r="AE632" s="420"/>
      <c r="AF632" s="421">
        <v>91371</v>
      </c>
      <c r="AG632" s="420" t="s">
        <v>4940</v>
      </c>
      <c r="AH632" s="421" t="s">
        <v>3770</v>
      </c>
      <c r="AI632" s="420" t="s">
        <v>3771</v>
      </c>
      <c r="AJ632" s="413" t="str">
        <f t="shared" ref="AJ632:AJ642" si="41">P632&amp;"_0"&amp;R632</f>
        <v>4590007615_010</v>
      </c>
      <c r="AK632" s="423"/>
      <c r="AL632" s="413"/>
      <c r="AM632" s="221"/>
      <c r="AN632" s="424"/>
      <c r="AO632" s="423"/>
      <c r="AP632" s="413"/>
      <c r="AQ632" s="222"/>
      <c r="AR632" s="424"/>
      <c r="AS632" s="614">
        <f ca="1">表格1_6[[#This Row],[total amount]]/表格1_6[[#This Row],[PO$]]</f>
        <v>0</v>
      </c>
      <c r="AT632" s="223">
        <f ca="1">表格1_6[[#This Row],[invoice amount]]+表格1_6[[#This Row],[invoice amount2]]</f>
        <v>0</v>
      </c>
      <c r="AU632" s="224"/>
      <c r="AV632" s="423"/>
      <c r="AW632" s="423" t="e">
        <f ca="1">VLOOKUP(表格1_6[[#This Row],[TI tool ID2]],工作表1!A:A,1,FALSE)</f>
        <v>#N/A</v>
      </c>
      <c r="AX632" s="425" t="e">
        <f ca="1">VLOOKUP(表格1_6[[#This Row],[PO+ITEM]],工作表1!B:E,2,FALSE)</f>
        <v>#N/A</v>
      </c>
      <c r="AY632" s="425" t="e">
        <f ca="1">VLOOKUP(表格1_6[[#This Row],[PO+ITEM]],工作表1!B:E,3,FALSE)</f>
        <v>#N/A</v>
      </c>
      <c r="AZ632" s="423" t="e">
        <f ca="1">VLOOKUP(表格1_6[[#This Row],[PO+ITEM]],工作表1!B:E,4,FALSE)</f>
        <v>#N/A</v>
      </c>
      <c r="BA632" s="425" t="e">
        <f ca="1">INDEX(工作表1!G:G, MATCH(表格1_6[[#This Row],[invoice number]]&amp;表格1_6[[#This Row],[invoice number2]],工作表1!G:G, 0))</f>
        <v>#N/A</v>
      </c>
      <c r="BB632" s="423" t="e">
        <f ca="1">VLOOKUP(表格1_6[[#This Row],[PO+ITEM]],工作表1!F:H,2,FALSE)</f>
        <v>#N/A</v>
      </c>
    </row>
    <row r="633" spans="1:54" ht="14.45">
      <c r="A633" s="413">
        <v>632</v>
      </c>
      <c r="B633" s="413" t="s">
        <v>3659</v>
      </c>
      <c r="C633" s="414" t="s">
        <v>17</v>
      </c>
      <c r="D633" s="414" t="s">
        <v>3648</v>
      </c>
      <c r="E633" s="414"/>
      <c r="F633" s="414"/>
      <c r="G633" s="414"/>
      <c r="H633" s="414"/>
      <c r="I633" s="414"/>
      <c r="J633" s="414"/>
      <c r="K633" s="414"/>
      <c r="L633" s="415" t="s">
        <v>5214</v>
      </c>
      <c r="M633" s="416" t="s">
        <v>2999</v>
      </c>
      <c r="N633" s="416" t="s">
        <v>2999</v>
      </c>
      <c r="O633" s="417"/>
      <c r="P633" s="416">
        <v>4590007615</v>
      </c>
      <c r="Q633" s="418">
        <v>44855</v>
      </c>
      <c r="R633" s="419">
        <v>11</v>
      </c>
      <c r="S633" s="458">
        <v>25272</v>
      </c>
      <c r="T633" s="420" t="s">
        <v>2156</v>
      </c>
      <c r="U633" s="414" t="s">
        <v>3713</v>
      </c>
      <c r="V633" s="414" t="s">
        <v>3714</v>
      </c>
      <c r="W633" s="417" t="s">
        <v>3715</v>
      </c>
      <c r="X633" s="417"/>
      <c r="Y633" s="421" t="s">
        <v>3652</v>
      </c>
      <c r="Z633" s="421" t="s">
        <v>3652</v>
      </c>
      <c r="AA633" s="416" t="s">
        <v>3767</v>
      </c>
      <c r="AB633" s="414" t="s">
        <v>3768</v>
      </c>
      <c r="AC633" s="426"/>
      <c r="AD633" s="421"/>
      <c r="AE633" s="420"/>
      <c r="AF633" s="421">
        <v>91372</v>
      </c>
      <c r="AG633" s="420" t="s">
        <v>4942</v>
      </c>
      <c r="AH633" s="421" t="s">
        <v>3770</v>
      </c>
      <c r="AI633" s="420" t="s">
        <v>3771</v>
      </c>
      <c r="AJ633" s="413" t="str">
        <f t="shared" si="41"/>
        <v>4590007615_011</v>
      </c>
      <c r="AK633" s="423"/>
      <c r="AL633" s="413"/>
      <c r="AM633" s="221"/>
      <c r="AN633" s="424"/>
      <c r="AO633" s="423"/>
      <c r="AP633" s="413"/>
      <c r="AQ633" s="222"/>
      <c r="AR633" s="424"/>
      <c r="AS633" s="614">
        <f ca="1">表格1_6[[#This Row],[total amount]]/表格1_6[[#This Row],[PO$]]</f>
        <v>0</v>
      </c>
      <c r="AT633" s="223">
        <f ca="1">表格1_6[[#This Row],[invoice amount]]+表格1_6[[#This Row],[invoice amount2]]</f>
        <v>0</v>
      </c>
      <c r="AU633" s="224"/>
      <c r="AV633" s="423"/>
      <c r="AW633" s="423" t="e">
        <f ca="1">VLOOKUP(表格1_6[[#This Row],[TI tool ID2]],工作表1!A:A,1,FALSE)</f>
        <v>#N/A</v>
      </c>
      <c r="AX633" s="425" t="e">
        <f ca="1">VLOOKUP(表格1_6[[#This Row],[PO+ITEM]],工作表1!B:E,2,FALSE)</f>
        <v>#N/A</v>
      </c>
      <c r="AY633" s="425" t="e">
        <f ca="1">VLOOKUP(表格1_6[[#This Row],[PO+ITEM]],工作表1!B:E,3,FALSE)</f>
        <v>#N/A</v>
      </c>
      <c r="AZ633" s="423" t="e">
        <f ca="1">VLOOKUP(表格1_6[[#This Row],[PO+ITEM]],工作表1!B:E,4,FALSE)</f>
        <v>#N/A</v>
      </c>
      <c r="BA633" s="425" t="e">
        <f ca="1">INDEX(工作表1!G:G, MATCH(表格1_6[[#This Row],[invoice number]]&amp;表格1_6[[#This Row],[invoice number2]],工作表1!G:G, 0))</f>
        <v>#N/A</v>
      </c>
      <c r="BB633" s="423" t="e">
        <f ca="1">VLOOKUP(表格1_6[[#This Row],[PO+ITEM]],工作表1!F:H,2,FALSE)</f>
        <v>#N/A</v>
      </c>
    </row>
    <row r="634" spans="1:54" ht="14.45">
      <c r="A634" s="413">
        <v>633</v>
      </c>
      <c r="B634" s="413" t="s">
        <v>3674</v>
      </c>
      <c r="C634" s="414" t="s">
        <v>17</v>
      </c>
      <c r="D634" s="414" t="s">
        <v>3648</v>
      </c>
      <c r="E634" s="414"/>
      <c r="F634" s="414"/>
      <c r="G634" s="414"/>
      <c r="H634" s="414"/>
      <c r="I634" s="414"/>
      <c r="J634" s="414"/>
      <c r="K634" s="414"/>
      <c r="L634" s="415" t="s">
        <v>5215</v>
      </c>
      <c r="M634" s="416" t="s">
        <v>2999</v>
      </c>
      <c r="N634" s="416" t="s">
        <v>2999</v>
      </c>
      <c r="O634" s="417"/>
      <c r="P634" s="416">
        <v>4590007615</v>
      </c>
      <c r="Q634" s="418">
        <v>44855</v>
      </c>
      <c r="R634" s="419">
        <v>12</v>
      </c>
      <c r="S634" s="458">
        <v>25272</v>
      </c>
      <c r="T634" s="420" t="s">
        <v>2156</v>
      </c>
      <c r="U634" s="414" t="s">
        <v>3713</v>
      </c>
      <c r="V634" s="414" t="s">
        <v>3714</v>
      </c>
      <c r="W634" s="417" t="s">
        <v>3715</v>
      </c>
      <c r="X634" s="417"/>
      <c r="Y634" s="421" t="s">
        <v>3652</v>
      </c>
      <c r="Z634" s="421" t="s">
        <v>3652</v>
      </c>
      <c r="AA634" s="416" t="s">
        <v>3767</v>
      </c>
      <c r="AB634" s="414" t="s">
        <v>3768</v>
      </c>
      <c r="AC634" s="426"/>
      <c r="AD634" s="421"/>
      <c r="AE634" s="420"/>
      <c r="AF634" s="421">
        <v>90569</v>
      </c>
      <c r="AG634" s="420" t="s">
        <v>4391</v>
      </c>
      <c r="AH634" s="421" t="s">
        <v>3770</v>
      </c>
      <c r="AI634" s="420" t="s">
        <v>3771</v>
      </c>
      <c r="AJ634" s="413" t="str">
        <f t="shared" si="41"/>
        <v>4590007615_012</v>
      </c>
      <c r="AK634" s="423" t="s">
        <v>5216</v>
      </c>
      <c r="AL634" s="424">
        <v>45415</v>
      </c>
      <c r="AM634" s="222">
        <v>25272</v>
      </c>
      <c r="AN634" s="424">
        <v>45519</v>
      </c>
      <c r="AO634" s="423"/>
      <c r="AP634" s="413"/>
      <c r="AQ634" s="222"/>
      <c r="AR634" s="424"/>
      <c r="AS634" s="614">
        <f ca="1">表格1_6[[#This Row],[total amount]]/表格1_6[[#This Row],[PO$]]</f>
        <v>1</v>
      </c>
      <c r="AT634" s="223">
        <f ca="1">表格1_6[[#This Row],[invoice amount]]+表格1_6[[#This Row],[invoice amount2]]</f>
        <v>25272</v>
      </c>
      <c r="AU634" s="224" t="s">
        <v>3657</v>
      </c>
      <c r="AV634" s="423" t="s">
        <v>3773</v>
      </c>
      <c r="AW634" s="423" t="e">
        <f ca="1">VLOOKUP(表格1_6[[#This Row],[TI tool ID2]],工作表1!A:A,1,FALSE)</f>
        <v>#N/A</v>
      </c>
      <c r="AX634" s="425" t="e">
        <f ca="1">VLOOKUP(表格1_6[[#This Row],[PO+ITEM]],工作表1!B:E,2,FALSE)</f>
        <v>#N/A</v>
      </c>
      <c r="AY634" s="425" t="e">
        <f ca="1">VLOOKUP(表格1_6[[#This Row],[PO+ITEM]],工作表1!B:E,3,FALSE)</f>
        <v>#N/A</v>
      </c>
      <c r="AZ634" s="423" t="e">
        <f ca="1">VLOOKUP(表格1_6[[#This Row],[PO+ITEM]],工作表1!B:E,4,FALSE)</f>
        <v>#N/A</v>
      </c>
      <c r="BA634" s="425" t="e">
        <f ca="1">INDEX(工作表1!G:G, MATCH(表格1_6[[#This Row],[invoice number]]&amp;表格1_6[[#This Row],[invoice number2]],工作表1!G:G, 0))</f>
        <v>#N/A</v>
      </c>
      <c r="BB634" s="423" t="e">
        <f ca="1">VLOOKUP(表格1_6[[#This Row],[PO+ITEM]],工作表1!F:H,2,FALSE)</f>
        <v>#N/A</v>
      </c>
    </row>
    <row r="635" spans="1:54" ht="14.45">
      <c r="A635" s="413">
        <v>634</v>
      </c>
      <c r="B635" s="413" t="s">
        <v>3659</v>
      </c>
      <c r="C635" s="414" t="s">
        <v>17</v>
      </c>
      <c r="D635" s="414" t="s">
        <v>3648</v>
      </c>
      <c r="E635" s="414"/>
      <c r="F635" s="414"/>
      <c r="G635" s="414"/>
      <c r="H635" s="414"/>
      <c r="I635" s="414"/>
      <c r="J635" s="414"/>
      <c r="K635" s="414"/>
      <c r="L635" s="415" t="s">
        <v>5217</v>
      </c>
      <c r="M635" s="416" t="s">
        <v>2999</v>
      </c>
      <c r="N635" s="416" t="s">
        <v>2999</v>
      </c>
      <c r="O635" s="417"/>
      <c r="P635" s="416">
        <v>4590007615</v>
      </c>
      <c r="Q635" s="418">
        <v>44855</v>
      </c>
      <c r="R635" s="419">
        <v>13</v>
      </c>
      <c r="S635" s="458">
        <v>25272</v>
      </c>
      <c r="T635" s="420" t="s">
        <v>2156</v>
      </c>
      <c r="U635" s="414" t="s">
        <v>3713</v>
      </c>
      <c r="V635" s="414" t="s">
        <v>3714</v>
      </c>
      <c r="W635" s="417" t="s">
        <v>3715</v>
      </c>
      <c r="X635" s="417"/>
      <c r="Y635" s="421" t="s">
        <v>3652</v>
      </c>
      <c r="Z635" s="421" t="s">
        <v>3652</v>
      </c>
      <c r="AA635" s="416" t="s">
        <v>3767</v>
      </c>
      <c r="AB635" s="414" t="s">
        <v>3768</v>
      </c>
      <c r="AC635" s="426"/>
      <c r="AD635" s="421"/>
      <c r="AE635" s="420"/>
      <c r="AF635" s="421">
        <v>91375</v>
      </c>
      <c r="AG635" s="420" t="s">
        <v>4944</v>
      </c>
      <c r="AH635" s="421" t="s">
        <v>3770</v>
      </c>
      <c r="AI635" s="420" t="s">
        <v>3771</v>
      </c>
      <c r="AJ635" s="413" t="str">
        <f t="shared" si="41"/>
        <v>4590007615_013</v>
      </c>
      <c r="AK635" s="423"/>
      <c r="AL635" s="413"/>
      <c r="AM635" s="221"/>
      <c r="AN635" s="424"/>
      <c r="AO635" s="423"/>
      <c r="AP635" s="413"/>
      <c r="AQ635" s="222"/>
      <c r="AR635" s="424"/>
      <c r="AS635" s="614">
        <f ca="1">表格1_6[[#This Row],[total amount]]/表格1_6[[#This Row],[PO$]]</f>
        <v>0</v>
      </c>
      <c r="AT635" s="223">
        <f ca="1">表格1_6[[#This Row],[invoice amount]]+表格1_6[[#This Row],[invoice amount2]]</f>
        <v>0</v>
      </c>
      <c r="AU635" s="224"/>
      <c r="AV635" s="423"/>
      <c r="AW635" s="423" t="e">
        <f ca="1">VLOOKUP(表格1_6[[#This Row],[TI tool ID2]],工作表1!A:A,1,FALSE)</f>
        <v>#N/A</v>
      </c>
      <c r="AX635" s="425" t="e">
        <f ca="1">VLOOKUP(表格1_6[[#This Row],[PO+ITEM]],工作表1!B:E,2,FALSE)</f>
        <v>#N/A</v>
      </c>
      <c r="AY635" s="425" t="e">
        <f ca="1">VLOOKUP(表格1_6[[#This Row],[PO+ITEM]],工作表1!B:E,3,FALSE)</f>
        <v>#N/A</v>
      </c>
      <c r="AZ635" s="423" t="e">
        <f ca="1">VLOOKUP(表格1_6[[#This Row],[PO+ITEM]],工作表1!B:E,4,FALSE)</f>
        <v>#N/A</v>
      </c>
      <c r="BA635" s="425" t="e">
        <f ca="1">INDEX(工作表1!G:G, MATCH(表格1_6[[#This Row],[invoice number]]&amp;表格1_6[[#This Row],[invoice number2]],工作表1!G:G, 0))</f>
        <v>#N/A</v>
      </c>
      <c r="BB635" s="423" t="e">
        <f ca="1">VLOOKUP(表格1_6[[#This Row],[PO+ITEM]],工作表1!F:H,2,FALSE)</f>
        <v>#N/A</v>
      </c>
    </row>
    <row r="636" spans="1:54" ht="14.45">
      <c r="A636" s="413">
        <v>635</v>
      </c>
      <c r="B636" s="413" t="s">
        <v>3659</v>
      </c>
      <c r="C636" s="414" t="s">
        <v>17</v>
      </c>
      <c r="D636" s="414" t="s">
        <v>3648</v>
      </c>
      <c r="E636" s="414"/>
      <c r="F636" s="414"/>
      <c r="G636" s="414"/>
      <c r="H636" s="414"/>
      <c r="I636" s="414"/>
      <c r="J636" s="414"/>
      <c r="K636" s="414"/>
      <c r="L636" s="415" t="s">
        <v>5218</v>
      </c>
      <c r="M636" s="416" t="s">
        <v>2999</v>
      </c>
      <c r="N636" s="416" t="s">
        <v>2999</v>
      </c>
      <c r="O636" s="417"/>
      <c r="P636" s="416">
        <v>4590007615</v>
      </c>
      <c r="Q636" s="418">
        <v>44855</v>
      </c>
      <c r="R636" s="419">
        <v>14</v>
      </c>
      <c r="S636" s="458">
        <v>25272</v>
      </c>
      <c r="T636" s="420" t="s">
        <v>2156</v>
      </c>
      <c r="U636" s="414" t="s">
        <v>3713</v>
      </c>
      <c r="V636" s="414" t="s">
        <v>3714</v>
      </c>
      <c r="W636" s="417" t="s">
        <v>3715</v>
      </c>
      <c r="X636" s="417"/>
      <c r="Y636" s="421" t="s">
        <v>3652</v>
      </c>
      <c r="Z636" s="421" t="s">
        <v>3652</v>
      </c>
      <c r="AA636" s="416" t="s">
        <v>3767</v>
      </c>
      <c r="AB636" s="414" t="s">
        <v>3768</v>
      </c>
      <c r="AC636" s="426"/>
      <c r="AD636" s="421"/>
      <c r="AE636" s="420"/>
      <c r="AF636" s="421">
        <v>91360</v>
      </c>
      <c r="AG636" s="420" t="s">
        <v>4928</v>
      </c>
      <c r="AH636" s="421" t="s">
        <v>3770</v>
      </c>
      <c r="AI636" s="420" t="s">
        <v>3771</v>
      </c>
      <c r="AJ636" s="413" t="str">
        <f t="shared" si="41"/>
        <v>4590007615_014</v>
      </c>
      <c r="AK636" s="423"/>
      <c r="AL636" s="413"/>
      <c r="AM636" s="221"/>
      <c r="AN636" s="424"/>
      <c r="AO636" s="423"/>
      <c r="AP636" s="413"/>
      <c r="AQ636" s="222"/>
      <c r="AR636" s="424"/>
      <c r="AS636" s="614">
        <f ca="1">表格1_6[[#This Row],[total amount]]/表格1_6[[#This Row],[PO$]]</f>
        <v>0</v>
      </c>
      <c r="AT636" s="223">
        <f ca="1">表格1_6[[#This Row],[invoice amount]]+表格1_6[[#This Row],[invoice amount2]]</f>
        <v>0</v>
      </c>
      <c r="AU636" s="224"/>
      <c r="AV636" s="423"/>
      <c r="AW636" s="423" t="e">
        <f ca="1">VLOOKUP(表格1_6[[#This Row],[TI tool ID2]],工作表1!A:A,1,FALSE)</f>
        <v>#N/A</v>
      </c>
      <c r="AX636" s="425" t="e">
        <f ca="1">VLOOKUP(表格1_6[[#This Row],[PO+ITEM]],工作表1!B:E,2,FALSE)</f>
        <v>#N/A</v>
      </c>
      <c r="AY636" s="425" t="e">
        <f ca="1">VLOOKUP(表格1_6[[#This Row],[PO+ITEM]],工作表1!B:E,3,FALSE)</f>
        <v>#N/A</v>
      </c>
      <c r="AZ636" s="423" t="e">
        <f ca="1">VLOOKUP(表格1_6[[#This Row],[PO+ITEM]],工作表1!B:E,4,FALSE)</f>
        <v>#N/A</v>
      </c>
      <c r="BA636" s="425" t="e">
        <f ca="1">INDEX(工作表1!G:G, MATCH(表格1_6[[#This Row],[invoice number]]&amp;表格1_6[[#This Row],[invoice number2]],工作表1!G:G, 0))</f>
        <v>#N/A</v>
      </c>
      <c r="BB636" s="423" t="e">
        <f ca="1">VLOOKUP(表格1_6[[#This Row],[PO+ITEM]],工作表1!F:H,2,FALSE)</f>
        <v>#N/A</v>
      </c>
    </row>
    <row r="637" spans="1:54" ht="14.45">
      <c r="A637" s="413">
        <v>636</v>
      </c>
      <c r="B637" s="413" t="s">
        <v>3659</v>
      </c>
      <c r="C637" s="414" t="s">
        <v>17</v>
      </c>
      <c r="D637" s="414" t="s">
        <v>3648</v>
      </c>
      <c r="E637" s="414"/>
      <c r="F637" s="414"/>
      <c r="G637" s="414"/>
      <c r="H637" s="414"/>
      <c r="I637" s="414"/>
      <c r="J637" s="414"/>
      <c r="K637" s="414"/>
      <c r="L637" s="415" t="s">
        <v>5219</v>
      </c>
      <c r="M637" s="416" t="s">
        <v>2999</v>
      </c>
      <c r="N637" s="416" t="s">
        <v>2999</v>
      </c>
      <c r="O637" s="417"/>
      <c r="P637" s="416">
        <v>4590007615</v>
      </c>
      <c r="Q637" s="418">
        <v>44855</v>
      </c>
      <c r="R637" s="419">
        <v>15</v>
      </c>
      <c r="S637" s="458">
        <v>25272</v>
      </c>
      <c r="T637" s="420" t="s">
        <v>2156</v>
      </c>
      <c r="U637" s="414" t="s">
        <v>3713</v>
      </c>
      <c r="V637" s="414" t="s">
        <v>3714</v>
      </c>
      <c r="W637" s="417" t="s">
        <v>3715</v>
      </c>
      <c r="X637" s="417"/>
      <c r="Y637" s="421" t="s">
        <v>3652</v>
      </c>
      <c r="Z637" s="421" t="s">
        <v>3652</v>
      </c>
      <c r="AA637" s="416" t="s">
        <v>3767</v>
      </c>
      <c r="AB637" s="414" t="s">
        <v>3768</v>
      </c>
      <c r="AC637" s="426"/>
      <c r="AD637" s="421"/>
      <c r="AE637" s="420"/>
      <c r="AF637" s="421">
        <v>91376</v>
      </c>
      <c r="AG637" s="420" t="s">
        <v>4946</v>
      </c>
      <c r="AH637" s="421" t="s">
        <v>3770</v>
      </c>
      <c r="AI637" s="420" t="s">
        <v>3771</v>
      </c>
      <c r="AJ637" s="413" t="str">
        <f t="shared" si="41"/>
        <v>4590007615_015</v>
      </c>
      <c r="AK637" s="423"/>
      <c r="AL637" s="413"/>
      <c r="AM637" s="221"/>
      <c r="AN637" s="424"/>
      <c r="AO637" s="423"/>
      <c r="AP637" s="413"/>
      <c r="AQ637" s="222"/>
      <c r="AR637" s="424"/>
      <c r="AS637" s="614">
        <f ca="1">表格1_6[[#This Row],[total amount]]/表格1_6[[#This Row],[PO$]]</f>
        <v>0</v>
      </c>
      <c r="AT637" s="223">
        <f ca="1">表格1_6[[#This Row],[invoice amount]]+表格1_6[[#This Row],[invoice amount2]]</f>
        <v>0</v>
      </c>
      <c r="AU637" s="224"/>
      <c r="AV637" s="423"/>
      <c r="AW637" s="423" t="e">
        <f ca="1">VLOOKUP(表格1_6[[#This Row],[TI tool ID2]],工作表1!A:A,1,FALSE)</f>
        <v>#N/A</v>
      </c>
      <c r="AX637" s="425" t="e">
        <f ca="1">VLOOKUP(表格1_6[[#This Row],[PO+ITEM]],工作表1!B:E,2,FALSE)</f>
        <v>#N/A</v>
      </c>
      <c r="AY637" s="425" t="e">
        <f ca="1">VLOOKUP(表格1_6[[#This Row],[PO+ITEM]],工作表1!B:E,3,FALSE)</f>
        <v>#N/A</v>
      </c>
      <c r="AZ637" s="423" t="e">
        <f ca="1">VLOOKUP(表格1_6[[#This Row],[PO+ITEM]],工作表1!B:E,4,FALSE)</f>
        <v>#N/A</v>
      </c>
      <c r="BA637" s="425" t="e">
        <f ca="1">INDEX(工作表1!G:G, MATCH(表格1_6[[#This Row],[invoice number]]&amp;表格1_6[[#This Row],[invoice number2]],工作表1!G:G, 0))</f>
        <v>#N/A</v>
      </c>
      <c r="BB637" s="423" t="e">
        <f ca="1">VLOOKUP(表格1_6[[#This Row],[PO+ITEM]],工作表1!F:H,2,FALSE)</f>
        <v>#N/A</v>
      </c>
    </row>
    <row r="638" spans="1:54" ht="14.45">
      <c r="A638" s="413">
        <v>637</v>
      </c>
      <c r="B638" s="413" t="s">
        <v>3659</v>
      </c>
      <c r="C638" s="414" t="s">
        <v>17</v>
      </c>
      <c r="D638" s="414" t="s">
        <v>3648</v>
      </c>
      <c r="E638" s="414"/>
      <c r="F638" s="414"/>
      <c r="G638" s="414"/>
      <c r="H638" s="414"/>
      <c r="I638" s="414"/>
      <c r="J638" s="414"/>
      <c r="K638" s="414"/>
      <c r="L638" s="415" t="s">
        <v>5220</v>
      </c>
      <c r="M638" s="416" t="s">
        <v>2999</v>
      </c>
      <c r="N638" s="416" t="s">
        <v>2999</v>
      </c>
      <c r="O638" s="417"/>
      <c r="P638" s="416">
        <v>4590007615</v>
      </c>
      <c r="Q638" s="418">
        <v>44855</v>
      </c>
      <c r="R638" s="419">
        <v>16</v>
      </c>
      <c r="S638" s="458">
        <v>25272</v>
      </c>
      <c r="T638" s="420" t="s">
        <v>2156</v>
      </c>
      <c r="U638" s="414" t="s">
        <v>3713</v>
      </c>
      <c r="V638" s="414" t="s">
        <v>3714</v>
      </c>
      <c r="W638" s="417" t="s">
        <v>3715</v>
      </c>
      <c r="X638" s="417"/>
      <c r="Y638" s="421" t="s">
        <v>3652</v>
      </c>
      <c r="Z638" s="421" t="s">
        <v>3652</v>
      </c>
      <c r="AA638" s="416" t="s">
        <v>3767</v>
      </c>
      <c r="AB638" s="414" t="s">
        <v>3768</v>
      </c>
      <c r="AC638" s="426"/>
      <c r="AD638" s="421"/>
      <c r="AE638" s="420"/>
      <c r="AF638" s="421">
        <v>91361</v>
      </c>
      <c r="AG638" s="420" t="s">
        <v>4930</v>
      </c>
      <c r="AH638" s="421" t="s">
        <v>3770</v>
      </c>
      <c r="AI638" s="420" t="s">
        <v>3771</v>
      </c>
      <c r="AJ638" s="413" t="str">
        <f t="shared" si="41"/>
        <v>4590007615_016</v>
      </c>
      <c r="AK638" s="423"/>
      <c r="AL638" s="413"/>
      <c r="AM638" s="221"/>
      <c r="AN638" s="424"/>
      <c r="AO638" s="423"/>
      <c r="AP638" s="413"/>
      <c r="AQ638" s="222"/>
      <c r="AR638" s="424"/>
      <c r="AS638" s="614">
        <f ca="1">表格1_6[[#This Row],[total amount]]/表格1_6[[#This Row],[PO$]]</f>
        <v>0</v>
      </c>
      <c r="AT638" s="223">
        <f ca="1">表格1_6[[#This Row],[invoice amount]]+表格1_6[[#This Row],[invoice amount2]]</f>
        <v>0</v>
      </c>
      <c r="AU638" s="224"/>
      <c r="AV638" s="423"/>
      <c r="AW638" s="423" t="e">
        <f ca="1">VLOOKUP(表格1_6[[#This Row],[TI tool ID2]],工作表1!A:A,1,FALSE)</f>
        <v>#N/A</v>
      </c>
      <c r="AX638" s="425" t="e">
        <f ca="1">VLOOKUP(表格1_6[[#This Row],[PO+ITEM]],工作表1!B:E,2,FALSE)</f>
        <v>#N/A</v>
      </c>
      <c r="AY638" s="425" t="e">
        <f ca="1">VLOOKUP(表格1_6[[#This Row],[PO+ITEM]],工作表1!B:E,3,FALSE)</f>
        <v>#N/A</v>
      </c>
      <c r="AZ638" s="423" t="e">
        <f ca="1">VLOOKUP(表格1_6[[#This Row],[PO+ITEM]],工作表1!B:E,4,FALSE)</f>
        <v>#N/A</v>
      </c>
      <c r="BA638" s="425" t="e">
        <f ca="1">INDEX(工作表1!G:G, MATCH(表格1_6[[#This Row],[invoice number]]&amp;表格1_6[[#This Row],[invoice number2]],工作表1!G:G, 0))</f>
        <v>#N/A</v>
      </c>
      <c r="BB638" s="423" t="e">
        <f ca="1">VLOOKUP(表格1_6[[#This Row],[PO+ITEM]],工作表1!F:H,2,FALSE)</f>
        <v>#N/A</v>
      </c>
    </row>
    <row r="639" spans="1:54" s="429" customFormat="1" ht="14.45">
      <c r="A639" s="413">
        <v>638</v>
      </c>
      <c r="B639" s="516" t="s">
        <v>3659</v>
      </c>
      <c r="C639" s="509" t="s">
        <v>17</v>
      </c>
      <c r="D639" s="509" t="s">
        <v>3648</v>
      </c>
      <c r="E639" s="509"/>
      <c r="F639" s="509"/>
      <c r="G639" s="509"/>
      <c r="H639" s="509"/>
      <c r="I639" s="509"/>
      <c r="J639" s="509"/>
      <c r="K639" s="509"/>
      <c r="L639" s="524" t="s">
        <v>5221</v>
      </c>
      <c r="M639" s="510" t="s">
        <v>2999</v>
      </c>
      <c r="N639" s="510" t="s">
        <v>2999</v>
      </c>
      <c r="O639" s="511"/>
      <c r="P639" s="510">
        <v>4590007615</v>
      </c>
      <c r="Q639" s="512">
        <v>44855</v>
      </c>
      <c r="R639" s="517">
        <v>17</v>
      </c>
      <c r="S639" s="545"/>
      <c r="T639" s="513" t="s">
        <v>2156</v>
      </c>
      <c r="U639" s="509" t="s">
        <v>3713</v>
      </c>
      <c r="V639" s="509" t="s">
        <v>3714</v>
      </c>
      <c r="W639" s="511" t="s">
        <v>3715</v>
      </c>
      <c r="X639" s="511"/>
      <c r="Y639" s="514" t="s">
        <v>3652</v>
      </c>
      <c r="Z639" s="514" t="s">
        <v>3652</v>
      </c>
      <c r="AA639" s="510" t="s">
        <v>3767</v>
      </c>
      <c r="AB639" s="509" t="s">
        <v>3768</v>
      </c>
      <c r="AC639" s="525"/>
      <c r="AD639" s="514"/>
      <c r="AE639" s="513"/>
      <c r="AF639" s="514">
        <v>91364</v>
      </c>
      <c r="AG639" s="513" t="s">
        <v>4932</v>
      </c>
      <c r="AH639" s="514" t="s">
        <v>3770</v>
      </c>
      <c r="AI639" s="513" t="s">
        <v>3771</v>
      </c>
      <c r="AJ639" s="516" t="str">
        <f t="shared" si="41"/>
        <v>4590007615_017</v>
      </c>
      <c r="AK639" s="518"/>
      <c r="AL639" s="516"/>
      <c r="AM639" s="519"/>
      <c r="AN639" s="520"/>
      <c r="AO639" s="518"/>
      <c r="AP639" s="516"/>
      <c r="AQ639" s="521"/>
      <c r="AR639" s="520"/>
      <c r="AS639" s="615"/>
      <c r="AT639" s="572">
        <f ca="1">表格1_6[[#This Row],[invoice amount]]+表格1_6[[#This Row],[invoice amount2]]</f>
        <v>0</v>
      </c>
      <c r="AU639" s="566" t="s">
        <v>3765</v>
      </c>
      <c r="AV639" s="522"/>
      <c r="AW639" s="522" t="e">
        <f ca="1">VLOOKUP(表格1_6[[#This Row],[TI tool ID2]],工作表1!A:A,1,FALSE)</f>
        <v>#N/A</v>
      </c>
      <c r="AX639" s="523" t="e">
        <f ca="1">VLOOKUP(表格1_6[[#This Row],[PO+ITEM]],工作表1!B:E,2,FALSE)</f>
        <v>#N/A</v>
      </c>
      <c r="AY639" s="523" t="e">
        <f ca="1">VLOOKUP(表格1_6[[#This Row],[PO+ITEM]],工作表1!B:E,3,FALSE)</f>
        <v>#N/A</v>
      </c>
      <c r="AZ639" s="522" t="e">
        <f ca="1">VLOOKUP(表格1_6[[#This Row],[PO+ITEM]],工作表1!B:E,4,FALSE)</f>
        <v>#N/A</v>
      </c>
      <c r="BA639" s="425" t="e">
        <f ca="1">INDEX(工作表1!G:G, MATCH(表格1_6[[#This Row],[invoice number]]&amp;表格1_6[[#This Row],[invoice number2]],工作表1!G:G, 0))</f>
        <v>#N/A</v>
      </c>
      <c r="BB639" s="522" t="e">
        <f ca="1">VLOOKUP(表格1_6[[#This Row],[PO+ITEM]],工作表1!F:H,2,FALSE)</f>
        <v>#N/A</v>
      </c>
    </row>
    <row r="640" spans="1:54" ht="14.45">
      <c r="A640" s="413">
        <v>639</v>
      </c>
      <c r="B640" s="413" t="s">
        <v>3659</v>
      </c>
      <c r="C640" s="414" t="s">
        <v>17</v>
      </c>
      <c r="D640" s="414" t="s">
        <v>3648</v>
      </c>
      <c r="E640" s="414"/>
      <c r="F640" s="414"/>
      <c r="G640" s="414"/>
      <c r="H640" s="414"/>
      <c r="I640" s="414"/>
      <c r="J640" s="414"/>
      <c r="K640" s="414"/>
      <c r="L640" s="415" t="s">
        <v>5222</v>
      </c>
      <c r="M640" s="416" t="s">
        <v>2999</v>
      </c>
      <c r="N640" s="416" t="s">
        <v>2999</v>
      </c>
      <c r="O640" s="417"/>
      <c r="P640" s="416">
        <v>4590007615</v>
      </c>
      <c r="Q640" s="418">
        <v>44855</v>
      </c>
      <c r="R640" s="419">
        <v>18</v>
      </c>
      <c r="S640" s="458">
        <v>25272</v>
      </c>
      <c r="T640" s="420" t="s">
        <v>2156</v>
      </c>
      <c r="U640" s="414" t="s">
        <v>3713</v>
      </c>
      <c r="V640" s="414" t="s">
        <v>3714</v>
      </c>
      <c r="W640" s="417" t="s">
        <v>3715</v>
      </c>
      <c r="X640" s="417"/>
      <c r="Y640" s="421" t="s">
        <v>3652</v>
      </c>
      <c r="Z640" s="421" t="s">
        <v>3652</v>
      </c>
      <c r="AA640" s="416" t="s">
        <v>3767</v>
      </c>
      <c r="AB640" s="414" t="s">
        <v>3768</v>
      </c>
      <c r="AC640" s="426"/>
      <c r="AD640" s="421"/>
      <c r="AE640" s="420"/>
      <c r="AF640" s="421">
        <v>91377</v>
      </c>
      <c r="AG640" s="420" t="s">
        <v>4948</v>
      </c>
      <c r="AH640" s="421" t="s">
        <v>3770</v>
      </c>
      <c r="AI640" s="420" t="s">
        <v>3771</v>
      </c>
      <c r="AJ640" s="413" t="str">
        <f t="shared" si="41"/>
        <v>4590007615_018</v>
      </c>
      <c r="AK640" s="423"/>
      <c r="AL640" s="413"/>
      <c r="AM640" s="221"/>
      <c r="AN640" s="424"/>
      <c r="AO640" s="423"/>
      <c r="AP640" s="413"/>
      <c r="AQ640" s="222"/>
      <c r="AR640" s="424"/>
      <c r="AS640" s="614">
        <f ca="1">表格1_6[[#This Row],[total amount]]/表格1_6[[#This Row],[PO$]]</f>
        <v>0</v>
      </c>
      <c r="AT640" s="223">
        <f ca="1">表格1_6[[#This Row],[invoice amount]]+表格1_6[[#This Row],[invoice amount2]]</f>
        <v>0</v>
      </c>
      <c r="AU640" s="224"/>
      <c r="AV640" s="423"/>
      <c r="AW640" s="423" t="e">
        <f ca="1">VLOOKUP(表格1_6[[#This Row],[TI tool ID2]],工作表1!A:A,1,FALSE)</f>
        <v>#N/A</v>
      </c>
      <c r="AX640" s="425" t="e">
        <f ca="1">VLOOKUP(表格1_6[[#This Row],[PO+ITEM]],工作表1!B:E,2,FALSE)</f>
        <v>#N/A</v>
      </c>
      <c r="AY640" s="425" t="e">
        <f ca="1">VLOOKUP(表格1_6[[#This Row],[PO+ITEM]],工作表1!B:E,3,FALSE)</f>
        <v>#N/A</v>
      </c>
      <c r="AZ640" s="423" t="e">
        <f ca="1">VLOOKUP(表格1_6[[#This Row],[PO+ITEM]],工作表1!B:E,4,FALSE)</f>
        <v>#N/A</v>
      </c>
      <c r="BA640" s="425" t="e">
        <f ca="1">INDEX(工作表1!G:G, MATCH(表格1_6[[#This Row],[invoice number]]&amp;表格1_6[[#This Row],[invoice number2]],工作表1!G:G, 0))</f>
        <v>#N/A</v>
      </c>
      <c r="BB640" s="423" t="e">
        <f ca="1">VLOOKUP(表格1_6[[#This Row],[PO+ITEM]],工作表1!F:H,2,FALSE)</f>
        <v>#N/A</v>
      </c>
    </row>
    <row r="641" spans="1:54" ht="14.45">
      <c r="A641" s="413">
        <v>640</v>
      </c>
      <c r="B641" s="413" t="s">
        <v>3659</v>
      </c>
      <c r="C641" s="414" t="s">
        <v>17</v>
      </c>
      <c r="D641" s="414" t="s">
        <v>3648</v>
      </c>
      <c r="E641" s="414"/>
      <c r="F641" s="414"/>
      <c r="G641" s="414"/>
      <c r="H641" s="414"/>
      <c r="I641" s="414"/>
      <c r="J641" s="414"/>
      <c r="K641" s="414"/>
      <c r="L641" s="415" t="s">
        <v>5223</v>
      </c>
      <c r="M641" s="416" t="s">
        <v>2999</v>
      </c>
      <c r="N641" s="416" t="s">
        <v>2999</v>
      </c>
      <c r="O641" s="417"/>
      <c r="P641" s="416">
        <v>4590007615</v>
      </c>
      <c r="Q641" s="418">
        <v>44855</v>
      </c>
      <c r="R641" s="419">
        <v>19</v>
      </c>
      <c r="S641" s="458">
        <v>25272</v>
      </c>
      <c r="T641" s="420" t="s">
        <v>2156</v>
      </c>
      <c r="U641" s="414" t="s">
        <v>3713</v>
      </c>
      <c r="V641" s="414" t="s">
        <v>3714</v>
      </c>
      <c r="W641" s="417" t="s">
        <v>3715</v>
      </c>
      <c r="X641" s="417"/>
      <c r="Y641" s="421" t="s">
        <v>3652</v>
      </c>
      <c r="Z641" s="421" t="s">
        <v>3652</v>
      </c>
      <c r="AA641" s="416" t="s">
        <v>3767</v>
      </c>
      <c r="AB641" s="414" t="s">
        <v>3768</v>
      </c>
      <c r="AC641" s="426"/>
      <c r="AD641" s="421"/>
      <c r="AE641" s="420"/>
      <c r="AF641" s="421">
        <v>91378</v>
      </c>
      <c r="AG641" s="420" t="s">
        <v>4950</v>
      </c>
      <c r="AH641" s="421" t="s">
        <v>3770</v>
      </c>
      <c r="AI641" s="420" t="s">
        <v>3771</v>
      </c>
      <c r="AJ641" s="413" t="str">
        <f t="shared" si="41"/>
        <v>4590007615_019</v>
      </c>
      <c r="AK641" s="423"/>
      <c r="AL641" s="413"/>
      <c r="AM641" s="221"/>
      <c r="AN641" s="424"/>
      <c r="AO641" s="423"/>
      <c r="AP641" s="413"/>
      <c r="AQ641" s="222"/>
      <c r="AR641" s="424"/>
      <c r="AS641" s="614">
        <f ca="1">表格1_6[[#This Row],[total amount]]/表格1_6[[#This Row],[PO$]]</f>
        <v>0</v>
      </c>
      <c r="AT641" s="223">
        <f ca="1">表格1_6[[#This Row],[invoice amount]]+表格1_6[[#This Row],[invoice amount2]]</f>
        <v>0</v>
      </c>
      <c r="AU641" s="224"/>
      <c r="AV641" s="423"/>
      <c r="AW641" s="423" t="e">
        <f ca="1">VLOOKUP(表格1_6[[#This Row],[TI tool ID2]],工作表1!A:A,1,FALSE)</f>
        <v>#N/A</v>
      </c>
      <c r="AX641" s="425" t="e">
        <f ca="1">VLOOKUP(表格1_6[[#This Row],[PO+ITEM]],工作表1!B:E,2,FALSE)</f>
        <v>#N/A</v>
      </c>
      <c r="AY641" s="425" t="e">
        <f ca="1">VLOOKUP(表格1_6[[#This Row],[PO+ITEM]],工作表1!B:E,3,FALSE)</f>
        <v>#N/A</v>
      </c>
      <c r="AZ641" s="423" t="e">
        <f ca="1">VLOOKUP(表格1_6[[#This Row],[PO+ITEM]],工作表1!B:E,4,FALSE)</f>
        <v>#N/A</v>
      </c>
      <c r="BA641" s="425" t="e">
        <f ca="1">INDEX(工作表1!G:G, MATCH(表格1_6[[#This Row],[invoice number]]&amp;表格1_6[[#This Row],[invoice number2]],工作表1!G:G, 0))</f>
        <v>#N/A</v>
      </c>
      <c r="BB641" s="423" t="e">
        <f ca="1">VLOOKUP(表格1_6[[#This Row],[PO+ITEM]],工作表1!F:H,2,FALSE)</f>
        <v>#N/A</v>
      </c>
    </row>
    <row r="642" spans="1:54" ht="14.45">
      <c r="A642" s="413">
        <v>641</v>
      </c>
      <c r="B642" s="413" t="s">
        <v>3659</v>
      </c>
      <c r="C642" s="414" t="s">
        <v>17</v>
      </c>
      <c r="D642" s="414" t="s">
        <v>3648</v>
      </c>
      <c r="E642" s="414"/>
      <c r="F642" s="414"/>
      <c r="G642" s="414"/>
      <c r="H642" s="414"/>
      <c r="I642" s="414"/>
      <c r="J642" s="414"/>
      <c r="K642" s="414"/>
      <c r="L642" s="415" t="s">
        <v>5224</v>
      </c>
      <c r="M642" s="416" t="s">
        <v>2999</v>
      </c>
      <c r="N642" s="416" t="s">
        <v>2999</v>
      </c>
      <c r="O642" s="417"/>
      <c r="P642" s="416">
        <v>4590007615</v>
      </c>
      <c r="Q642" s="418">
        <v>44855</v>
      </c>
      <c r="R642" s="419">
        <v>20</v>
      </c>
      <c r="S642" s="458">
        <v>25272</v>
      </c>
      <c r="T642" s="420" t="s">
        <v>2156</v>
      </c>
      <c r="U642" s="414" t="s">
        <v>3713</v>
      </c>
      <c r="V642" s="414" t="s">
        <v>3714</v>
      </c>
      <c r="W642" s="417" t="s">
        <v>3715</v>
      </c>
      <c r="X642" s="417"/>
      <c r="Y642" s="421" t="s">
        <v>3652</v>
      </c>
      <c r="Z642" s="421" t="s">
        <v>3652</v>
      </c>
      <c r="AA642" s="416" t="s">
        <v>3767</v>
      </c>
      <c r="AB642" s="414" t="s">
        <v>3768</v>
      </c>
      <c r="AC642" s="426"/>
      <c r="AD642" s="421"/>
      <c r="AE642" s="420"/>
      <c r="AF642" s="421">
        <v>91365</v>
      </c>
      <c r="AG642" s="420" t="s">
        <v>4934</v>
      </c>
      <c r="AH642" s="421" t="s">
        <v>3770</v>
      </c>
      <c r="AI642" s="420" t="s">
        <v>3771</v>
      </c>
      <c r="AJ642" s="413" t="str">
        <f t="shared" si="41"/>
        <v>4590007615_020</v>
      </c>
      <c r="AK642" s="423"/>
      <c r="AL642" s="413"/>
      <c r="AM642" s="221"/>
      <c r="AN642" s="424"/>
      <c r="AO642" s="423"/>
      <c r="AP642" s="413"/>
      <c r="AQ642" s="222"/>
      <c r="AR642" s="424"/>
      <c r="AS642" s="614">
        <f ca="1">表格1_6[[#This Row],[total amount]]/表格1_6[[#This Row],[PO$]]</f>
        <v>0</v>
      </c>
      <c r="AT642" s="223">
        <f ca="1">表格1_6[[#This Row],[invoice amount]]+表格1_6[[#This Row],[invoice amount2]]</f>
        <v>0</v>
      </c>
      <c r="AU642" s="224"/>
      <c r="AV642" s="423"/>
      <c r="AW642" s="423" t="e">
        <f ca="1">VLOOKUP(表格1_6[[#This Row],[TI tool ID2]],工作表1!A:A,1,FALSE)</f>
        <v>#N/A</v>
      </c>
      <c r="AX642" s="425" t="e">
        <f ca="1">VLOOKUP(表格1_6[[#This Row],[PO+ITEM]],工作表1!B:E,2,FALSE)</f>
        <v>#N/A</v>
      </c>
      <c r="AY642" s="425" t="e">
        <f ca="1">VLOOKUP(表格1_6[[#This Row],[PO+ITEM]],工作表1!B:E,3,FALSE)</f>
        <v>#N/A</v>
      </c>
      <c r="AZ642" s="423" t="e">
        <f ca="1">VLOOKUP(表格1_6[[#This Row],[PO+ITEM]],工作表1!B:E,4,FALSE)</f>
        <v>#N/A</v>
      </c>
      <c r="BA642" s="425" t="e">
        <f ca="1">INDEX(工作表1!G:G, MATCH(表格1_6[[#This Row],[invoice number]]&amp;表格1_6[[#This Row],[invoice number2]],工作表1!G:G, 0))</f>
        <v>#N/A</v>
      </c>
      <c r="BB642" s="423" t="e">
        <f ca="1">VLOOKUP(表格1_6[[#This Row],[PO+ITEM]],工作表1!F:H,2,FALSE)</f>
        <v>#N/A</v>
      </c>
    </row>
    <row r="643" spans="1:54" ht="14.45">
      <c r="A643" s="413">
        <v>642</v>
      </c>
      <c r="B643" s="413" t="s">
        <v>3674</v>
      </c>
      <c r="C643" s="414" t="s">
        <v>17</v>
      </c>
      <c r="D643" s="414" t="s">
        <v>3648</v>
      </c>
      <c r="E643" s="414"/>
      <c r="F643" s="414"/>
      <c r="G643" s="414"/>
      <c r="H643" s="414"/>
      <c r="I643" s="414"/>
      <c r="J643" s="414"/>
      <c r="K643" s="414"/>
      <c r="L643" s="415" t="s">
        <v>5225</v>
      </c>
      <c r="M643" s="416" t="s">
        <v>2999</v>
      </c>
      <c r="N643" s="416" t="s">
        <v>2999</v>
      </c>
      <c r="O643" s="417"/>
      <c r="P643" s="416">
        <v>4590007616</v>
      </c>
      <c r="Q643" s="418">
        <v>44855</v>
      </c>
      <c r="R643" s="419">
        <v>1</v>
      </c>
      <c r="S643" s="458">
        <v>23868</v>
      </c>
      <c r="T643" s="420" t="s">
        <v>2156</v>
      </c>
      <c r="U643" s="414" t="s">
        <v>3713</v>
      </c>
      <c r="V643" s="414" t="s">
        <v>3714</v>
      </c>
      <c r="W643" s="417" t="s">
        <v>3715</v>
      </c>
      <c r="X643" s="417"/>
      <c r="Y643" s="421" t="s">
        <v>3652</v>
      </c>
      <c r="Z643" s="421" t="s">
        <v>3652</v>
      </c>
      <c r="AA643" s="416" t="s">
        <v>3767</v>
      </c>
      <c r="AB643" s="414" t="s">
        <v>3768</v>
      </c>
      <c r="AC643" s="426"/>
      <c r="AD643" s="421"/>
      <c r="AE643" s="420"/>
      <c r="AF643" s="421">
        <v>90807</v>
      </c>
      <c r="AG643" s="420" t="s">
        <v>4417</v>
      </c>
      <c r="AH643" s="421" t="s">
        <v>3770</v>
      </c>
      <c r="AI643" s="420" t="s">
        <v>3771</v>
      </c>
      <c r="AJ643" s="413" t="str">
        <f t="shared" ref="AJ643:AJ651" si="42">P643&amp;"_00"&amp;R643</f>
        <v>4590007616_001</v>
      </c>
      <c r="AK643" s="423" t="s">
        <v>5226</v>
      </c>
      <c r="AL643" s="424">
        <v>45418</v>
      </c>
      <c r="AM643" s="221">
        <v>23868</v>
      </c>
      <c r="AN643" s="424">
        <v>45519</v>
      </c>
      <c r="AO643" s="423"/>
      <c r="AP643" s="413"/>
      <c r="AQ643" s="222"/>
      <c r="AR643" s="424"/>
      <c r="AS643" s="614">
        <f ca="1">表格1_6[[#This Row],[total amount]]/表格1_6[[#This Row],[PO$]]</f>
        <v>1</v>
      </c>
      <c r="AT643" s="223">
        <f ca="1">表格1_6[[#This Row],[invoice amount]]+表格1_6[[#This Row],[invoice amount2]]</f>
        <v>23868</v>
      </c>
      <c r="AU643" s="224" t="s">
        <v>3657</v>
      </c>
      <c r="AV643" s="423" t="s">
        <v>3773</v>
      </c>
      <c r="AW643" s="423" t="e">
        <f ca="1">VLOOKUP(表格1_6[[#This Row],[TI tool ID2]],工作表1!A:A,1,FALSE)</f>
        <v>#N/A</v>
      </c>
      <c r="AX643" s="425" t="e">
        <f ca="1">VLOOKUP(表格1_6[[#This Row],[PO+ITEM]],工作表1!B:E,2,FALSE)</f>
        <v>#N/A</v>
      </c>
      <c r="AY643" s="425" t="e">
        <f ca="1">VLOOKUP(表格1_6[[#This Row],[PO+ITEM]],工作表1!B:E,3,FALSE)</f>
        <v>#N/A</v>
      </c>
      <c r="AZ643" s="423" t="e">
        <f ca="1">VLOOKUP(表格1_6[[#This Row],[PO+ITEM]],工作表1!B:E,4,FALSE)</f>
        <v>#N/A</v>
      </c>
      <c r="BA643" s="425" t="e">
        <f ca="1">INDEX(工作表1!G:G, MATCH(表格1_6[[#This Row],[invoice number]]&amp;表格1_6[[#This Row],[invoice number2]],工作表1!G:G, 0))</f>
        <v>#N/A</v>
      </c>
      <c r="BB643" s="423" t="e">
        <f ca="1">VLOOKUP(表格1_6[[#This Row],[PO+ITEM]],工作表1!F:H,2,FALSE)</f>
        <v>#N/A</v>
      </c>
    </row>
    <row r="644" spans="1:54" ht="14.45">
      <c r="A644" s="413">
        <v>643</v>
      </c>
      <c r="B644" s="413" t="s">
        <v>3674</v>
      </c>
      <c r="C644" s="414" t="s">
        <v>17</v>
      </c>
      <c r="D644" s="414" t="s">
        <v>3648</v>
      </c>
      <c r="E644" s="414"/>
      <c r="F644" s="414"/>
      <c r="G644" s="414"/>
      <c r="H644" s="414"/>
      <c r="I644" s="414"/>
      <c r="J644" s="414"/>
      <c r="K644" s="414"/>
      <c r="L644" s="415" t="s">
        <v>5227</v>
      </c>
      <c r="M644" s="416" t="s">
        <v>2999</v>
      </c>
      <c r="N644" s="416" t="s">
        <v>2999</v>
      </c>
      <c r="O644" s="417"/>
      <c r="P644" s="416">
        <v>4590007616</v>
      </c>
      <c r="Q644" s="418">
        <v>44855</v>
      </c>
      <c r="R644" s="419">
        <v>2</v>
      </c>
      <c r="S644" s="458">
        <v>23868</v>
      </c>
      <c r="T644" s="420" t="s">
        <v>2156</v>
      </c>
      <c r="U644" s="414" t="s">
        <v>3713</v>
      </c>
      <c r="V644" s="414" t="s">
        <v>3714</v>
      </c>
      <c r="W644" s="417" t="s">
        <v>3715</v>
      </c>
      <c r="X644" s="417"/>
      <c r="Y644" s="421" t="s">
        <v>3652</v>
      </c>
      <c r="Z644" s="421" t="s">
        <v>3652</v>
      </c>
      <c r="AA644" s="416" t="s">
        <v>3767</v>
      </c>
      <c r="AB644" s="414" t="s">
        <v>3768</v>
      </c>
      <c r="AC644" s="426"/>
      <c r="AD644" s="421"/>
      <c r="AE644" s="420"/>
      <c r="AF644" s="421">
        <v>90808</v>
      </c>
      <c r="AG644" s="420" t="s">
        <v>4420</v>
      </c>
      <c r="AH644" s="421" t="s">
        <v>3770</v>
      </c>
      <c r="AI644" s="420" t="s">
        <v>3771</v>
      </c>
      <c r="AJ644" s="413" t="str">
        <f t="shared" si="42"/>
        <v>4590007616_002</v>
      </c>
      <c r="AK644" s="423" t="s">
        <v>5228</v>
      </c>
      <c r="AL644" s="424">
        <v>45422</v>
      </c>
      <c r="AM644" s="221">
        <v>23868</v>
      </c>
      <c r="AN644" s="424">
        <v>45565</v>
      </c>
      <c r="AO644" s="423"/>
      <c r="AP644" s="413"/>
      <c r="AQ644" s="222"/>
      <c r="AR644" s="424"/>
      <c r="AS644" s="614">
        <f ca="1">表格1_6[[#This Row],[total amount]]/表格1_6[[#This Row],[PO$]]</f>
        <v>1</v>
      </c>
      <c r="AT644" s="223">
        <f ca="1">表格1_6[[#This Row],[invoice amount]]+表格1_6[[#This Row],[invoice amount2]]</f>
        <v>23868</v>
      </c>
      <c r="AU644" s="224" t="s">
        <v>3725</v>
      </c>
      <c r="AV644" s="423" t="s">
        <v>3657</v>
      </c>
      <c r="AW644" s="423" t="e">
        <f ca="1">VLOOKUP(表格1_6[[#This Row],[TI tool ID2]],工作表1!A:A,1,FALSE)</f>
        <v>#N/A</v>
      </c>
      <c r="AX644" s="425" t="e">
        <f ca="1">VLOOKUP(表格1_6[[#This Row],[PO+ITEM]],工作表1!B:E,2,FALSE)</f>
        <v>#N/A</v>
      </c>
      <c r="AY644" s="425" t="e">
        <f ca="1">VLOOKUP(表格1_6[[#This Row],[PO+ITEM]],工作表1!B:E,3,FALSE)</f>
        <v>#N/A</v>
      </c>
      <c r="AZ644" s="423" t="e">
        <f ca="1">VLOOKUP(表格1_6[[#This Row],[PO+ITEM]],工作表1!B:E,4,FALSE)</f>
        <v>#N/A</v>
      </c>
      <c r="BA644" s="425" t="e">
        <f ca="1">INDEX(工作表1!G:G, MATCH(表格1_6[[#This Row],[invoice number]]&amp;表格1_6[[#This Row],[invoice number2]],工作表1!G:G, 0))</f>
        <v>#N/A</v>
      </c>
      <c r="BB644" s="423" t="e">
        <f ca="1">VLOOKUP(表格1_6[[#This Row],[PO+ITEM]],工作表1!F:H,2,FALSE)</f>
        <v>#N/A</v>
      </c>
    </row>
    <row r="645" spans="1:54" ht="14.45">
      <c r="A645" s="413">
        <v>644</v>
      </c>
      <c r="B645" s="413" t="s">
        <v>3674</v>
      </c>
      <c r="C645" s="414" t="s">
        <v>17</v>
      </c>
      <c r="D645" s="414" t="s">
        <v>3648</v>
      </c>
      <c r="E645" s="414"/>
      <c r="F645" s="414"/>
      <c r="G645" s="414"/>
      <c r="H645" s="414"/>
      <c r="I645" s="414"/>
      <c r="J645" s="414"/>
      <c r="K645" s="414"/>
      <c r="L645" s="420" t="s">
        <v>5229</v>
      </c>
      <c r="M645" s="416" t="s">
        <v>2999</v>
      </c>
      <c r="N645" s="416" t="s">
        <v>2999</v>
      </c>
      <c r="O645" s="417"/>
      <c r="P645" s="416">
        <v>4590007616</v>
      </c>
      <c r="Q645" s="418">
        <v>44855</v>
      </c>
      <c r="R645" s="419">
        <v>3</v>
      </c>
      <c r="S645" s="349">
        <v>23868</v>
      </c>
      <c r="T645" s="420" t="s">
        <v>2156</v>
      </c>
      <c r="U645" s="414" t="s">
        <v>3713</v>
      </c>
      <c r="V645" s="414" t="s">
        <v>3714</v>
      </c>
      <c r="W645" s="417" t="s">
        <v>3715</v>
      </c>
      <c r="X645" s="417"/>
      <c r="Y645" s="421" t="s">
        <v>3652</v>
      </c>
      <c r="Z645" s="421" t="s">
        <v>3652</v>
      </c>
      <c r="AA645" s="416" t="s">
        <v>3767</v>
      </c>
      <c r="AB645" s="414" t="s">
        <v>3768</v>
      </c>
      <c r="AC645" s="426"/>
      <c r="AD645" s="421"/>
      <c r="AE645" s="420"/>
      <c r="AF645" s="421">
        <v>90809</v>
      </c>
      <c r="AG645" s="420" t="s">
        <v>4423</v>
      </c>
      <c r="AH645" s="421" t="s">
        <v>3770</v>
      </c>
      <c r="AI645" s="420" t="s">
        <v>3771</v>
      </c>
      <c r="AJ645" s="413" t="str">
        <f t="shared" si="42"/>
        <v>4590007616_003</v>
      </c>
      <c r="AK645" s="420" t="s">
        <v>5230</v>
      </c>
      <c r="AL645" s="424">
        <v>45471</v>
      </c>
      <c r="AM645" s="221">
        <v>23868</v>
      </c>
      <c r="AN645" s="424">
        <v>45565</v>
      </c>
      <c r="AO645" s="423"/>
      <c r="AP645" s="413"/>
      <c r="AQ645" s="222"/>
      <c r="AR645" s="424"/>
      <c r="AS645" s="614">
        <f ca="1">表格1_6[[#This Row],[total amount]]/表格1_6[[#This Row],[PO$]]</f>
        <v>1</v>
      </c>
      <c r="AT645" s="223">
        <f ca="1">表格1_6[[#This Row],[invoice amount]]+表格1_6[[#This Row],[invoice amount2]]</f>
        <v>23868</v>
      </c>
      <c r="AU645" s="224" t="s">
        <v>3725</v>
      </c>
      <c r="AV645" s="423"/>
      <c r="AW645" s="423" t="e">
        <f ca="1">VLOOKUP(表格1_6[[#This Row],[TI tool ID2]],工作表1!A:A,1,FALSE)</f>
        <v>#N/A</v>
      </c>
      <c r="AX645" s="425" t="e">
        <f ca="1">VLOOKUP(表格1_6[[#This Row],[PO+ITEM]],工作表1!B:E,2,FALSE)</f>
        <v>#N/A</v>
      </c>
      <c r="AY645" s="425" t="e">
        <f ca="1">VLOOKUP(表格1_6[[#This Row],[PO+ITEM]],工作表1!B:E,3,FALSE)</f>
        <v>#N/A</v>
      </c>
      <c r="AZ645" s="423" t="e">
        <f ca="1">VLOOKUP(表格1_6[[#This Row],[PO+ITEM]],工作表1!B:E,4,FALSE)</f>
        <v>#N/A</v>
      </c>
      <c r="BA645" s="425" t="e">
        <f ca="1">INDEX(工作表1!G:G, MATCH(表格1_6[[#This Row],[invoice number]]&amp;表格1_6[[#This Row],[invoice number2]],工作表1!G:G, 0))</f>
        <v>#N/A</v>
      </c>
      <c r="BB645" s="423" t="e">
        <f ca="1">VLOOKUP(表格1_6[[#This Row],[PO+ITEM]],工作表1!F:H,2,FALSE)</f>
        <v>#N/A</v>
      </c>
    </row>
    <row r="646" spans="1:54" ht="14.45">
      <c r="A646" s="413">
        <v>645</v>
      </c>
      <c r="B646" s="413" t="s">
        <v>3659</v>
      </c>
      <c r="C646" s="414" t="s">
        <v>17</v>
      </c>
      <c r="D646" s="414" t="s">
        <v>3648</v>
      </c>
      <c r="E646" s="414"/>
      <c r="F646" s="414"/>
      <c r="G646" s="414"/>
      <c r="H646" s="414"/>
      <c r="I646" s="414"/>
      <c r="J646" s="414"/>
      <c r="K646" s="414"/>
      <c r="L646" s="420" t="s">
        <v>5231</v>
      </c>
      <c r="M646" s="416" t="s">
        <v>2999</v>
      </c>
      <c r="N646" s="416" t="s">
        <v>2999</v>
      </c>
      <c r="O646" s="417"/>
      <c r="P646" s="416">
        <v>4590007616</v>
      </c>
      <c r="Q646" s="418">
        <v>44855</v>
      </c>
      <c r="R646" s="419">
        <v>4</v>
      </c>
      <c r="S646" s="458">
        <v>23868</v>
      </c>
      <c r="T646" s="420" t="s">
        <v>2156</v>
      </c>
      <c r="U646" s="414" t="s">
        <v>3713</v>
      </c>
      <c r="V646" s="414" t="s">
        <v>3714</v>
      </c>
      <c r="W646" s="417" t="s">
        <v>3715</v>
      </c>
      <c r="X646" s="417"/>
      <c r="Y646" s="421" t="s">
        <v>3652</v>
      </c>
      <c r="Z646" s="421" t="s">
        <v>3652</v>
      </c>
      <c r="AA646" s="416" t="s">
        <v>3767</v>
      </c>
      <c r="AB646" s="414" t="s">
        <v>3768</v>
      </c>
      <c r="AC646" s="426"/>
      <c r="AD646" s="421"/>
      <c r="AE646" s="420"/>
      <c r="AF646" s="421">
        <v>91350</v>
      </c>
      <c r="AG646" s="420" t="s">
        <v>4971</v>
      </c>
      <c r="AH646" s="421" t="s">
        <v>3770</v>
      </c>
      <c r="AI646" s="420" t="s">
        <v>3771</v>
      </c>
      <c r="AJ646" s="413" t="str">
        <f t="shared" si="42"/>
        <v>4590007616_004</v>
      </c>
      <c r="AK646" s="423"/>
      <c r="AL646" s="413"/>
      <c r="AM646" s="221"/>
      <c r="AN646" s="424"/>
      <c r="AO646" s="423"/>
      <c r="AP646" s="413"/>
      <c r="AQ646" s="222"/>
      <c r="AR646" s="424"/>
      <c r="AS646" s="614">
        <f ca="1">表格1_6[[#This Row],[total amount]]/表格1_6[[#This Row],[PO$]]</f>
        <v>0</v>
      </c>
      <c r="AT646" s="223">
        <f ca="1">表格1_6[[#This Row],[invoice amount]]+表格1_6[[#This Row],[invoice amount2]]</f>
        <v>0</v>
      </c>
      <c r="AU646" s="224"/>
      <c r="AV646" s="423"/>
      <c r="AW646" s="423" t="e">
        <f ca="1">VLOOKUP(表格1_6[[#This Row],[TI tool ID2]],工作表1!A:A,1,FALSE)</f>
        <v>#N/A</v>
      </c>
      <c r="AX646" s="425" t="e">
        <f ca="1">VLOOKUP(表格1_6[[#This Row],[PO+ITEM]],工作表1!B:E,2,FALSE)</f>
        <v>#N/A</v>
      </c>
      <c r="AY646" s="425" t="e">
        <f ca="1">VLOOKUP(表格1_6[[#This Row],[PO+ITEM]],工作表1!B:E,3,FALSE)</f>
        <v>#N/A</v>
      </c>
      <c r="AZ646" s="423" t="e">
        <f ca="1">VLOOKUP(表格1_6[[#This Row],[PO+ITEM]],工作表1!B:E,4,FALSE)</f>
        <v>#N/A</v>
      </c>
      <c r="BA646" s="425" t="e">
        <f ca="1">INDEX(工作表1!G:G, MATCH(表格1_6[[#This Row],[invoice number]]&amp;表格1_6[[#This Row],[invoice number2]],工作表1!G:G, 0))</f>
        <v>#N/A</v>
      </c>
      <c r="BB646" s="423" t="e">
        <f ca="1">VLOOKUP(表格1_6[[#This Row],[PO+ITEM]],工作表1!F:H,2,FALSE)</f>
        <v>#N/A</v>
      </c>
    </row>
    <row r="647" spans="1:54" ht="14.45">
      <c r="A647" s="413">
        <v>646</v>
      </c>
      <c r="B647" s="413" t="s">
        <v>3659</v>
      </c>
      <c r="C647" s="414" t="s">
        <v>17</v>
      </c>
      <c r="D647" s="414" t="s">
        <v>3648</v>
      </c>
      <c r="E647" s="414"/>
      <c r="F647" s="414"/>
      <c r="G647" s="414"/>
      <c r="H647" s="414"/>
      <c r="I647" s="414"/>
      <c r="J647" s="414"/>
      <c r="K647" s="414"/>
      <c r="L647" s="415" t="s">
        <v>5232</v>
      </c>
      <c r="M647" s="416" t="s">
        <v>2999</v>
      </c>
      <c r="N647" s="416" t="s">
        <v>2999</v>
      </c>
      <c r="O647" s="417"/>
      <c r="P647" s="416">
        <v>4590007616</v>
      </c>
      <c r="Q647" s="418">
        <v>44855</v>
      </c>
      <c r="R647" s="419">
        <v>5</v>
      </c>
      <c r="S647" s="458">
        <v>23868</v>
      </c>
      <c r="T647" s="420" t="s">
        <v>2156</v>
      </c>
      <c r="U647" s="414" t="s">
        <v>3713</v>
      </c>
      <c r="V647" s="414" t="s">
        <v>3714</v>
      </c>
      <c r="W647" s="417" t="s">
        <v>3715</v>
      </c>
      <c r="X647" s="417"/>
      <c r="Y647" s="421" t="s">
        <v>3652</v>
      </c>
      <c r="Z647" s="421" t="s">
        <v>3652</v>
      </c>
      <c r="AA647" s="416" t="s">
        <v>3767</v>
      </c>
      <c r="AB647" s="414" t="s">
        <v>3768</v>
      </c>
      <c r="AC647" s="426"/>
      <c r="AD647" s="421"/>
      <c r="AE647" s="420"/>
      <c r="AF647" s="421">
        <v>91351</v>
      </c>
      <c r="AG647" s="420" t="s">
        <v>4973</v>
      </c>
      <c r="AH647" s="421" t="s">
        <v>3770</v>
      </c>
      <c r="AI647" s="420" t="s">
        <v>3771</v>
      </c>
      <c r="AJ647" s="413" t="str">
        <f t="shared" si="42"/>
        <v>4590007616_005</v>
      </c>
      <c r="AK647" s="423"/>
      <c r="AL647" s="413"/>
      <c r="AM647" s="221"/>
      <c r="AN647" s="424"/>
      <c r="AO647" s="423"/>
      <c r="AP647" s="413"/>
      <c r="AQ647" s="222"/>
      <c r="AR647" s="424"/>
      <c r="AS647" s="614">
        <f ca="1">表格1_6[[#This Row],[total amount]]/表格1_6[[#This Row],[PO$]]</f>
        <v>0</v>
      </c>
      <c r="AT647" s="223">
        <f ca="1">表格1_6[[#This Row],[invoice amount]]+表格1_6[[#This Row],[invoice amount2]]</f>
        <v>0</v>
      </c>
      <c r="AU647" s="224"/>
      <c r="AV647" s="423"/>
      <c r="AW647" s="423" t="e">
        <f ca="1">VLOOKUP(表格1_6[[#This Row],[TI tool ID2]],工作表1!A:A,1,FALSE)</f>
        <v>#N/A</v>
      </c>
      <c r="AX647" s="425" t="e">
        <f ca="1">VLOOKUP(表格1_6[[#This Row],[PO+ITEM]],工作表1!B:E,2,FALSE)</f>
        <v>#N/A</v>
      </c>
      <c r="AY647" s="425" t="e">
        <f ca="1">VLOOKUP(表格1_6[[#This Row],[PO+ITEM]],工作表1!B:E,3,FALSE)</f>
        <v>#N/A</v>
      </c>
      <c r="AZ647" s="423" t="e">
        <f ca="1">VLOOKUP(表格1_6[[#This Row],[PO+ITEM]],工作表1!B:E,4,FALSE)</f>
        <v>#N/A</v>
      </c>
      <c r="BA647" s="425" t="e">
        <f ca="1">INDEX(工作表1!G:G, MATCH(表格1_6[[#This Row],[invoice number]]&amp;表格1_6[[#This Row],[invoice number2]],工作表1!G:G, 0))</f>
        <v>#N/A</v>
      </c>
      <c r="BB647" s="423" t="e">
        <f ca="1">VLOOKUP(表格1_6[[#This Row],[PO+ITEM]],工作表1!F:H,2,FALSE)</f>
        <v>#N/A</v>
      </c>
    </row>
    <row r="648" spans="1:54" ht="14.45">
      <c r="A648" s="413">
        <v>647</v>
      </c>
      <c r="B648" s="413" t="s">
        <v>3659</v>
      </c>
      <c r="C648" s="414" t="s">
        <v>17</v>
      </c>
      <c r="D648" s="414" t="s">
        <v>3648</v>
      </c>
      <c r="E648" s="414"/>
      <c r="F648" s="414"/>
      <c r="G648" s="414"/>
      <c r="H648" s="414"/>
      <c r="I648" s="414"/>
      <c r="J648" s="414"/>
      <c r="K648" s="414"/>
      <c r="L648" s="415" t="s">
        <v>5233</v>
      </c>
      <c r="M648" s="416" t="s">
        <v>2999</v>
      </c>
      <c r="N648" s="416" t="s">
        <v>2999</v>
      </c>
      <c r="O648" s="417"/>
      <c r="P648" s="416">
        <v>4590007616</v>
      </c>
      <c r="Q648" s="418">
        <v>44855</v>
      </c>
      <c r="R648" s="419">
        <v>6</v>
      </c>
      <c r="S648" s="458">
        <v>23868</v>
      </c>
      <c r="T648" s="420" t="s">
        <v>2156</v>
      </c>
      <c r="U648" s="414" t="s">
        <v>3713</v>
      </c>
      <c r="V648" s="414" t="s">
        <v>3714</v>
      </c>
      <c r="W648" s="417" t="s">
        <v>3715</v>
      </c>
      <c r="X648" s="417"/>
      <c r="Y648" s="421" t="s">
        <v>3652</v>
      </c>
      <c r="Z648" s="421" t="s">
        <v>3652</v>
      </c>
      <c r="AA648" s="416" t="s">
        <v>3767</v>
      </c>
      <c r="AB648" s="414" t="s">
        <v>3768</v>
      </c>
      <c r="AC648" s="426"/>
      <c r="AD648" s="421"/>
      <c r="AE648" s="420"/>
      <c r="AF648" s="421">
        <v>91352</v>
      </c>
      <c r="AG648" s="420" t="s">
        <v>4975</v>
      </c>
      <c r="AH648" s="421" t="s">
        <v>3770</v>
      </c>
      <c r="AI648" s="420" t="s">
        <v>3771</v>
      </c>
      <c r="AJ648" s="413" t="str">
        <f t="shared" si="42"/>
        <v>4590007616_006</v>
      </c>
      <c r="AK648" s="423"/>
      <c r="AL648" s="413"/>
      <c r="AM648" s="221"/>
      <c r="AN648" s="424"/>
      <c r="AO648" s="423"/>
      <c r="AP648" s="413"/>
      <c r="AQ648" s="222"/>
      <c r="AR648" s="424"/>
      <c r="AS648" s="614">
        <f ca="1">表格1_6[[#This Row],[total amount]]/表格1_6[[#This Row],[PO$]]</f>
        <v>0</v>
      </c>
      <c r="AT648" s="223">
        <f ca="1">表格1_6[[#This Row],[invoice amount]]+表格1_6[[#This Row],[invoice amount2]]</f>
        <v>0</v>
      </c>
      <c r="AU648" s="224"/>
      <c r="AV648" s="423"/>
      <c r="AW648" s="423" t="e">
        <f ca="1">VLOOKUP(表格1_6[[#This Row],[TI tool ID2]],工作表1!A:A,1,FALSE)</f>
        <v>#N/A</v>
      </c>
      <c r="AX648" s="425" t="e">
        <f ca="1">VLOOKUP(表格1_6[[#This Row],[PO+ITEM]],工作表1!B:E,2,FALSE)</f>
        <v>#N/A</v>
      </c>
      <c r="AY648" s="425" t="e">
        <f ca="1">VLOOKUP(表格1_6[[#This Row],[PO+ITEM]],工作表1!B:E,3,FALSE)</f>
        <v>#N/A</v>
      </c>
      <c r="AZ648" s="423" t="e">
        <f ca="1">VLOOKUP(表格1_6[[#This Row],[PO+ITEM]],工作表1!B:E,4,FALSE)</f>
        <v>#N/A</v>
      </c>
      <c r="BA648" s="425" t="e">
        <f ca="1">INDEX(工作表1!G:G, MATCH(表格1_6[[#This Row],[invoice number]]&amp;表格1_6[[#This Row],[invoice number2]],工作表1!G:G, 0))</f>
        <v>#N/A</v>
      </c>
      <c r="BB648" s="423" t="e">
        <f ca="1">VLOOKUP(表格1_6[[#This Row],[PO+ITEM]],工作表1!F:H,2,FALSE)</f>
        <v>#N/A</v>
      </c>
    </row>
    <row r="649" spans="1:54" ht="14.45">
      <c r="A649" s="413">
        <v>648</v>
      </c>
      <c r="B649" s="413" t="s">
        <v>3659</v>
      </c>
      <c r="C649" s="414" t="s">
        <v>17</v>
      </c>
      <c r="D649" s="414" t="s">
        <v>3648</v>
      </c>
      <c r="E649" s="414"/>
      <c r="F649" s="414"/>
      <c r="G649" s="414"/>
      <c r="H649" s="414"/>
      <c r="I649" s="414"/>
      <c r="J649" s="414"/>
      <c r="K649" s="414"/>
      <c r="L649" s="415" t="s">
        <v>5234</v>
      </c>
      <c r="M649" s="416" t="s">
        <v>2999</v>
      </c>
      <c r="N649" s="416" t="s">
        <v>2999</v>
      </c>
      <c r="O649" s="417"/>
      <c r="P649" s="416">
        <v>4590007616</v>
      </c>
      <c r="Q649" s="418">
        <v>44855</v>
      </c>
      <c r="R649" s="419">
        <v>7</v>
      </c>
      <c r="S649" s="458">
        <v>23868</v>
      </c>
      <c r="T649" s="420" t="s">
        <v>2156</v>
      </c>
      <c r="U649" s="414" t="s">
        <v>3713</v>
      </c>
      <c r="V649" s="414" t="s">
        <v>3714</v>
      </c>
      <c r="W649" s="417" t="s">
        <v>3715</v>
      </c>
      <c r="X649" s="417"/>
      <c r="Y649" s="421" t="s">
        <v>3652</v>
      </c>
      <c r="Z649" s="421" t="s">
        <v>3652</v>
      </c>
      <c r="AA649" s="416" t="s">
        <v>3767</v>
      </c>
      <c r="AB649" s="414" t="s">
        <v>3768</v>
      </c>
      <c r="AC649" s="426"/>
      <c r="AD649" s="421"/>
      <c r="AE649" s="420"/>
      <c r="AF649" s="421">
        <v>91353</v>
      </c>
      <c r="AG649" s="420" t="s">
        <v>4979</v>
      </c>
      <c r="AH649" s="421" t="s">
        <v>3770</v>
      </c>
      <c r="AI649" s="420" t="s">
        <v>3771</v>
      </c>
      <c r="AJ649" s="413" t="str">
        <f t="shared" si="42"/>
        <v>4590007616_007</v>
      </c>
      <c r="AK649" s="423"/>
      <c r="AL649" s="413"/>
      <c r="AM649" s="221"/>
      <c r="AN649" s="424"/>
      <c r="AO649" s="423"/>
      <c r="AP649" s="413"/>
      <c r="AQ649" s="222"/>
      <c r="AR649" s="424"/>
      <c r="AS649" s="614">
        <f ca="1">表格1_6[[#This Row],[total amount]]/表格1_6[[#This Row],[PO$]]</f>
        <v>0</v>
      </c>
      <c r="AT649" s="223">
        <f ca="1">表格1_6[[#This Row],[invoice amount]]+表格1_6[[#This Row],[invoice amount2]]</f>
        <v>0</v>
      </c>
      <c r="AU649" s="224"/>
      <c r="AV649" s="423"/>
      <c r="AW649" s="423" t="e">
        <f ca="1">VLOOKUP(表格1_6[[#This Row],[TI tool ID2]],工作表1!A:A,1,FALSE)</f>
        <v>#N/A</v>
      </c>
      <c r="AX649" s="425" t="e">
        <f ca="1">VLOOKUP(表格1_6[[#This Row],[PO+ITEM]],工作表1!B:E,2,FALSE)</f>
        <v>#N/A</v>
      </c>
      <c r="AY649" s="425" t="e">
        <f ca="1">VLOOKUP(表格1_6[[#This Row],[PO+ITEM]],工作表1!B:E,3,FALSE)</f>
        <v>#N/A</v>
      </c>
      <c r="AZ649" s="423" t="e">
        <f ca="1">VLOOKUP(表格1_6[[#This Row],[PO+ITEM]],工作表1!B:E,4,FALSE)</f>
        <v>#N/A</v>
      </c>
      <c r="BA649" s="425" t="e">
        <f ca="1">INDEX(工作表1!G:G, MATCH(表格1_6[[#This Row],[invoice number]]&amp;表格1_6[[#This Row],[invoice number2]],工作表1!G:G, 0))</f>
        <v>#N/A</v>
      </c>
      <c r="BB649" s="423" t="e">
        <f ca="1">VLOOKUP(表格1_6[[#This Row],[PO+ITEM]],工作表1!F:H,2,FALSE)</f>
        <v>#N/A</v>
      </c>
    </row>
    <row r="650" spans="1:54" s="429" customFormat="1" ht="14.45">
      <c r="A650" s="413">
        <v>649</v>
      </c>
      <c r="B650" s="413" t="s">
        <v>3659</v>
      </c>
      <c r="C650" s="414" t="s">
        <v>17</v>
      </c>
      <c r="D650" s="414" t="s">
        <v>3648</v>
      </c>
      <c r="E650" s="414"/>
      <c r="F650" s="414"/>
      <c r="G650" s="414"/>
      <c r="H650" s="414"/>
      <c r="I650" s="414"/>
      <c r="J650" s="414"/>
      <c r="K650" s="414"/>
      <c r="L650" s="415" t="s">
        <v>5235</v>
      </c>
      <c r="M650" s="416" t="s">
        <v>2999</v>
      </c>
      <c r="N650" s="416" t="s">
        <v>2999</v>
      </c>
      <c r="O650" s="417"/>
      <c r="P650" s="416">
        <v>4590007616</v>
      </c>
      <c r="Q650" s="418">
        <v>44855</v>
      </c>
      <c r="R650" s="419">
        <v>8</v>
      </c>
      <c r="S650" s="458">
        <v>23868</v>
      </c>
      <c r="T650" s="420" t="s">
        <v>2156</v>
      </c>
      <c r="U650" s="414" t="s">
        <v>3713</v>
      </c>
      <c r="V650" s="414" t="s">
        <v>3714</v>
      </c>
      <c r="W650" s="417" t="s">
        <v>3715</v>
      </c>
      <c r="X650" s="417"/>
      <c r="Y650" s="421" t="s">
        <v>3652</v>
      </c>
      <c r="Z650" s="421" t="s">
        <v>3652</v>
      </c>
      <c r="AA650" s="416" t="s">
        <v>3767</v>
      </c>
      <c r="AB650" s="414" t="s">
        <v>3768</v>
      </c>
      <c r="AC650" s="426"/>
      <c r="AD650" s="421"/>
      <c r="AE650" s="420"/>
      <c r="AF650" s="421">
        <v>91354</v>
      </c>
      <c r="AG650" s="420" t="s">
        <v>4981</v>
      </c>
      <c r="AH650" s="421" t="s">
        <v>3770</v>
      </c>
      <c r="AI650" s="420" t="s">
        <v>3771</v>
      </c>
      <c r="AJ650" s="413" t="str">
        <f t="shared" si="42"/>
        <v>4590007616_008</v>
      </c>
      <c r="AK650" s="423"/>
      <c r="AL650" s="413"/>
      <c r="AM650" s="221"/>
      <c r="AN650" s="424"/>
      <c r="AO650" s="423"/>
      <c r="AP650" s="413"/>
      <c r="AQ650" s="222"/>
      <c r="AR650" s="424"/>
      <c r="AS650" s="614">
        <f ca="1">表格1_6[[#This Row],[total amount]]/表格1_6[[#This Row],[PO$]]</f>
        <v>0</v>
      </c>
      <c r="AT650" s="223">
        <f ca="1">表格1_6[[#This Row],[invoice amount]]+表格1_6[[#This Row],[invoice amount2]]</f>
        <v>0</v>
      </c>
      <c r="AU650" s="224"/>
      <c r="AV650" s="423"/>
      <c r="AW650" s="423" t="e">
        <f ca="1">VLOOKUP(表格1_6[[#This Row],[TI tool ID2]],工作表1!A:A,1,FALSE)</f>
        <v>#N/A</v>
      </c>
      <c r="AX650" s="425" t="e">
        <f ca="1">VLOOKUP(表格1_6[[#This Row],[PO+ITEM]],工作表1!B:E,2,FALSE)</f>
        <v>#N/A</v>
      </c>
      <c r="AY650" s="425" t="e">
        <f ca="1">VLOOKUP(表格1_6[[#This Row],[PO+ITEM]],工作表1!B:E,3,FALSE)</f>
        <v>#N/A</v>
      </c>
      <c r="AZ650" s="423" t="e">
        <f ca="1">VLOOKUP(表格1_6[[#This Row],[PO+ITEM]],工作表1!B:E,4,FALSE)</f>
        <v>#N/A</v>
      </c>
      <c r="BA650" s="425" t="e">
        <f ca="1">INDEX(工作表1!G:G, MATCH(表格1_6[[#This Row],[invoice number]]&amp;表格1_6[[#This Row],[invoice number2]],工作表1!G:G, 0))</f>
        <v>#N/A</v>
      </c>
      <c r="BB650" s="423" t="e">
        <f ca="1">VLOOKUP(表格1_6[[#This Row],[PO+ITEM]],工作表1!F:H,2,FALSE)</f>
        <v>#N/A</v>
      </c>
    </row>
    <row r="651" spans="1:54" ht="14.45">
      <c r="A651" s="413">
        <v>650</v>
      </c>
      <c r="B651" s="413" t="s">
        <v>3659</v>
      </c>
      <c r="C651" s="414" t="s">
        <v>17</v>
      </c>
      <c r="D651" s="414" t="s">
        <v>3648</v>
      </c>
      <c r="E651" s="414"/>
      <c r="F651" s="414"/>
      <c r="G651" s="414"/>
      <c r="H651" s="414"/>
      <c r="I651" s="414"/>
      <c r="J651" s="414"/>
      <c r="K651" s="414"/>
      <c r="L651" s="415" t="s">
        <v>5236</v>
      </c>
      <c r="M651" s="416" t="s">
        <v>2999</v>
      </c>
      <c r="N651" s="416" t="s">
        <v>2999</v>
      </c>
      <c r="O651" s="417"/>
      <c r="P651" s="416">
        <v>4590007616</v>
      </c>
      <c r="Q651" s="418">
        <v>44855</v>
      </c>
      <c r="R651" s="419">
        <v>9</v>
      </c>
      <c r="S651" s="458">
        <v>23868</v>
      </c>
      <c r="T651" s="420" t="s">
        <v>2156</v>
      </c>
      <c r="U651" s="414" t="s">
        <v>3713</v>
      </c>
      <c r="V651" s="414" t="s">
        <v>3714</v>
      </c>
      <c r="W651" s="417" t="s">
        <v>3715</v>
      </c>
      <c r="X651" s="417"/>
      <c r="Y651" s="421" t="s">
        <v>3652</v>
      </c>
      <c r="Z651" s="421" t="s">
        <v>3652</v>
      </c>
      <c r="AA651" s="416" t="s">
        <v>3767</v>
      </c>
      <c r="AB651" s="414" t="s">
        <v>3768</v>
      </c>
      <c r="AC651" s="426"/>
      <c r="AD651" s="421"/>
      <c r="AE651" s="420"/>
      <c r="AF651" s="421">
        <v>91362</v>
      </c>
      <c r="AG651" s="420" t="s">
        <v>4984</v>
      </c>
      <c r="AH651" s="421" t="s">
        <v>3770</v>
      </c>
      <c r="AI651" s="420" t="s">
        <v>3771</v>
      </c>
      <c r="AJ651" s="413" t="str">
        <f t="shared" si="42"/>
        <v>4590007616_009</v>
      </c>
      <c r="AK651" s="423"/>
      <c r="AL651" s="413"/>
      <c r="AM651" s="221"/>
      <c r="AN651" s="424"/>
      <c r="AO651" s="423"/>
      <c r="AP651" s="413"/>
      <c r="AQ651" s="222"/>
      <c r="AR651" s="424"/>
      <c r="AS651" s="614">
        <f ca="1">表格1_6[[#This Row],[total amount]]/表格1_6[[#This Row],[PO$]]</f>
        <v>0</v>
      </c>
      <c r="AT651" s="223">
        <f ca="1">表格1_6[[#This Row],[invoice amount]]+表格1_6[[#This Row],[invoice amount2]]</f>
        <v>0</v>
      </c>
      <c r="AU651" s="224"/>
      <c r="AV651" s="423"/>
      <c r="AW651" s="423" t="e">
        <f ca="1">VLOOKUP(表格1_6[[#This Row],[TI tool ID2]],工作表1!A:A,1,FALSE)</f>
        <v>#N/A</v>
      </c>
      <c r="AX651" s="425" t="e">
        <f ca="1">VLOOKUP(表格1_6[[#This Row],[PO+ITEM]],工作表1!B:E,2,FALSE)</f>
        <v>#N/A</v>
      </c>
      <c r="AY651" s="425" t="e">
        <f ca="1">VLOOKUP(表格1_6[[#This Row],[PO+ITEM]],工作表1!B:E,3,FALSE)</f>
        <v>#N/A</v>
      </c>
      <c r="AZ651" s="423" t="e">
        <f ca="1">VLOOKUP(表格1_6[[#This Row],[PO+ITEM]],工作表1!B:E,4,FALSE)</f>
        <v>#N/A</v>
      </c>
      <c r="BA651" s="425" t="e">
        <f ca="1">INDEX(工作表1!G:G, MATCH(表格1_6[[#This Row],[invoice number]]&amp;表格1_6[[#This Row],[invoice number2]],工作表1!G:G, 0))</f>
        <v>#N/A</v>
      </c>
      <c r="BB651" s="423" t="e">
        <f ca="1">VLOOKUP(表格1_6[[#This Row],[PO+ITEM]],工作表1!F:H,2,FALSE)</f>
        <v>#N/A</v>
      </c>
    </row>
    <row r="652" spans="1:54" ht="14.45">
      <c r="A652" s="413">
        <v>651</v>
      </c>
      <c r="B652" s="413" t="s">
        <v>3659</v>
      </c>
      <c r="C652" s="414" t="s">
        <v>17</v>
      </c>
      <c r="D652" s="414" t="s">
        <v>3648</v>
      </c>
      <c r="E652" s="414"/>
      <c r="F652" s="414"/>
      <c r="G652" s="414"/>
      <c r="H652" s="414"/>
      <c r="I652" s="414"/>
      <c r="J652" s="414"/>
      <c r="K652" s="414"/>
      <c r="L652" s="415" t="s">
        <v>5237</v>
      </c>
      <c r="M652" s="416" t="s">
        <v>2999</v>
      </c>
      <c r="N652" s="416" t="s">
        <v>2999</v>
      </c>
      <c r="O652" s="417"/>
      <c r="P652" s="416">
        <v>4590007616</v>
      </c>
      <c r="Q652" s="418">
        <v>44855</v>
      </c>
      <c r="R652" s="419">
        <v>10</v>
      </c>
      <c r="S652" s="458">
        <v>23868</v>
      </c>
      <c r="T652" s="420" t="s">
        <v>2156</v>
      </c>
      <c r="U652" s="414" t="s">
        <v>3713</v>
      </c>
      <c r="V652" s="414" t="s">
        <v>3714</v>
      </c>
      <c r="W652" s="417" t="s">
        <v>3715</v>
      </c>
      <c r="X652" s="417"/>
      <c r="Y652" s="421" t="s">
        <v>3652</v>
      </c>
      <c r="Z652" s="421" t="s">
        <v>3652</v>
      </c>
      <c r="AA652" s="416" t="s">
        <v>3767</v>
      </c>
      <c r="AB652" s="414" t="s">
        <v>3768</v>
      </c>
      <c r="AC652" s="426"/>
      <c r="AD652" s="421"/>
      <c r="AE652" s="420"/>
      <c r="AF652" s="421">
        <v>91363</v>
      </c>
      <c r="AG652" s="420" t="s">
        <v>4986</v>
      </c>
      <c r="AH652" s="421" t="s">
        <v>3770</v>
      </c>
      <c r="AI652" s="420" t="s">
        <v>3771</v>
      </c>
      <c r="AJ652" s="413" t="str">
        <f>P652&amp;"_0"&amp;R652</f>
        <v>4590007616_010</v>
      </c>
      <c r="AK652" s="423"/>
      <c r="AL652" s="413"/>
      <c r="AM652" s="221"/>
      <c r="AN652" s="424"/>
      <c r="AO652" s="423"/>
      <c r="AP652" s="413"/>
      <c r="AQ652" s="222"/>
      <c r="AR652" s="424"/>
      <c r="AS652" s="614">
        <f ca="1">表格1_6[[#This Row],[total amount]]/表格1_6[[#This Row],[PO$]]</f>
        <v>0</v>
      </c>
      <c r="AT652" s="223">
        <f ca="1">表格1_6[[#This Row],[invoice amount]]+表格1_6[[#This Row],[invoice amount2]]</f>
        <v>0</v>
      </c>
      <c r="AU652" s="224"/>
      <c r="AV652" s="423"/>
      <c r="AW652" s="423" t="e">
        <f ca="1">VLOOKUP(表格1_6[[#This Row],[TI tool ID2]],工作表1!A:A,1,FALSE)</f>
        <v>#N/A</v>
      </c>
      <c r="AX652" s="425" t="e">
        <f ca="1">VLOOKUP(表格1_6[[#This Row],[PO+ITEM]],工作表1!B:E,2,FALSE)</f>
        <v>#N/A</v>
      </c>
      <c r="AY652" s="425" t="e">
        <f ca="1">VLOOKUP(表格1_6[[#This Row],[PO+ITEM]],工作表1!B:E,3,FALSE)</f>
        <v>#N/A</v>
      </c>
      <c r="AZ652" s="423" t="e">
        <f ca="1">VLOOKUP(表格1_6[[#This Row],[PO+ITEM]],工作表1!B:E,4,FALSE)</f>
        <v>#N/A</v>
      </c>
      <c r="BA652" s="425" t="e">
        <f ca="1">INDEX(工作表1!G:G, MATCH(表格1_6[[#This Row],[invoice number]]&amp;表格1_6[[#This Row],[invoice number2]],工作表1!G:G, 0))</f>
        <v>#N/A</v>
      </c>
      <c r="BB652" s="423" t="e">
        <f ca="1">VLOOKUP(表格1_6[[#This Row],[PO+ITEM]],工作表1!F:H,2,FALSE)</f>
        <v>#N/A</v>
      </c>
    </row>
    <row r="653" spans="1:54" ht="15.6">
      <c r="A653" s="413">
        <v>652</v>
      </c>
      <c r="B653" s="413" t="s">
        <v>3674</v>
      </c>
      <c r="C653" s="414" t="s">
        <v>17</v>
      </c>
      <c r="D653" s="414" t="s">
        <v>3648</v>
      </c>
      <c r="E653" s="414"/>
      <c r="F653" s="414"/>
      <c r="G653" s="414"/>
      <c r="H653" s="414"/>
      <c r="I653" s="414"/>
      <c r="J653" s="414"/>
      <c r="K653" s="414"/>
      <c r="L653" s="415" t="s">
        <v>5238</v>
      </c>
      <c r="M653" s="416" t="s">
        <v>2999</v>
      </c>
      <c r="N653" s="416" t="s">
        <v>2999</v>
      </c>
      <c r="O653" s="417"/>
      <c r="P653" s="416">
        <v>4590007617</v>
      </c>
      <c r="Q653" s="418">
        <v>44855</v>
      </c>
      <c r="R653" s="419">
        <v>1</v>
      </c>
      <c r="S653" s="458">
        <v>23868</v>
      </c>
      <c r="T653" s="420" t="s">
        <v>2156</v>
      </c>
      <c r="U653" s="414" t="s">
        <v>3713</v>
      </c>
      <c r="V653" s="414" t="s">
        <v>3714</v>
      </c>
      <c r="W653" s="417" t="s">
        <v>3715</v>
      </c>
      <c r="X653" s="417"/>
      <c r="Y653" s="421" t="s">
        <v>3652</v>
      </c>
      <c r="Z653" s="421" t="s">
        <v>3652</v>
      </c>
      <c r="AA653" s="416" t="s">
        <v>3767</v>
      </c>
      <c r="AB653" s="414" t="s">
        <v>3768</v>
      </c>
      <c r="AC653" s="426"/>
      <c r="AD653" s="421"/>
      <c r="AE653" s="420"/>
      <c r="AF653" s="421">
        <v>90791</v>
      </c>
      <c r="AG653" s="420" t="s">
        <v>4402</v>
      </c>
      <c r="AH653" s="421" t="s">
        <v>3770</v>
      </c>
      <c r="AI653" s="420" t="s">
        <v>3771</v>
      </c>
      <c r="AJ653" s="413" t="str">
        <f t="shared" ref="AJ653:AJ661" si="43">P653&amp;"_00"&amp;R653</f>
        <v>4590007617_001</v>
      </c>
      <c r="AK653" s="423" t="s">
        <v>5239</v>
      </c>
      <c r="AL653" s="424">
        <v>45401</v>
      </c>
      <c r="AM653" s="221">
        <v>23868</v>
      </c>
      <c r="AN653" s="431">
        <v>45458</v>
      </c>
      <c r="AO653" s="423"/>
      <c r="AP653" s="413"/>
      <c r="AQ653" s="222"/>
      <c r="AR653" s="424"/>
      <c r="AS653" s="614">
        <f ca="1">表格1_6[[#This Row],[total amount]]/表格1_6[[#This Row],[PO$]]</f>
        <v>1</v>
      </c>
      <c r="AT653" s="223">
        <f ca="1">表格1_6[[#This Row],[invoice amount]]+表格1_6[[#This Row],[invoice amount2]]</f>
        <v>23868</v>
      </c>
      <c r="AU653" s="224" t="s">
        <v>3725</v>
      </c>
      <c r="AV653" s="423" t="s">
        <v>3773</v>
      </c>
      <c r="AW653" s="423" t="e">
        <f ca="1">VLOOKUP(表格1_6[[#This Row],[TI tool ID2]],工作表1!A:A,1,FALSE)</f>
        <v>#N/A</v>
      </c>
      <c r="AX653" s="425" t="e">
        <f ca="1">VLOOKUP(表格1_6[[#This Row],[PO+ITEM]],工作表1!B:E,2,FALSE)</f>
        <v>#N/A</v>
      </c>
      <c r="AY653" s="425" t="e">
        <f ca="1">VLOOKUP(表格1_6[[#This Row],[PO+ITEM]],工作表1!B:E,3,FALSE)</f>
        <v>#N/A</v>
      </c>
      <c r="AZ653" s="423" t="e">
        <f ca="1">VLOOKUP(表格1_6[[#This Row],[PO+ITEM]],工作表1!B:E,4,FALSE)</f>
        <v>#N/A</v>
      </c>
      <c r="BA653" s="425" t="e">
        <f ca="1">INDEX(工作表1!G:G, MATCH(表格1_6[[#This Row],[invoice number]]&amp;表格1_6[[#This Row],[invoice number2]],工作表1!G:G, 0))</f>
        <v>#N/A</v>
      </c>
      <c r="BB653" s="423" t="e">
        <f ca="1">VLOOKUP(表格1_6[[#This Row],[PO+ITEM]],工作表1!F:H,2,FALSE)</f>
        <v>#N/A</v>
      </c>
    </row>
    <row r="654" spans="1:54" ht="14.45">
      <c r="A654" s="413">
        <v>653</v>
      </c>
      <c r="B654" s="413" t="s">
        <v>3674</v>
      </c>
      <c r="C654" s="414" t="s">
        <v>17</v>
      </c>
      <c r="D654" s="414" t="s">
        <v>3648</v>
      </c>
      <c r="E654" s="414"/>
      <c r="F654" s="414"/>
      <c r="G654" s="414"/>
      <c r="H654" s="414"/>
      <c r="I654" s="414"/>
      <c r="J654" s="414"/>
      <c r="K654" s="414"/>
      <c r="L654" s="415" t="s">
        <v>5240</v>
      </c>
      <c r="M654" s="416" t="s">
        <v>2999</v>
      </c>
      <c r="N654" s="416" t="s">
        <v>2999</v>
      </c>
      <c r="O654" s="417"/>
      <c r="P654" s="416">
        <v>4590007617</v>
      </c>
      <c r="Q654" s="418">
        <v>44855</v>
      </c>
      <c r="R654" s="419">
        <v>2</v>
      </c>
      <c r="S654" s="458">
        <v>23868</v>
      </c>
      <c r="T654" s="420" t="s">
        <v>2156</v>
      </c>
      <c r="U654" s="414" t="s">
        <v>3713</v>
      </c>
      <c r="V654" s="414" t="s">
        <v>3714</v>
      </c>
      <c r="W654" s="417" t="s">
        <v>3715</v>
      </c>
      <c r="X654" s="417"/>
      <c r="Y654" s="421" t="s">
        <v>3652</v>
      </c>
      <c r="Z654" s="421" t="s">
        <v>3652</v>
      </c>
      <c r="AA654" s="416" t="s">
        <v>3767</v>
      </c>
      <c r="AB654" s="414" t="s">
        <v>3768</v>
      </c>
      <c r="AC654" s="426"/>
      <c r="AD654" s="421"/>
      <c r="AE654" s="420"/>
      <c r="AF654" s="421">
        <v>90792</v>
      </c>
      <c r="AG654" s="420" t="s">
        <v>4405</v>
      </c>
      <c r="AH654" s="421" t="s">
        <v>3770</v>
      </c>
      <c r="AI654" s="420" t="s">
        <v>3771</v>
      </c>
      <c r="AJ654" s="413" t="str">
        <f t="shared" si="43"/>
        <v>4590007617_002</v>
      </c>
      <c r="AK654" s="423" t="s">
        <v>5241</v>
      </c>
      <c r="AL654" s="424">
        <v>45415</v>
      </c>
      <c r="AM654" s="221">
        <v>23868</v>
      </c>
      <c r="AN654" s="424">
        <v>45519</v>
      </c>
      <c r="AO654" s="423"/>
      <c r="AP654" s="413"/>
      <c r="AQ654" s="222"/>
      <c r="AR654" s="424"/>
      <c r="AS654" s="614">
        <f ca="1">表格1_6[[#This Row],[total amount]]/表格1_6[[#This Row],[PO$]]</f>
        <v>1</v>
      </c>
      <c r="AT654" s="223">
        <f ca="1">表格1_6[[#This Row],[invoice amount]]+表格1_6[[#This Row],[invoice amount2]]</f>
        <v>23868</v>
      </c>
      <c r="AU654" s="224" t="s">
        <v>3657</v>
      </c>
      <c r="AV654" s="423" t="s">
        <v>3773</v>
      </c>
      <c r="AW654" s="423" t="e">
        <f ca="1">VLOOKUP(表格1_6[[#This Row],[TI tool ID2]],工作表1!A:A,1,FALSE)</f>
        <v>#N/A</v>
      </c>
      <c r="AX654" s="425" t="e">
        <f ca="1">VLOOKUP(表格1_6[[#This Row],[PO+ITEM]],工作表1!B:E,2,FALSE)</f>
        <v>#N/A</v>
      </c>
      <c r="AY654" s="425" t="e">
        <f ca="1">VLOOKUP(表格1_6[[#This Row],[PO+ITEM]],工作表1!B:E,3,FALSE)</f>
        <v>#N/A</v>
      </c>
      <c r="AZ654" s="423" t="e">
        <f ca="1">VLOOKUP(表格1_6[[#This Row],[PO+ITEM]],工作表1!B:E,4,FALSE)</f>
        <v>#N/A</v>
      </c>
      <c r="BA654" s="425" t="e">
        <f ca="1">INDEX(工作表1!G:G, MATCH(表格1_6[[#This Row],[invoice number]]&amp;表格1_6[[#This Row],[invoice number2]],工作表1!G:G, 0))</f>
        <v>#N/A</v>
      </c>
      <c r="BB654" s="423" t="e">
        <f ca="1">VLOOKUP(表格1_6[[#This Row],[PO+ITEM]],工作表1!F:H,2,FALSE)</f>
        <v>#N/A</v>
      </c>
    </row>
    <row r="655" spans="1:54" ht="14.45">
      <c r="A655" s="413">
        <v>654</v>
      </c>
      <c r="B655" s="413" t="s">
        <v>3674</v>
      </c>
      <c r="C655" s="414" t="s">
        <v>17</v>
      </c>
      <c r="D655" s="414" t="s">
        <v>3648</v>
      </c>
      <c r="E655" s="414"/>
      <c r="F655" s="414"/>
      <c r="G655" s="414"/>
      <c r="H655" s="414"/>
      <c r="I655" s="414"/>
      <c r="J655" s="414"/>
      <c r="K655" s="414"/>
      <c r="L655" s="415" t="s">
        <v>5242</v>
      </c>
      <c r="M655" s="416" t="s">
        <v>2999</v>
      </c>
      <c r="N655" s="416" t="s">
        <v>2999</v>
      </c>
      <c r="O655" s="417"/>
      <c r="P655" s="416">
        <v>4590007617</v>
      </c>
      <c r="Q655" s="418">
        <v>44855</v>
      </c>
      <c r="R655" s="419">
        <v>3</v>
      </c>
      <c r="S655" s="458">
        <v>23868</v>
      </c>
      <c r="T655" s="420" t="s">
        <v>2156</v>
      </c>
      <c r="U655" s="414" t="s">
        <v>3713</v>
      </c>
      <c r="V655" s="414" t="s">
        <v>3714</v>
      </c>
      <c r="W655" s="417" t="s">
        <v>3715</v>
      </c>
      <c r="X655" s="417"/>
      <c r="Y655" s="421" t="s">
        <v>3652</v>
      </c>
      <c r="Z655" s="421" t="s">
        <v>3652</v>
      </c>
      <c r="AA655" s="416" t="s">
        <v>3767</v>
      </c>
      <c r="AB655" s="414" t="s">
        <v>3768</v>
      </c>
      <c r="AC655" s="426"/>
      <c r="AD655" s="421"/>
      <c r="AE655" s="420"/>
      <c r="AF655" s="421">
        <v>90793</v>
      </c>
      <c r="AG655" s="420" t="s">
        <v>4408</v>
      </c>
      <c r="AH655" s="421" t="s">
        <v>3770</v>
      </c>
      <c r="AI655" s="420" t="s">
        <v>3771</v>
      </c>
      <c r="AJ655" s="413" t="str">
        <f t="shared" si="43"/>
        <v>4590007617_003</v>
      </c>
      <c r="AK655" s="423" t="s">
        <v>5243</v>
      </c>
      <c r="AL655" s="424">
        <v>45436</v>
      </c>
      <c r="AM655" s="221">
        <v>23868</v>
      </c>
      <c r="AN655" s="424">
        <v>45565</v>
      </c>
      <c r="AO655" s="423"/>
      <c r="AP655" s="413"/>
      <c r="AQ655" s="222"/>
      <c r="AR655" s="424"/>
      <c r="AS655" s="614">
        <f ca="1">表格1_6[[#This Row],[total amount]]/表格1_6[[#This Row],[PO$]]</f>
        <v>1</v>
      </c>
      <c r="AT655" s="223">
        <f ca="1">表格1_6[[#This Row],[invoice amount]]+表格1_6[[#This Row],[invoice amount2]]</f>
        <v>23868</v>
      </c>
      <c r="AU655" s="224" t="s">
        <v>3725</v>
      </c>
      <c r="AV655" s="423"/>
      <c r="AW655" s="423" t="e">
        <f ca="1">VLOOKUP(表格1_6[[#This Row],[TI tool ID2]],工作表1!A:A,1,FALSE)</f>
        <v>#N/A</v>
      </c>
      <c r="AX655" s="425" t="e">
        <f ca="1">VLOOKUP(表格1_6[[#This Row],[PO+ITEM]],工作表1!B:E,2,FALSE)</f>
        <v>#N/A</v>
      </c>
      <c r="AY655" s="425" t="e">
        <f ca="1">VLOOKUP(表格1_6[[#This Row],[PO+ITEM]],工作表1!B:E,3,FALSE)</f>
        <v>#N/A</v>
      </c>
      <c r="AZ655" s="423" t="e">
        <f ca="1">VLOOKUP(表格1_6[[#This Row],[PO+ITEM]],工作表1!B:E,4,FALSE)</f>
        <v>#N/A</v>
      </c>
      <c r="BA655" s="425" t="e">
        <f ca="1">INDEX(工作表1!G:G, MATCH(表格1_6[[#This Row],[invoice number]]&amp;表格1_6[[#This Row],[invoice number2]],工作表1!G:G, 0))</f>
        <v>#N/A</v>
      </c>
      <c r="BB655" s="423" t="e">
        <f ca="1">VLOOKUP(表格1_6[[#This Row],[PO+ITEM]],工作表1!F:H,2,FALSE)</f>
        <v>#N/A</v>
      </c>
    </row>
    <row r="656" spans="1:54" ht="14.45">
      <c r="A656" s="413">
        <v>655</v>
      </c>
      <c r="B656" s="413" t="s">
        <v>3659</v>
      </c>
      <c r="C656" s="414" t="s">
        <v>17</v>
      </c>
      <c r="D656" s="414" t="s">
        <v>3648</v>
      </c>
      <c r="E656" s="414"/>
      <c r="F656" s="414"/>
      <c r="G656" s="414"/>
      <c r="H656" s="414"/>
      <c r="I656" s="414"/>
      <c r="J656" s="414"/>
      <c r="K656" s="414"/>
      <c r="L656" s="420" t="s">
        <v>5244</v>
      </c>
      <c r="M656" s="416" t="s">
        <v>2999</v>
      </c>
      <c r="N656" s="416" t="s">
        <v>2999</v>
      </c>
      <c r="O656" s="417"/>
      <c r="P656" s="416">
        <v>4590007617</v>
      </c>
      <c r="Q656" s="418">
        <v>44855</v>
      </c>
      <c r="R656" s="419">
        <v>4</v>
      </c>
      <c r="S656" s="458">
        <v>23868</v>
      </c>
      <c r="T656" s="420" t="s">
        <v>2156</v>
      </c>
      <c r="U656" s="414" t="s">
        <v>3713</v>
      </c>
      <c r="V656" s="414" t="s">
        <v>3714</v>
      </c>
      <c r="W656" s="417" t="s">
        <v>3715</v>
      </c>
      <c r="X656" s="417"/>
      <c r="Y656" s="421" t="s">
        <v>3652</v>
      </c>
      <c r="Z656" s="421" t="s">
        <v>3652</v>
      </c>
      <c r="AA656" s="416" t="s">
        <v>3767</v>
      </c>
      <c r="AB656" s="414" t="s">
        <v>3768</v>
      </c>
      <c r="AC656" s="426"/>
      <c r="AD656" s="421"/>
      <c r="AE656" s="420"/>
      <c r="AF656" s="421">
        <v>90794</v>
      </c>
      <c r="AG656" s="420" t="s">
        <v>4411</v>
      </c>
      <c r="AH656" s="421" t="s">
        <v>3770</v>
      </c>
      <c r="AI656" s="420" t="s">
        <v>3771</v>
      </c>
      <c r="AJ656" s="413" t="str">
        <f t="shared" si="43"/>
        <v>4590007617_004</v>
      </c>
      <c r="AK656" s="423"/>
      <c r="AL656" s="413"/>
      <c r="AM656" s="221"/>
      <c r="AN656" s="424"/>
      <c r="AO656" s="423"/>
      <c r="AP656" s="413"/>
      <c r="AQ656" s="222"/>
      <c r="AR656" s="424"/>
      <c r="AS656" s="614">
        <f ca="1">表格1_6[[#This Row],[total amount]]/表格1_6[[#This Row],[PO$]]</f>
        <v>0</v>
      </c>
      <c r="AT656" s="223">
        <f ca="1">表格1_6[[#This Row],[invoice amount]]+表格1_6[[#This Row],[invoice amount2]]</f>
        <v>0</v>
      </c>
      <c r="AU656" s="224"/>
      <c r="AV656" s="423"/>
      <c r="AW656" s="423" t="e">
        <f ca="1">VLOOKUP(表格1_6[[#This Row],[TI tool ID2]],工作表1!A:A,1,FALSE)</f>
        <v>#N/A</v>
      </c>
      <c r="AX656" s="425" t="e">
        <f ca="1">VLOOKUP(表格1_6[[#This Row],[PO+ITEM]],工作表1!B:E,2,FALSE)</f>
        <v>#N/A</v>
      </c>
      <c r="AY656" s="425" t="e">
        <f ca="1">VLOOKUP(表格1_6[[#This Row],[PO+ITEM]],工作表1!B:E,3,FALSE)</f>
        <v>#N/A</v>
      </c>
      <c r="AZ656" s="423" t="e">
        <f ca="1">VLOOKUP(表格1_6[[#This Row],[PO+ITEM]],工作表1!B:E,4,FALSE)</f>
        <v>#N/A</v>
      </c>
      <c r="BA656" s="425" t="e">
        <f ca="1">INDEX(工作表1!G:G, MATCH(表格1_6[[#This Row],[invoice number]]&amp;表格1_6[[#This Row],[invoice number2]],工作表1!G:G, 0))</f>
        <v>#N/A</v>
      </c>
      <c r="BB656" s="423" t="e">
        <f ca="1">VLOOKUP(表格1_6[[#This Row],[PO+ITEM]],工作表1!F:H,2,FALSE)</f>
        <v>#N/A</v>
      </c>
    </row>
    <row r="657" spans="1:54" ht="14.45">
      <c r="A657" s="413">
        <v>656</v>
      </c>
      <c r="B657" s="413" t="s">
        <v>3659</v>
      </c>
      <c r="C657" s="414" t="s">
        <v>17</v>
      </c>
      <c r="D657" s="414" t="s">
        <v>3648</v>
      </c>
      <c r="E657" s="414"/>
      <c r="F657" s="414"/>
      <c r="G657" s="414"/>
      <c r="H657" s="414"/>
      <c r="I657" s="414"/>
      <c r="J657" s="414"/>
      <c r="K657" s="414"/>
      <c r="L657" s="415" t="s">
        <v>5245</v>
      </c>
      <c r="M657" s="416" t="s">
        <v>2999</v>
      </c>
      <c r="N657" s="416" t="s">
        <v>2999</v>
      </c>
      <c r="O657" s="417"/>
      <c r="P657" s="416">
        <v>4590007617</v>
      </c>
      <c r="Q657" s="418">
        <v>44855</v>
      </c>
      <c r="R657" s="419">
        <v>5</v>
      </c>
      <c r="S657" s="458">
        <v>23868</v>
      </c>
      <c r="T657" s="420" t="s">
        <v>2156</v>
      </c>
      <c r="U657" s="414" t="s">
        <v>3713</v>
      </c>
      <c r="V657" s="414" t="s">
        <v>3714</v>
      </c>
      <c r="W657" s="417" t="s">
        <v>3715</v>
      </c>
      <c r="X657" s="417"/>
      <c r="Y657" s="421" t="s">
        <v>3652</v>
      </c>
      <c r="Z657" s="421" t="s">
        <v>3652</v>
      </c>
      <c r="AA657" s="416" t="s">
        <v>3767</v>
      </c>
      <c r="AB657" s="414" t="s">
        <v>3768</v>
      </c>
      <c r="AC657" s="426"/>
      <c r="AD657" s="421"/>
      <c r="AE657" s="420"/>
      <c r="AF657" s="421">
        <v>91120</v>
      </c>
      <c r="AG657" s="420" t="s">
        <v>4954</v>
      </c>
      <c r="AH657" s="421" t="s">
        <v>3770</v>
      </c>
      <c r="AI657" s="420" t="s">
        <v>3771</v>
      </c>
      <c r="AJ657" s="413" t="str">
        <f t="shared" si="43"/>
        <v>4590007617_005</v>
      </c>
      <c r="AK657" s="423"/>
      <c r="AL657" s="413"/>
      <c r="AM657" s="221"/>
      <c r="AN657" s="424"/>
      <c r="AO657" s="423"/>
      <c r="AP657" s="413"/>
      <c r="AQ657" s="222"/>
      <c r="AR657" s="424"/>
      <c r="AS657" s="614">
        <f ca="1">表格1_6[[#This Row],[total amount]]/表格1_6[[#This Row],[PO$]]</f>
        <v>0</v>
      </c>
      <c r="AT657" s="223">
        <f ca="1">表格1_6[[#This Row],[invoice amount]]+表格1_6[[#This Row],[invoice amount2]]</f>
        <v>0</v>
      </c>
      <c r="AU657" s="224"/>
      <c r="AV657" s="423"/>
      <c r="AW657" s="423" t="e">
        <f ca="1">VLOOKUP(表格1_6[[#This Row],[TI tool ID2]],工作表1!A:A,1,FALSE)</f>
        <v>#N/A</v>
      </c>
      <c r="AX657" s="425" t="e">
        <f ca="1">VLOOKUP(表格1_6[[#This Row],[PO+ITEM]],工作表1!B:E,2,FALSE)</f>
        <v>#N/A</v>
      </c>
      <c r="AY657" s="425" t="e">
        <f ca="1">VLOOKUP(表格1_6[[#This Row],[PO+ITEM]],工作表1!B:E,3,FALSE)</f>
        <v>#N/A</v>
      </c>
      <c r="AZ657" s="423" t="e">
        <f ca="1">VLOOKUP(表格1_6[[#This Row],[PO+ITEM]],工作表1!B:E,4,FALSE)</f>
        <v>#N/A</v>
      </c>
      <c r="BA657" s="425" t="e">
        <f ca="1">INDEX(工作表1!G:G, MATCH(表格1_6[[#This Row],[invoice number]]&amp;表格1_6[[#This Row],[invoice number2]],工作表1!G:G, 0))</f>
        <v>#N/A</v>
      </c>
      <c r="BB657" s="423" t="e">
        <f ca="1">VLOOKUP(表格1_6[[#This Row],[PO+ITEM]],工作表1!F:H,2,FALSE)</f>
        <v>#N/A</v>
      </c>
    </row>
    <row r="658" spans="1:54" ht="14.45">
      <c r="A658" s="413">
        <v>657</v>
      </c>
      <c r="B658" s="413" t="s">
        <v>3659</v>
      </c>
      <c r="C658" s="414" t="s">
        <v>17</v>
      </c>
      <c r="D658" s="414" t="s">
        <v>3648</v>
      </c>
      <c r="E658" s="414"/>
      <c r="F658" s="414"/>
      <c r="G658" s="414"/>
      <c r="H658" s="414"/>
      <c r="I658" s="414"/>
      <c r="J658" s="414"/>
      <c r="K658" s="414"/>
      <c r="L658" s="415" t="s">
        <v>5246</v>
      </c>
      <c r="M658" s="416" t="s">
        <v>2999</v>
      </c>
      <c r="N658" s="416" t="s">
        <v>2999</v>
      </c>
      <c r="O658" s="417"/>
      <c r="P658" s="416">
        <v>4590007617</v>
      </c>
      <c r="Q658" s="418">
        <v>44855</v>
      </c>
      <c r="R658" s="419">
        <v>6</v>
      </c>
      <c r="S658" s="458">
        <v>23868</v>
      </c>
      <c r="T658" s="420" t="s">
        <v>2156</v>
      </c>
      <c r="U658" s="414" t="s">
        <v>3713</v>
      </c>
      <c r="V658" s="414" t="s">
        <v>3714</v>
      </c>
      <c r="W658" s="417" t="s">
        <v>3715</v>
      </c>
      <c r="X658" s="417"/>
      <c r="Y658" s="421" t="s">
        <v>3652</v>
      </c>
      <c r="Z658" s="421" t="s">
        <v>3652</v>
      </c>
      <c r="AA658" s="416" t="s">
        <v>3767</v>
      </c>
      <c r="AB658" s="414" t="s">
        <v>3768</v>
      </c>
      <c r="AC658" s="426"/>
      <c r="AD658" s="421"/>
      <c r="AE658" s="420"/>
      <c r="AF658" s="421">
        <v>91132</v>
      </c>
      <c r="AG658" s="420" t="s">
        <v>4956</v>
      </c>
      <c r="AH658" s="421" t="s">
        <v>3770</v>
      </c>
      <c r="AI658" s="420" t="s">
        <v>3771</v>
      </c>
      <c r="AJ658" s="413" t="str">
        <f t="shared" si="43"/>
        <v>4590007617_006</v>
      </c>
      <c r="AK658" s="423"/>
      <c r="AL658" s="413"/>
      <c r="AM658" s="221"/>
      <c r="AN658" s="424"/>
      <c r="AO658" s="423"/>
      <c r="AP658" s="413"/>
      <c r="AQ658" s="222"/>
      <c r="AR658" s="424"/>
      <c r="AS658" s="614">
        <f ca="1">表格1_6[[#This Row],[total amount]]/表格1_6[[#This Row],[PO$]]</f>
        <v>0</v>
      </c>
      <c r="AT658" s="223">
        <f ca="1">表格1_6[[#This Row],[invoice amount]]+表格1_6[[#This Row],[invoice amount2]]</f>
        <v>0</v>
      </c>
      <c r="AU658" s="224"/>
      <c r="AV658" s="423"/>
      <c r="AW658" s="423" t="e">
        <f ca="1">VLOOKUP(表格1_6[[#This Row],[TI tool ID2]],工作表1!A:A,1,FALSE)</f>
        <v>#N/A</v>
      </c>
      <c r="AX658" s="425" t="e">
        <f ca="1">VLOOKUP(表格1_6[[#This Row],[PO+ITEM]],工作表1!B:E,2,FALSE)</f>
        <v>#N/A</v>
      </c>
      <c r="AY658" s="425" t="e">
        <f ca="1">VLOOKUP(表格1_6[[#This Row],[PO+ITEM]],工作表1!B:E,3,FALSE)</f>
        <v>#N/A</v>
      </c>
      <c r="AZ658" s="423" t="e">
        <f ca="1">VLOOKUP(表格1_6[[#This Row],[PO+ITEM]],工作表1!B:E,4,FALSE)</f>
        <v>#N/A</v>
      </c>
      <c r="BA658" s="425" t="e">
        <f ca="1">INDEX(工作表1!G:G, MATCH(表格1_6[[#This Row],[invoice number]]&amp;表格1_6[[#This Row],[invoice number2]],工作表1!G:G, 0))</f>
        <v>#N/A</v>
      </c>
      <c r="BB658" s="423" t="e">
        <f ca="1">VLOOKUP(表格1_6[[#This Row],[PO+ITEM]],工作表1!F:H,2,FALSE)</f>
        <v>#N/A</v>
      </c>
    </row>
    <row r="659" spans="1:54" ht="14.45">
      <c r="A659" s="413">
        <v>658</v>
      </c>
      <c r="B659" s="413" t="s">
        <v>3659</v>
      </c>
      <c r="C659" s="414" t="s">
        <v>17</v>
      </c>
      <c r="D659" s="414" t="s">
        <v>3648</v>
      </c>
      <c r="E659" s="414"/>
      <c r="F659" s="414"/>
      <c r="G659" s="414"/>
      <c r="H659" s="414"/>
      <c r="I659" s="414"/>
      <c r="J659" s="414"/>
      <c r="K659" s="414"/>
      <c r="L659" s="415" t="s">
        <v>5247</v>
      </c>
      <c r="M659" s="416" t="s">
        <v>2999</v>
      </c>
      <c r="N659" s="416" t="s">
        <v>2999</v>
      </c>
      <c r="O659" s="417"/>
      <c r="P659" s="416">
        <v>4590007617</v>
      </c>
      <c r="Q659" s="418">
        <v>44855</v>
      </c>
      <c r="R659" s="419">
        <v>7</v>
      </c>
      <c r="S659" s="458">
        <v>23868</v>
      </c>
      <c r="T659" s="420" t="s">
        <v>2156</v>
      </c>
      <c r="U659" s="414" t="s">
        <v>3713</v>
      </c>
      <c r="V659" s="414" t="s">
        <v>3714</v>
      </c>
      <c r="W659" s="417" t="s">
        <v>3715</v>
      </c>
      <c r="X659" s="417"/>
      <c r="Y659" s="421" t="s">
        <v>3652</v>
      </c>
      <c r="Z659" s="421" t="s">
        <v>3652</v>
      </c>
      <c r="AA659" s="416" t="s">
        <v>3767</v>
      </c>
      <c r="AB659" s="414" t="s">
        <v>3768</v>
      </c>
      <c r="AC659" s="426"/>
      <c r="AD659" s="421"/>
      <c r="AE659" s="420"/>
      <c r="AF659" s="421">
        <v>91133</v>
      </c>
      <c r="AG659" s="420" t="s">
        <v>4958</v>
      </c>
      <c r="AH659" s="421" t="s">
        <v>3770</v>
      </c>
      <c r="AI659" s="420" t="s">
        <v>3771</v>
      </c>
      <c r="AJ659" s="413" t="str">
        <f t="shared" si="43"/>
        <v>4590007617_007</v>
      </c>
      <c r="AK659" s="423"/>
      <c r="AL659" s="413"/>
      <c r="AM659" s="221"/>
      <c r="AN659" s="424"/>
      <c r="AO659" s="423"/>
      <c r="AP659" s="413"/>
      <c r="AQ659" s="222"/>
      <c r="AR659" s="424"/>
      <c r="AS659" s="614">
        <f ca="1">表格1_6[[#This Row],[total amount]]/表格1_6[[#This Row],[PO$]]</f>
        <v>0</v>
      </c>
      <c r="AT659" s="223">
        <f ca="1">表格1_6[[#This Row],[invoice amount]]+表格1_6[[#This Row],[invoice amount2]]</f>
        <v>0</v>
      </c>
      <c r="AU659" s="224"/>
      <c r="AV659" s="423"/>
      <c r="AW659" s="423" t="e">
        <f ca="1">VLOOKUP(表格1_6[[#This Row],[TI tool ID2]],工作表1!A:A,1,FALSE)</f>
        <v>#N/A</v>
      </c>
      <c r="AX659" s="425" t="e">
        <f ca="1">VLOOKUP(表格1_6[[#This Row],[PO+ITEM]],工作表1!B:E,2,FALSE)</f>
        <v>#N/A</v>
      </c>
      <c r="AY659" s="425" t="e">
        <f ca="1">VLOOKUP(表格1_6[[#This Row],[PO+ITEM]],工作表1!B:E,3,FALSE)</f>
        <v>#N/A</v>
      </c>
      <c r="AZ659" s="423" t="e">
        <f ca="1">VLOOKUP(表格1_6[[#This Row],[PO+ITEM]],工作表1!B:E,4,FALSE)</f>
        <v>#N/A</v>
      </c>
      <c r="BA659" s="425" t="e">
        <f ca="1">INDEX(工作表1!G:G, MATCH(表格1_6[[#This Row],[invoice number]]&amp;表格1_6[[#This Row],[invoice number2]],工作表1!G:G, 0))</f>
        <v>#N/A</v>
      </c>
      <c r="BB659" s="423" t="e">
        <f ca="1">VLOOKUP(表格1_6[[#This Row],[PO+ITEM]],工作表1!F:H,2,FALSE)</f>
        <v>#N/A</v>
      </c>
    </row>
    <row r="660" spans="1:54" ht="15.6">
      <c r="A660" s="413">
        <v>659</v>
      </c>
      <c r="B660" s="413" t="s">
        <v>3674</v>
      </c>
      <c r="C660" s="414" t="s">
        <v>17</v>
      </c>
      <c r="D660" s="414" t="s">
        <v>3648</v>
      </c>
      <c r="E660" s="414"/>
      <c r="F660" s="414"/>
      <c r="G660" s="414"/>
      <c r="H660" s="414"/>
      <c r="I660" s="414"/>
      <c r="J660" s="414"/>
      <c r="K660" s="414"/>
      <c r="L660" s="420" t="s">
        <v>5248</v>
      </c>
      <c r="M660" s="416" t="s">
        <v>2999</v>
      </c>
      <c r="N660" s="416" t="s">
        <v>2999</v>
      </c>
      <c r="O660" s="417"/>
      <c r="P660" s="416">
        <v>4590007617</v>
      </c>
      <c r="Q660" s="418">
        <v>44855</v>
      </c>
      <c r="R660" s="419">
        <v>8</v>
      </c>
      <c r="S660" s="458">
        <v>23868</v>
      </c>
      <c r="T660" s="420" t="s">
        <v>2156</v>
      </c>
      <c r="U660" s="414" t="s">
        <v>3713</v>
      </c>
      <c r="V660" s="414" t="s">
        <v>3714</v>
      </c>
      <c r="W660" s="417" t="s">
        <v>3715</v>
      </c>
      <c r="X660" s="417"/>
      <c r="Y660" s="421" t="s">
        <v>3652</v>
      </c>
      <c r="Z660" s="421" t="s">
        <v>3652</v>
      </c>
      <c r="AA660" s="416" t="s">
        <v>3767</v>
      </c>
      <c r="AB660" s="414" t="s">
        <v>3768</v>
      </c>
      <c r="AC660" s="426"/>
      <c r="AD660" s="421"/>
      <c r="AE660" s="420"/>
      <c r="AF660" s="421">
        <v>90813</v>
      </c>
      <c r="AG660" s="420" t="s">
        <v>4396</v>
      </c>
      <c r="AH660" s="421" t="s">
        <v>3770</v>
      </c>
      <c r="AI660" s="420" t="s">
        <v>3771</v>
      </c>
      <c r="AJ660" s="413" t="str">
        <f t="shared" si="43"/>
        <v>4590007617_008</v>
      </c>
      <c r="AK660" s="423" t="s">
        <v>5249</v>
      </c>
      <c r="AL660" s="424">
        <v>45401</v>
      </c>
      <c r="AM660" s="221">
        <v>23868</v>
      </c>
      <c r="AN660" s="431">
        <v>45458</v>
      </c>
      <c r="AO660" s="423"/>
      <c r="AP660" s="413"/>
      <c r="AQ660" s="222"/>
      <c r="AR660" s="424"/>
      <c r="AS660" s="614">
        <f ca="1">表格1_6[[#This Row],[total amount]]/表格1_6[[#This Row],[PO$]]</f>
        <v>1</v>
      </c>
      <c r="AT660" s="223">
        <f ca="1">表格1_6[[#This Row],[invoice amount]]+表格1_6[[#This Row],[invoice amount2]]</f>
        <v>23868</v>
      </c>
      <c r="AU660" s="224" t="s">
        <v>3725</v>
      </c>
      <c r="AV660" s="423" t="s">
        <v>3773</v>
      </c>
      <c r="AW660" s="423" t="e">
        <f ca="1">VLOOKUP(表格1_6[[#This Row],[TI tool ID2]],工作表1!A:A,1,FALSE)</f>
        <v>#N/A</v>
      </c>
      <c r="AX660" s="425" t="e">
        <f ca="1">VLOOKUP(表格1_6[[#This Row],[PO+ITEM]],工作表1!B:E,2,FALSE)</f>
        <v>#N/A</v>
      </c>
      <c r="AY660" s="425" t="e">
        <f ca="1">VLOOKUP(表格1_6[[#This Row],[PO+ITEM]],工作表1!B:E,3,FALSE)</f>
        <v>#N/A</v>
      </c>
      <c r="AZ660" s="423" t="e">
        <f ca="1">VLOOKUP(表格1_6[[#This Row],[PO+ITEM]],工作表1!B:E,4,FALSE)</f>
        <v>#N/A</v>
      </c>
      <c r="BA660" s="425" t="e">
        <f ca="1">INDEX(工作表1!G:G, MATCH(表格1_6[[#This Row],[invoice number]]&amp;表格1_6[[#This Row],[invoice number2]],工作表1!G:G, 0))</f>
        <v>#N/A</v>
      </c>
      <c r="BB660" s="423" t="e">
        <f ca="1">VLOOKUP(表格1_6[[#This Row],[PO+ITEM]],工作表1!F:H,2,FALSE)</f>
        <v>#N/A</v>
      </c>
    </row>
    <row r="661" spans="1:54" ht="14.45">
      <c r="A661" s="413">
        <v>660</v>
      </c>
      <c r="B661" s="413" t="s">
        <v>3674</v>
      </c>
      <c r="C661" s="414" t="s">
        <v>17</v>
      </c>
      <c r="D661" s="414" t="s">
        <v>3648</v>
      </c>
      <c r="E661" s="414"/>
      <c r="F661" s="414"/>
      <c r="G661" s="414"/>
      <c r="H661" s="414"/>
      <c r="I661" s="414"/>
      <c r="J661" s="414"/>
      <c r="K661" s="414"/>
      <c r="L661" s="415" t="s">
        <v>5250</v>
      </c>
      <c r="M661" s="416" t="s">
        <v>2999</v>
      </c>
      <c r="N661" s="416" t="s">
        <v>2999</v>
      </c>
      <c r="O661" s="417"/>
      <c r="P661" s="416">
        <v>4590007617</v>
      </c>
      <c r="Q661" s="418">
        <v>44855</v>
      </c>
      <c r="R661" s="419">
        <v>9</v>
      </c>
      <c r="S661" s="458">
        <v>23868</v>
      </c>
      <c r="T661" s="420" t="s">
        <v>2156</v>
      </c>
      <c r="U661" s="414" t="s">
        <v>3713</v>
      </c>
      <c r="V661" s="414" t="s">
        <v>3714</v>
      </c>
      <c r="W661" s="417" t="s">
        <v>3715</v>
      </c>
      <c r="X661" s="417"/>
      <c r="Y661" s="421" t="s">
        <v>3652</v>
      </c>
      <c r="Z661" s="421" t="s">
        <v>3652</v>
      </c>
      <c r="AA661" s="416" t="s">
        <v>3767</v>
      </c>
      <c r="AB661" s="414" t="s">
        <v>3768</v>
      </c>
      <c r="AC661" s="426"/>
      <c r="AD661" s="421"/>
      <c r="AE661" s="420"/>
      <c r="AF661" s="421">
        <v>90814</v>
      </c>
      <c r="AG661" s="420" t="s">
        <v>4399</v>
      </c>
      <c r="AH661" s="421" t="s">
        <v>3770</v>
      </c>
      <c r="AI661" s="420" t="s">
        <v>3771</v>
      </c>
      <c r="AJ661" s="413" t="str">
        <f t="shared" si="43"/>
        <v>4590007617_009</v>
      </c>
      <c r="AK661" s="423" t="s">
        <v>5251</v>
      </c>
      <c r="AL661" s="424">
        <v>45401</v>
      </c>
      <c r="AM661" s="221">
        <v>23868</v>
      </c>
      <c r="AN661" s="424">
        <v>45519</v>
      </c>
      <c r="AO661" s="423"/>
      <c r="AP661" s="413"/>
      <c r="AQ661" s="222"/>
      <c r="AR661" s="424"/>
      <c r="AS661" s="614">
        <f ca="1">表格1_6[[#This Row],[total amount]]/表格1_6[[#This Row],[PO$]]</f>
        <v>1</v>
      </c>
      <c r="AT661" s="223">
        <f ca="1">表格1_6[[#This Row],[invoice amount]]+表格1_6[[#This Row],[invoice amount2]]</f>
        <v>23868</v>
      </c>
      <c r="AU661" s="224" t="s">
        <v>3657</v>
      </c>
      <c r="AV661" s="423"/>
      <c r="AW661" s="423" t="e">
        <f ca="1">VLOOKUP(表格1_6[[#This Row],[TI tool ID2]],工作表1!A:A,1,FALSE)</f>
        <v>#N/A</v>
      </c>
      <c r="AX661" s="425" t="e">
        <f ca="1">VLOOKUP(表格1_6[[#This Row],[PO+ITEM]],工作表1!B:E,2,FALSE)</f>
        <v>#N/A</v>
      </c>
      <c r="AY661" s="425" t="e">
        <f ca="1">VLOOKUP(表格1_6[[#This Row],[PO+ITEM]],工作表1!B:E,3,FALSE)</f>
        <v>#N/A</v>
      </c>
      <c r="AZ661" s="423" t="e">
        <f ca="1">VLOOKUP(表格1_6[[#This Row],[PO+ITEM]],工作表1!B:E,4,FALSE)</f>
        <v>#N/A</v>
      </c>
      <c r="BA661" s="425" t="e">
        <f ca="1">INDEX(工作表1!G:G, MATCH(表格1_6[[#This Row],[invoice number]]&amp;表格1_6[[#This Row],[invoice number2]],工作表1!G:G, 0))</f>
        <v>#N/A</v>
      </c>
      <c r="BB661" s="423" t="e">
        <f ca="1">VLOOKUP(表格1_6[[#This Row],[PO+ITEM]],工作表1!F:H,2,FALSE)</f>
        <v>#N/A</v>
      </c>
    </row>
    <row r="662" spans="1:54" ht="14.45">
      <c r="A662" s="413">
        <v>661</v>
      </c>
      <c r="B662" s="413" t="s">
        <v>3659</v>
      </c>
      <c r="C662" s="414" t="s">
        <v>17</v>
      </c>
      <c r="D662" s="414" t="s">
        <v>3648</v>
      </c>
      <c r="E662" s="414"/>
      <c r="F662" s="414"/>
      <c r="G662" s="414"/>
      <c r="H662" s="414"/>
      <c r="I662" s="414"/>
      <c r="J662" s="414"/>
      <c r="K662" s="414"/>
      <c r="L662" s="415" t="s">
        <v>5252</v>
      </c>
      <c r="M662" s="416" t="s">
        <v>2999</v>
      </c>
      <c r="N662" s="416" t="s">
        <v>2999</v>
      </c>
      <c r="O662" s="417"/>
      <c r="P662" s="416">
        <v>4590007617</v>
      </c>
      <c r="Q662" s="418">
        <v>44855</v>
      </c>
      <c r="R662" s="419">
        <v>10</v>
      </c>
      <c r="S662" s="458">
        <v>23868</v>
      </c>
      <c r="T662" s="420" t="s">
        <v>2156</v>
      </c>
      <c r="U662" s="414" t="s">
        <v>3713</v>
      </c>
      <c r="V662" s="414" t="s">
        <v>3714</v>
      </c>
      <c r="W662" s="417" t="s">
        <v>3715</v>
      </c>
      <c r="X662" s="417"/>
      <c r="Y662" s="421" t="s">
        <v>3652</v>
      </c>
      <c r="Z662" s="421" t="s">
        <v>3652</v>
      </c>
      <c r="AA662" s="416" t="s">
        <v>3767</v>
      </c>
      <c r="AB662" s="414" t="s">
        <v>3768</v>
      </c>
      <c r="AC662" s="426"/>
      <c r="AD662" s="421"/>
      <c r="AE662" s="420"/>
      <c r="AF662" s="421">
        <v>91134</v>
      </c>
      <c r="AG662" s="420" t="s">
        <v>4960</v>
      </c>
      <c r="AH662" s="421" t="s">
        <v>3770</v>
      </c>
      <c r="AI662" s="420" t="s">
        <v>3771</v>
      </c>
      <c r="AJ662" s="413" t="str">
        <f>P662&amp;"_0"&amp;R662</f>
        <v>4590007617_010</v>
      </c>
      <c r="AK662" s="423"/>
      <c r="AL662" s="413"/>
      <c r="AM662" s="221"/>
      <c r="AN662" s="424"/>
      <c r="AO662" s="423"/>
      <c r="AP662" s="413"/>
      <c r="AQ662" s="222"/>
      <c r="AR662" s="424"/>
      <c r="AS662" s="614">
        <f ca="1">表格1_6[[#This Row],[total amount]]/表格1_6[[#This Row],[PO$]]</f>
        <v>0</v>
      </c>
      <c r="AT662" s="223">
        <f ca="1">表格1_6[[#This Row],[invoice amount]]+表格1_6[[#This Row],[invoice amount2]]</f>
        <v>0</v>
      </c>
      <c r="AU662" s="224"/>
      <c r="AV662" s="423"/>
      <c r="AW662" s="423" t="e">
        <f ca="1">VLOOKUP(表格1_6[[#This Row],[TI tool ID2]],工作表1!A:A,1,FALSE)</f>
        <v>#N/A</v>
      </c>
      <c r="AX662" s="425" t="e">
        <f ca="1">VLOOKUP(表格1_6[[#This Row],[PO+ITEM]],工作表1!B:E,2,FALSE)</f>
        <v>#N/A</v>
      </c>
      <c r="AY662" s="425" t="e">
        <f ca="1">VLOOKUP(表格1_6[[#This Row],[PO+ITEM]],工作表1!B:E,3,FALSE)</f>
        <v>#N/A</v>
      </c>
      <c r="AZ662" s="423" t="e">
        <f ca="1">VLOOKUP(表格1_6[[#This Row],[PO+ITEM]],工作表1!B:E,4,FALSE)</f>
        <v>#N/A</v>
      </c>
      <c r="BA662" s="425" t="e">
        <f ca="1">INDEX(工作表1!G:G, MATCH(表格1_6[[#This Row],[invoice number]]&amp;表格1_6[[#This Row],[invoice number2]],工作表1!G:G, 0))</f>
        <v>#N/A</v>
      </c>
      <c r="BB662" s="423" t="e">
        <f ca="1">VLOOKUP(表格1_6[[#This Row],[PO+ITEM]],工作表1!F:H,2,FALSE)</f>
        <v>#N/A</v>
      </c>
    </row>
    <row r="663" spans="1:54" s="429" customFormat="1" ht="14.45">
      <c r="A663" s="413">
        <v>662</v>
      </c>
      <c r="B663" s="566" t="s">
        <v>3765</v>
      </c>
      <c r="C663" s="509" t="s">
        <v>17</v>
      </c>
      <c r="D663" s="509" t="s">
        <v>3648</v>
      </c>
      <c r="E663" s="509"/>
      <c r="F663" s="509"/>
      <c r="G663" s="509"/>
      <c r="H663" s="509"/>
      <c r="I663" s="509"/>
      <c r="J663" s="509"/>
      <c r="K663" s="509"/>
      <c r="L663" s="524" t="s">
        <v>5253</v>
      </c>
      <c r="M663" s="510" t="s">
        <v>2999</v>
      </c>
      <c r="N663" s="510" t="s">
        <v>2999</v>
      </c>
      <c r="O663" s="511"/>
      <c r="P663" s="510">
        <v>4590007617</v>
      </c>
      <c r="Q663" s="512">
        <v>44855</v>
      </c>
      <c r="R663" s="517">
        <v>11</v>
      </c>
      <c r="S663" s="545"/>
      <c r="T663" s="513" t="s">
        <v>2156</v>
      </c>
      <c r="U663" s="509" t="s">
        <v>3713</v>
      </c>
      <c r="V663" s="509" t="s">
        <v>3714</v>
      </c>
      <c r="W663" s="511" t="s">
        <v>3715</v>
      </c>
      <c r="X663" s="511"/>
      <c r="Y663" s="514" t="s">
        <v>3652</v>
      </c>
      <c r="Z663" s="514" t="s">
        <v>3652</v>
      </c>
      <c r="AA663" s="510" t="s">
        <v>3767</v>
      </c>
      <c r="AB663" s="509" t="s">
        <v>3768</v>
      </c>
      <c r="AC663" s="525"/>
      <c r="AD663" s="514"/>
      <c r="AE663" s="513"/>
      <c r="AF663" s="514">
        <v>91135</v>
      </c>
      <c r="AG663" s="513" t="s">
        <v>4962</v>
      </c>
      <c r="AH663" s="514" t="s">
        <v>3770</v>
      </c>
      <c r="AI663" s="513" t="s">
        <v>3771</v>
      </c>
      <c r="AJ663" s="516" t="str">
        <f>P663&amp;"_0"&amp;R663</f>
        <v>4590007617_011</v>
      </c>
      <c r="AK663" s="518"/>
      <c r="AL663" s="516"/>
      <c r="AM663" s="519"/>
      <c r="AN663" s="520"/>
      <c r="AO663" s="518"/>
      <c r="AP663" s="516"/>
      <c r="AQ663" s="521"/>
      <c r="AR663" s="520"/>
      <c r="AS663" s="615"/>
      <c r="AT663" s="572">
        <f ca="1">表格1_6[[#This Row],[invoice amount]]+表格1_6[[#This Row],[invoice amount2]]</f>
        <v>0</v>
      </c>
      <c r="AU663" s="566" t="s">
        <v>3765</v>
      </c>
      <c r="AV663" s="522"/>
      <c r="AW663" s="522" t="e">
        <f ca="1">VLOOKUP(表格1_6[[#This Row],[TI tool ID2]],工作表1!A:A,1,FALSE)</f>
        <v>#N/A</v>
      </c>
      <c r="AX663" s="523" t="e">
        <f ca="1">VLOOKUP(表格1_6[[#This Row],[PO+ITEM]],工作表1!B:E,2,FALSE)</f>
        <v>#N/A</v>
      </c>
      <c r="AY663" s="523" t="e">
        <f ca="1">VLOOKUP(表格1_6[[#This Row],[PO+ITEM]],工作表1!B:E,3,FALSE)</f>
        <v>#N/A</v>
      </c>
      <c r="AZ663" s="522" t="e">
        <f ca="1">VLOOKUP(表格1_6[[#This Row],[PO+ITEM]],工作表1!B:E,4,FALSE)</f>
        <v>#N/A</v>
      </c>
      <c r="BA663" s="425" t="e">
        <f ca="1">INDEX(工作表1!G:G, MATCH(表格1_6[[#This Row],[invoice number]]&amp;表格1_6[[#This Row],[invoice number2]],工作表1!G:G, 0))</f>
        <v>#N/A</v>
      </c>
      <c r="BB663" s="522" t="e">
        <f ca="1">VLOOKUP(表格1_6[[#This Row],[PO+ITEM]],工作表1!F:H,2,FALSE)</f>
        <v>#N/A</v>
      </c>
    </row>
    <row r="664" spans="1:54" ht="14.45">
      <c r="A664" s="413">
        <v>663</v>
      </c>
      <c r="B664" s="413" t="s">
        <v>3659</v>
      </c>
      <c r="C664" s="414" t="s">
        <v>17</v>
      </c>
      <c r="D664" s="414" t="s">
        <v>3648</v>
      </c>
      <c r="E664" s="414"/>
      <c r="F664" s="414"/>
      <c r="G664" s="414"/>
      <c r="H664" s="414"/>
      <c r="I664" s="414"/>
      <c r="J664" s="414"/>
      <c r="K664" s="414"/>
      <c r="L664" s="415" t="s">
        <v>5254</v>
      </c>
      <c r="M664" s="416" t="s">
        <v>2999</v>
      </c>
      <c r="N664" s="416" t="s">
        <v>2999</v>
      </c>
      <c r="O664" s="417"/>
      <c r="P664" s="416">
        <v>4590007617</v>
      </c>
      <c r="Q664" s="418">
        <v>44855</v>
      </c>
      <c r="R664" s="419">
        <v>12</v>
      </c>
      <c r="S664" s="458">
        <v>23868</v>
      </c>
      <c r="T664" s="420" t="s">
        <v>2156</v>
      </c>
      <c r="U664" s="414" t="s">
        <v>3713</v>
      </c>
      <c r="V664" s="414" t="s">
        <v>3714</v>
      </c>
      <c r="W664" s="417" t="s">
        <v>3715</v>
      </c>
      <c r="X664" s="417"/>
      <c r="Y664" s="421" t="s">
        <v>3652</v>
      </c>
      <c r="Z664" s="421" t="s">
        <v>3652</v>
      </c>
      <c r="AA664" s="416" t="s">
        <v>3767</v>
      </c>
      <c r="AB664" s="414" t="s">
        <v>3768</v>
      </c>
      <c r="AC664" s="426"/>
      <c r="AD664" s="421"/>
      <c r="AE664" s="420"/>
      <c r="AF664" s="421">
        <v>91140</v>
      </c>
      <c r="AG664" s="420" t="s">
        <v>4968</v>
      </c>
      <c r="AH664" s="421" t="s">
        <v>3770</v>
      </c>
      <c r="AI664" s="420" t="s">
        <v>3771</v>
      </c>
      <c r="AJ664" s="413" t="str">
        <f>P664&amp;"_0"&amp;R664</f>
        <v>4590007617_012</v>
      </c>
      <c r="AK664" s="423"/>
      <c r="AL664" s="413"/>
      <c r="AM664" s="221"/>
      <c r="AN664" s="424"/>
      <c r="AO664" s="423"/>
      <c r="AP664" s="413"/>
      <c r="AQ664" s="222"/>
      <c r="AR664" s="424"/>
      <c r="AS664" s="614">
        <f ca="1">表格1_6[[#This Row],[total amount]]/表格1_6[[#This Row],[PO$]]</f>
        <v>0</v>
      </c>
      <c r="AT664" s="223">
        <f ca="1">表格1_6[[#This Row],[invoice amount]]+表格1_6[[#This Row],[invoice amount2]]</f>
        <v>0</v>
      </c>
      <c r="AU664" s="224"/>
      <c r="AV664" s="423"/>
      <c r="AW664" s="423" t="e">
        <f ca="1">VLOOKUP(表格1_6[[#This Row],[TI tool ID2]],工作表1!A:A,1,FALSE)</f>
        <v>#N/A</v>
      </c>
      <c r="AX664" s="425" t="e">
        <f ca="1">VLOOKUP(表格1_6[[#This Row],[PO+ITEM]],工作表1!B:E,2,FALSE)</f>
        <v>#N/A</v>
      </c>
      <c r="AY664" s="425" t="e">
        <f ca="1">VLOOKUP(表格1_6[[#This Row],[PO+ITEM]],工作表1!B:E,3,FALSE)</f>
        <v>#N/A</v>
      </c>
      <c r="AZ664" s="423" t="e">
        <f ca="1">VLOOKUP(表格1_6[[#This Row],[PO+ITEM]],工作表1!B:E,4,FALSE)</f>
        <v>#N/A</v>
      </c>
      <c r="BA664" s="425" t="e">
        <f ca="1">INDEX(工作表1!G:G, MATCH(表格1_6[[#This Row],[invoice number]]&amp;表格1_6[[#This Row],[invoice number2]],工作表1!G:G, 0))</f>
        <v>#N/A</v>
      </c>
      <c r="BB664" s="423" t="e">
        <f ca="1">VLOOKUP(表格1_6[[#This Row],[PO+ITEM]],工作表1!F:H,2,FALSE)</f>
        <v>#N/A</v>
      </c>
    </row>
    <row r="665" spans="1:54" s="429" customFormat="1" ht="14.45">
      <c r="A665" s="413">
        <v>664</v>
      </c>
      <c r="B665" s="566" t="s">
        <v>3765</v>
      </c>
      <c r="C665" s="509" t="s">
        <v>17</v>
      </c>
      <c r="D665" s="509" t="s">
        <v>3648</v>
      </c>
      <c r="E665" s="509"/>
      <c r="F665" s="509"/>
      <c r="G665" s="509"/>
      <c r="H665" s="509"/>
      <c r="I665" s="509"/>
      <c r="J665" s="509"/>
      <c r="K665" s="509"/>
      <c r="L665" s="524" t="s">
        <v>5255</v>
      </c>
      <c r="M665" s="510" t="s">
        <v>2999</v>
      </c>
      <c r="N665" s="510" t="s">
        <v>2999</v>
      </c>
      <c r="O665" s="511"/>
      <c r="P665" s="510">
        <v>4590007617</v>
      </c>
      <c r="Q665" s="512">
        <v>44855</v>
      </c>
      <c r="R665" s="517">
        <v>13</v>
      </c>
      <c r="S665" s="545"/>
      <c r="T665" s="513" t="s">
        <v>2156</v>
      </c>
      <c r="U665" s="509" t="s">
        <v>3713</v>
      </c>
      <c r="V665" s="509" t="s">
        <v>3714</v>
      </c>
      <c r="W665" s="511" t="s">
        <v>3715</v>
      </c>
      <c r="X665" s="511"/>
      <c r="Y665" s="514" t="s">
        <v>3652</v>
      </c>
      <c r="Z665" s="514" t="s">
        <v>3652</v>
      </c>
      <c r="AA665" s="510" t="s">
        <v>3767</v>
      </c>
      <c r="AB665" s="509" t="s">
        <v>3768</v>
      </c>
      <c r="AC665" s="525"/>
      <c r="AD665" s="514"/>
      <c r="AE665" s="513"/>
      <c r="AF665" s="514">
        <v>91139</v>
      </c>
      <c r="AG665" s="513" t="s">
        <v>4966</v>
      </c>
      <c r="AH665" s="514" t="s">
        <v>3770</v>
      </c>
      <c r="AI665" s="513" t="s">
        <v>3771</v>
      </c>
      <c r="AJ665" s="516" t="str">
        <f>P665&amp;"_0"&amp;R665</f>
        <v>4590007617_013</v>
      </c>
      <c r="AK665" s="518"/>
      <c r="AL665" s="516"/>
      <c r="AM665" s="519"/>
      <c r="AN665" s="520"/>
      <c r="AO665" s="518"/>
      <c r="AP665" s="516"/>
      <c r="AQ665" s="521"/>
      <c r="AR665" s="520"/>
      <c r="AS665" s="615"/>
      <c r="AT665" s="572">
        <f ca="1">表格1_6[[#This Row],[invoice amount]]+表格1_6[[#This Row],[invoice amount2]]</f>
        <v>0</v>
      </c>
      <c r="AU665" s="566" t="s">
        <v>3765</v>
      </c>
      <c r="AV665" s="522"/>
      <c r="AW665" s="522" t="e">
        <f ca="1">VLOOKUP(表格1_6[[#This Row],[TI tool ID2]],工作表1!A:A,1,FALSE)</f>
        <v>#N/A</v>
      </c>
      <c r="AX665" s="523" t="e">
        <f ca="1">VLOOKUP(表格1_6[[#This Row],[PO+ITEM]],工作表1!B:E,2,FALSE)</f>
        <v>#N/A</v>
      </c>
      <c r="AY665" s="523" t="e">
        <f ca="1">VLOOKUP(表格1_6[[#This Row],[PO+ITEM]],工作表1!B:E,3,FALSE)</f>
        <v>#N/A</v>
      </c>
      <c r="AZ665" s="522" t="e">
        <f ca="1">VLOOKUP(表格1_6[[#This Row],[PO+ITEM]],工作表1!B:E,4,FALSE)</f>
        <v>#N/A</v>
      </c>
      <c r="BA665" s="425" t="e">
        <f ca="1">INDEX(工作表1!G:G, MATCH(表格1_6[[#This Row],[invoice number]]&amp;表格1_6[[#This Row],[invoice number2]],工作表1!G:G, 0))</f>
        <v>#N/A</v>
      </c>
      <c r="BB665" s="522" t="e">
        <f ca="1">VLOOKUP(表格1_6[[#This Row],[PO+ITEM]],工作表1!F:H,2,FALSE)</f>
        <v>#N/A</v>
      </c>
    </row>
    <row r="666" spans="1:54" ht="14.45">
      <c r="A666" s="413">
        <v>665</v>
      </c>
      <c r="B666" s="413" t="s">
        <v>3659</v>
      </c>
      <c r="C666" s="414" t="s">
        <v>17</v>
      </c>
      <c r="D666" s="414" t="s">
        <v>3648</v>
      </c>
      <c r="E666" s="414"/>
      <c r="F666" s="414"/>
      <c r="G666" s="414"/>
      <c r="H666" s="414"/>
      <c r="I666" s="414"/>
      <c r="J666" s="414"/>
      <c r="K666" s="414"/>
      <c r="L666" s="415" t="s">
        <v>5256</v>
      </c>
      <c r="M666" s="416" t="s">
        <v>2999</v>
      </c>
      <c r="N666" s="416" t="s">
        <v>2999</v>
      </c>
      <c r="O666" s="417"/>
      <c r="P666" s="416">
        <v>4590007620</v>
      </c>
      <c r="Q666" s="418">
        <v>44855</v>
      </c>
      <c r="R666" s="419">
        <v>1</v>
      </c>
      <c r="S666" s="458">
        <v>101760</v>
      </c>
      <c r="T666" s="420" t="s">
        <v>2156</v>
      </c>
      <c r="U666" s="414" t="s">
        <v>3713</v>
      </c>
      <c r="V666" s="414" t="s">
        <v>3714</v>
      </c>
      <c r="W666" s="417" t="s">
        <v>3715</v>
      </c>
      <c r="X666" s="417"/>
      <c r="Y666" s="421" t="s">
        <v>3652</v>
      </c>
      <c r="Z666" s="421" t="s">
        <v>3652</v>
      </c>
      <c r="AA666" s="416"/>
      <c r="AB666" s="414" t="s">
        <v>5257</v>
      </c>
      <c r="AC666" s="426"/>
      <c r="AD666" s="421"/>
      <c r="AE666" s="420"/>
      <c r="AF666" s="421">
        <v>91279</v>
      </c>
      <c r="AG666" s="420" t="s">
        <v>5118</v>
      </c>
      <c r="AH666" s="421" t="s">
        <v>3718</v>
      </c>
      <c r="AI666" s="420" t="s">
        <v>3719</v>
      </c>
      <c r="AJ666" s="413" t="str">
        <f t="shared" ref="AJ666:AJ697" si="44">P666&amp;"_00"&amp;R666</f>
        <v>4590007620_001</v>
      </c>
      <c r="AK666" s="423"/>
      <c r="AL666" s="413"/>
      <c r="AM666" s="221"/>
      <c r="AN666" s="424"/>
      <c r="AO666" s="423"/>
      <c r="AP666" s="413"/>
      <c r="AQ666" s="222"/>
      <c r="AR666" s="424"/>
      <c r="AS666" s="614">
        <f ca="1">表格1_6[[#This Row],[total amount]]/表格1_6[[#This Row],[PO$]]</f>
        <v>0</v>
      </c>
      <c r="AT666" s="223">
        <f ca="1">表格1_6[[#This Row],[invoice amount]]+表格1_6[[#This Row],[invoice amount2]]</f>
        <v>0</v>
      </c>
      <c r="AU666" s="224"/>
      <c r="AV666" s="423"/>
      <c r="AW666" s="423" t="e">
        <f ca="1">VLOOKUP(表格1_6[[#This Row],[TI tool ID2]],工作表1!A:A,1,FALSE)</f>
        <v>#N/A</v>
      </c>
      <c r="AX666" s="425" t="e">
        <f ca="1">VLOOKUP(表格1_6[[#This Row],[PO+ITEM]],工作表1!B:E,2,FALSE)</f>
        <v>#N/A</v>
      </c>
      <c r="AY666" s="425" t="e">
        <f ca="1">VLOOKUP(表格1_6[[#This Row],[PO+ITEM]],工作表1!B:E,3,FALSE)</f>
        <v>#N/A</v>
      </c>
      <c r="AZ666" s="423" t="e">
        <f ca="1">VLOOKUP(表格1_6[[#This Row],[PO+ITEM]],工作表1!B:E,4,FALSE)</f>
        <v>#N/A</v>
      </c>
      <c r="BA666" s="425" t="e">
        <f ca="1">INDEX(工作表1!G:G, MATCH(表格1_6[[#This Row],[invoice number]]&amp;表格1_6[[#This Row],[invoice number2]],工作表1!G:G, 0))</f>
        <v>#N/A</v>
      </c>
      <c r="BB666" s="423" t="e">
        <f ca="1">VLOOKUP(表格1_6[[#This Row],[PO+ITEM]],工作表1!F:H,2,FALSE)</f>
        <v>#N/A</v>
      </c>
    </row>
    <row r="667" spans="1:54" ht="14.45">
      <c r="A667" s="413">
        <v>666</v>
      </c>
      <c r="B667" s="413" t="s">
        <v>3674</v>
      </c>
      <c r="C667" s="414" t="s">
        <v>17</v>
      </c>
      <c r="D667" s="414" t="s">
        <v>3648</v>
      </c>
      <c r="E667" s="414"/>
      <c r="F667" s="414"/>
      <c r="G667" s="414"/>
      <c r="H667" s="414"/>
      <c r="I667" s="414"/>
      <c r="J667" s="414"/>
      <c r="K667" s="414"/>
      <c r="L667" s="415" t="s">
        <v>5258</v>
      </c>
      <c r="M667" s="416" t="s">
        <v>2999</v>
      </c>
      <c r="N667" s="416" t="s">
        <v>2999</v>
      </c>
      <c r="O667" s="417"/>
      <c r="P667" s="416">
        <v>4590007620</v>
      </c>
      <c r="Q667" s="418">
        <v>44855</v>
      </c>
      <c r="R667" s="419">
        <v>2</v>
      </c>
      <c r="S667" s="458">
        <v>101760</v>
      </c>
      <c r="T667" s="420" t="s">
        <v>2156</v>
      </c>
      <c r="U667" s="414" t="s">
        <v>3713</v>
      </c>
      <c r="V667" s="414" t="s">
        <v>3714</v>
      </c>
      <c r="W667" s="417" t="s">
        <v>3715</v>
      </c>
      <c r="X667" s="417"/>
      <c r="Y667" s="421" t="s">
        <v>3652</v>
      </c>
      <c r="Z667" s="421" t="s">
        <v>3652</v>
      </c>
      <c r="AA667" s="416"/>
      <c r="AB667" s="414" t="s">
        <v>5257</v>
      </c>
      <c r="AC667" s="426"/>
      <c r="AD667" s="421"/>
      <c r="AE667" s="420"/>
      <c r="AF667" s="421">
        <v>90436</v>
      </c>
      <c r="AG667" s="420" t="s">
        <v>4747</v>
      </c>
      <c r="AH667" s="421" t="s">
        <v>3718</v>
      </c>
      <c r="AI667" s="420" t="s">
        <v>3719</v>
      </c>
      <c r="AJ667" s="413" t="str">
        <f t="shared" si="44"/>
        <v>4590007620_002</v>
      </c>
      <c r="AK667" s="423" t="s">
        <v>5259</v>
      </c>
      <c r="AL667" s="424">
        <v>45429</v>
      </c>
      <c r="AM667" s="221">
        <v>101760</v>
      </c>
      <c r="AN667" s="424">
        <v>45548</v>
      </c>
      <c r="AO667" s="423"/>
      <c r="AP667" s="413"/>
      <c r="AQ667" s="222"/>
      <c r="AR667" s="424"/>
      <c r="AS667" s="614">
        <f ca="1">表格1_6[[#This Row],[total amount]]/表格1_6[[#This Row],[PO$]]</f>
        <v>1</v>
      </c>
      <c r="AT667" s="223">
        <f ca="1">表格1_6[[#This Row],[invoice amount]]+表格1_6[[#This Row],[invoice amount2]]</f>
        <v>101760</v>
      </c>
      <c r="AU667" s="224" t="s">
        <v>3725</v>
      </c>
      <c r="AV667" s="423"/>
      <c r="AW667" s="423" t="e">
        <f ca="1">VLOOKUP(表格1_6[[#This Row],[TI tool ID2]],工作表1!A:A,1,FALSE)</f>
        <v>#N/A</v>
      </c>
      <c r="AX667" s="425" t="e">
        <f ca="1">VLOOKUP(表格1_6[[#This Row],[PO+ITEM]],工作表1!B:E,2,FALSE)</f>
        <v>#N/A</v>
      </c>
      <c r="AY667" s="425" t="e">
        <f ca="1">VLOOKUP(表格1_6[[#This Row],[PO+ITEM]],工作表1!B:E,3,FALSE)</f>
        <v>#N/A</v>
      </c>
      <c r="AZ667" s="423" t="e">
        <f ca="1">VLOOKUP(表格1_6[[#This Row],[PO+ITEM]],工作表1!B:E,4,FALSE)</f>
        <v>#N/A</v>
      </c>
      <c r="BA667" s="425" t="e">
        <f ca="1">INDEX(工作表1!G:G, MATCH(表格1_6[[#This Row],[invoice number]]&amp;表格1_6[[#This Row],[invoice number2]],工作表1!G:G, 0))</f>
        <v>#N/A</v>
      </c>
      <c r="BB667" s="423" t="e">
        <f ca="1">VLOOKUP(表格1_6[[#This Row],[PO+ITEM]],工作表1!F:H,2,FALSE)</f>
        <v>#N/A</v>
      </c>
    </row>
    <row r="668" spans="1:54" ht="14.45">
      <c r="A668" s="413">
        <v>667</v>
      </c>
      <c r="B668" s="413" t="s">
        <v>3659</v>
      </c>
      <c r="C668" s="414" t="s">
        <v>17</v>
      </c>
      <c r="D668" s="414" t="s">
        <v>3648</v>
      </c>
      <c r="E668" s="414"/>
      <c r="F668" s="414"/>
      <c r="G668" s="414"/>
      <c r="H668" s="414"/>
      <c r="I668" s="414"/>
      <c r="J668" s="414"/>
      <c r="K668" s="414"/>
      <c r="L668" s="415" t="s">
        <v>5260</v>
      </c>
      <c r="M668" s="416" t="s">
        <v>2999</v>
      </c>
      <c r="N668" s="416" t="s">
        <v>2999</v>
      </c>
      <c r="O668" s="417"/>
      <c r="P668" s="416">
        <v>4590007620</v>
      </c>
      <c r="Q668" s="418">
        <v>44855</v>
      </c>
      <c r="R668" s="419">
        <v>3</v>
      </c>
      <c r="S668" s="458">
        <v>101760</v>
      </c>
      <c r="T668" s="420" t="s">
        <v>2156</v>
      </c>
      <c r="U668" s="414" t="s">
        <v>3713</v>
      </c>
      <c r="V668" s="414" t="s">
        <v>3714</v>
      </c>
      <c r="W668" s="417" t="s">
        <v>3715</v>
      </c>
      <c r="X668" s="417"/>
      <c r="Y668" s="421" t="s">
        <v>3652</v>
      </c>
      <c r="Z668" s="421" t="s">
        <v>3652</v>
      </c>
      <c r="AA668" s="416"/>
      <c r="AB668" s="414" t="s">
        <v>5257</v>
      </c>
      <c r="AC668" s="426"/>
      <c r="AD668" s="421"/>
      <c r="AE668" s="420"/>
      <c r="AF668" s="421">
        <v>91289</v>
      </c>
      <c r="AG668" s="420" t="s">
        <v>5112</v>
      </c>
      <c r="AH668" s="421" t="s">
        <v>3718</v>
      </c>
      <c r="AI668" s="420" t="s">
        <v>3719</v>
      </c>
      <c r="AJ668" s="413" t="str">
        <f t="shared" si="44"/>
        <v>4590007620_003</v>
      </c>
      <c r="AK668" s="423"/>
      <c r="AL668" s="413"/>
      <c r="AM668" s="221"/>
      <c r="AN668" s="424"/>
      <c r="AO668" s="423"/>
      <c r="AP668" s="413"/>
      <c r="AQ668" s="222"/>
      <c r="AR668" s="424"/>
      <c r="AS668" s="614">
        <f ca="1">表格1_6[[#This Row],[total amount]]/表格1_6[[#This Row],[PO$]]</f>
        <v>0</v>
      </c>
      <c r="AT668" s="223">
        <f ca="1">表格1_6[[#This Row],[invoice amount]]+表格1_6[[#This Row],[invoice amount2]]</f>
        <v>0</v>
      </c>
      <c r="AU668" s="224"/>
      <c r="AV668" s="423"/>
      <c r="AW668" s="423" t="e">
        <f ca="1">VLOOKUP(表格1_6[[#This Row],[TI tool ID2]],工作表1!A:A,1,FALSE)</f>
        <v>#N/A</v>
      </c>
      <c r="AX668" s="425" t="e">
        <f ca="1">VLOOKUP(表格1_6[[#This Row],[PO+ITEM]],工作表1!B:E,2,FALSE)</f>
        <v>#N/A</v>
      </c>
      <c r="AY668" s="425" t="e">
        <f ca="1">VLOOKUP(表格1_6[[#This Row],[PO+ITEM]],工作表1!B:E,3,FALSE)</f>
        <v>#N/A</v>
      </c>
      <c r="AZ668" s="423" t="e">
        <f ca="1">VLOOKUP(表格1_6[[#This Row],[PO+ITEM]],工作表1!B:E,4,FALSE)</f>
        <v>#N/A</v>
      </c>
      <c r="BA668" s="425" t="e">
        <f ca="1">INDEX(工作表1!G:G, MATCH(表格1_6[[#This Row],[invoice number]]&amp;表格1_6[[#This Row],[invoice number2]],工作表1!G:G, 0))</f>
        <v>#N/A</v>
      </c>
      <c r="BB668" s="423" t="e">
        <f ca="1">VLOOKUP(表格1_6[[#This Row],[PO+ITEM]],工作表1!F:H,2,FALSE)</f>
        <v>#N/A</v>
      </c>
    </row>
    <row r="669" spans="1:54" ht="14.45">
      <c r="A669" s="413">
        <v>668</v>
      </c>
      <c r="B669" s="413" t="s">
        <v>3674</v>
      </c>
      <c r="C669" s="414" t="s">
        <v>17</v>
      </c>
      <c r="D669" s="414" t="s">
        <v>3648</v>
      </c>
      <c r="E669" s="414"/>
      <c r="F669" s="414"/>
      <c r="G669" s="414"/>
      <c r="H669" s="414"/>
      <c r="I669" s="414"/>
      <c r="J669" s="414"/>
      <c r="K669" s="414"/>
      <c r="L669" s="415" t="s">
        <v>5261</v>
      </c>
      <c r="M669" s="416" t="s">
        <v>2999</v>
      </c>
      <c r="N669" s="416" t="s">
        <v>2999</v>
      </c>
      <c r="O669" s="417"/>
      <c r="P669" s="416">
        <v>4590007621</v>
      </c>
      <c r="Q669" s="418">
        <v>44855</v>
      </c>
      <c r="R669" s="419">
        <v>1</v>
      </c>
      <c r="S669" s="458">
        <v>118573</v>
      </c>
      <c r="T669" s="420" t="s">
        <v>2156</v>
      </c>
      <c r="U669" s="414" t="s">
        <v>3713</v>
      </c>
      <c r="V669" s="414" t="s">
        <v>3714</v>
      </c>
      <c r="W669" s="417" t="s">
        <v>3715</v>
      </c>
      <c r="X669" s="417"/>
      <c r="Y669" s="421" t="s">
        <v>3652</v>
      </c>
      <c r="Z669" s="421" t="s">
        <v>3652</v>
      </c>
      <c r="AA669" s="416"/>
      <c r="AB669" s="414" t="s">
        <v>5262</v>
      </c>
      <c r="AC669" s="426"/>
      <c r="AD669" s="421"/>
      <c r="AE669" s="420"/>
      <c r="AF669" s="421">
        <v>90435</v>
      </c>
      <c r="AG669" s="420" t="s">
        <v>4737</v>
      </c>
      <c r="AH669" s="421" t="s">
        <v>3718</v>
      </c>
      <c r="AI669" s="420" t="s">
        <v>3719</v>
      </c>
      <c r="AJ669" s="413" t="str">
        <f t="shared" si="44"/>
        <v>4590007621_001</v>
      </c>
      <c r="AK669" s="463" t="s">
        <v>5263</v>
      </c>
      <c r="AL669" s="424">
        <v>45483</v>
      </c>
      <c r="AM669" s="222">
        <v>118573</v>
      </c>
      <c r="AN669" s="424">
        <v>45548</v>
      </c>
      <c r="AO669" s="423"/>
      <c r="AP669" s="424"/>
      <c r="AQ669" s="222"/>
      <c r="AR669" s="424"/>
      <c r="AS669" s="614">
        <f ca="1">表格1_6[[#This Row],[total amount]]/表格1_6[[#This Row],[PO$]]</f>
        <v>1</v>
      </c>
      <c r="AT669" s="223">
        <f ca="1">表格1_6[[#This Row],[invoice amount]]+表格1_6[[#This Row],[invoice amount2]]</f>
        <v>118573</v>
      </c>
      <c r="AU669" s="224" t="s">
        <v>3725</v>
      </c>
      <c r="AV669" s="423"/>
      <c r="AW669" s="423" t="e">
        <f ca="1">VLOOKUP(表格1_6[[#This Row],[TI tool ID2]],工作表1!A:A,1,FALSE)</f>
        <v>#N/A</v>
      </c>
      <c r="AX669" s="425" t="e">
        <f ca="1">VLOOKUP(表格1_6[[#This Row],[PO+ITEM]],工作表1!B:E,2,FALSE)</f>
        <v>#N/A</v>
      </c>
      <c r="AY669" s="425" t="e">
        <f ca="1">VLOOKUP(表格1_6[[#This Row],[PO+ITEM]],工作表1!B:E,3,FALSE)</f>
        <v>#N/A</v>
      </c>
      <c r="AZ669" s="423" t="e">
        <f ca="1">VLOOKUP(表格1_6[[#This Row],[PO+ITEM]],工作表1!B:E,4,FALSE)</f>
        <v>#N/A</v>
      </c>
      <c r="BA669" s="425" t="e">
        <f ca="1">INDEX(工作表1!G:G, MATCH(表格1_6[[#This Row],[invoice number]]&amp;表格1_6[[#This Row],[invoice number2]],工作表1!G:G, 0))</f>
        <v>#N/A</v>
      </c>
      <c r="BB669" s="423" t="e">
        <f ca="1">VLOOKUP(表格1_6[[#This Row],[PO+ITEM]],工作表1!F:H,2,FALSE)</f>
        <v>#N/A</v>
      </c>
    </row>
    <row r="670" spans="1:54" ht="14.45">
      <c r="A670" s="413">
        <v>669</v>
      </c>
      <c r="B670" s="413" t="s">
        <v>3659</v>
      </c>
      <c r="C670" s="414" t="s">
        <v>17</v>
      </c>
      <c r="D670" s="414" t="s">
        <v>3648</v>
      </c>
      <c r="E670" s="414"/>
      <c r="F670" s="414"/>
      <c r="G670" s="414"/>
      <c r="H670" s="414"/>
      <c r="I670" s="414"/>
      <c r="J670" s="414"/>
      <c r="K670" s="414"/>
      <c r="L670" s="415" t="s">
        <v>5264</v>
      </c>
      <c r="M670" s="416" t="s">
        <v>2999</v>
      </c>
      <c r="N670" s="416" t="s">
        <v>2999</v>
      </c>
      <c r="O670" s="417"/>
      <c r="P670" s="416">
        <v>4590007621</v>
      </c>
      <c r="Q670" s="418">
        <v>44855</v>
      </c>
      <c r="R670" s="419">
        <v>2</v>
      </c>
      <c r="S670" s="458">
        <v>118573</v>
      </c>
      <c r="T670" s="420" t="s">
        <v>2156</v>
      </c>
      <c r="U670" s="414" t="s">
        <v>3713</v>
      </c>
      <c r="V670" s="414" t="s">
        <v>3714</v>
      </c>
      <c r="W670" s="417" t="s">
        <v>3715</v>
      </c>
      <c r="X670" s="417"/>
      <c r="Y670" s="421" t="s">
        <v>3652</v>
      </c>
      <c r="Z670" s="421" t="s">
        <v>3652</v>
      </c>
      <c r="AA670" s="416"/>
      <c r="AB670" s="414" t="s">
        <v>5262</v>
      </c>
      <c r="AC670" s="426"/>
      <c r="AD670" s="421"/>
      <c r="AE670" s="420"/>
      <c r="AF670" s="421">
        <v>91286</v>
      </c>
      <c r="AG670" s="420" t="s">
        <v>5109</v>
      </c>
      <c r="AH670" s="421" t="s">
        <v>3718</v>
      </c>
      <c r="AI670" s="420" t="s">
        <v>3719</v>
      </c>
      <c r="AJ670" s="413" t="str">
        <f t="shared" si="44"/>
        <v>4590007621_002</v>
      </c>
      <c r="AK670" s="423"/>
      <c r="AL670" s="413"/>
      <c r="AM670" s="221"/>
      <c r="AN670" s="424"/>
      <c r="AO670" s="423"/>
      <c r="AP670" s="413"/>
      <c r="AQ670" s="222"/>
      <c r="AR670" s="424"/>
      <c r="AS670" s="614">
        <f ca="1">表格1_6[[#This Row],[total amount]]/表格1_6[[#This Row],[PO$]]</f>
        <v>0</v>
      </c>
      <c r="AT670" s="223">
        <f ca="1">表格1_6[[#This Row],[invoice amount]]+表格1_6[[#This Row],[invoice amount2]]</f>
        <v>0</v>
      </c>
      <c r="AU670" s="224"/>
      <c r="AV670" s="423"/>
      <c r="AW670" s="423" t="e">
        <f ca="1">VLOOKUP(表格1_6[[#This Row],[TI tool ID2]],工作表1!A:A,1,FALSE)</f>
        <v>#N/A</v>
      </c>
      <c r="AX670" s="425" t="e">
        <f ca="1">VLOOKUP(表格1_6[[#This Row],[PO+ITEM]],工作表1!B:E,2,FALSE)</f>
        <v>#N/A</v>
      </c>
      <c r="AY670" s="425" t="e">
        <f ca="1">VLOOKUP(表格1_6[[#This Row],[PO+ITEM]],工作表1!B:E,3,FALSE)</f>
        <v>#N/A</v>
      </c>
      <c r="AZ670" s="423" t="e">
        <f ca="1">VLOOKUP(表格1_6[[#This Row],[PO+ITEM]],工作表1!B:E,4,FALSE)</f>
        <v>#N/A</v>
      </c>
      <c r="BA670" s="425" t="e">
        <f ca="1">INDEX(工作表1!G:G, MATCH(表格1_6[[#This Row],[invoice number]]&amp;表格1_6[[#This Row],[invoice number2]],工作表1!G:G, 0))</f>
        <v>#N/A</v>
      </c>
      <c r="BB670" s="423" t="e">
        <f ca="1">VLOOKUP(表格1_6[[#This Row],[PO+ITEM]],工作表1!F:H,2,FALSE)</f>
        <v>#N/A</v>
      </c>
    </row>
    <row r="671" spans="1:54" ht="15.6">
      <c r="A671" s="413">
        <v>670</v>
      </c>
      <c r="B671" s="413" t="s">
        <v>3674</v>
      </c>
      <c r="C671" s="414" t="s">
        <v>17</v>
      </c>
      <c r="D671" s="414" t="s">
        <v>3648</v>
      </c>
      <c r="E671" s="414"/>
      <c r="F671" s="414"/>
      <c r="G671" s="414"/>
      <c r="H671" s="414"/>
      <c r="I671" s="414"/>
      <c r="J671" s="414"/>
      <c r="K671" s="414"/>
      <c r="L671" s="415" t="s">
        <v>5265</v>
      </c>
      <c r="M671" s="416" t="s">
        <v>2999</v>
      </c>
      <c r="N671" s="416" t="s">
        <v>2999</v>
      </c>
      <c r="O671" s="417"/>
      <c r="P671" s="416">
        <v>4590007626</v>
      </c>
      <c r="Q671" s="418">
        <v>44855</v>
      </c>
      <c r="R671" s="419">
        <v>1</v>
      </c>
      <c r="S671" s="458">
        <v>114938</v>
      </c>
      <c r="T671" s="420" t="s">
        <v>2156</v>
      </c>
      <c r="U671" s="414" t="s">
        <v>3713</v>
      </c>
      <c r="V671" s="414" t="s">
        <v>3714</v>
      </c>
      <c r="W671" s="417" t="s">
        <v>3715</v>
      </c>
      <c r="X671" s="417"/>
      <c r="Y671" s="421" t="s">
        <v>3652</v>
      </c>
      <c r="Z671" s="421" t="s">
        <v>3652</v>
      </c>
      <c r="AA671" s="416" t="s">
        <v>3727</v>
      </c>
      <c r="AB671" s="414" t="s">
        <v>5266</v>
      </c>
      <c r="AC671" s="426"/>
      <c r="AD671" s="421"/>
      <c r="AE671" s="420"/>
      <c r="AF671" s="421">
        <v>90433</v>
      </c>
      <c r="AG671" s="420" t="s">
        <v>5267</v>
      </c>
      <c r="AH671" s="421" t="s">
        <v>3718</v>
      </c>
      <c r="AI671" s="420" t="s">
        <v>3719</v>
      </c>
      <c r="AJ671" s="413" t="str">
        <f t="shared" si="44"/>
        <v>4590007626_001</v>
      </c>
      <c r="AK671" s="423"/>
      <c r="AL671" s="424">
        <v>45231</v>
      </c>
      <c r="AM671" s="221">
        <v>109191.1</v>
      </c>
      <c r="AN671" s="228">
        <v>45303</v>
      </c>
      <c r="AO671" s="423"/>
      <c r="AP671" s="413"/>
      <c r="AQ671" s="222"/>
      <c r="AR671" s="424"/>
      <c r="AS671" s="614">
        <f ca="1">表格1_6[[#This Row],[total amount]]/表格1_6[[#This Row],[PO$]]</f>
        <v>0.95000000000000007</v>
      </c>
      <c r="AT671" s="223">
        <f ca="1">表格1_6[[#This Row],[invoice amount]]+表格1_6[[#This Row],[invoice amount2]]</f>
        <v>109191.1</v>
      </c>
      <c r="AU671" s="224" t="s">
        <v>3673</v>
      </c>
      <c r="AV671" s="423"/>
      <c r="AW671" s="423" t="e">
        <f ca="1">VLOOKUP(表格1_6[[#This Row],[TI tool ID2]],工作表1!A:A,1,FALSE)</f>
        <v>#N/A</v>
      </c>
      <c r="AX671" s="425" t="e">
        <f ca="1">VLOOKUP(表格1_6[[#This Row],[PO+ITEM]],工作表1!B:E,2,FALSE)</f>
        <v>#N/A</v>
      </c>
      <c r="AY671" s="425" t="e">
        <f ca="1">VLOOKUP(表格1_6[[#This Row],[PO+ITEM]],工作表1!B:E,3,FALSE)</f>
        <v>#N/A</v>
      </c>
      <c r="AZ671" s="423" t="e">
        <f ca="1">VLOOKUP(表格1_6[[#This Row],[PO+ITEM]],工作表1!B:E,4,FALSE)</f>
        <v>#N/A</v>
      </c>
      <c r="BA671" s="425" t="e">
        <f ca="1">INDEX(工作表1!G:G, MATCH(表格1_6[[#This Row],[invoice number]]&amp;表格1_6[[#This Row],[invoice number2]],工作表1!G:G, 0))</f>
        <v>#N/A</v>
      </c>
      <c r="BB671" s="423" t="e">
        <f ca="1">VLOOKUP(表格1_6[[#This Row],[PO+ITEM]],工作表1!F:H,2,FALSE)</f>
        <v>#N/A</v>
      </c>
    </row>
    <row r="672" spans="1:54" ht="14.45">
      <c r="A672" s="413">
        <v>671</v>
      </c>
      <c r="B672" s="413" t="s">
        <v>3659</v>
      </c>
      <c r="C672" s="414" t="s">
        <v>17</v>
      </c>
      <c r="D672" s="414" t="s">
        <v>3648</v>
      </c>
      <c r="E672" s="414"/>
      <c r="F672" s="414"/>
      <c r="G672" s="414"/>
      <c r="H672" s="414"/>
      <c r="I672" s="414"/>
      <c r="J672" s="414"/>
      <c r="K672" s="414"/>
      <c r="L672" s="415" t="s">
        <v>5268</v>
      </c>
      <c r="M672" s="416" t="s">
        <v>2999</v>
      </c>
      <c r="N672" s="416" t="s">
        <v>2999</v>
      </c>
      <c r="O672" s="417"/>
      <c r="P672" s="416">
        <v>4590007626</v>
      </c>
      <c r="Q672" s="418">
        <v>44855</v>
      </c>
      <c r="R672" s="419">
        <v>2</v>
      </c>
      <c r="S672" s="458">
        <v>114938</v>
      </c>
      <c r="T672" s="420" t="s">
        <v>2156</v>
      </c>
      <c r="U672" s="414" t="s">
        <v>3713</v>
      </c>
      <c r="V672" s="414" t="s">
        <v>3714</v>
      </c>
      <c r="W672" s="417" t="s">
        <v>3715</v>
      </c>
      <c r="X672" s="417"/>
      <c r="Y672" s="421" t="s">
        <v>3652</v>
      </c>
      <c r="Z672" s="421" t="s">
        <v>3652</v>
      </c>
      <c r="AA672" s="416"/>
      <c r="AB672" s="414" t="s">
        <v>5266</v>
      </c>
      <c r="AC672" s="426"/>
      <c r="AD672" s="421"/>
      <c r="AE672" s="420"/>
      <c r="AF672" s="421">
        <v>90432</v>
      </c>
      <c r="AG672" s="420" t="s">
        <v>5269</v>
      </c>
      <c r="AH672" s="421" t="s">
        <v>3718</v>
      </c>
      <c r="AI672" s="420" t="s">
        <v>3719</v>
      </c>
      <c r="AJ672" s="413" t="str">
        <f t="shared" si="44"/>
        <v>4590007626_002</v>
      </c>
      <c r="AK672" s="423"/>
      <c r="AL672" s="413"/>
      <c r="AM672" s="221"/>
      <c r="AN672" s="424"/>
      <c r="AO672" s="423"/>
      <c r="AP672" s="413"/>
      <c r="AQ672" s="222"/>
      <c r="AR672" s="424"/>
      <c r="AS672" s="614">
        <f ca="1">表格1_6[[#This Row],[total amount]]/表格1_6[[#This Row],[PO$]]</f>
        <v>0</v>
      </c>
      <c r="AT672" s="223">
        <f ca="1">表格1_6[[#This Row],[invoice amount]]+表格1_6[[#This Row],[invoice amount2]]</f>
        <v>0</v>
      </c>
      <c r="AU672" s="224"/>
      <c r="AV672" s="423"/>
      <c r="AW672" s="423" t="e">
        <f ca="1">VLOOKUP(表格1_6[[#This Row],[TI tool ID2]],工作表1!A:A,1,FALSE)</f>
        <v>#N/A</v>
      </c>
      <c r="AX672" s="425" t="e">
        <f ca="1">VLOOKUP(表格1_6[[#This Row],[PO+ITEM]],工作表1!B:E,2,FALSE)</f>
        <v>#N/A</v>
      </c>
      <c r="AY672" s="425" t="e">
        <f ca="1">VLOOKUP(表格1_6[[#This Row],[PO+ITEM]],工作表1!B:E,3,FALSE)</f>
        <v>#N/A</v>
      </c>
      <c r="AZ672" s="423" t="e">
        <f ca="1">VLOOKUP(表格1_6[[#This Row],[PO+ITEM]],工作表1!B:E,4,FALSE)</f>
        <v>#N/A</v>
      </c>
      <c r="BA672" s="425" t="e">
        <f ca="1">INDEX(工作表1!G:G, MATCH(表格1_6[[#This Row],[invoice number]]&amp;表格1_6[[#This Row],[invoice number2]],工作表1!G:G, 0))</f>
        <v>#N/A</v>
      </c>
      <c r="BB672" s="423" t="e">
        <f ca="1">VLOOKUP(表格1_6[[#This Row],[PO+ITEM]],工作表1!F:H,2,FALSE)</f>
        <v>#N/A</v>
      </c>
    </row>
    <row r="673" spans="1:54" ht="15.6">
      <c r="A673" s="413">
        <v>672</v>
      </c>
      <c r="B673" s="413" t="s">
        <v>3674</v>
      </c>
      <c r="C673" s="414" t="s">
        <v>17</v>
      </c>
      <c r="D673" s="414" t="s">
        <v>3648</v>
      </c>
      <c r="E673" s="414"/>
      <c r="F673" s="414"/>
      <c r="G673" s="414"/>
      <c r="H673" s="414"/>
      <c r="I673" s="414"/>
      <c r="J673" s="414"/>
      <c r="K673" s="414"/>
      <c r="L673" s="415" t="s">
        <v>5270</v>
      </c>
      <c r="M673" s="416" t="s">
        <v>2999</v>
      </c>
      <c r="N673" s="416" t="s">
        <v>2999</v>
      </c>
      <c r="O673" s="417"/>
      <c r="P673" s="416">
        <v>4590007627</v>
      </c>
      <c r="Q673" s="418">
        <v>44855</v>
      </c>
      <c r="R673" s="419">
        <v>1</v>
      </c>
      <c r="S673" s="458">
        <v>177442</v>
      </c>
      <c r="T673" s="420" t="s">
        <v>2156</v>
      </c>
      <c r="U673" s="414" t="s">
        <v>3713</v>
      </c>
      <c r="V673" s="414" t="s">
        <v>3714</v>
      </c>
      <c r="W673" s="417" t="s">
        <v>3715</v>
      </c>
      <c r="X673" s="417"/>
      <c r="Y673" s="421" t="s">
        <v>3652</v>
      </c>
      <c r="Z673" s="421" t="s">
        <v>3652</v>
      </c>
      <c r="AA673" s="416" t="s">
        <v>3727</v>
      </c>
      <c r="AB673" s="414" t="s">
        <v>5266</v>
      </c>
      <c r="AC673" s="426"/>
      <c r="AD673" s="421"/>
      <c r="AE673" s="420"/>
      <c r="AF673" s="421">
        <v>90434</v>
      </c>
      <c r="AG673" s="420" t="s">
        <v>5271</v>
      </c>
      <c r="AH673" s="421" t="s">
        <v>3718</v>
      </c>
      <c r="AI673" s="420" t="s">
        <v>3719</v>
      </c>
      <c r="AJ673" s="413" t="str">
        <f t="shared" si="44"/>
        <v>4590007627_001</v>
      </c>
      <c r="AK673" s="423"/>
      <c r="AL673" s="424">
        <v>45231</v>
      </c>
      <c r="AM673" s="221">
        <v>168569.9</v>
      </c>
      <c r="AN673" s="228">
        <v>45303</v>
      </c>
      <c r="AO673" s="423"/>
      <c r="AP673" s="413"/>
      <c r="AQ673" s="222"/>
      <c r="AR673" s="424"/>
      <c r="AS673" s="614">
        <f ca="1">表格1_6[[#This Row],[total amount]]/表格1_6[[#This Row],[PO$]]</f>
        <v>0.95</v>
      </c>
      <c r="AT673" s="223">
        <f ca="1">表格1_6[[#This Row],[invoice amount]]+表格1_6[[#This Row],[invoice amount2]]</f>
        <v>168569.9</v>
      </c>
      <c r="AU673" s="224" t="s">
        <v>3673</v>
      </c>
      <c r="AV673" s="423"/>
      <c r="AW673" s="423" t="e">
        <f ca="1">VLOOKUP(表格1_6[[#This Row],[TI tool ID2]],工作表1!A:A,1,FALSE)</f>
        <v>#N/A</v>
      </c>
      <c r="AX673" s="425" t="e">
        <f ca="1">VLOOKUP(表格1_6[[#This Row],[PO+ITEM]],工作表1!B:E,2,FALSE)</f>
        <v>#N/A</v>
      </c>
      <c r="AY673" s="425" t="e">
        <f ca="1">VLOOKUP(表格1_6[[#This Row],[PO+ITEM]],工作表1!B:E,3,FALSE)</f>
        <v>#N/A</v>
      </c>
      <c r="AZ673" s="423" t="e">
        <f ca="1">VLOOKUP(表格1_6[[#This Row],[PO+ITEM]],工作表1!B:E,4,FALSE)</f>
        <v>#N/A</v>
      </c>
      <c r="BA673" s="425" t="e">
        <f ca="1">INDEX(工作表1!G:G, MATCH(表格1_6[[#This Row],[invoice number]]&amp;表格1_6[[#This Row],[invoice number2]],工作表1!G:G, 0))</f>
        <v>#N/A</v>
      </c>
      <c r="BB673" s="423" t="e">
        <f ca="1">VLOOKUP(表格1_6[[#This Row],[PO+ITEM]],工作表1!F:H,2,FALSE)</f>
        <v>#N/A</v>
      </c>
    </row>
    <row r="674" spans="1:54" s="429" customFormat="1" ht="14.45">
      <c r="A674" s="413">
        <v>673</v>
      </c>
      <c r="B674" s="413" t="s">
        <v>3659</v>
      </c>
      <c r="C674" s="414" t="s">
        <v>17</v>
      </c>
      <c r="D674" s="414" t="s">
        <v>3648</v>
      </c>
      <c r="E674" s="414"/>
      <c r="F674" s="414"/>
      <c r="G674" s="414"/>
      <c r="H674" s="414"/>
      <c r="I674" s="414"/>
      <c r="J674" s="414"/>
      <c r="K674" s="414"/>
      <c r="L674" s="420" t="s">
        <v>5272</v>
      </c>
      <c r="M674" s="416" t="s">
        <v>2999</v>
      </c>
      <c r="N674" s="416" t="s">
        <v>2999</v>
      </c>
      <c r="O674" s="417"/>
      <c r="P674" s="416">
        <v>4590007627</v>
      </c>
      <c r="Q674" s="418">
        <v>44855</v>
      </c>
      <c r="R674" s="419">
        <v>2</v>
      </c>
      <c r="S674" s="458">
        <v>177442</v>
      </c>
      <c r="T674" s="420" t="s">
        <v>2156</v>
      </c>
      <c r="U674" s="414" t="s">
        <v>3713</v>
      </c>
      <c r="V674" s="414" t="s">
        <v>3714</v>
      </c>
      <c r="W674" s="417" t="s">
        <v>3715</v>
      </c>
      <c r="X674" s="417"/>
      <c r="Y674" s="421" t="s">
        <v>3652</v>
      </c>
      <c r="Z674" s="421" t="s">
        <v>3652</v>
      </c>
      <c r="AA674" s="416"/>
      <c r="AB674" s="414" t="s">
        <v>5266</v>
      </c>
      <c r="AC674" s="426"/>
      <c r="AD674" s="421"/>
      <c r="AE674" s="420"/>
      <c r="AF674" s="421">
        <v>91290</v>
      </c>
      <c r="AG674" s="420" t="s">
        <v>5273</v>
      </c>
      <c r="AH674" s="421" t="s">
        <v>3718</v>
      </c>
      <c r="AI674" s="420" t="s">
        <v>3719</v>
      </c>
      <c r="AJ674" s="413" t="str">
        <f t="shared" si="44"/>
        <v>4590007627_002</v>
      </c>
      <c r="AK674" s="423"/>
      <c r="AL674" s="413"/>
      <c r="AM674" s="221"/>
      <c r="AN674" s="424"/>
      <c r="AO674" s="423"/>
      <c r="AP674" s="413"/>
      <c r="AQ674" s="222"/>
      <c r="AR674" s="424"/>
      <c r="AS674" s="614">
        <f ca="1">表格1_6[[#This Row],[total amount]]/表格1_6[[#This Row],[PO$]]</f>
        <v>0</v>
      </c>
      <c r="AT674" s="223">
        <f ca="1">表格1_6[[#This Row],[invoice amount]]+表格1_6[[#This Row],[invoice amount2]]</f>
        <v>0</v>
      </c>
      <c r="AU674" s="224"/>
      <c r="AV674" s="423"/>
      <c r="AW674" s="423" t="e">
        <f ca="1">VLOOKUP(表格1_6[[#This Row],[TI tool ID2]],工作表1!A:A,1,FALSE)</f>
        <v>#N/A</v>
      </c>
      <c r="AX674" s="425" t="e">
        <f ca="1">VLOOKUP(表格1_6[[#This Row],[PO+ITEM]],工作表1!B:E,2,FALSE)</f>
        <v>#N/A</v>
      </c>
      <c r="AY674" s="425" t="e">
        <f ca="1">VLOOKUP(表格1_6[[#This Row],[PO+ITEM]],工作表1!B:E,3,FALSE)</f>
        <v>#N/A</v>
      </c>
      <c r="AZ674" s="423" t="e">
        <f ca="1">VLOOKUP(表格1_6[[#This Row],[PO+ITEM]],工作表1!B:E,4,FALSE)</f>
        <v>#N/A</v>
      </c>
      <c r="BA674" s="425" t="e">
        <f ca="1">INDEX(工作表1!G:G, MATCH(表格1_6[[#This Row],[invoice number]]&amp;表格1_6[[#This Row],[invoice number2]],工作表1!G:G, 0))</f>
        <v>#N/A</v>
      </c>
      <c r="BB674" s="423" t="e">
        <f ca="1">VLOOKUP(表格1_6[[#This Row],[PO+ITEM]],工作表1!F:H,2,FALSE)</f>
        <v>#N/A</v>
      </c>
    </row>
    <row r="675" spans="1:54" ht="15.6">
      <c r="A675" s="413">
        <v>674</v>
      </c>
      <c r="B675" s="413" t="s">
        <v>3674</v>
      </c>
      <c r="C675" s="414" t="s">
        <v>17</v>
      </c>
      <c r="D675" s="414" t="s">
        <v>3648</v>
      </c>
      <c r="E675" s="414"/>
      <c r="F675" s="414"/>
      <c r="G675" s="414"/>
      <c r="H675" s="414"/>
      <c r="I675" s="414"/>
      <c r="J675" s="414"/>
      <c r="K675" s="414"/>
      <c r="L675" s="415" t="s">
        <v>5274</v>
      </c>
      <c r="M675" s="416" t="s">
        <v>2999</v>
      </c>
      <c r="N675" s="416" t="s">
        <v>2999</v>
      </c>
      <c r="O675" s="417"/>
      <c r="P675" s="416">
        <v>4590007628</v>
      </c>
      <c r="Q675" s="418">
        <v>44855</v>
      </c>
      <c r="R675" s="419">
        <v>1</v>
      </c>
      <c r="S675" s="458">
        <v>275403</v>
      </c>
      <c r="T675" s="420" t="s">
        <v>2156</v>
      </c>
      <c r="U675" s="414" t="s">
        <v>3713</v>
      </c>
      <c r="V675" s="414" t="s">
        <v>3714</v>
      </c>
      <c r="W675" s="417" t="s">
        <v>3715</v>
      </c>
      <c r="X675" s="417"/>
      <c r="Y675" s="421" t="s">
        <v>3652</v>
      </c>
      <c r="Z675" s="421" t="s">
        <v>3652</v>
      </c>
      <c r="AA675" s="416"/>
      <c r="AB675" s="414" t="s">
        <v>5275</v>
      </c>
      <c r="AC675" s="426"/>
      <c r="AD675" s="421"/>
      <c r="AE675" s="420"/>
      <c r="AF675" s="421">
        <v>90424</v>
      </c>
      <c r="AG675" s="420" t="s">
        <v>5276</v>
      </c>
      <c r="AH675" s="421" t="s">
        <v>3718</v>
      </c>
      <c r="AI675" s="420" t="s">
        <v>3719</v>
      </c>
      <c r="AJ675" s="413" t="str">
        <f t="shared" si="44"/>
        <v>4590007628_001</v>
      </c>
      <c r="AK675" s="423"/>
      <c r="AL675" s="424">
        <v>45261</v>
      </c>
      <c r="AM675" s="221">
        <v>261632.85</v>
      </c>
      <c r="AN675" s="228">
        <v>45303</v>
      </c>
      <c r="AO675" s="423"/>
      <c r="AP675" s="413"/>
      <c r="AQ675" s="222"/>
      <c r="AR675" s="424"/>
      <c r="AS675" s="614">
        <f ca="1">表格1_6[[#This Row],[total amount]]/表格1_6[[#This Row],[PO$]]</f>
        <v>0.95000000000000007</v>
      </c>
      <c r="AT675" s="223">
        <f ca="1">表格1_6[[#This Row],[invoice amount]]+表格1_6[[#This Row],[invoice amount2]]</f>
        <v>261632.85</v>
      </c>
      <c r="AU675" s="224" t="s">
        <v>3673</v>
      </c>
      <c r="AV675" s="342" t="s">
        <v>5277</v>
      </c>
      <c r="AW675" s="423" t="e">
        <f ca="1">VLOOKUP(表格1_6[[#This Row],[TI tool ID2]],工作表1!A:A,1,FALSE)</f>
        <v>#N/A</v>
      </c>
      <c r="AX675" s="425" t="e">
        <f ca="1">VLOOKUP(表格1_6[[#This Row],[PO+ITEM]],工作表1!B:E,2,FALSE)</f>
        <v>#N/A</v>
      </c>
      <c r="AY675" s="425" t="e">
        <f ca="1">VLOOKUP(表格1_6[[#This Row],[PO+ITEM]],工作表1!B:E,3,FALSE)</f>
        <v>#N/A</v>
      </c>
      <c r="AZ675" s="423" t="e">
        <f ca="1">VLOOKUP(表格1_6[[#This Row],[PO+ITEM]],工作表1!B:E,4,FALSE)</f>
        <v>#N/A</v>
      </c>
      <c r="BA675" s="425" t="e">
        <f ca="1">INDEX(工作表1!G:G, MATCH(表格1_6[[#This Row],[invoice number]]&amp;表格1_6[[#This Row],[invoice number2]],工作表1!G:G, 0))</f>
        <v>#N/A</v>
      </c>
      <c r="BB675" s="423" t="e">
        <f ca="1">VLOOKUP(表格1_6[[#This Row],[PO+ITEM]],工作表1!F:H,2,FALSE)</f>
        <v>#N/A</v>
      </c>
    </row>
    <row r="676" spans="1:54" s="429" customFormat="1" ht="15.6">
      <c r="A676" s="413">
        <v>675</v>
      </c>
      <c r="B676" s="413" t="s">
        <v>3674</v>
      </c>
      <c r="C676" s="414" t="s">
        <v>17</v>
      </c>
      <c r="D676" s="414" t="s">
        <v>3648</v>
      </c>
      <c r="E676" s="414"/>
      <c r="F676" s="414"/>
      <c r="G676" s="414"/>
      <c r="H676" s="414"/>
      <c r="I676" s="414"/>
      <c r="J676" s="414"/>
      <c r="K676" s="414"/>
      <c r="L676" s="415" t="s">
        <v>5278</v>
      </c>
      <c r="M676" s="416" t="s">
        <v>2999</v>
      </c>
      <c r="N676" s="416" t="s">
        <v>2999</v>
      </c>
      <c r="O676" s="417"/>
      <c r="P676" s="416">
        <v>4590007628</v>
      </c>
      <c r="Q676" s="418">
        <v>44855</v>
      </c>
      <c r="R676" s="419">
        <v>2</v>
      </c>
      <c r="S676" s="458">
        <v>275403</v>
      </c>
      <c r="T676" s="420" t="s">
        <v>2156</v>
      </c>
      <c r="U676" s="414" t="s">
        <v>3713</v>
      </c>
      <c r="V676" s="414" t="s">
        <v>3714</v>
      </c>
      <c r="W676" s="417" t="s">
        <v>3715</v>
      </c>
      <c r="X676" s="417"/>
      <c r="Y676" s="421" t="s">
        <v>3652</v>
      </c>
      <c r="Z676" s="421" t="s">
        <v>3652</v>
      </c>
      <c r="AA676" s="416"/>
      <c r="AB676" s="414" t="s">
        <v>5275</v>
      </c>
      <c r="AC676" s="426"/>
      <c r="AD676" s="421"/>
      <c r="AE676" s="420"/>
      <c r="AF676" s="421">
        <v>90423</v>
      </c>
      <c r="AG676" s="420" t="s">
        <v>5279</v>
      </c>
      <c r="AH676" s="421" t="s">
        <v>3718</v>
      </c>
      <c r="AI676" s="420" t="s">
        <v>3719</v>
      </c>
      <c r="AJ676" s="413" t="str">
        <f t="shared" si="44"/>
        <v>4590007628_002</v>
      </c>
      <c r="AK676" s="423"/>
      <c r="AL676" s="424">
        <v>45261</v>
      </c>
      <c r="AM676" s="221">
        <v>261632.85</v>
      </c>
      <c r="AN676" s="228">
        <v>45303</v>
      </c>
      <c r="AO676" s="423"/>
      <c r="AP676" s="413"/>
      <c r="AQ676" s="222"/>
      <c r="AR676" s="424"/>
      <c r="AS676" s="614">
        <f ca="1">表格1_6[[#This Row],[total amount]]/表格1_6[[#This Row],[PO$]]</f>
        <v>0.95000000000000007</v>
      </c>
      <c r="AT676" s="223">
        <f ca="1">表格1_6[[#This Row],[invoice amount]]+表格1_6[[#This Row],[invoice amount2]]</f>
        <v>261632.85</v>
      </c>
      <c r="AU676" s="224" t="s">
        <v>3673</v>
      </c>
      <c r="AV676" s="342" t="s">
        <v>5280</v>
      </c>
      <c r="AW676" s="423" t="e">
        <f ca="1">VLOOKUP(表格1_6[[#This Row],[TI tool ID2]],工作表1!A:A,1,FALSE)</f>
        <v>#N/A</v>
      </c>
      <c r="AX676" s="425" t="e">
        <f ca="1">VLOOKUP(表格1_6[[#This Row],[PO+ITEM]],工作表1!B:E,2,FALSE)</f>
        <v>#N/A</v>
      </c>
      <c r="AY676" s="425" t="e">
        <f ca="1">VLOOKUP(表格1_6[[#This Row],[PO+ITEM]],工作表1!B:E,3,FALSE)</f>
        <v>#N/A</v>
      </c>
      <c r="AZ676" s="423" t="e">
        <f ca="1">VLOOKUP(表格1_6[[#This Row],[PO+ITEM]],工作表1!B:E,4,FALSE)</f>
        <v>#N/A</v>
      </c>
      <c r="BA676" s="425" t="e">
        <f ca="1">INDEX(工作表1!G:G, MATCH(表格1_6[[#This Row],[invoice number]]&amp;表格1_6[[#This Row],[invoice number2]],工作表1!G:G, 0))</f>
        <v>#N/A</v>
      </c>
      <c r="BB676" s="423" t="e">
        <f ca="1">VLOOKUP(表格1_6[[#This Row],[PO+ITEM]],工作表1!F:H,2,FALSE)</f>
        <v>#N/A</v>
      </c>
    </row>
    <row r="677" spans="1:54" ht="15.6">
      <c r="A677" s="413">
        <v>676</v>
      </c>
      <c r="B677" s="413" t="s">
        <v>3659</v>
      </c>
      <c r="C677" s="414" t="s">
        <v>17</v>
      </c>
      <c r="D677" s="414" t="s">
        <v>3648</v>
      </c>
      <c r="E677" s="414"/>
      <c r="F677" s="414"/>
      <c r="G677" s="414"/>
      <c r="H677" s="414"/>
      <c r="I677" s="414"/>
      <c r="J677" s="414"/>
      <c r="K677" s="414"/>
      <c r="L677" s="415" t="s">
        <v>5281</v>
      </c>
      <c r="M677" s="416" t="s">
        <v>2999</v>
      </c>
      <c r="N677" s="416" t="s">
        <v>2999</v>
      </c>
      <c r="O677" s="417"/>
      <c r="P677" s="416">
        <v>4590007638</v>
      </c>
      <c r="Q677" s="418">
        <v>44855</v>
      </c>
      <c r="R677" s="419">
        <v>1</v>
      </c>
      <c r="S677" s="458">
        <v>129191</v>
      </c>
      <c r="T677" s="420" t="s">
        <v>2156</v>
      </c>
      <c r="U677" s="414" t="s">
        <v>3713</v>
      </c>
      <c r="V677" s="414" t="s">
        <v>3714</v>
      </c>
      <c r="W677" s="417" t="s">
        <v>3715</v>
      </c>
      <c r="X677" s="417"/>
      <c r="Y677" s="421" t="s">
        <v>3652</v>
      </c>
      <c r="Z677" s="421" t="s">
        <v>3652</v>
      </c>
      <c r="AA677" s="416" t="s">
        <v>5282</v>
      </c>
      <c r="AB677" s="414" t="s">
        <v>5283</v>
      </c>
      <c r="AC677" s="426"/>
      <c r="AD677" s="421"/>
      <c r="AE677" s="420"/>
      <c r="AF677" s="421">
        <v>91019</v>
      </c>
      <c r="AG677" s="420" t="s">
        <v>5284</v>
      </c>
      <c r="AH677" s="421" t="s">
        <v>3918</v>
      </c>
      <c r="AI677" s="420" t="s">
        <v>3719</v>
      </c>
      <c r="AJ677" s="413" t="str">
        <f t="shared" si="44"/>
        <v>4590007638_001</v>
      </c>
      <c r="AK677" s="423" t="s">
        <v>5285</v>
      </c>
      <c r="AL677" s="424">
        <v>44979</v>
      </c>
      <c r="AM677" s="221">
        <v>51676.4</v>
      </c>
      <c r="AN677" s="226">
        <v>45015</v>
      </c>
      <c r="AO677" s="423"/>
      <c r="AP677" s="413"/>
      <c r="AQ677" s="222"/>
      <c r="AR677" s="424"/>
      <c r="AS677" s="614">
        <f ca="1">表格1_6[[#This Row],[total amount]]/表格1_6[[#This Row],[PO$]]</f>
        <v>0.4</v>
      </c>
      <c r="AT677" s="223">
        <f ca="1">表格1_6[[#This Row],[invoice amount]]+表格1_6[[#This Row],[invoice amount2]]</f>
        <v>51676.4</v>
      </c>
      <c r="AU677" s="224" t="s">
        <v>3673</v>
      </c>
      <c r="AV677" s="423"/>
      <c r="AW677" s="423" t="e">
        <f ca="1">VLOOKUP(表格1_6[[#This Row],[TI tool ID2]],工作表1!A:A,1,FALSE)</f>
        <v>#N/A</v>
      </c>
      <c r="AX677" s="425" t="e">
        <f ca="1">VLOOKUP(表格1_6[[#This Row],[PO+ITEM]],工作表1!B:E,2,FALSE)</f>
        <v>#N/A</v>
      </c>
      <c r="AY677" s="425" t="e">
        <f ca="1">VLOOKUP(表格1_6[[#This Row],[PO+ITEM]],工作表1!B:E,3,FALSE)</f>
        <v>#N/A</v>
      </c>
      <c r="AZ677" s="423" t="e">
        <f ca="1">VLOOKUP(表格1_6[[#This Row],[PO+ITEM]],工作表1!B:E,4,FALSE)</f>
        <v>#N/A</v>
      </c>
      <c r="BA677" s="425" t="e">
        <f ca="1">INDEX(工作表1!G:G, MATCH(表格1_6[[#This Row],[invoice number]]&amp;表格1_6[[#This Row],[invoice number2]],工作表1!G:G, 0))</f>
        <v>#N/A</v>
      </c>
      <c r="BB677" s="423" t="e">
        <f ca="1">VLOOKUP(表格1_6[[#This Row],[PO+ITEM]],工作表1!F:H,2,FALSE)</f>
        <v>#N/A</v>
      </c>
    </row>
    <row r="678" spans="1:54" ht="15.6">
      <c r="A678" s="413">
        <v>677</v>
      </c>
      <c r="B678" s="413" t="s">
        <v>3674</v>
      </c>
      <c r="C678" s="414" t="s">
        <v>17</v>
      </c>
      <c r="D678" s="414" t="s">
        <v>3648</v>
      </c>
      <c r="E678" s="414"/>
      <c r="F678" s="414"/>
      <c r="G678" s="414"/>
      <c r="H678" s="414"/>
      <c r="I678" s="414"/>
      <c r="J678" s="414"/>
      <c r="K678" s="414"/>
      <c r="L678" s="415" t="s">
        <v>5286</v>
      </c>
      <c r="M678" s="416" t="s">
        <v>2999</v>
      </c>
      <c r="N678" s="416" t="s">
        <v>2999</v>
      </c>
      <c r="O678" s="417"/>
      <c r="P678" s="416">
        <v>4590007638</v>
      </c>
      <c r="Q678" s="418">
        <v>44855</v>
      </c>
      <c r="R678" s="419">
        <v>2</v>
      </c>
      <c r="S678" s="458">
        <v>129191</v>
      </c>
      <c r="T678" s="420" t="s">
        <v>2156</v>
      </c>
      <c r="U678" s="414" t="s">
        <v>3713</v>
      </c>
      <c r="V678" s="414" t="s">
        <v>3714</v>
      </c>
      <c r="W678" s="417" t="s">
        <v>3715</v>
      </c>
      <c r="X678" s="417"/>
      <c r="Y678" s="421" t="s">
        <v>3652</v>
      </c>
      <c r="Z678" s="421" t="s">
        <v>3652</v>
      </c>
      <c r="AA678" s="416" t="s">
        <v>5282</v>
      </c>
      <c r="AB678" s="414" t="s">
        <v>5283</v>
      </c>
      <c r="AC678" s="426"/>
      <c r="AD678" s="421"/>
      <c r="AE678" s="420"/>
      <c r="AF678" s="421">
        <v>90598</v>
      </c>
      <c r="AG678" s="420" t="s">
        <v>5287</v>
      </c>
      <c r="AH678" s="421" t="s">
        <v>3918</v>
      </c>
      <c r="AI678" s="420" t="s">
        <v>3719</v>
      </c>
      <c r="AJ678" s="413" t="str">
        <f t="shared" si="44"/>
        <v>4590007638_002</v>
      </c>
      <c r="AK678" s="423" t="s">
        <v>5288</v>
      </c>
      <c r="AL678" s="424">
        <v>44979</v>
      </c>
      <c r="AM678" s="221">
        <v>51676.4</v>
      </c>
      <c r="AN678" s="226">
        <v>45015</v>
      </c>
      <c r="AO678" s="423" t="s">
        <v>5289</v>
      </c>
      <c r="AP678" s="424">
        <v>45436</v>
      </c>
      <c r="AQ678" s="222">
        <v>77514.599999999991</v>
      </c>
      <c r="AR678" s="424">
        <v>45519</v>
      </c>
      <c r="AS678" s="614">
        <f ca="1">表格1_6[[#This Row],[total amount]]/表格1_6[[#This Row],[PO$]]</f>
        <v>1</v>
      </c>
      <c r="AT678" s="223">
        <f ca="1">表格1_6[[#This Row],[invoice amount]]+表格1_6[[#This Row],[invoice amount2]]</f>
        <v>129191</v>
      </c>
      <c r="AU678" s="224" t="s">
        <v>3657</v>
      </c>
      <c r="AV678" s="423"/>
      <c r="AW678" s="423" t="e">
        <f ca="1">VLOOKUP(表格1_6[[#This Row],[TI tool ID2]],工作表1!A:A,1,FALSE)</f>
        <v>#N/A</v>
      </c>
      <c r="AX678" s="425" t="e">
        <f ca="1">VLOOKUP(表格1_6[[#This Row],[PO+ITEM]],工作表1!B:E,2,FALSE)</f>
        <v>#N/A</v>
      </c>
      <c r="AY678" s="425" t="e">
        <f ca="1">VLOOKUP(表格1_6[[#This Row],[PO+ITEM]],工作表1!B:E,3,FALSE)</f>
        <v>#N/A</v>
      </c>
      <c r="AZ678" s="423" t="e">
        <f ca="1">VLOOKUP(表格1_6[[#This Row],[PO+ITEM]],工作表1!B:E,4,FALSE)</f>
        <v>#N/A</v>
      </c>
      <c r="BA678" s="425" t="e">
        <f ca="1">INDEX(工作表1!G:G, MATCH(表格1_6[[#This Row],[invoice number]]&amp;表格1_6[[#This Row],[invoice number2]],工作表1!G:G, 0))</f>
        <v>#N/A</v>
      </c>
      <c r="BB678" s="423" t="e">
        <f ca="1">VLOOKUP(表格1_6[[#This Row],[PO+ITEM]],工作表1!F:H,2,FALSE)</f>
        <v>#N/A</v>
      </c>
    </row>
    <row r="679" spans="1:54" ht="15.6">
      <c r="A679" s="413">
        <v>678</v>
      </c>
      <c r="B679" s="413" t="s">
        <v>3674</v>
      </c>
      <c r="C679" s="414" t="s">
        <v>17</v>
      </c>
      <c r="D679" s="414" t="s">
        <v>3648</v>
      </c>
      <c r="E679" s="414"/>
      <c r="F679" s="414"/>
      <c r="G679" s="414"/>
      <c r="H679" s="414"/>
      <c r="I679" s="414"/>
      <c r="J679" s="414"/>
      <c r="K679" s="414"/>
      <c r="L679" s="415" t="s">
        <v>5290</v>
      </c>
      <c r="M679" s="416" t="s">
        <v>2999</v>
      </c>
      <c r="N679" s="416" t="s">
        <v>2999</v>
      </c>
      <c r="O679" s="417"/>
      <c r="P679" s="416">
        <v>4590007638</v>
      </c>
      <c r="Q679" s="418">
        <v>44855</v>
      </c>
      <c r="R679" s="419">
        <v>3</v>
      </c>
      <c r="S679" s="458">
        <v>129191</v>
      </c>
      <c r="T679" s="420" t="s">
        <v>2156</v>
      </c>
      <c r="U679" s="414" t="s">
        <v>3713</v>
      </c>
      <c r="V679" s="414" t="s">
        <v>3714</v>
      </c>
      <c r="W679" s="417" t="s">
        <v>3715</v>
      </c>
      <c r="X679" s="417"/>
      <c r="Y679" s="421" t="s">
        <v>3652</v>
      </c>
      <c r="Z679" s="421" t="s">
        <v>3652</v>
      </c>
      <c r="AA679" s="416" t="s">
        <v>5282</v>
      </c>
      <c r="AB679" s="414" t="s">
        <v>5283</v>
      </c>
      <c r="AC679" s="426"/>
      <c r="AD679" s="421"/>
      <c r="AE679" s="420"/>
      <c r="AF679" s="421">
        <v>90599</v>
      </c>
      <c r="AG679" s="420" t="s">
        <v>5291</v>
      </c>
      <c r="AH679" s="421" t="s">
        <v>3918</v>
      </c>
      <c r="AI679" s="420" t="s">
        <v>3719</v>
      </c>
      <c r="AJ679" s="413" t="str">
        <f t="shared" si="44"/>
        <v>4590007638_003</v>
      </c>
      <c r="AK679" s="423" t="s">
        <v>5292</v>
      </c>
      <c r="AL679" s="424">
        <v>44979</v>
      </c>
      <c r="AM679" s="221">
        <v>51676.4</v>
      </c>
      <c r="AN679" s="226">
        <v>45015</v>
      </c>
      <c r="AO679" s="423" t="s">
        <v>5293</v>
      </c>
      <c r="AP679" s="424">
        <v>45429</v>
      </c>
      <c r="AQ679" s="222">
        <v>77514.600000000006</v>
      </c>
      <c r="AR679" s="424">
        <v>45519</v>
      </c>
      <c r="AS679" s="614">
        <f ca="1">表格1_6[[#This Row],[total amount]]/表格1_6[[#This Row],[PO$]]</f>
        <v>1</v>
      </c>
      <c r="AT679" s="223">
        <f ca="1">表格1_6[[#This Row],[invoice amount]]+表格1_6[[#This Row],[invoice amount2]]</f>
        <v>129191</v>
      </c>
      <c r="AU679" s="224" t="s">
        <v>3657</v>
      </c>
      <c r="AV679" s="423"/>
      <c r="AW679" s="423" t="e">
        <f ca="1">VLOOKUP(表格1_6[[#This Row],[TI tool ID2]],工作表1!A:A,1,FALSE)</f>
        <v>#N/A</v>
      </c>
      <c r="AX679" s="425" t="e">
        <f ca="1">VLOOKUP(表格1_6[[#This Row],[PO+ITEM]],工作表1!B:E,2,FALSE)</f>
        <v>#N/A</v>
      </c>
      <c r="AY679" s="425" t="e">
        <f ca="1">VLOOKUP(表格1_6[[#This Row],[PO+ITEM]],工作表1!B:E,3,FALSE)</f>
        <v>#N/A</v>
      </c>
      <c r="AZ679" s="423" t="e">
        <f ca="1">VLOOKUP(表格1_6[[#This Row],[PO+ITEM]],工作表1!B:E,4,FALSE)</f>
        <v>#N/A</v>
      </c>
      <c r="BA679" s="425" t="e">
        <f ca="1">INDEX(工作表1!G:G, MATCH(表格1_6[[#This Row],[invoice number]]&amp;表格1_6[[#This Row],[invoice number2]],工作表1!G:G, 0))</f>
        <v>#N/A</v>
      </c>
      <c r="BB679" s="423" t="e">
        <f ca="1">VLOOKUP(表格1_6[[#This Row],[PO+ITEM]],工作表1!F:H,2,FALSE)</f>
        <v>#N/A</v>
      </c>
    </row>
    <row r="680" spans="1:54" ht="15.6">
      <c r="A680" s="413">
        <v>679</v>
      </c>
      <c r="B680" s="413" t="s">
        <v>3674</v>
      </c>
      <c r="C680" s="414" t="s">
        <v>17</v>
      </c>
      <c r="D680" s="414" t="s">
        <v>3648</v>
      </c>
      <c r="E680" s="414"/>
      <c r="F680" s="414"/>
      <c r="G680" s="414"/>
      <c r="H680" s="414"/>
      <c r="I680" s="414"/>
      <c r="J680" s="414"/>
      <c r="K680" s="414"/>
      <c r="L680" s="420" t="s">
        <v>5294</v>
      </c>
      <c r="M680" s="416" t="s">
        <v>2999</v>
      </c>
      <c r="N680" s="416" t="s">
        <v>2999</v>
      </c>
      <c r="O680" s="417"/>
      <c r="P680" s="416">
        <v>4590007638</v>
      </c>
      <c r="Q680" s="418">
        <v>44855</v>
      </c>
      <c r="R680" s="419">
        <v>4</v>
      </c>
      <c r="S680" s="458">
        <v>129191</v>
      </c>
      <c r="T680" s="420" t="s">
        <v>2156</v>
      </c>
      <c r="U680" s="414" t="s">
        <v>3713</v>
      </c>
      <c r="V680" s="414" t="s">
        <v>3714</v>
      </c>
      <c r="W680" s="417" t="s">
        <v>3715</v>
      </c>
      <c r="X680" s="417"/>
      <c r="Y680" s="421" t="s">
        <v>3652</v>
      </c>
      <c r="Z680" s="421" t="s">
        <v>3652</v>
      </c>
      <c r="AA680" s="416" t="s">
        <v>5282</v>
      </c>
      <c r="AB680" s="414" t="s">
        <v>5283</v>
      </c>
      <c r="AC680" s="426"/>
      <c r="AD680" s="421"/>
      <c r="AE680" s="420"/>
      <c r="AF680" s="421">
        <v>91005</v>
      </c>
      <c r="AG680" s="420" t="s">
        <v>5295</v>
      </c>
      <c r="AH680" s="421" t="s">
        <v>3918</v>
      </c>
      <c r="AI680" s="420" t="s">
        <v>3719</v>
      </c>
      <c r="AJ680" s="413" t="str">
        <f t="shared" si="44"/>
        <v>4590007638_004</v>
      </c>
      <c r="AK680" s="423" t="s">
        <v>5296</v>
      </c>
      <c r="AL680" s="424">
        <v>44979</v>
      </c>
      <c r="AM680" s="221">
        <v>51676.4</v>
      </c>
      <c r="AN680" s="226">
        <v>45015</v>
      </c>
      <c r="AO680" s="425" t="s">
        <v>5297</v>
      </c>
      <c r="AP680" s="424">
        <v>45541</v>
      </c>
      <c r="AQ680" s="221">
        <v>77514.600000000006</v>
      </c>
      <c r="AR680" s="424">
        <v>45580</v>
      </c>
      <c r="AS680" s="614">
        <f ca="1">表格1_6[[#This Row],[total amount]]/表格1_6[[#This Row],[PO$]]</f>
        <v>1</v>
      </c>
      <c r="AT680" s="223">
        <f ca="1">表格1_6[[#This Row],[invoice amount]]+表格1_6[[#This Row],[invoice amount2]]</f>
        <v>129191</v>
      </c>
      <c r="AU680" s="224" t="s">
        <v>3725</v>
      </c>
      <c r="AV680" s="423"/>
      <c r="AW680" s="423" t="e">
        <f ca="1">VLOOKUP(表格1_6[[#This Row],[TI tool ID2]],工作表1!A:A,1,FALSE)</f>
        <v>#N/A</v>
      </c>
      <c r="AX680" s="425" t="e">
        <f ca="1">VLOOKUP(表格1_6[[#This Row],[PO+ITEM]],工作表1!B:E,2,FALSE)</f>
        <v>#N/A</v>
      </c>
      <c r="AY680" s="425" t="e">
        <f ca="1">VLOOKUP(表格1_6[[#This Row],[PO+ITEM]],工作表1!B:E,3,FALSE)</f>
        <v>#N/A</v>
      </c>
      <c r="AZ680" s="423" t="e">
        <f ca="1">VLOOKUP(表格1_6[[#This Row],[PO+ITEM]],工作表1!B:E,4,FALSE)</f>
        <v>#N/A</v>
      </c>
      <c r="BA680" s="425" t="e">
        <f ca="1">INDEX(工作表1!G:G, MATCH(表格1_6[[#This Row],[invoice number]]&amp;表格1_6[[#This Row],[invoice number2]],工作表1!G:G, 0))</f>
        <v>#N/A</v>
      </c>
      <c r="BB680" s="423" t="str">
        <f ca="1">VLOOKUP(表格1_6[[#This Row],[PO+ITEM]],工作表1!F:H,2,FALSE)</f>
        <v>MICUINT202409015</v>
      </c>
    </row>
    <row r="681" spans="1:54" ht="15.6">
      <c r="A681" s="413">
        <v>680</v>
      </c>
      <c r="B681" s="413" t="s">
        <v>3674</v>
      </c>
      <c r="C681" s="414" t="s">
        <v>17</v>
      </c>
      <c r="D681" s="414" t="s">
        <v>3648</v>
      </c>
      <c r="E681" s="414"/>
      <c r="F681" s="414"/>
      <c r="G681" s="414"/>
      <c r="H681" s="414"/>
      <c r="I681" s="414"/>
      <c r="J681" s="414"/>
      <c r="K681" s="414"/>
      <c r="L681" s="415" t="s">
        <v>5298</v>
      </c>
      <c r="M681" s="416" t="s">
        <v>2999</v>
      </c>
      <c r="N681" s="416" t="s">
        <v>2999</v>
      </c>
      <c r="O681" s="417"/>
      <c r="P681" s="416">
        <v>4590007639</v>
      </c>
      <c r="Q681" s="418">
        <v>44855</v>
      </c>
      <c r="R681" s="419">
        <v>1</v>
      </c>
      <c r="S681" s="458">
        <v>200947</v>
      </c>
      <c r="T681" s="420" t="s">
        <v>2156</v>
      </c>
      <c r="U681" s="414" t="s">
        <v>3713</v>
      </c>
      <c r="V681" s="414" t="s">
        <v>3714</v>
      </c>
      <c r="W681" s="417" t="s">
        <v>3715</v>
      </c>
      <c r="X681" s="417"/>
      <c r="Y681" s="421" t="s">
        <v>3652</v>
      </c>
      <c r="Z681" s="421" t="s">
        <v>3652</v>
      </c>
      <c r="AA681" s="416" t="s">
        <v>5299</v>
      </c>
      <c r="AB681" s="414" t="s">
        <v>5283</v>
      </c>
      <c r="AC681" s="426"/>
      <c r="AD681" s="421"/>
      <c r="AE681" s="420"/>
      <c r="AF681" s="421">
        <v>90600</v>
      </c>
      <c r="AG681" s="420" t="s">
        <v>5300</v>
      </c>
      <c r="AH681" s="421" t="s">
        <v>3918</v>
      </c>
      <c r="AI681" s="420" t="s">
        <v>3719</v>
      </c>
      <c r="AJ681" s="413" t="str">
        <f t="shared" si="44"/>
        <v>4590007639_001</v>
      </c>
      <c r="AK681" s="423" t="s">
        <v>5301</v>
      </c>
      <c r="AL681" s="424">
        <v>44985</v>
      </c>
      <c r="AM681" s="221">
        <v>80378.8</v>
      </c>
      <c r="AN681" s="226">
        <v>45015</v>
      </c>
      <c r="AO681" s="423" t="s">
        <v>5302</v>
      </c>
      <c r="AP681" s="424">
        <v>45429</v>
      </c>
      <c r="AQ681" s="222">
        <v>120568.2</v>
      </c>
      <c r="AR681" s="424">
        <v>45519</v>
      </c>
      <c r="AS681" s="614">
        <f ca="1">表格1_6[[#This Row],[total amount]]/表格1_6[[#This Row],[PO$]]</f>
        <v>1</v>
      </c>
      <c r="AT681" s="223">
        <f ca="1">表格1_6[[#This Row],[invoice amount]]+表格1_6[[#This Row],[invoice amount2]]</f>
        <v>200947</v>
      </c>
      <c r="AU681" s="224" t="s">
        <v>3657</v>
      </c>
      <c r="AV681" s="423"/>
      <c r="AW681" s="423" t="e">
        <f ca="1">VLOOKUP(表格1_6[[#This Row],[TI tool ID2]],工作表1!A:A,1,FALSE)</f>
        <v>#N/A</v>
      </c>
      <c r="AX681" s="425" t="e">
        <f ca="1">VLOOKUP(表格1_6[[#This Row],[PO+ITEM]],工作表1!B:E,2,FALSE)</f>
        <v>#N/A</v>
      </c>
      <c r="AY681" s="425" t="e">
        <f ca="1">VLOOKUP(表格1_6[[#This Row],[PO+ITEM]],工作表1!B:E,3,FALSE)</f>
        <v>#N/A</v>
      </c>
      <c r="AZ681" s="423" t="e">
        <f ca="1">VLOOKUP(表格1_6[[#This Row],[PO+ITEM]],工作表1!B:E,4,FALSE)</f>
        <v>#N/A</v>
      </c>
      <c r="BA681" s="425" t="e">
        <f ca="1">INDEX(工作表1!G:G, MATCH(表格1_6[[#This Row],[invoice number]]&amp;表格1_6[[#This Row],[invoice number2]],工作表1!G:G, 0))</f>
        <v>#N/A</v>
      </c>
      <c r="BB681" s="423" t="e">
        <f ca="1">VLOOKUP(表格1_6[[#This Row],[PO+ITEM]],工作表1!F:H,2,FALSE)</f>
        <v>#N/A</v>
      </c>
    </row>
    <row r="682" spans="1:54" ht="15.6">
      <c r="A682" s="413">
        <v>681</v>
      </c>
      <c r="B682" s="413" t="s">
        <v>3659</v>
      </c>
      <c r="C682" s="414" t="s">
        <v>17</v>
      </c>
      <c r="D682" s="414" t="s">
        <v>3648</v>
      </c>
      <c r="E682" s="414"/>
      <c r="F682" s="414"/>
      <c r="G682" s="414"/>
      <c r="H682" s="414"/>
      <c r="I682" s="414"/>
      <c r="J682" s="414"/>
      <c r="K682" s="414"/>
      <c r="L682" s="415" t="s">
        <v>5303</v>
      </c>
      <c r="M682" s="416" t="s">
        <v>2999</v>
      </c>
      <c r="N682" s="416" t="s">
        <v>2999</v>
      </c>
      <c r="O682" s="417"/>
      <c r="P682" s="416">
        <v>4590007639</v>
      </c>
      <c r="Q682" s="418">
        <v>44855</v>
      </c>
      <c r="R682" s="419">
        <v>2</v>
      </c>
      <c r="S682" s="458">
        <v>200947</v>
      </c>
      <c r="T682" s="420" t="s">
        <v>2156</v>
      </c>
      <c r="U682" s="414" t="s">
        <v>3713</v>
      </c>
      <c r="V682" s="414" t="s">
        <v>3714</v>
      </c>
      <c r="W682" s="417" t="s">
        <v>3715</v>
      </c>
      <c r="X682" s="417"/>
      <c r="Y682" s="421" t="s">
        <v>3652</v>
      </c>
      <c r="Z682" s="421" t="s">
        <v>3652</v>
      </c>
      <c r="AA682" s="416" t="s">
        <v>5299</v>
      </c>
      <c r="AB682" s="414" t="s">
        <v>5283</v>
      </c>
      <c r="AC682" s="426"/>
      <c r="AD682" s="421"/>
      <c r="AE682" s="420"/>
      <c r="AF682" s="421">
        <v>90961</v>
      </c>
      <c r="AG682" s="420" t="s">
        <v>5304</v>
      </c>
      <c r="AH682" s="421" t="s">
        <v>3918</v>
      </c>
      <c r="AI682" s="420" t="s">
        <v>3719</v>
      </c>
      <c r="AJ682" s="413" t="str">
        <f t="shared" si="44"/>
        <v>4590007639_002</v>
      </c>
      <c r="AK682" s="423" t="s">
        <v>5305</v>
      </c>
      <c r="AL682" s="424">
        <v>44985</v>
      </c>
      <c r="AM682" s="221">
        <v>80378.8</v>
      </c>
      <c r="AN682" s="226">
        <v>45015</v>
      </c>
      <c r="AO682" s="423"/>
      <c r="AP682" s="413"/>
      <c r="AQ682" s="222"/>
      <c r="AR682" s="424"/>
      <c r="AS682" s="614">
        <f ca="1">表格1_6[[#This Row],[total amount]]/表格1_6[[#This Row],[PO$]]</f>
        <v>0.4</v>
      </c>
      <c r="AT682" s="223">
        <f ca="1">表格1_6[[#This Row],[invoice amount]]+表格1_6[[#This Row],[invoice amount2]]</f>
        <v>80378.8</v>
      </c>
      <c r="AU682" s="224" t="s">
        <v>3673</v>
      </c>
      <c r="AV682" s="423"/>
      <c r="AW682" s="423" t="e">
        <f ca="1">VLOOKUP(表格1_6[[#This Row],[TI tool ID2]],工作表1!A:A,1,FALSE)</f>
        <v>#N/A</v>
      </c>
      <c r="AX682" s="425" t="e">
        <f ca="1">VLOOKUP(表格1_6[[#This Row],[PO+ITEM]],工作表1!B:E,2,FALSE)</f>
        <v>#N/A</v>
      </c>
      <c r="AY682" s="425" t="e">
        <f ca="1">VLOOKUP(表格1_6[[#This Row],[PO+ITEM]],工作表1!B:E,3,FALSE)</f>
        <v>#N/A</v>
      </c>
      <c r="AZ682" s="423" t="e">
        <f ca="1">VLOOKUP(表格1_6[[#This Row],[PO+ITEM]],工作表1!B:E,4,FALSE)</f>
        <v>#N/A</v>
      </c>
      <c r="BA682" s="425" t="e">
        <f ca="1">INDEX(工作表1!G:G, MATCH(表格1_6[[#This Row],[invoice number]]&amp;表格1_6[[#This Row],[invoice number2]],工作表1!G:G, 0))</f>
        <v>#N/A</v>
      </c>
      <c r="BB682" s="423" t="e">
        <f ca="1">VLOOKUP(表格1_6[[#This Row],[PO+ITEM]],工作表1!F:H,2,FALSE)</f>
        <v>#N/A</v>
      </c>
    </row>
    <row r="683" spans="1:54" ht="15.6">
      <c r="A683" s="413">
        <v>682</v>
      </c>
      <c r="B683" s="413" t="s">
        <v>3674</v>
      </c>
      <c r="C683" s="414" t="s">
        <v>17</v>
      </c>
      <c r="D683" s="414" t="s">
        <v>3648</v>
      </c>
      <c r="E683" s="414"/>
      <c r="F683" s="414"/>
      <c r="G683" s="414"/>
      <c r="H683" s="414"/>
      <c r="I683" s="414"/>
      <c r="J683" s="414"/>
      <c r="K683" s="414"/>
      <c r="L683" s="415" t="s">
        <v>5306</v>
      </c>
      <c r="M683" s="416" t="s">
        <v>2999</v>
      </c>
      <c r="N683" s="416" t="s">
        <v>2999</v>
      </c>
      <c r="O683" s="417"/>
      <c r="P683" s="416">
        <v>4590007640</v>
      </c>
      <c r="Q683" s="418">
        <v>44855</v>
      </c>
      <c r="R683" s="419">
        <v>1</v>
      </c>
      <c r="S683" s="458">
        <v>147781</v>
      </c>
      <c r="T683" s="420" t="s">
        <v>2156</v>
      </c>
      <c r="U683" s="414" t="s">
        <v>3713</v>
      </c>
      <c r="V683" s="414" t="s">
        <v>3714</v>
      </c>
      <c r="W683" s="417" t="s">
        <v>3715</v>
      </c>
      <c r="X683" s="417"/>
      <c r="Y683" s="421" t="s">
        <v>3652</v>
      </c>
      <c r="Z683" s="421" t="s">
        <v>3652</v>
      </c>
      <c r="AA683" s="416"/>
      <c r="AB683" s="414" t="s">
        <v>3716</v>
      </c>
      <c r="AC683" s="426"/>
      <c r="AD683" s="421"/>
      <c r="AE683" s="420"/>
      <c r="AF683" s="421">
        <v>90597</v>
      </c>
      <c r="AG683" s="420" t="s">
        <v>5307</v>
      </c>
      <c r="AH683" s="421" t="s">
        <v>3918</v>
      </c>
      <c r="AI683" s="420" t="s">
        <v>3719</v>
      </c>
      <c r="AJ683" s="413" t="str">
        <f t="shared" si="44"/>
        <v>4590007640_001</v>
      </c>
      <c r="AK683" s="423"/>
      <c r="AL683" s="424">
        <v>44958</v>
      </c>
      <c r="AM683" s="221">
        <v>59112.4</v>
      </c>
      <c r="AN683" s="228">
        <v>45030</v>
      </c>
      <c r="AO683" s="423" t="s">
        <v>5308</v>
      </c>
      <c r="AP683" s="424">
        <v>45408</v>
      </c>
      <c r="AQ683" s="222">
        <v>88668.6</v>
      </c>
      <c r="AR683" s="424">
        <v>45519</v>
      </c>
      <c r="AS683" s="614">
        <f ca="1">表格1_6[[#This Row],[total amount]]/表格1_6[[#This Row],[PO$]]</f>
        <v>1</v>
      </c>
      <c r="AT683" s="223">
        <f ca="1">表格1_6[[#This Row],[invoice amount]]+表格1_6[[#This Row],[invoice amount2]]</f>
        <v>147781</v>
      </c>
      <c r="AU683" s="224" t="s">
        <v>3657</v>
      </c>
      <c r="AV683" s="423"/>
      <c r="AW683" s="423" t="e">
        <f ca="1">VLOOKUP(表格1_6[[#This Row],[TI tool ID2]],工作表1!A:A,1,FALSE)</f>
        <v>#N/A</v>
      </c>
      <c r="AX683" s="425" t="e">
        <f ca="1">VLOOKUP(表格1_6[[#This Row],[PO+ITEM]],工作表1!B:E,2,FALSE)</f>
        <v>#N/A</v>
      </c>
      <c r="AY683" s="425" t="e">
        <f ca="1">VLOOKUP(表格1_6[[#This Row],[PO+ITEM]],工作表1!B:E,3,FALSE)</f>
        <v>#N/A</v>
      </c>
      <c r="AZ683" s="423" t="e">
        <f ca="1">VLOOKUP(表格1_6[[#This Row],[PO+ITEM]],工作表1!B:E,4,FALSE)</f>
        <v>#N/A</v>
      </c>
      <c r="BA683" s="425" t="e">
        <f ca="1">INDEX(工作表1!G:G, MATCH(表格1_6[[#This Row],[invoice number]]&amp;表格1_6[[#This Row],[invoice number2]],工作表1!G:G, 0))</f>
        <v>#N/A</v>
      </c>
      <c r="BB683" s="423" t="e">
        <f ca="1">VLOOKUP(表格1_6[[#This Row],[PO+ITEM]],工作表1!F:H,2,FALSE)</f>
        <v>#N/A</v>
      </c>
    </row>
    <row r="684" spans="1:54" ht="15.6">
      <c r="A684" s="413">
        <v>683</v>
      </c>
      <c r="B684" s="413" t="s">
        <v>3659</v>
      </c>
      <c r="C684" s="414" t="s">
        <v>17</v>
      </c>
      <c r="D684" s="414" t="s">
        <v>3648</v>
      </c>
      <c r="E684" s="414"/>
      <c r="F684" s="414"/>
      <c r="G684" s="414"/>
      <c r="H684" s="414"/>
      <c r="I684" s="414"/>
      <c r="J684" s="414"/>
      <c r="K684" s="414"/>
      <c r="L684" s="420" t="s">
        <v>5309</v>
      </c>
      <c r="M684" s="416" t="s">
        <v>2999</v>
      </c>
      <c r="N684" s="416" t="s">
        <v>2999</v>
      </c>
      <c r="O684" s="417"/>
      <c r="P684" s="416">
        <v>4590007640</v>
      </c>
      <c r="Q684" s="418">
        <v>44855</v>
      </c>
      <c r="R684" s="419">
        <v>2</v>
      </c>
      <c r="S684" s="458">
        <v>147781</v>
      </c>
      <c r="T684" s="420" t="s">
        <v>2156</v>
      </c>
      <c r="U684" s="414" t="s">
        <v>3713</v>
      </c>
      <c r="V684" s="414" t="s">
        <v>3714</v>
      </c>
      <c r="W684" s="417" t="s">
        <v>3715</v>
      </c>
      <c r="X684" s="417"/>
      <c r="Y684" s="421" t="s">
        <v>3652</v>
      </c>
      <c r="Z684" s="421" t="s">
        <v>3652</v>
      </c>
      <c r="AA684" s="416"/>
      <c r="AB684" s="414" t="s">
        <v>3716</v>
      </c>
      <c r="AC684" s="426"/>
      <c r="AD684" s="421"/>
      <c r="AE684" s="420"/>
      <c r="AF684" s="421">
        <v>90994</v>
      </c>
      <c r="AG684" s="420" t="s">
        <v>5310</v>
      </c>
      <c r="AH684" s="421" t="s">
        <v>3918</v>
      </c>
      <c r="AI684" s="420" t="s">
        <v>3719</v>
      </c>
      <c r="AJ684" s="413" t="str">
        <f t="shared" si="44"/>
        <v>4590007640_002</v>
      </c>
      <c r="AK684" s="423"/>
      <c r="AL684" s="424">
        <v>44958</v>
      </c>
      <c r="AM684" s="221">
        <v>59112.4</v>
      </c>
      <c r="AN684" s="228">
        <v>45030</v>
      </c>
      <c r="AO684" s="423"/>
      <c r="AP684" s="413"/>
      <c r="AQ684" s="222"/>
      <c r="AR684" s="424"/>
      <c r="AS684" s="614">
        <f ca="1">表格1_6[[#This Row],[total amount]]/表格1_6[[#This Row],[PO$]]</f>
        <v>0.4</v>
      </c>
      <c r="AT684" s="223">
        <f ca="1">表格1_6[[#This Row],[invoice amount]]+表格1_6[[#This Row],[invoice amount2]]</f>
        <v>59112.4</v>
      </c>
      <c r="AU684" s="224" t="s">
        <v>3673</v>
      </c>
      <c r="AV684" s="423"/>
      <c r="AW684" s="423" t="e">
        <f ca="1">VLOOKUP(表格1_6[[#This Row],[TI tool ID2]],工作表1!A:A,1,FALSE)</f>
        <v>#N/A</v>
      </c>
      <c r="AX684" s="425" t="e">
        <f ca="1">VLOOKUP(表格1_6[[#This Row],[PO+ITEM]],工作表1!B:E,2,FALSE)</f>
        <v>#N/A</v>
      </c>
      <c r="AY684" s="425" t="e">
        <f ca="1">VLOOKUP(表格1_6[[#This Row],[PO+ITEM]],工作表1!B:E,3,FALSE)</f>
        <v>#N/A</v>
      </c>
      <c r="AZ684" s="423" t="e">
        <f ca="1">VLOOKUP(表格1_6[[#This Row],[PO+ITEM]],工作表1!B:E,4,FALSE)</f>
        <v>#N/A</v>
      </c>
      <c r="BA684" s="425" t="e">
        <f ca="1">INDEX(工作表1!G:G, MATCH(表格1_6[[#This Row],[invoice number]]&amp;表格1_6[[#This Row],[invoice number2]],工作表1!G:G, 0))</f>
        <v>#N/A</v>
      </c>
      <c r="BB684" s="423" t="e">
        <f ca="1">VLOOKUP(表格1_6[[#This Row],[PO+ITEM]],工作表1!F:H,2,FALSE)</f>
        <v>#N/A</v>
      </c>
    </row>
    <row r="685" spans="1:54" ht="15.6">
      <c r="A685" s="413">
        <v>684</v>
      </c>
      <c r="B685" s="413" t="s">
        <v>3674</v>
      </c>
      <c r="C685" s="414" t="s">
        <v>17</v>
      </c>
      <c r="D685" s="414" t="s">
        <v>3648</v>
      </c>
      <c r="E685" s="414"/>
      <c r="F685" s="414"/>
      <c r="G685" s="414"/>
      <c r="H685" s="414"/>
      <c r="I685" s="414"/>
      <c r="J685" s="414"/>
      <c r="K685" s="414"/>
      <c r="L685" s="415" t="s">
        <v>5311</v>
      </c>
      <c r="M685" s="416" t="s">
        <v>2999</v>
      </c>
      <c r="N685" s="416" t="s">
        <v>2999</v>
      </c>
      <c r="O685" s="417"/>
      <c r="P685" s="416">
        <v>4590007640</v>
      </c>
      <c r="Q685" s="418">
        <v>44855</v>
      </c>
      <c r="R685" s="419">
        <v>3</v>
      </c>
      <c r="S685" s="458">
        <v>147781</v>
      </c>
      <c r="T685" s="420" t="s">
        <v>2156</v>
      </c>
      <c r="U685" s="414" t="s">
        <v>3713</v>
      </c>
      <c r="V685" s="414" t="s">
        <v>3714</v>
      </c>
      <c r="W685" s="417" t="s">
        <v>3715</v>
      </c>
      <c r="X685" s="417"/>
      <c r="Y685" s="421" t="s">
        <v>3652</v>
      </c>
      <c r="Z685" s="421" t="s">
        <v>3652</v>
      </c>
      <c r="AA685" s="416"/>
      <c r="AB685" s="414" t="s">
        <v>3716</v>
      </c>
      <c r="AC685" s="426"/>
      <c r="AD685" s="421"/>
      <c r="AE685" s="420"/>
      <c r="AF685" s="421">
        <v>90593</v>
      </c>
      <c r="AG685" s="420" t="s">
        <v>5312</v>
      </c>
      <c r="AH685" s="421" t="s">
        <v>3918</v>
      </c>
      <c r="AI685" s="420" t="s">
        <v>3719</v>
      </c>
      <c r="AJ685" s="413" t="str">
        <f t="shared" si="44"/>
        <v>4590007640_003</v>
      </c>
      <c r="AK685" s="423"/>
      <c r="AL685" s="424">
        <v>44958</v>
      </c>
      <c r="AM685" s="221">
        <v>59112.4</v>
      </c>
      <c r="AN685" s="228">
        <v>45030</v>
      </c>
      <c r="AO685" s="423" t="s">
        <v>5313</v>
      </c>
      <c r="AP685" s="424">
        <v>45412</v>
      </c>
      <c r="AQ685" s="222">
        <v>88668.6</v>
      </c>
      <c r="AR685" s="424">
        <v>45519</v>
      </c>
      <c r="AS685" s="614">
        <f ca="1">表格1_6[[#This Row],[total amount]]/表格1_6[[#This Row],[PO$]]</f>
        <v>1</v>
      </c>
      <c r="AT685" s="223">
        <f ca="1">表格1_6[[#This Row],[invoice amount]]+表格1_6[[#This Row],[invoice amount2]]</f>
        <v>147781</v>
      </c>
      <c r="AU685" s="224" t="s">
        <v>3657</v>
      </c>
      <c r="AV685" s="423"/>
      <c r="AW685" s="423" t="e">
        <f ca="1">VLOOKUP(表格1_6[[#This Row],[TI tool ID2]],工作表1!A:A,1,FALSE)</f>
        <v>#N/A</v>
      </c>
      <c r="AX685" s="425" t="e">
        <f ca="1">VLOOKUP(表格1_6[[#This Row],[PO+ITEM]],工作表1!B:E,2,FALSE)</f>
        <v>#N/A</v>
      </c>
      <c r="AY685" s="425" t="e">
        <f ca="1">VLOOKUP(表格1_6[[#This Row],[PO+ITEM]],工作表1!B:E,3,FALSE)</f>
        <v>#N/A</v>
      </c>
      <c r="AZ685" s="423" t="e">
        <f ca="1">VLOOKUP(表格1_6[[#This Row],[PO+ITEM]],工作表1!B:E,4,FALSE)</f>
        <v>#N/A</v>
      </c>
      <c r="BA685" s="425" t="e">
        <f ca="1">INDEX(工作表1!G:G, MATCH(表格1_6[[#This Row],[invoice number]]&amp;表格1_6[[#This Row],[invoice number2]],工作表1!G:G, 0))</f>
        <v>#N/A</v>
      </c>
      <c r="BB685" s="423" t="e">
        <f ca="1">VLOOKUP(表格1_6[[#This Row],[PO+ITEM]],工作表1!F:H,2,FALSE)</f>
        <v>#N/A</v>
      </c>
    </row>
    <row r="686" spans="1:54" ht="15.6">
      <c r="A686" s="413">
        <v>685</v>
      </c>
      <c r="B686" s="413" t="s">
        <v>3659</v>
      </c>
      <c r="C686" s="414" t="s">
        <v>17</v>
      </c>
      <c r="D686" s="414" t="s">
        <v>3648</v>
      </c>
      <c r="E686" s="414"/>
      <c r="F686" s="414"/>
      <c r="G686" s="414"/>
      <c r="H686" s="414"/>
      <c r="I686" s="414"/>
      <c r="J686" s="414"/>
      <c r="K686" s="414"/>
      <c r="L686" s="415" t="s">
        <v>5314</v>
      </c>
      <c r="M686" s="416" t="s">
        <v>2999</v>
      </c>
      <c r="N686" s="416" t="s">
        <v>2999</v>
      </c>
      <c r="O686" s="417"/>
      <c r="P686" s="416">
        <v>4590007640</v>
      </c>
      <c r="Q686" s="418">
        <v>44855</v>
      </c>
      <c r="R686" s="419">
        <v>4</v>
      </c>
      <c r="S686" s="458">
        <v>147781</v>
      </c>
      <c r="T686" s="420" t="s">
        <v>2156</v>
      </c>
      <c r="U686" s="414" t="s">
        <v>3713</v>
      </c>
      <c r="V686" s="414" t="s">
        <v>3714</v>
      </c>
      <c r="W686" s="417" t="s">
        <v>3715</v>
      </c>
      <c r="X686" s="417"/>
      <c r="Y686" s="421" t="s">
        <v>3652</v>
      </c>
      <c r="Z686" s="421" t="s">
        <v>3652</v>
      </c>
      <c r="AA686" s="416"/>
      <c r="AB686" s="414" t="s">
        <v>3716</v>
      </c>
      <c r="AC686" s="426"/>
      <c r="AD686" s="421"/>
      <c r="AE686" s="420"/>
      <c r="AF686" s="421">
        <v>90592</v>
      </c>
      <c r="AG686" s="420" t="s">
        <v>5315</v>
      </c>
      <c r="AH686" s="421" t="s">
        <v>3918</v>
      </c>
      <c r="AI686" s="420" t="s">
        <v>3719</v>
      </c>
      <c r="AJ686" s="413" t="str">
        <f t="shared" si="44"/>
        <v>4590007640_004</v>
      </c>
      <c r="AK686" s="423"/>
      <c r="AL686" s="424">
        <v>44958</v>
      </c>
      <c r="AM686" s="221">
        <v>59112.4</v>
      </c>
      <c r="AN686" s="228">
        <v>45030</v>
      </c>
      <c r="AO686" s="423"/>
      <c r="AP686" s="413"/>
      <c r="AQ686" s="222"/>
      <c r="AR686" s="424"/>
      <c r="AS686" s="614">
        <f ca="1">表格1_6[[#This Row],[total amount]]/表格1_6[[#This Row],[PO$]]</f>
        <v>0.4</v>
      </c>
      <c r="AT686" s="223">
        <f ca="1">表格1_6[[#This Row],[invoice amount]]+表格1_6[[#This Row],[invoice amount2]]</f>
        <v>59112.4</v>
      </c>
      <c r="AU686" s="224" t="s">
        <v>3673</v>
      </c>
      <c r="AV686" s="423"/>
      <c r="AW686" s="423" t="e">
        <f ca="1">VLOOKUP(表格1_6[[#This Row],[TI tool ID2]],工作表1!A:A,1,FALSE)</f>
        <v>#N/A</v>
      </c>
      <c r="AX686" s="425" t="e">
        <f ca="1">VLOOKUP(表格1_6[[#This Row],[PO+ITEM]],工作表1!B:E,2,FALSE)</f>
        <v>#N/A</v>
      </c>
      <c r="AY686" s="425" t="e">
        <f ca="1">VLOOKUP(表格1_6[[#This Row],[PO+ITEM]],工作表1!B:E,3,FALSE)</f>
        <v>#N/A</v>
      </c>
      <c r="AZ686" s="423" t="e">
        <f ca="1">VLOOKUP(表格1_6[[#This Row],[PO+ITEM]],工作表1!B:E,4,FALSE)</f>
        <v>#N/A</v>
      </c>
      <c r="BA686" s="425" t="e">
        <f ca="1">INDEX(工作表1!G:G, MATCH(表格1_6[[#This Row],[invoice number]]&amp;表格1_6[[#This Row],[invoice number2]],工作表1!G:G, 0))</f>
        <v>#N/A</v>
      </c>
      <c r="BB686" s="423" t="e">
        <f ca="1">VLOOKUP(表格1_6[[#This Row],[PO+ITEM]],工作表1!F:H,2,FALSE)</f>
        <v>#N/A</v>
      </c>
    </row>
    <row r="687" spans="1:54" ht="15.6">
      <c r="A687" s="413">
        <v>686</v>
      </c>
      <c r="B687" s="413" t="s">
        <v>3674</v>
      </c>
      <c r="C687" s="414" t="s">
        <v>17</v>
      </c>
      <c r="D687" s="414" t="s">
        <v>3648</v>
      </c>
      <c r="E687" s="414"/>
      <c r="F687" s="414"/>
      <c r="G687" s="414"/>
      <c r="H687" s="414"/>
      <c r="I687" s="414"/>
      <c r="J687" s="414"/>
      <c r="K687" s="414"/>
      <c r="L687" s="415" t="s">
        <v>5316</v>
      </c>
      <c r="M687" s="416" t="s">
        <v>2999</v>
      </c>
      <c r="N687" s="416" t="s">
        <v>2999</v>
      </c>
      <c r="O687" s="417"/>
      <c r="P687" s="416">
        <v>4590007641</v>
      </c>
      <c r="Q687" s="418">
        <v>44855</v>
      </c>
      <c r="R687" s="419">
        <v>1</v>
      </c>
      <c r="S687" s="458">
        <v>219722</v>
      </c>
      <c r="T687" s="420" t="s">
        <v>2156</v>
      </c>
      <c r="U687" s="414" t="s">
        <v>3713</v>
      </c>
      <c r="V687" s="414" t="s">
        <v>3714</v>
      </c>
      <c r="W687" s="417" t="s">
        <v>3715</v>
      </c>
      <c r="X687" s="417"/>
      <c r="Y687" s="421" t="s">
        <v>3652</v>
      </c>
      <c r="Z687" s="421" t="s">
        <v>3652</v>
      </c>
      <c r="AA687" s="416" t="s">
        <v>5299</v>
      </c>
      <c r="AB687" s="414" t="s">
        <v>3716</v>
      </c>
      <c r="AC687" s="426"/>
      <c r="AD687" s="421"/>
      <c r="AE687" s="420"/>
      <c r="AF687" s="421">
        <v>90316</v>
      </c>
      <c r="AG687" s="420" t="s">
        <v>5317</v>
      </c>
      <c r="AH687" s="421" t="s">
        <v>3918</v>
      </c>
      <c r="AI687" s="420" t="s">
        <v>3719</v>
      </c>
      <c r="AJ687" s="413" t="str">
        <f t="shared" si="44"/>
        <v>4590007641_001</v>
      </c>
      <c r="AK687" s="423" t="s">
        <v>5318</v>
      </c>
      <c r="AL687" s="424">
        <v>44985</v>
      </c>
      <c r="AM687" s="221">
        <v>87888.8</v>
      </c>
      <c r="AN687" s="226">
        <v>45015</v>
      </c>
      <c r="AO687" s="423" t="s">
        <v>5319</v>
      </c>
      <c r="AP687" s="424">
        <v>45436</v>
      </c>
      <c r="AQ687" s="222">
        <v>131833.19999999998</v>
      </c>
      <c r="AR687" s="424">
        <v>45548</v>
      </c>
      <c r="AS687" s="614">
        <f ca="1">表格1_6[[#This Row],[total amount]]/表格1_6[[#This Row],[PO$]]</f>
        <v>1</v>
      </c>
      <c r="AT687" s="223">
        <f ca="1">表格1_6[[#This Row],[invoice amount]]+表格1_6[[#This Row],[invoice amount2]]</f>
        <v>219722</v>
      </c>
      <c r="AU687" s="224" t="s">
        <v>3725</v>
      </c>
      <c r="AV687" s="423"/>
      <c r="AW687" s="423" t="e">
        <f ca="1">VLOOKUP(表格1_6[[#This Row],[TI tool ID2]],工作表1!A:A,1,FALSE)</f>
        <v>#N/A</v>
      </c>
      <c r="AX687" s="425" t="e">
        <f ca="1">VLOOKUP(表格1_6[[#This Row],[PO+ITEM]],工作表1!B:E,2,FALSE)</f>
        <v>#N/A</v>
      </c>
      <c r="AY687" s="425" t="e">
        <f ca="1">VLOOKUP(表格1_6[[#This Row],[PO+ITEM]],工作表1!B:E,3,FALSE)</f>
        <v>#N/A</v>
      </c>
      <c r="AZ687" s="423" t="e">
        <f ca="1">VLOOKUP(表格1_6[[#This Row],[PO+ITEM]],工作表1!B:E,4,FALSE)</f>
        <v>#N/A</v>
      </c>
      <c r="BA687" s="425" t="e">
        <f ca="1">INDEX(工作表1!G:G, MATCH(表格1_6[[#This Row],[invoice number]]&amp;表格1_6[[#This Row],[invoice number2]],工作表1!G:G, 0))</f>
        <v>#N/A</v>
      </c>
      <c r="BB687" s="423" t="e">
        <f ca="1">VLOOKUP(表格1_6[[#This Row],[PO+ITEM]],工作表1!F:H,2,FALSE)</f>
        <v>#N/A</v>
      </c>
    </row>
    <row r="688" spans="1:54" ht="15.6">
      <c r="A688" s="413">
        <v>687</v>
      </c>
      <c r="B688" s="413" t="s">
        <v>3659</v>
      </c>
      <c r="C688" s="414" t="s">
        <v>17</v>
      </c>
      <c r="D688" s="414" t="s">
        <v>3648</v>
      </c>
      <c r="E688" s="414"/>
      <c r="F688" s="414"/>
      <c r="G688" s="414"/>
      <c r="H688" s="414"/>
      <c r="I688" s="414"/>
      <c r="J688" s="414"/>
      <c r="K688" s="414"/>
      <c r="L688" s="415" t="s">
        <v>5320</v>
      </c>
      <c r="M688" s="416" t="s">
        <v>2999</v>
      </c>
      <c r="N688" s="416" t="s">
        <v>2999</v>
      </c>
      <c r="O688" s="417"/>
      <c r="P688" s="416">
        <v>4590007641</v>
      </c>
      <c r="Q688" s="418">
        <v>44855</v>
      </c>
      <c r="R688" s="419">
        <v>2</v>
      </c>
      <c r="S688" s="458">
        <v>219722</v>
      </c>
      <c r="T688" s="420" t="s">
        <v>2156</v>
      </c>
      <c r="U688" s="414" t="s">
        <v>3713</v>
      </c>
      <c r="V688" s="414" t="s">
        <v>3714</v>
      </c>
      <c r="W688" s="417" t="s">
        <v>3715</v>
      </c>
      <c r="X688" s="417"/>
      <c r="Y688" s="421" t="s">
        <v>3652</v>
      </c>
      <c r="Z688" s="421" t="s">
        <v>3652</v>
      </c>
      <c r="AA688" s="416" t="s">
        <v>5299</v>
      </c>
      <c r="AB688" s="414" t="s">
        <v>3716</v>
      </c>
      <c r="AC688" s="426"/>
      <c r="AD688" s="421"/>
      <c r="AE688" s="420"/>
      <c r="AF688" s="421">
        <v>91020</v>
      </c>
      <c r="AG688" s="420" t="s">
        <v>5321</v>
      </c>
      <c r="AH688" s="421" t="s">
        <v>3918</v>
      </c>
      <c r="AI688" s="420" t="s">
        <v>3719</v>
      </c>
      <c r="AJ688" s="413" t="str">
        <f t="shared" si="44"/>
        <v>4590007641_002</v>
      </c>
      <c r="AK688" s="423" t="s">
        <v>5322</v>
      </c>
      <c r="AL688" s="424">
        <v>44985</v>
      </c>
      <c r="AM688" s="221">
        <v>87888.8</v>
      </c>
      <c r="AN688" s="226">
        <v>45015</v>
      </c>
      <c r="AO688" s="423"/>
      <c r="AP688" s="413"/>
      <c r="AQ688" s="222"/>
      <c r="AR688" s="424"/>
      <c r="AS688" s="614">
        <f ca="1">表格1_6[[#This Row],[total amount]]/表格1_6[[#This Row],[PO$]]</f>
        <v>0.4</v>
      </c>
      <c r="AT688" s="223">
        <f ca="1">表格1_6[[#This Row],[invoice amount]]+表格1_6[[#This Row],[invoice amount2]]</f>
        <v>87888.8</v>
      </c>
      <c r="AU688" s="224" t="s">
        <v>3673</v>
      </c>
      <c r="AV688" s="423"/>
      <c r="AW688" s="423" t="e">
        <f ca="1">VLOOKUP(表格1_6[[#This Row],[TI tool ID2]],工作表1!A:A,1,FALSE)</f>
        <v>#N/A</v>
      </c>
      <c r="AX688" s="425" t="e">
        <f ca="1">VLOOKUP(表格1_6[[#This Row],[PO+ITEM]],工作表1!B:E,2,FALSE)</f>
        <v>#N/A</v>
      </c>
      <c r="AY688" s="425" t="e">
        <f ca="1">VLOOKUP(表格1_6[[#This Row],[PO+ITEM]],工作表1!B:E,3,FALSE)</f>
        <v>#N/A</v>
      </c>
      <c r="AZ688" s="423" t="e">
        <f ca="1">VLOOKUP(表格1_6[[#This Row],[PO+ITEM]],工作表1!B:E,4,FALSE)</f>
        <v>#N/A</v>
      </c>
      <c r="BA688" s="425" t="e">
        <f ca="1">INDEX(工作表1!G:G, MATCH(表格1_6[[#This Row],[invoice number]]&amp;表格1_6[[#This Row],[invoice number2]],工作表1!G:G, 0))</f>
        <v>#N/A</v>
      </c>
      <c r="BB688" s="423" t="e">
        <f ca="1">VLOOKUP(表格1_6[[#This Row],[PO+ITEM]],工作表1!F:H,2,FALSE)</f>
        <v>#N/A</v>
      </c>
    </row>
    <row r="689" spans="1:54">
      <c r="A689" s="413">
        <v>688</v>
      </c>
      <c r="B689" s="413" t="s">
        <v>3674</v>
      </c>
      <c r="C689" s="414" t="s">
        <v>17</v>
      </c>
      <c r="D689" s="414" t="s">
        <v>3648</v>
      </c>
      <c r="E689" s="414"/>
      <c r="F689" s="414"/>
      <c r="G689" s="414"/>
      <c r="H689" s="414"/>
      <c r="I689" s="414"/>
      <c r="J689" s="414"/>
      <c r="K689" s="414"/>
      <c r="L689" s="415" t="s">
        <v>5323</v>
      </c>
      <c r="M689" s="416" t="s">
        <v>2999</v>
      </c>
      <c r="N689" s="416" t="s">
        <v>2999</v>
      </c>
      <c r="O689" s="417"/>
      <c r="P689" s="416">
        <v>4590007642</v>
      </c>
      <c r="Q689" s="418">
        <v>44855</v>
      </c>
      <c r="R689" s="419">
        <v>1</v>
      </c>
      <c r="S689" s="458">
        <v>42070</v>
      </c>
      <c r="T689" s="420" t="s">
        <v>2156</v>
      </c>
      <c r="U689" s="414" t="s">
        <v>3713</v>
      </c>
      <c r="V689" s="414" t="s">
        <v>3714</v>
      </c>
      <c r="W689" s="417" t="s">
        <v>3715</v>
      </c>
      <c r="X689" s="417"/>
      <c r="Y689" s="421" t="s">
        <v>3652</v>
      </c>
      <c r="Z689" s="421" t="s">
        <v>3652</v>
      </c>
      <c r="AA689" s="416" t="s">
        <v>5324</v>
      </c>
      <c r="AB689" s="414" t="s">
        <v>3768</v>
      </c>
      <c r="AC689" s="426"/>
      <c r="AD689" s="421"/>
      <c r="AE689" s="420"/>
      <c r="AF689" s="421">
        <v>90782</v>
      </c>
      <c r="AG689" s="420" t="s">
        <v>4808</v>
      </c>
      <c r="AH689" s="421" t="s">
        <v>4784</v>
      </c>
      <c r="AI689" s="420" t="s">
        <v>3719</v>
      </c>
      <c r="AJ689" s="413" t="str">
        <f t="shared" si="44"/>
        <v>4590007642_001</v>
      </c>
      <c r="AK689" s="423"/>
      <c r="AL689" s="413"/>
      <c r="AM689" s="221"/>
      <c r="AN689" s="424"/>
      <c r="AO689" s="423"/>
      <c r="AP689" s="413"/>
      <c r="AQ689" s="222"/>
      <c r="AR689" s="424"/>
      <c r="AS689" s="614">
        <f ca="1">表格1_6[[#This Row],[total amount]]/表格1_6[[#This Row],[PO$]]</f>
        <v>0</v>
      </c>
      <c r="AT689" s="223">
        <f ca="1">表格1_6[[#This Row],[invoice amount]]+表格1_6[[#This Row],[invoice amount2]]</f>
        <v>0</v>
      </c>
      <c r="AU689" s="224"/>
      <c r="AV689" s="423"/>
      <c r="AW689" s="423" t="e">
        <f ca="1">VLOOKUP(表格1_6[[#This Row],[TI tool ID2]],工作表1!A:A,1,FALSE)</f>
        <v>#N/A</v>
      </c>
      <c r="AX689" s="425" t="e">
        <f ca="1">VLOOKUP(表格1_6[[#This Row],[PO+ITEM]],工作表1!B:E,2,FALSE)</f>
        <v>#N/A</v>
      </c>
      <c r="AY689" s="425" t="e">
        <f ca="1">VLOOKUP(表格1_6[[#This Row],[PO+ITEM]],工作表1!B:E,3,FALSE)</f>
        <v>#N/A</v>
      </c>
      <c r="AZ689" s="423" t="e">
        <f ca="1">VLOOKUP(表格1_6[[#This Row],[PO+ITEM]],工作表1!B:E,4,FALSE)</f>
        <v>#N/A</v>
      </c>
      <c r="BA689" s="425" t="e">
        <f ca="1">INDEX(工作表1!G:G, MATCH(表格1_6[[#This Row],[invoice number]]&amp;表格1_6[[#This Row],[invoice number2]],工作表1!G:G, 0))</f>
        <v>#N/A</v>
      </c>
      <c r="BB689" s="423" t="e">
        <f ca="1">VLOOKUP(表格1_6[[#This Row],[PO+ITEM]],工作表1!F:H,2,FALSE)</f>
        <v>#N/A</v>
      </c>
    </row>
    <row r="690" spans="1:54" ht="14.45">
      <c r="A690" s="413">
        <v>689</v>
      </c>
      <c r="B690" s="413" t="s">
        <v>3659</v>
      </c>
      <c r="C690" s="414" t="s">
        <v>17</v>
      </c>
      <c r="D690" s="414" t="s">
        <v>3648</v>
      </c>
      <c r="E690" s="414"/>
      <c r="F690" s="414"/>
      <c r="G690" s="414"/>
      <c r="H690" s="414"/>
      <c r="I690" s="414"/>
      <c r="J690" s="414"/>
      <c r="K690" s="414"/>
      <c r="L690" s="415" t="s">
        <v>5325</v>
      </c>
      <c r="M690" s="416" t="s">
        <v>2999</v>
      </c>
      <c r="N690" s="416" t="s">
        <v>2999</v>
      </c>
      <c r="O690" s="417"/>
      <c r="P690" s="416">
        <v>4590007642</v>
      </c>
      <c r="Q690" s="418">
        <v>44855</v>
      </c>
      <c r="R690" s="419">
        <v>2</v>
      </c>
      <c r="S690" s="458">
        <v>42070</v>
      </c>
      <c r="T690" s="420" t="s">
        <v>2156</v>
      </c>
      <c r="U690" s="414" t="s">
        <v>3713</v>
      </c>
      <c r="V690" s="414" t="s">
        <v>3714</v>
      </c>
      <c r="W690" s="417" t="s">
        <v>3715</v>
      </c>
      <c r="X690" s="417"/>
      <c r="Y690" s="421" t="s">
        <v>3652</v>
      </c>
      <c r="Z690" s="421" t="s">
        <v>3652</v>
      </c>
      <c r="AA690" s="416" t="s">
        <v>3767</v>
      </c>
      <c r="AB690" s="414" t="s">
        <v>3768</v>
      </c>
      <c r="AC690" s="426"/>
      <c r="AD690" s="421"/>
      <c r="AE690" s="420"/>
      <c r="AF690" s="421">
        <v>90783</v>
      </c>
      <c r="AG690" s="420" t="s">
        <v>4810</v>
      </c>
      <c r="AH690" s="421" t="s">
        <v>4784</v>
      </c>
      <c r="AI690" s="420" t="s">
        <v>3719</v>
      </c>
      <c r="AJ690" s="413" t="str">
        <f t="shared" si="44"/>
        <v>4590007642_002</v>
      </c>
      <c r="AK690" s="423"/>
      <c r="AL690" s="413"/>
      <c r="AM690" s="221"/>
      <c r="AN690" s="424"/>
      <c r="AO690" s="423"/>
      <c r="AP690" s="413"/>
      <c r="AQ690" s="222"/>
      <c r="AR690" s="424"/>
      <c r="AS690" s="614">
        <f ca="1">表格1_6[[#This Row],[total amount]]/表格1_6[[#This Row],[PO$]]</f>
        <v>0</v>
      </c>
      <c r="AT690" s="223">
        <f ca="1">表格1_6[[#This Row],[invoice amount]]+表格1_6[[#This Row],[invoice amount2]]</f>
        <v>0</v>
      </c>
      <c r="AU690" s="224"/>
      <c r="AV690" s="423"/>
      <c r="AW690" s="423" t="e">
        <f ca="1">VLOOKUP(表格1_6[[#This Row],[TI tool ID2]],工作表1!A:A,1,FALSE)</f>
        <v>#N/A</v>
      </c>
      <c r="AX690" s="425" t="e">
        <f ca="1">VLOOKUP(表格1_6[[#This Row],[PO+ITEM]],工作表1!B:E,2,FALSE)</f>
        <v>#N/A</v>
      </c>
      <c r="AY690" s="425" t="e">
        <f ca="1">VLOOKUP(表格1_6[[#This Row],[PO+ITEM]],工作表1!B:E,3,FALSE)</f>
        <v>#N/A</v>
      </c>
      <c r="AZ690" s="423" t="e">
        <f ca="1">VLOOKUP(表格1_6[[#This Row],[PO+ITEM]],工作表1!B:E,4,FALSE)</f>
        <v>#N/A</v>
      </c>
      <c r="BA690" s="425" t="e">
        <f ca="1">INDEX(工作表1!G:G, MATCH(表格1_6[[#This Row],[invoice number]]&amp;表格1_6[[#This Row],[invoice number2]],工作表1!G:G, 0))</f>
        <v>#N/A</v>
      </c>
      <c r="BB690" s="423" t="e">
        <f ca="1">VLOOKUP(表格1_6[[#This Row],[PO+ITEM]],工作表1!F:H,2,FALSE)</f>
        <v>#N/A</v>
      </c>
    </row>
    <row r="691" spans="1:54" ht="14.45">
      <c r="A691" s="413">
        <v>690</v>
      </c>
      <c r="B691" s="413" t="s">
        <v>3659</v>
      </c>
      <c r="C691" s="414" t="s">
        <v>17</v>
      </c>
      <c r="D691" s="414" t="s">
        <v>3648</v>
      </c>
      <c r="E691" s="414"/>
      <c r="F691" s="414"/>
      <c r="G691" s="414"/>
      <c r="H691" s="414"/>
      <c r="I691" s="414"/>
      <c r="J691" s="414"/>
      <c r="K691" s="414"/>
      <c r="L691" s="415" t="s">
        <v>5326</v>
      </c>
      <c r="M691" s="416" t="s">
        <v>2999</v>
      </c>
      <c r="N691" s="416" t="s">
        <v>2999</v>
      </c>
      <c r="O691" s="417"/>
      <c r="P691" s="416">
        <v>4590007642</v>
      </c>
      <c r="Q691" s="418">
        <v>44855</v>
      </c>
      <c r="R691" s="419">
        <v>3</v>
      </c>
      <c r="S691" s="458">
        <v>42070</v>
      </c>
      <c r="T691" s="420" t="s">
        <v>2156</v>
      </c>
      <c r="U691" s="414" t="s">
        <v>3713</v>
      </c>
      <c r="V691" s="414" t="s">
        <v>3714</v>
      </c>
      <c r="W691" s="417" t="s">
        <v>3715</v>
      </c>
      <c r="X691" s="417"/>
      <c r="Y691" s="421" t="s">
        <v>3652</v>
      </c>
      <c r="Z691" s="421" t="s">
        <v>3652</v>
      </c>
      <c r="AA691" s="416" t="s">
        <v>3767</v>
      </c>
      <c r="AB691" s="414" t="s">
        <v>3768</v>
      </c>
      <c r="AC691" s="426"/>
      <c r="AD691" s="421"/>
      <c r="AE691" s="420"/>
      <c r="AF691" s="421">
        <v>91413</v>
      </c>
      <c r="AG691" s="420" t="s">
        <v>5195</v>
      </c>
      <c r="AH691" s="421" t="s">
        <v>4784</v>
      </c>
      <c r="AI691" s="420" t="s">
        <v>3719</v>
      </c>
      <c r="AJ691" s="413" t="str">
        <f t="shared" si="44"/>
        <v>4590007642_003</v>
      </c>
      <c r="AK691" s="423"/>
      <c r="AL691" s="413"/>
      <c r="AM691" s="221"/>
      <c r="AN691" s="424"/>
      <c r="AO691" s="423"/>
      <c r="AP691" s="413"/>
      <c r="AQ691" s="222"/>
      <c r="AR691" s="424"/>
      <c r="AS691" s="614">
        <f ca="1">表格1_6[[#This Row],[total amount]]/表格1_6[[#This Row],[PO$]]</f>
        <v>0</v>
      </c>
      <c r="AT691" s="223">
        <f ca="1">表格1_6[[#This Row],[invoice amount]]+表格1_6[[#This Row],[invoice amount2]]</f>
        <v>0</v>
      </c>
      <c r="AU691" s="224"/>
      <c r="AV691" s="423"/>
      <c r="AW691" s="423" t="e">
        <f ca="1">VLOOKUP(表格1_6[[#This Row],[TI tool ID2]],工作表1!A:A,1,FALSE)</f>
        <v>#N/A</v>
      </c>
      <c r="AX691" s="425" t="e">
        <f ca="1">VLOOKUP(表格1_6[[#This Row],[PO+ITEM]],工作表1!B:E,2,FALSE)</f>
        <v>#N/A</v>
      </c>
      <c r="AY691" s="425" t="e">
        <f ca="1">VLOOKUP(表格1_6[[#This Row],[PO+ITEM]],工作表1!B:E,3,FALSE)</f>
        <v>#N/A</v>
      </c>
      <c r="AZ691" s="423" t="e">
        <f ca="1">VLOOKUP(表格1_6[[#This Row],[PO+ITEM]],工作表1!B:E,4,FALSE)</f>
        <v>#N/A</v>
      </c>
      <c r="BA691" s="425" t="e">
        <f ca="1">INDEX(工作表1!G:G, MATCH(表格1_6[[#This Row],[invoice number]]&amp;表格1_6[[#This Row],[invoice number2]],工作表1!G:G, 0))</f>
        <v>#N/A</v>
      </c>
      <c r="BB691" s="423" t="e">
        <f ca="1">VLOOKUP(表格1_6[[#This Row],[PO+ITEM]],工作表1!F:H,2,FALSE)</f>
        <v>#N/A</v>
      </c>
    </row>
    <row r="692" spans="1:54" ht="15.6">
      <c r="A692" s="413">
        <v>691</v>
      </c>
      <c r="B692" s="413" t="s">
        <v>3674</v>
      </c>
      <c r="C692" s="414" t="s">
        <v>16</v>
      </c>
      <c r="D692" s="414" t="s">
        <v>3648</v>
      </c>
      <c r="E692" s="414"/>
      <c r="F692" s="414"/>
      <c r="G692" s="414"/>
      <c r="H692" s="414"/>
      <c r="I692" s="414"/>
      <c r="J692" s="414"/>
      <c r="K692" s="414"/>
      <c r="L692" s="415" t="s">
        <v>5327</v>
      </c>
      <c r="M692" s="416" t="s">
        <v>4269</v>
      </c>
      <c r="N692" s="416" t="s">
        <v>2999</v>
      </c>
      <c r="O692" s="417"/>
      <c r="P692" s="416">
        <v>4590007708</v>
      </c>
      <c r="Q692" s="418">
        <v>44861</v>
      </c>
      <c r="R692" s="419">
        <v>1</v>
      </c>
      <c r="S692" s="458">
        <v>10274</v>
      </c>
      <c r="T692" s="420" t="s">
        <v>2156</v>
      </c>
      <c r="U692" s="414" t="s">
        <v>3926</v>
      </c>
      <c r="V692" s="414" t="s">
        <v>3927</v>
      </c>
      <c r="W692" s="417" t="s">
        <v>3928</v>
      </c>
      <c r="X692" s="417"/>
      <c r="Y692" s="421" t="s">
        <v>3652</v>
      </c>
      <c r="Z692" s="421" t="s">
        <v>3652</v>
      </c>
      <c r="AA692" s="416" t="s">
        <v>4276</v>
      </c>
      <c r="AB692" s="414" t="s">
        <v>3664</v>
      </c>
      <c r="AC692" s="426"/>
      <c r="AD692" s="421"/>
      <c r="AE692" s="420"/>
      <c r="AF692" s="421">
        <v>90043</v>
      </c>
      <c r="AG692" s="420" t="s">
        <v>2813</v>
      </c>
      <c r="AH692" s="421" t="s">
        <v>4109</v>
      </c>
      <c r="AI692" s="420" t="s">
        <v>32</v>
      </c>
      <c r="AJ692" s="413" t="str">
        <f t="shared" si="44"/>
        <v>4590007708_001</v>
      </c>
      <c r="AK692" s="423"/>
      <c r="AL692" s="427">
        <v>45017</v>
      </c>
      <c r="AM692" s="221">
        <v>0</v>
      </c>
      <c r="AN692" s="431" t="s">
        <v>3788</v>
      </c>
      <c r="AO692" s="423" t="s">
        <v>5328</v>
      </c>
      <c r="AP692" s="424">
        <v>45401</v>
      </c>
      <c r="AQ692" s="222">
        <v>4317</v>
      </c>
      <c r="AR692" s="424">
        <v>45580</v>
      </c>
      <c r="AS692" s="614">
        <f ca="1">表格1_6[[#This Row],[total amount]]/表格1_6[[#This Row],[PO$]]</f>
        <v>0.42018687950165468</v>
      </c>
      <c r="AT692" s="223">
        <f ca="1">表格1_6[[#This Row],[invoice amount]]+表格1_6[[#This Row],[invoice amount2]]</f>
        <v>4317</v>
      </c>
      <c r="AU692" s="224" t="s">
        <v>3725</v>
      </c>
      <c r="AV692" s="420" t="s">
        <v>5329</v>
      </c>
      <c r="AW692" s="423" t="e">
        <f ca="1">VLOOKUP(表格1_6[[#This Row],[TI tool ID2]],工作表1!A:A,1,FALSE)</f>
        <v>#N/A</v>
      </c>
      <c r="AX692" s="425" t="e">
        <f ca="1">VLOOKUP(表格1_6[[#This Row],[PO+ITEM]],工作表1!B:E,2,FALSE)</f>
        <v>#N/A</v>
      </c>
      <c r="AY692" s="425" t="e">
        <f ca="1">VLOOKUP(表格1_6[[#This Row],[PO+ITEM]],工作表1!B:E,3,FALSE)</f>
        <v>#N/A</v>
      </c>
      <c r="AZ692" s="423" t="e">
        <f ca="1">VLOOKUP(表格1_6[[#This Row],[PO+ITEM]],工作表1!B:E,4,FALSE)</f>
        <v>#N/A</v>
      </c>
      <c r="BA692" s="425" t="str">
        <f ca="1">INDEX(工作表1!G:G, MATCH(表格1_6[[#This Row],[invoice number]]&amp;表格1_6[[#This Row],[invoice number2]],工作表1!G:G, 0))</f>
        <v>MICUINT202403006</v>
      </c>
      <c r="BB692" s="423" t="str">
        <f ca="1">VLOOKUP(表格1_6[[#This Row],[PO+ITEM]],工作表1!F:H,2,FALSE)</f>
        <v>MICUINT202403006</v>
      </c>
    </row>
    <row r="693" spans="1:54" ht="15.6">
      <c r="A693" s="413">
        <v>692</v>
      </c>
      <c r="B693" s="413" t="s">
        <v>3674</v>
      </c>
      <c r="C693" s="414" t="s">
        <v>16</v>
      </c>
      <c r="D693" s="414" t="s">
        <v>3648</v>
      </c>
      <c r="E693" s="414"/>
      <c r="F693" s="414"/>
      <c r="G693" s="414"/>
      <c r="H693" s="414"/>
      <c r="I693" s="414"/>
      <c r="J693" s="414"/>
      <c r="K693" s="414"/>
      <c r="L693" s="415" t="s">
        <v>5330</v>
      </c>
      <c r="M693" s="416" t="s">
        <v>4269</v>
      </c>
      <c r="N693" s="416" t="s">
        <v>2999</v>
      </c>
      <c r="O693" s="417"/>
      <c r="P693" s="416">
        <v>4590007708</v>
      </c>
      <c r="Q693" s="418">
        <v>44861</v>
      </c>
      <c r="R693" s="419">
        <v>2</v>
      </c>
      <c r="S693" s="458">
        <v>10274</v>
      </c>
      <c r="T693" s="420" t="s">
        <v>2156</v>
      </c>
      <c r="U693" s="414" t="s">
        <v>3926</v>
      </c>
      <c r="V693" s="414" t="s">
        <v>3927</v>
      </c>
      <c r="W693" s="417" t="s">
        <v>3928</v>
      </c>
      <c r="X693" s="417"/>
      <c r="Y693" s="421" t="s">
        <v>3652</v>
      </c>
      <c r="Z693" s="421" t="s">
        <v>3652</v>
      </c>
      <c r="AA693" s="416" t="s">
        <v>4276</v>
      </c>
      <c r="AB693" s="414" t="s">
        <v>3664</v>
      </c>
      <c r="AC693" s="426"/>
      <c r="AD693" s="421"/>
      <c r="AE693" s="420"/>
      <c r="AF693" s="421">
        <v>90044</v>
      </c>
      <c r="AG693" s="420" t="s">
        <v>2846</v>
      </c>
      <c r="AH693" s="421" t="s">
        <v>4109</v>
      </c>
      <c r="AI693" s="420" t="s">
        <v>32</v>
      </c>
      <c r="AJ693" s="413" t="str">
        <f t="shared" si="44"/>
        <v>4590007708_002</v>
      </c>
      <c r="AK693" s="423" t="s">
        <v>5331</v>
      </c>
      <c r="AL693" s="427">
        <v>45017</v>
      </c>
      <c r="AM693" s="221">
        <v>0</v>
      </c>
      <c r="AN693" s="431" t="s">
        <v>3788</v>
      </c>
      <c r="AO693" s="425" t="s">
        <v>5332</v>
      </c>
      <c r="AP693" s="424">
        <v>45555</v>
      </c>
      <c r="AQ693" s="221">
        <v>10274</v>
      </c>
      <c r="AR693" s="424"/>
      <c r="AS693" s="614">
        <f ca="1">表格1_6[[#This Row],[total amount]]/表格1_6[[#This Row],[PO$]]</f>
        <v>1</v>
      </c>
      <c r="AT693" s="223">
        <f ca="1">表格1_6[[#This Row],[invoice amount]]+表格1_6[[#This Row],[invoice amount2]]</f>
        <v>10274</v>
      </c>
      <c r="AU693" s="224" t="s">
        <v>3789</v>
      </c>
      <c r="AV693" s="423" t="s">
        <v>5333</v>
      </c>
      <c r="AW693" s="423" t="e">
        <f ca="1">VLOOKUP(表格1_6[[#This Row],[TI tool ID2]],工作表1!A:A,1,FALSE)</f>
        <v>#N/A</v>
      </c>
      <c r="AX693" s="425" t="e">
        <f ca="1">VLOOKUP(表格1_6[[#This Row],[PO+ITEM]],工作表1!B:E,2,FALSE)</f>
        <v>#N/A</v>
      </c>
      <c r="AY693" s="425" t="e">
        <f ca="1">VLOOKUP(表格1_6[[#This Row],[PO+ITEM]],工作表1!B:E,3,FALSE)</f>
        <v>#N/A</v>
      </c>
      <c r="AZ693" s="423" t="e">
        <f ca="1">VLOOKUP(表格1_6[[#This Row],[PO+ITEM]],工作表1!B:E,4,FALSE)</f>
        <v>#N/A</v>
      </c>
      <c r="BA693" s="425" t="e">
        <f ca="1">INDEX(工作表1!G:G, MATCH(表格1_6[[#This Row],[invoice number]]&amp;表格1_6[[#This Row],[invoice number2]],工作表1!G:G, 0))</f>
        <v>#N/A</v>
      </c>
      <c r="BB693" s="423" t="e">
        <f ca="1">VLOOKUP(表格1_6[[#This Row],[PO+ITEM]],工作表1!F:H,2,FALSE)</f>
        <v>#N/A</v>
      </c>
    </row>
    <row r="694" spans="1:54" ht="15.6">
      <c r="A694" s="413">
        <v>693</v>
      </c>
      <c r="B694" s="413" t="s">
        <v>3674</v>
      </c>
      <c r="C694" s="414" t="s">
        <v>16</v>
      </c>
      <c r="D694" s="414" t="s">
        <v>3648</v>
      </c>
      <c r="E694" s="414"/>
      <c r="F694" s="414"/>
      <c r="G694" s="414"/>
      <c r="H694" s="414"/>
      <c r="I694" s="414"/>
      <c r="J694" s="414"/>
      <c r="K694" s="414"/>
      <c r="L694" s="415" t="s">
        <v>5334</v>
      </c>
      <c r="M694" s="416" t="s">
        <v>4269</v>
      </c>
      <c r="N694" s="416" t="s">
        <v>2999</v>
      </c>
      <c r="O694" s="417"/>
      <c r="P694" s="416">
        <v>4590007708</v>
      </c>
      <c r="Q694" s="418">
        <v>44861</v>
      </c>
      <c r="R694" s="419">
        <v>3</v>
      </c>
      <c r="S694" s="458">
        <v>10274</v>
      </c>
      <c r="T694" s="420" t="s">
        <v>2156</v>
      </c>
      <c r="U694" s="414" t="s">
        <v>3926</v>
      </c>
      <c r="V694" s="414" t="s">
        <v>3927</v>
      </c>
      <c r="W694" s="417" t="s">
        <v>3928</v>
      </c>
      <c r="X694" s="417"/>
      <c r="Y694" s="421" t="s">
        <v>3652</v>
      </c>
      <c r="Z694" s="421" t="s">
        <v>3652</v>
      </c>
      <c r="AA694" s="416" t="s">
        <v>4276</v>
      </c>
      <c r="AB694" s="414" t="s">
        <v>3664</v>
      </c>
      <c r="AC694" s="426"/>
      <c r="AD694" s="421"/>
      <c r="AE694" s="420"/>
      <c r="AF694" s="421">
        <v>90045</v>
      </c>
      <c r="AG694" s="420" t="s">
        <v>2842</v>
      </c>
      <c r="AH694" s="421" t="s">
        <v>4109</v>
      </c>
      <c r="AI694" s="420" t="s">
        <v>32</v>
      </c>
      <c r="AJ694" s="413" t="str">
        <f t="shared" si="44"/>
        <v>4590007708_003</v>
      </c>
      <c r="AK694" s="423"/>
      <c r="AL694" s="427">
        <v>45017</v>
      </c>
      <c r="AM694" s="221">
        <v>0</v>
      </c>
      <c r="AN694" s="431" t="s">
        <v>3788</v>
      </c>
      <c r="AO694" s="423" t="s">
        <v>5335</v>
      </c>
      <c r="AP694" s="424">
        <v>45401</v>
      </c>
      <c r="AQ694" s="222">
        <v>4317</v>
      </c>
      <c r="AR694" s="424">
        <v>45580</v>
      </c>
      <c r="AS694" s="614">
        <f ca="1">表格1_6[[#This Row],[total amount]]/表格1_6[[#This Row],[PO$]]</f>
        <v>0.42018687950165468</v>
      </c>
      <c r="AT694" s="223">
        <f ca="1">表格1_6[[#This Row],[invoice amount]]+表格1_6[[#This Row],[invoice amount2]]</f>
        <v>4317</v>
      </c>
      <c r="AU694" s="224" t="s">
        <v>3725</v>
      </c>
      <c r="AV694" s="420" t="s">
        <v>5329</v>
      </c>
      <c r="AW694" s="423" t="e">
        <f ca="1">VLOOKUP(表格1_6[[#This Row],[TI tool ID2]],工作表1!A:A,1,FALSE)</f>
        <v>#N/A</v>
      </c>
      <c r="AX694" s="425" t="e">
        <f ca="1">VLOOKUP(表格1_6[[#This Row],[PO+ITEM]],工作表1!B:E,2,FALSE)</f>
        <v>#N/A</v>
      </c>
      <c r="AY694" s="425" t="e">
        <f ca="1">VLOOKUP(表格1_6[[#This Row],[PO+ITEM]],工作表1!B:E,3,FALSE)</f>
        <v>#N/A</v>
      </c>
      <c r="AZ694" s="423" t="e">
        <f ca="1">VLOOKUP(表格1_6[[#This Row],[PO+ITEM]],工作表1!B:E,4,FALSE)</f>
        <v>#N/A</v>
      </c>
      <c r="BA694" s="425" t="str">
        <f ca="1">INDEX(工作表1!G:G, MATCH(表格1_6[[#This Row],[invoice number]]&amp;表格1_6[[#This Row],[invoice number2]],工作表1!G:G, 0))</f>
        <v>MICUINT202403007</v>
      </c>
      <c r="BB694" s="423" t="str">
        <f ca="1">VLOOKUP(表格1_6[[#This Row],[PO+ITEM]],工作表1!F:H,2,FALSE)</f>
        <v>MICUINT202403007</v>
      </c>
    </row>
    <row r="695" spans="1:54" ht="15.6">
      <c r="A695" s="413">
        <v>694</v>
      </c>
      <c r="B695" s="413" t="s">
        <v>3674</v>
      </c>
      <c r="C695" s="414" t="s">
        <v>16</v>
      </c>
      <c r="D695" s="414" t="s">
        <v>3648</v>
      </c>
      <c r="E695" s="414"/>
      <c r="F695" s="414"/>
      <c r="G695" s="414"/>
      <c r="H695" s="414"/>
      <c r="I695" s="414"/>
      <c r="J695" s="414"/>
      <c r="K695" s="414"/>
      <c r="L695" s="415" t="s">
        <v>5336</v>
      </c>
      <c r="M695" s="416" t="s">
        <v>4269</v>
      </c>
      <c r="N695" s="416" t="s">
        <v>2999</v>
      </c>
      <c r="O695" s="417"/>
      <c r="P695" s="416">
        <v>4590007708</v>
      </c>
      <c r="Q695" s="418">
        <v>44861</v>
      </c>
      <c r="R695" s="419">
        <v>4</v>
      </c>
      <c r="S695" s="458">
        <v>10274</v>
      </c>
      <c r="T695" s="420" t="s">
        <v>2156</v>
      </c>
      <c r="U695" s="414" t="s">
        <v>3926</v>
      </c>
      <c r="V695" s="414" t="s">
        <v>3927</v>
      </c>
      <c r="W695" s="417" t="s">
        <v>3928</v>
      </c>
      <c r="X695" s="417"/>
      <c r="Y695" s="421" t="s">
        <v>3652</v>
      </c>
      <c r="Z695" s="421" t="s">
        <v>3652</v>
      </c>
      <c r="AA695" s="416" t="s">
        <v>4276</v>
      </c>
      <c r="AB695" s="414" t="s">
        <v>3664</v>
      </c>
      <c r="AC695" s="426"/>
      <c r="AD695" s="421"/>
      <c r="AE695" s="420"/>
      <c r="AF695" s="421">
        <v>90046</v>
      </c>
      <c r="AG695" s="420" t="s">
        <v>2811</v>
      </c>
      <c r="AH695" s="421" t="s">
        <v>4109</v>
      </c>
      <c r="AI695" s="420" t="s">
        <v>32</v>
      </c>
      <c r="AJ695" s="413" t="str">
        <f t="shared" si="44"/>
        <v>4590007708_004</v>
      </c>
      <c r="AK695" s="423" t="s">
        <v>5337</v>
      </c>
      <c r="AL695" s="427">
        <v>45017</v>
      </c>
      <c r="AM695" s="221">
        <v>0</v>
      </c>
      <c r="AN695" s="431" t="s">
        <v>3788</v>
      </c>
      <c r="AO695" s="423"/>
      <c r="AP695" s="413"/>
      <c r="AQ695" s="222"/>
      <c r="AR695" s="424"/>
      <c r="AS695" s="614">
        <f ca="1">表格1_6[[#This Row],[total amount]]/表格1_6[[#This Row],[PO$]]</f>
        <v>0</v>
      </c>
      <c r="AT695" s="223">
        <f ca="1">表格1_6[[#This Row],[invoice amount]]+表格1_6[[#This Row],[invoice amount2]]</f>
        <v>0</v>
      </c>
      <c r="AU695" s="224" t="s">
        <v>3789</v>
      </c>
      <c r="AV695" s="423" t="s">
        <v>5333</v>
      </c>
      <c r="AW695" s="423" t="e">
        <f ca="1">VLOOKUP(表格1_6[[#This Row],[TI tool ID2]],工作表1!A:A,1,FALSE)</f>
        <v>#N/A</v>
      </c>
      <c r="AX695" s="425" t="e">
        <f ca="1">VLOOKUP(表格1_6[[#This Row],[PO+ITEM]],工作表1!B:E,2,FALSE)</f>
        <v>#N/A</v>
      </c>
      <c r="AY695" s="425" t="e">
        <f ca="1">VLOOKUP(表格1_6[[#This Row],[PO+ITEM]],工作表1!B:E,3,FALSE)</f>
        <v>#N/A</v>
      </c>
      <c r="AZ695" s="423" t="e">
        <f ca="1">VLOOKUP(表格1_6[[#This Row],[PO+ITEM]],工作表1!B:E,4,FALSE)</f>
        <v>#N/A</v>
      </c>
      <c r="BA695" s="425" t="e">
        <f ca="1">INDEX(工作表1!G:G, MATCH(表格1_6[[#This Row],[invoice number]]&amp;表格1_6[[#This Row],[invoice number2]],工作表1!G:G, 0))</f>
        <v>#N/A</v>
      </c>
      <c r="BB695" s="423" t="e">
        <f ca="1">VLOOKUP(表格1_6[[#This Row],[PO+ITEM]],工作表1!F:H,2,FALSE)</f>
        <v>#N/A</v>
      </c>
    </row>
    <row r="696" spans="1:54" ht="15.6">
      <c r="A696" s="413">
        <v>695</v>
      </c>
      <c r="B696" s="413" t="s">
        <v>3659</v>
      </c>
      <c r="C696" s="414" t="s">
        <v>16</v>
      </c>
      <c r="D696" s="414" t="s">
        <v>3648</v>
      </c>
      <c r="E696" s="414"/>
      <c r="F696" s="414"/>
      <c r="G696" s="414"/>
      <c r="H696" s="414"/>
      <c r="I696" s="414"/>
      <c r="J696" s="414"/>
      <c r="K696" s="414"/>
      <c r="L696" s="415" t="s">
        <v>5338</v>
      </c>
      <c r="M696" s="416" t="s">
        <v>4269</v>
      </c>
      <c r="N696" s="416" t="s">
        <v>2999</v>
      </c>
      <c r="O696" s="417"/>
      <c r="P696" s="416">
        <v>4590007708</v>
      </c>
      <c r="Q696" s="418">
        <v>44861</v>
      </c>
      <c r="R696" s="419">
        <v>5</v>
      </c>
      <c r="S696" s="458">
        <v>10274</v>
      </c>
      <c r="T696" s="420" t="s">
        <v>2156</v>
      </c>
      <c r="U696" s="414" t="s">
        <v>3926</v>
      </c>
      <c r="V696" s="414" t="s">
        <v>3927</v>
      </c>
      <c r="W696" s="417" t="s">
        <v>3928</v>
      </c>
      <c r="X696" s="417"/>
      <c r="Y696" s="421" t="s">
        <v>3652</v>
      </c>
      <c r="Z696" s="421" t="s">
        <v>3652</v>
      </c>
      <c r="AA696" s="416" t="s">
        <v>4270</v>
      </c>
      <c r="AB696" s="414" t="s">
        <v>3664</v>
      </c>
      <c r="AC696" s="426"/>
      <c r="AD696" s="421"/>
      <c r="AE696" s="420"/>
      <c r="AF696" s="421">
        <v>91250</v>
      </c>
      <c r="AG696" s="420" t="s">
        <v>2850</v>
      </c>
      <c r="AH696" s="421" t="s">
        <v>4109</v>
      </c>
      <c r="AI696" s="420" t="s">
        <v>32</v>
      </c>
      <c r="AJ696" s="413" t="str">
        <f t="shared" si="44"/>
        <v>4590007708_005</v>
      </c>
      <c r="AK696" s="423"/>
      <c r="AL696" s="427">
        <v>45017</v>
      </c>
      <c r="AM696" s="221">
        <v>0</v>
      </c>
      <c r="AN696" s="431" t="s">
        <v>3788</v>
      </c>
      <c r="AO696" s="423"/>
      <c r="AP696" s="413"/>
      <c r="AQ696" s="222"/>
      <c r="AR696" s="424"/>
      <c r="AS696" s="614">
        <f ca="1">表格1_6[[#This Row],[total amount]]/表格1_6[[#This Row],[PO$]]</f>
        <v>0</v>
      </c>
      <c r="AT696" s="223">
        <f ca="1">表格1_6[[#This Row],[invoice amount]]+表格1_6[[#This Row],[invoice amount2]]</f>
        <v>0</v>
      </c>
      <c r="AU696" s="224" t="s">
        <v>3789</v>
      </c>
      <c r="AV696" s="423" t="s">
        <v>4870</v>
      </c>
      <c r="AW696" s="423" t="e">
        <f ca="1">VLOOKUP(表格1_6[[#This Row],[TI tool ID2]],工作表1!A:A,1,FALSE)</f>
        <v>#N/A</v>
      </c>
      <c r="AX696" s="425" t="e">
        <f ca="1">VLOOKUP(表格1_6[[#This Row],[PO+ITEM]],工作表1!B:E,2,FALSE)</f>
        <v>#N/A</v>
      </c>
      <c r="AY696" s="425" t="e">
        <f ca="1">VLOOKUP(表格1_6[[#This Row],[PO+ITEM]],工作表1!B:E,3,FALSE)</f>
        <v>#N/A</v>
      </c>
      <c r="AZ696" s="423" t="e">
        <f ca="1">VLOOKUP(表格1_6[[#This Row],[PO+ITEM]],工作表1!B:E,4,FALSE)</f>
        <v>#N/A</v>
      </c>
      <c r="BA696" s="425" t="e">
        <f ca="1">INDEX(工作表1!G:G, MATCH(表格1_6[[#This Row],[invoice number]]&amp;表格1_6[[#This Row],[invoice number2]],工作表1!G:G, 0))</f>
        <v>#N/A</v>
      </c>
      <c r="BB696" s="423" t="e">
        <f ca="1">VLOOKUP(表格1_6[[#This Row],[PO+ITEM]],工作表1!F:H,2,FALSE)</f>
        <v>#N/A</v>
      </c>
    </row>
    <row r="697" spans="1:54" s="429" customFormat="1" ht="15.6">
      <c r="A697" s="413">
        <v>696</v>
      </c>
      <c r="B697" s="566" t="s">
        <v>3765</v>
      </c>
      <c r="C697" s="509" t="s">
        <v>16</v>
      </c>
      <c r="D697" s="509" t="s">
        <v>3648</v>
      </c>
      <c r="E697" s="509"/>
      <c r="F697" s="509"/>
      <c r="G697" s="509"/>
      <c r="H697" s="509"/>
      <c r="I697" s="509"/>
      <c r="J697" s="509"/>
      <c r="K697" s="509"/>
      <c r="L697" s="524" t="s">
        <v>5339</v>
      </c>
      <c r="M697" s="510" t="s">
        <v>4269</v>
      </c>
      <c r="N697" s="510" t="s">
        <v>2999</v>
      </c>
      <c r="O697" s="511"/>
      <c r="P697" s="510">
        <v>4590007708</v>
      </c>
      <c r="Q697" s="512">
        <v>44861</v>
      </c>
      <c r="R697" s="517">
        <v>6</v>
      </c>
      <c r="S697" s="545"/>
      <c r="T697" s="513" t="s">
        <v>2156</v>
      </c>
      <c r="U697" s="509" t="s">
        <v>3926</v>
      </c>
      <c r="V697" s="509" t="s">
        <v>3927</v>
      </c>
      <c r="W697" s="511" t="s">
        <v>3928</v>
      </c>
      <c r="X697" s="511"/>
      <c r="Y697" s="514" t="s">
        <v>3652</v>
      </c>
      <c r="Z697" s="514" t="s">
        <v>3652</v>
      </c>
      <c r="AA697" s="510" t="s">
        <v>4270</v>
      </c>
      <c r="AB697" s="509" t="s">
        <v>3664</v>
      </c>
      <c r="AC697" s="525"/>
      <c r="AD697" s="514"/>
      <c r="AE697" s="513"/>
      <c r="AF697" s="514">
        <v>91408</v>
      </c>
      <c r="AG697" s="513" t="s">
        <v>2852</v>
      </c>
      <c r="AH697" s="514" t="s">
        <v>4109</v>
      </c>
      <c r="AI697" s="513" t="s">
        <v>32</v>
      </c>
      <c r="AJ697" s="516" t="str">
        <f t="shared" si="44"/>
        <v>4590007708_006</v>
      </c>
      <c r="AK697" s="518"/>
      <c r="AL697" s="526">
        <v>45017</v>
      </c>
      <c r="AM697" s="519">
        <v>0</v>
      </c>
      <c r="AN697" s="527" t="s">
        <v>3788</v>
      </c>
      <c r="AO697" s="518"/>
      <c r="AP697" s="516"/>
      <c r="AQ697" s="521"/>
      <c r="AR697" s="520"/>
      <c r="AS697" s="615"/>
      <c r="AT697" s="572">
        <f ca="1">表格1_6[[#This Row],[invoice amount]]+表格1_6[[#This Row],[invoice amount2]]</f>
        <v>0</v>
      </c>
      <c r="AU697" s="566" t="s">
        <v>3765</v>
      </c>
      <c r="AV697" s="518" t="s">
        <v>5340</v>
      </c>
      <c r="AW697" s="522" t="e">
        <f ca="1">VLOOKUP(表格1_6[[#This Row],[TI tool ID2]],工作表1!A:A,1,FALSE)</f>
        <v>#N/A</v>
      </c>
      <c r="AX697" s="523" t="e">
        <f ca="1">VLOOKUP(表格1_6[[#This Row],[PO+ITEM]],工作表1!B:E,2,FALSE)</f>
        <v>#N/A</v>
      </c>
      <c r="AY697" s="523" t="e">
        <f ca="1">VLOOKUP(表格1_6[[#This Row],[PO+ITEM]],工作表1!B:E,3,FALSE)</f>
        <v>#N/A</v>
      </c>
      <c r="AZ697" s="522" t="e">
        <f ca="1">VLOOKUP(表格1_6[[#This Row],[PO+ITEM]],工作表1!B:E,4,FALSE)</f>
        <v>#N/A</v>
      </c>
      <c r="BA697" s="425" t="e">
        <f ca="1">INDEX(工作表1!G:G, MATCH(表格1_6[[#This Row],[invoice number]]&amp;表格1_6[[#This Row],[invoice number2]],工作表1!G:G, 0))</f>
        <v>#N/A</v>
      </c>
      <c r="BB697" s="522" t="e">
        <f ca="1">VLOOKUP(表格1_6[[#This Row],[PO+ITEM]],工作表1!F:H,2,FALSE)</f>
        <v>#N/A</v>
      </c>
    </row>
    <row r="698" spans="1:54" ht="15.6">
      <c r="A698" s="413">
        <v>697</v>
      </c>
      <c r="B698" s="413" t="s">
        <v>3659</v>
      </c>
      <c r="C698" s="414" t="s">
        <v>16</v>
      </c>
      <c r="D698" s="414" t="s">
        <v>3648</v>
      </c>
      <c r="E698" s="414"/>
      <c r="F698" s="414"/>
      <c r="G698" s="414"/>
      <c r="H698" s="414"/>
      <c r="I698" s="414"/>
      <c r="J698" s="414"/>
      <c r="K698" s="414"/>
      <c r="L698" s="415" t="s">
        <v>5341</v>
      </c>
      <c r="M698" s="416" t="s">
        <v>4269</v>
      </c>
      <c r="N698" s="416" t="s">
        <v>2999</v>
      </c>
      <c r="O698" s="417"/>
      <c r="P698" s="416">
        <v>4590007708</v>
      </c>
      <c r="Q698" s="418">
        <v>44861</v>
      </c>
      <c r="R698" s="419">
        <v>7</v>
      </c>
      <c r="S698" s="458">
        <v>10274</v>
      </c>
      <c r="T698" s="420" t="s">
        <v>2156</v>
      </c>
      <c r="U698" s="414" t="s">
        <v>3926</v>
      </c>
      <c r="V698" s="414" t="s">
        <v>3927</v>
      </c>
      <c r="W698" s="417" t="s">
        <v>3928</v>
      </c>
      <c r="X698" s="417"/>
      <c r="Y698" s="421" t="s">
        <v>3652</v>
      </c>
      <c r="Z698" s="421" t="s">
        <v>3652</v>
      </c>
      <c r="AA698" s="416" t="s">
        <v>4270</v>
      </c>
      <c r="AB698" s="414" t="s">
        <v>3664</v>
      </c>
      <c r="AC698" s="426"/>
      <c r="AD698" s="421"/>
      <c r="AE698" s="420"/>
      <c r="AF698" s="421">
        <v>91251</v>
      </c>
      <c r="AG698" s="420" t="s">
        <v>2856</v>
      </c>
      <c r="AH698" s="421" t="s">
        <v>4109</v>
      </c>
      <c r="AI698" s="420" t="s">
        <v>32</v>
      </c>
      <c r="AJ698" s="413" t="str">
        <f t="shared" ref="AJ698:AJ723" si="45">P698&amp;"_00"&amp;R698</f>
        <v>4590007708_007</v>
      </c>
      <c r="AK698" s="423"/>
      <c r="AL698" s="427">
        <v>45017</v>
      </c>
      <c r="AM698" s="221">
        <v>0</v>
      </c>
      <c r="AN698" s="431" t="s">
        <v>3788</v>
      </c>
      <c r="AO698" s="423"/>
      <c r="AP698" s="413"/>
      <c r="AQ698" s="222"/>
      <c r="AR698" s="424"/>
      <c r="AS698" s="614">
        <f ca="1">表格1_6[[#This Row],[total amount]]/表格1_6[[#This Row],[PO$]]</f>
        <v>0</v>
      </c>
      <c r="AT698" s="223">
        <f ca="1">表格1_6[[#This Row],[invoice amount]]+表格1_6[[#This Row],[invoice amount2]]</f>
        <v>0</v>
      </c>
      <c r="AU698" s="224" t="s">
        <v>3789</v>
      </c>
      <c r="AV698" s="423" t="s">
        <v>4875</v>
      </c>
      <c r="AW698" s="423" t="e">
        <f ca="1">VLOOKUP(表格1_6[[#This Row],[TI tool ID2]],工作表1!A:A,1,FALSE)</f>
        <v>#N/A</v>
      </c>
      <c r="AX698" s="425" t="e">
        <f ca="1">VLOOKUP(表格1_6[[#This Row],[PO+ITEM]],工作表1!B:E,2,FALSE)</f>
        <v>#N/A</v>
      </c>
      <c r="AY698" s="425" t="e">
        <f ca="1">VLOOKUP(表格1_6[[#This Row],[PO+ITEM]],工作表1!B:E,3,FALSE)</f>
        <v>#N/A</v>
      </c>
      <c r="AZ698" s="423" t="e">
        <f ca="1">VLOOKUP(表格1_6[[#This Row],[PO+ITEM]],工作表1!B:E,4,FALSE)</f>
        <v>#N/A</v>
      </c>
      <c r="BA698" s="425" t="e">
        <f ca="1">INDEX(工作表1!G:G, MATCH(表格1_6[[#This Row],[invoice number]]&amp;表格1_6[[#This Row],[invoice number2]],工作表1!G:G, 0))</f>
        <v>#N/A</v>
      </c>
      <c r="BB698" s="423" t="e">
        <f ca="1">VLOOKUP(表格1_6[[#This Row],[PO+ITEM]],工作表1!F:H,2,FALSE)</f>
        <v>#N/A</v>
      </c>
    </row>
    <row r="699" spans="1:54" ht="15.6">
      <c r="A699" s="413">
        <v>698</v>
      </c>
      <c r="B699" s="413" t="s">
        <v>3659</v>
      </c>
      <c r="C699" s="414" t="s">
        <v>16</v>
      </c>
      <c r="D699" s="414" t="s">
        <v>3648</v>
      </c>
      <c r="E699" s="414"/>
      <c r="F699" s="414"/>
      <c r="G699" s="414"/>
      <c r="H699" s="414"/>
      <c r="I699" s="414"/>
      <c r="J699" s="414"/>
      <c r="K699" s="414"/>
      <c r="L699" s="415" t="s">
        <v>5342</v>
      </c>
      <c r="M699" s="416" t="s">
        <v>4269</v>
      </c>
      <c r="N699" s="416" t="s">
        <v>2999</v>
      </c>
      <c r="O699" s="417"/>
      <c r="P699" s="416">
        <v>4590007708</v>
      </c>
      <c r="Q699" s="418">
        <v>44861</v>
      </c>
      <c r="R699" s="419">
        <v>8</v>
      </c>
      <c r="S699" s="458">
        <v>10274</v>
      </c>
      <c r="T699" s="420" t="s">
        <v>2156</v>
      </c>
      <c r="U699" s="414" t="s">
        <v>3926</v>
      </c>
      <c r="V699" s="414" t="s">
        <v>3927</v>
      </c>
      <c r="W699" s="417" t="s">
        <v>3928</v>
      </c>
      <c r="X699" s="417"/>
      <c r="Y699" s="421" t="s">
        <v>3652</v>
      </c>
      <c r="Z699" s="421" t="s">
        <v>3652</v>
      </c>
      <c r="AA699" s="416" t="s">
        <v>4270</v>
      </c>
      <c r="AB699" s="414" t="s">
        <v>3664</v>
      </c>
      <c r="AC699" s="426"/>
      <c r="AD699" s="421"/>
      <c r="AE699" s="420"/>
      <c r="AF699" s="421">
        <v>91410</v>
      </c>
      <c r="AG699" s="420" t="s">
        <v>2854</v>
      </c>
      <c r="AH699" s="421" t="s">
        <v>4109</v>
      </c>
      <c r="AI699" s="420" t="s">
        <v>32</v>
      </c>
      <c r="AJ699" s="413" t="str">
        <f t="shared" si="45"/>
        <v>4590007708_008</v>
      </c>
      <c r="AK699" s="423"/>
      <c r="AL699" s="427">
        <v>45017</v>
      </c>
      <c r="AM699" s="221">
        <v>0</v>
      </c>
      <c r="AN699" s="431" t="s">
        <v>3788</v>
      </c>
      <c r="AO699" s="423"/>
      <c r="AP699" s="413"/>
      <c r="AQ699" s="222"/>
      <c r="AR699" s="424"/>
      <c r="AS699" s="614">
        <f ca="1">表格1_6[[#This Row],[total amount]]/表格1_6[[#This Row],[PO$]]</f>
        <v>0</v>
      </c>
      <c r="AT699" s="223">
        <f ca="1">表格1_6[[#This Row],[invoice amount]]+表格1_6[[#This Row],[invoice amount2]]</f>
        <v>0</v>
      </c>
      <c r="AU699" s="224" t="s">
        <v>3789</v>
      </c>
      <c r="AV699" s="423" t="s">
        <v>5340</v>
      </c>
      <c r="AW699" s="423" t="e">
        <f ca="1">VLOOKUP(表格1_6[[#This Row],[TI tool ID2]],工作表1!A:A,1,FALSE)</f>
        <v>#N/A</v>
      </c>
      <c r="AX699" s="425" t="e">
        <f ca="1">VLOOKUP(表格1_6[[#This Row],[PO+ITEM]],工作表1!B:E,2,FALSE)</f>
        <v>#N/A</v>
      </c>
      <c r="AY699" s="425" t="e">
        <f ca="1">VLOOKUP(表格1_6[[#This Row],[PO+ITEM]],工作表1!B:E,3,FALSE)</f>
        <v>#N/A</v>
      </c>
      <c r="AZ699" s="423" t="e">
        <f ca="1">VLOOKUP(表格1_6[[#This Row],[PO+ITEM]],工作表1!B:E,4,FALSE)</f>
        <v>#N/A</v>
      </c>
      <c r="BA699" s="425" t="e">
        <f ca="1">INDEX(工作表1!G:G, MATCH(表格1_6[[#This Row],[invoice number]]&amp;表格1_6[[#This Row],[invoice number2]],工作表1!G:G, 0))</f>
        <v>#N/A</v>
      </c>
      <c r="BB699" s="423" t="e">
        <f ca="1">VLOOKUP(表格1_6[[#This Row],[PO+ITEM]],工作表1!F:H,2,FALSE)</f>
        <v>#N/A</v>
      </c>
    </row>
    <row r="700" spans="1:54" ht="15.6">
      <c r="A700" s="413">
        <v>699</v>
      </c>
      <c r="B700" s="413" t="s">
        <v>3659</v>
      </c>
      <c r="C700" s="414" t="s">
        <v>16</v>
      </c>
      <c r="D700" s="414" t="s">
        <v>3648</v>
      </c>
      <c r="E700" s="414"/>
      <c r="F700" s="414"/>
      <c r="G700" s="414"/>
      <c r="H700" s="414"/>
      <c r="I700" s="414"/>
      <c r="J700" s="414"/>
      <c r="K700" s="414"/>
      <c r="L700" s="415" t="s">
        <v>5343</v>
      </c>
      <c r="M700" s="416" t="s">
        <v>2206</v>
      </c>
      <c r="N700" s="416" t="s">
        <v>2999</v>
      </c>
      <c r="O700" s="417"/>
      <c r="P700" s="416">
        <v>4590007710</v>
      </c>
      <c r="Q700" s="418">
        <v>44861</v>
      </c>
      <c r="R700" s="419">
        <v>1</v>
      </c>
      <c r="S700" s="458">
        <v>7834.63</v>
      </c>
      <c r="T700" s="420" t="s">
        <v>2156</v>
      </c>
      <c r="U700" s="414" t="s">
        <v>3926</v>
      </c>
      <c r="V700" s="414" t="s">
        <v>3927</v>
      </c>
      <c r="W700" s="417" t="s">
        <v>3928</v>
      </c>
      <c r="X700" s="417"/>
      <c r="Y700" s="421" t="s">
        <v>3652</v>
      </c>
      <c r="Z700" s="421" t="s">
        <v>3652</v>
      </c>
      <c r="AA700" s="416" t="s">
        <v>4270</v>
      </c>
      <c r="AB700" s="414" t="s">
        <v>3664</v>
      </c>
      <c r="AC700" s="426"/>
      <c r="AD700" s="421"/>
      <c r="AE700" s="420"/>
      <c r="AF700" s="421">
        <v>91054</v>
      </c>
      <c r="AG700" s="420" t="s">
        <v>5344</v>
      </c>
      <c r="AH700" s="421" t="s">
        <v>3932</v>
      </c>
      <c r="AI700" s="420" t="s">
        <v>846</v>
      </c>
      <c r="AJ700" s="413" t="str">
        <f t="shared" si="45"/>
        <v>4590007710_001</v>
      </c>
      <c r="AK700" s="423"/>
      <c r="AL700" s="424">
        <v>45047</v>
      </c>
      <c r="AM700" s="221">
        <v>3133.8520000000003</v>
      </c>
      <c r="AN700" s="244">
        <v>45245</v>
      </c>
      <c r="AO700" s="423"/>
      <c r="AP700" s="413"/>
      <c r="AQ700" s="222"/>
      <c r="AR700" s="424"/>
      <c r="AS700" s="614">
        <f ca="1">表格1_6[[#This Row],[total amount]]/表格1_6[[#This Row],[PO$]]</f>
        <v>0.4</v>
      </c>
      <c r="AT700" s="223">
        <f ca="1">表格1_6[[#This Row],[invoice amount]]+表格1_6[[#This Row],[invoice amount2]]</f>
        <v>3133.8520000000003</v>
      </c>
      <c r="AU700" s="224" t="s">
        <v>3673</v>
      </c>
      <c r="AV700" s="423"/>
      <c r="AW700" s="423" t="e">
        <f ca="1">VLOOKUP(表格1_6[[#This Row],[TI tool ID2]],工作表1!A:A,1,FALSE)</f>
        <v>#N/A</v>
      </c>
      <c r="AX700" s="425" t="e">
        <f ca="1">VLOOKUP(表格1_6[[#This Row],[PO+ITEM]],工作表1!B:E,2,FALSE)</f>
        <v>#N/A</v>
      </c>
      <c r="AY700" s="425" t="e">
        <f ca="1">VLOOKUP(表格1_6[[#This Row],[PO+ITEM]],工作表1!B:E,3,FALSE)</f>
        <v>#N/A</v>
      </c>
      <c r="AZ700" s="423" t="e">
        <f ca="1">VLOOKUP(表格1_6[[#This Row],[PO+ITEM]],工作表1!B:E,4,FALSE)</f>
        <v>#N/A</v>
      </c>
      <c r="BA700" s="425" t="e">
        <f ca="1">INDEX(工作表1!G:G, MATCH(表格1_6[[#This Row],[invoice number]]&amp;表格1_6[[#This Row],[invoice number2]],工作表1!G:G, 0))</f>
        <v>#N/A</v>
      </c>
      <c r="BB700" s="423" t="e">
        <f ca="1">VLOOKUP(表格1_6[[#This Row],[PO+ITEM]],工作表1!F:H,2,FALSE)</f>
        <v>#N/A</v>
      </c>
    </row>
    <row r="701" spans="1:54" ht="15.6">
      <c r="A701" s="413">
        <v>700</v>
      </c>
      <c r="B701" s="413" t="s">
        <v>3659</v>
      </c>
      <c r="C701" s="414" t="s">
        <v>16</v>
      </c>
      <c r="D701" s="414" t="s">
        <v>3648</v>
      </c>
      <c r="E701" s="414"/>
      <c r="F701" s="414"/>
      <c r="G701" s="414"/>
      <c r="H701" s="414"/>
      <c r="I701" s="414"/>
      <c r="J701" s="414"/>
      <c r="K701" s="414"/>
      <c r="L701" s="415" t="s">
        <v>5345</v>
      </c>
      <c r="M701" s="416" t="s">
        <v>2206</v>
      </c>
      <c r="N701" s="416" t="s">
        <v>2999</v>
      </c>
      <c r="O701" s="417"/>
      <c r="P701" s="416">
        <v>4590007710</v>
      </c>
      <c r="Q701" s="418">
        <v>44861</v>
      </c>
      <c r="R701" s="419">
        <v>2</v>
      </c>
      <c r="S701" s="458">
        <v>7834.63</v>
      </c>
      <c r="T701" s="420" t="s">
        <v>2156</v>
      </c>
      <c r="U701" s="414" t="s">
        <v>3926</v>
      </c>
      <c r="V701" s="414" t="s">
        <v>3927</v>
      </c>
      <c r="W701" s="417" t="s">
        <v>3928</v>
      </c>
      <c r="X701" s="417"/>
      <c r="Y701" s="421" t="s">
        <v>3652</v>
      </c>
      <c r="Z701" s="421" t="s">
        <v>3652</v>
      </c>
      <c r="AA701" s="416" t="s">
        <v>4270</v>
      </c>
      <c r="AB701" s="414" t="s">
        <v>3664</v>
      </c>
      <c r="AC701" s="426"/>
      <c r="AD701" s="421"/>
      <c r="AE701" s="420"/>
      <c r="AF701" s="421">
        <v>91055</v>
      </c>
      <c r="AG701" s="420" t="s">
        <v>5346</v>
      </c>
      <c r="AH701" s="421" t="s">
        <v>3932</v>
      </c>
      <c r="AI701" s="420" t="s">
        <v>846</v>
      </c>
      <c r="AJ701" s="413" t="str">
        <f t="shared" si="45"/>
        <v>4590007710_002</v>
      </c>
      <c r="AK701" s="423"/>
      <c r="AL701" s="424">
        <v>45047</v>
      </c>
      <c r="AM701" s="221">
        <v>3133.8520000000003</v>
      </c>
      <c r="AN701" s="244">
        <v>45245</v>
      </c>
      <c r="AO701" s="423"/>
      <c r="AP701" s="413"/>
      <c r="AQ701" s="222"/>
      <c r="AR701" s="424"/>
      <c r="AS701" s="614">
        <f ca="1">表格1_6[[#This Row],[total amount]]/表格1_6[[#This Row],[PO$]]</f>
        <v>0.4</v>
      </c>
      <c r="AT701" s="223">
        <f ca="1">表格1_6[[#This Row],[invoice amount]]+表格1_6[[#This Row],[invoice amount2]]</f>
        <v>3133.8520000000003</v>
      </c>
      <c r="AU701" s="224" t="s">
        <v>3673</v>
      </c>
      <c r="AV701" s="423"/>
      <c r="AW701" s="423" t="e">
        <f ca="1">VLOOKUP(表格1_6[[#This Row],[TI tool ID2]],工作表1!A:A,1,FALSE)</f>
        <v>#N/A</v>
      </c>
      <c r="AX701" s="425" t="e">
        <f ca="1">VLOOKUP(表格1_6[[#This Row],[PO+ITEM]],工作表1!B:E,2,FALSE)</f>
        <v>#N/A</v>
      </c>
      <c r="AY701" s="425" t="e">
        <f ca="1">VLOOKUP(表格1_6[[#This Row],[PO+ITEM]],工作表1!B:E,3,FALSE)</f>
        <v>#N/A</v>
      </c>
      <c r="AZ701" s="423" t="e">
        <f ca="1">VLOOKUP(表格1_6[[#This Row],[PO+ITEM]],工作表1!B:E,4,FALSE)</f>
        <v>#N/A</v>
      </c>
      <c r="BA701" s="425" t="e">
        <f ca="1">INDEX(工作表1!G:G, MATCH(表格1_6[[#This Row],[invoice number]]&amp;表格1_6[[#This Row],[invoice number2]],工作表1!G:G, 0))</f>
        <v>#N/A</v>
      </c>
      <c r="BB701" s="423" t="e">
        <f ca="1">VLOOKUP(表格1_6[[#This Row],[PO+ITEM]],工作表1!F:H,2,FALSE)</f>
        <v>#N/A</v>
      </c>
    </row>
    <row r="702" spans="1:54" ht="15.6">
      <c r="A702" s="413">
        <v>701</v>
      </c>
      <c r="B702" s="413" t="s">
        <v>3659</v>
      </c>
      <c r="C702" s="414" t="s">
        <v>16</v>
      </c>
      <c r="D702" s="414" t="s">
        <v>3648</v>
      </c>
      <c r="E702" s="414"/>
      <c r="F702" s="414"/>
      <c r="G702" s="414"/>
      <c r="H702" s="414"/>
      <c r="I702" s="414"/>
      <c r="J702" s="414"/>
      <c r="K702" s="414"/>
      <c r="L702" s="415" t="s">
        <v>5347</v>
      </c>
      <c r="M702" s="416" t="s">
        <v>2206</v>
      </c>
      <c r="N702" s="416" t="s">
        <v>2999</v>
      </c>
      <c r="O702" s="417"/>
      <c r="P702" s="416">
        <v>4590007710</v>
      </c>
      <c r="Q702" s="418">
        <v>44861</v>
      </c>
      <c r="R702" s="419">
        <v>3</v>
      </c>
      <c r="S702" s="458">
        <v>7834.63</v>
      </c>
      <c r="T702" s="420" t="s">
        <v>2156</v>
      </c>
      <c r="U702" s="414" t="s">
        <v>3926</v>
      </c>
      <c r="V702" s="414" t="s">
        <v>3927</v>
      </c>
      <c r="W702" s="417" t="s">
        <v>3928</v>
      </c>
      <c r="X702" s="417"/>
      <c r="Y702" s="421" t="s">
        <v>3652</v>
      </c>
      <c r="Z702" s="421" t="s">
        <v>3652</v>
      </c>
      <c r="AA702" s="416" t="s">
        <v>4270</v>
      </c>
      <c r="AB702" s="414" t="s">
        <v>3664</v>
      </c>
      <c r="AC702" s="426"/>
      <c r="AD702" s="421"/>
      <c r="AE702" s="420"/>
      <c r="AF702" s="421">
        <v>91056</v>
      </c>
      <c r="AG702" s="420" t="s">
        <v>5348</v>
      </c>
      <c r="AH702" s="421" t="s">
        <v>3932</v>
      </c>
      <c r="AI702" s="420" t="s">
        <v>846</v>
      </c>
      <c r="AJ702" s="413" t="str">
        <f t="shared" si="45"/>
        <v>4590007710_003</v>
      </c>
      <c r="AK702" s="423"/>
      <c r="AL702" s="424">
        <v>45047</v>
      </c>
      <c r="AM702" s="221">
        <v>3313.85</v>
      </c>
      <c r="AN702" s="244">
        <v>45245</v>
      </c>
      <c r="AO702" s="423"/>
      <c r="AP702" s="413"/>
      <c r="AQ702" s="222"/>
      <c r="AR702" s="424"/>
      <c r="AS702" s="614">
        <f ca="1">表格1_6[[#This Row],[total amount]]/表格1_6[[#This Row],[PO$]]</f>
        <v>0.42297466504480746</v>
      </c>
      <c r="AT702" s="223">
        <f ca="1">表格1_6[[#This Row],[invoice amount]]+表格1_6[[#This Row],[invoice amount2]]</f>
        <v>3313.85</v>
      </c>
      <c r="AU702" s="224" t="s">
        <v>3673</v>
      </c>
      <c r="AV702" s="423"/>
      <c r="AW702" s="423" t="e">
        <f ca="1">VLOOKUP(表格1_6[[#This Row],[TI tool ID2]],工作表1!A:A,1,FALSE)</f>
        <v>#N/A</v>
      </c>
      <c r="AX702" s="425" t="e">
        <f ca="1">VLOOKUP(表格1_6[[#This Row],[PO+ITEM]],工作表1!B:E,2,FALSE)</f>
        <v>#N/A</v>
      </c>
      <c r="AY702" s="425" t="e">
        <f ca="1">VLOOKUP(表格1_6[[#This Row],[PO+ITEM]],工作表1!B:E,3,FALSE)</f>
        <v>#N/A</v>
      </c>
      <c r="AZ702" s="423" t="e">
        <f ca="1">VLOOKUP(表格1_6[[#This Row],[PO+ITEM]],工作表1!B:E,4,FALSE)</f>
        <v>#N/A</v>
      </c>
      <c r="BA702" s="425" t="e">
        <f ca="1">INDEX(工作表1!G:G, MATCH(表格1_6[[#This Row],[invoice number]]&amp;表格1_6[[#This Row],[invoice number2]],工作表1!G:G, 0))</f>
        <v>#N/A</v>
      </c>
      <c r="BB702" s="423" t="e">
        <f ca="1">VLOOKUP(表格1_6[[#This Row],[PO+ITEM]],工作表1!F:H,2,FALSE)</f>
        <v>#N/A</v>
      </c>
    </row>
    <row r="703" spans="1:54" ht="15.6">
      <c r="A703" s="413">
        <v>702</v>
      </c>
      <c r="B703" s="413" t="s">
        <v>3659</v>
      </c>
      <c r="C703" s="414" t="s">
        <v>16</v>
      </c>
      <c r="D703" s="414" t="s">
        <v>3648</v>
      </c>
      <c r="E703" s="414"/>
      <c r="F703" s="414"/>
      <c r="G703" s="414"/>
      <c r="H703" s="414"/>
      <c r="I703" s="414"/>
      <c r="J703" s="414"/>
      <c r="K703" s="414"/>
      <c r="L703" s="415" t="s">
        <v>5349</v>
      </c>
      <c r="M703" s="416" t="s">
        <v>2206</v>
      </c>
      <c r="N703" s="416" t="s">
        <v>2999</v>
      </c>
      <c r="O703" s="417"/>
      <c r="P703" s="416">
        <v>4590007710</v>
      </c>
      <c r="Q703" s="418">
        <v>44861</v>
      </c>
      <c r="R703" s="419">
        <v>4</v>
      </c>
      <c r="S703" s="458">
        <v>2611.54</v>
      </c>
      <c r="T703" s="420" t="s">
        <v>2156</v>
      </c>
      <c r="U703" s="414" t="s">
        <v>3926</v>
      </c>
      <c r="V703" s="414" t="s">
        <v>3927</v>
      </c>
      <c r="W703" s="417" t="s">
        <v>3928</v>
      </c>
      <c r="X703" s="417"/>
      <c r="Y703" s="421" t="s">
        <v>3652</v>
      </c>
      <c r="Z703" s="421" t="s">
        <v>3652</v>
      </c>
      <c r="AA703" s="416" t="s">
        <v>4270</v>
      </c>
      <c r="AB703" s="414" t="s">
        <v>3664</v>
      </c>
      <c r="AC703" s="426"/>
      <c r="AD703" s="421"/>
      <c r="AE703" s="420"/>
      <c r="AF703" s="421">
        <v>91059</v>
      </c>
      <c r="AG703" s="420" t="s">
        <v>5350</v>
      </c>
      <c r="AH703" s="421" t="s">
        <v>3932</v>
      </c>
      <c r="AI703" s="420" t="s">
        <v>846</v>
      </c>
      <c r="AJ703" s="413" t="str">
        <f t="shared" si="45"/>
        <v>4590007710_004</v>
      </c>
      <c r="AK703" s="423"/>
      <c r="AL703" s="424">
        <v>45047</v>
      </c>
      <c r="AM703" s="221">
        <v>1044.616</v>
      </c>
      <c r="AN703" s="244">
        <v>45245</v>
      </c>
      <c r="AO703" s="423"/>
      <c r="AP703" s="413"/>
      <c r="AQ703" s="222"/>
      <c r="AR703" s="424"/>
      <c r="AS703" s="614">
        <f ca="1">表格1_6[[#This Row],[total amount]]/表格1_6[[#This Row],[PO$]]</f>
        <v>0.4</v>
      </c>
      <c r="AT703" s="223">
        <f ca="1">表格1_6[[#This Row],[invoice amount]]+表格1_6[[#This Row],[invoice amount2]]</f>
        <v>1044.616</v>
      </c>
      <c r="AU703" s="224" t="s">
        <v>3673</v>
      </c>
      <c r="AV703" s="423"/>
      <c r="AW703" s="423" t="e">
        <f ca="1">VLOOKUP(表格1_6[[#This Row],[TI tool ID2]],工作表1!A:A,1,FALSE)</f>
        <v>#N/A</v>
      </c>
      <c r="AX703" s="425" t="e">
        <f ca="1">VLOOKUP(表格1_6[[#This Row],[PO+ITEM]],工作表1!B:E,2,FALSE)</f>
        <v>#N/A</v>
      </c>
      <c r="AY703" s="425" t="e">
        <f ca="1">VLOOKUP(表格1_6[[#This Row],[PO+ITEM]],工作表1!B:E,3,FALSE)</f>
        <v>#N/A</v>
      </c>
      <c r="AZ703" s="423" t="e">
        <f ca="1">VLOOKUP(表格1_6[[#This Row],[PO+ITEM]],工作表1!B:E,4,FALSE)</f>
        <v>#N/A</v>
      </c>
      <c r="BA703" s="425" t="e">
        <f ca="1">INDEX(工作表1!G:G, MATCH(表格1_6[[#This Row],[invoice number]]&amp;表格1_6[[#This Row],[invoice number2]],工作表1!G:G, 0))</f>
        <v>#N/A</v>
      </c>
      <c r="BB703" s="423" t="e">
        <f ca="1">VLOOKUP(表格1_6[[#This Row],[PO+ITEM]],工作表1!F:H,2,FALSE)</f>
        <v>#N/A</v>
      </c>
    </row>
    <row r="704" spans="1:54" ht="15.6">
      <c r="A704" s="413">
        <v>703</v>
      </c>
      <c r="B704" s="413" t="s">
        <v>3674</v>
      </c>
      <c r="C704" s="414" t="s">
        <v>16</v>
      </c>
      <c r="D704" s="414" t="s">
        <v>3648</v>
      </c>
      <c r="E704" s="414"/>
      <c r="F704" s="414"/>
      <c r="G704" s="414"/>
      <c r="H704" s="414"/>
      <c r="I704" s="414"/>
      <c r="J704" s="414"/>
      <c r="K704" s="414"/>
      <c r="L704" s="415" t="s">
        <v>5351</v>
      </c>
      <c r="M704" s="416" t="s">
        <v>2206</v>
      </c>
      <c r="N704" s="416" t="s">
        <v>2999</v>
      </c>
      <c r="O704" s="417"/>
      <c r="P704" s="416">
        <v>4590007710</v>
      </c>
      <c r="Q704" s="418">
        <v>44861</v>
      </c>
      <c r="R704" s="419">
        <v>5</v>
      </c>
      <c r="S704" s="458">
        <v>7834.63</v>
      </c>
      <c r="T704" s="420" t="s">
        <v>2156</v>
      </c>
      <c r="U704" s="414" t="s">
        <v>3926</v>
      </c>
      <c r="V704" s="414" t="s">
        <v>3927</v>
      </c>
      <c r="W704" s="417" t="s">
        <v>3928</v>
      </c>
      <c r="X704" s="417"/>
      <c r="Y704" s="421" t="s">
        <v>3652</v>
      </c>
      <c r="Z704" s="421" t="s">
        <v>3652</v>
      </c>
      <c r="AA704" s="416" t="s">
        <v>4276</v>
      </c>
      <c r="AB704" s="414" t="s">
        <v>3664</v>
      </c>
      <c r="AC704" s="426"/>
      <c r="AD704" s="421"/>
      <c r="AE704" s="420"/>
      <c r="AF704" s="421">
        <v>91060</v>
      </c>
      <c r="AG704" s="420" t="s">
        <v>5352</v>
      </c>
      <c r="AH704" s="421" t="s">
        <v>3932</v>
      </c>
      <c r="AI704" s="420" t="s">
        <v>846</v>
      </c>
      <c r="AJ704" s="413" t="str">
        <f t="shared" si="45"/>
        <v>4590007710_005</v>
      </c>
      <c r="AK704" s="423"/>
      <c r="AL704" s="424">
        <v>45108</v>
      </c>
      <c r="AM704" s="221">
        <v>3133.8520000000003</v>
      </c>
      <c r="AN704" s="244">
        <v>45245</v>
      </c>
      <c r="AO704" s="423"/>
      <c r="AP704" s="413"/>
      <c r="AQ704" s="222"/>
      <c r="AR704" s="424"/>
      <c r="AS704" s="614">
        <f ca="1">表格1_6[[#This Row],[total amount]]/表格1_6[[#This Row],[PO$]]</f>
        <v>0.4</v>
      </c>
      <c r="AT704" s="223">
        <f ca="1">表格1_6[[#This Row],[invoice amount]]+表格1_6[[#This Row],[invoice amount2]]</f>
        <v>3133.8520000000003</v>
      </c>
      <c r="AU704" s="224" t="s">
        <v>3673</v>
      </c>
      <c r="AV704" s="423"/>
      <c r="AW704" s="423" t="e">
        <f ca="1">VLOOKUP(表格1_6[[#This Row],[TI tool ID2]],工作表1!A:A,1,FALSE)</f>
        <v>#N/A</v>
      </c>
      <c r="AX704" s="425" t="e">
        <f ca="1">VLOOKUP(表格1_6[[#This Row],[PO+ITEM]],工作表1!B:E,2,FALSE)</f>
        <v>#N/A</v>
      </c>
      <c r="AY704" s="425" t="e">
        <f ca="1">VLOOKUP(表格1_6[[#This Row],[PO+ITEM]],工作表1!B:E,3,FALSE)</f>
        <v>#N/A</v>
      </c>
      <c r="AZ704" s="423" t="e">
        <f ca="1">VLOOKUP(表格1_6[[#This Row],[PO+ITEM]],工作表1!B:E,4,FALSE)</f>
        <v>#N/A</v>
      </c>
      <c r="BA704" s="425" t="e">
        <f ca="1">INDEX(工作表1!G:G, MATCH(表格1_6[[#This Row],[invoice number]]&amp;表格1_6[[#This Row],[invoice number2]],工作表1!G:G, 0))</f>
        <v>#N/A</v>
      </c>
      <c r="BB704" s="423" t="e">
        <f ca="1">VLOOKUP(表格1_6[[#This Row],[PO+ITEM]],工作表1!F:H,2,FALSE)</f>
        <v>#N/A</v>
      </c>
    </row>
    <row r="705" spans="1:54" ht="14.45">
      <c r="A705" s="413">
        <v>704</v>
      </c>
      <c r="B705" s="413" t="s">
        <v>3659</v>
      </c>
      <c r="C705" s="414" t="s">
        <v>16</v>
      </c>
      <c r="D705" s="414" t="s">
        <v>3648</v>
      </c>
      <c r="E705" s="414"/>
      <c r="F705" s="414"/>
      <c r="G705" s="414"/>
      <c r="H705" s="414"/>
      <c r="I705" s="414"/>
      <c r="J705" s="414"/>
      <c r="K705" s="414"/>
      <c r="L705" s="415" t="s">
        <v>5353</v>
      </c>
      <c r="M705" s="416" t="s">
        <v>4269</v>
      </c>
      <c r="N705" s="416" t="s">
        <v>2999</v>
      </c>
      <c r="O705" s="417"/>
      <c r="P705" s="416">
        <v>4590007711</v>
      </c>
      <c r="Q705" s="418">
        <v>44861</v>
      </c>
      <c r="R705" s="419">
        <v>1</v>
      </c>
      <c r="S705" s="458">
        <v>12444.6</v>
      </c>
      <c r="T705" s="420" t="s">
        <v>2156</v>
      </c>
      <c r="U705" s="414" t="s">
        <v>3926</v>
      </c>
      <c r="V705" s="414" t="s">
        <v>3927</v>
      </c>
      <c r="W705" s="417" t="s">
        <v>3928</v>
      </c>
      <c r="X705" s="417"/>
      <c r="Y705" s="421" t="s">
        <v>3652</v>
      </c>
      <c r="Z705" s="421" t="s">
        <v>3652</v>
      </c>
      <c r="AA705" s="416" t="s">
        <v>4270</v>
      </c>
      <c r="AB705" s="414" t="s">
        <v>3664</v>
      </c>
      <c r="AC705" s="426"/>
      <c r="AD705" s="421"/>
      <c r="AE705" s="420"/>
      <c r="AF705" s="421">
        <v>91041</v>
      </c>
      <c r="AG705" s="420" t="s">
        <v>2862</v>
      </c>
      <c r="AH705" s="421" t="s">
        <v>4109</v>
      </c>
      <c r="AI705" s="420" t="s">
        <v>32</v>
      </c>
      <c r="AJ705" s="413" t="str">
        <f t="shared" si="45"/>
        <v>4590007711_001</v>
      </c>
      <c r="AK705" s="423"/>
      <c r="AL705" s="413"/>
      <c r="AM705" s="221"/>
      <c r="AN705" s="424"/>
      <c r="AO705" s="423"/>
      <c r="AP705" s="413"/>
      <c r="AQ705" s="222"/>
      <c r="AR705" s="424"/>
      <c r="AS705" s="614">
        <f ca="1">表格1_6[[#This Row],[total amount]]/表格1_6[[#This Row],[PO$]]</f>
        <v>0</v>
      </c>
      <c r="AT705" s="223">
        <f ca="1">表格1_6[[#This Row],[invoice amount]]+表格1_6[[#This Row],[invoice amount2]]</f>
        <v>0</v>
      </c>
      <c r="AU705" s="224"/>
      <c r="AV705" s="423"/>
      <c r="AW705" s="423" t="e">
        <f ca="1">VLOOKUP(表格1_6[[#This Row],[TI tool ID2]],工作表1!A:A,1,FALSE)</f>
        <v>#N/A</v>
      </c>
      <c r="AX705" s="425" t="e">
        <f ca="1">VLOOKUP(表格1_6[[#This Row],[PO+ITEM]],工作表1!B:E,2,FALSE)</f>
        <v>#N/A</v>
      </c>
      <c r="AY705" s="425" t="e">
        <f ca="1">VLOOKUP(表格1_6[[#This Row],[PO+ITEM]],工作表1!B:E,3,FALSE)</f>
        <v>#N/A</v>
      </c>
      <c r="AZ705" s="423" t="e">
        <f ca="1">VLOOKUP(表格1_6[[#This Row],[PO+ITEM]],工作表1!B:E,4,FALSE)</f>
        <v>#N/A</v>
      </c>
      <c r="BA705" s="425" t="e">
        <f ca="1">INDEX(工作表1!G:G, MATCH(表格1_6[[#This Row],[invoice number]]&amp;表格1_6[[#This Row],[invoice number2]],工作表1!G:G, 0))</f>
        <v>#N/A</v>
      </c>
      <c r="BB705" s="423" t="e">
        <f ca="1">VLOOKUP(表格1_6[[#This Row],[PO+ITEM]],工作表1!F:H,2,FALSE)</f>
        <v>#N/A</v>
      </c>
    </row>
    <row r="706" spans="1:54" ht="14.45">
      <c r="A706" s="413">
        <v>705</v>
      </c>
      <c r="B706" s="413" t="s">
        <v>3659</v>
      </c>
      <c r="C706" s="414" t="s">
        <v>16</v>
      </c>
      <c r="D706" s="414" t="s">
        <v>3648</v>
      </c>
      <c r="E706" s="414"/>
      <c r="F706" s="414"/>
      <c r="G706" s="414"/>
      <c r="H706" s="414"/>
      <c r="I706" s="414"/>
      <c r="J706" s="414"/>
      <c r="K706" s="414"/>
      <c r="L706" s="415" t="s">
        <v>5354</v>
      </c>
      <c r="M706" s="416" t="s">
        <v>4269</v>
      </c>
      <c r="N706" s="416" t="s">
        <v>2999</v>
      </c>
      <c r="O706" s="417"/>
      <c r="P706" s="416">
        <v>4590007711</v>
      </c>
      <c r="Q706" s="418">
        <v>44861</v>
      </c>
      <c r="R706" s="419">
        <v>2</v>
      </c>
      <c r="S706" s="458">
        <v>12444.6</v>
      </c>
      <c r="T706" s="420" t="s">
        <v>2156</v>
      </c>
      <c r="U706" s="414" t="s">
        <v>3926</v>
      </c>
      <c r="V706" s="414" t="s">
        <v>3927</v>
      </c>
      <c r="W706" s="417" t="s">
        <v>3928</v>
      </c>
      <c r="X706" s="417"/>
      <c r="Y706" s="421" t="s">
        <v>3652</v>
      </c>
      <c r="Z706" s="421" t="s">
        <v>3652</v>
      </c>
      <c r="AA706" s="416" t="s">
        <v>4270</v>
      </c>
      <c r="AB706" s="414" t="s">
        <v>3664</v>
      </c>
      <c r="AC706" s="426"/>
      <c r="AD706" s="421"/>
      <c r="AE706" s="420"/>
      <c r="AF706" s="421">
        <v>91051</v>
      </c>
      <c r="AG706" s="420" t="s">
        <v>2868</v>
      </c>
      <c r="AH706" s="421" t="s">
        <v>4109</v>
      </c>
      <c r="AI706" s="420" t="s">
        <v>32</v>
      </c>
      <c r="AJ706" s="413" t="str">
        <f t="shared" si="45"/>
        <v>4590007711_002</v>
      </c>
      <c r="AK706" s="423"/>
      <c r="AL706" s="413"/>
      <c r="AM706" s="221"/>
      <c r="AN706" s="424"/>
      <c r="AO706" s="423"/>
      <c r="AP706" s="413"/>
      <c r="AQ706" s="222"/>
      <c r="AR706" s="424"/>
      <c r="AS706" s="614">
        <f ca="1">表格1_6[[#This Row],[total amount]]/表格1_6[[#This Row],[PO$]]</f>
        <v>0</v>
      </c>
      <c r="AT706" s="223">
        <f ca="1">表格1_6[[#This Row],[invoice amount]]+表格1_6[[#This Row],[invoice amount2]]</f>
        <v>0</v>
      </c>
      <c r="AU706" s="224"/>
      <c r="AV706" s="423"/>
      <c r="AW706" s="423" t="e">
        <f ca="1">VLOOKUP(表格1_6[[#This Row],[TI tool ID2]],工作表1!A:A,1,FALSE)</f>
        <v>#N/A</v>
      </c>
      <c r="AX706" s="425" t="e">
        <f ca="1">VLOOKUP(表格1_6[[#This Row],[PO+ITEM]],工作表1!B:E,2,FALSE)</f>
        <v>#N/A</v>
      </c>
      <c r="AY706" s="425" t="e">
        <f ca="1">VLOOKUP(表格1_6[[#This Row],[PO+ITEM]],工作表1!B:E,3,FALSE)</f>
        <v>#N/A</v>
      </c>
      <c r="AZ706" s="423" t="e">
        <f ca="1">VLOOKUP(表格1_6[[#This Row],[PO+ITEM]],工作表1!B:E,4,FALSE)</f>
        <v>#N/A</v>
      </c>
      <c r="BA706" s="425" t="e">
        <f ca="1">INDEX(工作表1!G:G, MATCH(表格1_6[[#This Row],[invoice number]]&amp;表格1_6[[#This Row],[invoice number2]],工作表1!G:G, 0))</f>
        <v>#N/A</v>
      </c>
      <c r="BB706" s="423" t="e">
        <f ca="1">VLOOKUP(表格1_6[[#This Row],[PO+ITEM]],工作表1!F:H,2,FALSE)</f>
        <v>#N/A</v>
      </c>
    </row>
    <row r="707" spans="1:54" ht="15.6">
      <c r="A707" s="413">
        <v>706</v>
      </c>
      <c r="B707" s="413" t="s">
        <v>3659</v>
      </c>
      <c r="C707" s="414" t="s">
        <v>16</v>
      </c>
      <c r="D707" s="414" t="s">
        <v>3648</v>
      </c>
      <c r="E707" s="414"/>
      <c r="F707" s="414"/>
      <c r="G707" s="414"/>
      <c r="H707" s="414"/>
      <c r="I707" s="414"/>
      <c r="J707" s="414"/>
      <c r="K707" s="414"/>
      <c r="L707" s="415" t="s">
        <v>5355</v>
      </c>
      <c r="M707" s="416" t="s">
        <v>4269</v>
      </c>
      <c r="N707" s="416" t="s">
        <v>2999</v>
      </c>
      <c r="O707" s="417"/>
      <c r="P707" s="416">
        <v>4590007711</v>
      </c>
      <c r="Q707" s="418">
        <v>44861</v>
      </c>
      <c r="R707" s="419">
        <v>3</v>
      </c>
      <c r="S707" s="458">
        <v>12089.4</v>
      </c>
      <c r="T707" s="420" t="s">
        <v>2156</v>
      </c>
      <c r="U707" s="414" t="s">
        <v>3926</v>
      </c>
      <c r="V707" s="414" t="s">
        <v>3927</v>
      </c>
      <c r="W707" s="417" t="s">
        <v>3928</v>
      </c>
      <c r="X707" s="417"/>
      <c r="Y707" s="421" t="s">
        <v>3652</v>
      </c>
      <c r="Z707" s="421" t="s">
        <v>3652</v>
      </c>
      <c r="AA707" s="416" t="s">
        <v>4270</v>
      </c>
      <c r="AB707" s="414" t="s">
        <v>3664</v>
      </c>
      <c r="AC707" s="426"/>
      <c r="AD707" s="421"/>
      <c r="AE707" s="420"/>
      <c r="AF707" s="421">
        <v>91249</v>
      </c>
      <c r="AG707" s="420" t="s">
        <v>2858</v>
      </c>
      <c r="AH707" s="421" t="s">
        <v>4109</v>
      </c>
      <c r="AI707" s="420" t="s">
        <v>32</v>
      </c>
      <c r="AJ707" s="413" t="str">
        <f t="shared" si="45"/>
        <v>4590007711_003</v>
      </c>
      <c r="AK707" s="423"/>
      <c r="AL707" s="427">
        <v>45017</v>
      </c>
      <c r="AM707" s="221">
        <v>0</v>
      </c>
      <c r="AN707" s="431" t="s">
        <v>3788</v>
      </c>
      <c r="AO707" s="423"/>
      <c r="AP707" s="413"/>
      <c r="AQ707" s="222"/>
      <c r="AR707" s="424"/>
      <c r="AS707" s="614">
        <f ca="1">表格1_6[[#This Row],[total amount]]/表格1_6[[#This Row],[PO$]]</f>
        <v>0</v>
      </c>
      <c r="AT707" s="223">
        <f ca="1">表格1_6[[#This Row],[invoice amount]]+表格1_6[[#This Row],[invoice amount2]]</f>
        <v>0</v>
      </c>
      <c r="AU707" s="224" t="s">
        <v>3789</v>
      </c>
      <c r="AV707" s="423" t="s">
        <v>4875</v>
      </c>
      <c r="AW707" s="423" t="e">
        <f ca="1">VLOOKUP(表格1_6[[#This Row],[TI tool ID2]],工作表1!A:A,1,FALSE)</f>
        <v>#N/A</v>
      </c>
      <c r="AX707" s="425" t="e">
        <f ca="1">VLOOKUP(表格1_6[[#This Row],[PO+ITEM]],工作表1!B:E,2,FALSE)</f>
        <v>#N/A</v>
      </c>
      <c r="AY707" s="425" t="e">
        <f ca="1">VLOOKUP(表格1_6[[#This Row],[PO+ITEM]],工作表1!B:E,3,FALSE)</f>
        <v>#N/A</v>
      </c>
      <c r="AZ707" s="423" t="e">
        <f ca="1">VLOOKUP(表格1_6[[#This Row],[PO+ITEM]],工作表1!B:E,4,FALSE)</f>
        <v>#N/A</v>
      </c>
      <c r="BA707" s="425" t="e">
        <f ca="1">INDEX(工作表1!G:G, MATCH(表格1_6[[#This Row],[invoice number]]&amp;表格1_6[[#This Row],[invoice number2]],工作表1!G:G, 0))</f>
        <v>#N/A</v>
      </c>
      <c r="BB707" s="423" t="e">
        <f ca="1">VLOOKUP(表格1_6[[#This Row],[PO+ITEM]],工作表1!F:H,2,FALSE)</f>
        <v>#N/A</v>
      </c>
    </row>
    <row r="708" spans="1:54" s="429" customFormat="1" ht="14.45">
      <c r="A708" s="413">
        <v>707</v>
      </c>
      <c r="B708" s="413" t="s">
        <v>3659</v>
      </c>
      <c r="C708" s="414" t="s">
        <v>16</v>
      </c>
      <c r="D708" s="414" t="s">
        <v>3648</v>
      </c>
      <c r="E708" s="414"/>
      <c r="F708" s="414"/>
      <c r="G708" s="414"/>
      <c r="H708" s="414"/>
      <c r="I708" s="414"/>
      <c r="J708" s="414"/>
      <c r="K708" s="414"/>
      <c r="L708" s="420" t="s">
        <v>5356</v>
      </c>
      <c r="M708" s="416" t="s">
        <v>4269</v>
      </c>
      <c r="N708" s="416" t="s">
        <v>2999</v>
      </c>
      <c r="O708" s="417"/>
      <c r="P708" s="416">
        <v>4590007711</v>
      </c>
      <c r="Q708" s="418">
        <v>44861</v>
      </c>
      <c r="R708" s="419">
        <v>4</v>
      </c>
      <c r="S708" s="458">
        <v>56351.54</v>
      </c>
      <c r="T708" s="420" t="s">
        <v>2156</v>
      </c>
      <c r="U708" s="414" t="s">
        <v>3926</v>
      </c>
      <c r="V708" s="414" t="s">
        <v>3927</v>
      </c>
      <c r="W708" s="417" t="s">
        <v>3928</v>
      </c>
      <c r="X708" s="417"/>
      <c r="Y708" s="421" t="s">
        <v>3652</v>
      </c>
      <c r="Z708" s="421" t="s">
        <v>3652</v>
      </c>
      <c r="AA708" s="416" t="s">
        <v>4270</v>
      </c>
      <c r="AB708" s="414" t="s">
        <v>3664</v>
      </c>
      <c r="AC708" s="426"/>
      <c r="AD708" s="421"/>
      <c r="AE708" s="420"/>
      <c r="AF708" s="421">
        <v>91247</v>
      </c>
      <c r="AG708" s="420" t="s">
        <v>2834</v>
      </c>
      <c r="AH708" s="421" t="s">
        <v>4109</v>
      </c>
      <c r="AI708" s="420" t="s">
        <v>32</v>
      </c>
      <c r="AJ708" s="413" t="str">
        <f t="shared" si="45"/>
        <v>4590007711_004</v>
      </c>
      <c r="AK708" s="423"/>
      <c r="AL708" s="413"/>
      <c r="AM708" s="221"/>
      <c r="AN708" s="424"/>
      <c r="AO708" s="423"/>
      <c r="AP708" s="413"/>
      <c r="AQ708" s="222"/>
      <c r="AR708" s="424"/>
      <c r="AS708" s="614">
        <f ca="1">表格1_6[[#This Row],[total amount]]/表格1_6[[#This Row],[PO$]]</f>
        <v>0</v>
      </c>
      <c r="AT708" s="223">
        <f ca="1">表格1_6[[#This Row],[invoice amount]]+表格1_6[[#This Row],[invoice amount2]]</f>
        <v>0</v>
      </c>
      <c r="AU708" s="224"/>
      <c r="AV708" s="423"/>
      <c r="AW708" s="423" t="e">
        <f ca="1">VLOOKUP(表格1_6[[#This Row],[TI tool ID2]],工作表1!A:A,1,FALSE)</f>
        <v>#N/A</v>
      </c>
      <c r="AX708" s="425" t="e">
        <f ca="1">VLOOKUP(表格1_6[[#This Row],[PO+ITEM]],工作表1!B:E,2,FALSE)</f>
        <v>#N/A</v>
      </c>
      <c r="AY708" s="425" t="e">
        <f ca="1">VLOOKUP(表格1_6[[#This Row],[PO+ITEM]],工作表1!B:E,3,FALSE)</f>
        <v>#N/A</v>
      </c>
      <c r="AZ708" s="423" t="e">
        <f ca="1">VLOOKUP(表格1_6[[#This Row],[PO+ITEM]],工作表1!B:E,4,FALSE)</f>
        <v>#N/A</v>
      </c>
      <c r="BA708" s="425" t="e">
        <f ca="1">INDEX(工作表1!G:G, MATCH(表格1_6[[#This Row],[invoice number]]&amp;表格1_6[[#This Row],[invoice number2]],工作表1!G:G, 0))</f>
        <v>#N/A</v>
      </c>
      <c r="BB708" s="423" t="e">
        <f ca="1">VLOOKUP(表格1_6[[#This Row],[PO+ITEM]],工作表1!F:H,2,FALSE)</f>
        <v>#N/A</v>
      </c>
    </row>
    <row r="709" spans="1:54" ht="15.6">
      <c r="A709" s="413">
        <v>708</v>
      </c>
      <c r="B709" s="413" t="s">
        <v>3659</v>
      </c>
      <c r="C709" s="414" t="s">
        <v>16</v>
      </c>
      <c r="D709" s="414" t="s">
        <v>3648</v>
      </c>
      <c r="E709" s="414"/>
      <c r="F709" s="414"/>
      <c r="G709" s="414"/>
      <c r="H709" s="414"/>
      <c r="I709" s="414"/>
      <c r="J709" s="414"/>
      <c r="K709" s="414"/>
      <c r="L709" s="415" t="s">
        <v>5357</v>
      </c>
      <c r="M709" s="416" t="s">
        <v>4269</v>
      </c>
      <c r="N709" s="416" t="s">
        <v>2999</v>
      </c>
      <c r="O709" s="417"/>
      <c r="P709" s="416">
        <v>4590007711</v>
      </c>
      <c r="Q709" s="418">
        <v>44861</v>
      </c>
      <c r="R709" s="419">
        <v>5</v>
      </c>
      <c r="S709" s="458">
        <v>12089.4</v>
      </c>
      <c r="T709" s="420" t="s">
        <v>2156</v>
      </c>
      <c r="U709" s="414" t="s">
        <v>3926</v>
      </c>
      <c r="V709" s="414" t="s">
        <v>3927</v>
      </c>
      <c r="W709" s="417" t="s">
        <v>3928</v>
      </c>
      <c r="X709" s="417"/>
      <c r="Y709" s="421" t="s">
        <v>3652</v>
      </c>
      <c r="Z709" s="421" t="s">
        <v>3652</v>
      </c>
      <c r="AA709" s="416" t="s">
        <v>4270</v>
      </c>
      <c r="AB709" s="414" t="s">
        <v>3664</v>
      </c>
      <c r="AC709" s="426"/>
      <c r="AD709" s="421"/>
      <c r="AE709" s="420"/>
      <c r="AF709" s="421">
        <v>91252</v>
      </c>
      <c r="AG709" s="420" t="s">
        <v>2860</v>
      </c>
      <c r="AH709" s="421" t="s">
        <v>4109</v>
      </c>
      <c r="AI709" s="420" t="s">
        <v>32</v>
      </c>
      <c r="AJ709" s="413" t="str">
        <f t="shared" si="45"/>
        <v>4590007711_005</v>
      </c>
      <c r="AK709" s="423"/>
      <c r="AL709" s="427">
        <v>45017</v>
      </c>
      <c r="AM709" s="221">
        <v>0</v>
      </c>
      <c r="AN709" s="431" t="s">
        <v>3788</v>
      </c>
      <c r="AO709" s="423"/>
      <c r="AP709" s="413"/>
      <c r="AQ709" s="222"/>
      <c r="AR709" s="424"/>
      <c r="AS709" s="614">
        <f ca="1">表格1_6[[#This Row],[total amount]]/表格1_6[[#This Row],[PO$]]</f>
        <v>0</v>
      </c>
      <c r="AT709" s="223">
        <f ca="1">表格1_6[[#This Row],[invoice amount]]+表格1_6[[#This Row],[invoice amount2]]</f>
        <v>0</v>
      </c>
      <c r="AU709" s="224" t="s">
        <v>3789</v>
      </c>
      <c r="AV709" s="423" t="s">
        <v>4875</v>
      </c>
      <c r="AW709" s="423" t="e">
        <f ca="1">VLOOKUP(表格1_6[[#This Row],[TI tool ID2]],工作表1!A:A,1,FALSE)</f>
        <v>#N/A</v>
      </c>
      <c r="AX709" s="425" t="e">
        <f ca="1">VLOOKUP(表格1_6[[#This Row],[PO+ITEM]],工作表1!B:E,2,FALSE)</f>
        <v>#N/A</v>
      </c>
      <c r="AY709" s="425" t="e">
        <f ca="1">VLOOKUP(表格1_6[[#This Row],[PO+ITEM]],工作表1!B:E,3,FALSE)</f>
        <v>#N/A</v>
      </c>
      <c r="AZ709" s="423" t="e">
        <f ca="1">VLOOKUP(表格1_6[[#This Row],[PO+ITEM]],工作表1!B:E,4,FALSE)</f>
        <v>#N/A</v>
      </c>
      <c r="BA709" s="425" t="e">
        <f ca="1">INDEX(工作表1!G:G, MATCH(表格1_6[[#This Row],[invoice number]]&amp;表格1_6[[#This Row],[invoice number2]],工作表1!G:G, 0))</f>
        <v>#N/A</v>
      </c>
      <c r="BB709" s="423" t="e">
        <f ca="1">VLOOKUP(表格1_6[[#This Row],[PO+ITEM]],工作表1!F:H,2,FALSE)</f>
        <v>#N/A</v>
      </c>
    </row>
    <row r="710" spans="1:54" ht="14.45">
      <c r="A710" s="413">
        <v>709</v>
      </c>
      <c r="B710" s="413"/>
      <c r="C710" s="414" t="s">
        <v>16</v>
      </c>
      <c r="D710" s="414" t="s">
        <v>3648</v>
      </c>
      <c r="E710" s="414"/>
      <c r="F710" s="414"/>
      <c r="G710" s="414"/>
      <c r="H710" s="414"/>
      <c r="I710" s="414"/>
      <c r="J710" s="414"/>
      <c r="K710" s="414"/>
      <c r="L710" s="415" t="s">
        <v>5358</v>
      </c>
      <c r="M710" s="416" t="s">
        <v>4269</v>
      </c>
      <c r="N710" s="416" t="s">
        <v>2999</v>
      </c>
      <c r="O710" s="417"/>
      <c r="P710" s="416">
        <v>4590007711</v>
      </c>
      <c r="Q710" s="418">
        <v>44861</v>
      </c>
      <c r="R710" s="419">
        <v>6</v>
      </c>
      <c r="S710" s="458">
        <v>12444.6</v>
      </c>
      <c r="T710" s="420" t="s">
        <v>2156</v>
      </c>
      <c r="U710" s="414" t="s">
        <v>3926</v>
      </c>
      <c r="V710" s="414" t="s">
        <v>3927</v>
      </c>
      <c r="W710" s="417" t="s">
        <v>3928</v>
      </c>
      <c r="X710" s="417"/>
      <c r="Y710" s="421" t="s">
        <v>3652</v>
      </c>
      <c r="Z710" s="421" t="s">
        <v>3652</v>
      </c>
      <c r="AA710" s="416" t="s">
        <v>4270</v>
      </c>
      <c r="AB710" s="414" t="s">
        <v>3664</v>
      </c>
      <c r="AC710" s="426"/>
      <c r="AD710" s="421"/>
      <c r="AE710" s="420"/>
      <c r="AF710" s="421">
        <v>91409</v>
      </c>
      <c r="AG710" s="420" t="s">
        <v>2866</v>
      </c>
      <c r="AH710" s="421" t="s">
        <v>4109</v>
      </c>
      <c r="AI710" s="420" t="s">
        <v>32</v>
      </c>
      <c r="AJ710" s="413" t="str">
        <f t="shared" si="45"/>
        <v>4590007711_006</v>
      </c>
      <c r="AK710" s="423"/>
      <c r="AL710" s="413"/>
      <c r="AM710" s="221"/>
      <c r="AN710" s="424"/>
      <c r="AO710" s="423"/>
      <c r="AP710" s="413"/>
      <c r="AQ710" s="222"/>
      <c r="AR710" s="424"/>
      <c r="AS710" s="614">
        <f ca="1">表格1_6[[#This Row],[total amount]]/表格1_6[[#This Row],[PO$]]</f>
        <v>0</v>
      </c>
      <c r="AT710" s="223">
        <f ca="1">表格1_6[[#This Row],[invoice amount]]+表格1_6[[#This Row],[invoice amount2]]</f>
        <v>0</v>
      </c>
      <c r="AU710" s="224"/>
      <c r="AV710" s="423"/>
      <c r="AW710" s="423" t="e">
        <f ca="1">VLOOKUP(表格1_6[[#This Row],[TI tool ID2]],工作表1!A:A,1,FALSE)</f>
        <v>#N/A</v>
      </c>
      <c r="AX710" s="425" t="e">
        <f ca="1">VLOOKUP(表格1_6[[#This Row],[PO+ITEM]],工作表1!B:E,2,FALSE)</f>
        <v>#N/A</v>
      </c>
      <c r="AY710" s="425" t="e">
        <f ca="1">VLOOKUP(表格1_6[[#This Row],[PO+ITEM]],工作表1!B:E,3,FALSE)</f>
        <v>#N/A</v>
      </c>
      <c r="AZ710" s="423" t="e">
        <f ca="1">VLOOKUP(表格1_6[[#This Row],[PO+ITEM]],工作表1!B:E,4,FALSE)</f>
        <v>#N/A</v>
      </c>
      <c r="BA710" s="425" t="e">
        <f ca="1">INDEX(工作表1!G:G, MATCH(表格1_6[[#This Row],[invoice number]]&amp;表格1_6[[#This Row],[invoice number2]],工作表1!G:G, 0))</f>
        <v>#N/A</v>
      </c>
      <c r="BB710" s="423" t="e">
        <f ca="1">VLOOKUP(表格1_6[[#This Row],[PO+ITEM]],工作表1!F:H,2,FALSE)</f>
        <v>#N/A</v>
      </c>
    </row>
    <row r="711" spans="1:54" ht="15.6">
      <c r="A711" s="413">
        <v>710</v>
      </c>
      <c r="B711" s="413" t="s">
        <v>3659</v>
      </c>
      <c r="C711" s="414" t="s">
        <v>16</v>
      </c>
      <c r="D711" s="414" t="s">
        <v>3648</v>
      </c>
      <c r="E711" s="414"/>
      <c r="F711" s="414"/>
      <c r="G711" s="414"/>
      <c r="H711" s="414"/>
      <c r="I711" s="414"/>
      <c r="J711" s="414"/>
      <c r="K711" s="414"/>
      <c r="L711" s="415" t="s">
        <v>5359</v>
      </c>
      <c r="M711" s="416" t="s">
        <v>2999</v>
      </c>
      <c r="N711" s="416" t="s">
        <v>2999</v>
      </c>
      <c r="O711" s="417"/>
      <c r="P711" s="416">
        <v>4590007712</v>
      </c>
      <c r="Q711" s="418">
        <v>44861</v>
      </c>
      <c r="R711" s="419">
        <v>1</v>
      </c>
      <c r="S711" s="458">
        <v>4526.0600000000004</v>
      </c>
      <c r="T711" s="420" t="s">
        <v>2156</v>
      </c>
      <c r="U711" s="414" t="s">
        <v>3661</v>
      </c>
      <c r="V711" s="414" t="s">
        <v>3662</v>
      </c>
      <c r="W711" s="417" t="s">
        <v>3663</v>
      </c>
      <c r="X711" s="417"/>
      <c r="Y711" s="421" t="s">
        <v>3652</v>
      </c>
      <c r="Z711" s="421" t="s">
        <v>3652</v>
      </c>
      <c r="AA711" s="416" t="s">
        <v>3767</v>
      </c>
      <c r="AB711" s="414" t="s">
        <v>3664</v>
      </c>
      <c r="AC711" s="426"/>
      <c r="AD711" s="421"/>
      <c r="AE711" s="420"/>
      <c r="AF711" s="421">
        <v>91012</v>
      </c>
      <c r="AG711" s="420" t="s">
        <v>5360</v>
      </c>
      <c r="AH711" s="421" t="s">
        <v>3828</v>
      </c>
      <c r="AI711" s="420" t="s">
        <v>3719</v>
      </c>
      <c r="AJ711" s="413" t="str">
        <f t="shared" si="45"/>
        <v>4590007712_001</v>
      </c>
      <c r="AK711" s="423"/>
      <c r="AL711" s="424">
        <v>45108</v>
      </c>
      <c r="AM711" s="221">
        <v>1810.4240000000002</v>
      </c>
      <c r="AN711" s="244">
        <v>45212</v>
      </c>
      <c r="AO711" s="423"/>
      <c r="AP711" s="413"/>
      <c r="AQ711" s="222"/>
      <c r="AR711" s="424"/>
      <c r="AS711" s="614">
        <f ca="1">表格1_6[[#This Row],[total amount]]/表格1_6[[#This Row],[PO$]]</f>
        <v>0.4</v>
      </c>
      <c r="AT711" s="223">
        <f ca="1">表格1_6[[#This Row],[invoice amount]]+表格1_6[[#This Row],[invoice amount2]]</f>
        <v>1810.4240000000002</v>
      </c>
      <c r="AU711" s="224" t="s">
        <v>3673</v>
      </c>
      <c r="AV711" s="423"/>
      <c r="AW711" s="423" t="e">
        <f ca="1">VLOOKUP(表格1_6[[#This Row],[TI tool ID2]],工作表1!A:A,1,FALSE)</f>
        <v>#N/A</v>
      </c>
      <c r="AX711" s="425" t="e">
        <f ca="1">VLOOKUP(表格1_6[[#This Row],[PO+ITEM]],工作表1!B:E,2,FALSE)</f>
        <v>#N/A</v>
      </c>
      <c r="AY711" s="425" t="e">
        <f ca="1">VLOOKUP(表格1_6[[#This Row],[PO+ITEM]],工作表1!B:E,3,FALSE)</f>
        <v>#N/A</v>
      </c>
      <c r="AZ711" s="423" t="e">
        <f ca="1">VLOOKUP(表格1_6[[#This Row],[PO+ITEM]],工作表1!B:E,4,FALSE)</f>
        <v>#N/A</v>
      </c>
      <c r="BA711" s="425" t="e">
        <f ca="1">INDEX(工作表1!G:G, MATCH(表格1_6[[#This Row],[invoice number]]&amp;表格1_6[[#This Row],[invoice number2]],工作表1!G:G, 0))</f>
        <v>#N/A</v>
      </c>
      <c r="BB711" s="423" t="e">
        <f ca="1">VLOOKUP(表格1_6[[#This Row],[PO+ITEM]],工作表1!F:H,2,FALSE)</f>
        <v>#N/A</v>
      </c>
    </row>
    <row r="712" spans="1:54" ht="15.6">
      <c r="A712" s="413">
        <v>711</v>
      </c>
      <c r="B712" s="413" t="s">
        <v>3659</v>
      </c>
      <c r="C712" s="414" t="s">
        <v>16</v>
      </c>
      <c r="D712" s="414" t="s">
        <v>3648</v>
      </c>
      <c r="E712" s="414"/>
      <c r="F712" s="414"/>
      <c r="G712" s="414"/>
      <c r="H712" s="414"/>
      <c r="I712" s="414"/>
      <c r="J712" s="414"/>
      <c r="K712" s="414"/>
      <c r="L712" s="415" t="s">
        <v>5361</v>
      </c>
      <c r="M712" s="416" t="s">
        <v>2999</v>
      </c>
      <c r="N712" s="416" t="s">
        <v>2999</v>
      </c>
      <c r="O712" s="417"/>
      <c r="P712" s="416">
        <v>4590007712</v>
      </c>
      <c r="Q712" s="418">
        <v>44861</v>
      </c>
      <c r="R712" s="419">
        <v>2</v>
      </c>
      <c r="S712" s="458">
        <v>4526.0600000000004</v>
      </c>
      <c r="T712" s="420" t="s">
        <v>2156</v>
      </c>
      <c r="U712" s="414" t="s">
        <v>3661</v>
      </c>
      <c r="V712" s="414" t="s">
        <v>3662</v>
      </c>
      <c r="W712" s="417" t="s">
        <v>3663</v>
      </c>
      <c r="X712" s="417"/>
      <c r="Y712" s="421" t="s">
        <v>3652</v>
      </c>
      <c r="Z712" s="421" t="s">
        <v>3652</v>
      </c>
      <c r="AA712" s="416" t="s">
        <v>3767</v>
      </c>
      <c r="AB712" s="414" t="s">
        <v>3664</v>
      </c>
      <c r="AC712" s="426"/>
      <c r="AD712" s="421"/>
      <c r="AE712" s="420"/>
      <c r="AF712" s="421">
        <v>91395</v>
      </c>
      <c r="AG712" s="420" t="s">
        <v>5362</v>
      </c>
      <c r="AH712" s="421" t="s">
        <v>3828</v>
      </c>
      <c r="AI712" s="420" t="s">
        <v>3719</v>
      </c>
      <c r="AJ712" s="413" t="str">
        <f t="shared" si="45"/>
        <v>4590007712_002</v>
      </c>
      <c r="AK712" s="423"/>
      <c r="AL712" s="424">
        <v>45108</v>
      </c>
      <c r="AM712" s="221">
        <v>1810.4240000000002</v>
      </c>
      <c r="AN712" s="244">
        <v>45212</v>
      </c>
      <c r="AO712" s="423"/>
      <c r="AP712" s="413"/>
      <c r="AQ712" s="222"/>
      <c r="AR712" s="424"/>
      <c r="AS712" s="614">
        <f ca="1">表格1_6[[#This Row],[total amount]]/表格1_6[[#This Row],[PO$]]</f>
        <v>0.4</v>
      </c>
      <c r="AT712" s="223">
        <f ca="1">表格1_6[[#This Row],[invoice amount]]+表格1_6[[#This Row],[invoice amount2]]</f>
        <v>1810.4240000000002</v>
      </c>
      <c r="AU712" s="224" t="s">
        <v>3673</v>
      </c>
      <c r="AV712" s="423"/>
      <c r="AW712" s="423" t="e">
        <f ca="1">VLOOKUP(表格1_6[[#This Row],[TI tool ID2]],工作表1!A:A,1,FALSE)</f>
        <v>#N/A</v>
      </c>
      <c r="AX712" s="425" t="e">
        <f ca="1">VLOOKUP(表格1_6[[#This Row],[PO+ITEM]],工作表1!B:E,2,FALSE)</f>
        <v>#N/A</v>
      </c>
      <c r="AY712" s="425" t="e">
        <f ca="1">VLOOKUP(表格1_6[[#This Row],[PO+ITEM]],工作表1!B:E,3,FALSE)</f>
        <v>#N/A</v>
      </c>
      <c r="AZ712" s="423" t="e">
        <f ca="1">VLOOKUP(表格1_6[[#This Row],[PO+ITEM]],工作表1!B:E,4,FALSE)</f>
        <v>#N/A</v>
      </c>
      <c r="BA712" s="425" t="e">
        <f ca="1">INDEX(工作表1!G:G, MATCH(表格1_6[[#This Row],[invoice number]]&amp;表格1_6[[#This Row],[invoice number2]],工作表1!G:G, 0))</f>
        <v>#N/A</v>
      </c>
      <c r="BB712" s="423" t="e">
        <f ca="1">VLOOKUP(表格1_6[[#This Row],[PO+ITEM]],工作表1!F:H,2,FALSE)</f>
        <v>#N/A</v>
      </c>
    </row>
    <row r="713" spans="1:54" ht="15.6">
      <c r="A713" s="413">
        <v>712</v>
      </c>
      <c r="B713" s="413" t="s">
        <v>3674</v>
      </c>
      <c r="C713" s="414" t="s">
        <v>17</v>
      </c>
      <c r="D713" s="414" t="s">
        <v>3648</v>
      </c>
      <c r="E713" s="414"/>
      <c r="F713" s="414"/>
      <c r="G713" s="414"/>
      <c r="H713" s="414"/>
      <c r="I713" s="414"/>
      <c r="J713" s="414"/>
      <c r="K713" s="414"/>
      <c r="L713" s="415" t="s">
        <v>5363</v>
      </c>
      <c r="M713" s="416" t="s">
        <v>2999</v>
      </c>
      <c r="N713" s="416" t="s">
        <v>2999</v>
      </c>
      <c r="O713" s="417"/>
      <c r="P713" s="416">
        <v>4590007716</v>
      </c>
      <c r="Q713" s="418">
        <v>44861</v>
      </c>
      <c r="R713" s="419">
        <v>1</v>
      </c>
      <c r="S713" s="458">
        <v>270614</v>
      </c>
      <c r="T713" s="420" t="s">
        <v>2156</v>
      </c>
      <c r="U713" s="414" t="s">
        <v>3713</v>
      </c>
      <c r="V713" s="414" t="s">
        <v>3714</v>
      </c>
      <c r="W713" s="417" t="s">
        <v>3715</v>
      </c>
      <c r="X713" s="417"/>
      <c r="Y713" s="421" t="s">
        <v>3652</v>
      </c>
      <c r="Z713" s="421" t="s">
        <v>3652</v>
      </c>
      <c r="AA713" s="416"/>
      <c r="AB713" s="414" t="s">
        <v>5364</v>
      </c>
      <c r="AC713" s="426"/>
      <c r="AD713" s="421"/>
      <c r="AE713" s="420"/>
      <c r="AF713" s="421">
        <v>90605</v>
      </c>
      <c r="AG713" s="420" t="s">
        <v>4118</v>
      </c>
      <c r="AH713" s="421" t="s">
        <v>3718</v>
      </c>
      <c r="AI713" s="420" t="s">
        <v>3719</v>
      </c>
      <c r="AJ713" s="413" t="str">
        <f t="shared" si="45"/>
        <v>4590007716_001</v>
      </c>
      <c r="AK713" s="423"/>
      <c r="AL713" s="424">
        <v>45261</v>
      </c>
      <c r="AM713" s="221">
        <v>257083.3</v>
      </c>
      <c r="AN713" s="228">
        <v>45303</v>
      </c>
      <c r="AO713" s="423"/>
      <c r="AP713" s="413"/>
      <c r="AQ713" s="222"/>
      <c r="AR713" s="424"/>
      <c r="AS713" s="614">
        <f ca="1">表格1_6[[#This Row],[total amount]]/表格1_6[[#This Row],[PO$]]</f>
        <v>0.95</v>
      </c>
      <c r="AT713" s="223">
        <f ca="1">表格1_6[[#This Row],[invoice amount]]+表格1_6[[#This Row],[invoice amount2]]</f>
        <v>257083.3</v>
      </c>
      <c r="AU713" s="224" t="s">
        <v>3673</v>
      </c>
      <c r="AV713" s="423"/>
      <c r="AW713" s="423" t="e">
        <f ca="1">VLOOKUP(表格1_6[[#This Row],[TI tool ID2]],工作表1!A:A,1,FALSE)</f>
        <v>#N/A</v>
      </c>
      <c r="AX713" s="425" t="e">
        <f ca="1">VLOOKUP(表格1_6[[#This Row],[PO+ITEM]],工作表1!B:E,2,FALSE)</f>
        <v>#N/A</v>
      </c>
      <c r="AY713" s="425" t="e">
        <f ca="1">VLOOKUP(表格1_6[[#This Row],[PO+ITEM]],工作表1!B:E,3,FALSE)</f>
        <v>#N/A</v>
      </c>
      <c r="AZ713" s="423" t="e">
        <f ca="1">VLOOKUP(表格1_6[[#This Row],[PO+ITEM]],工作表1!B:E,4,FALSE)</f>
        <v>#N/A</v>
      </c>
      <c r="BA713" s="425" t="e">
        <f ca="1">INDEX(工作表1!G:G, MATCH(表格1_6[[#This Row],[invoice number]]&amp;表格1_6[[#This Row],[invoice number2]],工作表1!G:G, 0))</f>
        <v>#N/A</v>
      </c>
      <c r="BB713" s="423" t="e">
        <f ca="1">VLOOKUP(表格1_6[[#This Row],[PO+ITEM]],工作表1!F:H,2,FALSE)</f>
        <v>#N/A</v>
      </c>
    </row>
    <row r="714" spans="1:54" ht="14.45">
      <c r="A714" s="413">
        <v>713</v>
      </c>
      <c r="B714" s="413" t="s">
        <v>3674</v>
      </c>
      <c r="C714" s="414" t="s">
        <v>17</v>
      </c>
      <c r="D714" s="414" t="s">
        <v>3648</v>
      </c>
      <c r="E714" s="414"/>
      <c r="F714" s="414"/>
      <c r="G714" s="414"/>
      <c r="H714" s="414"/>
      <c r="I714" s="414"/>
      <c r="J714" s="414"/>
      <c r="K714" s="414"/>
      <c r="L714" s="415" t="s">
        <v>5365</v>
      </c>
      <c r="M714" s="416" t="s">
        <v>2999</v>
      </c>
      <c r="N714" s="416" t="s">
        <v>2999</v>
      </c>
      <c r="O714" s="417"/>
      <c r="P714" s="416">
        <v>4590007716</v>
      </c>
      <c r="Q714" s="418">
        <v>44861</v>
      </c>
      <c r="R714" s="419">
        <v>2</v>
      </c>
      <c r="S714" s="458">
        <v>270614</v>
      </c>
      <c r="T714" s="420" t="s">
        <v>2156</v>
      </c>
      <c r="U714" s="414" t="s">
        <v>3713</v>
      </c>
      <c r="V714" s="414" t="s">
        <v>3714</v>
      </c>
      <c r="W714" s="417" t="s">
        <v>3715</v>
      </c>
      <c r="X714" s="417"/>
      <c r="Y714" s="421" t="s">
        <v>3652</v>
      </c>
      <c r="Z714" s="421" t="s">
        <v>3652</v>
      </c>
      <c r="AA714" s="416"/>
      <c r="AB714" s="414" t="s">
        <v>5364</v>
      </c>
      <c r="AC714" s="426"/>
      <c r="AD714" s="421"/>
      <c r="AE714" s="420"/>
      <c r="AF714" s="421">
        <v>90606</v>
      </c>
      <c r="AG714" s="420" t="s">
        <v>5366</v>
      </c>
      <c r="AH714" s="421" t="s">
        <v>3718</v>
      </c>
      <c r="AI714" s="420" t="s">
        <v>3719</v>
      </c>
      <c r="AJ714" s="413" t="str">
        <f t="shared" si="45"/>
        <v>4590007716_002</v>
      </c>
      <c r="AK714" s="423" t="s">
        <v>5367</v>
      </c>
      <c r="AL714" s="424">
        <v>45429</v>
      </c>
      <c r="AM714" s="221">
        <v>270614</v>
      </c>
      <c r="AN714" s="424">
        <v>45503</v>
      </c>
      <c r="AO714" s="423"/>
      <c r="AP714" s="413"/>
      <c r="AQ714" s="222"/>
      <c r="AR714" s="424"/>
      <c r="AS714" s="614">
        <f ca="1">表格1_6[[#This Row],[total amount]]/表格1_6[[#This Row],[PO$]]</f>
        <v>1</v>
      </c>
      <c r="AT714" s="223">
        <f ca="1">表格1_6[[#This Row],[invoice amount]]+表格1_6[[#This Row],[invoice amount2]]</f>
        <v>270614</v>
      </c>
      <c r="AU714" s="224" t="s">
        <v>3725</v>
      </c>
      <c r="AV714" s="300" t="s">
        <v>5368</v>
      </c>
      <c r="AW714" s="423" t="e">
        <f ca="1">VLOOKUP(表格1_6[[#This Row],[TI tool ID2]],工作表1!A:A,1,FALSE)</f>
        <v>#N/A</v>
      </c>
      <c r="AX714" s="425" t="e">
        <f ca="1">VLOOKUP(表格1_6[[#This Row],[PO+ITEM]],工作表1!B:E,2,FALSE)</f>
        <v>#N/A</v>
      </c>
      <c r="AY714" s="425" t="e">
        <f ca="1">VLOOKUP(表格1_6[[#This Row],[PO+ITEM]],工作表1!B:E,3,FALSE)</f>
        <v>#N/A</v>
      </c>
      <c r="AZ714" s="423" t="e">
        <f ca="1">VLOOKUP(表格1_6[[#This Row],[PO+ITEM]],工作表1!B:E,4,FALSE)</f>
        <v>#N/A</v>
      </c>
      <c r="BA714" s="425" t="e">
        <f ca="1">INDEX(工作表1!G:G, MATCH(表格1_6[[#This Row],[invoice number]]&amp;表格1_6[[#This Row],[invoice number2]],工作表1!G:G, 0))</f>
        <v>#N/A</v>
      </c>
      <c r="BB714" s="423" t="e">
        <f ca="1">VLOOKUP(表格1_6[[#This Row],[PO+ITEM]],工作表1!F:H,2,FALSE)</f>
        <v>#N/A</v>
      </c>
    </row>
    <row r="715" spans="1:54" ht="14.45">
      <c r="A715" s="413">
        <v>714</v>
      </c>
      <c r="B715" s="413" t="s">
        <v>3674</v>
      </c>
      <c r="C715" s="414" t="s">
        <v>17</v>
      </c>
      <c r="D715" s="414" t="s">
        <v>3648</v>
      </c>
      <c r="E715" s="414"/>
      <c r="F715" s="414"/>
      <c r="G715" s="414"/>
      <c r="H715" s="414"/>
      <c r="I715" s="414"/>
      <c r="J715" s="414"/>
      <c r="K715" s="414"/>
      <c r="L715" s="415" t="s">
        <v>5369</v>
      </c>
      <c r="M715" s="416" t="s">
        <v>2999</v>
      </c>
      <c r="N715" s="416" t="s">
        <v>2999</v>
      </c>
      <c r="O715" s="417"/>
      <c r="P715" s="416">
        <v>4590007762</v>
      </c>
      <c r="Q715" s="418">
        <v>44861</v>
      </c>
      <c r="R715" s="419">
        <v>1</v>
      </c>
      <c r="S715" s="458">
        <v>75090</v>
      </c>
      <c r="T715" s="420" t="s">
        <v>2156</v>
      </c>
      <c r="U715" s="414" t="s">
        <v>3869</v>
      </c>
      <c r="V715" s="414" t="s">
        <v>3870</v>
      </c>
      <c r="W715" s="417" t="s">
        <v>3871</v>
      </c>
      <c r="X715" s="417"/>
      <c r="Y715" s="421" t="s">
        <v>3652</v>
      </c>
      <c r="Z715" s="421" t="s">
        <v>3652</v>
      </c>
      <c r="AA715" s="416" t="s">
        <v>3897</v>
      </c>
      <c r="AB715" s="414" t="s">
        <v>5370</v>
      </c>
      <c r="AC715" s="426"/>
      <c r="AD715" s="421"/>
      <c r="AE715" s="420"/>
      <c r="AF715" s="421">
        <v>90065</v>
      </c>
      <c r="AG715" s="420" t="s">
        <v>5371</v>
      </c>
      <c r="AH715" s="421" t="s">
        <v>3900</v>
      </c>
      <c r="AI715" s="420" t="s">
        <v>3875</v>
      </c>
      <c r="AJ715" s="413" t="str">
        <f t="shared" si="45"/>
        <v>4590007762_001</v>
      </c>
      <c r="AK715" s="423" t="s">
        <v>5372</v>
      </c>
      <c r="AL715" s="424">
        <v>45380</v>
      </c>
      <c r="AM715" s="222">
        <v>75090</v>
      </c>
      <c r="AN715" s="424">
        <v>45488</v>
      </c>
      <c r="AO715" s="423"/>
      <c r="AP715" s="413"/>
      <c r="AQ715" s="222"/>
      <c r="AR715" s="424"/>
      <c r="AS715" s="614">
        <f ca="1">表格1_6[[#This Row],[total amount]]/表格1_6[[#This Row],[PO$]]</f>
        <v>1</v>
      </c>
      <c r="AT715" s="223">
        <f ca="1">表格1_6[[#This Row],[invoice amount]]+表格1_6[[#This Row],[invoice amount2]]</f>
        <v>75090</v>
      </c>
      <c r="AU715" s="224" t="s">
        <v>3725</v>
      </c>
      <c r="AV715" s="272" t="s">
        <v>5373</v>
      </c>
      <c r="AW715" s="423" t="e">
        <f ca="1">VLOOKUP(表格1_6[[#This Row],[TI tool ID2]],工作表1!A:A,1,FALSE)</f>
        <v>#N/A</v>
      </c>
      <c r="AX715" s="425" t="e">
        <f ca="1">VLOOKUP(表格1_6[[#This Row],[PO+ITEM]],工作表1!B:E,2,FALSE)</f>
        <v>#N/A</v>
      </c>
      <c r="AY715" s="425" t="e">
        <f ca="1">VLOOKUP(表格1_6[[#This Row],[PO+ITEM]],工作表1!B:E,3,FALSE)</f>
        <v>#N/A</v>
      </c>
      <c r="AZ715" s="423" t="e">
        <f ca="1">VLOOKUP(表格1_6[[#This Row],[PO+ITEM]],工作表1!B:E,4,FALSE)</f>
        <v>#N/A</v>
      </c>
      <c r="BA715" s="425" t="e">
        <f ca="1">INDEX(工作表1!G:G, MATCH(表格1_6[[#This Row],[invoice number]]&amp;表格1_6[[#This Row],[invoice number2]],工作表1!G:G, 0))</f>
        <v>#N/A</v>
      </c>
      <c r="BB715" s="423" t="e">
        <f ca="1">VLOOKUP(表格1_6[[#This Row],[PO+ITEM]],工作表1!F:H,2,FALSE)</f>
        <v>#N/A</v>
      </c>
    </row>
    <row r="716" spans="1:54" ht="14.45">
      <c r="A716" s="413">
        <v>715</v>
      </c>
      <c r="B716" s="413" t="s">
        <v>3674</v>
      </c>
      <c r="C716" s="414" t="s">
        <v>17</v>
      </c>
      <c r="D716" s="414" t="s">
        <v>3648</v>
      </c>
      <c r="E716" s="414"/>
      <c r="F716" s="414"/>
      <c r="G716" s="414"/>
      <c r="H716" s="414"/>
      <c r="I716" s="414"/>
      <c r="J716" s="414"/>
      <c r="K716" s="414"/>
      <c r="L716" s="415" t="s">
        <v>5374</v>
      </c>
      <c r="M716" s="416" t="s">
        <v>2999</v>
      </c>
      <c r="N716" s="416" t="s">
        <v>2999</v>
      </c>
      <c r="O716" s="417"/>
      <c r="P716" s="416">
        <v>4590007762</v>
      </c>
      <c r="Q716" s="418">
        <v>44861</v>
      </c>
      <c r="R716" s="419">
        <v>2</v>
      </c>
      <c r="S716" s="458">
        <v>75090</v>
      </c>
      <c r="T716" s="420" t="s">
        <v>2156</v>
      </c>
      <c r="U716" s="414" t="s">
        <v>3869</v>
      </c>
      <c r="V716" s="414" t="s">
        <v>3870</v>
      </c>
      <c r="W716" s="417" t="s">
        <v>3871</v>
      </c>
      <c r="X716" s="417"/>
      <c r="Y716" s="421" t="s">
        <v>3652</v>
      </c>
      <c r="Z716" s="421" t="s">
        <v>3652</v>
      </c>
      <c r="AA716" s="416" t="s">
        <v>3897</v>
      </c>
      <c r="AB716" s="414" t="s">
        <v>5370</v>
      </c>
      <c r="AC716" s="426"/>
      <c r="AD716" s="421"/>
      <c r="AE716" s="420"/>
      <c r="AF716" s="421">
        <v>90066</v>
      </c>
      <c r="AG716" s="420" t="s">
        <v>5375</v>
      </c>
      <c r="AH716" s="421" t="s">
        <v>3900</v>
      </c>
      <c r="AI716" s="420" t="s">
        <v>3875</v>
      </c>
      <c r="AJ716" s="413" t="str">
        <f t="shared" si="45"/>
        <v>4590007762_002</v>
      </c>
      <c r="AK716" s="423"/>
      <c r="AL716" s="424">
        <v>45017</v>
      </c>
      <c r="AM716" s="221">
        <v>30036</v>
      </c>
      <c r="AN716" s="424">
        <v>45135</v>
      </c>
      <c r="AO716" s="423"/>
      <c r="AP716" s="427">
        <v>45139</v>
      </c>
      <c r="AQ716" s="222">
        <v>45054</v>
      </c>
      <c r="AR716" s="424">
        <v>45245</v>
      </c>
      <c r="AS716" s="614">
        <f ca="1">表格1_6[[#This Row],[total amount]]/表格1_6[[#This Row],[PO$]]</f>
        <v>1</v>
      </c>
      <c r="AT716" s="223">
        <f ca="1">表格1_6[[#This Row],[invoice amount]]+表格1_6[[#This Row],[invoice amount2]]</f>
        <v>75090</v>
      </c>
      <c r="AU716" s="224" t="s">
        <v>3673</v>
      </c>
      <c r="AV716" s="272" t="s">
        <v>5376</v>
      </c>
      <c r="AW716" s="423" t="e">
        <f ca="1">VLOOKUP(表格1_6[[#This Row],[TI tool ID2]],工作表1!A:A,1,FALSE)</f>
        <v>#N/A</v>
      </c>
      <c r="AX716" s="425" t="e">
        <f ca="1">VLOOKUP(表格1_6[[#This Row],[PO+ITEM]],工作表1!B:E,2,FALSE)</f>
        <v>#N/A</v>
      </c>
      <c r="AY716" s="425" t="e">
        <f ca="1">VLOOKUP(表格1_6[[#This Row],[PO+ITEM]],工作表1!B:E,3,FALSE)</f>
        <v>#N/A</v>
      </c>
      <c r="AZ716" s="423" t="e">
        <f ca="1">VLOOKUP(表格1_6[[#This Row],[PO+ITEM]],工作表1!B:E,4,FALSE)</f>
        <v>#N/A</v>
      </c>
      <c r="BA716" s="425" t="e">
        <f ca="1">INDEX(工作表1!G:G, MATCH(表格1_6[[#This Row],[invoice number]]&amp;表格1_6[[#This Row],[invoice number2]],工作表1!G:G, 0))</f>
        <v>#N/A</v>
      </c>
      <c r="BB716" s="423" t="e">
        <f ca="1">VLOOKUP(表格1_6[[#This Row],[PO+ITEM]],工作表1!F:H,2,FALSE)</f>
        <v>#N/A</v>
      </c>
    </row>
    <row r="717" spans="1:54" ht="14.45">
      <c r="A717" s="413">
        <v>716</v>
      </c>
      <c r="B717" s="413" t="s">
        <v>3674</v>
      </c>
      <c r="C717" s="414" t="s">
        <v>17</v>
      </c>
      <c r="D717" s="414" t="s">
        <v>3648</v>
      </c>
      <c r="E717" s="414"/>
      <c r="F717" s="414"/>
      <c r="G717" s="414"/>
      <c r="H717" s="414"/>
      <c r="I717" s="414"/>
      <c r="J717" s="414"/>
      <c r="K717" s="414"/>
      <c r="L717" s="415" t="s">
        <v>5377</v>
      </c>
      <c r="M717" s="416" t="s">
        <v>2999</v>
      </c>
      <c r="N717" s="416" t="s">
        <v>2999</v>
      </c>
      <c r="O717" s="417"/>
      <c r="P717" s="416">
        <v>4590007762</v>
      </c>
      <c r="Q717" s="418">
        <v>44861</v>
      </c>
      <c r="R717" s="419">
        <v>3</v>
      </c>
      <c r="S717" s="458">
        <v>75090</v>
      </c>
      <c r="T717" s="420" t="s">
        <v>2156</v>
      </c>
      <c r="U717" s="414" t="s">
        <v>3869</v>
      </c>
      <c r="V717" s="414" t="s">
        <v>3870</v>
      </c>
      <c r="W717" s="417" t="s">
        <v>3871</v>
      </c>
      <c r="X717" s="417"/>
      <c r="Y717" s="421" t="s">
        <v>3652</v>
      </c>
      <c r="Z717" s="421" t="s">
        <v>3652</v>
      </c>
      <c r="AA717" s="416" t="s">
        <v>3897</v>
      </c>
      <c r="AB717" s="414" t="s">
        <v>5370</v>
      </c>
      <c r="AC717" s="426"/>
      <c r="AD717" s="421"/>
      <c r="AE717" s="420"/>
      <c r="AF717" s="421">
        <v>90067</v>
      </c>
      <c r="AG717" s="420" t="s">
        <v>5378</v>
      </c>
      <c r="AH717" s="421" t="s">
        <v>3900</v>
      </c>
      <c r="AI717" s="420" t="s">
        <v>3875</v>
      </c>
      <c r="AJ717" s="413" t="str">
        <f t="shared" si="45"/>
        <v>4590007762_003</v>
      </c>
      <c r="AK717" s="423" t="s">
        <v>5379</v>
      </c>
      <c r="AL717" s="424">
        <v>45380</v>
      </c>
      <c r="AM717" s="222">
        <v>75090</v>
      </c>
      <c r="AN717" s="424">
        <v>45488</v>
      </c>
      <c r="AO717" s="423"/>
      <c r="AP717" s="413"/>
      <c r="AQ717" s="222"/>
      <c r="AR717" s="424"/>
      <c r="AS717" s="614">
        <f ca="1">表格1_6[[#This Row],[total amount]]/表格1_6[[#This Row],[PO$]]</f>
        <v>1</v>
      </c>
      <c r="AT717" s="223">
        <f ca="1">表格1_6[[#This Row],[invoice amount]]+表格1_6[[#This Row],[invoice amount2]]</f>
        <v>75090</v>
      </c>
      <c r="AU717" s="224" t="s">
        <v>3725</v>
      </c>
      <c r="AV717" s="423"/>
      <c r="AW717" s="423" t="e">
        <f ca="1">VLOOKUP(表格1_6[[#This Row],[TI tool ID2]],工作表1!A:A,1,FALSE)</f>
        <v>#N/A</v>
      </c>
      <c r="AX717" s="425" t="e">
        <f ca="1">VLOOKUP(表格1_6[[#This Row],[PO+ITEM]],工作表1!B:E,2,FALSE)</f>
        <v>#N/A</v>
      </c>
      <c r="AY717" s="425" t="e">
        <f ca="1">VLOOKUP(表格1_6[[#This Row],[PO+ITEM]],工作表1!B:E,3,FALSE)</f>
        <v>#N/A</v>
      </c>
      <c r="AZ717" s="423" t="e">
        <f ca="1">VLOOKUP(表格1_6[[#This Row],[PO+ITEM]],工作表1!B:E,4,FALSE)</f>
        <v>#N/A</v>
      </c>
      <c r="BA717" s="425" t="e">
        <f ca="1">INDEX(工作表1!G:G, MATCH(表格1_6[[#This Row],[invoice number]]&amp;表格1_6[[#This Row],[invoice number2]],工作表1!G:G, 0))</f>
        <v>#N/A</v>
      </c>
      <c r="BB717" s="423" t="e">
        <f ca="1">VLOOKUP(表格1_6[[#This Row],[PO+ITEM]],工作表1!F:H,2,FALSE)</f>
        <v>#N/A</v>
      </c>
    </row>
    <row r="718" spans="1:54" ht="14.45">
      <c r="A718" s="413">
        <v>717</v>
      </c>
      <c r="B718" s="413" t="s">
        <v>3674</v>
      </c>
      <c r="C718" s="414" t="s">
        <v>17</v>
      </c>
      <c r="D718" s="414" t="s">
        <v>3648</v>
      </c>
      <c r="E718" s="414"/>
      <c r="F718" s="414"/>
      <c r="G718" s="414"/>
      <c r="H718" s="414"/>
      <c r="I718" s="414"/>
      <c r="J718" s="414"/>
      <c r="K718" s="414"/>
      <c r="L718" s="415" t="s">
        <v>5380</v>
      </c>
      <c r="M718" s="416" t="s">
        <v>2999</v>
      </c>
      <c r="N718" s="416" t="s">
        <v>2999</v>
      </c>
      <c r="O718" s="417"/>
      <c r="P718" s="416">
        <v>4590007762</v>
      </c>
      <c r="Q718" s="418">
        <v>44861</v>
      </c>
      <c r="R718" s="419">
        <v>4</v>
      </c>
      <c r="S718" s="458">
        <v>75090</v>
      </c>
      <c r="T718" s="420" t="s">
        <v>2156</v>
      </c>
      <c r="U718" s="414" t="s">
        <v>3869</v>
      </c>
      <c r="V718" s="414" t="s">
        <v>3870</v>
      </c>
      <c r="W718" s="417" t="s">
        <v>3871</v>
      </c>
      <c r="X718" s="417"/>
      <c r="Y718" s="421" t="s">
        <v>3652</v>
      </c>
      <c r="Z718" s="421" t="s">
        <v>3652</v>
      </c>
      <c r="AA718" s="416" t="s">
        <v>3897</v>
      </c>
      <c r="AB718" s="414" t="s">
        <v>5370</v>
      </c>
      <c r="AC718" s="426"/>
      <c r="AD718" s="421"/>
      <c r="AE718" s="420"/>
      <c r="AF718" s="421">
        <v>90068</v>
      </c>
      <c r="AG718" s="420" t="s">
        <v>5381</v>
      </c>
      <c r="AH718" s="421" t="s">
        <v>3900</v>
      </c>
      <c r="AI718" s="420" t="s">
        <v>3875</v>
      </c>
      <c r="AJ718" s="413" t="str">
        <f t="shared" si="45"/>
        <v>4590007762_004</v>
      </c>
      <c r="AK718" s="423" t="s">
        <v>5382</v>
      </c>
      <c r="AL718" s="424">
        <v>45380</v>
      </c>
      <c r="AM718" s="222">
        <v>75090</v>
      </c>
      <c r="AN718" s="424">
        <v>45488</v>
      </c>
      <c r="AO718" s="423"/>
      <c r="AP718" s="413"/>
      <c r="AQ718" s="222"/>
      <c r="AR718" s="424"/>
      <c r="AS718" s="614">
        <f ca="1">表格1_6[[#This Row],[total amount]]/表格1_6[[#This Row],[PO$]]</f>
        <v>1</v>
      </c>
      <c r="AT718" s="223">
        <f ca="1">表格1_6[[#This Row],[invoice amount]]+表格1_6[[#This Row],[invoice amount2]]</f>
        <v>75090</v>
      </c>
      <c r="AU718" s="224" t="s">
        <v>3725</v>
      </c>
      <c r="AV718" s="423"/>
      <c r="AW718" s="423" t="e">
        <f ca="1">VLOOKUP(表格1_6[[#This Row],[TI tool ID2]],工作表1!A:A,1,FALSE)</f>
        <v>#N/A</v>
      </c>
      <c r="AX718" s="425" t="e">
        <f ca="1">VLOOKUP(表格1_6[[#This Row],[PO+ITEM]],工作表1!B:E,2,FALSE)</f>
        <v>#N/A</v>
      </c>
      <c r="AY718" s="425" t="e">
        <f ca="1">VLOOKUP(表格1_6[[#This Row],[PO+ITEM]],工作表1!B:E,3,FALSE)</f>
        <v>#N/A</v>
      </c>
      <c r="AZ718" s="423" t="e">
        <f ca="1">VLOOKUP(表格1_6[[#This Row],[PO+ITEM]],工作表1!B:E,4,FALSE)</f>
        <v>#N/A</v>
      </c>
      <c r="BA718" s="425" t="e">
        <f ca="1">INDEX(工作表1!G:G, MATCH(表格1_6[[#This Row],[invoice number]]&amp;表格1_6[[#This Row],[invoice number2]],工作表1!G:G, 0))</f>
        <v>#N/A</v>
      </c>
      <c r="BB718" s="423" t="e">
        <f ca="1">VLOOKUP(表格1_6[[#This Row],[PO+ITEM]],工作表1!F:H,2,FALSE)</f>
        <v>#N/A</v>
      </c>
    </row>
    <row r="719" spans="1:54" ht="14.45">
      <c r="A719" s="413">
        <v>718</v>
      </c>
      <c r="B719" s="413" t="s">
        <v>3674</v>
      </c>
      <c r="C719" s="414" t="s">
        <v>17</v>
      </c>
      <c r="D719" s="414" t="s">
        <v>3648</v>
      </c>
      <c r="E719" s="414"/>
      <c r="F719" s="414"/>
      <c r="G719" s="414"/>
      <c r="H719" s="414"/>
      <c r="I719" s="414"/>
      <c r="J719" s="414"/>
      <c r="K719" s="414"/>
      <c r="L719" s="415" t="s">
        <v>5383</v>
      </c>
      <c r="M719" s="416" t="s">
        <v>2999</v>
      </c>
      <c r="N719" s="416" t="s">
        <v>2999</v>
      </c>
      <c r="O719" s="417"/>
      <c r="P719" s="416">
        <v>4590007762</v>
      </c>
      <c r="Q719" s="418">
        <v>44861</v>
      </c>
      <c r="R719" s="419">
        <v>5</v>
      </c>
      <c r="S719" s="458">
        <v>75090</v>
      </c>
      <c r="T719" s="420" t="s">
        <v>2156</v>
      </c>
      <c r="U719" s="414" t="s">
        <v>3869</v>
      </c>
      <c r="V719" s="414" t="s">
        <v>3870</v>
      </c>
      <c r="W719" s="417" t="s">
        <v>3871</v>
      </c>
      <c r="X719" s="417"/>
      <c r="Y719" s="421" t="s">
        <v>3652</v>
      </c>
      <c r="Z719" s="421" t="s">
        <v>3652</v>
      </c>
      <c r="AA719" s="416" t="s">
        <v>3897</v>
      </c>
      <c r="AB719" s="414" t="s">
        <v>5370</v>
      </c>
      <c r="AC719" s="426"/>
      <c r="AD719" s="421"/>
      <c r="AE719" s="420"/>
      <c r="AF719" s="421">
        <v>90069</v>
      </c>
      <c r="AG719" s="420" t="s">
        <v>5384</v>
      </c>
      <c r="AH719" s="421" t="s">
        <v>3900</v>
      </c>
      <c r="AI719" s="420" t="s">
        <v>3875</v>
      </c>
      <c r="AJ719" s="413" t="str">
        <f t="shared" si="45"/>
        <v>4590007762_005</v>
      </c>
      <c r="AK719" s="423"/>
      <c r="AL719" s="424">
        <v>45017</v>
      </c>
      <c r="AM719" s="221">
        <v>30036</v>
      </c>
      <c r="AN719" s="424">
        <v>45153</v>
      </c>
      <c r="AO719" s="423" t="s">
        <v>5385</v>
      </c>
      <c r="AP719" s="424">
        <v>45380</v>
      </c>
      <c r="AQ719" s="222">
        <v>45054</v>
      </c>
      <c r="AR719" s="424">
        <v>45471</v>
      </c>
      <c r="AS719" s="614">
        <f ca="1">表格1_6[[#This Row],[total amount]]/表格1_6[[#This Row],[PO$]]</f>
        <v>1</v>
      </c>
      <c r="AT719" s="223">
        <f ca="1">表格1_6[[#This Row],[invoice amount]]+表格1_6[[#This Row],[invoice amount2]]</f>
        <v>75090</v>
      </c>
      <c r="AU719" s="224" t="s">
        <v>3673</v>
      </c>
      <c r="AV719" s="423"/>
      <c r="AW719" s="423" t="e">
        <f ca="1">VLOOKUP(表格1_6[[#This Row],[TI tool ID2]],工作表1!A:A,1,FALSE)</f>
        <v>#N/A</v>
      </c>
      <c r="AX719" s="425" t="e">
        <f ca="1">VLOOKUP(表格1_6[[#This Row],[PO+ITEM]],工作表1!B:E,2,FALSE)</f>
        <v>#N/A</v>
      </c>
      <c r="AY719" s="425" t="e">
        <f ca="1">VLOOKUP(表格1_6[[#This Row],[PO+ITEM]],工作表1!B:E,3,FALSE)</f>
        <v>#N/A</v>
      </c>
      <c r="AZ719" s="423" t="e">
        <f ca="1">VLOOKUP(表格1_6[[#This Row],[PO+ITEM]],工作表1!B:E,4,FALSE)</f>
        <v>#N/A</v>
      </c>
      <c r="BA719" s="425" t="e">
        <f ca="1">INDEX(工作表1!G:G, MATCH(表格1_6[[#This Row],[invoice number]]&amp;表格1_6[[#This Row],[invoice number2]],工作表1!G:G, 0))</f>
        <v>#N/A</v>
      </c>
      <c r="BB719" s="423" t="e">
        <f ca="1">VLOOKUP(表格1_6[[#This Row],[PO+ITEM]],工作表1!F:H,2,FALSE)</f>
        <v>#N/A</v>
      </c>
    </row>
    <row r="720" spans="1:54" ht="14.45">
      <c r="A720" s="413">
        <v>719</v>
      </c>
      <c r="B720" s="413" t="s">
        <v>3674</v>
      </c>
      <c r="C720" s="414" t="s">
        <v>17</v>
      </c>
      <c r="D720" s="414" t="s">
        <v>3648</v>
      </c>
      <c r="E720" s="414"/>
      <c r="F720" s="414"/>
      <c r="G720" s="414"/>
      <c r="H720" s="414"/>
      <c r="I720" s="414"/>
      <c r="J720" s="414"/>
      <c r="K720" s="414"/>
      <c r="L720" s="415" t="s">
        <v>5386</v>
      </c>
      <c r="M720" s="416" t="s">
        <v>2999</v>
      </c>
      <c r="N720" s="416" t="s">
        <v>2999</v>
      </c>
      <c r="O720" s="417"/>
      <c r="P720" s="416">
        <v>4590007762</v>
      </c>
      <c r="Q720" s="418">
        <v>44861</v>
      </c>
      <c r="R720" s="419">
        <v>6</v>
      </c>
      <c r="S720" s="458">
        <v>75090</v>
      </c>
      <c r="T720" s="420" t="s">
        <v>2156</v>
      </c>
      <c r="U720" s="414" t="s">
        <v>3869</v>
      </c>
      <c r="V720" s="414" t="s">
        <v>3870</v>
      </c>
      <c r="W720" s="417" t="s">
        <v>3871</v>
      </c>
      <c r="X720" s="417"/>
      <c r="Y720" s="421" t="s">
        <v>3652</v>
      </c>
      <c r="Z720" s="421" t="s">
        <v>3652</v>
      </c>
      <c r="AA720" s="416" t="s">
        <v>3897</v>
      </c>
      <c r="AB720" s="414" t="s">
        <v>5370</v>
      </c>
      <c r="AC720" s="426"/>
      <c r="AD720" s="421"/>
      <c r="AE720" s="420"/>
      <c r="AF720" s="421">
        <v>90070</v>
      </c>
      <c r="AG720" s="420" t="s">
        <v>5387</v>
      </c>
      <c r="AH720" s="421" t="s">
        <v>3900</v>
      </c>
      <c r="AI720" s="420" t="s">
        <v>3875</v>
      </c>
      <c r="AJ720" s="413" t="str">
        <f t="shared" si="45"/>
        <v>4590007762_006</v>
      </c>
      <c r="AK720" s="423"/>
      <c r="AL720" s="424">
        <v>45017</v>
      </c>
      <c r="AM720" s="221">
        <v>30036</v>
      </c>
      <c r="AN720" s="424">
        <v>45135</v>
      </c>
      <c r="AO720" s="423" t="s">
        <v>5388</v>
      </c>
      <c r="AP720" s="424">
        <v>45380</v>
      </c>
      <c r="AQ720" s="222">
        <v>45054</v>
      </c>
      <c r="AR720" s="424">
        <v>45471</v>
      </c>
      <c r="AS720" s="614">
        <f ca="1">表格1_6[[#This Row],[total amount]]/表格1_6[[#This Row],[PO$]]</f>
        <v>1</v>
      </c>
      <c r="AT720" s="223">
        <f ca="1">表格1_6[[#This Row],[invoice amount]]+表格1_6[[#This Row],[invoice amount2]]</f>
        <v>75090</v>
      </c>
      <c r="AU720" s="224" t="s">
        <v>3673</v>
      </c>
      <c r="AV720" s="423"/>
      <c r="AW720" s="423" t="e">
        <f ca="1">VLOOKUP(表格1_6[[#This Row],[TI tool ID2]],工作表1!A:A,1,FALSE)</f>
        <v>#N/A</v>
      </c>
      <c r="AX720" s="425" t="e">
        <f ca="1">VLOOKUP(表格1_6[[#This Row],[PO+ITEM]],工作表1!B:E,2,FALSE)</f>
        <v>#N/A</v>
      </c>
      <c r="AY720" s="425" t="e">
        <f ca="1">VLOOKUP(表格1_6[[#This Row],[PO+ITEM]],工作表1!B:E,3,FALSE)</f>
        <v>#N/A</v>
      </c>
      <c r="AZ720" s="423" t="e">
        <f ca="1">VLOOKUP(表格1_6[[#This Row],[PO+ITEM]],工作表1!B:E,4,FALSE)</f>
        <v>#N/A</v>
      </c>
      <c r="BA720" s="425" t="e">
        <f ca="1">INDEX(工作表1!G:G, MATCH(表格1_6[[#This Row],[invoice number]]&amp;表格1_6[[#This Row],[invoice number2]],工作表1!G:G, 0))</f>
        <v>#N/A</v>
      </c>
      <c r="BB720" s="423" t="e">
        <f ca="1">VLOOKUP(表格1_6[[#This Row],[PO+ITEM]],工作表1!F:H,2,FALSE)</f>
        <v>#N/A</v>
      </c>
    </row>
    <row r="721" spans="1:54" ht="14.45">
      <c r="A721" s="413">
        <v>720</v>
      </c>
      <c r="B721" s="413" t="s">
        <v>3674</v>
      </c>
      <c r="C721" s="414" t="s">
        <v>17</v>
      </c>
      <c r="D721" s="414" t="s">
        <v>3648</v>
      </c>
      <c r="E721" s="414"/>
      <c r="F721" s="414"/>
      <c r="G721" s="414"/>
      <c r="H721" s="414"/>
      <c r="I721" s="414"/>
      <c r="J721" s="414"/>
      <c r="K721" s="414"/>
      <c r="L721" s="415" t="s">
        <v>5389</v>
      </c>
      <c r="M721" s="416" t="s">
        <v>2999</v>
      </c>
      <c r="N721" s="416" t="s">
        <v>2999</v>
      </c>
      <c r="O721" s="417"/>
      <c r="P721" s="416">
        <v>4590007762</v>
      </c>
      <c r="Q721" s="418">
        <v>44861</v>
      </c>
      <c r="R721" s="419">
        <v>7</v>
      </c>
      <c r="S721" s="458">
        <v>75090</v>
      </c>
      <c r="T721" s="420" t="s">
        <v>2156</v>
      </c>
      <c r="U721" s="414" t="s">
        <v>3869</v>
      </c>
      <c r="V721" s="414" t="s">
        <v>3870</v>
      </c>
      <c r="W721" s="417" t="s">
        <v>3871</v>
      </c>
      <c r="X721" s="417"/>
      <c r="Y721" s="421" t="s">
        <v>3652</v>
      </c>
      <c r="Z721" s="421" t="s">
        <v>3652</v>
      </c>
      <c r="AA721" s="416" t="s">
        <v>3897</v>
      </c>
      <c r="AB721" s="414" t="s">
        <v>5370</v>
      </c>
      <c r="AC721" s="426"/>
      <c r="AD721" s="421"/>
      <c r="AE721" s="420"/>
      <c r="AF721" s="421">
        <v>90071</v>
      </c>
      <c r="AG721" s="420" t="s">
        <v>5390</v>
      </c>
      <c r="AH721" s="421" t="s">
        <v>3900</v>
      </c>
      <c r="AI721" s="420" t="s">
        <v>3875</v>
      </c>
      <c r="AJ721" s="413" t="str">
        <f t="shared" si="45"/>
        <v>4590007762_007</v>
      </c>
      <c r="AK721" s="423"/>
      <c r="AL721" s="424">
        <v>45017</v>
      </c>
      <c r="AM721" s="221">
        <v>30036</v>
      </c>
      <c r="AN721" s="424">
        <v>45135</v>
      </c>
      <c r="AO721" s="423" t="s">
        <v>5391</v>
      </c>
      <c r="AP721" s="424">
        <v>45380</v>
      </c>
      <c r="AQ721" s="222">
        <v>45054</v>
      </c>
      <c r="AR721" s="424">
        <v>45471</v>
      </c>
      <c r="AS721" s="614">
        <f ca="1">表格1_6[[#This Row],[total amount]]/表格1_6[[#This Row],[PO$]]</f>
        <v>1</v>
      </c>
      <c r="AT721" s="223">
        <f ca="1">表格1_6[[#This Row],[invoice amount]]+表格1_6[[#This Row],[invoice amount2]]</f>
        <v>75090</v>
      </c>
      <c r="AU721" s="224" t="s">
        <v>3673</v>
      </c>
      <c r="AV721" s="423"/>
      <c r="AW721" s="423" t="e">
        <f ca="1">VLOOKUP(表格1_6[[#This Row],[TI tool ID2]],工作表1!A:A,1,FALSE)</f>
        <v>#N/A</v>
      </c>
      <c r="AX721" s="425" t="e">
        <f ca="1">VLOOKUP(表格1_6[[#This Row],[PO+ITEM]],工作表1!B:E,2,FALSE)</f>
        <v>#N/A</v>
      </c>
      <c r="AY721" s="425" t="e">
        <f ca="1">VLOOKUP(表格1_6[[#This Row],[PO+ITEM]],工作表1!B:E,3,FALSE)</f>
        <v>#N/A</v>
      </c>
      <c r="AZ721" s="423" t="e">
        <f ca="1">VLOOKUP(表格1_6[[#This Row],[PO+ITEM]],工作表1!B:E,4,FALSE)</f>
        <v>#N/A</v>
      </c>
      <c r="BA721" s="425" t="e">
        <f ca="1">INDEX(工作表1!G:G, MATCH(表格1_6[[#This Row],[invoice number]]&amp;表格1_6[[#This Row],[invoice number2]],工作表1!G:G, 0))</f>
        <v>#N/A</v>
      </c>
      <c r="BB721" s="423" t="e">
        <f ca="1">VLOOKUP(表格1_6[[#This Row],[PO+ITEM]],工作表1!F:H,2,FALSE)</f>
        <v>#N/A</v>
      </c>
    </row>
    <row r="722" spans="1:54" ht="14.45">
      <c r="A722" s="413">
        <v>721</v>
      </c>
      <c r="B722" s="413" t="s">
        <v>3674</v>
      </c>
      <c r="C722" s="414" t="s">
        <v>17</v>
      </c>
      <c r="D722" s="414" t="s">
        <v>3648</v>
      </c>
      <c r="E722" s="414"/>
      <c r="F722" s="414"/>
      <c r="G722" s="414"/>
      <c r="H722" s="414"/>
      <c r="I722" s="414"/>
      <c r="J722" s="414"/>
      <c r="K722" s="414"/>
      <c r="L722" s="415" t="s">
        <v>5392</v>
      </c>
      <c r="M722" s="416" t="s">
        <v>2999</v>
      </c>
      <c r="N722" s="416" t="s">
        <v>2999</v>
      </c>
      <c r="O722" s="417"/>
      <c r="P722" s="416">
        <v>4590007762</v>
      </c>
      <c r="Q722" s="418">
        <v>44861</v>
      </c>
      <c r="R722" s="419">
        <v>8</v>
      </c>
      <c r="S722" s="458">
        <v>75090</v>
      </c>
      <c r="T722" s="420" t="s">
        <v>2156</v>
      </c>
      <c r="U722" s="414" t="s">
        <v>3869</v>
      </c>
      <c r="V722" s="414" t="s">
        <v>3870</v>
      </c>
      <c r="W722" s="417" t="s">
        <v>3871</v>
      </c>
      <c r="X722" s="417"/>
      <c r="Y722" s="421" t="s">
        <v>3652</v>
      </c>
      <c r="Z722" s="421" t="s">
        <v>3652</v>
      </c>
      <c r="AA722" s="416" t="s">
        <v>3897</v>
      </c>
      <c r="AB722" s="414" t="s">
        <v>5370</v>
      </c>
      <c r="AC722" s="426"/>
      <c r="AD722" s="421"/>
      <c r="AE722" s="420"/>
      <c r="AF722" s="421">
        <v>90072</v>
      </c>
      <c r="AG722" s="420" t="s">
        <v>5393</v>
      </c>
      <c r="AH722" s="421" t="s">
        <v>3900</v>
      </c>
      <c r="AI722" s="420" t="s">
        <v>3875</v>
      </c>
      <c r="AJ722" s="413" t="str">
        <f t="shared" si="45"/>
        <v>4590007762_008</v>
      </c>
      <c r="AK722" s="423"/>
      <c r="AL722" s="424">
        <v>45017</v>
      </c>
      <c r="AM722" s="221">
        <v>30036</v>
      </c>
      <c r="AN722" s="424">
        <v>45153</v>
      </c>
      <c r="AO722" s="423" t="s">
        <v>5394</v>
      </c>
      <c r="AP722" s="424">
        <v>45380</v>
      </c>
      <c r="AQ722" s="222">
        <v>45054</v>
      </c>
      <c r="AR722" s="424">
        <v>45471</v>
      </c>
      <c r="AS722" s="614">
        <f ca="1">表格1_6[[#This Row],[total amount]]/表格1_6[[#This Row],[PO$]]</f>
        <v>1</v>
      </c>
      <c r="AT722" s="223">
        <f ca="1">表格1_6[[#This Row],[invoice amount]]+表格1_6[[#This Row],[invoice amount2]]</f>
        <v>75090</v>
      </c>
      <c r="AU722" s="224" t="s">
        <v>3673</v>
      </c>
      <c r="AV722" s="423"/>
      <c r="AW722" s="423" t="e">
        <f ca="1">VLOOKUP(表格1_6[[#This Row],[TI tool ID2]],工作表1!A:A,1,FALSE)</f>
        <v>#N/A</v>
      </c>
      <c r="AX722" s="425" t="e">
        <f ca="1">VLOOKUP(表格1_6[[#This Row],[PO+ITEM]],工作表1!B:E,2,FALSE)</f>
        <v>#N/A</v>
      </c>
      <c r="AY722" s="425" t="e">
        <f ca="1">VLOOKUP(表格1_6[[#This Row],[PO+ITEM]],工作表1!B:E,3,FALSE)</f>
        <v>#N/A</v>
      </c>
      <c r="AZ722" s="423" t="e">
        <f ca="1">VLOOKUP(表格1_6[[#This Row],[PO+ITEM]],工作表1!B:E,4,FALSE)</f>
        <v>#N/A</v>
      </c>
      <c r="BA722" s="425" t="e">
        <f ca="1">INDEX(工作表1!G:G, MATCH(表格1_6[[#This Row],[invoice number]]&amp;表格1_6[[#This Row],[invoice number2]],工作表1!G:G, 0))</f>
        <v>#N/A</v>
      </c>
      <c r="BB722" s="423" t="e">
        <f ca="1">VLOOKUP(表格1_6[[#This Row],[PO+ITEM]],工作表1!F:H,2,FALSE)</f>
        <v>#N/A</v>
      </c>
    </row>
    <row r="723" spans="1:54" ht="14.45">
      <c r="A723" s="413">
        <v>722</v>
      </c>
      <c r="B723" s="413" t="s">
        <v>3674</v>
      </c>
      <c r="C723" s="414" t="s">
        <v>17</v>
      </c>
      <c r="D723" s="414" t="s">
        <v>3648</v>
      </c>
      <c r="E723" s="414"/>
      <c r="F723" s="414"/>
      <c r="G723" s="414"/>
      <c r="H723" s="414"/>
      <c r="I723" s="414"/>
      <c r="J723" s="414"/>
      <c r="K723" s="414"/>
      <c r="L723" s="415" t="s">
        <v>5395</v>
      </c>
      <c r="M723" s="416" t="s">
        <v>2999</v>
      </c>
      <c r="N723" s="416" t="s">
        <v>2999</v>
      </c>
      <c r="O723" s="417"/>
      <c r="P723" s="416">
        <v>4590007762</v>
      </c>
      <c r="Q723" s="418">
        <v>44861</v>
      </c>
      <c r="R723" s="419">
        <v>9</v>
      </c>
      <c r="S723" s="458">
        <v>75090</v>
      </c>
      <c r="T723" s="420" t="s">
        <v>2156</v>
      </c>
      <c r="U723" s="414" t="s">
        <v>3869</v>
      </c>
      <c r="V723" s="414" t="s">
        <v>3870</v>
      </c>
      <c r="W723" s="417" t="s">
        <v>3871</v>
      </c>
      <c r="X723" s="417"/>
      <c r="Y723" s="421" t="s">
        <v>3652</v>
      </c>
      <c r="Z723" s="421" t="s">
        <v>3652</v>
      </c>
      <c r="AA723" s="416" t="s">
        <v>3897</v>
      </c>
      <c r="AB723" s="414" t="s">
        <v>5370</v>
      </c>
      <c r="AC723" s="426"/>
      <c r="AD723" s="421"/>
      <c r="AE723" s="420"/>
      <c r="AF723" s="421">
        <v>90073</v>
      </c>
      <c r="AG723" s="420" t="s">
        <v>5396</v>
      </c>
      <c r="AH723" s="421" t="s">
        <v>3900</v>
      </c>
      <c r="AI723" s="420" t="s">
        <v>3875</v>
      </c>
      <c r="AJ723" s="413" t="str">
        <f t="shared" si="45"/>
        <v>4590007762_009</v>
      </c>
      <c r="AK723" s="423"/>
      <c r="AL723" s="424">
        <v>45017</v>
      </c>
      <c r="AM723" s="221">
        <v>30036</v>
      </c>
      <c r="AN723" s="424">
        <v>45153</v>
      </c>
      <c r="AO723" s="423" t="s">
        <v>5397</v>
      </c>
      <c r="AP723" s="424">
        <v>45380</v>
      </c>
      <c r="AQ723" s="222">
        <v>45054</v>
      </c>
      <c r="AR723" s="424">
        <v>45471</v>
      </c>
      <c r="AS723" s="614">
        <f ca="1">表格1_6[[#This Row],[total amount]]/表格1_6[[#This Row],[PO$]]</f>
        <v>1</v>
      </c>
      <c r="AT723" s="223">
        <f ca="1">表格1_6[[#This Row],[invoice amount]]+表格1_6[[#This Row],[invoice amount2]]</f>
        <v>75090</v>
      </c>
      <c r="AU723" s="224" t="s">
        <v>3673</v>
      </c>
      <c r="AV723" s="423"/>
      <c r="AW723" s="423" t="e">
        <f ca="1">VLOOKUP(表格1_6[[#This Row],[TI tool ID2]],工作表1!A:A,1,FALSE)</f>
        <v>#N/A</v>
      </c>
      <c r="AX723" s="425" t="e">
        <f ca="1">VLOOKUP(表格1_6[[#This Row],[PO+ITEM]],工作表1!B:E,2,FALSE)</f>
        <v>#N/A</v>
      </c>
      <c r="AY723" s="425" t="e">
        <f ca="1">VLOOKUP(表格1_6[[#This Row],[PO+ITEM]],工作表1!B:E,3,FALSE)</f>
        <v>#N/A</v>
      </c>
      <c r="AZ723" s="423" t="e">
        <f ca="1">VLOOKUP(表格1_6[[#This Row],[PO+ITEM]],工作表1!B:E,4,FALSE)</f>
        <v>#N/A</v>
      </c>
      <c r="BA723" s="425" t="e">
        <f ca="1">INDEX(工作表1!G:G, MATCH(表格1_6[[#This Row],[invoice number]]&amp;表格1_6[[#This Row],[invoice number2]],工作表1!G:G, 0))</f>
        <v>#N/A</v>
      </c>
      <c r="BB723" s="423" t="e">
        <f ca="1">VLOOKUP(表格1_6[[#This Row],[PO+ITEM]],工作表1!F:H,2,FALSE)</f>
        <v>#N/A</v>
      </c>
    </row>
    <row r="724" spans="1:54" ht="14.45">
      <c r="A724" s="413">
        <v>723</v>
      </c>
      <c r="B724" s="413" t="s">
        <v>3659</v>
      </c>
      <c r="C724" s="414" t="s">
        <v>17</v>
      </c>
      <c r="D724" s="414" t="s">
        <v>3648</v>
      </c>
      <c r="E724" s="414"/>
      <c r="F724" s="414"/>
      <c r="G724" s="414"/>
      <c r="H724" s="414"/>
      <c r="I724" s="414"/>
      <c r="J724" s="414"/>
      <c r="K724" s="414"/>
      <c r="L724" s="415" t="s">
        <v>5398</v>
      </c>
      <c r="M724" s="416" t="s">
        <v>2999</v>
      </c>
      <c r="N724" s="416" t="s">
        <v>2999</v>
      </c>
      <c r="O724" s="417"/>
      <c r="P724" s="416">
        <v>4590007762</v>
      </c>
      <c r="Q724" s="418">
        <v>44861</v>
      </c>
      <c r="R724" s="419">
        <v>10</v>
      </c>
      <c r="S724" s="458">
        <v>75090</v>
      </c>
      <c r="T724" s="420" t="s">
        <v>2156</v>
      </c>
      <c r="U724" s="414" t="s">
        <v>3869</v>
      </c>
      <c r="V724" s="414" t="s">
        <v>3870</v>
      </c>
      <c r="W724" s="417" t="s">
        <v>3871</v>
      </c>
      <c r="X724" s="417"/>
      <c r="Y724" s="421" t="s">
        <v>3652</v>
      </c>
      <c r="Z724" s="421" t="s">
        <v>3652</v>
      </c>
      <c r="AA724" s="416" t="s">
        <v>3897</v>
      </c>
      <c r="AB724" s="414" t="s">
        <v>5370</v>
      </c>
      <c r="AC724" s="426"/>
      <c r="AD724" s="421"/>
      <c r="AE724" s="420"/>
      <c r="AF724" s="421">
        <v>90074</v>
      </c>
      <c r="AG724" s="420" t="s">
        <v>5399</v>
      </c>
      <c r="AH724" s="421" t="s">
        <v>3900</v>
      </c>
      <c r="AI724" s="420" t="s">
        <v>3875</v>
      </c>
      <c r="AJ724" s="413" t="str">
        <f t="shared" ref="AJ724:AJ733" si="46">P724&amp;"_0"&amp;R724</f>
        <v>4590007762_010</v>
      </c>
      <c r="AK724" s="423"/>
      <c r="AL724" s="424">
        <v>45017</v>
      </c>
      <c r="AM724" s="221">
        <v>30036</v>
      </c>
      <c r="AN724" s="424">
        <v>45153</v>
      </c>
      <c r="AO724" s="423"/>
      <c r="AP724" s="413"/>
      <c r="AQ724" s="222"/>
      <c r="AR724" s="424"/>
      <c r="AS724" s="614">
        <f ca="1">表格1_6[[#This Row],[total amount]]/表格1_6[[#This Row],[PO$]]</f>
        <v>0.4</v>
      </c>
      <c r="AT724" s="223">
        <f ca="1">表格1_6[[#This Row],[invoice amount]]+表格1_6[[#This Row],[invoice amount2]]</f>
        <v>30036</v>
      </c>
      <c r="AU724" s="224" t="s">
        <v>3673</v>
      </c>
      <c r="AV724" s="423"/>
      <c r="AW724" s="423" t="e">
        <f ca="1">VLOOKUP(表格1_6[[#This Row],[TI tool ID2]],工作表1!A:A,1,FALSE)</f>
        <v>#N/A</v>
      </c>
      <c r="AX724" s="425" t="e">
        <f ca="1">VLOOKUP(表格1_6[[#This Row],[PO+ITEM]],工作表1!B:E,2,FALSE)</f>
        <v>#N/A</v>
      </c>
      <c r="AY724" s="425" t="e">
        <f ca="1">VLOOKUP(表格1_6[[#This Row],[PO+ITEM]],工作表1!B:E,3,FALSE)</f>
        <v>#N/A</v>
      </c>
      <c r="AZ724" s="423" t="e">
        <f ca="1">VLOOKUP(表格1_6[[#This Row],[PO+ITEM]],工作表1!B:E,4,FALSE)</f>
        <v>#N/A</v>
      </c>
      <c r="BA724" s="425" t="e">
        <f ca="1">INDEX(工作表1!G:G, MATCH(表格1_6[[#This Row],[invoice number]]&amp;表格1_6[[#This Row],[invoice number2]],工作表1!G:G, 0))</f>
        <v>#N/A</v>
      </c>
      <c r="BB724" s="423" t="e">
        <f ca="1">VLOOKUP(表格1_6[[#This Row],[PO+ITEM]],工作表1!F:H,2,FALSE)</f>
        <v>#N/A</v>
      </c>
    </row>
    <row r="725" spans="1:54" ht="14.45">
      <c r="A725" s="413">
        <v>724</v>
      </c>
      <c r="B725" s="413" t="s">
        <v>3659</v>
      </c>
      <c r="C725" s="414" t="s">
        <v>17</v>
      </c>
      <c r="D725" s="414" t="s">
        <v>3648</v>
      </c>
      <c r="E725" s="414"/>
      <c r="F725" s="414"/>
      <c r="G725" s="414"/>
      <c r="H725" s="414"/>
      <c r="I725" s="414"/>
      <c r="J725" s="414"/>
      <c r="K725" s="414"/>
      <c r="L725" s="415" t="s">
        <v>5400</v>
      </c>
      <c r="M725" s="416" t="s">
        <v>2999</v>
      </c>
      <c r="N725" s="416" t="s">
        <v>2999</v>
      </c>
      <c r="O725" s="417"/>
      <c r="P725" s="416">
        <v>4590007762</v>
      </c>
      <c r="Q725" s="418">
        <v>44861</v>
      </c>
      <c r="R725" s="419">
        <v>11</v>
      </c>
      <c r="S725" s="458">
        <v>75090</v>
      </c>
      <c r="T725" s="420" t="s">
        <v>2156</v>
      </c>
      <c r="U725" s="414" t="s">
        <v>3869</v>
      </c>
      <c r="V725" s="414" t="s">
        <v>3870</v>
      </c>
      <c r="W725" s="417" t="s">
        <v>3871</v>
      </c>
      <c r="X725" s="417"/>
      <c r="Y725" s="421" t="s">
        <v>3652</v>
      </c>
      <c r="Z725" s="421" t="s">
        <v>3652</v>
      </c>
      <c r="AA725" s="416" t="s">
        <v>3897</v>
      </c>
      <c r="AB725" s="414" t="s">
        <v>5370</v>
      </c>
      <c r="AC725" s="426"/>
      <c r="AD725" s="421"/>
      <c r="AE725" s="420"/>
      <c r="AF725" s="421">
        <v>90075</v>
      </c>
      <c r="AG725" s="420" t="s">
        <v>5401</v>
      </c>
      <c r="AH725" s="421" t="s">
        <v>3900</v>
      </c>
      <c r="AI725" s="420" t="s">
        <v>3875</v>
      </c>
      <c r="AJ725" s="413" t="str">
        <f t="shared" si="46"/>
        <v>4590007762_011</v>
      </c>
      <c r="AK725" s="423"/>
      <c r="AL725" s="424">
        <v>45017</v>
      </c>
      <c r="AM725" s="221">
        <v>30036</v>
      </c>
      <c r="AN725" s="424">
        <v>45153</v>
      </c>
      <c r="AO725" s="423"/>
      <c r="AP725" s="413"/>
      <c r="AQ725" s="222"/>
      <c r="AR725" s="424"/>
      <c r="AS725" s="614">
        <f ca="1">表格1_6[[#This Row],[total amount]]/表格1_6[[#This Row],[PO$]]</f>
        <v>0.4</v>
      </c>
      <c r="AT725" s="223">
        <f ca="1">表格1_6[[#This Row],[invoice amount]]+表格1_6[[#This Row],[invoice amount2]]</f>
        <v>30036</v>
      </c>
      <c r="AU725" s="224" t="s">
        <v>3673</v>
      </c>
      <c r="AV725" s="423"/>
      <c r="AW725" s="423" t="e">
        <f ca="1">VLOOKUP(表格1_6[[#This Row],[TI tool ID2]],工作表1!A:A,1,FALSE)</f>
        <v>#N/A</v>
      </c>
      <c r="AX725" s="425" t="e">
        <f ca="1">VLOOKUP(表格1_6[[#This Row],[PO+ITEM]],工作表1!B:E,2,FALSE)</f>
        <v>#N/A</v>
      </c>
      <c r="AY725" s="425" t="e">
        <f ca="1">VLOOKUP(表格1_6[[#This Row],[PO+ITEM]],工作表1!B:E,3,FALSE)</f>
        <v>#N/A</v>
      </c>
      <c r="AZ725" s="423" t="e">
        <f ca="1">VLOOKUP(表格1_6[[#This Row],[PO+ITEM]],工作表1!B:E,4,FALSE)</f>
        <v>#N/A</v>
      </c>
      <c r="BA725" s="425" t="e">
        <f ca="1">INDEX(工作表1!G:G, MATCH(表格1_6[[#This Row],[invoice number]]&amp;表格1_6[[#This Row],[invoice number2]],工作表1!G:G, 0))</f>
        <v>#N/A</v>
      </c>
      <c r="BB725" s="423" t="e">
        <f ca="1">VLOOKUP(表格1_6[[#This Row],[PO+ITEM]],工作表1!F:H,2,FALSE)</f>
        <v>#N/A</v>
      </c>
    </row>
    <row r="726" spans="1:54" ht="14.45">
      <c r="A726" s="413">
        <v>725</v>
      </c>
      <c r="B726" s="413" t="s">
        <v>3659</v>
      </c>
      <c r="C726" s="414" t="s">
        <v>17</v>
      </c>
      <c r="D726" s="414" t="s">
        <v>3648</v>
      </c>
      <c r="E726" s="414"/>
      <c r="F726" s="414"/>
      <c r="G726" s="414"/>
      <c r="H726" s="414"/>
      <c r="I726" s="414"/>
      <c r="J726" s="414"/>
      <c r="K726" s="414"/>
      <c r="L726" s="420" t="s">
        <v>5402</v>
      </c>
      <c r="M726" s="416" t="s">
        <v>2999</v>
      </c>
      <c r="N726" s="416" t="s">
        <v>2999</v>
      </c>
      <c r="O726" s="417"/>
      <c r="P726" s="416">
        <v>4590007762</v>
      </c>
      <c r="Q726" s="418">
        <v>44861</v>
      </c>
      <c r="R726" s="419">
        <v>12</v>
      </c>
      <c r="S726" s="458">
        <v>75090</v>
      </c>
      <c r="T726" s="420" t="s">
        <v>2156</v>
      </c>
      <c r="U726" s="414" t="s">
        <v>3869</v>
      </c>
      <c r="V726" s="414" t="s">
        <v>3870</v>
      </c>
      <c r="W726" s="417" t="s">
        <v>3871</v>
      </c>
      <c r="X726" s="417"/>
      <c r="Y726" s="421" t="s">
        <v>3652</v>
      </c>
      <c r="Z726" s="421" t="s">
        <v>3652</v>
      </c>
      <c r="AA726" s="416" t="s">
        <v>3897</v>
      </c>
      <c r="AB726" s="414" t="s">
        <v>5370</v>
      </c>
      <c r="AC726" s="426"/>
      <c r="AD726" s="421"/>
      <c r="AE726" s="420"/>
      <c r="AF726" s="421">
        <v>90975</v>
      </c>
      <c r="AG726" s="420" t="s">
        <v>5403</v>
      </c>
      <c r="AH726" s="421" t="s">
        <v>3900</v>
      </c>
      <c r="AI726" s="420" t="s">
        <v>3875</v>
      </c>
      <c r="AJ726" s="413" t="str">
        <f t="shared" si="46"/>
        <v>4590007762_012</v>
      </c>
      <c r="AK726" s="423"/>
      <c r="AL726" s="413"/>
      <c r="AM726" s="221"/>
      <c r="AN726" s="424"/>
      <c r="AO726" s="423"/>
      <c r="AP726" s="413"/>
      <c r="AQ726" s="222"/>
      <c r="AR726" s="424"/>
      <c r="AS726" s="614">
        <f ca="1">表格1_6[[#This Row],[total amount]]/表格1_6[[#This Row],[PO$]]</f>
        <v>0</v>
      </c>
      <c r="AT726" s="223">
        <f ca="1">表格1_6[[#This Row],[invoice amount]]+表格1_6[[#This Row],[invoice amount2]]</f>
        <v>0</v>
      </c>
      <c r="AU726" s="224"/>
      <c r="AV726" s="423"/>
      <c r="AW726" s="423" t="e">
        <f ca="1">VLOOKUP(表格1_6[[#This Row],[TI tool ID2]],工作表1!A:A,1,FALSE)</f>
        <v>#N/A</v>
      </c>
      <c r="AX726" s="425" t="e">
        <f ca="1">VLOOKUP(表格1_6[[#This Row],[PO+ITEM]],工作表1!B:E,2,FALSE)</f>
        <v>#N/A</v>
      </c>
      <c r="AY726" s="425" t="e">
        <f ca="1">VLOOKUP(表格1_6[[#This Row],[PO+ITEM]],工作表1!B:E,3,FALSE)</f>
        <v>#N/A</v>
      </c>
      <c r="AZ726" s="423" t="e">
        <f ca="1">VLOOKUP(表格1_6[[#This Row],[PO+ITEM]],工作表1!B:E,4,FALSE)</f>
        <v>#N/A</v>
      </c>
      <c r="BA726" s="425" t="e">
        <f ca="1">INDEX(工作表1!G:G, MATCH(表格1_6[[#This Row],[invoice number]]&amp;表格1_6[[#This Row],[invoice number2]],工作表1!G:G, 0))</f>
        <v>#N/A</v>
      </c>
      <c r="BB726" s="423" t="e">
        <f ca="1">VLOOKUP(表格1_6[[#This Row],[PO+ITEM]],工作表1!F:H,2,FALSE)</f>
        <v>#N/A</v>
      </c>
    </row>
    <row r="727" spans="1:54" ht="14.45">
      <c r="A727" s="413">
        <v>726</v>
      </c>
      <c r="B727" s="413" t="s">
        <v>3659</v>
      </c>
      <c r="C727" s="414" t="s">
        <v>17</v>
      </c>
      <c r="D727" s="414" t="s">
        <v>3648</v>
      </c>
      <c r="E727" s="414"/>
      <c r="F727" s="414"/>
      <c r="G727" s="414"/>
      <c r="H727" s="414"/>
      <c r="I727" s="414"/>
      <c r="J727" s="414"/>
      <c r="K727" s="414"/>
      <c r="L727" s="415" t="s">
        <v>5404</v>
      </c>
      <c r="M727" s="416" t="s">
        <v>2999</v>
      </c>
      <c r="N727" s="416" t="s">
        <v>2999</v>
      </c>
      <c r="O727" s="417"/>
      <c r="P727" s="416">
        <v>4590007762</v>
      </c>
      <c r="Q727" s="418">
        <v>44861</v>
      </c>
      <c r="R727" s="419">
        <v>13</v>
      </c>
      <c r="S727" s="458">
        <v>75090</v>
      </c>
      <c r="T727" s="420" t="s">
        <v>2156</v>
      </c>
      <c r="U727" s="414" t="s">
        <v>3869</v>
      </c>
      <c r="V727" s="414" t="s">
        <v>3870</v>
      </c>
      <c r="W727" s="417" t="s">
        <v>3871</v>
      </c>
      <c r="X727" s="417"/>
      <c r="Y727" s="421" t="s">
        <v>3652</v>
      </c>
      <c r="Z727" s="421" t="s">
        <v>3652</v>
      </c>
      <c r="AA727" s="416" t="s">
        <v>3897</v>
      </c>
      <c r="AB727" s="414" t="s">
        <v>5370</v>
      </c>
      <c r="AC727" s="426"/>
      <c r="AD727" s="421"/>
      <c r="AE727" s="420"/>
      <c r="AF727" s="421">
        <v>90976</v>
      </c>
      <c r="AG727" s="420" t="s">
        <v>5405</v>
      </c>
      <c r="AH727" s="421" t="s">
        <v>3900</v>
      </c>
      <c r="AI727" s="420" t="s">
        <v>3875</v>
      </c>
      <c r="AJ727" s="413" t="str">
        <f t="shared" si="46"/>
        <v>4590007762_013</v>
      </c>
      <c r="AK727" s="423"/>
      <c r="AL727" s="424">
        <v>45017</v>
      </c>
      <c r="AM727" s="221">
        <v>30036</v>
      </c>
      <c r="AN727" s="424">
        <v>45153</v>
      </c>
      <c r="AO727" s="423"/>
      <c r="AP727" s="413"/>
      <c r="AQ727" s="222"/>
      <c r="AR727" s="424"/>
      <c r="AS727" s="614">
        <f ca="1">表格1_6[[#This Row],[total amount]]/表格1_6[[#This Row],[PO$]]</f>
        <v>0.4</v>
      </c>
      <c r="AT727" s="223">
        <f ca="1">表格1_6[[#This Row],[invoice amount]]+表格1_6[[#This Row],[invoice amount2]]</f>
        <v>30036</v>
      </c>
      <c r="AU727" s="224" t="s">
        <v>3673</v>
      </c>
      <c r="AV727" s="423"/>
      <c r="AW727" s="423" t="e">
        <f ca="1">VLOOKUP(表格1_6[[#This Row],[TI tool ID2]],工作表1!A:A,1,FALSE)</f>
        <v>#N/A</v>
      </c>
      <c r="AX727" s="425" t="e">
        <f ca="1">VLOOKUP(表格1_6[[#This Row],[PO+ITEM]],工作表1!B:E,2,FALSE)</f>
        <v>#N/A</v>
      </c>
      <c r="AY727" s="425" t="e">
        <f ca="1">VLOOKUP(表格1_6[[#This Row],[PO+ITEM]],工作表1!B:E,3,FALSE)</f>
        <v>#N/A</v>
      </c>
      <c r="AZ727" s="423" t="e">
        <f ca="1">VLOOKUP(表格1_6[[#This Row],[PO+ITEM]],工作表1!B:E,4,FALSE)</f>
        <v>#N/A</v>
      </c>
      <c r="BA727" s="425" t="e">
        <f ca="1">INDEX(工作表1!G:G, MATCH(表格1_6[[#This Row],[invoice number]]&amp;表格1_6[[#This Row],[invoice number2]],工作表1!G:G, 0))</f>
        <v>#N/A</v>
      </c>
      <c r="BB727" s="423" t="e">
        <f ca="1">VLOOKUP(表格1_6[[#This Row],[PO+ITEM]],工作表1!F:H,2,FALSE)</f>
        <v>#N/A</v>
      </c>
    </row>
    <row r="728" spans="1:54" ht="14.45">
      <c r="A728" s="413">
        <v>727</v>
      </c>
      <c r="B728" s="413" t="s">
        <v>3659</v>
      </c>
      <c r="C728" s="414" t="s">
        <v>17</v>
      </c>
      <c r="D728" s="414" t="s">
        <v>3648</v>
      </c>
      <c r="E728" s="414"/>
      <c r="F728" s="414"/>
      <c r="G728" s="414"/>
      <c r="H728" s="414"/>
      <c r="I728" s="414"/>
      <c r="J728" s="414"/>
      <c r="K728" s="414"/>
      <c r="L728" s="415" t="s">
        <v>5406</v>
      </c>
      <c r="M728" s="416" t="s">
        <v>2999</v>
      </c>
      <c r="N728" s="416" t="s">
        <v>2999</v>
      </c>
      <c r="O728" s="417"/>
      <c r="P728" s="416">
        <v>4590007762</v>
      </c>
      <c r="Q728" s="418">
        <v>44861</v>
      </c>
      <c r="R728" s="419">
        <v>14</v>
      </c>
      <c r="S728" s="458">
        <v>75090</v>
      </c>
      <c r="T728" s="420" t="s">
        <v>2156</v>
      </c>
      <c r="U728" s="414" t="s">
        <v>3869</v>
      </c>
      <c r="V728" s="414" t="s">
        <v>3870</v>
      </c>
      <c r="W728" s="417" t="s">
        <v>3871</v>
      </c>
      <c r="X728" s="417"/>
      <c r="Y728" s="421" t="s">
        <v>3652</v>
      </c>
      <c r="Z728" s="421" t="s">
        <v>3652</v>
      </c>
      <c r="AA728" s="416" t="s">
        <v>3897</v>
      </c>
      <c r="AB728" s="414" t="s">
        <v>5370</v>
      </c>
      <c r="AC728" s="426"/>
      <c r="AD728" s="421"/>
      <c r="AE728" s="420"/>
      <c r="AF728" s="421">
        <v>90977</v>
      </c>
      <c r="AG728" s="420" t="s">
        <v>5407</v>
      </c>
      <c r="AH728" s="421" t="s">
        <v>3900</v>
      </c>
      <c r="AI728" s="420" t="s">
        <v>3875</v>
      </c>
      <c r="AJ728" s="413" t="str">
        <f t="shared" si="46"/>
        <v>4590007762_014</v>
      </c>
      <c r="AK728" s="423"/>
      <c r="AL728" s="413"/>
      <c r="AM728" s="221"/>
      <c r="AN728" s="424"/>
      <c r="AO728" s="423"/>
      <c r="AP728" s="413"/>
      <c r="AQ728" s="222"/>
      <c r="AR728" s="424"/>
      <c r="AS728" s="614">
        <f ca="1">表格1_6[[#This Row],[total amount]]/表格1_6[[#This Row],[PO$]]</f>
        <v>0</v>
      </c>
      <c r="AT728" s="223">
        <f ca="1">表格1_6[[#This Row],[invoice amount]]+表格1_6[[#This Row],[invoice amount2]]</f>
        <v>0</v>
      </c>
      <c r="AU728" s="224"/>
      <c r="AV728" s="423"/>
      <c r="AW728" s="423" t="e">
        <f ca="1">VLOOKUP(表格1_6[[#This Row],[TI tool ID2]],工作表1!A:A,1,FALSE)</f>
        <v>#N/A</v>
      </c>
      <c r="AX728" s="425" t="e">
        <f ca="1">VLOOKUP(表格1_6[[#This Row],[PO+ITEM]],工作表1!B:E,2,FALSE)</f>
        <v>#N/A</v>
      </c>
      <c r="AY728" s="425" t="e">
        <f ca="1">VLOOKUP(表格1_6[[#This Row],[PO+ITEM]],工作表1!B:E,3,FALSE)</f>
        <v>#N/A</v>
      </c>
      <c r="AZ728" s="423" t="e">
        <f ca="1">VLOOKUP(表格1_6[[#This Row],[PO+ITEM]],工作表1!B:E,4,FALSE)</f>
        <v>#N/A</v>
      </c>
      <c r="BA728" s="425" t="e">
        <f ca="1">INDEX(工作表1!G:G, MATCH(表格1_6[[#This Row],[invoice number]]&amp;表格1_6[[#This Row],[invoice number2]],工作表1!G:G, 0))</f>
        <v>#N/A</v>
      </c>
      <c r="BB728" s="423" t="e">
        <f ca="1">VLOOKUP(表格1_6[[#This Row],[PO+ITEM]],工作表1!F:H,2,FALSE)</f>
        <v>#N/A</v>
      </c>
    </row>
    <row r="729" spans="1:54" ht="14.45">
      <c r="A729" s="413">
        <v>728</v>
      </c>
      <c r="B729" s="413" t="s">
        <v>3659</v>
      </c>
      <c r="C729" s="414" t="s">
        <v>17</v>
      </c>
      <c r="D729" s="414" t="s">
        <v>3648</v>
      </c>
      <c r="E729" s="414"/>
      <c r="F729" s="414"/>
      <c r="G729" s="414"/>
      <c r="H729" s="414"/>
      <c r="I729" s="414"/>
      <c r="J729" s="414"/>
      <c r="K729" s="414"/>
      <c r="L729" s="415" t="s">
        <v>5408</v>
      </c>
      <c r="M729" s="416" t="s">
        <v>2999</v>
      </c>
      <c r="N729" s="416" t="s">
        <v>2999</v>
      </c>
      <c r="O729" s="417"/>
      <c r="P729" s="416">
        <v>4590007762</v>
      </c>
      <c r="Q729" s="418">
        <v>44861</v>
      </c>
      <c r="R729" s="419">
        <v>15</v>
      </c>
      <c r="S729" s="458">
        <v>75090</v>
      </c>
      <c r="T729" s="420" t="s">
        <v>2156</v>
      </c>
      <c r="U729" s="414" t="s">
        <v>3869</v>
      </c>
      <c r="V729" s="414" t="s">
        <v>3870</v>
      </c>
      <c r="W729" s="417" t="s">
        <v>3871</v>
      </c>
      <c r="X729" s="417"/>
      <c r="Y729" s="421" t="s">
        <v>3652</v>
      </c>
      <c r="Z729" s="421" t="s">
        <v>3652</v>
      </c>
      <c r="AA729" s="416" t="s">
        <v>3897</v>
      </c>
      <c r="AB729" s="414" t="s">
        <v>5370</v>
      </c>
      <c r="AC729" s="426"/>
      <c r="AD729" s="421"/>
      <c r="AE729" s="420"/>
      <c r="AF729" s="421">
        <v>90978</v>
      </c>
      <c r="AG729" s="420" t="s">
        <v>5409</v>
      </c>
      <c r="AH729" s="421" t="s">
        <v>3900</v>
      </c>
      <c r="AI729" s="420" t="s">
        <v>3875</v>
      </c>
      <c r="AJ729" s="413" t="str">
        <f t="shared" si="46"/>
        <v>4590007762_015</v>
      </c>
      <c r="AK729" s="423"/>
      <c r="AL729" s="413"/>
      <c r="AM729" s="221"/>
      <c r="AN729" s="424"/>
      <c r="AO729" s="423"/>
      <c r="AP729" s="413"/>
      <c r="AQ729" s="222"/>
      <c r="AR729" s="424"/>
      <c r="AS729" s="614">
        <f ca="1">表格1_6[[#This Row],[total amount]]/表格1_6[[#This Row],[PO$]]</f>
        <v>0</v>
      </c>
      <c r="AT729" s="223">
        <f ca="1">表格1_6[[#This Row],[invoice amount]]+表格1_6[[#This Row],[invoice amount2]]</f>
        <v>0</v>
      </c>
      <c r="AU729" s="224"/>
      <c r="AV729" s="423"/>
      <c r="AW729" s="423" t="e">
        <f ca="1">VLOOKUP(表格1_6[[#This Row],[TI tool ID2]],工作表1!A:A,1,FALSE)</f>
        <v>#N/A</v>
      </c>
      <c r="AX729" s="425" t="e">
        <f ca="1">VLOOKUP(表格1_6[[#This Row],[PO+ITEM]],工作表1!B:E,2,FALSE)</f>
        <v>#N/A</v>
      </c>
      <c r="AY729" s="425" t="e">
        <f ca="1">VLOOKUP(表格1_6[[#This Row],[PO+ITEM]],工作表1!B:E,3,FALSE)</f>
        <v>#N/A</v>
      </c>
      <c r="AZ729" s="423" t="e">
        <f ca="1">VLOOKUP(表格1_6[[#This Row],[PO+ITEM]],工作表1!B:E,4,FALSE)</f>
        <v>#N/A</v>
      </c>
      <c r="BA729" s="425" t="e">
        <f ca="1">INDEX(工作表1!G:G, MATCH(表格1_6[[#This Row],[invoice number]]&amp;表格1_6[[#This Row],[invoice number2]],工作表1!G:G, 0))</f>
        <v>#N/A</v>
      </c>
      <c r="BB729" s="423" t="e">
        <f ca="1">VLOOKUP(表格1_6[[#This Row],[PO+ITEM]],工作表1!F:H,2,FALSE)</f>
        <v>#N/A</v>
      </c>
    </row>
    <row r="730" spans="1:54" ht="14.45">
      <c r="A730" s="413">
        <v>729</v>
      </c>
      <c r="B730" s="413" t="s">
        <v>3659</v>
      </c>
      <c r="C730" s="414" t="s">
        <v>17</v>
      </c>
      <c r="D730" s="414" t="s">
        <v>3648</v>
      </c>
      <c r="E730" s="414"/>
      <c r="F730" s="414"/>
      <c r="G730" s="414"/>
      <c r="H730" s="414"/>
      <c r="I730" s="414"/>
      <c r="J730" s="414"/>
      <c r="K730" s="414"/>
      <c r="L730" s="415" t="s">
        <v>5410</v>
      </c>
      <c r="M730" s="416" t="s">
        <v>2999</v>
      </c>
      <c r="N730" s="416" t="s">
        <v>2999</v>
      </c>
      <c r="O730" s="417"/>
      <c r="P730" s="416">
        <v>4590007762</v>
      </c>
      <c r="Q730" s="418">
        <v>44861</v>
      </c>
      <c r="R730" s="419">
        <v>16</v>
      </c>
      <c r="S730" s="458">
        <v>75090</v>
      </c>
      <c r="T730" s="420" t="s">
        <v>2156</v>
      </c>
      <c r="U730" s="414" t="s">
        <v>3869</v>
      </c>
      <c r="V730" s="414" t="s">
        <v>3870</v>
      </c>
      <c r="W730" s="417" t="s">
        <v>3871</v>
      </c>
      <c r="X730" s="417"/>
      <c r="Y730" s="421" t="s">
        <v>3652</v>
      </c>
      <c r="Z730" s="421" t="s">
        <v>3652</v>
      </c>
      <c r="AA730" s="416" t="s">
        <v>3897</v>
      </c>
      <c r="AB730" s="414" t="s">
        <v>5370</v>
      </c>
      <c r="AC730" s="426"/>
      <c r="AD730" s="421"/>
      <c r="AE730" s="420"/>
      <c r="AF730" s="421">
        <v>90979</v>
      </c>
      <c r="AG730" s="420" t="s">
        <v>5411</v>
      </c>
      <c r="AH730" s="421" t="s">
        <v>3900</v>
      </c>
      <c r="AI730" s="420" t="s">
        <v>3875</v>
      </c>
      <c r="AJ730" s="413" t="str">
        <f t="shared" si="46"/>
        <v>4590007762_016</v>
      </c>
      <c r="AK730" s="423"/>
      <c r="AL730" s="413"/>
      <c r="AM730" s="221"/>
      <c r="AN730" s="424"/>
      <c r="AO730" s="423"/>
      <c r="AP730" s="413"/>
      <c r="AQ730" s="222"/>
      <c r="AR730" s="424"/>
      <c r="AS730" s="614">
        <f ca="1">表格1_6[[#This Row],[total amount]]/表格1_6[[#This Row],[PO$]]</f>
        <v>0</v>
      </c>
      <c r="AT730" s="223">
        <f ca="1">表格1_6[[#This Row],[invoice amount]]+表格1_6[[#This Row],[invoice amount2]]</f>
        <v>0</v>
      </c>
      <c r="AU730" s="224"/>
      <c r="AV730" s="423"/>
      <c r="AW730" s="423" t="e">
        <f ca="1">VLOOKUP(表格1_6[[#This Row],[TI tool ID2]],工作表1!A:A,1,FALSE)</f>
        <v>#N/A</v>
      </c>
      <c r="AX730" s="425" t="e">
        <f ca="1">VLOOKUP(表格1_6[[#This Row],[PO+ITEM]],工作表1!B:E,2,FALSE)</f>
        <v>#N/A</v>
      </c>
      <c r="AY730" s="425" t="e">
        <f ca="1">VLOOKUP(表格1_6[[#This Row],[PO+ITEM]],工作表1!B:E,3,FALSE)</f>
        <v>#N/A</v>
      </c>
      <c r="AZ730" s="423" t="e">
        <f ca="1">VLOOKUP(表格1_6[[#This Row],[PO+ITEM]],工作表1!B:E,4,FALSE)</f>
        <v>#N/A</v>
      </c>
      <c r="BA730" s="425" t="e">
        <f ca="1">INDEX(工作表1!G:G, MATCH(表格1_6[[#This Row],[invoice number]]&amp;表格1_6[[#This Row],[invoice number2]],工作表1!G:G, 0))</f>
        <v>#N/A</v>
      </c>
      <c r="BB730" s="423" t="e">
        <f ca="1">VLOOKUP(表格1_6[[#This Row],[PO+ITEM]],工作表1!F:H,2,FALSE)</f>
        <v>#N/A</v>
      </c>
    </row>
    <row r="731" spans="1:54" ht="14.45">
      <c r="A731" s="413">
        <v>730</v>
      </c>
      <c r="B731" s="413" t="s">
        <v>3659</v>
      </c>
      <c r="C731" s="414" t="s">
        <v>17</v>
      </c>
      <c r="D731" s="414" t="s">
        <v>3648</v>
      </c>
      <c r="E731" s="414"/>
      <c r="F731" s="414"/>
      <c r="G731" s="414"/>
      <c r="H731" s="414"/>
      <c r="I731" s="414"/>
      <c r="J731" s="414"/>
      <c r="K731" s="414"/>
      <c r="L731" s="415" t="s">
        <v>5412</v>
      </c>
      <c r="M731" s="416" t="s">
        <v>2999</v>
      </c>
      <c r="N731" s="416" t="s">
        <v>2999</v>
      </c>
      <c r="O731" s="417"/>
      <c r="P731" s="416">
        <v>4590007762</v>
      </c>
      <c r="Q731" s="418">
        <v>44861</v>
      </c>
      <c r="R731" s="419">
        <v>17</v>
      </c>
      <c r="S731" s="458">
        <v>75090</v>
      </c>
      <c r="T731" s="420" t="s">
        <v>2156</v>
      </c>
      <c r="U731" s="414" t="s">
        <v>3869</v>
      </c>
      <c r="V731" s="414" t="s">
        <v>3870</v>
      </c>
      <c r="W731" s="417" t="s">
        <v>3871</v>
      </c>
      <c r="X731" s="417"/>
      <c r="Y731" s="421" t="s">
        <v>3652</v>
      </c>
      <c r="Z731" s="421" t="s">
        <v>3652</v>
      </c>
      <c r="AA731" s="416" t="s">
        <v>3897</v>
      </c>
      <c r="AB731" s="414" t="s">
        <v>5370</v>
      </c>
      <c r="AC731" s="426"/>
      <c r="AD731" s="421"/>
      <c r="AE731" s="420"/>
      <c r="AF731" s="421">
        <v>90980</v>
      </c>
      <c r="AG731" s="420" t="s">
        <v>5413</v>
      </c>
      <c r="AH731" s="421" t="s">
        <v>3900</v>
      </c>
      <c r="AI731" s="420" t="s">
        <v>3875</v>
      </c>
      <c r="AJ731" s="413" t="str">
        <f t="shared" si="46"/>
        <v>4590007762_017</v>
      </c>
      <c r="AK731" s="423"/>
      <c r="AL731" s="413"/>
      <c r="AM731" s="221"/>
      <c r="AN731" s="424"/>
      <c r="AO731" s="423"/>
      <c r="AP731" s="413"/>
      <c r="AQ731" s="222"/>
      <c r="AR731" s="424"/>
      <c r="AS731" s="614">
        <f ca="1">表格1_6[[#This Row],[total amount]]/表格1_6[[#This Row],[PO$]]</f>
        <v>0</v>
      </c>
      <c r="AT731" s="223">
        <f ca="1">表格1_6[[#This Row],[invoice amount]]+表格1_6[[#This Row],[invoice amount2]]</f>
        <v>0</v>
      </c>
      <c r="AU731" s="224"/>
      <c r="AV731" s="423"/>
      <c r="AW731" s="423" t="e">
        <f ca="1">VLOOKUP(表格1_6[[#This Row],[TI tool ID2]],工作表1!A:A,1,FALSE)</f>
        <v>#N/A</v>
      </c>
      <c r="AX731" s="425" t="e">
        <f ca="1">VLOOKUP(表格1_6[[#This Row],[PO+ITEM]],工作表1!B:E,2,FALSE)</f>
        <v>#N/A</v>
      </c>
      <c r="AY731" s="425" t="e">
        <f ca="1">VLOOKUP(表格1_6[[#This Row],[PO+ITEM]],工作表1!B:E,3,FALSE)</f>
        <v>#N/A</v>
      </c>
      <c r="AZ731" s="423" t="e">
        <f ca="1">VLOOKUP(表格1_6[[#This Row],[PO+ITEM]],工作表1!B:E,4,FALSE)</f>
        <v>#N/A</v>
      </c>
      <c r="BA731" s="425" t="e">
        <f ca="1">INDEX(工作表1!G:G, MATCH(表格1_6[[#This Row],[invoice number]]&amp;表格1_6[[#This Row],[invoice number2]],工作表1!G:G, 0))</f>
        <v>#N/A</v>
      </c>
      <c r="BB731" s="423" t="e">
        <f ca="1">VLOOKUP(表格1_6[[#This Row],[PO+ITEM]],工作表1!F:H,2,FALSE)</f>
        <v>#N/A</v>
      </c>
    </row>
    <row r="732" spans="1:54" ht="14.45">
      <c r="A732" s="413">
        <v>731</v>
      </c>
      <c r="B732" s="413" t="s">
        <v>3659</v>
      </c>
      <c r="C732" s="414" t="s">
        <v>17</v>
      </c>
      <c r="D732" s="414" t="s">
        <v>3648</v>
      </c>
      <c r="E732" s="414"/>
      <c r="F732" s="414"/>
      <c r="G732" s="414"/>
      <c r="H732" s="414"/>
      <c r="I732" s="414"/>
      <c r="J732" s="414"/>
      <c r="K732" s="414"/>
      <c r="L732" s="420" t="s">
        <v>5414</v>
      </c>
      <c r="M732" s="416" t="s">
        <v>2999</v>
      </c>
      <c r="N732" s="416" t="s">
        <v>2999</v>
      </c>
      <c r="O732" s="417"/>
      <c r="P732" s="416">
        <v>4590007762</v>
      </c>
      <c r="Q732" s="418">
        <v>44861</v>
      </c>
      <c r="R732" s="419">
        <v>18</v>
      </c>
      <c r="S732" s="458">
        <v>75090</v>
      </c>
      <c r="T732" s="420" t="s">
        <v>2156</v>
      </c>
      <c r="U732" s="414" t="s">
        <v>3869</v>
      </c>
      <c r="V732" s="414" t="s">
        <v>3870</v>
      </c>
      <c r="W732" s="417" t="s">
        <v>3871</v>
      </c>
      <c r="X732" s="417"/>
      <c r="Y732" s="421" t="s">
        <v>3652</v>
      </c>
      <c r="Z732" s="421" t="s">
        <v>3652</v>
      </c>
      <c r="AA732" s="416" t="s">
        <v>3897</v>
      </c>
      <c r="AB732" s="414" t="s">
        <v>5370</v>
      </c>
      <c r="AC732" s="426"/>
      <c r="AD732" s="421"/>
      <c r="AE732" s="420"/>
      <c r="AF732" s="421">
        <v>90981</v>
      </c>
      <c r="AG732" s="420" t="s">
        <v>5415</v>
      </c>
      <c r="AH732" s="421" t="s">
        <v>3900</v>
      </c>
      <c r="AI732" s="420" t="s">
        <v>3875</v>
      </c>
      <c r="AJ732" s="413" t="str">
        <f t="shared" si="46"/>
        <v>4590007762_018</v>
      </c>
      <c r="AK732" s="423"/>
      <c r="AL732" s="413"/>
      <c r="AM732" s="221"/>
      <c r="AN732" s="424"/>
      <c r="AO732" s="423"/>
      <c r="AP732" s="413"/>
      <c r="AQ732" s="222"/>
      <c r="AR732" s="424"/>
      <c r="AS732" s="614">
        <f ca="1">表格1_6[[#This Row],[total amount]]/表格1_6[[#This Row],[PO$]]</f>
        <v>0</v>
      </c>
      <c r="AT732" s="223">
        <f ca="1">表格1_6[[#This Row],[invoice amount]]+表格1_6[[#This Row],[invoice amount2]]</f>
        <v>0</v>
      </c>
      <c r="AU732" s="224"/>
      <c r="AV732" s="423"/>
      <c r="AW732" s="423" t="e">
        <f ca="1">VLOOKUP(表格1_6[[#This Row],[TI tool ID2]],工作表1!A:A,1,FALSE)</f>
        <v>#N/A</v>
      </c>
      <c r="AX732" s="425" t="e">
        <f ca="1">VLOOKUP(表格1_6[[#This Row],[PO+ITEM]],工作表1!B:E,2,FALSE)</f>
        <v>#N/A</v>
      </c>
      <c r="AY732" s="425" t="e">
        <f ca="1">VLOOKUP(表格1_6[[#This Row],[PO+ITEM]],工作表1!B:E,3,FALSE)</f>
        <v>#N/A</v>
      </c>
      <c r="AZ732" s="423" t="e">
        <f ca="1">VLOOKUP(表格1_6[[#This Row],[PO+ITEM]],工作表1!B:E,4,FALSE)</f>
        <v>#N/A</v>
      </c>
      <c r="BA732" s="425" t="e">
        <f ca="1">INDEX(工作表1!G:G, MATCH(表格1_6[[#This Row],[invoice number]]&amp;表格1_6[[#This Row],[invoice number2]],工作表1!G:G, 0))</f>
        <v>#N/A</v>
      </c>
      <c r="BB732" s="423" t="e">
        <f ca="1">VLOOKUP(表格1_6[[#This Row],[PO+ITEM]],工作表1!F:H,2,FALSE)</f>
        <v>#N/A</v>
      </c>
    </row>
    <row r="733" spans="1:54" ht="14.45">
      <c r="A733" s="413">
        <v>732</v>
      </c>
      <c r="B733" s="413" t="s">
        <v>3659</v>
      </c>
      <c r="C733" s="414" t="s">
        <v>17</v>
      </c>
      <c r="D733" s="414" t="s">
        <v>3648</v>
      </c>
      <c r="E733" s="414"/>
      <c r="F733" s="414"/>
      <c r="G733" s="414"/>
      <c r="H733" s="414"/>
      <c r="I733" s="414"/>
      <c r="J733" s="414"/>
      <c r="K733" s="414"/>
      <c r="L733" s="420" t="s">
        <v>5416</v>
      </c>
      <c r="M733" s="416" t="s">
        <v>2999</v>
      </c>
      <c r="N733" s="416" t="s">
        <v>2999</v>
      </c>
      <c r="O733" s="417"/>
      <c r="P733" s="416">
        <v>4590007762</v>
      </c>
      <c r="Q733" s="418">
        <v>44861</v>
      </c>
      <c r="R733" s="419">
        <v>19</v>
      </c>
      <c r="S733" s="458">
        <v>75090</v>
      </c>
      <c r="T733" s="420" t="s">
        <v>2156</v>
      </c>
      <c r="U733" s="414" t="s">
        <v>3869</v>
      </c>
      <c r="V733" s="414" t="s">
        <v>3870</v>
      </c>
      <c r="W733" s="417" t="s">
        <v>3871</v>
      </c>
      <c r="X733" s="417"/>
      <c r="Y733" s="421" t="s">
        <v>3652</v>
      </c>
      <c r="Z733" s="421" t="s">
        <v>3652</v>
      </c>
      <c r="AA733" s="416" t="s">
        <v>3897</v>
      </c>
      <c r="AB733" s="414" t="s">
        <v>5370</v>
      </c>
      <c r="AC733" s="426"/>
      <c r="AD733" s="421"/>
      <c r="AE733" s="420"/>
      <c r="AF733" s="421">
        <v>90982</v>
      </c>
      <c r="AG733" s="420" t="s">
        <v>5417</v>
      </c>
      <c r="AH733" s="421" t="s">
        <v>3900</v>
      </c>
      <c r="AI733" s="420" t="s">
        <v>3875</v>
      </c>
      <c r="AJ733" s="413" t="str">
        <f t="shared" si="46"/>
        <v>4590007762_019</v>
      </c>
      <c r="AK733" s="423"/>
      <c r="AL733" s="413"/>
      <c r="AM733" s="221"/>
      <c r="AN733" s="424"/>
      <c r="AO733" s="423"/>
      <c r="AP733" s="413"/>
      <c r="AQ733" s="222"/>
      <c r="AR733" s="424"/>
      <c r="AS733" s="614">
        <f ca="1">表格1_6[[#This Row],[total amount]]/表格1_6[[#This Row],[PO$]]</f>
        <v>0</v>
      </c>
      <c r="AT733" s="223">
        <f ca="1">表格1_6[[#This Row],[invoice amount]]+表格1_6[[#This Row],[invoice amount2]]</f>
        <v>0</v>
      </c>
      <c r="AU733" s="224"/>
      <c r="AV733" s="423"/>
      <c r="AW733" s="423" t="e">
        <f ca="1">VLOOKUP(表格1_6[[#This Row],[TI tool ID2]],工作表1!A:A,1,FALSE)</f>
        <v>#N/A</v>
      </c>
      <c r="AX733" s="425" t="e">
        <f ca="1">VLOOKUP(表格1_6[[#This Row],[PO+ITEM]],工作表1!B:E,2,FALSE)</f>
        <v>#N/A</v>
      </c>
      <c r="AY733" s="425" t="e">
        <f ca="1">VLOOKUP(表格1_6[[#This Row],[PO+ITEM]],工作表1!B:E,3,FALSE)</f>
        <v>#N/A</v>
      </c>
      <c r="AZ733" s="423" t="e">
        <f ca="1">VLOOKUP(表格1_6[[#This Row],[PO+ITEM]],工作表1!B:E,4,FALSE)</f>
        <v>#N/A</v>
      </c>
      <c r="BA733" s="425" t="e">
        <f ca="1">INDEX(工作表1!G:G, MATCH(表格1_6[[#This Row],[invoice number]]&amp;表格1_6[[#This Row],[invoice number2]],工作表1!G:G, 0))</f>
        <v>#N/A</v>
      </c>
      <c r="BB733" s="423" t="e">
        <f ca="1">VLOOKUP(表格1_6[[#This Row],[PO+ITEM]],工作表1!F:H,2,FALSE)</f>
        <v>#N/A</v>
      </c>
    </row>
    <row r="734" spans="1:54" ht="14.45">
      <c r="A734" s="413">
        <v>733</v>
      </c>
      <c r="B734" s="413" t="s">
        <v>3659</v>
      </c>
      <c r="C734" s="414" t="s">
        <v>17</v>
      </c>
      <c r="D734" s="414" t="s">
        <v>3648</v>
      </c>
      <c r="E734" s="414"/>
      <c r="F734" s="414"/>
      <c r="G734" s="414"/>
      <c r="H734" s="414"/>
      <c r="I734" s="414"/>
      <c r="J734" s="414"/>
      <c r="K734" s="414"/>
      <c r="L734" s="420" t="s">
        <v>5418</v>
      </c>
      <c r="M734" s="416" t="s">
        <v>2999</v>
      </c>
      <c r="N734" s="416" t="s">
        <v>2999</v>
      </c>
      <c r="O734" s="417"/>
      <c r="P734" s="416">
        <v>4590007763</v>
      </c>
      <c r="Q734" s="418">
        <v>44861</v>
      </c>
      <c r="R734" s="419">
        <v>1</v>
      </c>
      <c r="S734" s="458">
        <v>20857</v>
      </c>
      <c r="T734" s="420" t="s">
        <v>2156</v>
      </c>
      <c r="U734" s="414" t="s">
        <v>3713</v>
      </c>
      <c r="V734" s="414" t="s">
        <v>3714</v>
      </c>
      <c r="W734" s="417" t="s">
        <v>3715</v>
      </c>
      <c r="X734" s="417"/>
      <c r="Y734" s="421" t="s">
        <v>3652</v>
      </c>
      <c r="Z734" s="421" t="s">
        <v>3652</v>
      </c>
      <c r="AA734" s="416" t="s">
        <v>4482</v>
      </c>
      <c r="AB734" s="414" t="s">
        <v>3716</v>
      </c>
      <c r="AC734" s="426"/>
      <c r="AD734" s="421"/>
      <c r="AE734" s="420"/>
      <c r="AF734" s="421">
        <v>91412</v>
      </c>
      <c r="AG734" s="420" t="s">
        <v>5055</v>
      </c>
      <c r="AH734" s="421" t="s">
        <v>3665</v>
      </c>
      <c r="AI734" s="420" t="s">
        <v>3719</v>
      </c>
      <c r="AJ734" s="413" t="str">
        <f t="shared" ref="AJ734:AJ742" si="47">P734&amp;"_00"&amp;R734</f>
        <v>4590007763_001</v>
      </c>
      <c r="AK734" s="423"/>
      <c r="AL734" s="413"/>
      <c r="AM734" s="221"/>
      <c r="AN734" s="424"/>
      <c r="AO734" s="423"/>
      <c r="AP734" s="413"/>
      <c r="AQ734" s="222"/>
      <c r="AR734" s="424"/>
      <c r="AS734" s="614">
        <f ca="1">表格1_6[[#This Row],[total amount]]/表格1_6[[#This Row],[PO$]]</f>
        <v>0</v>
      </c>
      <c r="AT734" s="223">
        <f ca="1">表格1_6[[#This Row],[invoice amount]]+表格1_6[[#This Row],[invoice amount2]]</f>
        <v>0</v>
      </c>
      <c r="AU734" s="224"/>
      <c r="AV734" s="423"/>
      <c r="AW734" s="423" t="e">
        <f ca="1">VLOOKUP(表格1_6[[#This Row],[TI tool ID2]],工作表1!A:A,1,FALSE)</f>
        <v>#N/A</v>
      </c>
      <c r="AX734" s="425" t="e">
        <f ca="1">VLOOKUP(表格1_6[[#This Row],[PO+ITEM]],工作表1!B:E,2,FALSE)</f>
        <v>#N/A</v>
      </c>
      <c r="AY734" s="425" t="e">
        <f ca="1">VLOOKUP(表格1_6[[#This Row],[PO+ITEM]],工作表1!B:E,3,FALSE)</f>
        <v>#N/A</v>
      </c>
      <c r="AZ734" s="423" t="e">
        <f ca="1">VLOOKUP(表格1_6[[#This Row],[PO+ITEM]],工作表1!B:E,4,FALSE)</f>
        <v>#N/A</v>
      </c>
      <c r="BA734" s="425" t="e">
        <f ca="1">INDEX(工作表1!G:G, MATCH(表格1_6[[#This Row],[invoice number]]&amp;表格1_6[[#This Row],[invoice number2]],工作表1!G:G, 0))</f>
        <v>#N/A</v>
      </c>
      <c r="BB734" s="423" t="e">
        <f ca="1">VLOOKUP(表格1_6[[#This Row],[PO+ITEM]],工作表1!F:H,2,FALSE)</f>
        <v>#N/A</v>
      </c>
    </row>
    <row r="735" spans="1:54" ht="14.45">
      <c r="A735" s="413">
        <v>734</v>
      </c>
      <c r="B735" s="413"/>
      <c r="C735" s="414" t="s">
        <v>17</v>
      </c>
      <c r="D735" s="414" t="s">
        <v>3648</v>
      </c>
      <c r="E735" s="414"/>
      <c r="F735" s="414"/>
      <c r="G735" s="414"/>
      <c r="H735" s="414"/>
      <c r="I735" s="414"/>
      <c r="J735" s="414"/>
      <c r="K735" s="414"/>
      <c r="L735" s="415" t="s">
        <v>5419</v>
      </c>
      <c r="M735" s="416" t="s">
        <v>2999</v>
      </c>
      <c r="N735" s="416" t="s">
        <v>2999</v>
      </c>
      <c r="O735" s="417"/>
      <c r="P735" s="416">
        <v>4590007763</v>
      </c>
      <c r="Q735" s="418">
        <v>44861</v>
      </c>
      <c r="R735" s="419">
        <v>2</v>
      </c>
      <c r="S735" s="458">
        <v>20857</v>
      </c>
      <c r="T735" s="420" t="s">
        <v>2156</v>
      </c>
      <c r="U735" s="414" t="s">
        <v>3713</v>
      </c>
      <c r="V735" s="414" t="s">
        <v>3714</v>
      </c>
      <c r="W735" s="417" t="s">
        <v>3715</v>
      </c>
      <c r="X735" s="417"/>
      <c r="Y735" s="421" t="s">
        <v>3652</v>
      </c>
      <c r="Z735" s="421" t="s">
        <v>3652</v>
      </c>
      <c r="AA735" s="416" t="s">
        <v>4482</v>
      </c>
      <c r="AB735" s="414" t="s">
        <v>3716</v>
      </c>
      <c r="AC735" s="426"/>
      <c r="AD735" s="421"/>
      <c r="AE735" s="420"/>
      <c r="AF735" s="421">
        <v>91429</v>
      </c>
      <c r="AG735" s="420" t="s">
        <v>5023</v>
      </c>
      <c r="AH735" s="421" t="s">
        <v>3665</v>
      </c>
      <c r="AI735" s="420" t="s">
        <v>3719</v>
      </c>
      <c r="AJ735" s="413" t="str">
        <f t="shared" si="47"/>
        <v>4590007763_002</v>
      </c>
      <c r="AK735" s="423"/>
      <c r="AL735" s="424">
        <v>45047</v>
      </c>
      <c r="AM735" s="221">
        <v>8342.8000000000011</v>
      </c>
      <c r="AN735" s="424">
        <v>45153</v>
      </c>
      <c r="AO735" s="423"/>
      <c r="AP735" s="413"/>
      <c r="AQ735" s="222"/>
      <c r="AR735" s="424"/>
      <c r="AS735" s="614">
        <f ca="1">表格1_6[[#This Row],[total amount]]/表格1_6[[#This Row],[PO$]]</f>
        <v>0.40000000000000008</v>
      </c>
      <c r="AT735" s="223">
        <f ca="1">表格1_6[[#This Row],[invoice amount]]+表格1_6[[#This Row],[invoice amount2]]</f>
        <v>8342.8000000000011</v>
      </c>
      <c r="AU735" s="224" t="s">
        <v>3673</v>
      </c>
      <c r="AV735" s="423"/>
      <c r="AW735" s="423" t="e">
        <f ca="1">VLOOKUP(表格1_6[[#This Row],[TI tool ID2]],工作表1!A:A,1,FALSE)</f>
        <v>#N/A</v>
      </c>
      <c r="AX735" s="425" t="e">
        <f ca="1">VLOOKUP(表格1_6[[#This Row],[PO+ITEM]],工作表1!B:E,2,FALSE)</f>
        <v>#N/A</v>
      </c>
      <c r="AY735" s="425" t="e">
        <f ca="1">VLOOKUP(表格1_6[[#This Row],[PO+ITEM]],工作表1!B:E,3,FALSE)</f>
        <v>#N/A</v>
      </c>
      <c r="AZ735" s="423" t="e">
        <f ca="1">VLOOKUP(表格1_6[[#This Row],[PO+ITEM]],工作表1!B:E,4,FALSE)</f>
        <v>#N/A</v>
      </c>
      <c r="BA735" s="425" t="e">
        <f ca="1">INDEX(工作表1!G:G, MATCH(表格1_6[[#This Row],[invoice number]]&amp;表格1_6[[#This Row],[invoice number2]],工作表1!G:G, 0))</f>
        <v>#N/A</v>
      </c>
      <c r="BB735" s="423" t="e">
        <f ca="1">VLOOKUP(表格1_6[[#This Row],[PO+ITEM]],工作表1!F:H,2,FALSE)</f>
        <v>#N/A</v>
      </c>
    </row>
    <row r="736" spans="1:54" ht="14.45">
      <c r="A736" s="413">
        <v>735</v>
      </c>
      <c r="B736" s="413" t="s">
        <v>3659</v>
      </c>
      <c r="C736" s="414" t="s">
        <v>17</v>
      </c>
      <c r="D736" s="414" t="s">
        <v>3648</v>
      </c>
      <c r="E736" s="414"/>
      <c r="F736" s="414"/>
      <c r="G736" s="414"/>
      <c r="H736" s="414"/>
      <c r="I736" s="414"/>
      <c r="J736" s="414"/>
      <c r="K736" s="414"/>
      <c r="L736" s="415" t="s">
        <v>5420</v>
      </c>
      <c r="M736" s="416" t="s">
        <v>2999</v>
      </c>
      <c r="N736" s="416" t="s">
        <v>2999</v>
      </c>
      <c r="O736" s="417"/>
      <c r="P736" s="416">
        <v>4590007763</v>
      </c>
      <c r="Q736" s="418">
        <v>44861</v>
      </c>
      <c r="R736" s="419">
        <v>3</v>
      </c>
      <c r="S736" s="458">
        <v>34802</v>
      </c>
      <c r="T736" s="420" t="s">
        <v>2156</v>
      </c>
      <c r="U736" s="414" t="s">
        <v>3713</v>
      </c>
      <c r="V736" s="414" t="s">
        <v>3714</v>
      </c>
      <c r="W736" s="417" t="s">
        <v>3715</v>
      </c>
      <c r="X736" s="417"/>
      <c r="Y736" s="421" t="s">
        <v>3652</v>
      </c>
      <c r="Z736" s="421" t="s">
        <v>3652</v>
      </c>
      <c r="AA736" s="416" t="s">
        <v>4482</v>
      </c>
      <c r="AB736" s="414" t="s">
        <v>3716</v>
      </c>
      <c r="AC736" s="426"/>
      <c r="AD736" s="421"/>
      <c r="AE736" s="420"/>
      <c r="AF736" s="421">
        <v>91367</v>
      </c>
      <c r="AG736" s="420" t="s">
        <v>5052</v>
      </c>
      <c r="AH736" s="421" t="s">
        <v>3665</v>
      </c>
      <c r="AI736" s="420" t="s">
        <v>3719</v>
      </c>
      <c r="AJ736" s="413" t="str">
        <f t="shared" si="47"/>
        <v>4590007763_003</v>
      </c>
      <c r="AK736" s="423"/>
      <c r="AL736" s="424">
        <v>45047</v>
      </c>
      <c r="AM736" s="221">
        <v>13920.800000000001</v>
      </c>
      <c r="AN736" s="424">
        <v>45153</v>
      </c>
      <c r="AO736" s="423"/>
      <c r="AP736" s="413"/>
      <c r="AQ736" s="222"/>
      <c r="AR736" s="424"/>
      <c r="AS736" s="614">
        <f ca="1">表格1_6[[#This Row],[total amount]]/表格1_6[[#This Row],[PO$]]</f>
        <v>0.4</v>
      </c>
      <c r="AT736" s="223">
        <f ca="1">表格1_6[[#This Row],[invoice amount]]+表格1_6[[#This Row],[invoice amount2]]</f>
        <v>13920.800000000001</v>
      </c>
      <c r="AU736" s="224" t="s">
        <v>3673</v>
      </c>
      <c r="AV736" s="423"/>
      <c r="AW736" s="423" t="e">
        <f ca="1">VLOOKUP(表格1_6[[#This Row],[TI tool ID2]],工作表1!A:A,1,FALSE)</f>
        <v>#N/A</v>
      </c>
      <c r="AX736" s="425" t="e">
        <f ca="1">VLOOKUP(表格1_6[[#This Row],[PO+ITEM]],工作表1!B:E,2,FALSE)</f>
        <v>#N/A</v>
      </c>
      <c r="AY736" s="425" t="e">
        <f ca="1">VLOOKUP(表格1_6[[#This Row],[PO+ITEM]],工作表1!B:E,3,FALSE)</f>
        <v>#N/A</v>
      </c>
      <c r="AZ736" s="423" t="e">
        <f ca="1">VLOOKUP(表格1_6[[#This Row],[PO+ITEM]],工作表1!B:E,4,FALSE)</f>
        <v>#N/A</v>
      </c>
      <c r="BA736" s="425" t="e">
        <f ca="1">INDEX(工作表1!G:G, MATCH(表格1_6[[#This Row],[invoice number]]&amp;表格1_6[[#This Row],[invoice number2]],工作表1!G:G, 0))</f>
        <v>#N/A</v>
      </c>
      <c r="BB736" s="423" t="e">
        <f ca="1">VLOOKUP(表格1_6[[#This Row],[PO+ITEM]],工作表1!F:H,2,FALSE)</f>
        <v>#N/A</v>
      </c>
    </row>
    <row r="737" spans="1:54">
      <c r="A737" s="413">
        <v>736</v>
      </c>
      <c r="B737" s="413" t="s">
        <v>3674</v>
      </c>
      <c r="C737" s="414" t="s">
        <v>17</v>
      </c>
      <c r="D737" s="414" t="s">
        <v>3648</v>
      </c>
      <c r="E737" s="414"/>
      <c r="F737" s="414"/>
      <c r="G737" s="414"/>
      <c r="H737" s="414"/>
      <c r="I737" s="414"/>
      <c r="J737" s="414"/>
      <c r="K737" s="414"/>
      <c r="L737" s="415" t="s">
        <v>5421</v>
      </c>
      <c r="M737" s="416" t="s">
        <v>2999</v>
      </c>
      <c r="N737" s="416" t="s">
        <v>2999</v>
      </c>
      <c r="O737" s="417"/>
      <c r="P737" s="416">
        <v>4590007763</v>
      </c>
      <c r="Q737" s="418">
        <v>44861</v>
      </c>
      <c r="R737" s="419">
        <v>4</v>
      </c>
      <c r="S737" s="458">
        <v>34802</v>
      </c>
      <c r="T737" s="420" t="s">
        <v>2156</v>
      </c>
      <c r="U737" s="414" t="s">
        <v>3713</v>
      </c>
      <c r="V737" s="414" t="s">
        <v>3714</v>
      </c>
      <c r="W737" s="417" t="s">
        <v>3715</v>
      </c>
      <c r="X737" s="417"/>
      <c r="Y737" s="421" t="s">
        <v>3652</v>
      </c>
      <c r="Z737" s="421" t="s">
        <v>3652</v>
      </c>
      <c r="AA737" s="416" t="s">
        <v>4486</v>
      </c>
      <c r="AB737" s="414" t="s">
        <v>3716</v>
      </c>
      <c r="AC737" s="426"/>
      <c r="AD737" s="421"/>
      <c r="AE737" s="420"/>
      <c r="AF737" s="421">
        <v>90298</v>
      </c>
      <c r="AG737" s="420" t="s">
        <v>4509</v>
      </c>
      <c r="AH737" s="421" t="s">
        <v>3665</v>
      </c>
      <c r="AI737" s="420" t="s">
        <v>3719</v>
      </c>
      <c r="AJ737" s="413" t="str">
        <f t="shared" si="47"/>
        <v>4590007763_004</v>
      </c>
      <c r="AK737" s="425" t="s">
        <v>5422</v>
      </c>
      <c r="AL737" s="424">
        <v>45548</v>
      </c>
      <c r="AM737" s="221">
        <v>34802</v>
      </c>
      <c r="AN737" s="424"/>
      <c r="AO737" s="423"/>
      <c r="AP737" s="413"/>
      <c r="AQ737" s="222"/>
      <c r="AR737" s="424"/>
      <c r="AS737" s="614">
        <f ca="1">表格1_6[[#This Row],[total amount]]/表格1_6[[#This Row],[PO$]]</f>
        <v>1</v>
      </c>
      <c r="AT737" s="223">
        <f ca="1">表格1_6[[#This Row],[invoice amount]]+表格1_6[[#This Row],[invoice amount2]]</f>
        <v>34802</v>
      </c>
      <c r="AU737" s="224" t="s">
        <v>3701</v>
      </c>
      <c r="AV737" s="423"/>
      <c r="AW737" s="423" t="e">
        <f ca="1">VLOOKUP(表格1_6[[#This Row],[TI tool ID2]],工作表1!A:A,1,FALSE)</f>
        <v>#N/A</v>
      </c>
      <c r="AX737" s="425" t="e">
        <f ca="1">VLOOKUP(表格1_6[[#This Row],[PO+ITEM]],工作表1!B:E,2,FALSE)</f>
        <v>#N/A</v>
      </c>
      <c r="AY737" s="425" t="e">
        <f ca="1">VLOOKUP(表格1_6[[#This Row],[PO+ITEM]],工作表1!B:E,3,FALSE)</f>
        <v>#N/A</v>
      </c>
      <c r="AZ737" s="423" t="e">
        <f ca="1">VLOOKUP(表格1_6[[#This Row],[PO+ITEM]],工作表1!B:E,4,FALSE)</f>
        <v>#N/A</v>
      </c>
      <c r="BA737" s="425" t="e">
        <f ca="1">INDEX(工作表1!G:G, MATCH(表格1_6[[#This Row],[invoice number]]&amp;表格1_6[[#This Row],[invoice number2]],工作表1!G:G, 0))</f>
        <v>#N/A</v>
      </c>
      <c r="BB737" s="423" t="e">
        <f ca="1">VLOOKUP(表格1_6[[#This Row],[PO+ITEM]],工作表1!F:H,2,FALSE)</f>
        <v>#N/A</v>
      </c>
    </row>
    <row r="738" spans="1:54" ht="15.6">
      <c r="A738" s="413">
        <v>737</v>
      </c>
      <c r="B738" s="413" t="s">
        <v>3674</v>
      </c>
      <c r="C738" s="414" t="s">
        <v>17</v>
      </c>
      <c r="D738" s="414" t="s">
        <v>3648</v>
      </c>
      <c r="E738" s="414"/>
      <c r="F738" s="414"/>
      <c r="G738" s="414"/>
      <c r="H738" s="414"/>
      <c r="I738" s="414"/>
      <c r="J738" s="414"/>
      <c r="K738" s="414"/>
      <c r="L738" s="415" t="s">
        <v>5423</v>
      </c>
      <c r="M738" s="416" t="s">
        <v>2999</v>
      </c>
      <c r="N738" s="416" t="s">
        <v>2999</v>
      </c>
      <c r="O738" s="417"/>
      <c r="P738" s="416">
        <v>4590007763</v>
      </c>
      <c r="Q738" s="418">
        <v>44861</v>
      </c>
      <c r="R738" s="419">
        <v>5</v>
      </c>
      <c r="S738" s="458">
        <v>44654</v>
      </c>
      <c r="T738" s="420" t="s">
        <v>2156</v>
      </c>
      <c r="U738" s="414" t="s">
        <v>3713</v>
      </c>
      <c r="V738" s="414" t="s">
        <v>3714</v>
      </c>
      <c r="W738" s="417" t="s">
        <v>3715</v>
      </c>
      <c r="X738" s="417"/>
      <c r="Y738" s="421" t="s">
        <v>3652</v>
      </c>
      <c r="Z738" s="421" t="s">
        <v>3652</v>
      </c>
      <c r="AA738" s="416" t="s">
        <v>4482</v>
      </c>
      <c r="AB738" s="414" t="s">
        <v>3716</v>
      </c>
      <c r="AC738" s="426"/>
      <c r="AD738" s="421"/>
      <c r="AE738" s="420"/>
      <c r="AF738" s="421">
        <v>90084</v>
      </c>
      <c r="AG738" s="420" t="s">
        <v>4150</v>
      </c>
      <c r="AH738" s="421" t="s">
        <v>3665</v>
      </c>
      <c r="AI738" s="420" t="s">
        <v>3719</v>
      </c>
      <c r="AJ738" s="413" t="str">
        <f t="shared" si="47"/>
        <v>4590007763_005</v>
      </c>
      <c r="AK738" s="423"/>
      <c r="AL738" s="424">
        <v>45047</v>
      </c>
      <c r="AM738" s="221">
        <v>17861.600000000002</v>
      </c>
      <c r="AN738" s="424">
        <v>45153</v>
      </c>
      <c r="AO738" s="423"/>
      <c r="AP738" s="427">
        <v>45261</v>
      </c>
      <c r="AQ738" s="222">
        <v>24559.7</v>
      </c>
      <c r="AR738" s="244">
        <v>45380</v>
      </c>
      <c r="AS738" s="614">
        <f ca="1">表格1_6[[#This Row],[total amount]]/表格1_6[[#This Row],[PO$]]</f>
        <v>0.95000000000000007</v>
      </c>
      <c r="AT738" s="223">
        <f ca="1">表格1_6[[#This Row],[invoice amount]]+表格1_6[[#This Row],[invoice amount2]]</f>
        <v>42421.3</v>
      </c>
      <c r="AU738" s="224" t="s">
        <v>3673</v>
      </c>
      <c r="AV738" s="423"/>
      <c r="AW738" s="423" t="e">
        <f ca="1">VLOOKUP(表格1_6[[#This Row],[TI tool ID2]],工作表1!A:A,1,FALSE)</f>
        <v>#N/A</v>
      </c>
      <c r="AX738" s="425" t="e">
        <f ca="1">VLOOKUP(表格1_6[[#This Row],[PO+ITEM]],工作表1!B:E,2,FALSE)</f>
        <v>#N/A</v>
      </c>
      <c r="AY738" s="425" t="e">
        <f ca="1">VLOOKUP(表格1_6[[#This Row],[PO+ITEM]],工作表1!B:E,3,FALSE)</f>
        <v>#N/A</v>
      </c>
      <c r="AZ738" s="423" t="e">
        <f ca="1">VLOOKUP(表格1_6[[#This Row],[PO+ITEM]],工作表1!B:E,4,FALSE)</f>
        <v>#N/A</v>
      </c>
      <c r="BA738" s="425" t="e">
        <f ca="1">INDEX(工作表1!G:G, MATCH(表格1_6[[#This Row],[invoice number]]&amp;表格1_6[[#This Row],[invoice number2]],工作表1!G:G, 0))</f>
        <v>#N/A</v>
      </c>
      <c r="BB738" s="423" t="e">
        <f ca="1">VLOOKUP(表格1_6[[#This Row],[PO+ITEM]],工作表1!F:H,2,FALSE)</f>
        <v>#N/A</v>
      </c>
    </row>
    <row r="739" spans="1:54" ht="14.45">
      <c r="A739" s="413">
        <v>738</v>
      </c>
      <c r="B739" s="413" t="s">
        <v>3674</v>
      </c>
      <c r="C739" s="414" t="s">
        <v>17</v>
      </c>
      <c r="D739" s="414" t="s">
        <v>3648</v>
      </c>
      <c r="E739" s="414"/>
      <c r="F739" s="414"/>
      <c r="G739" s="414"/>
      <c r="H739" s="414"/>
      <c r="I739" s="414"/>
      <c r="J739" s="414"/>
      <c r="K739" s="414"/>
      <c r="L739" s="420" t="s">
        <v>5424</v>
      </c>
      <c r="M739" s="416" t="s">
        <v>2999</v>
      </c>
      <c r="N739" s="416" t="s">
        <v>2999</v>
      </c>
      <c r="O739" s="417"/>
      <c r="P739" s="416">
        <v>4590007763</v>
      </c>
      <c r="Q739" s="418">
        <v>44861</v>
      </c>
      <c r="R739" s="419">
        <v>6</v>
      </c>
      <c r="S739" s="458">
        <v>44654</v>
      </c>
      <c r="T739" s="420" t="s">
        <v>2156</v>
      </c>
      <c r="U739" s="414" t="s">
        <v>3713</v>
      </c>
      <c r="V739" s="414" t="s">
        <v>3714</v>
      </c>
      <c r="W739" s="417" t="s">
        <v>3715</v>
      </c>
      <c r="X739" s="417"/>
      <c r="Y739" s="421" t="s">
        <v>3652</v>
      </c>
      <c r="Z739" s="421" t="s">
        <v>3652</v>
      </c>
      <c r="AA739" s="416" t="s">
        <v>4482</v>
      </c>
      <c r="AB739" s="414" t="s">
        <v>3716</v>
      </c>
      <c r="AC739" s="426"/>
      <c r="AD739" s="421"/>
      <c r="AE739" s="420"/>
      <c r="AF739" s="421">
        <v>90082</v>
      </c>
      <c r="AG739" s="420" t="s">
        <v>4499</v>
      </c>
      <c r="AH739" s="421" t="s">
        <v>3665</v>
      </c>
      <c r="AI739" s="420" t="s">
        <v>3719</v>
      </c>
      <c r="AJ739" s="413" t="str">
        <f t="shared" si="47"/>
        <v>4590007763_006</v>
      </c>
      <c r="AK739" s="423"/>
      <c r="AL739" s="424">
        <v>45047</v>
      </c>
      <c r="AM739" s="221">
        <v>17861.600000000002</v>
      </c>
      <c r="AN739" s="424">
        <v>45153</v>
      </c>
      <c r="AO739" s="423" t="s">
        <v>5425</v>
      </c>
      <c r="AP739" s="424">
        <v>45422</v>
      </c>
      <c r="AQ739" s="222">
        <v>26792.399999999998</v>
      </c>
      <c r="AR739" s="424">
        <v>45471</v>
      </c>
      <c r="AS739" s="614">
        <f ca="1">表格1_6[[#This Row],[total amount]]/表格1_6[[#This Row],[PO$]]</f>
        <v>1</v>
      </c>
      <c r="AT739" s="223">
        <f ca="1">表格1_6[[#This Row],[invoice amount]]+表格1_6[[#This Row],[invoice amount2]]</f>
        <v>44654</v>
      </c>
      <c r="AU739" s="224" t="s">
        <v>3673</v>
      </c>
      <c r="AV739" s="423" t="s">
        <v>3657</v>
      </c>
      <c r="AW739" s="423" t="e">
        <f ca="1">VLOOKUP(表格1_6[[#This Row],[TI tool ID2]],工作表1!A:A,1,FALSE)</f>
        <v>#N/A</v>
      </c>
      <c r="AX739" s="425" t="e">
        <f ca="1">VLOOKUP(表格1_6[[#This Row],[PO+ITEM]],工作表1!B:E,2,FALSE)</f>
        <v>#N/A</v>
      </c>
      <c r="AY739" s="425" t="e">
        <f ca="1">VLOOKUP(表格1_6[[#This Row],[PO+ITEM]],工作表1!B:E,3,FALSE)</f>
        <v>#N/A</v>
      </c>
      <c r="AZ739" s="423" t="e">
        <f ca="1">VLOOKUP(表格1_6[[#This Row],[PO+ITEM]],工作表1!B:E,4,FALSE)</f>
        <v>#N/A</v>
      </c>
      <c r="BA739" s="425" t="e">
        <f ca="1">INDEX(工作表1!G:G, MATCH(表格1_6[[#This Row],[invoice number]]&amp;表格1_6[[#This Row],[invoice number2]],工作表1!G:G, 0))</f>
        <v>#N/A</v>
      </c>
      <c r="BB739" s="423" t="e">
        <f ca="1">VLOOKUP(表格1_6[[#This Row],[PO+ITEM]],工作表1!F:H,2,FALSE)</f>
        <v>#N/A</v>
      </c>
    </row>
    <row r="740" spans="1:54" ht="14.45">
      <c r="A740" s="413">
        <v>739</v>
      </c>
      <c r="B740" s="413" t="s">
        <v>3659</v>
      </c>
      <c r="C740" s="414" t="s">
        <v>17</v>
      </c>
      <c r="D740" s="414" t="s">
        <v>3648</v>
      </c>
      <c r="E740" s="414"/>
      <c r="F740" s="414"/>
      <c r="G740" s="414"/>
      <c r="H740" s="414"/>
      <c r="I740" s="414"/>
      <c r="J740" s="414"/>
      <c r="K740" s="414"/>
      <c r="L740" s="420" t="s">
        <v>5426</v>
      </c>
      <c r="M740" s="416" t="s">
        <v>2999</v>
      </c>
      <c r="N740" s="416" t="s">
        <v>2999</v>
      </c>
      <c r="O740" s="417"/>
      <c r="P740" s="416">
        <v>4590007763</v>
      </c>
      <c r="Q740" s="418">
        <v>44861</v>
      </c>
      <c r="R740" s="419">
        <v>7</v>
      </c>
      <c r="S740" s="458">
        <v>44654</v>
      </c>
      <c r="T740" s="420" t="s">
        <v>2156</v>
      </c>
      <c r="U740" s="414" t="s">
        <v>3713</v>
      </c>
      <c r="V740" s="414" t="s">
        <v>3714</v>
      </c>
      <c r="W740" s="417" t="s">
        <v>3715</v>
      </c>
      <c r="X740" s="417"/>
      <c r="Y740" s="421" t="s">
        <v>3652</v>
      </c>
      <c r="Z740" s="421" t="s">
        <v>3652</v>
      </c>
      <c r="AA740" s="416" t="s">
        <v>4482</v>
      </c>
      <c r="AB740" s="414" t="s">
        <v>3716</v>
      </c>
      <c r="AC740" s="426"/>
      <c r="AD740" s="421"/>
      <c r="AE740" s="420"/>
      <c r="AF740" s="421">
        <v>90083</v>
      </c>
      <c r="AG740" s="420" t="s">
        <v>4502</v>
      </c>
      <c r="AH740" s="421" t="s">
        <v>3665</v>
      </c>
      <c r="AI740" s="420" t="s">
        <v>3719</v>
      </c>
      <c r="AJ740" s="413" t="str">
        <f t="shared" si="47"/>
        <v>4590007763_007</v>
      </c>
      <c r="AK740" s="423"/>
      <c r="AL740" s="424">
        <v>45047</v>
      </c>
      <c r="AM740" s="221">
        <v>17861.600000000002</v>
      </c>
      <c r="AN740" s="424">
        <v>45153</v>
      </c>
      <c r="AO740" s="423"/>
      <c r="AP740" s="413"/>
      <c r="AQ740" s="222"/>
      <c r="AR740" s="424"/>
      <c r="AS740" s="614">
        <f ca="1">表格1_6[[#This Row],[total amount]]/表格1_6[[#This Row],[PO$]]</f>
        <v>0.4</v>
      </c>
      <c r="AT740" s="223">
        <f ca="1">表格1_6[[#This Row],[invoice amount]]+表格1_6[[#This Row],[invoice amount2]]</f>
        <v>17861.600000000002</v>
      </c>
      <c r="AU740" s="224" t="s">
        <v>3673</v>
      </c>
      <c r="AV740" s="423"/>
      <c r="AW740" s="423" t="e">
        <f ca="1">VLOOKUP(表格1_6[[#This Row],[TI tool ID2]],工作表1!A:A,1,FALSE)</f>
        <v>#N/A</v>
      </c>
      <c r="AX740" s="425" t="e">
        <f ca="1">VLOOKUP(表格1_6[[#This Row],[PO+ITEM]],工作表1!B:E,2,FALSE)</f>
        <v>#N/A</v>
      </c>
      <c r="AY740" s="425" t="e">
        <f ca="1">VLOOKUP(表格1_6[[#This Row],[PO+ITEM]],工作表1!B:E,3,FALSE)</f>
        <v>#N/A</v>
      </c>
      <c r="AZ740" s="423" t="e">
        <f ca="1">VLOOKUP(表格1_6[[#This Row],[PO+ITEM]],工作表1!B:E,4,FALSE)</f>
        <v>#N/A</v>
      </c>
      <c r="BA740" s="425" t="e">
        <f ca="1">INDEX(工作表1!G:G, MATCH(表格1_6[[#This Row],[invoice number]]&amp;表格1_6[[#This Row],[invoice number2]],工作表1!G:G, 0))</f>
        <v>#N/A</v>
      </c>
      <c r="BB740" s="423" t="e">
        <f ca="1">VLOOKUP(表格1_6[[#This Row],[PO+ITEM]],工作表1!F:H,2,FALSE)</f>
        <v>#N/A</v>
      </c>
    </row>
    <row r="741" spans="1:54" ht="14.45">
      <c r="A741" s="413">
        <v>740</v>
      </c>
      <c r="B741" s="413" t="s">
        <v>3674</v>
      </c>
      <c r="C741" s="414" t="s">
        <v>17</v>
      </c>
      <c r="D741" s="414" t="s">
        <v>3648</v>
      </c>
      <c r="E741" s="414"/>
      <c r="F741" s="414"/>
      <c r="G741" s="414"/>
      <c r="H741" s="414"/>
      <c r="I741" s="414"/>
      <c r="J741" s="414"/>
      <c r="K741" s="414"/>
      <c r="L741" s="415" t="s">
        <v>5427</v>
      </c>
      <c r="M741" s="416" t="s">
        <v>2999</v>
      </c>
      <c r="N741" s="416" t="s">
        <v>2999</v>
      </c>
      <c r="O741" s="417"/>
      <c r="P741" s="416">
        <v>4590007763</v>
      </c>
      <c r="Q741" s="418">
        <v>44861</v>
      </c>
      <c r="R741" s="419">
        <v>8</v>
      </c>
      <c r="S741" s="458">
        <v>44654</v>
      </c>
      <c r="T741" s="420" t="s">
        <v>2156</v>
      </c>
      <c r="U741" s="414" t="s">
        <v>3713</v>
      </c>
      <c r="V741" s="414" t="s">
        <v>3714</v>
      </c>
      <c r="W741" s="417" t="s">
        <v>3715</v>
      </c>
      <c r="X741" s="417"/>
      <c r="Y741" s="421" t="s">
        <v>3652</v>
      </c>
      <c r="Z741" s="421" t="s">
        <v>3652</v>
      </c>
      <c r="AA741" s="416" t="s">
        <v>4482</v>
      </c>
      <c r="AB741" s="414" t="s">
        <v>3716</v>
      </c>
      <c r="AC741" s="426"/>
      <c r="AD741" s="421"/>
      <c r="AE741" s="420"/>
      <c r="AF741" s="421">
        <v>90299</v>
      </c>
      <c r="AG741" s="420" t="s">
        <v>4506</v>
      </c>
      <c r="AH741" s="421" t="s">
        <v>3665</v>
      </c>
      <c r="AI741" s="420" t="s">
        <v>3719</v>
      </c>
      <c r="AJ741" s="413" t="str">
        <f t="shared" si="47"/>
        <v>4590007763_008</v>
      </c>
      <c r="AK741" s="423"/>
      <c r="AL741" s="424">
        <v>45047</v>
      </c>
      <c r="AM741" s="221">
        <v>17861.600000000002</v>
      </c>
      <c r="AN741" s="424">
        <v>45153</v>
      </c>
      <c r="AO741" s="423" t="s">
        <v>5428</v>
      </c>
      <c r="AP741" s="424">
        <v>45422</v>
      </c>
      <c r="AQ741" s="222">
        <v>26792.399999999998</v>
      </c>
      <c r="AR741" s="424">
        <v>45471</v>
      </c>
      <c r="AS741" s="614">
        <f ca="1">表格1_6[[#This Row],[total amount]]/表格1_6[[#This Row],[PO$]]</f>
        <v>1</v>
      </c>
      <c r="AT741" s="223">
        <f ca="1">表格1_6[[#This Row],[invoice amount]]+表格1_6[[#This Row],[invoice amount2]]</f>
        <v>44654</v>
      </c>
      <c r="AU741" s="224" t="s">
        <v>3673</v>
      </c>
      <c r="AV741" s="423" t="s">
        <v>3657</v>
      </c>
      <c r="AW741" s="423" t="e">
        <f ca="1">VLOOKUP(表格1_6[[#This Row],[TI tool ID2]],工作表1!A:A,1,FALSE)</f>
        <v>#N/A</v>
      </c>
      <c r="AX741" s="425" t="e">
        <f ca="1">VLOOKUP(表格1_6[[#This Row],[PO+ITEM]],工作表1!B:E,2,FALSE)</f>
        <v>#N/A</v>
      </c>
      <c r="AY741" s="425" t="e">
        <f ca="1">VLOOKUP(表格1_6[[#This Row],[PO+ITEM]],工作表1!B:E,3,FALSE)</f>
        <v>#N/A</v>
      </c>
      <c r="AZ741" s="423" t="e">
        <f ca="1">VLOOKUP(表格1_6[[#This Row],[PO+ITEM]],工作表1!B:E,4,FALSE)</f>
        <v>#N/A</v>
      </c>
      <c r="BA741" s="425" t="e">
        <f ca="1">INDEX(工作表1!G:G, MATCH(表格1_6[[#This Row],[invoice number]]&amp;表格1_6[[#This Row],[invoice number2]],工作表1!G:G, 0))</f>
        <v>#N/A</v>
      </c>
      <c r="BB741" s="423" t="e">
        <f ca="1">VLOOKUP(表格1_6[[#This Row],[PO+ITEM]],工作表1!F:H,2,FALSE)</f>
        <v>#N/A</v>
      </c>
    </row>
    <row r="742" spans="1:54" ht="14.45">
      <c r="A742" s="413">
        <v>741</v>
      </c>
      <c r="B742" s="413" t="s">
        <v>3659</v>
      </c>
      <c r="C742" s="414" t="s">
        <v>17</v>
      </c>
      <c r="D742" s="414" t="s">
        <v>3648</v>
      </c>
      <c r="E742" s="414"/>
      <c r="F742" s="414"/>
      <c r="G742" s="414"/>
      <c r="H742" s="414"/>
      <c r="I742" s="414"/>
      <c r="J742" s="414"/>
      <c r="K742" s="414"/>
      <c r="L742" s="415" t="s">
        <v>5429</v>
      </c>
      <c r="M742" s="416" t="s">
        <v>2999</v>
      </c>
      <c r="N742" s="416" t="s">
        <v>2999</v>
      </c>
      <c r="O742" s="417"/>
      <c r="P742" s="416">
        <v>4590007763</v>
      </c>
      <c r="Q742" s="418">
        <v>44861</v>
      </c>
      <c r="R742" s="419">
        <v>9</v>
      </c>
      <c r="S742" s="458">
        <v>54629</v>
      </c>
      <c r="T742" s="420" t="s">
        <v>2156</v>
      </c>
      <c r="U742" s="414" t="s">
        <v>3713</v>
      </c>
      <c r="V742" s="414" t="s">
        <v>3714</v>
      </c>
      <c r="W742" s="417" t="s">
        <v>3715</v>
      </c>
      <c r="X742" s="417"/>
      <c r="Y742" s="421" t="s">
        <v>3652</v>
      </c>
      <c r="Z742" s="421" t="s">
        <v>3652</v>
      </c>
      <c r="AA742" s="416" t="s">
        <v>4482</v>
      </c>
      <c r="AB742" s="414" t="s">
        <v>3716</v>
      </c>
      <c r="AC742" s="426"/>
      <c r="AD742" s="421"/>
      <c r="AE742" s="420"/>
      <c r="AF742" s="421">
        <v>91366</v>
      </c>
      <c r="AG742" s="420" t="s">
        <v>5050</v>
      </c>
      <c r="AH742" s="421" t="s">
        <v>3665</v>
      </c>
      <c r="AI742" s="420" t="s">
        <v>3719</v>
      </c>
      <c r="AJ742" s="413" t="str">
        <f t="shared" si="47"/>
        <v>4590007763_009</v>
      </c>
      <c r="AK742" s="423"/>
      <c r="AL742" s="413"/>
      <c r="AM742" s="221"/>
      <c r="AN742" s="424"/>
      <c r="AO742" s="423"/>
      <c r="AP742" s="413"/>
      <c r="AQ742" s="222"/>
      <c r="AR742" s="424"/>
      <c r="AS742" s="614">
        <f ca="1">表格1_6[[#This Row],[total amount]]/表格1_6[[#This Row],[PO$]]</f>
        <v>0</v>
      </c>
      <c r="AT742" s="223">
        <f ca="1">表格1_6[[#This Row],[invoice amount]]+表格1_6[[#This Row],[invoice amount2]]</f>
        <v>0</v>
      </c>
      <c r="AU742" s="224"/>
      <c r="AV742" s="423"/>
      <c r="AW742" s="423" t="e">
        <f ca="1">VLOOKUP(表格1_6[[#This Row],[TI tool ID2]],工作表1!A:A,1,FALSE)</f>
        <v>#N/A</v>
      </c>
      <c r="AX742" s="425" t="e">
        <f ca="1">VLOOKUP(表格1_6[[#This Row],[PO+ITEM]],工作表1!B:E,2,FALSE)</f>
        <v>#N/A</v>
      </c>
      <c r="AY742" s="425" t="e">
        <f ca="1">VLOOKUP(表格1_6[[#This Row],[PO+ITEM]],工作表1!B:E,3,FALSE)</f>
        <v>#N/A</v>
      </c>
      <c r="AZ742" s="423" t="e">
        <f ca="1">VLOOKUP(表格1_6[[#This Row],[PO+ITEM]],工作表1!B:E,4,FALSE)</f>
        <v>#N/A</v>
      </c>
      <c r="BA742" s="425" t="e">
        <f ca="1">INDEX(工作表1!G:G, MATCH(表格1_6[[#This Row],[invoice number]]&amp;表格1_6[[#This Row],[invoice number2]],工作表1!G:G, 0))</f>
        <v>#N/A</v>
      </c>
      <c r="BB742" s="423" t="e">
        <f ca="1">VLOOKUP(表格1_6[[#This Row],[PO+ITEM]],工作表1!F:H,2,FALSE)</f>
        <v>#N/A</v>
      </c>
    </row>
    <row r="743" spans="1:54" ht="14.45">
      <c r="A743" s="413">
        <v>742</v>
      </c>
      <c r="B743" s="413" t="s">
        <v>3674</v>
      </c>
      <c r="C743" s="414" t="s">
        <v>17</v>
      </c>
      <c r="D743" s="414" t="s">
        <v>3648</v>
      </c>
      <c r="E743" s="414"/>
      <c r="F743" s="414"/>
      <c r="G743" s="414"/>
      <c r="H743" s="414"/>
      <c r="I743" s="414"/>
      <c r="J743" s="414"/>
      <c r="K743" s="414"/>
      <c r="L743" s="415" t="s">
        <v>5430</v>
      </c>
      <c r="M743" s="416" t="s">
        <v>2999</v>
      </c>
      <c r="N743" s="416" t="s">
        <v>2999</v>
      </c>
      <c r="O743" s="417"/>
      <c r="P743" s="416">
        <v>4590007763</v>
      </c>
      <c r="Q743" s="418">
        <v>44861</v>
      </c>
      <c r="R743" s="419">
        <v>10</v>
      </c>
      <c r="S743" s="458">
        <v>54629</v>
      </c>
      <c r="T743" s="420" t="s">
        <v>2156</v>
      </c>
      <c r="U743" s="414" t="s">
        <v>3713</v>
      </c>
      <c r="V743" s="414" t="s">
        <v>3714</v>
      </c>
      <c r="W743" s="417" t="s">
        <v>3715</v>
      </c>
      <c r="X743" s="417"/>
      <c r="Y743" s="421" t="s">
        <v>3652</v>
      </c>
      <c r="Z743" s="421" t="s">
        <v>3652</v>
      </c>
      <c r="AA743" s="416" t="s">
        <v>4482</v>
      </c>
      <c r="AB743" s="414" t="s">
        <v>3716</v>
      </c>
      <c r="AC743" s="426"/>
      <c r="AD743" s="421"/>
      <c r="AE743" s="420"/>
      <c r="AF743" s="421">
        <v>90489</v>
      </c>
      <c r="AG743" s="420" t="s">
        <v>4496</v>
      </c>
      <c r="AH743" s="421" t="s">
        <v>3665</v>
      </c>
      <c r="AI743" s="420" t="s">
        <v>3719</v>
      </c>
      <c r="AJ743" s="413" t="str">
        <f t="shared" ref="AJ743:AJ751" si="48">P743&amp;"_0"&amp;R743</f>
        <v>4590007763_010</v>
      </c>
      <c r="AK743" s="423" t="s">
        <v>5431</v>
      </c>
      <c r="AL743" s="424">
        <v>45401</v>
      </c>
      <c r="AM743" s="221">
        <v>54629</v>
      </c>
      <c r="AN743" s="424">
        <v>45488</v>
      </c>
      <c r="AO743" s="423"/>
      <c r="AP743" s="413"/>
      <c r="AQ743" s="222"/>
      <c r="AR743" s="424"/>
      <c r="AS743" s="614">
        <f ca="1">表格1_6[[#This Row],[total amount]]/表格1_6[[#This Row],[PO$]]</f>
        <v>1</v>
      </c>
      <c r="AT743" s="223">
        <f ca="1">表格1_6[[#This Row],[invoice amount]]+表格1_6[[#This Row],[invoice amount2]]</f>
        <v>54629</v>
      </c>
      <c r="AU743" s="224" t="s">
        <v>3673</v>
      </c>
      <c r="AV743" s="423"/>
      <c r="AW743" s="423" t="e">
        <f ca="1">VLOOKUP(表格1_6[[#This Row],[TI tool ID2]],工作表1!A:A,1,FALSE)</f>
        <v>#N/A</v>
      </c>
      <c r="AX743" s="425" t="e">
        <f ca="1">VLOOKUP(表格1_6[[#This Row],[PO+ITEM]],工作表1!B:E,2,FALSE)</f>
        <v>#N/A</v>
      </c>
      <c r="AY743" s="425" t="e">
        <f ca="1">VLOOKUP(表格1_6[[#This Row],[PO+ITEM]],工作表1!B:E,3,FALSE)</f>
        <v>#N/A</v>
      </c>
      <c r="AZ743" s="423" t="e">
        <f ca="1">VLOOKUP(表格1_6[[#This Row],[PO+ITEM]],工作表1!B:E,4,FALSE)</f>
        <v>#N/A</v>
      </c>
      <c r="BA743" s="425" t="e">
        <f ca="1">INDEX(工作表1!G:G, MATCH(表格1_6[[#This Row],[invoice number]]&amp;表格1_6[[#This Row],[invoice number2]],工作表1!G:G, 0))</f>
        <v>#N/A</v>
      </c>
      <c r="BB743" s="423" t="e">
        <f ca="1">VLOOKUP(表格1_6[[#This Row],[PO+ITEM]],工作表1!F:H,2,FALSE)</f>
        <v>#N/A</v>
      </c>
    </row>
    <row r="744" spans="1:54" ht="14.45">
      <c r="A744" s="413">
        <v>743</v>
      </c>
      <c r="B744" s="413" t="s">
        <v>3674</v>
      </c>
      <c r="C744" s="414" t="s">
        <v>17</v>
      </c>
      <c r="D744" s="414" t="s">
        <v>3648</v>
      </c>
      <c r="E744" s="414"/>
      <c r="F744" s="414"/>
      <c r="G744" s="414"/>
      <c r="H744" s="414"/>
      <c r="I744" s="414"/>
      <c r="J744" s="414"/>
      <c r="K744" s="414"/>
      <c r="L744" s="415" t="s">
        <v>5432</v>
      </c>
      <c r="M744" s="416" t="s">
        <v>2999</v>
      </c>
      <c r="N744" s="416" t="s">
        <v>2999</v>
      </c>
      <c r="O744" s="417"/>
      <c r="P744" s="416">
        <v>4590007763</v>
      </c>
      <c r="Q744" s="418">
        <v>44861</v>
      </c>
      <c r="R744" s="419">
        <v>11</v>
      </c>
      <c r="S744" s="458">
        <v>34754</v>
      </c>
      <c r="T744" s="420" t="s">
        <v>2156</v>
      </c>
      <c r="U744" s="414" t="s">
        <v>3713</v>
      </c>
      <c r="V744" s="414" t="s">
        <v>3714</v>
      </c>
      <c r="W744" s="417" t="s">
        <v>3715</v>
      </c>
      <c r="X744" s="417"/>
      <c r="Y744" s="421" t="s">
        <v>3652</v>
      </c>
      <c r="Z744" s="421" t="s">
        <v>3652</v>
      </c>
      <c r="AA744" s="416" t="s">
        <v>4482</v>
      </c>
      <c r="AB744" s="414" t="s">
        <v>3716</v>
      </c>
      <c r="AC744" s="426"/>
      <c r="AD744" s="421"/>
      <c r="AE744" s="420"/>
      <c r="AF744" s="421">
        <v>90131</v>
      </c>
      <c r="AG744" s="420" t="s">
        <v>4490</v>
      </c>
      <c r="AH744" s="421" t="s">
        <v>3665</v>
      </c>
      <c r="AI744" s="420" t="s">
        <v>3719</v>
      </c>
      <c r="AJ744" s="413" t="str">
        <f t="shared" si="48"/>
        <v>4590007763_011</v>
      </c>
      <c r="AK744" s="423"/>
      <c r="AL744" s="424">
        <v>45047</v>
      </c>
      <c r="AM744" s="221">
        <v>13901.6</v>
      </c>
      <c r="AN744" s="424">
        <v>45153</v>
      </c>
      <c r="AO744" s="423" t="s">
        <v>5433</v>
      </c>
      <c r="AP744" s="424">
        <v>45401</v>
      </c>
      <c r="AQ744" s="221">
        <v>20852.400000000001</v>
      </c>
      <c r="AR744" s="424">
        <v>45442</v>
      </c>
      <c r="AS744" s="614">
        <f ca="1">表格1_6[[#This Row],[total amount]]/表格1_6[[#This Row],[PO$]]</f>
        <v>1</v>
      </c>
      <c r="AT744" s="223">
        <f ca="1">表格1_6[[#This Row],[invoice amount]]+表格1_6[[#This Row],[invoice amount2]]</f>
        <v>34754</v>
      </c>
      <c r="AU744" s="224" t="s">
        <v>3673</v>
      </c>
      <c r="AV744" s="423"/>
      <c r="AW744" s="423" t="e">
        <f ca="1">VLOOKUP(表格1_6[[#This Row],[TI tool ID2]],工作表1!A:A,1,FALSE)</f>
        <v>#N/A</v>
      </c>
      <c r="AX744" s="425" t="e">
        <f ca="1">VLOOKUP(表格1_6[[#This Row],[PO+ITEM]],工作表1!B:E,2,FALSE)</f>
        <v>#N/A</v>
      </c>
      <c r="AY744" s="425" t="e">
        <f ca="1">VLOOKUP(表格1_6[[#This Row],[PO+ITEM]],工作表1!B:E,3,FALSE)</f>
        <v>#N/A</v>
      </c>
      <c r="AZ744" s="423" t="e">
        <f ca="1">VLOOKUP(表格1_6[[#This Row],[PO+ITEM]],工作表1!B:E,4,FALSE)</f>
        <v>#N/A</v>
      </c>
      <c r="BA744" s="425" t="e">
        <f ca="1">INDEX(工作表1!G:G, MATCH(表格1_6[[#This Row],[invoice number]]&amp;表格1_6[[#This Row],[invoice number2]],工作表1!G:G, 0))</f>
        <v>#N/A</v>
      </c>
      <c r="BB744" s="423" t="e">
        <f ca="1">VLOOKUP(表格1_6[[#This Row],[PO+ITEM]],工作表1!F:H,2,FALSE)</f>
        <v>#N/A</v>
      </c>
    </row>
    <row r="745" spans="1:54">
      <c r="A745" s="413">
        <v>744</v>
      </c>
      <c r="B745" s="413" t="s">
        <v>3674</v>
      </c>
      <c r="C745" s="414" t="s">
        <v>17</v>
      </c>
      <c r="D745" s="414" t="s">
        <v>3648</v>
      </c>
      <c r="E745" s="414"/>
      <c r="F745" s="414"/>
      <c r="G745" s="414"/>
      <c r="H745" s="414"/>
      <c r="I745" s="414"/>
      <c r="J745" s="414"/>
      <c r="K745" s="414"/>
      <c r="L745" s="415" t="s">
        <v>5434</v>
      </c>
      <c r="M745" s="416" t="s">
        <v>2999</v>
      </c>
      <c r="N745" s="416" t="s">
        <v>2999</v>
      </c>
      <c r="O745" s="417"/>
      <c r="P745" s="416">
        <v>4590007763</v>
      </c>
      <c r="Q745" s="418">
        <v>44861</v>
      </c>
      <c r="R745" s="419">
        <v>12</v>
      </c>
      <c r="S745" s="458">
        <v>34754</v>
      </c>
      <c r="T745" s="420" t="s">
        <v>2156</v>
      </c>
      <c r="U745" s="414" t="s">
        <v>3713</v>
      </c>
      <c r="V745" s="414" t="s">
        <v>3714</v>
      </c>
      <c r="W745" s="417" t="s">
        <v>3715</v>
      </c>
      <c r="X745" s="417"/>
      <c r="Y745" s="421" t="s">
        <v>3652</v>
      </c>
      <c r="Z745" s="421" t="s">
        <v>3652</v>
      </c>
      <c r="AA745" s="416" t="s">
        <v>4486</v>
      </c>
      <c r="AB745" s="414" t="s">
        <v>3716</v>
      </c>
      <c r="AC745" s="426"/>
      <c r="AD745" s="421"/>
      <c r="AE745" s="420"/>
      <c r="AF745" s="421">
        <v>90133</v>
      </c>
      <c r="AG745" s="420" t="s">
        <v>4493</v>
      </c>
      <c r="AH745" s="421" t="s">
        <v>3665</v>
      </c>
      <c r="AI745" s="420" t="s">
        <v>3719</v>
      </c>
      <c r="AJ745" s="413" t="str">
        <f t="shared" si="48"/>
        <v>4590007763_012</v>
      </c>
      <c r="AK745" s="423"/>
      <c r="AL745" s="424">
        <v>45047</v>
      </c>
      <c r="AM745" s="221">
        <v>16683.599999999999</v>
      </c>
      <c r="AN745" s="424">
        <v>45212</v>
      </c>
      <c r="AO745" s="425" t="s">
        <v>5435</v>
      </c>
      <c r="AP745" s="424">
        <v>45548</v>
      </c>
      <c r="AQ745" s="273">
        <v>18070.400000000001</v>
      </c>
      <c r="AR745" s="424"/>
      <c r="AS745" s="614">
        <f ca="1">表格1_6[[#This Row],[total amount]]/表格1_6[[#This Row],[PO$]]</f>
        <v>1</v>
      </c>
      <c r="AT745" s="223">
        <f ca="1">表格1_6[[#This Row],[invoice amount]]+表格1_6[[#This Row],[invoice amount2]]</f>
        <v>34754</v>
      </c>
      <c r="AU745" s="224" t="s">
        <v>4371</v>
      </c>
      <c r="AV745" s="423"/>
      <c r="AW745" s="423" t="e">
        <f ca="1">VLOOKUP(表格1_6[[#This Row],[TI tool ID2]],工作表1!A:A,1,FALSE)</f>
        <v>#N/A</v>
      </c>
      <c r="AX745" s="425" t="e">
        <f ca="1">VLOOKUP(表格1_6[[#This Row],[PO+ITEM]],工作表1!B:E,2,FALSE)</f>
        <v>#N/A</v>
      </c>
      <c r="AY745" s="425" t="e">
        <f ca="1">VLOOKUP(表格1_6[[#This Row],[PO+ITEM]],工作表1!B:E,3,FALSE)</f>
        <v>#N/A</v>
      </c>
      <c r="AZ745" s="423" t="e">
        <f ca="1">VLOOKUP(表格1_6[[#This Row],[PO+ITEM]],工作表1!B:E,4,FALSE)</f>
        <v>#N/A</v>
      </c>
      <c r="BA745" s="425" t="e">
        <f ca="1">INDEX(工作表1!G:G, MATCH(表格1_6[[#This Row],[invoice number]]&amp;表格1_6[[#This Row],[invoice number2]],工作表1!G:G, 0))</f>
        <v>#N/A</v>
      </c>
      <c r="BB745" s="423" t="e">
        <f ca="1">VLOOKUP(表格1_6[[#This Row],[PO+ITEM]],工作表1!F:H,2,FALSE)</f>
        <v>#N/A</v>
      </c>
    </row>
    <row r="746" spans="1:54" ht="14.45">
      <c r="A746" s="413">
        <v>745</v>
      </c>
      <c r="B746" s="413" t="s">
        <v>3659</v>
      </c>
      <c r="C746" s="414" t="s">
        <v>17</v>
      </c>
      <c r="D746" s="414" t="s">
        <v>3648</v>
      </c>
      <c r="E746" s="414"/>
      <c r="F746" s="414"/>
      <c r="G746" s="414"/>
      <c r="H746" s="414"/>
      <c r="I746" s="414"/>
      <c r="J746" s="414"/>
      <c r="K746" s="414"/>
      <c r="L746" s="415" t="s">
        <v>5436</v>
      </c>
      <c r="M746" s="416" t="s">
        <v>2999</v>
      </c>
      <c r="N746" s="416" t="s">
        <v>2999</v>
      </c>
      <c r="O746" s="417"/>
      <c r="P746" s="416">
        <v>4590007763</v>
      </c>
      <c r="Q746" s="418">
        <v>44861</v>
      </c>
      <c r="R746" s="419">
        <v>13</v>
      </c>
      <c r="S746" s="458">
        <v>34754</v>
      </c>
      <c r="T746" s="420" t="s">
        <v>2156</v>
      </c>
      <c r="U746" s="414" t="s">
        <v>3713</v>
      </c>
      <c r="V746" s="414" t="s">
        <v>3714</v>
      </c>
      <c r="W746" s="417" t="s">
        <v>3715</v>
      </c>
      <c r="X746" s="417"/>
      <c r="Y746" s="421" t="s">
        <v>3652</v>
      </c>
      <c r="Z746" s="421" t="s">
        <v>3652</v>
      </c>
      <c r="AA746" s="416" t="s">
        <v>4482</v>
      </c>
      <c r="AB746" s="414" t="s">
        <v>3716</v>
      </c>
      <c r="AC746" s="426"/>
      <c r="AD746" s="421"/>
      <c r="AE746" s="420"/>
      <c r="AF746" s="421">
        <v>91417</v>
      </c>
      <c r="AG746" s="420" t="s">
        <v>5015</v>
      </c>
      <c r="AH746" s="421" t="s">
        <v>3665</v>
      </c>
      <c r="AI746" s="420" t="s">
        <v>3719</v>
      </c>
      <c r="AJ746" s="413" t="str">
        <f t="shared" si="48"/>
        <v>4590007763_013</v>
      </c>
      <c r="AK746" s="423"/>
      <c r="AL746" s="424">
        <v>45047</v>
      </c>
      <c r="AM746" s="221">
        <v>13901.6</v>
      </c>
      <c r="AN746" s="424">
        <v>45153</v>
      </c>
      <c r="AO746" s="423"/>
      <c r="AP746" s="413"/>
      <c r="AQ746" s="222"/>
      <c r="AR746" s="424"/>
      <c r="AS746" s="614">
        <f ca="1">表格1_6[[#This Row],[total amount]]/表格1_6[[#This Row],[PO$]]</f>
        <v>0.4</v>
      </c>
      <c r="AT746" s="223">
        <f ca="1">表格1_6[[#This Row],[invoice amount]]+表格1_6[[#This Row],[invoice amount2]]</f>
        <v>13901.6</v>
      </c>
      <c r="AU746" s="224" t="s">
        <v>3673</v>
      </c>
      <c r="AV746" s="423"/>
      <c r="AW746" s="423" t="e">
        <f ca="1">VLOOKUP(表格1_6[[#This Row],[TI tool ID2]],工作表1!A:A,1,FALSE)</f>
        <v>#N/A</v>
      </c>
      <c r="AX746" s="425" t="e">
        <f ca="1">VLOOKUP(表格1_6[[#This Row],[PO+ITEM]],工作表1!B:E,2,FALSE)</f>
        <v>#N/A</v>
      </c>
      <c r="AY746" s="425" t="e">
        <f ca="1">VLOOKUP(表格1_6[[#This Row],[PO+ITEM]],工作表1!B:E,3,FALSE)</f>
        <v>#N/A</v>
      </c>
      <c r="AZ746" s="423" t="e">
        <f ca="1">VLOOKUP(表格1_6[[#This Row],[PO+ITEM]],工作表1!B:E,4,FALSE)</f>
        <v>#N/A</v>
      </c>
      <c r="BA746" s="425" t="e">
        <f ca="1">INDEX(工作表1!G:G, MATCH(表格1_6[[#This Row],[invoice number]]&amp;表格1_6[[#This Row],[invoice number2]],工作表1!G:G, 0))</f>
        <v>#N/A</v>
      </c>
      <c r="BB746" s="423" t="e">
        <f ca="1">VLOOKUP(表格1_6[[#This Row],[PO+ITEM]],工作表1!F:H,2,FALSE)</f>
        <v>#N/A</v>
      </c>
    </row>
    <row r="747" spans="1:54" ht="14.45">
      <c r="A747" s="413">
        <v>746</v>
      </c>
      <c r="B747" s="413" t="s">
        <v>3659</v>
      </c>
      <c r="C747" s="414" t="s">
        <v>17</v>
      </c>
      <c r="D747" s="414" t="s">
        <v>3648</v>
      </c>
      <c r="E747" s="414"/>
      <c r="F747" s="414"/>
      <c r="G747" s="414"/>
      <c r="H747" s="414"/>
      <c r="I747" s="414"/>
      <c r="J747" s="414"/>
      <c r="K747" s="414"/>
      <c r="L747" s="415" t="s">
        <v>5437</v>
      </c>
      <c r="M747" s="416" t="s">
        <v>2999</v>
      </c>
      <c r="N747" s="416" t="s">
        <v>2999</v>
      </c>
      <c r="O747" s="417"/>
      <c r="P747" s="416">
        <v>4590007763</v>
      </c>
      <c r="Q747" s="418">
        <v>44861</v>
      </c>
      <c r="R747" s="419">
        <v>14</v>
      </c>
      <c r="S747" s="458">
        <v>34754</v>
      </c>
      <c r="T747" s="420" t="s">
        <v>2156</v>
      </c>
      <c r="U747" s="414" t="s">
        <v>3713</v>
      </c>
      <c r="V747" s="414" t="s">
        <v>3714</v>
      </c>
      <c r="W747" s="417" t="s">
        <v>3715</v>
      </c>
      <c r="X747" s="417"/>
      <c r="Y747" s="421" t="s">
        <v>3652</v>
      </c>
      <c r="Z747" s="421" t="s">
        <v>3652</v>
      </c>
      <c r="AA747" s="416" t="s">
        <v>4482</v>
      </c>
      <c r="AB747" s="414" t="s">
        <v>3716</v>
      </c>
      <c r="AC747" s="426"/>
      <c r="AD747" s="421"/>
      <c r="AE747" s="420"/>
      <c r="AF747" s="421">
        <v>91422</v>
      </c>
      <c r="AG747" s="420" t="s">
        <v>5021</v>
      </c>
      <c r="AH747" s="421" t="s">
        <v>3665</v>
      </c>
      <c r="AI747" s="420" t="s">
        <v>3719</v>
      </c>
      <c r="AJ747" s="413" t="str">
        <f t="shared" si="48"/>
        <v>4590007763_014</v>
      </c>
      <c r="AK747" s="423"/>
      <c r="AL747" s="424">
        <v>45047</v>
      </c>
      <c r="AM747" s="221">
        <v>13901.6</v>
      </c>
      <c r="AN747" s="424">
        <v>45153</v>
      </c>
      <c r="AO747" s="423"/>
      <c r="AP747" s="413"/>
      <c r="AQ747" s="222"/>
      <c r="AR747" s="424"/>
      <c r="AS747" s="614">
        <f ca="1">表格1_6[[#This Row],[total amount]]/表格1_6[[#This Row],[PO$]]</f>
        <v>0.4</v>
      </c>
      <c r="AT747" s="223">
        <f ca="1">表格1_6[[#This Row],[invoice amount]]+表格1_6[[#This Row],[invoice amount2]]</f>
        <v>13901.6</v>
      </c>
      <c r="AU747" s="224" t="s">
        <v>3673</v>
      </c>
      <c r="AV747" s="423"/>
      <c r="AW747" s="423" t="e">
        <f ca="1">VLOOKUP(表格1_6[[#This Row],[TI tool ID2]],工作表1!A:A,1,FALSE)</f>
        <v>#N/A</v>
      </c>
      <c r="AX747" s="425" t="e">
        <f ca="1">VLOOKUP(表格1_6[[#This Row],[PO+ITEM]],工作表1!B:E,2,FALSE)</f>
        <v>#N/A</v>
      </c>
      <c r="AY747" s="425" t="e">
        <f ca="1">VLOOKUP(表格1_6[[#This Row],[PO+ITEM]],工作表1!B:E,3,FALSE)</f>
        <v>#N/A</v>
      </c>
      <c r="AZ747" s="423" t="e">
        <f ca="1">VLOOKUP(表格1_6[[#This Row],[PO+ITEM]],工作表1!B:E,4,FALSE)</f>
        <v>#N/A</v>
      </c>
      <c r="BA747" s="425" t="e">
        <f ca="1">INDEX(工作表1!G:G, MATCH(表格1_6[[#This Row],[invoice number]]&amp;表格1_6[[#This Row],[invoice number2]],工作表1!G:G, 0))</f>
        <v>#N/A</v>
      </c>
      <c r="BB747" s="423" t="e">
        <f ca="1">VLOOKUP(表格1_6[[#This Row],[PO+ITEM]],工作表1!F:H,2,FALSE)</f>
        <v>#N/A</v>
      </c>
    </row>
    <row r="748" spans="1:54" ht="14.45">
      <c r="A748" s="413">
        <v>747</v>
      </c>
      <c r="B748" s="413" t="s">
        <v>3674</v>
      </c>
      <c r="C748" s="414" t="s">
        <v>17</v>
      </c>
      <c r="D748" s="414" t="s">
        <v>3648</v>
      </c>
      <c r="E748" s="414"/>
      <c r="F748" s="414"/>
      <c r="G748" s="414"/>
      <c r="H748" s="414"/>
      <c r="I748" s="414"/>
      <c r="J748" s="414"/>
      <c r="K748" s="414"/>
      <c r="L748" s="415" t="s">
        <v>5438</v>
      </c>
      <c r="M748" s="416" t="s">
        <v>2999</v>
      </c>
      <c r="N748" s="416" t="s">
        <v>2999</v>
      </c>
      <c r="O748" s="417"/>
      <c r="P748" s="416">
        <v>4590007763</v>
      </c>
      <c r="Q748" s="418">
        <v>44861</v>
      </c>
      <c r="R748" s="419">
        <v>15</v>
      </c>
      <c r="S748" s="458">
        <v>41709</v>
      </c>
      <c r="T748" s="420" t="s">
        <v>2156</v>
      </c>
      <c r="U748" s="414" t="s">
        <v>3713</v>
      </c>
      <c r="V748" s="414" t="s">
        <v>3714</v>
      </c>
      <c r="W748" s="417" t="s">
        <v>3715</v>
      </c>
      <c r="X748" s="417"/>
      <c r="Y748" s="421" t="s">
        <v>3652</v>
      </c>
      <c r="Z748" s="421" t="s">
        <v>3652</v>
      </c>
      <c r="AA748" s="416" t="s">
        <v>4482</v>
      </c>
      <c r="AB748" s="414" t="s">
        <v>3716</v>
      </c>
      <c r="AC748" s="426"/>
      <c r="AD748" s="421"/>
      <c r="AE748" s="420"/>
      <c r="AF748" s="421">
        <v>90134</v>
      </c>
      <c r="AG748" s="420" t="s">
        <v>4483</v>
      </c>
      <c r="AH748" s="421" t="s">
        <v>3665</v>
      </c>
      <c r="AI748" s="420" t="s">
        <v>3719</v>
      </c>
      <c r="AJ748" s="413" t="str">
        <f t="shared" si="48"/>
        <v>4590007763_015</v>
      </c>
      <c r="AK748" s="423"/>
      <c r="AL748" s="424">
        <v>45047</v>
      </c>
      <c r="AM748" s="221">
        <v>16683.600000000002</v>
      </c>
      <c r="AN748" s="424">
        <v>45153</v>
      </c>
      <c r="AO748" s="423" t="s">
        <v>5439</v>
      </c>
      <c r="AP748" s="424">
        <v>45401</v>
      </c>
      <c r="AQ748" s="221">
        <v>25025.4</v>
      </c>
      <c r="AR748" s="424">
        <v>45442</v>
      </c>
      <c r="AS748" s="614">
        <f ca="1">表格1_6[[#This Row],[total amount]]/表格1_6[[#This Row],[PO$]]</f>
        <v>1</v>
      </c>
      <c r="AT748" s="223">
        <f ca="1">表格1_6[[#This Row],[invoice amount]]+表格1_6[[#This Row],[invoice amount2]]</f>
        <v>41709</v>
      </c>
      <c r="AU748" s="224" t="s">
        <v>3673</v>
      </c>
      <c r="AV748" s="423"/>
      <c r="AW748" s="423" t="e">
        <f ca="1">VLOOKUP(表格1_6[[#This Row],[TI tool ID2]],工作表1!A:A,1,FALSE)</f>
        <v>#N/A</v>
      </c>
      <c r="AX748" s="425" t="e">
        <f ca="1">VLOOKUP(表格1_6[[#This Row],[PO+ITEM]],工作表1!B:E,2,FALSE)</f>
        <v>#N/A</v>
      </c>
      <c r="AY748" s="425" t="e">
        <f ca="1">VLOOKUP(表格1_6[[#This Row],[PO+ITEM]],工作表1!B:E,3,FALSE)</f>
        <v>#N/A</v>
      </c>
      <c r="AZ748" s="423" t="e">
        <f ca="1">VLOOKUP(表格1_6[[#This Row],[PO+ITEM]],工作表1!B:E,4,FALSE)</f>
        <v>#N/A</v>
      </c>
      <c r="BA748" s="425" t="e">
        <f ca="1">INDEX(工作表1!G:G, MATCH(表格1_6[[#This Row],[invoice number]]&amp;表格1_6[[#This Row],[invoice number2]],工作表1!G:G, 0))</f>
        <v>#N/A</v>
      </c>
      <c r="BB748" s="423" t="e">
        <f ca="1">VLOOKUP(表格1_6[[#This Row],[PO+ITEM]],工作表1!F:H,2,FALSE)</f>
        <v>#N/A</v>
      </c>
    </row>
    <row r="749" spans="1:54">
      <c r="A749" s="413">
        <v>748</v>
      </c>
      <c r="B749" s="413" t="s">
        <v>3674</v>
      </c>
      <c r="C749" s="414" t="s">
        <v>17</v>
      </c>
      <c r="D749" s="414" t="s">
        <v>3648</v>
      </c>
      <c r="E749" s="414"/>
      <c r="F749" s="414"/>
      <c r="G749" s="414"/>
      <c r="H749" s="414"/>
      <c r="I749" s="414"/>
      <c r="J749" s="414"/>
      <c r="K749" s="414"/>
      <c r="L749" s="415" t="s">
        <v>5440</v>
      </c>
      <c r="M749" s="416" t="s">
        <v>2999</v>
      </c>
      <c r="N749" s="416" t="s">
        <v>2999</v>
      </c>
      <c r="O749" s="417"/>
      <c r="P749" s="416">
        <v>4590007763</v>
      </c>
      <c r="Q749" s="418">
        <v>44861</v>
      </c>
      <c r="R749" s="419">
        <v>16</v>
      </c>
      <c r="S749" s="458">
        <v>41709</v>
      </c>
      <c r="T749" s="420" t="s">
        <v>2156</v>
      </c>
      <c r="U749" s="414" t="s">
        <v>3713</v>
      </c>
      <c r="V749" s="414" t="s">
        <v>3714</v>
      </c>
      <c r="W749" s="417" t="s">
        <v>3715</v>
      </c>
      <c r="X749" s="417"/>
      <c r="Y749" s="421" t="s">
        <v>3652</v>
      </c>
      <c r="Z749" s="421" t="s">
        <v>3652</v>
      </c>
      <c r="AA749" s="416" t="s">
        <v>4486</v>
      </c>
      <c r="AB749" s="414" t="s">
        <v>3716</v>
      </c>
      <c r="AC749" s="426"/>
      <c r="AD749" s="421"/>
      <c r="AE749" s="420"/>
      <c r="AF749" s="421">
        <v>90135</v>
      </c>
      <c r="AG749" s="420" t="s">
        <v>4487</v>
      </c>
      <c r="AH749" s="421" t="s">
        <v>3665</v>
      </c>
      <c r="AI749" s="420" t="s">
        <v>3719</v>
      </c>
      <c r="AJ749" s="413" t="str">
        <f t="shared" si="48"/>
        <v>4590007763_016</v>
      </c>
      <c r="AK749" s="423"/>
      <c r="AL749" s="424">
        <v>45047</v>
      </c>
      <c r="AM749" s="221">
        <v>16683.600000000002</v>
      </c>
      <c r="AN749" s="424">
        <v>45153</v>
      </c>
      <c r="AO749" s="425" t="s">
        <v>5441</v>
      </c>
      <c r="AP749" s="424">
        <v>45548</v>
      </c>
      <c r="AQ749" s="273">
        <v>25025.4</v>
      </c>
      <c r="AR749" s="424"/>
      <c r="AS749" s="614">
        <f ca="1">表格1_6[[#This Row],[total amount]]/表格1_6[[#This Row],[PO$]]</f>
        <v>1</v>
      </c>
      <c r="AT749" s="223">
        <f ca="1">表格1_6[[#This Row],[invoice amount]]+表格1_6[[#This Row],[invoice amount2]]</f>
        <v>41709</v>
      </c>
      <c r="AU749" s="224" t="s">
        <v>4371</v>
      </c>
      <c r="AV749" s="423"/>
      <c r="AW749" s="423" t="e">
        <f ca="1">VLOOKUP(表格1_6[[#This Row],[TI tool ID2]],工作表1!A:A,1,FALSE)</f>
        <v>#N/A</v>
      </c>
      <c r="AX749" s="425" t="e">
        <f ca="1">VLOOKUP(表格1_6[[#This Row],[PO+ITEM]],工作表1!B:E,2,FALSE)</f>
        <v>#N/A</v>
      </c>
      <c r="AY749" s="425" t="e">
        <f ca="1">VLOOKUP(表格1_6[[#This Row],[PO+ITEM]],工作表1!B:E,3,FALSE)</f>
        <v>#N/A</v>
      </c>
      <c r="AZ749" s="423" t="e">
        <f ca="1">VLOOKUP(表格1_6[[#This Row],[PO+ITEM]],工作表1!B:E,4,FALSE)</f>
        <v>#N/A</v>
      </c>
      <c r="BA749" s="425" t="e">
        <f ca="1">INDEX(工作表1!G:G, MATCH(表格1_6[[#This Row],[invoice number]]&amp;表格1_6[[#This Row],[invoice number2]],工作表1!G:G, 0))</f>
        <v>#N/A</v>
      </c>
      <c r="BB749" s="423" t="e">
        <f ca="1">VLOOKUP(表格1_6[[#This Row],[PO+ITEM]],工作表1!F:H,2,FALSE)</f>
        <v>#N/A</v>
      </c>
    </row>
    <row r="750" spans="1:54" ht="14.45">
      <c r="A750" s="413">
        <v>749</v>
      </c>
      <c r="B750" s="413" t="s">
        <v>3659</v>
      </c>
      <c r="C750" s="414" t="s">
        <v>17</v>
      </c>
      <c r="D750" s="414" t="s">
        <v>3648</v>
      </c>
      <c r="E750" s="414"/>
      <c r="F750" s="414"/>
      <c r="G750" s="414"/>
      <c r="H750" s="414"/>
      <c r="I750" s="414"/>
      <c r="J750" s="414"/>
      <c r="K750" s="414"/>
      <c r="L750" s="415" t="s">
        <v>5442</v>
      </c>
      <c r="M750" s="416" t="s">
        <v>2999</v>
      </c>
      <c r="N750" s="416" t="s">
        <v>2999</v>
      </c>
      <c r="O750" s="417"/>
      <c r="P750" s="416">
        <v>4590007763</v>
      </c>
      <c r="Q750" s="418">
        <v>44861</v>
      </c>
      <c r="R750" s="419">
        <v>17</v>
      </c>
      <c r="S750" s="458">
        <v>41709</v>
      </c>
      <c r="T750" s="420" t="s">
        <v>2156</v>
      </c>
      <c r="U750" s="414" t="s">
        <v>3713</v>
      </c>
      <c r="V750" s="414" t="s">
        <v>3714</v>
      </c>
      <c r="W750" s="417" t="s">
        <v>3715</v>
      </c>
      <c r="X750" s="417"/>
      <c r="Y750" s="421" t="s">
        <v>3652</v>
      </c>
      <c r="Z750" s="421" t="s">
        <v>3652</v>
      </c>
      <c r="AA750" s="416" t="s">
        <v>4482</v>
      </c>
      <c r="AB750" s="414" t="s">
        <v>3716</v>
      </c>
      <c r="AC750" s="426"/>
      <c r="AD750" s="421"/>
      <c r="AE750" s="420"/>
      <c r="AF750" s="421">
        <v>91418</v>
      </c>
      <c r="AG750" s="420" t="s">
        <v>5017</v>
      </c>
      <c r="AH750" s="421" t="s">
        <v>3665</v>
      </c>
      <c r="AI750" s="420" t="s">
        <v>3719</v>
      </c>
      <c r="AJ750" s="413" t="str">
        <f t="shared" si="48"/>
        <v>4590007763_017</v>
      </c>
      <c r="AK750" s="423"/>
      <c r="AL750" s="424">
        <v>45047</v>
      </c>
      <c r="AM750" s="221">
        <v>16683.600000000002</v>
      </c>
      <c r="AN750" s="424">
        <v>45153</v>
      </c>
      <c r="AO750" s="423"/>
      <c r="AP750" s="413"/>
      <c r="AQ750" s="222"/>
      <c r="AR750" s="424"/>
      <c r="AS750" s="614">
        <f ca="1">表格1_6[[#This Row],[total amount]]/表格1_6[[#This Row],[PO$]]</f>
        <v>0.40000000000000008</v>
      </c>
      <c r="AT750" s="223">
        <f ca="1">表格1_6[[#This Row],[invoice amount]]+表格1_6[[#This Row],[invoice amount2]]</f>
        <v>16683.600000000002</v>
      </c>
      <c r="AU750" s="224" t="s">
        <v>3673</v>
      </c>
      <c r="AV750" s="423"/>
      <c r="AW750" s="423" t="e">
        <f ca="1">VLOOKUP(表格1_6[[#This Row],[TI tool ID2]],工作表1!A:A,1,FALSE)</f>
        <v>#N/A</v>
      </c>
      <c r="AX750" s="425" t="e">
        <f ca="1">VLOOKUP(表格1_6[[#This Row],[PO+ITEM]],工作表1!B:E,2,FALSE)</f>
        <v>#N/A</v>
      </c>
      <c r="AY750" s="425" t="e">
        <f ca="1">VLOOKUP(表格1_6[[#This Row],[PO+ITEM]],工作表1!B:E,3,FALSE)</f>
        <v>#N/A</v>
      </c>
      <c r="AZ750" s="423" t="e">
        <f ca="1">VLOOKUP(表格1_6[[#This Row],[PO+ITEM]],工作表1!B:E,4,FALSE)</f>
        <v>#N/A</v>
      </c>
      <c r="BA750" s="425" t="e">
        <f ca="1">INDEX(工作表1!G:G, MATCH(表格1_6[[#This Row],[invoice number]]&amp;表格1_6[[#This Row],[invoice number2]],工作表1!G:G, 0))</f>
        <v>#N/A</v>
      </c>
      <c r="BB750" s="423" t="e">
        <f ca="1">VLOOKUP(表格1_6[[#This Row],[PO+ITEM]],工作表1!F:H,2,FALSE)</f>
        <v>#N/A</v>
      </c>
    </row>
    <row r="751" spans="1:54" ht="14.45">
      <c r="A751" s="413">
        <v>750</v>
      </c>
      <c r="B751" s="413" t="s">
        <v>3659</v>
      </c>
      <c r="C751" s="414" t="s">
        <v>17</v>
      </c>
      <c r="D751" s="414" t="s">
        <v>3648</v>
      </c>
      <c r="E751" s="414"/>
      <c r="F751" s="414"/>
      <c r="G751" s="414"/>
      <c r="H751" s="414"/>
      <c r="I751" s="414"/>
      <c r="J751" s="414"/>
      <c r="K751" s="414"/>
      <c r="L751" s="415" t="s">
        <v>5443</v>
      </c>
      <c r="M751" s="416" t="s">
        <v>2999</v>
      </c>
      <c r="N751" s="416" t="s">
        <v>2999</v>
      </c>
      <c r="O751" s="417"/>
      <c r="P751" s="416">
        <v>4590007763</v>
      </c>
      <c r="Q751" s="418">
        <v>44861</v>
      </c>
      <c r="R751" s="419">
        <v>18</v>
      </c>
      <c r="S751" s="458">
        <v>41709</v>
      </c>
      <c r="T751" s="420" t="s">
        <v>2156</v>
      </c>
      <c r="U751" s="414" t="s">
        <v>3713</v>
      </c>
      <c r="V751" s="414" t="s">
        <v>3714</v>
      </c>
      <c r="W751" s="417" t="s">
        <v>3715</v>
      </c>
      <c r="X751" s="417"/>
      <c r="Y751" s="421" t="s">
        <v>3652</v>
      </c>
      <c r="Z751" s="421" t="s">
        <v>3652</v>
      </c>
      <c r="AA751" s="416" t="s">
        <v>4482</v>
      </c>
      <c r="AB751" s="414" t="s">
        <v>3716</v>
      </c>
      <c r="AC751" s="426"/>
      <c r="AD751" s="421"/>
      <c r="AE751" s="420"/>
      <c r="AF751" s="421">
        <v>91419</v>
      </c>
      <c r="AG751" s="420" t="s">
        <v>5019</v>
      </c>
      <c r="AH751" s="421" t="s">
        <v>3665</v>
      </c>
      <c r="AI751" s="420" t="s">
        <v>3719</v>
      </c>
      <c r="AJ751" s="413" t="str">
        <f t="shared" si="48"/>
        <v>4590007763_018</v>
      </c>
      <c r="AK751" s="423"/>
      <c r="AL751" s="424">
        <v>45047</v>
      </c>
      <c r="AM751" s="221">
        <v>16683.600000000002</v>
      </c>
      <c r="AN751" s="424">
        <v>45153</v>
      </c>
      <c r="AO751" s="423"/>
      <c r="AP751" s="413"/>
      <c r="AQ751" s="222"/>
      <c r="AR751" s="424"/>
      <c r="AS751" s="614">
        <f ca="1">表格1_6[[#This Row],[total amount]]/表格1_6[[#This Row],[PO$]]</f>
        <v>0.40000000000000008</v>
      </c>
      <c r="AT751" s="223">
        <f ca="1">表格1_6[[#This Row],[invoice amount]]+表格1_6[[#This Row],[invoice amount2]]</f>
        <v>16683.600000000002</v>
      </c>
      <c r="AU751" s="224" t="s">
        <v>3673</v>
      </c>
      <c r="AV751" s="423"/>
      <c r="AW751" s="423" t="e">
        <f ca="1">VLOOKUP(表格1_6[[#This Row],[TI tool ID2]],工作表1!A:A,1,FALSE)</f>
        <v>#N/A</v>
      </c>
      <c r="AX751" s="425" t="e">
        <f ca="1">VLOOKUP(表格1_6[[#This Row],[PO+ITEM]],工作表1!B:E,2,FALSE)</f>
        <v>#N/A</v>
      </c>
      <c r="AY751" s="425" t="e">
        <f ca="1">VLOOKUP(表格1_6[[#This Row],[PO+ITEM]],工作表1!B:E,3,FALSE)</f>
        <v>#N/A</v>
      </c>
      <c r="AZ751" s="423" t="e">
        <f ca="1">VLOOKUP(表格1_6[[#This Row],[PO+ITEM]],工作表1!B:E,4,FALSE)</f>
        <v>#N/A</v>
      </c>
      <c r="BA751" s="425" t="e">
        <f ca="1">INDEX(工作表1!G:G, MATCH(表格1_6[[#This Row],[invoice number]]&amp;表格1_6[[#This Row],[invoice number2]],工作表1!G:G, 0))</f>
        <v>#N/A</v>
      </c>
      <c r="BB751" s="423" t="e">
        <f ca="1">VLOOKUP(表格1_6[[#This Row],[PO+ITEM]],工作表1!F:H,2,FALSE)</f>
        <v>#N/A</v>
      </c>
    </row>
    <row r="752" spans="1:54" ht="14.45">
      <c r="A752" s="413">
        <v>751</v>
      </c>
      <c r="B752" s="413" t="s">
        <v>3659</v>
      </c>
      <c r="C752" s="414" t="s">
        <v>17</v>
      </c>
      <c r="D752" s="414" t="s">
        <v>3648</v>
      </c>
      <c r="E752" s="414"/>
      <c r="F752" s="414"/>
      <c r="G752" s="414"/>
      <c r="H752" s="414"/>
      <c r="I752" s="414"/>
      <c r="J752" s="414"/>
      <c r="K752" s="414"/>
      <c r="L752" s="415" t="s">
        <v>5444</v>
      </c>
      <c r="M752" s="416" t="s">
        <v>2999</v>
      </c>
      <c r="N752" s="416" t="s">
        <v>2999</v>
      </c>
      <c r="O752" s="417"/>
      <c r="P752" s="416">
        <v>4590007764</v>
      </c>
      <c r="Q752" s="418">
        <v>44861</v>
      </c>
      <c r="R752" s="419">
        <v>1</v>
      </c>
      <c r="S752" s="458">
        <v>35665</v>
      </c>
      <c r="T752" s="420" t="s">
        <v>2156</v>
      </c>
      <c r="U752" s="414" t="s">
        <v>3713</v>
      </c>
      <c r="V752" s="414" t="s">
        <v>3714</v>
      </c>
      <c r="W752" s="417" t="s">
        <v>3715</v>
      </c>
      <c r="X752" s="417"/>
      <c r="Y752" s="421" t="s">
        <v>3652</v>
      </c>
      <c r="Z752" s="421" t="s">
        <v>3652</v>
      </c>
      <c r="AA752" s="416"/>
      <c r="AB752" s="414" t="s">
        <v>3716</v>
      </c>
      <c r="AC752" s="426"/>
      <c r="AD752" s="421"/>
      <c r="AE752" s="420"/>
      <c r="AF752" s="421">
        <v>91415</v>
      </c>
      <c r="AG752" s="420" t="s">
        <v>5093</v>
      </c>
      <c r="AH752" s="421" t="s">
        <v>3711</v>
      </c>
      <c r="AI752" s="420" t="s">
        <v>3719</v>
      </c>
      <c r="AJ752" s="413" t="str">
        <f t="shared" ref="AJ752:AJ760" si="49">P752&amp;"_00"&amp;R752</f>
        <v>4590007764_001</v>
      </c>
      <c r="AK752" s="423"/>
      <c r="AL752" s="413"/>
      <c r="AM752" s="221"/>
      <c r="AN752" s="424"/>
      <c r="AO752" s="423"/>
      <c r="AP752" s="413"/>
      <c r="AQ752" s="222"/>
      <c r="AR752" s="424"/>
      <c r="AS752" s="614">
        <f ca="1">表格1_6[[#This Row],[total amount]]/表格1_6[[#This Row],[PO$]]</f>
        <v>0</v>
      </c>
      <c r="AT752" s="223">
        <f ca="1">表格1_6[[#This Row],[invoice amount]]+表格1_6[[#This Row],[invoice amount2]]</f>
        <v>0</v>
      </c>
      <c r="AU752" s="224"/>
      <c r="AV752" s="423"/>
      <c r="AW752" s="423" t="e">
        <f ca="1">VLOOKUP(表格1_6[[#This Row],[TI tool ID2]],工作表1!A:A,1,FALSE)</f>
        <v>#N/A</v>
      </c>
      <c r="AX752" s="425" t="e">
        <f ca="1">VLOOKUP(表格1_6[[#This Row],[PO+ITEM]],工作表1!B:E,2,FALSE)</f>
        <v>#N/A</v>
      </c>
      <c r="AY752" s="425" t="e">
        <f ca="1">VLOOKUP(表格1_6[[#This Row],[PO+ITEM]],工作表1!B:E,3,FALSE)</f>
        <v>#N/A</v>
      </c>
      <c r="AZ752" s="423" t="e">
        <f ca="1">VLOOKUP(表格1_6[[#This Row],[PO+ITEM]],工作表1!B:E,4,FALSE)</f>
        <v>#N/A</v>
      </c>
      <c r="BA752" s="425" t="e">
        <f ca="1">INDEX(工作表1!G:G, MATCH(表格1_6[[#This Row],[invoice number]]&amp;表格1_6[[#This Row],[invoice number2]],工作表1!G:G, 0))</f>
        <v>#N/A</v>
      </c>
      <c r="BB752" s="423" t="e">
        <f ca="1">VLOOKUP(表格1_6[[#This Row],[PO+ITEM]],工作表1!F:H,2,FALSE)</f>
        <v>#N/A</v>
      </c>
    </row>
    <row r="753" spans="1:54" ht="14.45">
      <c r="A753" s="413">
        <v>752</v>
      </c>
      <c r="B753" s="413" t="s">
        <v>3674</v>
      </c>
      <c r="C753" s="414" t="s">
        <v>17</v>
      </c>
      <c r="D753" s="414" t="s">
        <v>3648</v>
      </c>
      <c r="E753" s="414"/>
      <c r="F753" s="414"/>
      <c r="G753" s="414"/>
      <c r="H753" s="414"/>
      <c r="I753" s="414"/>
      <c r="J753" s="414"/>
      <c r="K753" s="414"/>
      <c r="L753" s="415" t="s">
        <v>5445</v>
      </c>
      <c r="M753" s="416" t="s">
        <v>2999</v>
      </c>
      <c r="N753" s="416" t="s">
        <v>2999</v>
      </c>
      <c r="O753" s="417"/>
      <c r="P753" s="416">
        <v>4590007764</v>
      </c>
      <c r="Q753" s="418">
        <v>44861</v>
      </c>
      <c r="R753" s="419">
        <v>2</v>
      </c>
      <c r="S753" s="458">
        <v>47149</v>
      </c>
      <c r="T753" s="420" t="s">
        <v>2156</v>
      </c>
      <c r="U753" s="414" t="s">
        <v>3713</v>
      </c>
      <c r="V753" s="414" t="s">
        <v>3714</v>
      </c>
      <c r="W753" s="417" t="s">
        <v>3715</v>
      </c>
      <c r="X753" s="417"/>
      <c r="Y753" s="421" t="s">
        <v>3652</v>
      </c>
      <c r="Z753" s="421" t="s">
        <v>3652</v>
      </c>
      <c r="AA753" s="416"/>
      <c r="AB753" s="414" t="s">
        <v>3716</v>
      </c>
      <c r="AC753" s="426"/>
      <c r="AD753" s="421"/>
      <c r="AE753" s="420"/>
      <c r="AF753" s="421">
        <v>90677</v>
      </c>
      <c r="AG753" s="420" t="s">
        <v>4649</v>
      </c>
      <c r="AH753" s="421" t="s">
        <v>3711</v>
      </c>
      <c r="AI753" s="420" t="s">
        <v>3719</v>
      </c>
      <c r="AJ753" s="413" t="str">
        <f t="shared" si="49"/>
        <v>4590007764_002</v>
      </c>
      <c r="AK753" s="425" t="s">
        <v>5446</v>
      </c>
      <c r="AL753" s="424">
        <v>45534</v>
      </c>
      <c r="AM753" s="221">
        <v>47149</v>
      </c>
      <c r="AN753" s="424" t="s">
        <v>3805</v>
      </c>
      <c r="AO753" s="423"/>
      <c r="AP753" s="413"/>
      <c r="AQ753" s="222"/>
      <c r="AR753" s="424"/>
      <c r="AS753" s="614">
        <f ca="1">表格1_6[[#This Row],[total amount]]/表格1_6[[#This Row],[PO$]]</f>
        <v>1</v>
      </c>
      <c r="AT753" s="223">
        <f ca="1">表格1_6[[#This Row],[invoice amount]]+表格1_6[[#This Row],[invoice amount2]]</f>
        <v>47149</v>
      </c>
      <c r="AU753" s="224" t="s">
        <v>3752</v>
      </c>
      <c r="AV753" s="423"/>
      <c r="AW753" s="423" t="e">
        <f ca="1">VLOOKUP(表格1_6[[#This Row],[TI tool ID2]],工作表1!A:A,1,FALSE)</f>
        <v>#N/A</v>
      </c>
      <c r="AX753" s="425" t="e">
        <f ca="1">VLOOKUP(表格1_6[[#This Row],[PO+ITEM]],工作表1!B:E,2,FALSE)</f>
        <v>#N/A</v>
      </c>
      <c r="AY753" s="425" t="e">
        <f ca="1">VLOOKUP(表格1_6[[#This Row],[PO+ITEM]],工作表1!B:E,3,FALSE)</f>
        <v>#N/A</v>
      </c>
      <c r="AZ753" s="423" t="e">
        <f ca="1">VLOOKUP(表格1_6[[#This Row],[PO+ITEM]],工作表1!B:E,4,FALSE)</f>
        <v>#N/A</v>
      </c>
      <c r="BA753" s="425" t="e">
        <f ca="1">INDEX(工作表1!G:G, MATCH(表格1_6[[#This Row],[invoice number]]&amp;表格1_6[[#This Row],[invoice number2]],工作表1!G:G, 0))</f>
        <v>#N/A</v>
      </c>
      <c r="BB753" s="423" t="e">
        <f ca="1">VLOOKUP(表格1_6[[#This Row],[PO+ITEM]],工作表1!F:H,2,FALSE)</f>
        <v>#N/A</v>
      </c>
    </row>
    <row r="754" spans="1:54" ht="14.45">
      <c r="A754" s="413">
        <v>753</v>
      </c>
      <c r="B754" s="413" t="s">
        <v>3674</v>
      </c>
      <c r="C754" s="414" t="s">
        <v>17</v>
      </c>
      <c r="D754" s="414" t="s">
        <v>3648</v>
      </c>
      <c r="E754" s="414"/>
      <c r="F754" s="414"/>
      <c r="G754" s="414"/>
      <c r="H754" s="414"/>
      <c r="I754" s="414"/>
      <c r="J754" s="414"/>
      <c r="K754" s="414"/>
      <c r="L754" s="415" t="s">
        <v>5447</v>
      </c>
      <c r="M754" s="416" t="s">
        <v>2999</v>
      </c>
      <c r="N754" s="416" t="s">
        <v>2999</v>
      </c>
      <c r="O754" s="417"/>
      <c r="P754" s="416">
        <v>4590007764</v>
      </c>
      <c r="Q754" s="418">
        <v>44861</v>
      </c>
      <c r="R754" s="419">
        <v>3</v>
      </c>
      <c r="S754" s="349">
        <v>47149</v>
      </c>
      <c r="T754" s="420" t="s">
        <v>2156</v>
      </c>
      <c r="U754" s="414" t="s">
        <v>3713</v>
      </c>
      <c r="V754" s="414" t="s">
        <v>3714</v>
      </c>
      <c r="W754" s="417" t="s">
        <v>3715</v>
      </c>
      <c r="X754" s="417"/>
      <c r="Y754" s="421" t="s">
        <v>3652</v>
      </c>
      <c r="Z754" s="421" t="s">
        <v>3652</v>
      </c>
      <c r="AA754" s="416"/>
      <c r="AB754" s="414" t="s">
        <v>3716</v>
      </c>
      <c r="AC754" s="426"/>
      <c r="AD754" s="421"/>
      <c r="AE754" s="420"/>
      <c r="AF754" s="421">
        <v>90678</v>
      </c>
      <c r="AG754" s="420" t="s">
        <v>4652</v>
      </c>
      <c r="AH754" s="421" t="s">
        <v>3711</v>
      </c>
      <c r="AI754" s="420" t="s">
        <v>3719</v>
      </c>
      <c r="AJ754" s="413" t="str">
        <f t="shared" si="49"/>
        <v>4590007764_003</v>
      </c>
      <c r="AK754" s="423" t="s">
        <v>5448</v>
      </c>
      <c r="AL754" s="424">
        <v>45401</v>
      </c>
      <c r="AM754" s="221">
        <v>47149</v>
      </c>
      <c r="AN754" s="424">
        <v>45519</v>
      </c>
      <c r="AO754" s="423"/>
      <c r="AP754" s="413"/>
      <c r="AQ754" s="222"/>
      <c r="AR754" s="424"/>
      <c r="AS754" s="614">
        <f ca="1">表格1_6[[#This Row],[total amount]]/表格1_6[[#This Row],[PO$]]</f>
        <v>1</v>
      </c>
      <c r="AT754" s="223">
        <f ca="1">表格1_6[[#This Row],[invoice amount]]+表格1_6[[#This Row],[invoice amount2]]</f>
        <v>47149</v>
      </c>
      <c r="AU754" s="224" t="s">
        <v>3657</v>
      </c>
      <c r="AV754" s="423" t="s">
        <v>5449</v>
      </c>
      <c r="AW754" s="423" t="e">
        <f ca="1">VLOOKUP(表格1_6[[#This Row],[TI tool ID2]],工作表1!A:A,1,FALSE)</f>
        <v>#N/A</v>
      </c>
      <c r="AX754" s="425" t="e">
        <f ca="1">VLOOKUP(表格1_6[[#This Row],[PO+ITEM]],工作表1!B:E,2,FALSE)</f>
        <v>#N/A</v>
      </c>
      <c r="AY754" s="425" t="e">
        <f ca="1">VLOOKUP(表格1_6[[#This Row],[PO+ITEM]],工作表1!B:E,3,FALSE)</f>
        <v>#N/A</v>
      </c>
      <c r="AZ754" s="423" t="e">
        <f ca="1">VLOOKUP(表格1_6[[#This Row],[PO+ITEM]],工作表1!B:E,4,FALSE)</f>
        <v>#N/A</v>
      </c>
      <c r="BA754" s="425" t="e">
        <f ca="1">INDEX(工作表1!G:G, MATCH(表格1_6[[#This Row],[invoice number]]&amp;表格1_6[[#This Row],[invoice number2]],工作表1!G:G, 0))</f>
        <v>#N/A</v>
      </c>
      <c r="BB754" s="423" t="e">
        <f ca="1">VLOOKUP(表格1_6[[#This Row],[PO+ITEM]],工作表1!F:H,2,FALSE)</f>
        <v>#N/A</v>
      </c>
    </row>
    <row r="755" spans="1:54" ht="14.45">
      <c r="A755" s="413">
        <v>754</v>
      </c>
      <c r="B755" s="413" t="s">
        <v>3674</v>
      </c>
      <c r="C755" s="414" t="s">
        <v>17</v>
      </c>
      <c r="D755" s="414" t="s">
        <v>3648</v>
      </c>
      <c r="E755" s="414"/>
      <c r="F755" s="414"/>
      <c r="G755" s="414"/>
      <c r="H755" s="414"/>
      <c r="I755" s="414"/>
      <c r="J755" s="414"/>
      <c r="K755" s="414"/>
      <c r="L755" s="415" t="s">
        <v>5450</v>
      </c>
      <c r="M755" s="416" t="s">
        <v>2999</v>
      </c>
      <c r="N755" s="416" t="s">
        <v>2999</v>
      </c>
      <c r="O755" s="417"/>
      <c r="P755" s="416">
        <v>4590007764</v>
      </c>
      <c r="Q755" s="418">
        <v>44861</v>
      </c>
      <c r="R755" s="419">
        <v>4</v>
      </c>
      <c r="S755" s="349">
        <v>47149</v>
      </c>
      <c r="T755" s="420" t="s">
        <v>2156</v>
      </c>
      <c r="U755" s="414" t="s">
        <v>3713</v>
      </c>
      <c r="V755" s="414" t="s">
        <v>3714</v>
      </c>
      <c r="W755" s="417" t="s">
        <v>3715</v>
      </c>
      <c r="X755" s="417"/>
      <c r="Y755" s="421" t="s">
        <v>3652</v>
      </c>
      <c r="Z755" s="421" t="s">
        <v>3652</v>
      </c>
      <c r="AA755" s="416"/>
      <c r="AB755" s="414" t="s">
        <v>3716</v>
      </c>
      <c r="AC755" s="426"/>
      <c r="AD755" s="421"/>
      <c r="AE755" s="420"/>
      <c r="AF755" s="421">
        <v>90679</v>
      </c>
      <c r="AG755" s="420" t="s">
        <v>4655</v>
      </c>
      <c r="AH755" s="421" t="s">
        <v>3711</v>
      </c>
      <c r="AI755" s="420" t="s">
        <v>3719</v>
      </c>
      <c r="AJ755" s="413" t="str">
        <f t="shared" si="49"/>
        <v>4590007764_004</v>
      </c>
      <c r="AK755" s="423" t="s">
        <v>5451</v>
      </c>
      <c r="AL755" s="424">
        <v>45401</v>
      </c>
      <c r="AM755" s="221">
        <v>47149</v>
      </c>
      <c r="AN755" s="424">
        <v>45519</v>
      </c>
      <c r="AO755" s="423"/>
      <c r="AP755" s="413"/>
      <c r="AQ755" s="222"/>
      <c r="AR755" s="424"/>
      <c r="AS755" s="614">
        <f ca="1">表格1_6[[#This Row],[total amount]]/表格1_6[[#This Row],[PO$]]</f>
        <v>1</v>
      </c>
      <c r="AT755" s="223">
        <f ca="1">表格1_6[[#This Row],[invoice amount]]+表格1_6[[#This Row],[invoice amount2]]</f>
        <v>47149</v>
      </c>
      <c r="AU755" s="224" t="s">
        <v>3657</v>
      </c>
      <c r="AV755" s="423" t="s">
        <v>5449</v>
      </c>
      <c r="AW755" s="423" t="e">
        <f ca="1">VLOOKUP(表格1_6[[#This Row],[TI tool ID2]],工作表1!A:A,1,FALSE)</f>
        <v>#N/A</v>
      </c>
      <c r="AX755" s="425" t="e">
        <f ca="1">VLOOKUP(表格1_6[[#This Row],[PO+ITEM]],工作表1!B:E,2,FALSE)</f>
        <v>#N/A</v>
      </c>
      <c r="AY755" s="425" t="e">
        <f ca="1">VLOOKUP(表格1_6[[#This Row],[PO+ITEM]],工作表1!B:E,3,FALSE)</f>
        <v>#N/A</v>
      </c>
      <c r="AZ755" s="423" t="e">
        <f ca="1">VLOOKUP(表格1_6[[#This Row],[PO+ITEM]],工作表1!B:E,4,FALSE)</f>
        <v>#N/A</v>
      </c>
      <c r="BA755" s="425" t="e">
        <f ca="1">INDEX(工作表1!G:G, MATCH(表格1_6[[#This Row],[invoice number]]&amp;表格1_6[[#This Row],[invoice number2]],工作表1!G:G, 0))</f>
        <v>#N/A</v>
      </c>
      <c r="BB755" s="423" t="e">
        <f ca="1">VLOOKUP(表格1_6[[#This Row],[PO+ITEM]],工作表1!F:H,2,FALSE)</f>
        <v>#N/A</v>
      </c>
    </row>
    <row r="756" spans="1:54" ht="14.45">
      <c r="A756" s="413">
        <v>755</v>
      </c>
      <c r="B756" s="413" t="s">
        <v>3659</v>
      </c>
      <c r="C756" s="414" t="s">
        <v>17</v>
      </c>
      <c r="D756" s="414" t="s">
        <v>3648</v>
      </c>
      <c r="E756" s="414"/>
      <c r="F756" s="414"/>
      <c r="G756" s="414"/>
      <c r="H756" s="414"/>
      <c r="I756" s="414"/>
      <c r="J756" s="414"/>
      <c r="K756" s="414"/>
      <c r="L756" s="415" t="s">
        <v>5452</v>
      </c>
      <c r="M756" s="416" t="s">
        <v>2999</v>
      </c>
      <c r="N756" s="416" t="s">
        <v>2999</v>
      </c>
      <c r="O756" s="417"/>
      <c r="P756" s="416">
        <v>4590007764</v>
      </c>
      <c r="Q756" s="418">
        <v>44861</v>
      </c>
      <c r="R756" s="419">
        <v>5</v>
      </c>
      <c r="S756" s="458">
        <v>47149</v>
      </c>
      <c r="T756" s="420" t="s">
        <v>2156</v>
      </c>
      <c r="U756" s="414" t="s">
        <v>3713</v>
      </c>
      <c r="V756" s="414" t="s">
        <v>3714</v>
      </c>
      <c r="W756" s="417" t="s">
        <v>3715</v>
      </c>
      <c r="X756" s="417"/>
      <c r="Y756" s="421" t="s">
        <v>3652</v>
      </c>
      <c r="Z756" s="421" t="s">
        <v>3652</v>
      </c>
      <c r="AA756" s="416"/>
      <c r="AB756" s="414" t="s">
        <v>3716</v>
      </c>
      <c r="AC756" s="426"/>
      <c r="AD756" s="421"/>
      <c r="AE756" s="420"/>
      <c r="AF756" s="421">
        <v>90680</v>
      </c>
      <c r="AG756" s="420" t="s">
        <v>4658</v>
      </c>
      <c r="AH756" s="421" t="s">
        <v>3711</v>
      </c>
      <c r="AI756" s="420" t="s">
        <v>3719</v>
      </c>
      <c r="AJ756" s="413" t="str">
        <f t="shared" si="49"/>
        <v>4590007764_005</v>
      </c>
      <c r="AK756" s="423"/>
      <c r="AL756" s="413"/>
      <c r="AM756" s="221"/>
      <c r="AN756" s="424"/>
      <c r="AO756" s="423"/>
      <c r="AP756" s="413"/>
      <c r="AQ756" s="222"/>
      <c r="AR756" s="424"/>
      <c r="AS756" s="614">
        <f ca="1">表格1_6[[#This Row],[total amount]]/表格1_6[[#This Row],[PO$]]</f>
        <v>0</v>
      </c>
      <c r="AT756" s="223">
        <f ca="1">表格1_6[[#This Row],[invoice amount]]+表格1_6[[#This Row],[invoice amount2]]</f>
        <v>0</v>
      </c>
      <c r="AU756" s="224"/>
      <c r="AV756" s="423"/>
      <c r="AW756" s="423" t="e">
        <f ca="1">VLOOKUP(表格1_6[[#This Row],[TI tool ID2]],工作表1!A:A,1,FALSE)</f>
        <v>#N/A</v>
      </c>
      <c r="AX756" s="425" t="e">
        <f ca="1">VLOOKUP(表格1_6[[#This Row],[PO+ITEM]],工作表1!B:E,2,FALSE)</f>
        <v>#N/A</v>
      </c>
      <c r="AY756" s="425" t="e">
        <f ca="1">VLOOKUP(表格1_6[[#This Row],[PO+ITEM]],工作表1!B:E,3,FALSE)</f>
        <v>#N/A</v>
      </c>
      <c r="AZ756" s="423" t="e">
        <f ca="1">VLOOKUP(表格1_6[[#This Row],[PO+ITEM]],工作表1!B:E,4,FALSE)</f>
        <v>#N/A</v>
      </c>
      <c r="BA756" s="425" t="e">
        <f ca="1">INDEX(工作表1!G:G, MATCH(表格1_6[[#This Row],[invoice number]]&amp;表格1_6[[#This Row],[invoice number2]],工作表1!G:G, 0))</f>
        <v>#N/A</v>
      </c>
      <c r="BB756" s="423" t="e">
        <f ca="1">VLOOKUP(表格1_6[[#This Row],[PO+ITEM]],工作表1!F:H,2,FALSE)</f>
        <v>#N/A</v>
      </c>
    </row>
    <row r="757" spans="1:54" ht="14.45">
      <c r="A757" s="413">
        <v>756</v>
      </c>
      <c r="B757" s="413" t="s">
        <v>3659</v>
      </c>
      <c r="C757" s="414" t="s">
        <v>17</v>
      </c>
      <c r="D757" s="414" t="s">
        <v>3648</v>
      </c>
      <c r="E757" s="414"/>
      <c r="F757" s="414"/>
      <c r="G757" s="414"/>
      <c r="H757" s="414"/>
      <c r="I757" s="414"/>
      <c r="J757" s="414"/>
      <c r="K757" s="414"/>
      <c r="L757" s="415" t="s">
        <v>5453</v>
      </c>
      <c r="M757" s="416" t="s">
        <v>2999</v>
      </c>
      <c r="N757" s="416" t="s">
        <v>2999</v>
      </c>
      <c r="O757" s="417"/>
      <c r="P757" s="416">
        <v>4590007764</v>
      </c>
      <c r="Q757" s="418">
        <v>44861</v>
      </c>
      <c r="R757" s="419">
        <v>6</v>
      </c>
      <c r="S757" s="458">
        <v>47149</v>
      </c>
      <c r="T757" s="420" t="s">
        <v>2156</v>
      </c>
      <c r="U757" s="414" t="s">
        <v>3713</v>
      </c>
      <c r="V757" s="414" t="s">
        <v>3714</v>
      </c>
      <c r="W757" s="417" t="s">
        <v>3715</v>
      </c>
      <c r="X757" s="417"/>
      <c r="Y757" s="421" t="s">
        <v>3652</v>
      </c>
      <c r="Z757" s="421" t="s">
        <v>3652</v>
      </c>
      <c r="AA757" s="416"/>
      <c r="AB757" s="414" t="s">
        <v>3716</v>
      </c>
      <c r="AC757" s="426"/>
      <c r="AD757" s="421"/>
      <c r="AE757" s="420"/>
      <c r="AF757" s="421">
        <v>91097</v>
      </c>
      <c r="AG757" s="420" t="s">
        <v>5073</v>
      </c>
      <c r="AH757" s="421" t="s">
        <v>3711</v>
      </c>
      <c r="AI757" s="420" t="s">
        <v>3719</v>
      </c>
      <c r="AJ757" s="413" t="str">
        <f t="shared" si="49"/>
        <v>4590007764_006</v>
      </c>
      <c r="AK757" s="423"/>
      <c r="AL757" s="413"/>
      <c r="AM757" s="221"/>
      <c r="AN757" s="424"/>
      <c r="AO757" s="423"/>
      <c r="AP757" s="413"/>
      <c r="AQ757" s="222"/>
      <c r="AR757" s="424"/>
      <c r="AS757" s="614">
        <f ca="1">表格1_6[[#This Row],[total amount]]/表格1_6[[#This Row],[PO$]]</f>
        <v>0</v>
      </c>
      <c r="AT757" s="223">
        <f ca="1">表格1_6[[#This Row],[invoice amount]]+表格1_6[[#This Row],[invoice amount2]]</f>
        <v>0</v>
      </c>
      <c r="AU757" s="224"/>
      <c r="AV757" s="423"/>
      <c r="AW757" s="423" t="e">
        <f ca="1">VLOOKUP(表格1_6[[#This Row],[TI tool ID2]],工作表1!A:A,1,FALSE)</f>
        <v>#N/A</v>
      </c>
      <c r="AX757" s="425" t="e">
        <f ca="1">VLOOKUP(表格1_6[[#This Row],[PO+ITEM]],工作表1!B:E,2,FALSE)</f>
        <v>#N/A</v>
      </c>
      <c r="AY757" s="425" t="e">
        <f ca="1">VLOOKUP(表格1_6[[#This Row],[PO+ITEM]],工作表1!B:E,3,FALSE)</f>
        <v>#N/A</v>
      </c>
      <c r="AZ757" s="423" t="e">
        <f ca="1">VLOOKUP(表格1_6[[#This Row],[PO+ITEM]],工作表1!B:E,4,FALSE)</f>
        <v>#N/A</v>
      </c>
      <c r="BA757" s="425" t="e">
        <f ca="1">INDEX(工作表1!G:G, MATCH(表格1_6[[#This Row],[invoice number]]&amp;表格1_6[[#This Row],[invoice number2]],工作表1!G:G, 0))</f>
        <v>#N/A</v>
      </c>
      <c r="BB757" s="423" t="e">
        <f ca="1">VLOOKUP(表格1_6[[#This Row],[PO+ITEM]],工作表1!F:H,2,FALSE)</f>
        <v>#N/A</v>
      </c>
    </row>
    <row r="758" spans="1:54" ht="14.45">
      <c r="A758" s="413">
        <v>757</v>
      </c>
      <c r="B758" s="413" t="s">
        <v>3659</v>
      </c>
      <c r="C758" s="414" t="s">
        <v>17</v>
      </c>
      <c r="D758" s="414" t="s">
        <v>3648</v>
      </c>
      <c r="E758" s="414"/>
      <c r="F758" s="414"/>
      <c r="G758" s="414"/>
      <c r="H758" s="414"/>
      <c r="I758" s="414"/>
      <c r="J758" s="414"/>
      <c r="K758" s="414"/>
      <c r="L758" s="415" t="s">
        <v>5454</v>
      </c>
      <c r="M758" s="416" t="s">
        <v>2999</v>
      </c>
      <c r="N758" s="416" t="s">
        <v>2999</v>
      </c>
      <c r="O758" s="417"/>
      <c r="P758" s="416">
        <v>4590007764</v>
      </c>
      <c r="Q758" s="418">
        <v>44861</v>
      </c>
      <c r="R758" s="419">
        <v>7</v>
      </c>
      <c r="S758" s="458">
        <v>47149</v>
      </c>
      <c r="T758" s="420" t="s">
        <v>2156</v>
      </c>
      <c r="U758" s="414" t="s">
        <v>3713</v>
      </c>
      <c r="V758" s="414" t="s">
        <v>3714</v>
      </c>
      <c r="W758" s="417" t="s">
        <v>3715</v>
      </c>
      <c r="X758" s="417"/>
      <c r="Y758" s="421" t="s">
        <v>3652</v>
      </c>
      <c r="Z758" s="421" t="s">
        <v>3652</v>
      </c>
      <c r="AA758" s="416"/>
      <c r="AB758" s="414" t="s">
        <v>3716</v>
      </c>
      <c r="AC758" s="426"/>
      <c r="AD758" s="421"/>
      <c r="AE758" s="420"/>
      <c r="AF758" s="421">
        <v>91099</v>
      </c>
      <c r="AG758" s="420" t="s">
        <v>5077</v>
      </c>
      <c r="AH758" s="421" t="s">
        <v>3711</v>
      </c>
      <c r="AI758" s="420" t="s">
        <v>3719</v>
      </c>
      <c r="AJ758" s="413" t="str">
        <f t="shared" si="49"/>
        <v>4590007764_007</v>
      </c>
      <c r="AK758" s="423"/>
      <c r="AL758" s="413"/>
      <c r="AM758" s="221"/>
      <c r="AN758" s="424"/>
      <c r="AO758" s="423"/>
      <c r="AP758" s="413"/>
      <c r="AQ758" s="222"/>
      <c r="AR758" s="424"/>
      <c r="AS758" s="614">
        <f ca="1">表格1_6[[#This Row],[total amount]]/表格1_6[[#This Row],[PO$]]</f>
        <v>0</v>
      </c>
      <c r="AT758" s="223">
        <f ca="1">表格1_6[[#This Row],[invoice amount]]+表格1_6[[#This Row],[invoice amount2]]</f>
        <v>0</v>
      </c>
      <c r="AU758" s="224"/>
      <c r="AV758" s="423"/>
      <c r="AW758" s="423" t="e">
        <f ca="1">VLOOKUP(表格1_6[[#This Row],[TI tool ID2]],工作表1!A:A,1,FALSE)</f>
        <v>#N/A</v>
      </c>
      <c r="AX758" s="425" t="e">
        <f ca="1">VLOOKUP(表格1_6[[#This Row],[PO+ITEM]],工作表1!B:E,2,FALSE)</f>
        <v>#N/A</v>
      </c>
      <c r="AY758" s="425" t="e">
        <f ca="1">VLOOKUP(表格1_6[[#This Row],[PO+ITEM]],工作表1!B:E,3,FALSE)</f>
        <v>#N/A</v>
      </c>
      <c r="AZ758" s="423" t="e">
        <f ca="1">VLOOKUP(表格1_6[[#This Row],[PO+ITEM]],工作表1!B:E,4,FALSE)</f>
        <v>#N/A</v>
      </c>
      <c r="BA758" s="425" t="e">
        <f ca="1">INDEX(工作表1!G:G, MATCH(表格1_6[[#This Row],[invoice number]]&amp;表格1_6[[#This Row],[invoice number2]],工作表1!G:G, 0))</f>
        <v>#N/A</v>
      </c>
      <c r="BB758" s="423" t="e">
        <f ca="1">VLOOKUP(表格1_6[[#This Row],[PO+ITEM]],工作表1!F:H,2,FALSE)</f>
        <v>#N/A</v>
      </c>
    </row>
    <row r="759" spans="1:54" ht="14.45">
      <c r="A759" s="413">
        <v>758</v>
      </c>
      <c r="B759" s="413" t="s">
        <v>3674</v>
      </c>
      <c r="C759" s="414" t="s">
        <v>17</v>
      </c>
      <c r="D759" s="414" t="s">
        <v>3648</v>
      </c>
      <c r="E759" s="414"/>
      <c r="F759" s="414"/>
      <c r="G759" s="414"/>
      <c r="H759" s="414"/>
      <c r="I759" s="414"/>
      <c r="J759" s="414"/>
      <c r="K759" s="414"/>
      <c r="L759" s="415" t="s">
        <v>5455</v>
      </c>
      <c r="M759" s="416" t="s">
        <v>2999</v>
      </c>
      <c r="N759" s="416" t="s">
        <v>2999</v>
      </c>
      <c r="O759" s="417"/>
      <c r="P759" s="416">
        <v>4590007764</v>
      </c>
      <c r="Q759" s="418">
        <v>44861</v>
      </c>
      <c r="R759" s="419">
        <v>8</v>
      </c>
      <c r="S759" s="349">
        <v>62039</v>
      </c>
      <c r="T759" s="420" t="s">
        <v>2156</v>
      </c>
      <c r="U759" s="414" t="s">
        <v>3713</v>
      </c>
      <c r="V759" s="414" t="s">
        <v>3714</v>
      </c>
      <c r="W759" s="417" t="s">
        <v>3715</v>
      </c>
      <c r="X759" s="417"/>
      <c r="Y759" s="421" t="s">
        <v>3652</v>
      </c>
      <c r="Z759" s="421" t="s">
        <v>3652</v>
      </c>
      <c r="AA759" s="416" t="s">
        <v>5456</v>
      </c>
      <c r="AB759" s="414" t="s">
        <v>3716</v>
      </c>
      <c r="AC759" s="426"/>
      <c r="AD759" s="421"/>
      <c r="AE759" s="420"/>
      <c r="AF759" s="421">
        <v>90671</v>
      </c>
      <c r="AG759" s="420" t="s">
        <v>4660</v>
      </c>
      <c r="AH759" s="421" t="s">
        <v>3711</v>
      </c>
      <c r="AI759" s="420" t="s">
        <v>3719</v>
      </c>
      <c r="AJ759" s="413" t="str">
        <f t="shared" si="49"/>
        <v>4590007764_008</v>
      </c>
      <c r="AK759" s="423" t="s">
        <v>5457</v>
      </c>
      <c r="AL759" s="424">
        <v>45380</v>
      </c>
      <c r="AM759" s="222">
        <v>62039</v>
      </c>
      <c r="AN759" s="424">
        <v>45519</v>
      </c>
      <c r="AO759" s="423"/>
      <c r="AP759" s="413"/>
      <c r="AQ759" s="222"/>
      <c r="AR759" s="424"/>
      <c r="AS759" s="614">
        <f ca="1">表格1_6[[#This Row],[total amount]]/表格1_6[[#This Row],[PO$]]</f>
        <v>1</v>
      </c>
      <c r="AT759" s="223">
        <f ca="1">表格1_6[[#This Row],[invoice amount]]+表格1_6[[#This Row],[invoice amount2]]</f>
        <v>62039</v>
      </c>
      <c r="AU759" s="224" t="s">
        <v>3657</v>
      </c>
      <c r="AV759" s="423" t="s">
        <v>5449</v>
      </c>
      <c r="AW759" s="423" t="e">
        <f ca="1">VLOOKUP(表格1_6[[#This Row],[TI tool ID2]],工作表1!A:A,1,FALSE)</f>
        <v>#N/A</v>
      </c>
      <c r="AX759" s="425" t="e">
        <f ca="1">VLOOKUP(表格1_6[[#This Row],[PO+ITEM]],工作表1!B:E,2,FALSE)</f>
        <v>#N/A</v>
      </c>
      <c r="AY759" s="425" t="e">
        <f ca="1">VLOOKUP(表格1_6[[#This Row],[PO+ITEM]],工作表1!B:E,3,FALSE)</f>
        <v>#N/A</v>
      </c>
      <c r="AZ759" s="423" t="e">
        <f ca="1">VLOOKUP(表格1_6[[#This Row],[PO+ITEM]],工作表1!B:E,4,FALSE)</f>
        <v>#N/A</v>
      </c>
      <c r="BA759" s="425" t="e">
        <f ca="1">INDEX(工作表1!G:G, MATCH(表格1_6[[#This Row],[invoice number]]&amp;表格1_6[[#This Row],[invoice number2]],工作表1!G:G, 0))</f>
        <v>#N/A</v>
      </c>
      <c r="BB759" s="423" t="e">
        <f ca="1">VLOOKUP(表格1_6[[#This Row],[PO+ITEM]],工作表1!F:H,2,FALSE)</f>
        <v>#N/A</v>
      </c>
    </row>
    <row r="760" spans="1:54" ht="14.45">
      <c r="A760" s="413">
        <v>759</v>
      </c>
      <c r="B760" s="413" t="s">
        <v>3674</v>
      </c>
      <c r="C760" s="414" t="s">
        <v>17</v>
      </c>
      <c r="D760" s="414" t="s">
        <v>3648</v>
      </c>
      <c r="E760" s="414"/>
      <c r="F760" s="414"/>
      <c r="G760" s="414"/>
      <c r="H760" s="414"/>
      <c r="I760" s="414"/>
      <c r="J760" s="414"/>
      <c r="K760" s="414"/>
      <c r="L760" s="415" t="s">
        <v>5458</v>
      </c>
      <c r="M760" s="416" t="s">
        <v>2999</v>
      </c>
      <c r="N760" s="416" t="s">
        <v>2999</v>
      </c>
      <c r="O760" s="417"/>
      <c r="P760" s="416">
        <v>4590007764</v>
      </c>
      <c r="Q760" s="418">
        <v>44861</v>
      </c>
      <c r="R760" s="419">
        <v>9</v>
      </c>
      <c r="S760" s="349">
        <v>62039</v>
      </c>
      <c r="T760" s="420" t="s">
        <v>2156</v>
      </c>
      <c r="U760" s="414" t="s">
        <v>3713</v>
      </c>
      <c r="V760" s="414" t="s">
        <v>3714</v>
      </c>
      <c r="W760" s="417" t="s">
        <v>3715</v>
      </c>
      <c r="X760" s="417"/>
      <c r="Y760" s="421" t="s">
        <v>3652</v>
      </c>
      <c r="Z760" s="421" t="s">
        <v>3652</v>
      </c>
      <c r="AA760" s="416" t="s">
        <v>5456</v>
      </c>
      <c r="AB760" s="414" t="s">
        <v>3716</v>
      </c>
      <c r="AC760" s="426"/>
      <c r="AD760" s="421"/>
      <c r="AE760" s="420"/>
      <c r="AF760" s="421">
        <v>90672</v>
      </c>
      <c r="AG760" s="420" t="s">
        <v>4663</v>
      </c>
      <c r="AH760" s="421" t="s">
        <v>3711</v>
      </c>
      <c r="AI760" s="420" t="s">
        <v>3719</v>
      </c>
      <c r="AJ760" s="413" t="str">
        <f t="shared" si="49"/>
        <v>4590007764_009</v>
      </c>
      <c r="AK760" s="423" t="s">
        <v>5459</v>
      </c>
      <c r="AL760" s="424">
        <v>45380</v>
      </c>
      <c r="AM760" s="222">
        <v>62039</v>
      </c>
      <c r="AN760" s="424">
        <v>45519</v>
      </c>
      <c r="AO760" s="423"/>
      <c r="AP760" s="413"/>
      <c r="AQ760" s="222"/>
      <c r="AR760" s="424"/>
      <c r="AS760" s="614">
        <f ca="1">表格1_6[[#This Row],[total amount]]/表格1_6[[#This Row],[PO$]]</f>
        <v>1</v>
      </c>
      <c r="AT760" s="223">
        <f ca="1">表格1_6[[#This Row],[invoice amount]]+表格1_6[[#This Row],[invoice amount2]]</f>
        <v>62039</v>
      </c>
      <c r="AU760" s="224" t="s">
        <v>3657</v>
      </c>
      <c r="AV760" s="423" t="s">
        <v>5449</v>
      </c>
      <c r="AW760" s="423" t="e">
        <f ca="1">VLOOKUP(表格1_6[[#This Row],[TI tool ID2]],工作表1!A:A,1,FALSE)</f>
        <v>#N/A</v>
      </c>
      <c r="AX760" s="425" t="e">
        <f ca="1">VLOOKUP(表格1_6[[#This Row],[PO+ITEM]],工作表1!B:E,2,FALSE)</f>
        <v>#N/A</v>
      </c>
      <c r="AY760" s="425" t="e">
        <f ca="1">VLOOKUP(表格1_6[[#This Row],[PO+ITEM]],工作表1!B:E,3,FALSE)</f>
        <v>#N/A</v>
      </c>
      <c r="AZ760" s="423" t="e">
        <f ca="1">VLOOKUP(表格1_6[[#This Row],[PO+ITEM]],工作表1!B:E,4,FALSE)</f>
        <v>#N/A</v>
      </c>
      <c r="BA760" s="425" t="e">
        <f ca="1">INDEX(工作表1!G:G, MATCH(表格1_6[[#This Row],[invoice number]]&amp;表格1_6[[#This Row],[invoice number2]],工作表1!G:G, 0))</f>
        <v>#N/A</v>
      </c>
      <c r="BB760" s="423" t="e">
        <f ca="1">VLOOKUP(表格1_6[[#This Row],[PO+ITEM]],工作表1!F:H,2,FALSE)</f>
        <v>#N/A</v>
      </c>
    </row>
    <row r="761" spans="1:54" ht="14.45">
      <c r="A761" s="413">
        <v>760</v>
      </c>
      <c r="B761" s="413" t="s">
        <v>3659</v>
      </c>
      <c r="C761" s="414" t="s">
        <v>17</v>
      </c>
      <c r="D761" s="414" t="s">
        <v>3648</v>
      </c>
      <c r="E761" s="414"/>
      <c r="F761" s="414"/>
      <c r="G761" s="414"/>
      <c r="H761" s="414"/>
      <c r="I761" s="414"/>
      <c r="J761" s="414"/>
      <c r="K761" s="414"/>
      <c r="L761" s="415" t="s">
        <v>5460</v>
      </c>
      <c r="M761" s="416" t="s">
        <v>2999</v>
      </c>
      <c r="N761" s="416" t="s">
        <v>2999</v>
      </c>
      <c r="O761" s="417"/>
      <c r="P761" s="416">
        <v>4590007764</v>
      </c>
      <c r="Q761" s="418">
        <v>44861</v>
      </c>
      <c r="R761" s="419">
        <v>10</v>
      </c>
      <c r="S761" s="458">
        <v>62039</v>
      </c>
      <c r="T761" s="420" t="s">
        <v>2156</v>
      </c>
      <c r="U761" s="414" t="s">
        <v>3713</v>
      </c>
      <c r="V761" s="414" t="s">
        <v>3714</v>
      </c>
      <c r="W761" s="417" t="s">
        <v>3715</v>
      </c>
      <c r="X761" s="417"/>
      <c r="Y761" s="421" t="s">
        <v>3652</v>
      </c>
      <c r="Z761" s="421" t="s">
        <v>3652</v>
      </c>
      <c r="AA761" s="416"/>
      <c r="AB761" s="414" t="s">
        <v>3716</v>
      </c>
      <c r="AC761" s="426"/>
      <c r="AD761" s="421"/>
      <c r="AE761" s="420"/>
      <c r="AF761" s="421">
        <v>91095</v>
      </c>
      <c r="AG761" s="420" t="s">
        <v>5069</v>
      </c>
      <c r="AH761" s="421" t="s">
        <v>3711</v>
      </c>
      <c r="AI761" s="420" t="s">
        <v>3719</v>
      </c>
      <c r="AJ761" s="413" t="str">
        <f t="shared" ref="AJ761:AJ779" si="50">P761&amp;"_0"&amp;R761</f>
        <v>4590007764_010</v>
      </c>
      <c r="AK761" s="423"/>
      <c r="AL761" s="413"/>
      <c r="AM761" s="221"/>
      <c r="AN761" s="424"/>
      <c r="AO761" s="423"/>
      <c r="AP761" s="413"/>
      <c r="AQ761" s="222"/>
      <c r="AR761" s="424"/>
      <c r="AS761" s="614">
        <f ca="1">表格1_6[[#This Row],[total amount]]/表格1_6[[#This Row],[PO$]]</f>
        <v>0</v>
      </c>
      <c r="AT761" s="223">
        <f ca="1">表格1_6[[#This Row],[invoice amount]]+表格1_6[[#This Row],[invoice amount2]]</f>
        <v>0</v>
      </c>
      <c r="AU761" s="224"/>
      <c r="AV761" s="423"/>
      <c r="AW761" s="423" t="e">
        <f ca="1">VLOOKUP(表格1_6[[#This Row],[TI tool ID2]],工作表1!A:A,1,FALSE)</f>
        <v>#N/A</v>
      </c>
      <c r="AX761" s="425" t="e">
        <f ca="1">VLOOKUP(表格1_6[[#This Row],[PO+ITEM]],工作表1!B:E,2,FALSE)</f>
        <v>#N/A</v>
      </c>
      <c r="AY761" s="425" t="e">
        <f ca="1">VLOOKUP(表格1_6[[#This Row],[PO+ITEM]],工作表1!B:E,3,FALSE)</f>
        <v>#N/A</v>
      </c>
      <c r="AZ761" s="423" t="e">
        <f ca="1">VLOOKUP(表格1_6[[#This Row],[PO+ITEM]],工作表1!B:E,4,FALSE)</f>
        <v>#N/A</v>
      </c>
      <c r="BA761" s="425" t="e">
        <f ca="1">INDEX(工作表1!G:G, MATCH(表格1_6[[#This Row],[invoice number]]&amp;表格1_6[[#This Row],[invoice number2]],工作表1!G:G, 0))</f>
        <v>#N/A</v>
      </c>
      <c r="BB761" s="423" t="e">
        <f ca="1">VLOOKUP(表格1_6[[#This Row],[PO+ITEM]],工作表1!F:H,2,FALSE)</f>
        <v>#N/A</v>
      </c>
    </row>
    <row r="762" spans="1:54" ht="14.45">
      <c r="A762" s="413">
        <v>761</v>
      </c>
      <c r="B762" s="413" t="s">
        <v>3674</v>
      </c>
      <c r="C762" s="414" t="s">
        <v>17</v>
      </c>
      <c r="D762" s="414" t="s">
        <v>3648</v>
      </c>
      <c r="E762" s="414"/>
      <c r="F762" s="414"/>
      <c r="G762" s="414"/>
      <c r="H762" s="414"/>
      <c r="I762" s="414"/>
      <c r="J762" s="414"/>
      <c r="K762" s="414"/>
      <c r="L762" s="415" t="s">
        <v>5461</v>
      </c>
      <c r="M762" s="416" t="s">
        <v>2999</v>
      </c>
      <c r="N762" s="416" t="s">
        <v>2999</v>
      </c>
      <c r="O762" s="417"/>
      <c r="P762" s="416">
        <v>4590007764</v>
      </c>
      <c r="Q762" s="418">
        <v>44861</v>
      </c>
      <c r="R762" s="419">
        <v>11</v>
      </c>
      <c r="S762" s="349">
        <v>62039</v>
      </c>
      <c r="T762" s="420" t="s">
        <v>2156</v>
      </c>
      <c r="U762" s="414" t="s">
        <v>3713</v>
      </c>
      <c r="V762" s="414" t="s">
        <v>3714</v>
      </c>
      <c r="W762" s="417" t="s">
        <v>3715</v>
      </c>
      <c r="X762" s="417"/>
      <c r="Y762" s="421" t="s">
        <v>3652</v>
      </c>
      <c r="Z762" s="421" t="s">
        <v>3652</v>
      </c>
      <c r="AA762" s="416"/>
      <c r="AB762" s="414" t="s">
        <v>3716</v>
      </c>
      <c r="AC762" s="426"/>
      <c r="AD762" s="421"/>
      <c r="AE762" s="420"/>
      <c r="AF762" s="421">
        <v>90673</v>
      </c>
      <c r="AG762" s="420" t="s">
        <v>4666</v>
      </c>
      <c r="AH762" s="421" t="s">
        <v>3711</v>
      </c>
      <c r="AI762" s="420" t="s">
        <v>3719</v>
      </c>
      <c r="AJ762" s="413" t="str">
        <f t="shared" si="50"/>
        <v>4590007764_011</v>
      </c>
      <c r="AK762" s="423" t="s">
        <v>5462</v>
      </c>
      <c r="AL762" s="424">
        <v>45401</v>
      </c>
      <c r="AM762" s="221">
        <v>62039</v>
      </c>
      <c r="AN762" s="424">
        <v>45519</v>
      </c>
      <c r="AO762" s="423"/>
      <c r="AP762" s="413"/>
      <c r="AQ762" s="222"/>
      <c r="AR762" s="424"/>
      <c r="AS762" s="614">
        <f ca="1">表格1_6[[#This Row],[total amount]]/表格1_6[[#This Row],[PO$]]</f>
        <v>1</v>
      </c>
      <c r="AT762" s="223">
        <f ca="1">表格1_6[[#This Row],[invoice amount]]+表格1_6[[#This Row],[invoice amount2]]</f>
        <v>62039</v>
      </c>
      <c r="AU762" s="224" t="s">
        <v>3657</v>
      </c>
      <c r="AV762" s="423" t="s">
        <v>5449</v>
      </c>
      <c r="AW762" s="423" t="e">
        <f ca="1">VLOOKUP(表格1_6[[#This Row],[TI tool ID2]],工作表1!A:A,1,FALSE)</f>
        <v>#N/A</v>
      </c>
      <c r="AX762" s="425" t="e">
        <f ca="1">VLOOKUP(表格1_6[[#This Row],[PO+ITEM]],工作表1!B:E,2,FALSE)</f>
        <v>#N/A</v>
      </c>
      <c r="AY762" s="425" t="e">
        <f ca="1">VLOOKUP(表格1_6[[#This Row],[PO+ITEM]],工作表1!B:E,3,FALSE)</f>
        <v>#N/A</v>
      </c>
      <c r="AZ762" s="423" t="e">
        <f ca="1">VLOOKUP(表格1_6[[#This Row],[PO+ITEM]],工作表1!B:E,4,FALSE)</f>
        <v>#N/A</v>
      </c>
      <c r="BA762" s="425" t="e">
        <f ca="1">INDEX(工作表1!G:G, MATCH(表格1_6[[#This Row],[invoice number]]&amp;表格1_6[[#This Row],[invoice number2]],工作表1!G:G, 0))</f>
        <v>#N/A</v>
      </c>
      <c r="BB762" s="423" t="e">
        <f ca="1">VLOOKUP(表格1_6[[#This Row],[PO+ITEM]],工作表1!F:H,2,FALSE)</f>
        <v>#N/A</v>
      </c>
    </row>
    <row r="763" spans="1:54" ht="14.45">
      <c r="A763" s="413">
        <v>762</v>
      </c>
      <c r="B763" s="413" t="s">
        <v>3659</v>
      </c>
      <c r="C763" s="414" t="s">
        <v>17</v>
      </c>
      <c r="D763" s="414" t="s">
        <v>3648</v>
      </c>
      <c r="E763" s="414"/>
      <c r="F763" s="414"/>
      <c r="G763" s="414"/>
      <c r="H763" s="414"/>
      <c r="I763" s="414"/>
      <c r="J763" s="414"/>
      <c r="K763" s="414"/>
      <c r="L763" s="415" t="s">
        <v>5463</v>
      </c>
      <c r="M763" s="416" t="s">
        <v>2999</v>
      </c>
      <c r="N763" s="416" t="s">
        <v>2999</v>
      </c>
      <c r="O763" s="417"/>
      <c r="P763" s="416">
        <v>4590007764</v>
      </c>
      <c r="Q763" s="418">
        <v>44861</v>
      </c>
      <c r="R763" s="419">
        <v>12</v>
      </c>
      <c r="S763" s="458">
        <v>62039</v>
      </c>
      <c r="T763" s="420" t="s">
        <v>2156</v>
      </c>
      <c r="U763" s="414" t="s">
        <v>3713</v>
      </c>
      <c r="V763" s="414" t="s">
        <v>3714</v>
      </c>
      <c r="W763" s="417" t="s">
        <v>3715</v>
      </c>
      <c r="X763" s="417"/>
      <c r="Y763" s="421" t="s">
        <v>3652</v>
      </c>
      <c r="Z763" s="421" t="s">
        <v>3652</v>
      </c>
      <c r="AA763" s="416"/>
      <c r="AB763" s="414" t="s">
        <v>3716</v>
      </c>
      <c r="AC763" s="426"/>
      <c r="AD763" s="421"/>
      <c r="AE763" s="420"/>
      <c r="AF763" s="421">
        <v>91094</v>
      </c>
      <c r="AG763" s="420" t="s">
        <v>5067</v>
      </c>
      <c r="AH763" s="421" t="s">
        <v>3711</v>
      </c>
      <c r="AI763" s="420" t="s">
        <v>3719</v>
      </c>
      <c r="AJ763" s="413" t="str">
        <f t="shared" si="50"/>
        <v>4590007764_012</v>
      </c>
      <c r="AK763" s="423"/>
      <c r="AL763" s="413"/>
      <c r="AM763" s="221"/>
      <c r="AN763" s="424"/>
      <c r="AO763" s="423"/>
      <c r="AP763" s="413"/>
      <c r="AQ763" s="222"/>
      <c r="AR763" s="424"/>
      <c r="AS763" s="614">
        <f ca="1">表格1_6[[#This Row],[total amount]]/表格1_6[[#This Row],[PO$]]</f>
        <v>0</v>
      </c>
      <c r="AT763" s="223">
        <f ca="1">表格1_6[[#This Row],[invoice amount]]+表格1_6[[#This Row],[invoice amount2]]</f>
        <v>0</v>
      </c>
      <c r="AU763" s="224"/>
      <c r="AV763" s="423"/>
      <c r="AW763" s="423" t="e">
        <f ca="1">VLOOKUP(表格1_6[[#This Row],[TI tool ID2]],工作表1!A:A,1,FALSE)</f>
        <v>#N/A</v>
      </c>
      <c r="AX763" s="425" t="e">
        <f ca="1">VLOOKUP(表格1_6[[#This Row],[PO+ITEM]],工作表1!B:E,2,FALSE)</f>
        <v>#N/A</v>
      </c>
      <c r="AY763" s="425" t="e">
        <f ca="1">VLOOKUP(表格1_6[[#This Row],[PO+ITEM]],工作表1!B:E,3,FALSE)</f>
        <v>#N/A</v>
      </c>
      <c r="AZ763" s="423" t="e">
        <f ca="1">VLOOKUP(表格1_6[[#This Row],[PO+ITEM]],工作表1!B:E,4,FALSE)</f>
        <v>#N/A</v>
      </c>
      <c r="BA763" s="425" t="e">
        <f ca="1">INDEX(工作表1!G:G, MATCH(表格1_6[[#This Row],[invoice number]]&amp;表格1_6[[#This Row],[invoice number2]],工作表1!G:G, 0))</f>
        <v>#N/A</v>
      </c>
      <c r="BB763" s="423" t="e">
        <f ca="1">VLOOKUP(表格1_6[[#This Row],[PO+ITEM]],工作表1!F:H,2,FALSE)</f>
        <v>#N/A</v>
      </c>
    </row>
    <row r="764" spans="1:54" ht="14.45">
      <c r="A764" s="413">
        <v>763</v>
      </c>
      <c r="B764" s="413" t="s">
        <v>3674</v>
      </c>
      <c r="C764" s="414" t="s">
        <v>17</v>
      </c>
      <c r="D764" s="414" t="s">
        <v>3648</v>
      </c>
      <c r="E764" s="414"/>
      <c r="F764" s="414"/>
      <c r="G764" s="414"/>
      <c r="H764" s="414"/>
      <c r="I764" s="414"/>
      <c r="J764" s="414"/>
      <c r="K764" s="414"/>
      <c r="L764" s="415" t="s">
        <v>5464</v>
      </c>
      <c r="M764" s="416" t="s">
        <v>2999</v>
      </c>
      <c r="N764" s="416" t="s">
        <v>2999</v>
      </c>
      <c r="O764" s="417"/>
      <c r="P764" s="416">
        <v>4590007764</v>
      </c>
      <c r="Q764" s="418">
        <v>44861</v>
      </c>
      <c r="R764" s="419">
        <v>13</v>
      </c>
      <c r="S764" s="349">
        <v>62039</v>
      </c>
      <c r="T764" s="420" t="s">
        <v>2156</v>
      </c>
      <c r="U764" s="414" t="s">
        <v>3713</v>
      </c>
      <c r="V764" s="414" t="s">
        <v>3714</v>
      </c>
      <c r="W764" s="417" t="s">
        <v>3715</v>
      </c>
      <c r="X764" s="417"/>
      <c r="Y764" s="421" t="s">
        <v>3652</v>
      </c>
      <c r="Z764" s="421" t="s">
        <v>3652</v>
      </c>
      <c r="AA764" s="416"/>
      <c r="AB764" s="414" t="s">
        <v>3716</v>
      </c>
      <c r="AC764" s="426"/>
      <c r="AD764" s="421"/>
      <c r="AE764" s="420"/>
      <c r="AF764" s="421">
        <v>90674</v>
      </c>
      <c r="AG764" s="420" t="s">
        <v>4669</v>
      </c>
      <c r="AH764" s="421" t="s">
        <v>3711</v>
      </c>
      <c r="AI764" s="420" t="s">
        <v>3719</v>
      </c>
      <c r="AJ764" s="413" t="str">
        <f t="shared" si="50"/>
        <v>4590007764_013</v>
      </c>
      <c r="AK764" s="423" t="s">
        <v>5465</v>
      </c>
      <c r="AL764" s="424">
        <v>45401</v>
      </c>
      <c r="AM764" s="221">
        <v>62039</v>
      </c>
      <c r="AN764" s="424">
        <v>45519</v>
      </c>
      <c r="AO764" s="423"/>
      <c r="AP764" s="413"/>
      <c r="AQ764" s="222"/>
      <c r="AR764" s="424"/>
      <c r="AS764" s="614">
        <f ca="1">表格1_6[[#This Row],[total amount]]/表格1_6[[#This Row],[PO$]]</f>
        <v>1</v>
      </c>
      <c r="AT764" s="223">
        <f ca="1">表格1_6[[#This Row],[invoice amount]]+表格1_6[[#This Row],[invoice amount2]]</f>
        <v>62039</v>
      </c>
      <c r="AU764" s="224" t="s">
        <v>3657</v>
      </c>
      <c r="AV764" s="423" t="s">
        <v>5449</v>
      </c>
      <c r="AW764" s="423" t="e">
        <f ca="1">VLOOKUP(表格1_6[[#This Row],[TI tool ID2]],工作表1!A:A,1,FALSE)</f>
        <v>#N/A</v>
      </c>
      <c r="AX764" s="425" t="e">
        <f ca="1">VLOOKUP(表格1_6[[#This Row],[PO+ITEM]],工作表1!B:E,2,FALSE)</f>
        <v>#N/A</v>
      </c>
      <c r="AY764" s="425" t="e">
        <f ca="1">VLOOKUP(表格1_6[[#This Row],[PO+ITEM]],工作表1!B:E,3,FALSE)</f>
        <v>#N/A</v>
      </c>
      <c r="AZ764" s="423" t="e">
        <f ca="1">VLOOKUP(表格1_6[[#This Row],[PO+ITEM]],工作表1!B:E,4,FALSE)</f>
        <v>#N/A</v>
      </c>
      <c r="BA764" s="425" t="e">
        <f ca="1">INDEX(工作表1!G:G, MATCH(表格1_6[[#This Row],[invoice number]]&amp;表格1_6[[#This Row],[invoice number2]],工作表1!G:G, 0))</f>
        <v>#N/A</v>
      </c>
      <c r="BB764" s="423" t="e">
        <f ca="1">VLOOKUP(表格1_6[[#This Row],[PO+ITEM]],工作表1!F:H,2,FALSE)</f>
        <v>#N/A</v>
      </c>
    </row>
    <row r="765" spans="1:54" ht="14.45">
      <c r="A765" s="413">
        <v>764</v>
      </c>
      <c r="B765" s="413" t="s">
        <v>3674</v>
      </c>
      <c r="C765" s="414" t="s">
        <v>17</v>
      </c>
      <c r="D765" s="414" t="s">
        <v>3648</v>
      </c>
      <c r="E765" s="414"/>
      <c r="F765" s="414"/>
      <c r="G765" s="414"/>
      <c r="H765" s="414"/>
      <c r="I765" s="414"/>
      <c r="J765" s="414"/>
      <c r="K765" s="414"/>
      <c r="L765" s="415" t="s">
        <v>5466</v>
      </c>
      <c r="M765" s="416" t="s">
        <v>2999</v>
      </c>
      <c r="N765" s="416" t="s">
        <v>2999</v>
      </c>
      <c r="O765" s="417"/>
      <c r="P765" s="416">
        <v>4590007764</v>
      </c>
      <c r="Q765" s="418">
        <v>44861</v>
      </c>
      <c r="R765" s="419">
        <v>14</v>
      </c>
      <c r="S765" s="349">
        <v>62039</v>
      </c>
      <c r="T765" s="420" t="s">
        <v>2156</v>
      </c>
      <c r="U765" s="414" t="s">
        <v>3713</v>
      </c>
      <c r="V765" s="414" t="s">
        <v>3714</v>
      </c>
      <c r="W765" s="417" t="s">
        <v>3715</v>
      </c>
      <c r="X765" s="417"/>
      <c r="Y765" s="421" t="s">
        <v>3652</v>
      </c>
      <c r="Z765" s="421" t="s">
        <v>3652</v>
      </c>
      <c r="AA765" s="416"/>
      <c r="AB765" s="414" t="s">
        <v>3716</v>
      </c>
      <c r="AC765" s="426"/>
      <c r="AD765" s="421"/>
      <c r="AE765" s="420"/>
      <c r="AF765" s="421">
        <v>90675</v>
      </c>
      <c r="AG765" s="420" t="s">
        <v>4672</v>
      </c>
      <c r="AH765" s="421" t="s">
        <v>3711</v>
      </c>
      <c r="AI765" s="420" t="s">
        <v>3719</v>
      </c>
      <c r="AJ765" s="413" t="str">
        <f t="shared" si="50"/>
        <v>4590007764_014</v>
      </c>
      <c r="AK765" s="423" t="s">
        <v>5467</v>
      </c>
      <c r="AL765" s="424">
        <v>45401</v>
      </c>
      <c r="AM765" s="221">
        <v>62039</v>
      </c>
      <c r="AN765" s="424">
        <v>45519</v>
      </c>
      <c r="AO765" s="423"/>
      <c r="AP765" s="413"/>
      <c r="AQ765" s="222"/>
      <c r="AR765" s="424"/>
      <c r="AS765" s="614">
        <f ca="1">表格1_6[[#This Row],[total amount]]/表格1_6[[#This Row],[PO$]]</f>
        <v>1</v>
      </c>
      <c r="AT765" s="223">
        <f ca="1">表格1_6[[#This Row],[invoice amount]]+表格1_6[[#This Row],[invoice amount2]]</f>
        <v>62039</v>
      </c>
      <c r="AU765" s="224" t="s">
        <v>3657</v>
      </c>
      <c r="AV765" s="423" t="s">
        <v>5449</v>
      </c>
      <c r="AW765" s="423" t="e">
        <f ca="1">VLOOKUP(表格1_6[[#This Row],[TI tool ID2]],工作表1!A:A,1,FALSE)</f>
        <v>#N/A</v>
      </c>
      <c r="AX765" s="425" t="e">
        <f ca="1">VLOOKUP(表格1_6[[#This Row],[PO+ITEM]],工作表1!B:E,2,FALSE)</f>
        <v>#N/A</v>
      </c>
      <c r="AY765" s="425" t="e">
        <f ca="1">VLOOKUP(表格1_6[[#This Row],[PO+ITEM]],工作表1!B:E,3,FALSE)</f>
        <v>#N/A</v>
      </c>
      <c r="AZ765" s="423" t="e">
        <f ca="1">VLOOKUP(表格1_6[[#This Row],[PO+ITEM]],工作表1!B:E,4,FALSE)</f>
        <v>#N/A</v>
      </c>
      <c r="BA765" s="425" t="e">
        <f ca="1">INDEX(工作表1!G:G, MATCH(表格1_6[[#This Row],[invoice number]]&amp;表格1_6[[#This Row],[invoice number2]],工作表1!G:G, 0))</f>
        <v>#N/A</v>
      </c>
      <c r="BB765" s="423" t="e">
        <f ca="1">VLOOKUP(表格1_6[[#This Row],[PO+ITEM]],工作表1!F:H,2,FALSE)</f>
        <v>#N/A</v>
      </c>
    </row>
    <row r="766" spans="1:54" ht="15.6">
      <c r="A766" s="413">
        <v>765</v>
      </c>
      <c r="B766" s="413" t="s">
        <v>3674</v>
      </c>
      <c r="C766" s="414" t="s">
        <v>17</v>
      </c>
      <c r="D766" s="414" t="s">
        <v>3648</v>
      </c>
      <c r="E766" s="414"/>
      <c r="F766" s="414"/>
      <c r="G766" s="414"/>
      <c r="H766" s="414"/>
      <c r="I766" s="414"/>
      <c r="J766" s="414"/>
      <c r="K766" s="414"/>
      <c r="L766" s="415" t="s">
        <v>5468</v>
      </c>
      <c r="M766" s="416" t="s">
        <v>2999</v>
      </c>
      <c r="N766" s="416" t="s">
        <v>2999</v>
      </c>
      <c r="O766" s="417"/>
      <c r="P766" s="416">
        <v>4590007764</v>
      </c>
      <c r="Q766" s="418">
        <v>44861</v>
      </c>
      <c r="R766" s="419">
        <v>15</v>
      </c>
      <c r="S766" s="458">
        <v>62039</v>
      </c>
      <c r="T766" s="420" t="s">
        <v>2156</v>
      </c>
      <c r="U766" s="414" t="s">
        <v>3713</v>
      </c>
      <c r="V766" s="414" t="s">
        <v>3714</v>
      </c>
      <c r="W766" s="417" t="s">
        <v>3715</v>
      </c>
      <c r="X766" s="417"/>
      <c r="Y766" s="421" t="s">
        <v>3652</v>
      </c>
      <c r="Z766" s="421" t="s">
        <v>3652</v>
      </c>
      <c r="AA766" s="416" t="s">
        <v>5456</v>
      </c>
      <c r="AB766" s="414" t="s">
        <v>3716</v>
      </c>
      <c r="AC766" s="426"/>
      <c r="AD766" s="421"/>
      <c r="AE766" s="420"/>
      <c r="AF766" s="421">
        <v>90676</v>
      </c>
      <c r="AG766" s="420" t="s">
        <v>4675</v>
      </c>
      <c r="AH766" s="421" t="s">
        <v>3711</v>
      </c>
      <c r="AI766" s="420" t="s">
        <v>3719</v>
      </c>
      <c r="AJ766" s="413" t="str">
        <f t="shared" si="50"/>
        <v>4590007764_015</v>
      </c>
      <c r="AK766" s="423" t="s">
        <v>5469</v>
      </c>
      <c r="AL766" s="424">
        <v>45380</v>
      </c>
      <c r="AM766" s="222">
        <v>62039</v>
      </c>
      <c r="AN766" s="431" t="s">
        <v>1473</v>
      </c>
      <c r="AO766" s="423"/>
      <c r="AP766" s="413"/>
      <c r="AQ766" s="222"/>
      <c r="AR766" s="424"/>
      <c r="AS766" s="614">
        <f ca="1">表格1_6[[#This Row],[total amount]]/表格1_6[[#This Row],[PO$]]</f>
        <v>1</v>
      </c>
      <c r="AT766" s="223">
        <f ca="1">表格1_6[[#This Row],[invoice amount]]+表格1_6[[#This Row],[invoice amount2]]</f>
        <v>62039</v>
      </c>
      <c r="AU766" s="224" t="s">
        <v>3752</v>
      </c>
      <c r="AV766" s="423" t="s">
        <v>5449</v>
      </c>
      <c r="AW766" s="423" t="e">
        <f ca="1">VLOOKUP(表格1_6[[#This Row],[TI tool ID2]],工作表1!A:A,1,FALSE)</f>
        <v>#N/A</v>
      </c>
      <c r="AX766" s="425" t="e">
        <f ca="1">VLOOKUP(表格1_6[[#This Row],[PO+ITEM]],工作表1!B:E,2,FALSE)</f>
        <v>#N/A</v>
      </c>
      <c r="AY766" s="425" t="e">
        <f ca="1">VLOOKUP(表格1_6[[#This Row],[PO+ITEM]],工作表1!B:E,3,FALSE)</f>
        <v>#N/A</v>
      </c>
      <c r="AZ766" s="423" t="e">
        <f ca="1">VLOOKUP(表格1_6[[#This Row],[PO+ITEM]],工作表1!B:E,4,FALSE)</f>
        <v>#N/A</v>
      </c>
      <c r="BA766" s="425" t="e">
        <f ca="1">INDEX(工作表1!G:G, MATCH(表格1_6[[#This Row],[invoice number]]&amp;表格1_6[[#This Row],[invoice number2]],工作表1!G:G, 0))</f>
        <v>#N/A</v>
      </c>
      <c r="BB766" s="423" t="e">
        <f ca="1">VLOOKUP(表格1_6[[#This Row],[PO+ITEM]],工作表1!F:H,2,FALSE)</f>
        <v>#N/A</v>
      </c>
    </row>
    <row r="767" spans="1:54" ht="14.45">
      <c r="A767" s="413">
        <v>766</v>
      </c>
      <c r="B767" s="413" t="s">
        <v>3659</v>
      </c>
      <c r="C767" s="414" t="s">
        <v>17</v>
      </c>
      <c r="D767" s="414" t="s">
        <v>3648</v>
      </c>
      <c r="E767" s="414"/>
      <c r="F767" s="414"/>
      <c r="G767" s="414"/>
      <c r="H767" s="414"/>
      <c r="I767" s="414"/>
      <c r="J767" s="414"/>
      <c r="K767" s="414"/>
      <c r="L767" s="415" t="s">
        <v>5470</v>
      </c>
      <c r="M767" s="416" t="s">
        <v>2999</v>
      </c>
      <c r="N767" s="416" t="s">
        <v>2999</v>
      </c>
      <c r="O767" s="417"/>
      <c r="P767" s="416">
        <v>4590007764</v>
      </c>
      <c r="Q767" s="418">
        <v>44861</v>
      </c>
      <c r="R767" s="419">
        <v>16</v>
      </c>
      <c r="S767" s="458">
        <v>62039</v>
      </c>
      <c r="T767" s="420" t="s">
        <v>2156</v>
      </c>
      <c r="U767" s="414" t="s">
        <v>3713</v>
      </c>
      <c r="V767" s="414" t="s">
        <v>3714</v>
      </c>
      <c r="W767" s="417" t="s">
        <v>3715</v>
      </c>
      <c r="X767" s="417"/>
      <c r="Y767" s="421" t="s">
        <v>3652</v>
      </c>
      <c r="Z767" s="421" t="s">
        <v>3652</v>
      </c>
      <c r="AA767" s="416"/>
      <c r="AB767" s="414" t="s">
        <v>3716</v>
      </c>
      <c r="AC767" s="426"/>
      <c r="AD767" s="421"/>
      <c r="AE767" s="420"/>
      <c r="AF767" s="421">
        <v>91090</v>
      </c>
      <c r="AG767" s="420" t="s">
        <v>5061</v>
      </c>
      <c r="AH767" s="421" t="s">
        <v>3711</v>
      </c>
      <c r="AI767" s="420" t="s">
        <v>3719</v>
      </c>
      <c r="AJ767" s="413" t="str">
        <f t="shared" si="50"/>
        <v>4590007764_016</v>
      </c>
      <c r="AK767" s="423"/>
      <c r="AL767" s="413"/>
      <c r="AM767" s="221"/>
      <c r="AN767" s="424"/>
      <c r="AO767" s="423"/>
      <c r="AP767" s="413"/>
      <c r="AQ767" s="222"/>
      <c r="AR767" s="424"/>
      <c r="AS767" s="614">
        <f ca="1">表格1_6[[#This Row],[total amount]]/表格1_6[[#This Row],[PO$]]</f>
        <v>0</v>
      </c>
      <c r="AT767" s="223">
        <f ca="1">表格1_6[[#This Row],[invoice amount]]+表格1_6[[#This Row],[invoice amount2]]</f>
        <v>0</v>
      </c>
      <c r="AU767" s="224"/>
      <c r="AV767" s="423"/>
      <c r="AW767" s="423" t="e">
        <f ca="1">VLOOKUP(表格1_6[[#This Row],[TI tool ID2]],工作表1!A:A,1,FALSE)</f>
        <v>#N/A</v>
      </c>
      <c r="AX767" s="425" t="e">
        <f ca="1">VLOOKUP(表格1_6[[#This Row],[PO+ITEM]],工作表1!B:E,2,FALSE)</f>
        <v>#N/A</v>
      </c>
      <c r="AY767" s="425" t="e">
        <f ca="1">VLOOKUP(表格1_6[[#This Row],[PO+ITEM]],工作表1!B:E,3,FALSE)</f>
        <v>#N/A</v>
      </c>
      <c r="AZ767" s="423" t="e">
        <f ca="1">VLOOKUP(表格1_6[[#This Row],[PO+ITEM]],工作表1!B:E,4,FALSE)</f>
        <v>#N/A</v>
      </c>
      <c r="BA767" s="425" t="e">
        <f ca="1">INDEX(工作表1!G:G, MATCH(表格1_6[[#This Row],[invoice number]]&amp;表格1_6[[#This Row],[invoice number2]],工作表1!G:G, 0))</f>
        <v>#N/A</v>
      </c>
      <c r="BB767" s="423" t="e">
        <f ca="1">VLOOKUP(表格1_6[[#This Row],[PO+ITEM]],工作表1!F:H,2,FALSE)</f>
        <v>#N/A</v>
      </c>
    </row>
    <row r="768" spans="1:54" ht="14.45">
      <c r="A768" s="413">
        <v>767</v>
      </c>
      <c r="B768" s="413" t="s">
        <v>3659</v>
      </c>
      <c r="C768" s="414" t="s">
        <v>17</v>
      </c>
      <c r="D768" s="414" t="s">
        <v>3648</v>
      </c>
      <c r="E768" s="414"/>
      <c r="F768" s="414"/>
      <c r="G768" s="414"/>
      <c r="H768" s="414"/>
      <c r="I768" s="414"/>
      <c r="J768" s="414"/>
      <c r="K768" s="414"/>
      <c r="L768" s="415" t="s">
        <v>5471</v>
      </c>
      <c r="M768" s="416" t="s">
        <v>2999</v>
      </c>
      <c r="N768" s="416" t="s">
        <v>2999</v>
      </c>
      <c r="O768" s="417"/>
      <c r="P768" s="416">
        <v>4590007764</v>
      </c>
      <c r="Q768" s="418">
        <v>44861</v>
      </c>
      <c r="R768" s="419">
        <v>17</v>
      </c>
      <c r="S768" s="458">
        <v>62039</v>
      </c>
      <c r="T768" s="420" t="s">
        <v>2156</v>
      </c>
      <c r="U768" s="414" t="s">
        <v>3713</v>
      </c>
      <c r="V768" s="414" t="s">
        <v>3714</v>
      </c>
      <c r="W768" s="417" t="s">
        <v>3715</v>
      </c>
      <c r="X768" s="417"/>
      <c r="Y768" s="421" t="s">
        <v>3652</v>
      </c>
      <c r="Z768" s="421" t="s">
        <v>3652</v>
      </c>
      <c r="AA768" s="416"/>
      <c r="AB768" s="414" t="s">
        <v>3716</v>
      </c>
      <c r="AC768" s="426"/>
      <c r="AD768" s="421"/>
      <c r="AE768" s="420"/>
      <c r="AF768" s="421">
        <v>91089</v>
      </c>
      <c r="AG768" s="420" t="s">
        <v>5059</v>
      </c>
      <c r="AH768" s="421" t="s">
        <v>3711</v>
      </c>
      <c r="AI768" s="420" t="s">
        <v>3719</v>
      </c>
      <c r="AJ768" s="413" t="str">
        <f t="shared" si="50"/>
        <v>4590007764_017</v>
      </c>
      <c r="AK768" s="423"/>
      <c r="AL768" s="413"/>
      <c r="AM768" s="221"/>
      <c r="AN768" s="424"/>
      <c r="AO768" s="423"/>
      <c r="AP768" s="413"/>
      <c r="AQ768" s="222"/>
      <c r="AR768" s="424"/>
      <c r="AS768" s="614">
        <f ca="1">表格1_6[[#This Row],[total amount]]/表格1_6[[#This Row],[PO$]]</f>
        <v>0</v>
      </c>
      <c r="AT768" s="223">
        <f ca="1">表格1_6[[#This Row],[invoice amount]]+表格1_6[[#This Row],[invoice amount2]]</f>
        <v>0</v>
      </c>
      <c r="AU768" s="224"/>
      <c r="AV768" s="423"/>
      <c r="AW768" s="423" t="e">
        <f ca="1">VLOOKUP(表格1_6[[#This Row],[TI tool ID2]],工作表1!A:A,1,FALSE)</f>
        <v>#N/A</v>
      </c>
      <c r="AX768" s="425" t="e">
        <f ca="1">VLOOKUP(表格1_6[[#This Row],[PO+ITEM]],工作表1!B:E,2,FALSE)</f>
        <v>#N/A</v>
      </c>
      <c r="AY768" s="425" t="e">
        <f ca="1">VLOOKUP(表格1_6[[#This Row],[PO+ITEM]],工作表1!B:E,3,FALSE)</f>
        <v>#N/A</v>
      </c>
      <c r="AZ768" s="423" t="e">
        <f ca="1">VLOOKUP(表格1_6[[#This Row],[PO+ITEM]],工作表1!B:E,4,FALSE)</f>
        <v>#N/A</v>
      </c>
      <c r="BA768" s="425" t="e">
        <f ca="1">INDEX(工作表1!G:G, MATCH(表格1_6[[#This Row],[invoice number]]&amp;表格1_6[[#This Row],[invoice number2]],工作表1!G:G, 0))</f>
        <v>#N/A</v>
      </c>
      <c r="BB768" s="423" t="e">
        <f ca="1">VLOOKUP(表格1_6[[#This Row],[PO+ITEM]],工作表1!F:H,2,FALSE)</f>
        <v>#N/A</v>
      </c>
    </row>
    <row r="769" spans="1:54" ht="14.45">
      <c r="A769" s="413">
        <v>768</v>
      </c>
      <c r="B769" s="413" t="s">
        <v>3659</v>
      </c>
      <c r="C769" s="414" t="s">
        <v>17</v>
      </c>
      <c r="D769" s="414" t="s">
        <v>3648</v>
      </c>
      <c r="E769" s="414"/>
      <c r="F769" s="414"/>
      <c r="G769" s="414"/>
      <c r="H769" s="414"/>
      <c r="I769" s="414"/>
      <c r="J769" s="414"/>
      <c r="K769" s="414"/>
      <c r="L769" s="415" t="s">
        <v>5472</v>
      </c>
      <c r="M769" s="416" t="s">
        <v>2999</v>
      </c>
      <c r="N769" s="416" t="s">
        <v>2999</v>
      </c>
      <c r="O769" s="417"/>
      <c r="P769" s="416">
        <v>4590007764</v>
      </c>
      <c r="Q769" s="418">
        <v>44861</v>
      </c>
      <c r="R769" s="419">
        <v>18</v>
      </c>
      <c r="S769" s="458">
        <v>62039</v>
      </c>
      <c r="T769" s="420" t="s">
        <v>2156</v>
      </c>
      <c r="U769" s="414" t="s">
        <v>3713</v>
      </c>
      <c r="V769" s="414" t="s">
        <v>3714</v>
      </c>
      <c r="W769" s="417" t="s">
        <v>3715</v>
      </c>
      <c r="X769" s="417"/>
      <c r="Y769" s="421" t="s">
        <v>3652</v>
      </c>
      <c r="Z769" s="421" t="s">
        <v>3652</v>
      </c>
      <c r="AA769" s="416"/>
      <c r="AB769" s="414" t="s">
        <v>3716</v>
      </c>
      <c r="AC769" s="426"/>
      <c r="AD769" s="421"/>
      <c r="AE769" s="420"/>
      <c r="AF769" s="421">
        <v>91096</v>
      </c>
      <c r="AG769" s="420" t="s">
        <v>5071</v>
      </c>
      <c r="AH769" s="421" t="s">
        <v>3711</v>
      </c>
      <c r="AI769" s="420" t="s">
        <v>3719</v>
      </c>
      <c r="AJ769" s="413" t="str">
        <f t="shared" si="50"/>
        <v>4590007764_018</v>
      </c>
      <c r="AK769" s="423"/>
      <c r="AL769" s="413"/>
      <c r="AM769" s="221"/>
      <c r="AN769" s="424"/>
      <c r="AO769" s="423"/>
      <c r="AP769" s="413"/>
      <c r="AQ769" s="222"/>
      <c r="AR769" s="424"/>
      <c r="AS769" s="614">
        <f ca="1">表格1_6[[#This Row],[total amount]]/表格1_6[[#This Row],[PO$]]</f>
        <v>0</v>
      </c>
      <c r="AT769" s="223">
        <f ca="1">表格1_6[[#This Row],[invoice amount]]+表格1_6[[#This Row],[invoice amount2]]</f>
        <v>0</v>
      </c>
      <c r="AU769" s="224"/>
      <c r="AV769" s="423"/>
      <c r="AW769" s="423" t="e">
        <f ca="1">VLOOKUP(表格1_6[[#This Row],[TI tool ID2]],工作表1!A:A,1,FALSE)</f>
        <v>#N/A</v>
      </c>
      <c r="AX769" s="425" t="e">
        <f ca="1">VLOOKUP(表格1_6[[#This Row],[PO+ITEM]],工作表1!B:E,2,FALSE)</f>
        <v>#N/A</v>
      </c>
      <c r="AY769" s="425" t="e">
        <f ca="1">VLOOKUP(表格1_6[[#This Row],[PO+ITEM]],工作表1!B:E,3,FALSE)</f>
        <v>#N/A</v>
      </c>
      <c r="AZ769" s="423" t="e">
        <f ca="1">VLOOKUP(表格1_6[[#This Row],[PO+ITEM]],工作表1!B:E,4,FALSE)</f>
        <v>#N/A</v>
      </c>
      <c r="BA769" s="425" t="e">
        <f ca="1">INDEX(工作表1!G:G, MATCH(表格1_6[[#This Row],[invoice number]]&amp;表格1_6[[#This Row],[invoice number2]],工作表1!G:G, 0))</f>
        <v>#N/A</v>
      </c>
      <c r="BB769" s="423" t="e">
        <f ca="1">VLOOKUP(表格1_6[[#This Row],[PO+ITEM]],工作表1!F:H,2,FALSE)</f>
        <v>#N/A</v>
      </c>
    </row>
    <row r="770" spans="1:54" ht="14.45">
      <c r="A770" s="413">
        <v>769</v>
      </c>
      <c r="B770" s="413" t="s">
        <v>3674</v>
      </c>
      <c r="C770" s="414" t="s">
        <v>17</v>
      </c>
      <c r="D770" s="414" t="s">
        <v>3648</v>
      </c>
      <c r="E770" s="414"/>
      <c r="F770" s="414"/>
      <c r="G770" s="414"/>
      <c r="H770" s="414"/>
      <c r="I770" s="414"/>
      <c r="J770" s="414"/>
      <c r="K770" s="414"/>
      <c r="L770" s="415" t="s">
        <v>5473</v>
      </c>
      <c r="M770" s="416" t="s">
        <v>2999</v>
      </c>
      <c r="N770" s="416" t="s">
        <v>2999</v>
      </c>
      <c r="O770" s="417"/>
      <c r="P770" s="416">
        <v>4590007764</v>
      </c>
      <c r="Q770" s="418">
        <v>44861</v>
      </c>
      <c r="R770" s="419">
        <v>19</v>
      </c>
      <c r="S770" s="349">
        <v>39874</v>
      </c>
      <c r="T770" s="420" t="s">
        <v>2156</v>
      </c>
      <c r="U770" s="414" t="s">
        <v>3713</v>
      </c>
      <c r="V770" s="414" t="s">
        <v>3714</v>
      </c>
      <c r="W770" s="417" t="s">
        <v>3715</v>
      </c>
      <c r="X770" s="417"/>
      <c r="Y770" s="421" t="s">
        <v>3652</v>
      </c>
      <c r="Z770" s="421" t="s">
        <v>3652</v>
      </c>
      <c r="AA770" s="416"/>
      <c r="AB770" s="414" t="s">
        <v>3716</v>
      </c>
      <c r="AC770" s="426"/>
      <c r="AD770" s="421"/>
      <c r="AE770" s="420"/>
      <c r="AF770" s="421">
        <v>90520</v>
      </c>
      <c r="AG770" s="420" t="s">
        <v>4678</v>
      </c>
      <c r="AH770" s="421" t="s">
        <v>3711</v>
      </c>
      <c r="AI770" s="420" t="s">
        <v>3719</v>
      </c>
      <c r="AJ770" s="413" t="str">
        <f t="shared" si="50"/>
        <v>4590007764_019</v>
      </c>
      <c r="AK770" s="423" t="s">
        <v>5474</v>
      </c>
      <c r="AL770" s="424">
        <v>45401</v>
      </c>
      <c r="AM770" s="221">
        <v>39874</v>
      </c>
      <c r="AN770" s="424">
        <v>45503</v>
      </c>
      <c r="AO770" s="423"/>
      <c r="AP770" s="413"/>
      <c r="AQ770" s="222"/>
      <c r="AR770" s="424"/>
      <c r="AS770" s="614">
        <f ca="1">表格1_6[[#This Row],[total amount]]/表格1_6[[#This Row],[PO$]]</f>
        <v>1</v>
      </c>
      <c r="AT770" s="223">
        <f ca="1">表格1_6[[#This Row],[invoice amount]]+表格1_6[[#This Row],[invoice amount2]]</f>
        <v>39874</v>
      </c>
      <c r="AU770" s="224" t="s">
        <v>3725</v>
      </c>
      <c r="AV770" s="423" t="s">
        <v>5449</v>
      </c>
      <c r="AW770" s="423" t="e">
        <f ca="1">VLOOKUP(表格1_6[[#This Row],[TI tool ID2]],工作表1!A:A,1,FALSE)</f>
        <v>#N/A</v>
      </c>
      <c r="AX770" s="425" t="e">
        <f ca="1">VLOOKUP(表格1_6[[#This Row],[PO+ITEM]],工作表1!B:E,2,FALSE)</f>
        <v>#N/A</v>
      </c>
      <c r="AY770" s="425" t="e">
        <f ca="1">VLOOKUP(表格1_6[[#This Row],[PO+ITEM]],工作表1!B:E,3,FALSE)</f>
        <v>#N/A</v>
      </c>
      <c r="AZ770" s="423" t="e">
        <f ca="1">VLOOKUP(表格1_6[[#This Row],[PO+ITEM]],工作表1!B:E,4,FALSE)</f>
        <v>#N/A</v>
      </c>
      <c r="BA770" s="425" t="e">
        <f ca="1">INDEX(工作表1!G:G, MATCH(表格1_6[[#This Row],[invoice number]]&amp;表格1_6[[#This Row],[invoice number2]],工作表1!G:G, 0))</f>
        <v>#N/A</v>
      </c>
      <c r="BB770" s="423" t="e">
        <f ca="1">VLOOKUP(表格1_6[[#This Row],[PO+ITEM]],工作表1!F:H,2,FALSE)</f>
        <v>#N/A</v>
      </c>
    </row>
    <row r="771" spans="1:54" ht="14.45">
      <c r="A771" s="413">
        <v>770</v>
      </c>
      <c r="B771" s="413" t="s">
        <v>3659</v>
      </c>
      <c r="C771" s="414" t="s">
        <v>17</v>
      </c>
      <c r="D771" s="414" t="s">
        <v>3648</v>
      </c>
      <c r="E771" s="414"/>
      <c r="F771" s="414"/>
      <c r="G771" s="414"/>
      <c r="H771" s="414"/>
      <c r="I771" s="414"/>
      <c r="J771" s="414"/>
      <c r="K771" s="414"/>
      <c r="L771" s="415" t="s">
        <v>5475</v>
      </c>
      <c r="M771" s="416" t="s">
        <v>2999</v>
      </c>
      <c r="N771" s="416" t="s">
        <v>2999</v>
      </c>
      <c r="O771" s="417"/>
      <c r="P771" s="416">
        <v>4590007764</v>
      </c>
      <c r="Q771" s="418">
        <v>44861</v>
      </c>
      <c r="R771" s="419">
        <v>20</v>
      </c>
      <c r="S771" s="458">
        <v>39874</v>
      </c>
      <c r="T771" s="420" t="s">
        <v>2156</v>
      </c>
      <c r="U771" s="414" t="s">
        <v>3713</v>
      </c>
      <c r="V771" s="414" t="s">
        <v>3714</v>
      </c>
      <c r="W771" s="417" t="s">
        <v>3715</v>
      </c>
      <c r="X771" s="417"/>
      <c r="Y771" s="421" t="s">
        <v>3652</v>
      </c>
      <c r="Z771" s="421" t="s">
        <v>3652</v>
      </c>
      <c r="AA771" s="416"/>
      <c r="AB771" s="414" t="s">
        <v>3716</v>
      </c>
      <c r="AC771" s="426"/>
      <c r="AD771" s="421"/>
      <c r="AE771" s="420"/>
      <c r="AF771" s="421">
        <v>91101</v>
      </c>
      <c r="AG771" s="420" t="s">
        <v>5079</v>
      </c>
      <c r="AH771" s="421" t="s">
        <v>3711</v>
      </c>
      <c r="AI771" s="420" t="s">
        <v>3719</v>
      </c>
      <c r="AJ771" s="413" t="str">
        <f t="shared" si="50"/>
        <v>4590007764_020</v>
      </c>
      <c r="AK771" s="423"/>
      <c r="AL771" s="413"/>
      <c r="AM771" s="221"/>
      <c r="AN771" s="424"/>
      <c r="AO771" s="423"/>
      <c r="AP771" s="413"/>
      <c r="AQ771" s="222"/>
      <c r="AR771" s="424"/>
      <c r="AS771" s="614">
        <f ca="1">表格1_6[[#This Row],[total amount]]/表格1_6[[#This Row],[PO$]]</f>
        <v>0</v>
      </c>
      <c r="AT771" s="223">
        <f ca="1">表格1_6[[#This Row],[invoice amount]]+表格1_6[[#This Row],[invoice amount2]]</f>
        <v>0</v>
      </c>
      <c r="AU771" s="224"/>
      <c r="AV771" s="423"/>
      <c r="AW771" s="423" t="e">
        <f ca="1">VLOOKUP(表格1_6[[#This Row],[TI tool ID2]],工作表1!A:A,1,FALSE)</f>
        <v>#N/A</v>
      </c>
      <c r="AX771" s="425" t="e">
        <f ca="1">VLOOKUP(表格1_6[[#This Row],[PO+ITEM]],工作表1!B:E,2,FALSE)</f>
        <v>#N/A</v>
      </c>
      <c r="AY771" s="425" t="e">
        <f ca="1">VLOOKUP(表格1_6[[#This Row],[PO+ITEM]],工作表1!B:E,3,FALSE)</f>
        <v>#N/A</v>
      </c>
      <c r="AZ771" s="423" t="e">
        <f ca="1">VLOOKUP(表格1_6[[#This Row],[PO+ITEM]],工作表1!B:E,4,FALSE)</f>
        <v>#N/A</v>
      </c>
      <c r="BA771" s="425" t="e">
        <f ca="1">INDEX(工作表1!G:G, MATCH(表格1_6[[#This Row],[invoice number]]&amp;表格1_6[[#This Row],[invoice number2]],工作表1!G:G, 0))</f>
        <v>#N/A</v>
      </c>
      <c r="BB771" s="423" t="e">
        <f ca="1">VLOOKUP(表格1_6[[#This Row],[PO+ITEM]],工作表1!F:H,2,FALSE)</f>
        <v>#N/A</v>
      </c>
    </row>
    <row r="772" spans="1:54" ht="14.45">
      <c r="A772" s="413">
        <v>771</v>
      </c>
      <c r="B772" s="413" t="s">
        <v>3674</v>
      </c>
      <c r="C772" s="414" t="s">
        <v>17</v>
      </c>
      <c r="D772" s="414" t="s">
        <v>3648</v>
      </c>
      <c r="E772" s="414"/>
      <c r="F772" s="414"/>
      <c r="G772" s="414"/>
      <c r="H772" s="414"/>
      <c r="I772" s="414"/>
      <c r="J772" s="414"/>
      <c r="K772" s="414"/>
      <c r="L772" s="415" t="s">
        <v>5476</v>
      </c>
      <c r="M772" s="416" t="s">
        <v>2999</v>
      </c>
      <c r="N772" s="416" t="s">
        <v>2999</v>
      </c>
      <c r="O772" s="417"/>
      <c r="P772" s="416">
        <v>4590007764</v>
      </c>
      <c r="Q772" s="418">
        <v>44861</v>
      </c>
      <c r="R772" s="419">
        <v>21</v>
      </c>
      <c r="S772" s="458">
        <v>39874</v>
      </c>
      <c r="T772" s="420" t="s">
        <v>2156</v>
      </c>
      <c r="U772" s="414" t="s">
        <v>3713</v>
      </c>
      <c r="V772" s="414" t="s">
        <v>3714</v>
      </c>
      <c r="W772" s="417" t="s">
        <v>3715</v>
      </c>
      <c r="X772" s="417"/>
      <c r="Y772" s="421" t="s">
        <v>3652</v>
      </c>
      <c r="Z772" s="421" t="s">
        <v>3652</v>
      </c>
      <c r="AA772" s="416"/>
      <c r="AB772" s="414" t="s">
        <v>3716</v>
      </c>
      <c r="AC772" s="426"/>
      <c r="AD772" s="421"/>
      <c r="AE772" s="420"/>
      <c r="AF772" s="421">
        <v>90521</v>
      </c>
      <c r="AG772" s="420" t="s">
        <v>4681</v>
      </c>
      <c r="AH772" s="421" t="s">
        <v>3711</v>
      </c>
      <c r="AI772" s="420" t="s">
        <v>3719</v>
      </c>
      <c r="AJ772" s="413" t="str">
        <f t="shared" si="50"/>
        <v>4590007764_021</v>
      </c>
      <c r="AK772" s="423" t="s">
        <v>5477</v>
      </c>
      <c r="AL772" s="424">
        <v>45401</v>
      </c>
      <c r="AM772" s="221">
        <v>39874</v>
      </c>
      <c r="AN772" s="424">
        <v>45503</v>
      </c>
      <c r="AO772" s="423"/>
      <c r="AP772" s="413"/>
      <c r="AQ772" s="222"/>
      <c r="AR772" s="424"/>
      <c r="AS772" s="614">
        <f ca="1">表格1_6[[#This Row],[total amount]]/表格1_6[[#This Row],[PO$]]</f>
        <v>1</v>
      </c>
      <c r="AT772" s="223">
        <f ca="1">表格1_6[[#This Row],[invoice amount]]+表格1_6[[#This Row],[invoice amount2]]</f>
        <v>39874</v>
      </c>
      <c r="AU772" s="224" t="s">
        <v>3725</v>
      </c>
      <c r="AV772" s="423" t="s">
        <v>5449</v>
      </c>
      <c r="AW772" s="423" t="e">
        <f ca="1">VLOOKUP(表格1_6[[#This Row],[TI tool ID2]],工作表1!A:A,1,FALSE)</f>
        <v>#N/A</v>
      </c>
      <c r="AX772" s="425" t="e">
        <f ca="1">VLOOKUP(表格1_6[[#This Row],[PO+ITEM]],工作表1!B:E,2,FALSE)</f>
        <v>#N/A</v>
      </c>
      <c r="AY772" s="425" t="e">
        <f ca="1">VLOOKUP(表格1_6[[#This Row],[PO+ITEM]],工作表1!B:E,3,FALSE)</f>
        <v>#N/A</v>
      </c>
      <c r="AZ772" s="423" t="e">
        <f ca="1">VLOOKUP(表格1_6[[#This Row],[PO+ITEM]],工作表1!B:E,4,FALSE)</f>
        <v>#N/A</v>
      </c>
      <c r="BA772" s="425" t="e">
        <f ca="1">INDEX(工作表1!G:G, MATCH(表格1_6[[#This Row],[invoice number]]&amp;表格1_6[[#This Row],[invoice number2]],工作表1!G:G, 0))</f>
        <v>#N/A</v>
      </c>
      <c r="BB772" s="423" t="e">
        <f ca="1">VLOOKUP(表格1_6[[#This Row],[PO+ITEM]],工作表1!F:H,2,FALSE)</f>
        <v>#N/A</v>
      </c>
    </row>
    <row r="773" spans="1:54" ht="14.45">
      <c r="A773" s="413">
        <v>772</v>
      </c>
      <c r="B773" s="413" t="s">
        <v>3659</v>
      </c>
      <c r="C773" s="414" t="s">
        <v>17</v>
      </c>
      <c r="D773" s="414" t="s">
        <v>3648</v>
      </c>
      <c r="E773" s="414"/>
      <c r="F773" s="414"/>
      <c r="G773" s="414"/>
      <c r="H773" s="414"/>
      <c r="I773" s="414"/>
      <c r="J773" s="414"/>
      <c r="K773" s="414"/>
      <c r="L773" s="415" t="s">
        <v>5478</v>
      </c>
      <c r="M773" s="416" t="s">
        <v>2999</v>
      </c>
      <c r="N773" s="416" t="s">
        <v>2999</v>
      </c>
      <c r="O773" s="417"/>
      <c r="P773" s="416">
        <v>4590007764</v>
      </c>
      <c r="Q773" s="418">
        <v>44861</v>
      </c>
      <c r="R773" s="419">
        <v>22</v>
      </c>
      <c r="S773" s="458">
        <v>39874</v>
      </c>
      <c r="T773" s="420" t="s">
        <v>2156</v>
      </c>
      <c r="U773" s="414" t="s">
        <v>3713</v>
      </c>
      <c r="V773" s="414" t="s">
        <v>3714</v>
      </c>
      <c r="W773" s="417" t="s">
        <v>3715</v>
      </c>
      <c r="X773" s="417"/>
      <c r="Y773" s="421" t="s">
        <v>3652</v>
      </c>
      <c r="Z773" s="421" t="s">
        <v>3652</v>
      </c>
      <c r="AA773" s="416"/>
      <c r="AB773" s="414" t="s">
        <v>3716</v>
      </c>
      <c r="AC773" s="426"/>
      <c r="AD773" s="421"/>
      <c r="AE773" s="420"/>
      <c r="AF773" s="421">
        <v>91098</v>
      </c>
      <c r="AG773" s="420" t="s">
        <v>5075</v>
      </c>
      <c r="AH773" s="421" t="s">
        <v>3711</v>
      </c>
      <c r="AI773" s="420" t="s">
        <v>3719</v>
      </c>
      <c r="AJ773" s="413" t="str">
        <f t="shared" si="50"/>
        <v>4590007764_022</v>
      </c>
      <c r="AK773" s="423"/>
      <c r="AL773" s="413"/>
      <c r="AM773" s="221"/>
      <c r="AN773" s="424"/>
      <c r="AO773" s="423"/>
      <c r="AP773" s="413"/>
      <c r="AQ773" s="222"/>
      <c r="AR773" s="424"/>
      <c r="AS773" s="614">
        <f ca="1">表格1_6[[#This Row],[total amount]]/表格1_6[[#This Row],[PO$]]</f>
        <v>0</v>
      </c>
      <c r="AT773" s="223">
        <f ca="1">表格1_6[[#This Row],[invoice amount]]+表格1_6[[#This Row],[invoice amount2]]</f>
        <v>0</v>
      </c>
      <c r="AU773" s="224"/>
      <c r="AV773" s="423"/>
      <c r="AW773" s="423" t="e">
        <f ca="1">VLOOKUP(表格1_6[[#This Row],[TI tool ID2]],工作表1!A:A,1,FALSE)</f>
        <v>#N/A</v>
      </c>
      <c r="AX773" s="425" t="e">
        <f ca="1">VLOOKUP(表格1_6[[#This Row],[PO+ITEM]],工作表1!B:E,2,FALSE)</f>
        <v>#N/A</v>
      </c>
      <c r="AY773" s="425" t="e">
        <f ca="1">VLOOKUP(表格1_6[[#This Row],[PO+ITEM]],工作表1!B:E,3,FALSE)</f>
        <v>#N/A</v>
      </c>
      <c r="AZ773" s="423" t="e">
        <f ca="1">VLOOKUP(表格1_6[[#This Row],[PO+ITEM]],工作表1!B:E,4,FALSE)</f>
        <v>#N/A</v>
      </c>
      <c r="BA773" s="425" t="e">
        <f ca="1">INDEX(工作表1!G:G, MATCH(表格1_6[[#This Row],[invoice number]]&amp;表格1_6[[#This Row],[invoice number2]],工作表1!G:G, 0))</f>
        <v>#N/A</v>
      </c>
      <c r="BB773" s="423" t="e">
        <f ca="1">VLOOKUP(表格1_6[[#This Row],[PO+ITEM]],工作表1!F:H,2,FALSE)</f>
        <v>#N/A</v>
      </c>
    </row>
    <row r="774" spans="1:54" ht="14.45">
      <c r="A774" s="413">
        <v>773</v>
      </c>
      <c r="B774" s="413" t="s">
        <v>3674</v>
      </c>
      <c r="C774" s="414" t="s">
        <v>17</v>
      </c>
      <c r="D774" s="414" t="s">
        <v>3648</v>
      </c>
      <c r="E774" s="414"/>
      <c r="F774" s="414"/>
      <c r="G774" s="414"/>
      <c r="H774" s="414"/>
      <c r="I774" s="414"/>
      <c r="J774" s="414"/>
      <c r="K774" s="414"/>
      <c r="L774" s="415" t="s">
        <v>5479</v>
      </c>
      <c r="M774" s="416" t="s">
        <v>2999</v>
      </c>
      <c r="N774" s="416" t="s">
        <v>2999</v>
      </c>
      <c r="O774" s="417"/>
      <c r="P774" s="416">
        <v>4590007764</v>
      </c>
      <c r="Q774" s="418">
        <v>44861</v>
      </c>
      <c r="R774" s="419">
        <v>23</v>
      </c>
      <c r="S774" s="349">
        <v>45230</v>
      </c>
      <c r="T774" s="420" t="s">
        <v>2156</v>
      </c>
      <c r="U774" s="414" t="s">
        <v>3713</v>
      </c>
      <c r="V774" s="414" t="s">
        <v>3714</v>
      </c>
      <c r="W774" s="417" t="s">
        <v>3715</v>
      </c>
      <c r="X774" s="417"/>
      <c r="Y774" s="421" t="s">
        <v>3652</v>
      </c>
      <c r="Z774" s="421" t="s">
        <v>3652</v>
      </c>
      <c r="AA774" s="416"/>
      <c r="AB774" s="414" t="s">
        <v>3716</v>
      </c>
      <c r="AC774" s="426"/>
      <c r="AD774" s="421"/>
      <c r="AE774" s="420"/>
      <c r="AF774" s="421">
        <v>90522</v>
      </c>
      <c r="AG774" s="420" t="s">
        <v>4684</v>
      </c>
      <c r="AH774" s="421" t="s">
        <v>3711</v>
      </c>
      <c r="AI774" s="420" t="s">
        <v>3719</v>
      </c>
      <c r="AJ774" s="413" t="str">
        <f t="shared" si="50"/>
        <v>4590007764_023</v>
      </c>
      <c r="AK774" s="423" t="s">
        <v>5480</v>
      </c>
      <c r="AL774" s="424">
        <v>45401</v>
      </c>
      <c r="AM774" s="221">
        <v>45230</v>
      </c>
      <c r="AN774" s="424">
        <v>45503</v>
      </c>
      <c r="AO774" s="423"/>
      <c r="AP774" s="413"/>
      <c r="AQ774" s="222"/>
      <c r="AR774" s="424"/>
      <c r="AS774" s="614">
        <f ca="1">表格1_6[[#This Row],[total amount]]/表格1_6[[#This Row],[PO$]]</f>
        <v>1</v>
      </c>
      <c r="AT774" s="223">
        <f ca="1">表格1_6[[#This Row],[invoice amount]]+表格1_6[[#This Row],[invoice amount2]]</f>
        <v>45230</v>
      </c>
      <c r="AU774" s="224" t="s">
        <v>3725</v>
      </c>
      <c r="AV774" s="423" t="s">
        <v>5449</v>
      </c>
      <c r="AW774" s="423" t="e">
        <f ca="1">VLOOKUP(表格1_6[[#This Row],[TI tool ID2]],工作表1!A:A,1,FALSE)</f>
        <v>#N/A</v>
      </c>
      <c r="AX774" s="425" t="e">
        <f ca="1">VLOOKUP(表格1_6[[#This Row],[PO+ITEM]],工作表1!B:E,2,FALSE)</f>
        <v>#N/A</v>
      </c>
      <c r="AY774" s="425" t="e">
        <f ca="1">VLOOKUP(表格1_6[[#This Row],[PO+ITEM]],工作表1!B:E,3,FALSE)</f>
        <v>#N/A</v>
      </c>
      <c r="AZ774" s="423" t="e">
        <f ca="1">VLOOKUP(表格1_6[[#This Row],[PO+ITEM]],工作表1!B:E,4,FALSE)</f>
        <v>#N/A</v>
      </c>
      <c r="BA774" s="425" t="e">
        <f ca="1">INDEX(工作表1!G:G, MATCH(表格1_6[[#This Row],[invoice number]]&amp;表格1_6[[#This Row],[invoice number2]],工作表1!G:G, 0))</f>
        <v>#N/A</v>
      </c>
      <c r="BB774" s="423" t="e">
        <f ca="1">VLOOKUP(表格1_6[[#This Row],[PO+ITEM]],工作表1!F:H,2,FALSE)</f>
        <v>#N/A</v>
      </c>
    </row>
    <row r="775" spans="1:54" ht="14.45">
      <c r="A775" s="413">
        <v>774</v>
      </c>
      <c r="B775" s="413" t="s">
        <v>3659</v>
      </c>
      <c r="C775" s="414" t="s">
        <v>17</v>
      </c>
      <c r="D775" s="414" t="s">
        <v>3648</v>
      </c>
      <c r="E775" s="414"/>
      <c r="F775" s="414"/>
      <c r="G775" s="414"/>
      <c r="H775" s="414"/>
      <c r="I775" s="414"/>
      <c r="J775" s="414"/>
      <c r="K775" s="414"/>
      <c r="L775" s="415" t="s">
        <v>5481</v>
      </c>
      <c r="M775" s="416" t="s">
        <v>2999</v>
      </c>
      <c r="N775" s="416" t="s">
        <v>2999</v>
      </c>
      <c r="O775" s="417"/>
      <c r="P775" s="416">
        <v>4590007764</v>
      </c>
      <c r="Q775" s="418">
        <v>44861</v>
      </c>
      <c r="R775" s="419">
        <v>24</v>
      </c>
      <c r="S775" s="458">
        <v>45230</v>
      </c>
      <c r="T775" s="420" t="s">
        <v>2156</v>
      </c>
      <c r="U775" s="414" t="s">
        <v>3713</v>
      </c>
      <c r="V775" s="414" t="s">
        <v>3714</v>
      </c>
      <c r="W775" s="417" t="s">
        <v>3715</v>
      </c>
      <c r="X775" s="417"/>
      <c r="Y775" s="421" t="s">
        <v>3652</v>
      </c>
      <c r="Z775" s="421" t="s">
        <v>3652</v>
      </c>
      <c r="AA775" s="416"/>
      <c r="AB775" s="414" t="s">
        <v>3716</v>
      </c>
      <c r="AC775" s="426"/>
      <c r="AD775" s="421"/>
      <c r="AE775" s="420"/>
      <c r="AF775" s="421">
        <v>91092</v>
      </c>
      <c r="AG775" s="420" t="s">
        <v>5065</v>
      </c>
      <c r="AH775" s="421" t="s">
        <v>3711</v>
      </c>
      <c r="AI775" s="420" t="s">
        <v>3719</v>
      </c>
      <c r="AJ775" s="413" t="str">
        <f t="shared" si="50"/>
        <v>4590007764_024</v>
      </c>
      <c r="AK775" s="423"/>
      <c r="AL775" s="413"/>
      <c r="AM775" s="221"/>
      <c r="AN775" s="424"/>
      <c r="AO775" s="423"/>
      <c r="AP775" s="413"/>
      <c r="AQ775" s="222"/>
      <c r="AR775" s="424"/>
      <c r="AS775" s="614">
        <f ca="1">表格1_6[[#This Row],[total amount]]/表格1_6[[#This Row],[PO$]]</f>
        <v>0</v>
      </c>
      <c r="AT775" s="223">
        <f ca="1">表格1_6[[#This Row],[invoice amount]]+表格1_6[[#This Row],[invoice amount2]]</f>
        <v>0</v>
      </c>
      <c r="AU775" s="224"/>
      <c r="AV775" s="423"/>
      <c r="AW775" s="423" t="e">
        <f ca="1">VLOOKUP(表格1_6[[#This Row],[TI tool ID2]],工作表1!A:A,1,FALSE)</f>
        <v>#N/A</v>
      </c>
      <c r="AX775" s="425" t="e">
        <f ca="1">VLOOKUP(表格1_6[[#This Row],[PO+ITEM]],工作表1!B:E,2,FALSE)</f>
        <v>#N/A</v>
      </c>
      <c r="AY775" s="425" t="e">
        <f ca="1">VLOOKUP(表格1_6[[#This Row],[PO+ITEM]],工作表1!B:E,3,FALSE)</f>
        <v>#N/A</v>
      </c>
      <c r="AZ775" s="423" t="e">
        <f ca="1">VLOOKUP(表格1_6[[#This Row],[PO+ITEM]],工作表1!B:E,4,FALSE)</f>
        <v>#N/A</v>
      </c>
      <c r="BA775" s="425" t="e">
        <f ca="1">INDEX(工作表1!G:G, MATCH(表格1_6[[#This Row],[invoice number]]&amp;表格1_6[[#This Row],[invoice number2]],工作表1!G:G, 0))</f>
        <v>#N/A</v>
      </c>
      <c r="BB775" s="423" t="e">
        <f ca="1">VLOOKUP(表格1_6[[#This Row],[PO+ITEM]],工作表1!F:H,2,FALSE)</f>
        <v>#N/A</v>
      </c>
    </row>
    <row r="776" spans="1:54" ht="14.45">
      <c r="A776" s="413">
        <v>775</v>
      </c>
      <c r="B776" s="413" t="s">
        <v>3659</v>
      </c>
      <c r="C776" s="414" t="s">
        <v>17</v>
      </c>
      <c r="D776" s="414" t="s">
        <v>3648</v>
      </c>
      <c r="E776" s="414"/>
      <c r="F776" s="414"/>
      <c r="G776" s="414"/>
      <c r="H776" s="414"/>
      <c r="I776" s="414"/>
      <c r="J776" s="414"/>
      <c r="K776" s="414"/>
      <c r="L776" s="415" t="s">
        <v>5482</v>
      </c>
      <c r="M776" s="416" t="s">
        <v>2999</v>
      </c>
      <c r="N776" s="416" t="s">
        <v>2999</v>
      </c>
      <c r="O776" s="417"/>
      <c r="P776" s="416">
        <v>4590007764</v>
      </c>
      <c r="Q776" s="418">
        <v>44861</v>
      </c>
      <c r="R776" s="419">
        <v>25</v>
      </c>
      <c r="S776" s="458">
        <v>45230</v>
      </c>
      <c r="T776" s="420" t="s">
        <v>2156</v>
      </c>
      <c r="U776" s="414" t="s">
        <v>3713</v>
      </c>
      <c r="V776" s="414" t="s">
        <v>3714</v>
      </c>
      <c r="W776" s="417" t="s">
        <v>3715</v>
      </c>
      <c r="X776" s="417"/>
      <c r="Y776" s="421" t="s">
        <v>3652</v>
      </c>
      <c r="Z776" s="421" t="s">
        <v>3652</v>
      </c>
      <c r="AA776" s="416"/>
      <c r="AB776" s="414" t="s">
        <v>3716</v>
      </c>
      <c r="AC776" s="426"/>
      <c r="AD776" s="421"/>
      <c r="AE776" s="420"/>
      <c r="AF776" s="421">
        <v>91091</v>
      </c>
      <c r="AG776" s="420" t="s">
        <v>5063</v>
      </c>
      <c r="AH776" s="421" t="s">
        <v>3711</v>
      </c>
      <c r="AI776" s="420" t="s">
        <v>3719</v>
      </c>
      <c r="AJ776" s="413" t="str">
        <f t="shared" si="50"/>
        <v>4590007764_025</v>
      </c>
      <c r="AK776" s="423"/>
      <c r="AL776" s="413"/>
      <c r="AM776" s="221"/>
      <c r="AN776" s="424"/>
      <c r="AO776" s="423"/>
      <c r="AP776" s="413"/>
      <c r="AQ776" s="222"/>
      <c r="AR776" s="424"/>
      <c r="AS776" s="614">
        <f ca="1">表格1_6[[#This Row],[total amount]]/表格1_6[[#This Row],[PO$]]</f>
        <v>0</v>
      </c>
      <c r="AT776" s="223">
        <f ca="1">表格1_6[[#This Row],[invoice amount]]+表格1_6[[#This Row],[invoice amount2]]</f>
        <v>0</v>
      </c>
      <c r="AU776" s="224"/>
      <c r="AV776" s="423"/>
      <c r="AW776" s="423" t="e">
        <f ca="1">VLOOKUP(表格1_6[[#This Row],[TI tool ID2]],工作表1!A:A,1,FALSE)</f>
        <v>#N/A</v>
      </c>
      <c r="AX776" s="425" t="e">
        <f ca="1">VLOOKUP(表格1_6[[#This Row],[PO+ITEM]],工作表1!B:E,2,FALSE)</f>
        <v>#N/A</v>
      </c>
      <c r="AY776" s="425" t="e">
        <f ca="1">VLOOKUP(表格1_6[[#This Row],[PO+ITEM]],工作表1!B:E,3,FALSE)</f>
        <v>#N/A</v>
      </c>
      <c r="AZ776" s="423" t="e">
        <f ca="1">VLOOKUP(表格1_6[[#This Row],[PO+ITEM]],工作表1!B:E,4,FALSE)</f>
        <v>#N/A</v>
      </c>
      <c r="BA776" s="425" t="e">
        <f ca="1">INDEX(工作表1!G:G, MATCH(表格1_6[[#This Row],[invoice number]]&amp;表格1_6[[#This Row],[invoice number2]],工作表1!G:G, 0))</f>
        <v>#N/A</v>
      </c>
      <c r="BB776" s="423" t="e">
        <f ca="1">VLOOKUP(表格1_6[[#This Row],[PO+ITEM]],工作表1!F:H,2,FALSE)</f>
        <v>#N/A</v>
      </c>
    </row>
    <row r="777" spans="1:54" ht="14.45">
      <c r="A777" s="413">
        <v>776</v>
      </c>
      <c r="B777" s="413"/>
      <c r="C777" s="414" t="s">
        <v>17</v>
      </c>
      <c r="D777" s="414" t="s">
        <v>3648</v>
      </c>
      <c r="E777" s="414"/>
      <c r="F777" s="414"/>
      <c r="G777" s="414"/>
      <c r="H777" s="414"/>
      <c r="I777" s="414"/>
      <c r="J777" s="414"/>
      <c r="K777" s="414"/>
      <c r="L777" s="415" t="s">
        <v>5483</v>
      </c>
      <c r="M777" s="416" t="s">
        <v>2999</v>
      </c>
      <c r="N777" s="416" t="s">
        <v>2999</v>
      </c>
      <c r="O777" s="417"/>
      <c r="P777" s="416">
        <v>4590007764</v>
      </c>
      <c r="Q777" s="418">
        <v>44861</v>
      </c>
      <c r="R777" s="419">
        <v>26</v>
      </c>
      <c r="S777" s="458">
        <v>39874</v>
      </c>
      <c r="T777" s="420" t="s">
        <v>2156</v>
      </c>
      <c r="U777" s="414" t="s">
        <v>3713</v>
      </c>
      <c r="V777" s="414" t="s">
        <v>3714</v>
      </c>
      <c r="W777" s="417" t="s">
        <v>3715</v>
      </c>
      <c r="X777" s="417"/>
      <c r="Y777" s="421" t="s">
        <v>3652</v>
      </c>
      <c r="Z777" s="421" t="s">
        <v>3652</v>
      </c>
      <c r="AA777" s="416"/>
      <c r="AB777" s="414" t="s">
        <v>3716</v>
      </c>
      <c r="AC777" s="426"/>
      <c r="AD777" s="421"/>
      <c r="AE777" s="420"/>
      <c r="AF777" s="421">
        <v>91430</v>
      </c>
      <c r="AG777" s="420" t="s">
        <v>5100</v>
      </c>
      <c r="AH777" s="421" t="s">
        <v>3711</v>
      </c>
      <c r="AI777" s="420" t="s">
        <v>3719</v>
      </c>
      <c r="AJ777" s="413" t="str">
        <f t="shared" si="50"/>
        <v>4590007764_026</v>
      </c>
      <c r="AK777" s="423"/>
      <c r="AL777" s="413"/>
      <c r="AM777" s="221"/>
      <c r="AN777" s="424"/>
      <c r="AO777" s="423"/>
      <c r="AP777" s="413"/>
      <c r="AQ777" s="222"/>
      <c r="AR777" s="424"/>
      <c r="AS777" s="614">
        <f ca="1">表格1_6[[#This Row],[total amount]]/表格1_6[[#This Row],[PO$]]</f>
        <v>0</v>
      </c>
      <c r="AT777" s="223">
        <f ca="1">表格1_6[[#This Row],[invoice amount]]+表格1_6[[#This Row],[invoice amount2]]</f>
        <v>0</v>
      </c>
      <c r="AU777" s="224"/>
      <c r="AV777" s="423"/>
      <c r="AW777" s="423" t="e">
        <f ca="1">VLOOKUP(表格1_6[[#This Row],[TI tool ID2]],工作表1!A:A,1,FALSE)</f>
        <v>#N/A</v>
      </c>
      <c r="AX777" s="425" t="e">
        <f ca="1">VLOOKUP(表格1_6[[#This Row],[PO+ITEM]],工作表1!B:E,2,FALSE)</f>
        <v>#N/A</v>
      </c>
      <c r="AY777" s="425" t="e">
        <f ca="1">VLOOKUP(表格1_6[[#This Row],[PO+ITEM]],工作表1!B:E,3,FALSE)</f>
        <v>#N/A</v>
      </c>
      <c r="AZ777" s="423" t="e">
        <f ca="1">VLOOKUP(表格1_6[[#This Row],[PO+ITEM]],工作表1!B:E,4,FALSE)</f>
        <v>#N/A</v>
      </c>
      <c r="BA777" s="425" t="e">
        <f ca="1">INDEX(工作表1!G:G, MATCH(表格1_6[[#This Row],[invoice number]]&amp;表格1_6[[#This Row],[invoice number2]],工作表1!G:G, 0))</f>
        <v>#N/A</v>
      </c>
      <c r="BB777" s="423" t="e">
        <f ca="1">VLOOKUP(表格1_6[[#This Row],[PO+ITEM]],工作表1!F:H,2,FALSE)</f>
        <v>#N/A</v>
      </c>
    </row>
    <row r="778" spans="1:54" ht="14.45">
      <c r="A778" s="413">
        <v>777</v>
      </c>
      <c r="B778" s="413" t="s">
        <v>3674</v>
      </c>
      <c r="C778" s="414" t="s">
        <v>17</v>
      </c>
      <c r="D778" s="414" t="s">
        <v>3648</v>
      </c>
      <c r="E778" s="414"/>
      <c r="F778" s="414"/>
      <c r="G778" s="414"/>
      <c r="H778" s="414"/>
      <c r="I778" s="414"/>
      <c r="J778" s="414"/>
      <c r="K778" s="414"/>
      <c r="L778" s="415" t="s">
        <v>5484</v>
      </c>
      <c r="M778" s="416" t="s">
        <v>2999</v>
      </c>
      <c r="N778" s="416" t="s">
        <v>2999</v>
      </c>
      <c r="O778" s="417"/>
      <c r="P778" s="416">
        <v>4590007764</v>
      </c>
      <c r="Q778" s="418">
        <v>44861</v>
      </c>
      <c r="R778" s="419">
        <v>27</v>
      </c>
      <c r="S778" s="458">
        <v>50321</v>
      </c>
      <c r="T778" s="420" t="s">
        <v>2156</v>
      </c>
      <c r="U778" s="414" t="s">
        <v>3713</v>
      </c>
      <c r="V778" s="414" t="s">
        <v>3714</v>
      </c>
      <c r="W778" s="417" t="s">
        <v>3715</v>
      </c>
      <c r="X778" s="417"/>
      <c r="Y778" s="421" t="s">
        <v>3652</v>
      </c>
      <c r="Z778" s="421" t="s">
        <v>3652</v>
      </c>
      <c r="AA778" s="416"/>
      <c r="AB778" s="414" t="s">
        <v>3716</v>
      </c>
      <c r="AC778" s="426"/>
      <c r="AD778" s="421"/>
      <c r="AE778" s="420"/>
      <c r="AF778" s="421">
        <v>90490</v>
      </c>
      <c r="AG778" s="420" t="s">
        <v>5485</v>
      </c>
      <c r="AH778" s="421" t="s">
        <v>3711</v>
      </c>
      <c r="AI778" s="420" t="s">
        <v>3719</v>
      </c>
      <c r="AJ778" s="413" t="str">
        <f t="shared" si="50"/>
        <v>4590007764_027</v>
      </c>
      <c r="AK778" s="423" t="s">
        <v>5486</v>
      </c>
      <c r="AL778" s="424">
        <v>45401</v>
      </c>
      <c r="AM778" s="221">
        <v>50321</v>
      </c>
      <c r="AN778" s="424">
        <v>45519</v>
      </c>
      <c r="AO778" s="423"/>
      <c r="AP778" s="413"/>
      <c r="AQ778" s="222"/>
      <c r="AR778" s="424"/>
      <c r="AS778" s="614">
        <f ca="1">表格1_6[[#This Row],[total amount]]/表格1_6[[#This Row],[PO$]]</f>
        <v>1</v>
      </c>
      <c r="AT778" s="223">
        <f ca="1">表格1_6[[#This Row],[invoice amount]]+表格1_6[[#This Row],[invoice amount2]]</f>
        <v>50321</v>
      </c>
      <c r="AU778" s="224" t="s">
        <v>3657</v>
      </c>
      <c r="AV778" s="423" t="s">
        <v>5449</v>
      </c>
      <c r="AW778" s="423" t="e">
        <f ca="1">VLOOKUP(表格1_6[[#This Row],[TI tool ID2]],工作表1!A:A,1,FALSE)</f>
        <v>#N/A</v>
      </c>
      <c r="AX778" s="425" t="e">
        <f ca="1">VLOOKUP(表格1_6[[#This Row],[PO+ITEM]],工作表1!B:E,2,FALSE)</f>
        <v>#N/A</v>
      </c>
      <c r="AY778" s="425" t="e">
        <f ca="1">VLOOKUP(表格1_6[[#This Row],[PO+ITEM]],工作表1!B:E,3,FALSE)</f>
        <v>#N/A</v>
      </c>
      <c r="AZ778" s="423" t="e">
        <f ca="1">VLOOKUP(表格1_6[[#This Row],[PO+ITEM]],工作表1!B:E,4,FALSE)</f>
        <v>#N/A</v>
      </c>
      <c r="BA778" s="425" t="e">
        <f ca="1">INDEX(工作表1!G:G, MATCH(表格1_6[[#This Row],[invoice number]]&amp;表格1_6[[#This Row],[invoice number2]],工作表1!G:G, 0))</f>
        <v>#N/A</v>
      </c>
      <c r="BB778" s="423" t="e">
        <f ca="1">VLOOKUP(表格1_6[[#This Row],[PO+ITEM]],工作表1!F:H,2,FALSE)</f>
        <v>#N/A</v>
      </c>
    </row>
    <row r="779" spans="1:54" ht="14.45">
      <c r="A779" s="413">
        <v>778</v>
      </c>
      <c r="B779" s="413" t="s">
        <v>3659</v>
      </c>
      <c r="C779" s="414" t="s">
        <v>17</v>
      </c>
      <c r="D779" s="414" t="s">
        <v>3648</v>
      </c>
      <c r="E779" s="414"/>
      <c r="F779" s="414"/>
      <c r="G779" s="414"/>
      <c r="H779" s="414"/>
      <c r="I779" s="414"/>
      <c r="J779" s="414"/>
      <c r="K779" s="414"/>
      <c r="L779" s="415" t="s">
        <v>5487</v>
      </c>
      <c r="M779" s="416" t="s">
        <v>2999</v>
      </c>
      <c r="N779" s="416" t="s">
        <v>2999</v>
      </c>
      <c r="O779" s="417"/>
      <c r="P779" s="416">
        <v>4590007764</v>
      </c>
      <c r="Q779" s="418">
        <v>44861</v>
      </c>
      <c r="R779" s="419">
        <v>28</v>
      </c>
      <c r="S779" s="458">
        <v>50321</v>
      </c>
      <c r="T779" s="420" t="s">
        <v>2156</v>
      </c>
      <c r="U779" s="414" t="s">
        <v>3713</v>
      </c>
      <c r="V779" s="414" t="s">
        <v>3714</v>
      </c>
      <c r="W779" s="417" t="s">
        <v>3715</v>
      </c>
      <c r="X779" s="417"/>
      <c r="Y779" s="421" t="s">
        <v>3652</v>
      </c>
      <c r="Z779" s="421" t="s">
        <v>3652</v>
      </c>
      <c r="AA779" s="416"/>
      <c r="AB779" s="414" t="s">
        <v>3716</v>
      </c>
      <c r="AC779" s="426"/>
      <c r="AD779" s="421"/>
      <c r="AE779" s="420"/>
      <c r="AF779" s="421">
        <v>91106</v>
      </c>
      <c r="AG779" s="420" t="s">
        <v>5488</v>
      </c>
      <c r="AH779" s="421" t="s">
        <v>3711</v>
      </c>
      <c r="AI779" s="420" t="s">
        <v>3719</v>
      </c>
      <c r="AJ779" s="413" t="str">
        <f t="shared" si="50"/>
        <v>4590007764_028</v>
      </c>
      <c r="AK779" s="423"/>
      <c r="AL779" s="413"/>
      <c r="AM779" s="221"/>
      <c r="AN779" s="424"/>
      <c r="AO779" s="423"/>
      <c r="AP779" s="413"/>
      <c r="AQ779" s="222"/>
      <c r="AR779" s="424"/>
      <c r="AS779" s="614">
        <f ca="1">表格1_6[[#This Row],[total amount]]/表格1_6[[#This Row],[PO$]]</f>
        <v>0</v>
      </c>
      <c r="AT779" s="223">
        <f ca="1">表格1_6[[#This Row],[invoice amount]]+表格1_6[[#This Row],[invoice amount2]]</f>
        <v>0</v>
      </c>
      <c r="AU779" s="224"/>
      <c r="AV779" s="423"/>
      <c r="AW779" s="423" t="e">
        <f ca="1">VLOOKUP(表格1_6[[#This Row],[TI tool ID2]],工作表1!A:A,1,FALSE)</f>
        <v>#N/A</v>
      </c>
      <c r="AX779" s="425" t="e">
        <f ca="1">VLOOKUP(表格1_6[[#This Row],[PO+ITEM]],工作表1!B:E,2,FALSE)</f>
        <v>#N/A</v>
      </c>
      <c r="AY779" s="425" t="e">
        <f ca="1">VLOOKUP(表格1_6[[#This Row],[PO+ITEM]],工作表1!B:E,3,FALSE)</f>
        <v>#N/A</v>
      </c>
      <c r="AZ779" s="423" t="e">
        <f ca="1">VLOOKUP(表格1_6[[#This Row],[PO+ITEM]],工作表1!B:E,4,FALSE)</f>
        <v>#N/A</v>
      </c>
      <c r="BA779" s="425" t="e">
        <f ca="1">INDEX(工作表1!G:G, MATCH(表格1_6[[#This Row],[invoice number]]&amp;表格1_6[[#This Row],[invoice number2]],工作表1!G:G, 0))</f>
        <v>#N/A</v>
      </c>
      <c r="BB779" s="423" t="e">
        <f ca="1">VLOOKUP(表格1_6[[#This Row],[PO+ITEM]],工作表1!F:H,2,FALSE)</f>
        <v>#N/A</v>
      </c>
    </row>
    <row r="780" spans="1:54" ht="14.45">
      <c r="A780" s="413">
        <v>779</v>
      </c>
      <c r="B780" s="413" t="s">
        <v>3659</v>
      </c>
      <c r="C780" s="414" t="s">
        <v>17</v>
      </c>
      <c r="D780" s="414" t="s">
        <v>3648</v>
      </c>
      <c r="E780" s="414"/>
      <c r="F780" s="414"/>
      <c r="G780" s="414"/>
      <c r="H780" s="414"/>
      <c r="I780" s="414"/>
      <c r="J780" s="414"/>
      <c r="K780" s="414"/>
      <c r="L780" s="415" t="s">
        <v>5489</v>
      </c>
      <c r="M780" s="416" t="s">
        <v>2999</v>
      </c>
      <c r="N780" s="416" t="s">
        <v>2999</v>
      </c>
      <c r="O780" s="417"/>
      <c r="P780" s="416">
        <v>4590007765</v>
      </c>
      <c r="Q780" s="418">
        <v>44861</v>
      </c>
      <c r="R780" s="419">
        <v>1</v>
      </c>
      <c r="S780" s="458">
        <v>380331</v>
      </c>
      <c r="T780" s="420" t="s">
        <v>2156</v>
      </c>
      <c r="U780" s="414" t="s">
        <v>3913</v>
      </c>
      <c r="V780" s="414" t="s">
        <v>3914</v>
      </c>
      <c r="W780" s="417" t="s">
        <v>3915</v>
      </c>
      <c r="X780" s="417"/>
      <c r="Y780" s="421" t="s">
        <v>3652</v>
      </c>
      <c r="Z780" s="421" t="s">
        <v>3652</v>
      </c>
      <c r="AA780" s="416"/>
      <c r="AB780" s="414" t="s">
        <v>5490</v>
      </c>
      <c r="AC780" s="426"/>
      <c r="AD780" s="421"/>
      <c r="AE780" s="420"/>
      <c r="AF780" s="421">
        <v>90988</v>
      </c>
      <c r="AG780" s="420" t="s">
        <v>5115</v>
      </c>
      <c r="AH780" s="421" t="s">
        <v>3718</v>
      </c>
      <c r="AI780" s="420" t="s">
        <v>3919</v>
      </c>
      <c r="AJ780" s="413" t="str">
        <f t="shared" ref="AJ780:AJ800" si="51">P780&amp;"_00"&amp;R780</f>
        <v>4590007765_001</v>
      </c>
      <c r="AK780" s="423"/>
      <c r="AL780" s="413"/>
      <c r="AM780" s="221"/>
      <c r="AN780" s="424"/>
      <c r="AO780" s="423"/>
      <c r="AP780" s="413"/>
      <c r="AQ780" s="222"/>
      <c r="AR780" s="424"/>
      <c r="AS780" s="614">
        <f ca="1">表格1_6[[#This Row],[total amount]]/表格1_6[[#This Row],[PO$]]</f>
        <v>0</v>
      </c>
      <c r="AT780" s="223">
        <f ca="1">表格1_6[[#This Row],[invoice amount]]+表格1_6[[#This Row],[invoice amount2]]</f>
        <v>0</v>
      </c>
      <c r="AU780" s="224"/>
      <c r="AV780" s="423"/>
      <c r="AW780" s="423" t="e">
        <f ca="1">VLOOKUP(表格1_6[[#This Row],[TI tool ID2]],工作表1!A:A,1,FALSE)</f>
        <v>#N/A</v>
      </c>
      <c r="AX780" s="425" t="e">
        <f ca="1">VLOOKUP(表格1_6[[#This Row],[PO+ITEM]],工作表1!B:E,2,FALSE)</f>
        <v>#N/A</v>
      </c>
      <c r="AY780" s="425" t="e">
        <f ca="1">VLOOKUP(表格1_6[[#This Row],[PO+ITEM]],工作表1!B:E,3,FALSE)</f>
        <v>#N/A</v>
      </c>
      <c r="AZ780" s="423" t="e">
        <f ca="1">VLOOKUP(表格1_6[[#This Row],[PO+ITEM]],工作表1!B:E,4,FALSE)</f>
        <v>#N/A</v>
      </c>
      <c r="BA780" s="425" t="e">
        <f ca="1">INDEX(工作表1!G:G, MATCH(表格1_6[[#This Row],[invoice number]]&amp;表格1_6[[#This Row],[invoice number2]],工作表1!G:G, 0))</f>
        <v>#N/A</v>
      </c>
      <c r="BB780" s="423" t="e">
        <f ca="1">VLOOKUP(表格1_6[[#This Row],[PO+ITEM]],工作表1!F:H,2,FALSE)</f>
        <v>#N/A</v>
      </c>
    </row>
    <row r="781" spans="1:54" ht="15.6">
      <c r="A781" s="413">
        <v>780</v>
      </c>
      <c r="B781" s="413" t="s">
        <v>3674</v>
      </c>
      <c r="C781" s="414" t="s">
        <v>17</v>
      </c>
      <c r="D781" s="414" t="s">
        <v>3648</v>
      </c>
      <c r="E781" s="414"/>
      <c r="F781" s="414"/>
      <c r="G781" s="414"/>
      <c r="H781" s="414"/>
      <c r="I781" s="414"/>
      <c r="J781" s="414"/>
      <c r="K781" s="414"/>
      <c r="L781" s="415" t="s">
        <v>5491</v>
      </c>
      <c r="M781" s="416" t="s">
        <v>2999</v>
      </c>
      <c r="N781" s="416" t="s">
        <v>2999</v>
      </c>
      <c r="O781" s="417"/>
      <c r="P781" s="416">
        <v>4590007765</v>
      </c>
      <c r="Q781" s="418">
        <v>44861</v>
      </c>
      <c r="R781" s="419">
        <v>2</v>
      </c>
      <c r="S781" s="458">
        <v>380331</v>
      </c>
      <c r="T781" s="420" t="s">
        <v>2156</v>
      </c>
      <c r="U781" s="414" t="s">
        <v>3913</v>
      </c>
      <c r="V781" s="414" t="s">
        <v>3914</v>
      </c>
      <c r="W781" s="417" t="s">
        <v>3915</v>
      </c>
      <c r="X781" s="417"/>
      <c r="Y781" s="421" t="s">
        <v>3652</v>
      </c>
      <c r="Z781" s="421" t="s">
        <v>3652</v>
      </c>
      <c r="AA781" s="416"/>
      <c r="AB781" s="414" t="s">
        <v>5490</v>
      </c>
      <c r="AC781" s="426"/>
      <c r="AD781" s="421"/>
      <c r="AE781" s="420"/>
      <c r="AF781" s="421">
        <v>90830</v>
      </c>
      <c r="AG781" s="420" t="s">
        <v>4123</v>
      </c>
      <c r="AH781" s="421" t="s">
        <v>3718</v>
      </c>
      <c r="AI781" s="420" t="s">
        <v>3919</v>
      </c>
      <c r="AJ781" s="413" t="str">
        <f t="shared" si="51"/>
        <v>4590007765_002</v>
      </c>
      <c r="AK781" s="423"/>
      <c r="AL781" s="424">
        <v>45231</v>
      </c>
      <c r="AM781" s="221">
        <v>361314.45</v>
      </c>
      <c r="AN781" s="228">
        <v>45303</v>
      </c>
      <c r="AO781" s="423"/>
      <c r="AP781" s="413"/>
      <c r="AQ781" s="222"/>
      <c r="AR781" s="424"/>
      <c r="AS781" s="614">
        <f ca="1">表格1_6[[#This Row],[total amount]]/表格1_6[[#This Row],[PO$]]</f>
        <v>0.95000000000000007</v>
      </c>
      <c r="AT781" s="223">
        <f ca="1">表格1_6[[#This Row],[invoice amount]]+表格1_6[[#This Row],[invoice amount2]]</f>
        <v>361314.45</v>
      </c>
      <c r="AU781" s="224" t="s">
        <v>3673</v>
      </c>
      <c r="AV781" s="423"/>
      <c r="AW781" s="423" t="e">
        <f ca="1">VLOOKUP(表格1_6[[#This Row],[TI tool ID2]],工作表1!A:A,1,FALSE)</f>
        <v>#N/A</v>
      </c>
      <c r="AX781" s="425" t="e">
        <f ca="1">VLOOKUP(表格1_6[[#This Row],[PO+ITEM]],工作表1!B:E,2,FALSE)</f>
        <v>#N/A</v>
      </c>
      <c r="AY781" s="425" t="e">
        <f ca="1">VLOOKUP(表格1_6[[#This Row],[PO+ITEM]],工作表1!B:E,3,FALSE)</f>
        <v>#N/A</v>
      </c>
      <c r="AZ781" s="423" t="e">
        <f ca="1">VLOOKUP(表格1_6[[#This Row],[PO+ITEM]],工作表1!B:E,4,FALSE)</f>
        <v>#N/A</v>
      </c>
      <c r="BA781" s="425" t="e">
        <f ca="1">INDEX(工作表1!G:G, MATCH(表格1_6[[#This Row],[invoice number]]&amp;表格1_6[[#This Row],[invoice number2]],工作表1!G:G, 0))</f>
        <v>#N/A</v>
      </c>
      <c r="BB781" s="423" t="e">
        <f ca="1">VLOOKUP(表格1_6[[#This Row],[PO+ITEM]],工作表1!F:H,2,FALSE)</f>
        <v>#N/A</v>
      </c>
    </row>
    <row r="782" spans="1:54" ht="14.45">
      <c r="A782" s="413">
        <v>781</v>
      </c>
      <c r="B782" s="413" t="s">
        <v>3674</v>
      </c>
      <c r="C782" s="414" t="s">
        <v>17</v>
      </c>
      <c r="D782" s="414" t="s">
        <v>3648</v>
      </c>
      <c r="E782" s="414"/>
      <c r="F782" s="414"/>
      <c r="G782" s="414"/>
      <c r="H782" s="414"/>
      <c r="I782" s="414"/>
      <c r="J782" s="414"/>
      <c r="K782" s="414"/>
      <c r="L782" s="415" t="s">
        <v>5492</v>
      </c>
      <c r="M782" s="416" t="s">
        <v>2999</v>
      </c>
      <c r="N782" s="416" t="s">
        <v>2999</v>
      </c>
      <c r="O782" s="417"/>
      <c r="P782" s="416">
        <v>4590007765</v>
      </c>
      <c r="Q782" s="418">
        <v>44861</v>
      </c>
      <c r="R782" s="419">
        <v>3</v>
      </c>
      <c r="S782" s="458">
        <v>380331</v>
      </c>
      <c r="T782" s="420" t="s">
        <v>2156</v>
      </c>
      <c r="U782" s="414" t="s">
        <v>3913</v>
      </c>
      <c r="V782" s="414" t="s">
        <v>3914</v>
      </c>
      <c r="W782" s="417" t="s">
        <v>3915</v>
      </c>
      <c r="X782" s="417"/>
      <c r="Y782" s="421" t="s">
        <v>3652</v>
      </c>
      <c r="Z782" s="421" t="s">
        <v>3652</v>
      </c>
      <c r="AA782" s="416"/>
      <c r="AB782" s="414" t="s">
        <v>5490</v>
      </c>
      <c r="AC782" s="426"/>
      <c r="AD782" s="421"/>
      <c r="AE782" s="420"/>
      <c r="AF782" s="421">
        <v>90831</v>
      </c>
      <c r="AG782" s="420" t="s">
        <v>4744</v>
      </c>
      <c r="AH782" s="421" t="s">
        <v>3718</v>
      </c>
      <c r="AI782" s="420" t="s">
        <v>3919</v>
      </c>
      <c r="AJ782" s="413" t="str">
        <f t="shared" si="51"/>
        <v>4590007765_003</v>
      </c>
      <c r="AK782" s="423" t="s">
        <v>5493</v>
      </c>
      <c r="AL782" s="424">
        <v>45401</v>
      </c>
      <c r="AM782" s="221">
        <v>380331</v>
      </c>
      <c r="AN782" s="424">
        <v>45471</v>
      </c>
      <c r="AO782" s="423"/>
      <c r="AP782" s="413"/>
      <c r="AQ782" s="222"/>
      <c r="AR782" s="424"/>
      <c r="AS782" s="614">
        <f ca="1">表格1_6[[#This Row],[total amount]]/表格1_6[[#This Row],[PO$]]</f>
        <v>1</v>
      </c>
      <c r="AT782" s="223">
        <f ca="1">表格1_6[[#This Row],[invoice amount]]+表格1_6[[#This Row],[invoice amount2]]</f>
        <v>380331</v>
      </c>
      <c r="AU782" s="224" t="s">
        <v>3673</v>
      </c>
      <c r="AV782" s="423"/>
      <c r="AW782" s="423" t="e">
        <f ca="1">VLOOKUP(表格1_6[[#This Row],[TI tool ID2]],工作表1!A:A,1,FALSE)</f>
        <v>#N/A</v>
      </c>
      <c r="AX782" s="425" t="e">
        <f ca="1">VLOOKUP(表格1_6[[#This Row],[PO+ITEM]],工作表1!B:E,2,FALSE)</f>
        <v>#N/A</v>
      </c>
      <c r="AY782" s="425" t="e">
        <f ca="1">VLOOKUP(表格1_6[[#This Row],[PO+ITEM]],工作表1!B:E,3,FALSE)</f>
        <v>#N/A</v>
      </c>
      <c r="AZ782" s="423" t="e">
        <f ca="1">VLOOKUP(表格1_6[[#This Row],[PO+ITEM]],工作表1!B:E,4,FALSE)</f>
        <v>#N/A</v>
      </c>
      <c r="BA782" s="425" t="e">
        <f ca="1">INDEX(工作表1!G:G, MATCH(表格1_6[[#This Row],[invoice number]]&amp;表格1_6[[#This Row],[invoice number2]],工作表1!G:G, 0))</f>
        <v>#N/A</v>
      </c>
      <c r="BB782" s="423" t="e">
        <f ca="1">VLOOKUP(表格1_6[[#This Row],[PO+ITEM]],工作表1!F:H,2,FALSE)</f>
        <v>#N/A</v>
      </c>
    </row>
    <row r="783" spans="1:54" ht="14.45">
      <c r="A783" s="413">
        <v>782</v>
      </c>
      <c r="B783" s="413" t="s">
        <v>3674</v>
      </c>
      <c r="C783" s="414" t="s">
        <v>17</v>
      </c>
      <c r="D783" s="414" t="s">
        <v>3648</v>
      </c>
      <c r="E783" s="414"/>
      <c r="F783" s="414"/>
      <c r="G783" s="414"/>
      <c r="H783" s="414"/>
      <c r="I783" s="414"/>
      <c r="J783" s="414"/>
      <c r="K783" s="414"/>
      <c r="L783" s="415" t="s">
        <v>5494</v>
      </c>
      <c r="M783" s="416" t="s">
        <v>2999</v>
      </c>
      <c r="N783" s="416" t="s">
        <v>2999</v>
      </c>
      <c r="O783" s="417"/>
      <c r="P783" s="416">
        <v>4590007766</v>
      </c>
      <c r="Q783" s="418">
        <v>44861</v>
      </c>
      <c r="R783" s="419">
        <v>1</v>
      </c>
      <c r="S783" s="458">
        <v>172324</v>
      </c>
      <c r="T783" s="420" t="s">
        <v>2156</v>
      </c>
      <c r="U783" s="414" t="s">
        <v>3913</v>
      </c>
      <c r="V783" s="414" t="s">
        <v>3914</v>
      </c>
      <c r="W783" s="417" t="s">
        <v>3915</v>
      </c>
      <c r="X783" s="417"/>
      <c r="Y783" s="421" t="s">
        <v>3652</v>
      </c>
      <c r="Z783" s="421" t="s">
        <v>3652</v>
      </c>
      <c r="AA783" s="416"/>
      <c r="AB783" s="414" t="s">
        <v>5490</v>
      </c>
      <c r="AC783" s="426"/>
      <c r="AD783" s="421"/>
      <c r="AE783" s="420"/>
      <c r="AF783" s="421">
        <v>90832</v>
      </c>
      <c r="AG783" s="420" t="s">
        <v>4733</v>
      </c>
      <c r="AH783" s="421" t="s">
        <v>3718</v>
      </c>
      <c r="AI783" s="420" t="s">
        <v>3919</v>
      </c>
      <c r="AJ783" s="413" t="str">
        <f t="shared" si="51"/>
        <v>4590007766_001</v>
      </c>
      <c r="AK783" s="463" t="s">
        <v>5495</v>
      </c>
      <c r="AL783" s="424">
        <v>45483</v>
      </c>
      <c r="AM783" s="221">
        <v>172324</v>
      </c>
      <c r="AN783" s="424">
        <v>45548</v>
      </c>
      <c r="AO783" s="423"/>
      <c r="AP783" s="424"/>
      <c r="AQ783" s="222"/>
      <c r="AR783" s="424"/>
      <c r="AS783" s="614">
        <f ca="1">表格1_6[[#This Row],[total amount]]/表格1_6[[#This Row],[PO$]]</f>
        <v>1</v>
      </c>
      <c r="AT783" s="223">
        <f ca="1">表格1_6[[#This Row],[invoice amount]]+表格1_6[[#This Row],[invoice amount2]]</f>
        <v>172324</v>
      </c>
      <c r="AU783" s="224" t="s">
        <v>3725</v>
      </c>
      <c r="AV783" s="423"/>
      <c r="AW783" s="423" t="e">
        <f ca="1">VLOOKUP(表格1_6[[#This Row],[TI tool ID2]],工作表1!A:A,1,FALSE)</f>
        <v>#N/A</v>
      </c>
      <c r="AX783" s="425" t="e">
        <f ca="1">VLOOKUP(表格1_6[[#This Row],[PO+ITEM]],工作表1!B:E,2,FALSE)</f>
        <v>#N/A</v>
      </c>
      <c r="AY783" s="425" t="e">
        <f ca="1">VLOOKUP(表格1_6[[#This Row],[PO+ITEM]],工作表1!B:E,3,FALSE)</f>
        <v>#N/A</v>
      </c>
      <c r="AZ783" s="423" t="e">
        <f ca="1">VLOOKUP(表格1_6[[#This Row],[PO+ITEM]],工作表1!B:E,4,FALSE)</f>
        <v>#N/A</v>
      </c>
      <c r="BA783" s="425" t="e">
        <f ca="1">INDEX(工作表1!G:G, MATCH(表格1_6[[#This Row],[invoice number]]&amp;表格1_6[[#This Row],[invoice number2]],工作表1!G:G, 0))</f>
        <v>#N/A</v>
      </c>
      <c r="BB783" s="423" t="e">
        <f ca="1">VLOOKUP(表格1_6[[#This Row],[PO+ITEM]],工作表1!F:H,2,FALSE)</f>
        <v>#N/A</v>
      </c>
    </row>
    <row r="784" spans="1:54" ht="14.45">
      <c r="A784" s="413">
        <v>783</v>
      </c>
      <c r="B784" s="413" t="s">
        <v>3659</v>
      </c>
      <c r="C784" s="414" t="s">
        <v>17</v>
      </c>
      <c r="D784" s="414" t="s">
        <v>3648</v>
      </c>
      <c r="E784" s="414"/>
      <c r="F784" s="414"/>
      <c r="G784" s="414"/>
      <c r="H784" s="414"/>
      <c r="I784" s="414"/>
      <c r="J784" s="414"/>
      <c r="K784" s="414"/>
      <c r="L784" s="415" t="s">
        <v>5496</v>
      </c>
      <c r="M784" s="416" t="s">
        <v>2999</v>
      </c>
      <c r="N784" s="416" t="s">
        <v>2999</v>
      </c>
      <c r="O784" s="417"/>
      <c r="P784" s="416">
        <v>4590007766</v>
      </c>
      <c r="Q784" s="418">
        <v>44861</v>
      </c>
      <c r="R784" s="419">
        <v>2</v>
      </c>
      <c r="S784" s="458">
        <v>172324</v>
      </c>
      <c r="T784" s="420" t="s">
        <v>2156</v>
      </c>
      <c r="U784" s="414" t="s">
        <v>3913</v>
      </c>
      <c r="V784" s="414" t="s">
        <v>3914</v>
      </c>
      <c r="W784" s="417" t="s">
        <v>3915</v>
      </c>
      <c r="X784" s="417"/>
      <c r="Y784" s="421" t="s">
        <v>3652</v>
      </c>
      <c r="Z784" s="421" t="s">
        <v>3652</v>
      </c>
      <c r="AA784" s="416"/>
      <c r="AB784" s="414" t="s">
        <v>5490</v>
      </c>
      <c r="AC784" s="426"/>
      <c r="AD784" s="421"/>
      <c r="AE784" s="420"/>
      <c r="AF784" s="421">
        <v>91285</v>
      </c>
      <c r="AG784" s="420" t="s">
        <v>5106</v>
      </c>
      <c r="AH784" s="421" t="s">
        <v>3718</v>
      </c>
      <c r="AI784" s="420" t="s">
        <v>3919</v>
      </c>
      <c r="AJ784" s="413" t="str">
        <f t="shared" si="51"/>
        <v>4590007766_002</v>
      </c>
      <c r="AK784" s="425" t="s">
        <v>5497</v>
      </c>
      <c r="AL784" s="424">
        <v>45562</v>
      </c>
      <c r="AM784" s="221">
        <v>172324</v>
      </c>
      <c r="AN784" s="424"/>
      <c r="AO784" s="423"/>
      <c r="AP784" s="413"/>
      <c r="AQ784" s="222"/>
      <c r="AR784" s="424"/>
      <c r="AS784" s="614">
        <f ca="1">表格1_6[[#This Row],[total amount]]/表格1_6[[#This Row],[PO$]]</f>
        <v>1</v>
      </c>
      <c r="AT784" s="223">
        <f ca="1">表格1_6[[#This Row],[invoice amount]]+表格1_6[[#This Row],[invoice amount2]]</f>
        <v>172324</v>
      </c>
      <c r="AU784" s="224" t="s">
        <v>3752</v>
      </c>
      <c r="AV784" s="423"/>
      <c r="AW784" s="423" t="e">
        <f ca="1">VLOOKUP(表格1_6[[#This Row],[TI tool ID2]],工作表1!A:A,1,FALSE)</f>
        <v>#N/A</v>
      </c>
      <c r="AX784" s="425" t="str">
        <f ca="1">VLOOKUP(表格1_6[[#This Row],[PO+ITEM]],工作表1!B:E,2,FALSE)</f>
        <v>MICUINT202409066</v>
      </c>
      <c r="AY784" s="425">
        <f ca="1">VLOOKUP(表格1_6[[#This Row],[PO+ITEM]],工作表1!B:E,3,FALSE)</f>
        <v>45562</v>
      </c>
      <c r="AZ784" s="423" t="e">
        <f ca="1">VLOOKUP(表格1_6[[#This Row],[PO+ITEM]],工作表1!B:E,4,FALSE)</f>
        <v>#REF!</v>
      </c>
      <c r="BA784" s="425" t="e">
        <f ca="1">INDEX(工作表1!G:G, MATCH(表格1_6[[#This Row],[invoice number]]&amp;表格1_6[[#This Row],[invoice number2]],工作表1!G:G, 0))</f>
        <v>#N/A</v>
      </c>
      <c r="BB784" s="423" t="e">
        <f ca="1">VLOOKUP(表格1_6[[#This Row],[PO+ITEM]],工作表1!F:H,2,FALSE)</f>
        <v>#N/A</v>
      </c>
    </row>
    <row r="785" spans="1:54" ht="14.45">
      <c r="A785" s="413">
        <v>784</v>
      </c>
      <c r="B785" s="413" t="s">
        <v>3674</v>
      </c>
      <c r="C785" s="414" t="s">
        <v>17</v>
      </c>
      <c r="D785" s="414" t="s">
        <v>3648</v>
      </c>
      <c r="E785" s="414"/>
      <c r="F785" s="414"/>
      <c r="G785" s="414"/>
      <c r="H785" s="414"/>
      <c r="I785" s="414"/>
      <c r="J785" s="414"/>
      <c r="K785" s="414"/>
      <c r="L785" s="415" t="s">
        <v>5498</v>
      </c>
      <c r="M785" s="416" t="s">
        <v>2999</v>
      </c>
      <c r="N785" s="416" t="s">
        <v>2999</v>
      </c>
      <c r="O785" s="417"/>
      <c r="P785" s="416">
        <v>4590007767</v>
      </c>
      <c r="Q785" s="418">
        <v>44861</v>
      </c>
      <c r="R785" s="419">
        <v>1</v>
      </c>
      <c r="S785" s="458">
        <v>263644</v>
      </c>
      <c r="T785" s="420" t="s">
        <v>2156</v>
      </c>
      <c r="U785" s="414" t="s">
        <v>3713</v>
      </c>
      <c r="V785" s="414" t="s">
        <v>3714</v>
      </c>
      <c r="W785" s="417" t="s">
        <v>3715</v>
      </c>
      <c r="X785" s="417"/>
      <c r="Y785" s="421" t="s">
        <v>3652</v>
      </c>
      <c r="Z785" s="421" t="s">
        <v>3652</v>
      </c>
      <c r="AA785" s="416" t="s">
        <v>3767</v>
      </c>
      <c r="AB785" s="414" t="s">
        <v>3716</v>
      </c>
      <c r="AC785" s="426"/>
      <c r="AD785" s="421"/>
      <c r="AE785" s="420"/>
      <c r="AF785" s="421">
        <v>90890</v>
      </c>
      <c r="AG785" s="420" t="s">
        <v>5499</v>
      </c>
      <c r="AH785" s="421" t="s">
        <v>3718</v>
      </c>
      <c r="AI785" s="420" t="s">
        <v>3719</v>
      </c>
      <c r="AJ785" s="413" t="str">
        <f t="shared" si="51"/>
        <v>4590007767_001</v>
      </c>
      <c r="AK785" s="423" t="s">
        <v>5500</v>
      </c>
      <c r="AL785" s="424">
        <v>45429</v>
      </c>
      <c r="AM785" s="221">
        <v>263644</v>
      </c>
      <c r="AN785" s="424">
        <v>45503</v>
      </c>
      <c r="AO785" s="423"/>
      <c r="AP785" s="413"/>
      <c r="AQ785" s="222"/>
      <c r="AR785" s="424"/>
      <c r="AS785" s="614">
        <f ca="1">表格1_6[[#This Row],[total amount]]/表格1_6[[#This Row],[PO$]]</f>
        <v>1</v>
      </c>
      <c r="AT785" s="223">
        <f ca="1">表格1_6[[#This Row],[invoice amount]]+表格1_6[[#This Row],[invoice amount2]]</f>
        <v>263644</v>
      </c>
      <c r="AU785" s="224" t="s">
        <v>3725</v>
      </c>
      <c r="AV785" s="423"/>
      <c r="AW785" s="423" t="e">
        <f ca="1">VLOOKUP(表格1_6[[#This Row],[TI tool ID2]],工作表1!A:A,1,FALSE)</f>
        <v>#N/A</v>
      </c>
      <c r="AX785" s="425" t="e">
        <f ca="1">VLOOKUP(表格1_6[[#This Row],[PO+ITEM]],工作表1!B:E,2,FALSE)</f>
        <v>#N/A</v>
      </c>
      <c r="AY785" s="425" t="e">
        <f ca="1">VLOOKUP(表格1_6[[#This Row],[PO+ITEM]],工作表1!B:E,3,FALSE)</f>
        <v>#N/A</v>
      </c>
      <c r="AZ785" s="423" t="e">
        <f ca="1">VLOOKUP(表格1_6[[#This Row],[PO+ITEM]],工作表1!B:E,4,FALSE)</f>
        <v>#N/A</v>
      </c>
      <c r="BA785" s="425" t="e">
        <f ca="1">INDEX(工作表1!G:G, MATCH(表格1_6[[#This Row],[invoice number]]&amp;表格1_6[[#This Row],[invoice number2]],工作表1!G:G, 0))</f>
        <v>#N/A</v>
      </c>
      <c r="BB785" s="423" t="e">
        <f ca="1">VLOOKUP(表格1_6[[#This Row],[PO+ITEM]],工作表1!F:H,2,FALSE)</f>
        <v>#N/A</v>
      </c>
    </row>
    <row r="786" spans="1:54" ht="15.6">
      <c r="A786" s="413">
        <v>785</v>
      </c>
      <c r="B786" s="413" t="s">
        <v>3674</v>
      </c>
      <c r="C786" s="414" t="s">
        <v>17</v>
      </c>
      <c r="D786" s="414" t="s">
        <v>3648</v>
      </c>
      <c r="E786" s="414"/>
      <c r="F786" s="414"/>
      <c r="G786" s="414"/>
      <c r="H786" s="414"/>
      <c r="I786" s="414"/>
      <c r="J786" s="414"/>
      <c r="K786" s="414"/>
      <c r="L786" s="415" t="s">
        <v>5501</v>
      </c>
      <c r="M786" s="416" t="s">
        <v>2999</v>
      </c>
      <c r="N786" s="416" t="s">
        <v>2999</v>
      </c>
      <c r="O786" s="417"/>
      <c r="P786" s="416">
        <v>4590007767</v>
      </c>
      <c r="Q786" s="418">
        <v>44861</v>
      </c>
      <c r="R786" s="419">
        <v>2</v>
      </c>
      <c r="S786" s="458">
        <v>263644</v>
      </c>
      <c r="T786" s="420" t="s">
        <v>2156</v>
      </c>
      <c r="U786" s="414" t="s">
        <v>3713</v>
      </c>
      <c r="V786" s="414" t="s">
        <v>3714</v>
      </c>
      <c r="W786" s="417" t="s">
        <v>3715</v>
      </c>
      <c r="X786" s="417"/>
      <c r="Y786" s="421" t="s">
        <v>3652</v>
      </c>
      <c r="Z786" s="421" t="s">
        <v>3652</v>
      </c>
      <c r="AA786" s="416" t="s">
        <v>3767</v>
      </c>
      <c r="AB786" s="414" t="s">
        <v>3716</v>
      </c>
      <c r="AC786" s="426"/>
      <c r="AD786" s="421"/>
      <c r="AE786" s="420"/>
      <c r="AF786" s="421">
        <v>90429</v>
      </c>
      <c r="AG786" s="420" t="s">
        <v>5502</v>
      </c>
      <c r="AH786" s="421" t="s">
        <v>3718</v>
      </c>
      <c r="AI786" s="420" t="s">
        <v>3719</v>
      </c>
      <c r="AJ786" s="413" t="str">
        <f t="shared" si="51"/>
        <v>4590007767_002</v>
      </c>
      <c r="AK786" s="423"/>
      <c r="AL786" s="424">
        <v>45261</v>
      </c>
      <c r="AM786" s="221">
        <v>250461.8</v>
      </c>
      <c r="AN786" s="228">
        <v>45303</v>
      </c>
      <c r="AO786" s="423"/>
      <c r="AP786" s="413"/>
      <c r="AQ786" s="222"/>
      <c r="AR786" s="424"/>
      <c r="AS786" s="614">
        <f ca="1">表格1_6[[#This Row],[total amount]]/表格1_6[[#This Row],[PO$]]</f>
        <v>0.95</v>
      </c>
      <c r="AT786" s="223">
        <f ca="1">表格1_6[[#This Row],[invoice amount]]+表格1_6[[#This Row],[invoice amount2]]</f>
        <v>250461.8</v>
      </c>
      <c r="AU786" s="224" t="s">
        <v>3673</v>
      </c>
      <c r="AV786" s="423"/>
      <c r="AW786" s="423" t="e">
        <f ca="1">VLOOKUP(表格1_6[[#This Row],[TI tool ID2]],工作表1!A:A,1,FALSE)</f>
        <v>#N/A</v>
      </c>
      <c r="AX786" s="425" t="e">
        <f ca="1">VLOOKUP(表格1_6[[#This Row],[PO+ITEM]],工作表1!B:E,2,FALSE)</f>
        <v>#N/A</v>
      </c>
      <c r="AY786" s="425" t="e">
        <f ca="1">VLOOKUP(表格1_6[[#This Row],[PO+ITEM]],工作表1!B:E,3,FALSE)</f>
        <v>#N/A</v>
      </c>
      <c r="AZ786" s="423" t="e">
        <f ca="1">VLOOKUP(表格1_6[[#This Row],[PO+ITEM]],工作表1!B:E,4,FALSE)</f>
        <v>#N/A</v>
      </c>
      <c r="BA786" s="425" t="e">
        <f ca="1">INDEX(工作表1!G:G, MATCH(表格1_6[[#This Row],[invoice number]]&amp;表格1_6[[#This Row],[invoice number2]],工作表1!G:G, 0))</f>
        <v>#N/A</v>
      </c>
      <c r="BB786" s="423" t="e">
        <f ca="1">VLOOKUP(表格1_6[[#This Row],[PO+ITEM]],工作表1!F:H,2,FALSE)</f>
        <v>#N/A</v>
      </c>
    </row>
    <row r="787" spans="1:54" ht="14.45">
      <c r="A787" s="413">
        <v>786</v>
      </c>
      <c r="B787" s="413" t="s">
        <v>3674</v>
      </c>
      <c r="C787" s="414" t="s">
        <v>17</v>
      </c>
      <c r="D787" s="414" t="s">
        <v>3648</v>
      </c>
      <c r="E787" s="414"/>
      <c r="F787" s="414"/>
      <c r="G787" s="414"/>
      <c r="H787" s="414"/>
      <c r="I787" s="414"/>
      <c r="J787" s="414"/>
      <c r="K787" s="414"/>
      <c r="L787" s="415" t="s">
        <v>5503</v>
      </c>
      <c r="M787" s="416" t="s">
        <v>2999</v>
      </c>
      <c r="N787" s="416" t="s">
        <v>2999</v>
      </c>
      <c r="O787" s="417"/>
      <c r="P787" s="416">
        <v>4590007767</v>
      </c>
      <c r="Q787" s="418">
        <v>44861</v>
      </c>
      <c r="R787" s="419">
        <v>3</v>
      </c>
      <c r="S787" s="458">
        <v>263644</v>
      </c>
      <c r="T787" s="420" t="s">
        <v>2156</v>
      </c>
      <c r="U787" s="414" t="s">
        <v>3713</v>
      </c>
      <c r="V787" s="414" t="s">
        <v>3714</v>
      </c>
      <c r="W787" s="417" t="s">
        <v>3715</v>
      </c>
      <c r="X787" s="417"/>
      <c r="Y787" s="421" t="s">
        <v>3652</v>
      </c>
      <c r="Z787" s="421" t="s">
        <v>3652</v>
      </c>
      <c r="AA787" s="416" t="s">
        <v>3767</v>
      </c>
      <c r="AB787" s="414" t="s">
        <v>3716</v>
      </c>
      <c r="AC787" s="426"/>
      <c r="AD787" s="421"/>
      <c r="AE787" s="420"/>
      <c r="AF787" s="421">
        <v>90428</v>
      </c>
      <c r="AG787" s="420" t="s">
        <v>5504</v>
      </c>
      <c r="AH787" s="421" t="s">
        <v>3718</v>
      </c>
      <c r="AI787" s="420" t="s">
        <v>3719</v>
      </c>
      <c r="AJ787" s="413" t="str">
        <f t="shared" si="51"/>
        <v>4590007767_003</v>
      </c>
      <c r="AK787" s="423" t="s">
        <v>5505</v>
      </c>
      <c r="AL787" s="424">
        <v>45401</v>
      </c>
      <c r="AM787" s="221">
        <v>263644</v>
      </c>
      <c r="AN787" s="424">
        <v>45471</v>
      </c>
      <c r="AO787" s="423"/>
      <c r="AP787" s="413"/>
      <c r="AQ787" s="222"/>
      <c r="AR787" s="424"/>
      <c r="AS787" s="614">
        <f ca="1">表格1_6[[#This Row],[total amount]]/表格1_6[[#This Row],[PO$]]</f>
        <v>1</v>
      </c>
      <c r="AT787" s="223">
        <f ca="1">表格1_6[[#This Row],[invoice amount]]+表格1_6[[#This Row],[invoice amount2]]</f>
        <v>263644</v>
      </c>
      <c r="AU787" s="224" t="s">
        <v>3673</v>
      </c>
      <c r="AV787" s="423"/>
      <c r="AW787" s="423" t="e">
        <f ca="1">VLOOKUP(表格1_6[[#This Row],[TI tool ID2]],工作表1!A:A,1,FALSE)</f>
        <v>#N/A</v>
      </c>
      <c r="AX787" s="425" t="e">
        <f ca="1">VLOOKUP(表格1_6[[#This Row],[PO+ITEM]],工作表1!B:E,2,FALSE)</f>
        <v>#N/A</v>
      </c>
      <c r="AY787" s="425" t="e">
        <f ca="1">VLOOKUP(表格1_6[[#This Row],[PO+ITEM]],工作表1!B:E,3,FALSE)</f>
        <v>#N/A</v>
      </c>
      <c r="AZ787" s="423" t="e">
        <f ca="1">VLOOKUP(表格1_6[[#This Row],[PO+ITEM]],工作表1!B:E,4,FALSE)</f>
        <v>#N/A</v>
      </c>
      <c r="BA787" s="425" t="e">
        <f ca="1">INDEX(工作表1!G:G, MATCH(表格1_6[[#This Row],[invoice number]]&amp;表格1_6[[#This Row],[invoice number2]],工作表1!G:G, 0))</f>
        <v>#N/A</v>
      </c>
      <c r="BB787" s="423" t="e">
        <f ca="1">VLOOKUP(表格1_6[[#This Row],[PO+ITEM]],工作表1!F:H,2,FALSE)</f>
        <v>#N/A</v>
      </c>
    </row>
    <row r="788" spans="1:54" ht="14.45">
      <c r="A788" s="413">
        <v>787</v>
      </c>
      <c r="B788" s="413" t="s">
        <v>3659</v>
      </c>
      <c r="C788" s="414" t="s">
        <v>17</v>
      </c>
      <c r="D788" s="414" t="s">
        <v>3648</v>
      </c>
      <c r="E788" s="414"/>
      <c r="F788" s="414"/>
      <c r="G788" s="414"/>
      <c r="H788" s="414"/>
      <c r="I788" s="414"/>
      <c r="J788" s="414"/>
      <c r="K788" s="414"/>
      <c r="L788" s="420" t="s">
        <v>5506</v>
      </c>
      <c r="M788" s="416" t="s">
        <v>2999</v>
      </c>
      <c r="N788" s="416" t="s">
        <v>2999</v>
      </c>
      <c r="O788" s="417"/>
      <c r="P788" s="416">
        <v>4590007767</v>
      </c>
      <c r="Q788" s="418">
        <v>44861</v>
      </c>
      <c r="R788" s="419">
        <v>4</v>
      </c>
      <c r="S788" s="458">
        <v>263644</v>
      </c>
      <c r="T788" s="420" t="s">
        <v>2156</v>
      </c>
      <c r="U788" s="414" t="s">
        <v>3713</v>
      </c>
      <c r="V788" s="414" t="s">
        <v>3714</v>
      </c>
      <c r="W788" s="417" t="s">
        <v>3715</v>
      </c>
      <c r="X788" s="417"/>
      <c r="Y788" s="421" t="s">
        <v>3652</v>
      </c>
      <c r="Z788" s="421" t="s">
        <v>3652</v>
      </c>
      <c r="AA788" s="416" t="s">
        <v>3767</v>
      </c>
      <c r="AB788" s="414" t="s">
        <v>3716</v>
      </c>
      <c r="AC788" s="426"/>
      <c r="AD788" s="421"/>
      <c r="AE788" s="420"/>
      <c r="AF788" s="421">
        <v>90891</v>
      </c>
      <c r="AG788" s="420" t="s">
        <v>5507</v>
      </c>
      <c r="AH788" s="421" t="s">
        <v>3718</v>
      </c>
      <c r="AI788" s="420" t="s">
        <v>3719</v>
      </c>
      <c r="AJ788" s="413" t="str">
        <f t="shared" si="51"/>
        <v>4590007767_004</v>
      </c>
      <c r="AK788" s="425" t="s">
        <v>5508</v>
      </c>
      <c r="AL788" s="424">
        <v>45562</v>
      </c>
      <c r="AM788" s="221">
        <v>263644</v>
      </c>
      <c r="AN788" s="424"/>
      <c r="AO788" s="423"/>
      <c r="AP788" s="413"/>
      <c r="AQ788" s="222"/>
      <c r="AR788" s="424"/>
      <c r="AS788" s="614">
        <f ca="1">表格1_6[[#This Row],[total amount]]/表格1_6[[#This Row],[PO$]]</f>
        <v>1</v>
      </c>
      <c r="AT788" s="223">
        <f ca="1">表格1_6[[#This Row],[invoice amount]]+表格1_6[[#This Row],[invoice amount2]]</f>
        <v>263644</v>
      </c>
      <c r="AU788" s="224" t="s">
        <v>3752</v>
      </c>
      <c r="AV788" s="423"/>
      <c r="AW788" s="423" t="e">
        <f ca="1">VLOOKUP(表格1_6[[#This Row],[TI tool ID2]],工作表1!A:A,1,FALSE)</f>
        <v>#N/A</v>
      </c>
      <c r="AX788" s="425" t="str">
        <f ca="1">VLOOKUP(表格1_6[[#This Row],[PO+ITEM]],工作表1!B:E,2,FALSE)</f>
        <v>MICUINT202409067</v>
      </c>
      <c r="AY788" s="425">
        <f ca="1">VLOOKUP(表格1_6[[#This Row],[PO+ITEM]],工作表1!B:E,3,FALSE)</f>
        <v>45562</v>
      </c>
      <c r="AZ788" s="423" t="e">
        <f ca="1">VLOOKUP(表格1_6[[#This Row],[PO+ITEM]],工作表1!B:E,4,FALSE)</f>
        <v>#REF!</v>
      </c>
      <c r="BA788" s="425" t="e">
        <f ca="1">INDEX(工作表1!G:G, MATCH(表格1_6[[#This Row],[invoice number]]&amp;表格1_6[[#This Row],[invoice number2]],工作表1!G:G, 0))</f>
        <v>#N/A</v>
      </c>
      <c r="BB788" s="423" t="e">
        <f ca="1">VLOOKUP(表格1_6[[#This Row],[PO+ITEM]],工作表1!F:H,2,FALSE)</f>
        <v>#N/A</v>
      </c>
    </row>
    <row r="789" spans="1:54" ht="14.45">
      <c r="A789" s="413">
        <v>788</v>
      </c>
      <c r="B789" s="413" t="s">
        <v>3659</v>
      </c>
      <c r="C789" s="414" t="s">
        <v>17</v>
      </c>
      <c r="D789" s="414" t="s">
        <v>3648</v>
      </c>
      <c r="E789" s="414"/>
      <c r="F789" s="414"/>
      <c r="G789" s="414"/>
      <c r="H789" s="414"/>
      <c r="I789" s="414"/>
      <c r="J789" s="414"/>
      <c r="K789" s="414"/>
      <c r="L789" s="415" t="s">
        <v>5509</v>
      </c>
      <c r="M789" s="416" t="s">
        <v>2999</v>
      </c>
      <c r="N789" s="416" t="s">
        <v>2999</v>
      </c>
      <c r="O789" s="417"/>
      <c r="P789" s="416">
        <v>4590007768</v>
      </c>
      <c r="Q789" s="418">
        <v>44861</v>
      </c>
      <c r="R789" s="419">
        <v>1</v>
      </c>
      <c r="S789" s="458">
        <v>263644</v>
      </c>
      <c r="T789" s="420" t="s">
        <v>2156</v>
      </c>
      <c r="U789" s="414" t="s">
        <v>3713</v>
      </c>
      <c r="V789" s="414" t="s">
        <v>3714</v>
      </c>
      <c r="W789" s="417" t="s">
        <v>3715</v>
      </c>
      <c r="X789" s="417"/>
      <c r="Y789" s="421" t="s">
        <v>3652</v>
      </c>
      <c r="Z789" s="421" t="s">
        <v>3652</v>
      </c>
      <c r="AA789" s="416"/>
      <c r="AB789" s="414" t="s">
        <v>3716</v>
      </c>
      <c r="AC789" s="426"/>
      <c r="AD789" s="421"/>
      <c r="AE789" s="420"/>
      <c r="AF789" s="421">
        <v>90892</v>
      </c>
      <c r="AG789" s="420" t="s">
        <v>5510</v>
      </c>
      <c r="AH789" s="421" t="s">
        <v>3718</v>
      </c>
      <c r="AI789" s="420" t="s">
        <v>3719</v>
      </c>
      <c r="AJ789" s="413" t="str">
        <f t="shared" si="51"/>
        <v>4590007768_001</v>
      </c>
      <c r="AK789" s="423"/>
      <c r="AL789" s="413"/>
      <c r="AM789" s="221"/>
      <c r="AN789" s="424"/>
      <c r="AO789" s="423"/>
      <c r="AP789" s="413"/>
      <c r="AQ789" s="222"/>
      <c r="AR789" s="424"/>
      <c r="AS789" s="614">
        <f ca="1">表格1_6[[#This Row],[total amount]]/表格1_6[[#This Row],[PO$]]</f>
        <v>0</v>
      </c>
      <c r="AT789" s="223">
        <f ca="1">表格1_6[[#This Row],[invoice amount]]+表格1_6[[#This Row],[invoice amount2]]</f>
        <v>0</v>
      </c>
      <c r="AU789" s="224"/>
      <c r="AV789" s="423"/>
      <c r="AW789" s="423" t="e">
        <f ca="1">VLOOKUP(表格1_6[[#This Row],[TI tool ID2]],工作表1!A:A,1,FALSE)</f>
        <v>#N/A</v>
      </c>
      <c r="AX789" s="425" t="e">
        <f ca="1">VLOOKUP(表格1_6[[#This Row],[PO+ITEM]],工作表1!B:E,2,FALSE)</f>
        <v>#N/A</v>
      </c>
      <c r="AY789" s="425" t="e">
        <f ca="1">VLOOKUP(表格1_6[[#This Row],[PO+ITEM]],工作表1!B:E,3,FALSE)</f>
        <v>#N/A</v>
      </c>
      <c r="AZ789" s="423" t="e">
        <f ca="1">VLOOKUP(表格1_6[[#This Row],[PO+ITEM]],工作表1!B:E,4,FALSE)</f>
        <v>#N/A</v>
      </c>
      <c r="BA789" s="425" t="e">
        <f ca="1">INDEX(工作表1!G:G, MATCH(表格1_6[[#This Row],[invoice number]]&amp;表格1_6[[#This Row],[invoice number2]],工作表1!G:G, 0))</f>
        <v>#N/A</v>
      </c>
      <c r="BB789" s="423" t="e">
        <f ca="1">VLOOKUP(表格1_6[[#This Row],[PO+ITEM]],工作表1!F:H,2,FALSE)</f>
        <v>#N/A</v>
      </c>
    </row>
    <row r="790" spans="1:54" ht="14.45">
      <c r="A790" s="413">
        <v>789</v>
      </c>
      <c r="B790" s="413" t="s">
        <v>3659</v>
      </c>
      <c r="C790" s="414" t="s">
        <v>17</v>
      </c>
      <c r="D790" s="414" t="s">
        <v>3648</v>
      </c>
      <c r="E790" s="414"/>
      <c r="F790" s="414"/>
      <c r="G790" s="414"/>
      <c r="H790" s="414"/>
      <c r="I790" s="414"/>
      <c r="J790" s="414"/>
      <c r="K790" s="414"/>
      <c r="L790" s="415" t="s">
        <v>5511</v>
      </c>
      <c r="M790" s="416" t="s">
        <v>2999</v>
      </c>
      <c r="N790" s="416" t="s">
        <v>2999</v>
      </c>
      <c r="O790" s="417"/>
      <c r="P790" s="416">
        <v>4590007768</v>
      </c>
      <c r="Q790" s="418">
        <v>44861</v>
      </c>
      <c r="R790" s="419">
        <v>2</v>
      </c>
      <c r="S790" s="458">
        <v>207352</v>
      </c>
      <c r="T790" s="420" t="s">
        <v>2156</v>
      </c>
      <c r="U790" s="414" t="s">
        <v>3713</v>
      </c>
      <c r="V790" s="414" t="s">
        <v>3714</v>
      </c>
      <c r="W790" s="417" t="s">
        <v>3715</v>
      </c>
      <c r="X790" s="417"/>
      <c r="Y790" s="421" t="s">
        <v>3652</v>
      </c>
      <c r="Z790" s="421" t="s">
        <v>3652</v>
      </c>
      <c r="AA790" s="416"/>
      <c r="AB790" s="414" t="s">
        <v>3716</v>
      </c>
      <c r="AC790" s="426"/>
      <c r="AD790" s="421"/>
      <c r="AE790" s="420"/>
      <c r="AF790" s="421">
        <v>91280</v>
      </c>
      <c r="AG790" s="420" t="s">
        <v>5512</v>
      </c>
      <c r="AH790" s="421" t="s">
        <v>3718</v>
      </c>
      <c r="AI790" s="420" t="s">
        <v>3719</v>
      </c>
      <c r="AJ790" s="413" t="str">
        <f t="shared" si="51"/>
        <v>4590007768_002</v>
      </c>
      <c r="AK790" s="423"/>
      <c r="AL790" s="413"/>
      <c r="AM790" s="221"/>
      <c r="AN790" s="424"/>
      <c r="AO790" s="423"/>
      <c r="AP790" s="413"/>
      <c r="AQ790" s="222"/>
      <c r="AR790" s="424"/>
      <c r="AS790" s="614">
        <f ca="1">表格1_6[[#This Row],[total amount]]/表格1_6[[#This Row],[PO$]]</f>
        <v>0</v>
      </c>
      <c r="AT790" s="223">
        <f ca="1">表格1_6[[#This Row],[invoice amount]]+表格1_6[[#This Row],[invoice amount2]]</f>
        <v>0</v>
      </c>
      <c r="AU790" s="224"/>
      <c r="AV790" s="423"/>
      <c r="AW790" s="423" t="e">
        <f ca="1">VLOOKUP(表格1_6[[#This Row],[TI tool ID2]],工作表1!A:A,1,FALSE)</f>
        <v>#N/A</v>
      </c>
      <c r="AX790" s="425" t="e">
        <f ca="1">VLOOKUP(表格1_6[[#This Row],[PO+ITEM]],工作表1!B:E,2,FALSE)</f>
        <v>#N/A</v>
      </c>
      <c r="AY790" s="425" t="e">
        <f ca="1">VLOOKUP(表格1_6[[#This Row],[PO+ITEM]],工作表1!B:E,3,FALSE)</f>
        <v>#N/A</v>
      </c>
      <c r="AZ790" s="423" t="e">
        <f ca="1">VLOOKUP(表格1_6[[#This Row],[PO+ITEM]],工作表1!B:E,4,FALSE)</f>
        <v>#N/A</v>
      </c>
      <c r="BA790" s="425" t="e">
        <f ca="1">INDEX(工作表1!G:G, MATCH(表格1_6[[#This Row],[invoice number]]&amp;表格1_6[[#This Row],[invoice number2]],工作表1!G:G, 0))</f>
        <v>#N/A</v>
      </c>
      <c r="BB790" s="423" t="e">
        <f ca="1">VLOOKUP(表格1_6[[#This Row],[PO+ITEM]],工作表1!F:H,2,FALSE)</f>
        <v>#N/A</v>
      </c>
    </row>
    <row r="791" spans="1:54" ht="14.45">
      <c r="A791" s="413">
        <v>790</v>
      </c>
      <c r="B791" s="413" t="s">
        <v>3659</v>
      </c>
      <c r="C791" s="414" t="s">
        <v>17</v>
      </c>
      <c r="D791" s="414" t="s">
        <v>3648</v>
      </c>
      <c r="E791" s="414"/>
      <c r="F791" s="414"/>
      <c r="G791" s="414"/>
      <c r="H791" s="414"/>
      <c r="I791" s="414"/>
      <c r="J791" s="414"/>
      <c r="K791" s="414"/>
      <c r="L791" s="415" t="s">
        <v>5513</v>
      </c>
      <c r="M791" s="416" t="s">
        <v>2999</v>
      </c>
      <c r="N791" s="416" t="s">
        <v>2999</v>
      </c>
      <c r="O791" s="417"/>
      <c r="P791" s="416">
        <v>4590007768</v>
      </c>
      <c r="Q791" s="418">
        <v>44861</v>
      </c>
      <c r="R791" s="419">
        <v>3</v>
      </c>
      <c r="S791" s="458">
        <v>263644</v>
      </c>
      <c r="T791" s="420" t="s">
        <v>2156</v>
      </c>
      <c r="U791" s="414" t="s">
        <v>3713</v>
      </c>
      <c r="V791" s="414" t="s">
        <v>3714</v>
      </c>
      <c r="W791" s="417" t="s">
        <v>3715</v>
      </c>
      <c r="X791" s="417"/>
      <c r="Y791" s="421" t="s">
        <v>3652</v>
      </c>
      <c r="Z791" s="421" t="s">
        <v>3652</v>
      </c>
      <c r="AA791" s="416" t="s">
        <v>3727</v>
      </c>
      <c r="AB791" s="414" t="s">
        <v>3716</v>
      </c>
      <c r="AC791" s="426"/>
      <c r="AD791" s="421"/>
      <c r="AE791" s="420"/>
      <c r="AF791" s="421">
        <v>91358</v>
      </c>
      <c r="AG791" s="420" t="s">
        <v>5514</v>
      </c>
      <c r="AH791" s="421" t="s">
        <v>3718</v>
      </c>
      <c r="AI791" s="420" t="s">
        <v>3719</v>
      </c>
      <c r="AJ791" s="413" t="str">
        <f t="shared" si="51"/>
        <v>4590007768_003</v>
      </c>
      <c r="AK791" s="423"/>
      <c r="AL791" s="413"/>
      <c r="AM791" s="221"/>
      <c r="AN791" s="424"/>
      <c r="AO791" s="423"/>
      <c r="AP791" s="413"/>
      <c r="AQ791" s="222"/>
      <c r="AR791" s="424"/>
      <c r="AS791" s="614">
        <f ca="1">表格1_6[[#This Row],[total amount]]/表格1_6[[#This Row],[PO$]]</f>
        <v>0</v>
      </c>
      <c r="AT791" s="223">
        <f ca="1">表格1_6[[#This Row],[invoice amount]]+表格1_6[[#This Row],[invoice amount2]]</f>
        <v>0</v>
      </c>
      <c r="AU791" s="224"/>
      <c r="AV791" s="423"/>
      <c r="AW791" s="423" t="str">
        <f ca="1">VLOOKUP(表格1_6[[#This Row],[TI tool ID2]],工作表1!A:A,1,FALSE)</f>
        <v>KPAN06-T</v>
      </c>
      <c r="AX791" s="425" t="e">
        <f ca="1">VLOOKUP(表格1_6[[#This Row],[PO+ITEM]],工作表1!B:E,2,FALSE)</f>
        <v>#N/A</v>
      </c>
      <c r="AY791" s="425" t="e">
        <f ca="1">VLOOKUP(表格1_6[[#This Row],[PO+ITEM]],工作表1!B:E,3,FALSE)</f>
        <v>#N/A</v>
      </c>
      <c r="AZ791" s="423" t="e">
        <f ca="1">VLOOKUP(表格1_6[[#This Row],[PO+ITEM]],工作表1!B:E,4,FALSE)</f>
        <v>#N/A</v>
      </c>
      <c r="BA791" s="425" t="e">
        <f ca="1">INDEX(工作表1!G:G, MATCH(表格1_6[[#This Row],[invoice number]]&amp;表格1_6[[#This Row],[invoice number2]],工作表1!G:G, 0))</f>
        <v>#N/A</v>
      </c>
      <c r="BB791" s="423" t="e">
        <f ca="1">VLOOKUP(表格1_6[[#This Row],[PO+ITEM]],工作表1!F:H,2,FALSE)</f>
        <v>#N/A</v>
      </c>
    </row>
    <row r="792" spans="1:54" ht="14.45">
      <c r="A792" s="413">
        <v>791</v>
      </c>
      <c r="B792" s="413" t="s">
        <v>3659</v>
      </c>
      <c r="C792" s="414" t="s">
        <v>16</v>
      </c>
      <c r="D792" s="414" t="s">
        <v>3648</v>
      </c>
      <c r="E792" s="414"/>
      <c r="F792" s="414"/>
      <c r="G792" s="414"/>
      <c r="H792" s="414"/>
      <c r="I792" s="414"/>
      <c r="J792" s="414"/>
      <c r="K792" s="414"/>
      <c r="L792" s="420" t="s">
        <v>5515</v>
      </c>
      <c r="M792" s="416" t="s">
        <v>4269</v>
      </c>
      <c r="N792" s="416" t="s">
        <v>2999</v>
      </c>
      <c r="O792" s="417"/>
      <c r="P792" s="416">
        <v>4590007769</v>
      </c>
      <c r="Q792" s="418">
        <v>44861</v>
      </c>
      <c r="R792" s="419">
        <v>1</v>
      </c>
      <c r="S792" s="458">
        <v>10375.959999999999</v>
      </c>
      <c r="T792" s="420" t="s">
        <v>2156</v>
      </c>
      <c r="U792" s="414" t="s">
        <v>3926</v>
      </c>
      <c r="V792" s="414" t="s">
        <v>3927</v>
      </c>
      <c r="W792" s="417" t="s">
        <v>3928</v>
      </c>
      <c r="X792" s="417"/>
      <c r="Y792" s="421" t="s">
        <v>3652</v>
      </c>
      <c r="Z792" s="421" t="s">
        <v>3652</v>
      </c>
      <c r="AA792" s="416"/>
      <c r="AB792" s="414" t="s">
        <v>3664</v>
      </c>
      <c r="AC792" s="426"/>
      <c r="AD792" s="421"/>
      <c r="AE792" s="420"/>
      <c r="AF792" s="421">
        <v>91188</v>
      </c>
      <c r="AG792" s="420" t="s">
        <v>3401</v>
      </c>
      <c r="AH792" s="421" t="s">
        <v>4109</v>
      </c>
      <c r="AI792" s="420" t="s">
        <v>3666</v>
      </c>
      <c r="AJ792" s="413" t="str">
        <f t="shared" si="51"/>
        <v>4590007769_001</v>
      </c>
      <c r="AK792" s="423"/>
      <c r="AL792" s="413"/>
      <c r="AM792" s="221"/>
      <c r="AN792" s="424"/>
      <c r="AO792" s="423"/>
      <c r="AP792" s="413"/>
      <c r="AQ792" s="222"/>
      <c r="AR792" s="424"/>
      <c r="AS792" s="614">
        <f ca="1">表格1_6[[#This Row],[total amount]]/表格1_6[[#This Row],[PO$]]</f>
        <v>0</v>
      </c>
      <c r="AT792" s="223">
        <f ca="1">表格1_6[[#This Row],[invoice amount]]+表格1_6[[#This Row],[invoice amount2]]</f>
        <v>0</v>
      </c>
      <c r="AU792" s="224"/>
      <c r="AV792" s="423"/>
      <c r="AW792" s="423" t="e">
        <f ca="1">VLOOKUP(表格1_6[[#This Row],[TI tool ID2]],工作表1!A:A,1,FALSE)</f>
        <v>#N/A</v>
      </c>
      <c r="AX792" s="425" t="e">
        <f ca="1">VLOOKUP(表格1_6[[#This Row],[PO+ITEM]],工作表1!B:E,2,FALSE)</f>
        <v>#N/A</v>
      </c>
      <c r="AY792" s="425" t="e">
        <f ca="1">VLOOKUP(表格1_6[[#This Row],[PO+ITEM]],工作表1!B:E,3,FALSE)</f>
        <v>#N/A</v>
      </c>
      <c r="AZ792" s="423" t="e">
        <f ca="1">VLOOKUP(表格1_6[[#This Row],[PO+ITEM]],工作表1!B:E,4,FALSE)</f>
        <v>#N/A</v>
      </c>
      <c r="BA792" s="425" t="e">
        <f ca="1">INDEX(工作表1!G:G, MATCH(表格1_6[[#This Row],[invoice number]]&amp;表格1_6[[#This Row],[invoice number2]],工作表1!G:G, 0))</f>
        <v>#N/A</v>
      </c>
      <c r="BB792" s="423" t="e">
        <f ca="1">VLOOKUP(表格1_6[[#This Row],[PO+ITEM]],工作表1!F:H,2,FALSE)</f>
        <v>#N/A</v>
      </c>
    </row>
    <row r="793" spans="1:54" ht="14.45">
      <c r="A793" s="413">
        <v>792</v>
      </c>
      <c r="B793" s="413" t="s">
        <v>3659</v>
      </c>
      <c r="C793" s="414" t="s">
        <v>16</v>
      </c>
      <c r="D793" s="414" t="s">
        <v>3648</v>
      </c>
      <c r="E793" s="414"/>
      <c r="F793" s="414"/>
      <c r="G793" s="414"/>
      <c r="H793" s="414"/>
      <c r="I793" s="414"/>
      <c r="J793" s="414"/>
      <c r="K793" s="414"/>
      <c r="L793" s="415" t="s">
        <v>5516</v>
      </c>
      <c r="M793" s="416" t="s">
        <v>4269</v>
      </c>
      <c r="N793" s="416" t="s">
        <v>2999</v>
      </c>
      <c r="O793" s="417"/>
      <c r="P793" s="416">
        <v>4590007769</v>
      </c>
      <c r="Q793" s="418">
        <v>44861</v>
      </c>
      <c r="R793" s="419">
        <v>2</v>
      </c>
      <c r="S793" s="458">
        <v>10375.959999999999</v>
      </c>
      <c r="T793" s="420" t="s">
        <v>2156</v>
      </c>
      <c r="U793" s="414" t="s">
        <v>3926</v>
      </c>
      <c r="V793" s="414" t="s">
        <v>3927</v>
      </c>
      <c r="W793" s="417" t="s">
        <v>3928</v>
      </c>
      <c r="X793" s="417"/>
      <c r="Y793" s="421" t="s">
        <v>3652</v>
      </c>
      <c r="Z793" s="421" t="s">
        <v>3652</v>
      </c>
      <c r="AA793" s="416"/>
      <c r="AB793" s="414" t="s">
        <v>3664</v>
      </c>
      <c r="AC793" s="426"/>
      <c r="AD793" s="421"/>
      <c r="AE793" s="420"/>
      <c r="AF793" s="421">
        <v>91256</v>
      </c>
      <c r="AG793" s="420" t="s">
        <v>3403</v>
      </c>
      <c r="AH793" s="421" t="s">
        <v>4109</v>
      </c>
      <c r="AI793" s="420" t="s">
        <v>3666</v>
      </c>
      <c r="AJ793" s="413" t="str">
        <f t="shared" si="51"/>
        <v>4590007769_002</v>
      </c>
      <c r="AK793" s="423"/>
      <c r="AL793" s="413"/>
      <c r="AM793" s="221"/>
      <c r="AN793" s="424"/>
      <c r="AO793" s="423"/>
      <c r="AP793" s="413"/>
      <c r="AQ793" s="222"/>
      <c r="AR793" s="424"/>
      <c r="AS793" s="614">
        <f ca="1">表格1_6[[#This Row],[total amount]]/表格1_6[[#This Row],[PO$]]</f>
        <v>0</v>
      </c>
      <c r="AT793" s="223">
        <f ca="1">表格1_6[[#This Row],[invoice amount]]+表格1_6[[#This Row],[invoice amount2]]</f>
        <v>0</v>
      </c>
      <c r="AU793" s="224"/>
      <c r="AV793" s="423"/>
      <c r="AW793" s="423" t="e">
        <f ca="1">VLOOKUP(表格1_6[[#This Row],[TI tool ID2]],工作表1!A:A,1,FALSE)</f>
        <v>#N/A</v>
      </c>
      <c r="AX793" s="425" t="e">
        <f ca="1">VLOOKUP(表格1_6[[#This Row],[PO+ITEM]],工作表1!B:E,2,FALSE)</f>
        <v>#N/A</v>
      </c>
      <c r="AY793" s="425" t="e">
        <f ca="1">VLOOKUP(表格1_6[[#This Row],[PO+ITEM]],工作表1!B:E,3,FALSE)</f>
        <v>#N/A</v>
      </c>
      <c r="AZ793" s="423" t="e">
        <f ca="1">VLOOKUP(表格1_6[[#This Row],[PO+ITEM]],工作表1!B:E,4,FALSE)</f>
        <v>#N/A</v>
      </c>
      <c r="BA793" s="425" t="e">
        <f ca="1">INDEX(工作表1!G:G, MATCH(表格1_6[[#This Row],[invoice number]]&amp;表格1_6[[#This Row],[invoice number2]],工作表1!G:G, 0))</f>
        <v>#N/A</v>
      </c>
      <c r="BB793" s="423" t="e">
        <f ca="1">VLOOKUP(表格1_6[[#This Row],[PO+ITEM]],工作表1!F:H,2,FALSE)</f>
        <v>#N/A</v>
      </c>
    </row>
    <row r="794" spans="1:54" ht="14.45">
      <c r="A794" s="413">
        <v>793</v>
      </c>
      <c r="B794" s="413" t="s">
        <v>3659</v>
      </c>
      <c r="C794" s="414" t="s">
        <v>16</v>
      </c>
      <c r="D794" s="414" t="s">
        <v>3648</v>
      </c>
      <c r="E794" s="414"/>
      <c r="F794" s="414"/>
      <c r="G794" s="414"/>
      <c r="H794" s="414"/>
      <c r="I794" s="414"/>
      <c r="J794" s="414"/>
      <c r="K794" s="414"/>
      <c r="L794" s="415" t="s">
        <v>5517</v>
      </c>
      <c r="M794" s="416" t="s">
        <v>4269</v>
      </c>
      <c r="N794" s="416" t="s">
        <v>2999</v>
      </c>
      <c r="O794" s="417"/>
      <c r="P794" s="416">
        <v>4590007769</v>
      </c>
      <c r="Q794" s="418">
        <v>44861</v>
      </c>
      <c r="R794" s="419">
        <v>3</v>
      </c>
      <c r="S794" s="458">
        <v>5947.97</v>
      </c>
      <c r="T794" s="420" t="s">
        <v>2156</v>
      </c>
      <c r="U794" s="414" t="s">
        <v>3926</v>
      </c>
      <c r="V794" s="414" t="s">
        <v>3927</v>
      </c>
      <c r="W794" s="417" t="s">
        <v>3928</v>
      </c>
      <c r="X794" s="417"/>
      <c r="Y794" s="421" t="s">
        <v>3652</v>
      </c>
      <c r="Z794" s="421" t="s">
        <v>3652</v>
      </c>
      <c r="AA794" s="416"/>
      <c r="AB794" s="414" t="s">
        <v>3664</v>
      </c>
      <c r="AC794" s="426"/>
      <c r="AD794" s="421"/>
      <c r="AE794" s="420"/>
      <c r="AF794" s="421">
        <v>91387</v>
      </c>
      <c r="AG794" s="420" t="s">
        <v>3361</v>
      </c>
      <c r="AH794" s="421" t="s">
        <v>4109</v>
      </c>
      <c r="AI794" s="420" t="s">
        <v>3666</v>
      </c>
      <c r="AJ794" s="413" t="str">
        <f t="shared" si="51"/>
        <v>4590007769_003</v>
      </c>
      <c r="AK794" s="423"/>
      <c r="AL794" s="413"/>
      <c r="AM794" s="221"/>
      <c r="AN794" s="424"/>
      <c r="AO794" s="423"/>
      <c r="AP794" s="413"/>
      <c r="AQ794" s="222"/>
      <c r="AR794" s="424"/>
      <c r="AS794" s="614">
        <f ca="1">表格1_6[[#This Row],[total amount]]/表格1_6[[#This Row],[PO$]]</f>
        <v>0</v>
      </c>
      <c r="AT794" s="223">
        <f ca="1">表格1_6[[#This Row],[invoice amount]]+表格1_6[[#This Row],[invoice amount2]]</f>
        <v>0</v>
      </c>
      <c r="AU794" s="224"/>
      <c r="AV794" s="423"/>
      <c r="AW794" s="423" t="e">
        <f ca="1">VLOOKUP(表格1_6[[#This Row],[TI tool ID2]],工作表1!A:A,1,FALSE)</f>
        <v>#N/A</v>
      </c>
      <c r="AX794" s="425" t="e">
        <f ca="1">VLOOKUP(表格1_6[[#This Row],[PO+ITEM]],工作表1!B:E,2,FALSE)</f>
        <v>#N/A</v>
      </c>
      <c r="AY794" s="425" t="e">
        <f ca="1">VLOOKUP(表格1_6[[#This Row],[PO+ITEM]],工作表1!B:E,3,FALSE)</f>
        <v>#N/A</v>
      </c>
      <c r="AZ794" s="423" t="e">
        <f ca="1">VLOOKUP(表格1_6[[#This Row],[PO+ITEM]],工作表1!B:E,4,FALSE)</f>
        <v>#N/A</v>
      </c>
      <c r="BA794" s="425" t="e">
        <f ca="1">INDEX(工作表1!G:G, MATCH(表格1_6[[#This Row],[invoice number]]&amp;表格1_6[[#This Row],[invoice number2]],工作表1!G:G, 0))</f>
        <v>#N/A</v>
      </c>
      <c r="BB794" s="423" t="e">
        <f ca="1">VLOOKUP(表格1_6[[#This Row],[PO+ITEM]],工作表1!F:H,2,FALSE)</f>
        <v>#N/A</v>
      </c>
    </row>
    <row r="795" spans="1:54" ht="14.45">
      <c r="A795" s="413">
        <v>794</v>
      </c>
      <c r="B795" s="413" t="s">
        <v>3659</v>
      </c>
      <c r="C795" s="414" t="s">
        <v>16</v>
      </c>
      <c r="D795" s="414" t="s">
        <v>3648</v>
      </c>
      <c r="E795" s="414"/>
      <c r="F795" s="414"/>
      <c r="G795" s="414"/>
      <c r="H795" s="414"/>
      <c r="I795" s="414"/>
      <c r="J795" s="414"/>
      <c r="K795" s="414"/>
      <c r="L795" s="415" t="s">
        <v>5518</v>
      </c>
      <c r="M795" s="416" t="s">
        <v>4269</v>
      </c>
      <c r="N795" s="416" t="s">
        <v>2999</v>
      </c>
      <c r="O795" s="417"/>
      <c r="P795" s="416">
        <v>4590007769</v>
      </c>
      <c r="Q795" s="418">
        <v>44861</v>
      </c>
      <c r="R795" s="419">
        <v>4</v>
      </c>
      <c r="S795" s="458">
        <v>5638.25</v>
      </c>
      <c r="T795" s="420" t="s">
        <v>2156</v>
      </c>
      <c r="U795" s="414" t="s">
        <v>3926</v>
      </c>
      <c r="V795" s="414" t="s">
        <v>3927</v>
      </c>
      <c r="W795" s="417" t="s">
        <v>3928</v>
      </c>
      <c r="X795" s="417"/>
      <c r="Y795" s="421" t="s">
        <v>3652</v>
      </c>
      <c r="Z795" s="421" t="s">
        <v>3652</v>
      </c>
      <c r="AA795" s="416"/>
      <c r="AB795" s="414" t="s">
        <v>3664</v>
      </c>
      <c r="AC795" s="426"/>
      <c r="AD795" s="421"/>
      <c r="AE795" s="420"/>
      <c r="AF795" s="421">
        <v>91183</v>
      </c>
      <c r="AG795" s="420" t="s">
        <v>3388</v>
      </c>
      <c r="AH795" s="421" t="s">
        <v>4109</v>
      </c>
      <c r="AI795" s="420" t="s">
        <v>3666</v>
      </c>
      <c r="AJ795" s="413" t="str">
        <f t="shared" si="51"/>
        <v>4590007769_004</v>
      </c>
      <c r="AK795" s="423"/>
      <c r="AL795" s="413"/>
      <c r="AM795" s="221"/>
      <c r="AN795" s="424"/>
      <c r="AO795" s="423"/>
      <c r="AP795" s="413"/>
      <c r="AQ795" s="222"/>
      <c r="AR795" s="424"/>
      <c r="AS795" s="614">
        <f ca="1">表格1_6[[#This Row],[total amount]]/表格1_6[[#This Row],[PO$]]</f>
        <v>0</v>
      </c>
      <c r="AT795" s="223">
        <f ca="1">表格1_6[[#This Row],[invoice amount]]+表格1_6[[#This Row],[invoice amount2]]</f>
        <v>0</v>
      </c>
      <c r="AU795" s="224"/>
      <c r="AV795" s="423"/>
      <c r="AW795" s="423" t="e">
        <f ca="1">VLOOKUP(表格1_6[[#This Row],[TI tool ID2]],工作表1!A:A,1,FALSE)</f>
        <v>#N/A</v>
      </c>
      <c r="AX795" s="425" t="e">
        <f ca="1">VLOOKUP(表格1_6[[#This Row],[PO+ITEM]],工作表1!B:E,2,FALSE)</f>
        <v>#N/A</v>
      </c>
      <c r="AY795" s="425" t="e">
        <f ca="1">VLOOKUP(表格1_6[[#This Row],[PO+ITEM]],工作表1!B:E,3,FALSE)</f>
        <v>#N/A</v>
      </c>
      <c r="AZ795" s="423" t="e">
        <f ca="1">VLOOKUP(表格1_6[[#This Row],[PO+ITEM]],工作表1!B:E,4,FALSE)</f>
        <v>#N/A</v>
      </c>
      <c r="BA795" s="425" t="e">
        <f ca="1">INDEX(工作表1!G:G, MATCH(表格1_6[[#This Row],[invoice number]]&amp;表格1_6[[#This Row],[invoice number2]],工作表1!G:G, 0))</f>
        <v>#N/A</v>
      </c>
      <c r="BB795" s="423" t="e">
        <f ca="1">VLOOKUP(表格1_6[[#This Row],[PO+ITEM]],工作表1!F:H,2,FALSE)</f>
        <v>#N/A</v>
      </c>
    </row>
    <row r="796" spans="1:54" ht="14.45">
      <c r="A796" s="413">
        <v>795</v>
      </c>
      <c r="B796" s="413" t="s">
        <v>3659</v>
      </c>
      <c r="C796" s="414" t="s">
        <v>16</v>
      </c>
      <c r="D796" s="414" t="s">
        <v>3648</v>
      </c>
      <c r="E796" s="414"/>
      <c r="F796" s="414"/>
      <c r="G796" s="414"/>
      <c r="H796" s="414"/>
      <c r="I796" s="414"/>
      <c r="J796" s="414"/>
      <c r="K796" s="414"/>
      <c r="L796" s="415" t="s">
        <v>5519</v>
      </c>
      <c r="M796" s="416" t="s">
        <v>4269</v>
      </c>
      <c r="N796" s="416" t="s">
        <v>2999</v>
      </c>
      <c r="O796" s="417"/>
      <c r="P796" s="416">
        <v>4590007769</v>
      </c>
      <c r="Q796" s="418">
        <v>44861</v>
      </c>
      <c r="R796" s="419">
        <v>5</v>
      </c>
      <c r="S796" s="458">
        <v>5638.25</v>
      </c>
      <c r="T796" s="420" t="s">
        <v>2156</v>
      </c>
      <c r="U796" s="414" t="s">
        <v>3926</v>
      </c>
      <c r="V796" s="414" t="s">
        <v>3927</v>
      </c>
      <c r="W796" s="417" t="s">
        <v>3928</v>
      </c>
      <c r="X796" s="417"/>
      <c r="Y796" s="421" t="s">
        <v>3652</v>
      </c>
      <c r="Z796" s="421" t="s">
        <v>3652</v>
      </c>
      <c r="AA796" s="416"/>
      <c r="AB796" s="414" t="s">
        <v>3664</v>
      </c>
      <c r="AC796" s="426"/>
      <c r="AD796" s="421"/>
      <c r="AE796" s="420"/>
      <c r="AF796" s="421">
        <v>91184</v>
      </c>
      <c r="AG796" s="420" t="s">
        <v>3384</v>
      </c>
      <c r="AH796" s="421" t="s">
        <v>4109</v>
      </c>
      <c r="AI796" s="420" t="s">
        <v>3666</v>
      </c>
      <c r="AJ796" s="413" t="str">
        <f t="shared" si="51"/>
        <v>4590007769_005</v>
      </c>
      <c r="AK796" s="423"/>
      <c r="AL796" s="413"/>
      <c r="AM796" s="221"/>
      <c r="AN796" s="424"/>
      <c r="AO796" s="423"/>
      <c r="AP796" s="413"/>
      <c r="AQ796" s="222"/>
      <c r="AR796" s="424"/>
      <c r="AS796" s="614">
        <f ca="1">表格1_6[[#This Row],[total amount]]/表格1_6[[#This Row],[PO$]]</f>
        <v>0</v>
      </c>
      <c r="AT796" s="223">
        <f ca="1">表格1_6[[#This Row],[invoice amount]]+表格1_6[[#This Row],[invoice amount2]]</f>
        <v>0</v>
      </c>
      <c r="AU796" s="224"/>
      <c r="AV796" s="423"/>
      <c r="AW796" s="423" t="e">
        <f ca="1">VLOOKUP(表格1_6[[#This Row],[TI tool ID2]],工作表1!A:A,1,FALSE)</f>
        <v>#N/A</v>
      </c>
      <c r="AX796" s="425" t="e">
        <f ca="1">VLOOKUP(表格1_6[[#This Row],[PO+ITEM]],工作表1!B:E,2,FALSE)</f>
        <v>#N/A</v>
      </c>
      <c r="AY796" s="425" t="e">
        <f ca="1">VLOOKUP(表格1_6[[#This Row],[PO+ITEM]],工作表1!B:E,3,FALSE)</f>
        <v>#N/A</v>
      </c>
      <c r="AZ796" s="423" t="e">
        <f ca="1">VLOOKUP(表格1_6[[#This Row],[PO+ITEM]],工作表1!B:E,4,FALSE)</f>
        <v>#N/A</v>
      </c>
      <c r="BA796" s="425" t="e">
        <f ca="1">INDEX(工作表1!G:G, MATCH(表格1_6[[#This Row],[invoice number]]&amp;表格1_6[[#This Row],[invoice number2]],工作表1!G:G, 0))</f>
        <v>#N/A</v>
      </c>
      <c r="BB796" s="423" t="e">
        <f ca="1">VLOOKUP(表格1_6[[#This Row],[PO+ITEM]],工作表1!F:H,2,FALSE)</f>
        <v>#N/A</v>
      </c>
    </row>
    <row r="797" spans="1:54" ht="14.45">
      <c r="A797" s="413">
        <v>796</v>
      </c>
      <c r="B797" s="413" t="s">
        <v>3659</v>
      </c>
      <c r="C797" s="414" t="s">
        <v>16</v>
      </c>
      <c r="D797" s="414" t="s">
        <v>3648</v>
      </c>
      <c r="E797" s="414"/>
      <c r="F797" s="414"/>
      <c r="G797" s="414"/>
      <c r="H797" s="414"/>
      <c r="I797" s="414"/>
      <c r="J797" s="414"/>
      <c r="K797" s="414"/>
      <c r="L797" s="415" t="s">
        <v>5520</v>
      </c>
      <c r="M797" s="416" t="s">
        <v>4269</v>
      </c>
      <c r="N797" s="416" t="s">
        <v>2999</v>
      </c>
      <c r="O797" s="417"/>
      <c r="P797" s="416">
        <v>4590007769</v>
      </c>
      <c r="Q797" s="418">
        <v>44861</v>
      </c>
      <c r="R797" s="419">
        <v>6</v>
      </c>
      <c r="S797" s="458">
        <v>5638.25</v>
      </c>
      <c r="T797" s="420" t="s">
        <v>2156</v>
      </c>
      <c r="U797" s="414" t="s">
        <v>3926</v>
      </c>
      <c r="V797" s="414" t="s">
        <v>3927</v>
      </c>
      <c r="W797" s="417" t="s">
        <v>3928</v>
      </c>
      <c r="X797" s="417"/>
      <c r="Y797" s="421" t="s">
        <v>3652</v>
      </c>
      <c r="Z797" s="421" t="s">
        <v>3652</v>
      </c>
      <c r="AA797" s="416"/>
      <c r="AB797" s="414" t="s">
        <v>3664</v>
      </c>
      <c r="AC797" s="426"/>
      <c r="AD797" s="421"/>
      <c r="AE797" s="420"/>
      <c r="AF797" s="421">
        <v>91220</v>
      </c>
      <c r="AG797" s="420" t="s">
        <v>3392</v>
      </c>
      <c r="AH797" s="421" t="s">
        <v>4109</v>
      </c>
      <c r="AI797" s="420" t="s">
        <v>3666</v>
      </c>
      <c r="AJ797" s="413" t="str">
        <f t="shared" si="51"/>
        <v>4590007769_006</v>
      </c>
      <c r="AK797" s="423"/>
      <c r="AL797" s="413"/>
      <c r="AM797" s="221"/>
      <c r="AN797" s="424"/>
      <c r="AO797" s="423"/>
      <c r="AP797" s="413"/>
      <c r="AQ797" s="222"/>
      <c r="AR797" s="424"/>
      <c r="AS797" s="614">
        <f ca="1">表格1_6[[#This Row],[total amount]]/表格1_6[[#This Row],[PO$]]</f>
        <v>0</v>
      </c>
      <c r="AT797" s="223">
        <f ca="1">表格1_6[[#This Row],[invoice amount]]+表格1_6[[#This Row],[invoice amount2]]</f>
        <v>0</v>
      </c>
      <c r="AU797" s="224"/>
      <c r="AV797" s="423"/>
      <c r="AW797" s="423" t="e">
        <f ca="1">VLOOKUP(表格1_6[[#This Row],[TI tool ID2]],工作表1!A:A,1,FALSE)</f>
        <v>#N/A</v>
      </c>
      <c r="AX797" s="425" t="e">
        <f ca="1">VLOOKUP(表格1_6[[#This Row],[PO+ITEM]],工作表1!B:E,2,FALSE)</f>
        <v>#N/A</v>
      </c>
      <c r="AY797" s="425" t="e">
        <f ca="1">VLOOKUP(表格1_6[[#This Row],[PO+ITEM]],工作表1!B:E,3,FALSE)</f>
        <v>#N/A</v>
      </c>
      <c r="AZ797" s="423" t="e">
        <f ca="1">VLOOKUP(表格1_6[[#This Row],[PO+ITEM]],工作表1!B:E,4,FALSE)</f>
        <v>#N/A</v>
      </c>
      <c r="BA797" s="425" t="e">
        <f ca="1">INDEX(工作表1!G:G, MATCH(表格1_6[[#This Row],[invoice number]]&amp;表格1_6[[#This Row],[invoice number2]],工作表1!G:G, 0))</f>
        <v>#N/A</v>
      </c>
      <c r="BB797" s="423" t="e">
        <f ca="1">VLOOKUP(表格1_6[[#This Row],[PO+ITEM]],工作表1!F:H,2,FALSE)</f>
        <v>#N/A</v>
      </c>
    </row>
    <row r="798" spans="1:54" ht="14.45">
      <c r="A798" s="413">
        <v>797</v>
      </c>
      <c r="B798" s="413" t="s">
        <v>3659</v>
      </c>
      <c r="C798" s="414" t="s">
        <v>16</v>
      </c>
      <c r="D798" s="414" t="s">
        <v>3648</v>
      </c>
      <c r="E798" s="414"/>
      <c r="F798" s="414"/>
      <c r="G798" s="414"/>
      <c r="H798" s="414"/>
      <c r="I798" s="414"/>
      <c r="J798" s="414"/>
      <c r="K798" s="414"/>
      <c r="L798" s="415" t="s">
        <v>5521</v>
      </c>
      <c r="M798" s="416" t="s">
        <v>4269</v>
      </c>
      <c r="N798" s="416" t="s">
        <v>2999</v>
      </c>
      <c r="O798" s="417"/>
      <c r="P798" s="416">
        <v>4590007769</v>
      </c>
      <c r="Q798" s="418">
        <v>44861</v>
      </c>
      <c r="R798" s="419">
        <v>7</v>
      </c>
      <c r="S798" s="458">
        <v>5638.25</v>
      </c>
      <c r="T798" s="420" t="s">
        <v>2156</v>
      </c>
      <c r="U798" s="414" t="s">
        <v>3926</v>
      </c>
      <c r="V798" s="414" t="s">
        <v>3927</v>
      </c>
      <c r="W798" s="417" t="s">
        <v>3928</v>
      </c>
      <c r="X798" s="417"/>
      <c r="Y798" s="421" t="s">
        <v>3652</v>
      </c>
      <c r="Z798" s="421" t="s">
        <v>3652</v>
      </c>
      <c r="AA798" s="416"/>
      <c r="AB798" s="414" t="s">
        <v>3664</v>
      </c>
      <c r="AC798" s="426"/>
      <c r="AD798" s="421"/>
      <c r="AE798" s="420"/>
      <c r="AF798" s="421">
        <v>91110</v>
      </c>
      <c r="AG798" s="420" t="s">
        <v>3390</v>
      </c>
      <c r="AH798" s="421" t="s">
        <v>4109</v>
      </c>
      <c r="AI798" s="420" t="s">
        <v>3666</v>
      </c>
      <c r="AJ798" s="413" t="str">
        <f t="shared" si="51"/>
        <v>4590007769_007</v>
      </c>
      <c r="AK798" s="423"/>
      <c r="AL798" s="413"/>
      <c r="AM798" s="221"/>
      <c r="AN798" s="424"/>
      <c r="AO798" s="423"/>
      <c r="AP798" s="413"/>
      <c r="AQ798" s="222"/>
      <c r="AR798" s="424"/>
      <c r="AS798" s="614">
        <f ca="1">表格1_6[[#This Row],[total amount]]/表格1_6[[#This Row],[PO$]]</f>
        <v>0</v>
      </c>
      <c r="AT798" s="223">
        <f ca="1">表格1_6[[#This Row],[invoice amount]]+表格1_6[[#This Row],[invoice amount2]]</f>
        <v>0</v>
      </c>
      <c r="AU798" s="224"/>
      <c r="AV798" s="423"/>
      <c r="AW798" s="423" t="e">
        <f ca="1">VLOOKUP(表格1_6[[#This Row],[TI tool ID2]],工作表1!A:A,1,FALSE)</f>
        <v>#N/A</v>
      </c>
      <c r="AX798" s="425" t="e">
        <f ca="1">VLOOKUP(表格1_6[[#This Row],[PO+ITEM]],工作表1!B:E,2,FALSE)</f>
        <v>#N/A</v>
      </c>
      <c r="AY798" s="425" t="e">
        <f ca="1">VLOOKUP(表格1_6[[#This Row],[PO+ITEM]],工作表1!B:E,3,FALSE)</f>
        <v>#N/A</v>
      </c>
      <c r="AZ798" s="423" t="e">
        <f ca="1">VLOOKUP(表格1_6[[#This Row],[PO+ITEM]],工作表1!B:E,4,FALSE)</f>
        <v>#N/A</v>
      </c>
      <c r="BA798" s="425" t="e">
        <f ca="1">INDEX(工作表1!G:G, MATCH(表格1_6[[#This Row],[invoice number]]&amp;表格1_6[[#This Row],[invoice number2]],工作表1!G:G, 0))</f>
        <v>#N/A</v>
      </c>
      <c r="BB798" s="423" t="e">
        <f ca="1">VLOOKUP(表格1_6[[#This Row],[PO+ITEM]],工作表1!F:H,2,FALSE)</f>
        <v>#N/A</v>
      </c>
    </row>
    <row r="799" spans="1:54" ht="14.45">
      <c r="A799" s="413">
        <v>798</v>
      </c>
      <c r="B799" s="413" t="s">
        <v>3659</v>
      </c>
      <c r="C799" s="414" t="s">
        <v>16</v>
      </c>
      <c r="D799" s="414" t="s">
        <v>3648</v>
      </c>
      <c r="E799" s="414"/>
      <c r="F799" s="414"/>
      <c r="G799" s="414"/>
      <c r="H799" s="414"/>
      <c r="I799" s="414"/>
      <c r="J799" s="414"/>
      <c r="K799" s="414"/>
      <c r="L799" s="415" t="s">
        <v>5522</v>
      </c>
      <c r="M799" s="416" t="s">
        <v>4269</v>
      </c>
      <c r="N799" s="416" t="s">
        <v>2999</v>
      </c>
      <c r="O799" s="417"/>
      <c r="P799" s="416">
        <v>4590007769</v>
      </c>
      <c r="Q799" s="418">
        <v>44861</v>
      </c>
      <c r="R799" s="419">
        <v>8</v>
      </c>
      <c r="S799" s="458">
        <v>5638.25</v>
      </c>
      <c r="T799" s="420" t="s">
        <v>2156</v>
      </c>
      <c r="U799" s="414" t="s">
        <v>3926</v>
      </c>
      <c r="V799" s="414" t="s">
        <v>3927</v>
      </c>
      <c r="W799" s="417" t="s">
        <v>3928</v>
      </c>
      <c r="X799" s="417"/>
      <c r="Y799" s="421" t="s">
        <v>3652</v>
      </c>
      <c r="Z799" s="421" t="s">
        <v>3652</v>
      </c>
      <c r="AA799" s="416"/>
      <c r="AB799" s="414" t="s">
        <v>3664</v>
      </c>
      <c r="AC799" s="426"/>
      <c r="AD799" s="421"/>
      <c r="AE799" s="420"/>
      <c r="AF799" s="421">
        <v>91111</v>
      </c>
      <c r="AG799" s="420" t="s">
        <v>3382</v>
      </c>
      <c r="AH799" s="421" t="s">
        <v>4109</v>
      </c>
      <c r="AI799" s="420" t="s">
        <v>3666</v>
      </c>
      <c r="AJ799" s="413" t="str">
        <f t="shared" si="51"/>
        <v>4590007769_008</v>
      </c>
      <c r="AK799" s="423"/>
      <c r="AL799" s="413"/>
      <c r="AM799" s="221"/>
      <c r="AN799" s="424"/>
      <c r="AO799" s="423"/>
      <c r="AP799" s="413"/>
      <c r="AQ799" s="222"/>
      <c r="AR799" s="424"/>
      <c r="AS799" s="614">
        <f ca="1">表格1_6[[#This Row],[total amount]]/表格1_6[[#This Row],[PO$]]</f>
        <v>0</v>
      </c>
      <c r="AT799" s="223">
        <f ca="1">表格1_6[[#This Row],[invoice amount]]+表格1_6[[#This Row],[invoice amount2]]</f>
        <v>0</v>
      </c>
      <c r="AU799" s="224"/>
      <c r="AV799" s="423"/>
      <c r="AW799" s="423" t="e">
        <f ca="1">VLOOKUP(表格1_6[[#This Row],[TI tool ID2]],工作表1!A:A,1,FALSE)</f>
        <v>#N/A</v>
      </c>
      <c r="AX799" s="425" t="e">
        <f ca="1">VLOOKUP(表格1_6[[#This Row],[PO+ITEM]],工作表1!B:E,2,FALSE)</f>
        <v>#N/A</v>
      </c>
      <c r="AY799" s="425" t="e">
        <f ca="1">VLOOKUP(表格1_6[[#This Row],[PO+ITEM]],工作表1!B:E,3,FALSE)</f>
        <v>#N/A</v>
      </c>
      <c r="AZ799" s="423" t="e">
        <f ca="1">VLOOKUP(表格1_6[[#This Row],[PO+ITEM]],工作表1!B:E,4,FALSE)</f>
        <v>#N/A</v>
      </c>
      <c r="BA799" s="425" t="e">
        <f ca="1">INDEX(工作表1!G:G, MATCH(表格1_6[[#This Row],[invoice number]]&amp;表格1_6[[#This Row],[invoice number2]],工作表1!G:G, 0))</f>
        <v>#N/A</v>
      </c>
      <c r="BB799" s="423" t="e">
        <f ca="1">VLOOKUP(表格1_6[[#This Row],[PO+ITEM]],工作表1!F:H,2,FALSE)</f>
        <v>#N/A</v>
      </c>
    </row>
    <row r="800" spans="1:54" ht="14.45">
      <c r="A800" s="413">
        <v>799</v>
      </c>
      <c r="B800" s="413" t="s">
        <v>3659</v>
      </c>
      <c r="C800" s="414" t="s">
        <v>16</v>
      </c>
      <c r="D800" s="414" t="s">
        <v>3648</v>
      </c>
      <c r="E800" s="414"/>
      <c r="F800" s="414"/>
      <c r="G800" s="414"/>
      <c r="H800" s="414"/>
      <c r="I800" s="414"/>
      <c r="J800" s="414"/>
      <c r="K800" s="414"/>
      <c r="L800" s="415" t="s">
        <v>5523</v>
      </c>
      <c r="M800" s="416" t="s">
        <v>4269</v>
      </c>
      <c r="N800" s="416" t="s">
        <v>2999</v>
      </c>
      <c r="O800" s="417"/>
      <c r="P800" s="416">
        <v>4590007769</v>
      </c>
      <c r="Q800" s="418">
        <v>44861</v>
      </c>
      <c r="R800" s="419">
        <v>9</v>
      </c>
      <c r="S800" s="458">
        <v>5638.25</v>
      </c>
      <c r="T800" s="420" t="s">
        <v>2156</v>
      </c>
      <c r="U800" s="414" t="s">
        <v>3926</v>
      </c>
      <c r="V800" s="414" t="s">
        <v>3927</v>
      </c>
      <c r="W800" s="417" t="s">
        <v>3928</v>
      </c>
      <c r="X800" s="417"/>
      <c r="Y800" s="421" t="s">
        <v>3652</v>
      </c>
      <c r="Z800" s="421" t="s">
        <v>3652</v>
      </c>
      <c r="AA800" s="416"/>
      <c r="AB800" s="414" t="s">
        <v>3664</v>
      </c>
      <c r="AC800" s="426"/>
      <c r="AD800" s="421"/>
      <c r="AE800" s="420"/>
      <c r="AF800" s="421">
        <v>91112</v>
      </c>
      <c r="AG800" s="420" t="s">
        <v>3386</v>
      </c>
      <c r="AH800" s="421" t="s">
        <v>4109</v>
      </c>
      <c r="AI800" s="420" t="s">
        <v>3666</v>
      </c>
      <c r="AJ800" s="413" t="str">
        <f t="shared" si="51"/>
        <v>4590007769_009</v>
      </c>
      <c r="AK800" s="423"/>
      <c r="AL800" s="413"/>
      <c r="AM800" s="221"/>
      <c r="AN800" s="424"/>
      <c r="AO800" s="423"/>
      <c r="AP800" s="413"/>
      <c r="AQ800" s="222"/>
      <c r="AR800" s="424"/>
      <c r="AS800" s="614">
        <f ca="1">表格1_6[[#This Row],[total amount]]/表格1_6[[#This Row],[PO$]]</f>
        <v>0</v>
      </c>
      <c r="AT800" s="223">
        <f ca="1">表格1_6[[#This Row],[invoice amount]]+表格1_6[[#This Row],[invoice amount2]]</f>
        <v>0</v>
      </c>
      <c r="AU800" s="224"/>
      <c r="AV800" s="423"/>
      <c r="AW800" s="423" t="e">
        <f ca="1">VLOOKUP(表格1_6[[#This Row],[TI tool ID2]],工作表1!A:A,1,FALSE)</f>
        <v>#N/A</v>
      </c>
      <c r="AX800" s="425" t="e">
        <f ca="1">VLOOKUP(表格1_6[[#This Row],[PO+ITEM]],工作表1!B:E,2,FALSE)</f>
        <v>#N/A</v>
      </c>
      <c r="AY800" s="425" t="e">
        <f ca="1">VLOOKUP(表格1_6[[#This Row],[PO+ITEM]],工作表1!B:E,3,FALSE)</f>
        <v>#N/A</v>
      </c>
      <c r="AZ800" s="423" t="e">
        <f ca="1">VLOOKUP(表格1_6[[#This Row],[PO+ITEM]],工作表1!B:E,4,FALSE)</f>
        <v>#N/A</v>
      </c>
      <c r="BA800" s="425" t="e">
        <f ca="1">INDEX(工作表1!G:G, MATCH(表格1_6[[#This Row],[invoice number]]&amp;表格1_6[[#This Row],[invoice number2]],工作表1!G:G, 0))</f>
        <v>#N/A</v>
      </c>
      <c r="BB800" s="423" t="e">
        <f ca="1">VLOOKUP(表格1_6[[#This Row],[PO+ITEM]],工作表1!F:H,2,FALSE)</f>
        <v>#N/A</v>
      </c>
    </row>
    <row r="801" spans="1:54" ht="14.45">
      <c r="A801" s="413">
        <v>800</v>
      </c>
      <c r="B801" s="413" t="s">
        <v>3659</v>
      </c>
      <c r="C801" s="414" t="s">
        <v>16</v>
      </c>
      <c r="D801" s="414" t="s">
        <v>3648</v>
      </c>
      <c r="E801" s="414"/>
      <c r="F801" s="414"/>
      <c r="G801" s="414"/>
      <c r="H801" s="414"/>
      <c r="I801" s="414"/>
      <c r="J801" s="414"/>
      <c r="K801" s="414"/>
      <c r="L801" s="415" t="s">
        <v>5524</v>
      </c>
      <c r="M801" s="416" t="s">
        <v>4269</v>
      </c>
      <c r="N801" s="416" t="s">
        <v>2999</v>
      </c>
      <c r="O801" s="417"/>
      <c r="P801" s="416">
        <v>4590007769</v>
      </c>
      <c r="Q801" s="418">
        <v>44861</v>
      </c>
      <c r="R801" s="419">
        <v>10</v>
      </c>
      <c r="S801" s="458">
        <v>5638.25</v>
      </c>
      <c r="T801" s="420" t="s">
        <v>2156</v>
      </c>
      <c r="U801" s="414" t="s">
        <v>3926</v>
      </c>
      <c r="V801" s="414" t="s">
        <v>3927</v>
      </c>
      <c r="W801" s="417" t="s">
        <v>3928</v>
      </c>
      <c r="X801" s="417"/>
      <c r="Y801" s="421" t="s">
        <v>3652</v>
      </c>
      <c r="Z801" s="421" t="s">
        <v>3652</v>
      </c>
      <c r="AA801" s="416"/>
      <c r="AB801" s="414" t="s">
        <v>3664</v>
      </c>
      <c r="AC801" s="426"/>
      <c r="AD801" s="421"/>
      <c r="AE801" s="420"/>
      <c r="AF801" s="421">
        <v>91113</v>
      </c>
      <c r="AG801" s="420" t="s">
        <v>3376</v>
      </c>
      <c r="AH801" s="421" t="s">
        <v>4109</v>
      </c>
      <c r="AI801" s="420" t="s">
        <v>3666</v>
      </c>
      <c r="AJ801" s="413" t="str">
        <f t="shared" ref="AJ801:AJ807" si="52">P801&amp;"_0"&amp;R801</f>
        <v>4590007769_010</v>
      </c>
      <c r="AK801" s="423"/>
      <c r="AL801" s="413"/>
      <c r="AM801" s="221"/>
      <c r="AN801" s="424"/>
      <c r="AO801" s="423"/>
      <c r="AP801" s="413"/>
      <c r="AQ801" s="222"/>
      <c r="AR801" s="424"/>
      <c r="AS801" s="614">
        <f ca="1">表格1_6[[#This Row],[total amount]]/表格1_6[[#This Row],[PO$]]</f>
        <v>0</v>
      </c>
      <c r="AT801" s="223">
        <f ca="1">表格1_6[[#This Row],[invoice amount]]+表格1_6[[#This Row],[invoice amount2]]</f>
        <v>0</v>
      </c>
      <c r="AU801" s="224"/>
      <c r="AV801" s="423"/>
      <c r="AW801" s="423" t="e">
        <f ca="1">VLOOKUP(表格1_6[[#This Row],[TI tool ID2]],工作表1!A:A,1,FALSE)</f>
        <v>#N/A</v>
      </c>
      <c r="AX801" s="425" t="e">
        <f ca="1">VLOOKUP(表格1_6[[#This Row],[PO+ITEM]],工作表1!B:E,2,FALSE)</f>
        <v>#N/A</v>
      </c>
      <c r="AY801" s="425" t="e">
        <f ca="1">VLOOKUP(表格1_6[[#This Row],[PO+ITEM]],工作表1!B:E,3,FALSE)</f>
        <v>#N/A</v>
      </c>
      <c r="AZ801" s="423" t="e">
        <f ca="1">VLOOKUP(表格1_6[[#This Row],[PO+ITEM]],工作表1!B:E,4,FALSE)</f>
        <v>#N/A</v>
      </c>
      <c r="BA801" s="425" t="e">
        <f ca="1">INDEX(工作表1!G:G, MATCH(表格1_6[[#This Row],[invoice number]]&amp;表格1_6[[#This Row],[invoice number2]],工作表1!G:G, 0))</f>
        <v>#N/A</v>
      </c>
      <c r="BB801" s="423" t="e">
        <f ca="1">VLOOKUP(表格1_6[[#This Row],[PO+ITEM]],工作表1!F:H,2,FALSE)</f>
        <v>#N/A</v>
      </c>
    </row>
    <row r="802" spans="1:54" ht="14.45">
      <c r="A802" s="413">
        <v>801</v>
      </c>
      <c r="B802" s="413" t="s">
        <v>3659</v>
      </c>
      <c r="C802" s="414" t="s">
        <v>16</v>
      </c>
      <c r="D802" s="414" t="s">
        <v>3648</v>
      </c>
      <c r="E802" s="414"/>
      <c r="F802" s="414"/>
      <c r="G802" s="414"/>
      <c r="H802" s="414"/>
      <c r="I802" s="414"/>
      <c r="J802" s="414"/>
      <c r="K802" s="414"/>
      <c r="L802" s="415" t="s">
        <v>5525</v>
      </c>
      <c r="M802" s="416" t="s">
        <v>4269</v>
      </c>
      <c r="N802" s="416" t="s">
        <v>2999</v>
      </c>
      <c r="O802" s="417"/>
      <c r="P802" s="416">
        <v>4590007769</v>
      </c>
      <c r="Q802" s="418">
        <v>44861</v>
      </c>
      <c r="R802" s="419">
        <v>11</v>
      </c>
      <c r="S802" s="458">
        <v>5638.25</v>
      </c>
      <c r="T802" s="420" t="s">
        <v>2156</v>
      </c>
      <c r="U802" s="414" t="s">
        <v>3926</v>
      </c>
      <c r="V802" s="414" t="s">
        <v>3927</v>
      </c>
      <c r="W802" s="417" t="s">
        <v>3928</v>
      </c>
      <c r="X802" s="417"/>
      <c r="Y802" s="421" t="s">
        <v>3652</v>
      </c>
      <c r="Z802" s="421" t="s">
        <v>3652</v>
      </c>
      <c r="AA802" s="416"/>
      <c r="AB802" s="414" t="s">
        <v>3664</v>
      </c>
      <c r="AC802" s="426"/>
      <c r="AD802" s="421"/>
      <c r="AE802" s="420"/>
      <c r="AF802" s="421">
        <v>91149</v>
      </c>
      <c r="AG802" s="420" t="s">
        <v>3394</v>
      </c>
      <c r="AH802" s="421" t="s">
        <v>4109</v>
      </c>
      <c r="AI802" s="420" t="s">
        <v>3666</v>
      </c>
      <c r="AJ802" s="413" t="str">
        <f t="shared" si="52"/>
        <v>4590007769_011</v>
      </c>
      <c r="AK802" s="423"/>
      <c r="AL802" s="413"/>
      <c r="AM802" s="221"/>
      <c r="AN802" s="424"/>
      <c r="AO802" s="423"/>
      <c r="AP802" s="413"/>
      <c r="AQ802" s="222"/>
      <c r="AR802" s="424"/>
      <c r="AS802" s="614">
        <f ca="1">表格1_6[[#This Row],[total amount]]/表格1_6[[#This Row],[PO$]]</f>
        <v>0</v>
      </c>
      <c r="AT802" s="223">
        <f ca="1">表格1_6[[#This Row],[invoice amount]]+表格1_6[[#This Row],[invoice amount2]]</f>
        <v>0</v>
      </c>
      <c r="AU802" s="224"/>
      <c r="AV802" s="423"/>
      <c r="AW802" s="423" t="e">
        <f ca="1">VLOOKUP(表格1_6[[#This Row],[TI tool ID2]],工作表1!A:A,1,FALSE)</f>
        <v>#N/A</v>
      </c>
      <c r="AX802" s="425" t="e">
        <f ca="1">VLOOKUP(表格1_6[[#This Row],[PO+ITEM]],工作表1!B:E,2,FALSE)</f>
        <v>#N/A</v>
      </c>
      <c r="AY802" s="425" t="e">
        <f ca="1">VLOOKUP(表格1_6[[#This Row],[PO+ITEM]],工作表1!B:E,3,FALSE)</f>
        <v>#N/A</v>
      </c>
      <c r="AZ802" s="423" t="e">
        <f ca="1">VLOOKUP(表格1_6[[#This Row],[PO+ITEM]],工作表1!B:E,4,FALSE)</f>
        <v>#N/A</v>
      </c>
      <c r="BA802" s="425" t="e">
        <f ca="1">INDEX(工作表1!G:G, MATCH(表格1_6[[#This Row],[invoice number]]&amp;表格1_6[[#This Row],[invoice number2]],工作表1!G:G, 0))</f>
        <v>#N/A</v>
      </c>
      <c r="BB802" s="423" t="e">
        <f ca="1">VLOOKUP(表格1_6[[#This Row],[PO+ITEM]],工作表1!F:H,2,FALSE)</f>
        <v>#N/A</v>
      </c>
    </row>
    <row r="803" spans="1:54" ht="14.45">
      <c r="A803" s="413">
        <v>802</v>
      </c>
      <c r="B803" s="413" t="s">
        <v>3659</v>
      </c>
      <c r="C803" s="414" t="s">
        <v>16</v>
      </c>
      <c r="D803" s="414" t="s">
        <v>3648</v>
      </c>
      <c r="E803" s="414"/>
      <c r="F803" s="414"/>
      <c r="G803" s="414"/>
      <c r="H803" s="414"/>
      <c r="I803" s="414"/>
      <c r="J803" s="414"/>
      <c r="K803" s="414"/>
      <c r="L803" s="415" t="s">
        <v>5526</v>
      </c>
      <c r="M803" s="416" t="s">
        <v>4269</v>
      </c>
      <c r="N803" s="416" t="s">
        <v>2999</v>
      </c>
      <c r="O803" s="417"/>
      <c r="P803" s="416">
        <v>4590007769</v>
      </c>
      <c r="Q803" s="418">
        <v>44861</v>
      </c>
      <c r="R803" s="419">
        <v>12</v>
      </c>
      <c r="S803" s="458">
        <v>5638.25</v>
      </c>
      <c r="T803" s="420" t="s">
        <v>2156</v>
      </c>
      <c r="U803" s="414" t="s">
        <v>3926</v>
      </c>
      <c r="V803" s="414" t="s">
        <v>3927</v>
      </c>
      <c r="W803" s="417" t="s">
        <v>3928</v>
      </c>
      <c r="X803" s="417"/>
      <c r="Y803" s="421" t="s">
        <v>3652</v>
      </c>
      <c r="Z803" s="421" t="s">
        <v>3652</v>
      </c>
      <c r="AA803" s="416"/>
      <c r="AB803" s="414" t="s">
        <v>3664</v>
      </c>
      <c r="AC803" s="426"/>
      <c r="AD803" s="421"/>
      <c r="AE803" s="420"/>
      <c r="AF803" s="421">
        <v>91189</v>
      </c>
      <c r="AG803" s="420" t="s">
        <v>3380</v>
      </c>
      <c r="AH803" s="421" t="s">
        <v>4109</v>
      </c>
      <c r="AI803" s="420" t="s">
        <v>3666</v>
      </c>
      <c r="AJ803" s="413" t="str">
        <f t="shared" si="52"/>
        <v>4590007769_012</v>
      </c>
      <c r="AK803" s="423"/>
      <c r="AL803" s="413"/>
      <c r="AM803" s="221"/>
      <c r="AN803" s="424"/>
      <c r="AO803" s="423"/>
      <c r="AP803" s="413"/>
      <c r="AQ803" s="222"/>
      <c r="AR803" s="424"/>
      <c r="AS803" s="614">
        <f ca="1">表格1_6[[#This Row],[total amount]]/表格1_6[[#This Row],[PO$]]</f>
        <v>0</v>
      </c>
      <c r="AT803" s="223">
        <f ca="1">表格1_6[[#This Row],[invoice amount]]+表格1_6[[#This Row],[invoice amount2]]</f>
        <v>0</v>
      </c>
      <c r="AU803" s="224"/>
      <c r="AV803" s="423"/>
      <c r="AW803" s="423" t="e">
        <f ca="1">VLOOKUP(表格1_6[[#This Row],[TI tool ID2]],工作表1!A:A,1,FALSE)</f>
        <v>#N/A</v>
      </c>
      <c r="AX803" s="425" t="e">
        <f ca="1">VLOOKUP(表格1_6[[#This Row],[PO+ITEM]],工作表1!B:E,2,FALSE)</f>
        <v>#N/A</v>
      </c>
      <c r="AY803" s="425" t="e">
        <f ca="1">VLOOKUP(表格1_6[[#This Row],[PO+ITEM]],工作表1!B:E,3,FALSE)</f>
        <v>#N/A</v>
      </c>
      <c r="AZ803" s="423" t="e">
        <f ca="1">VLOOKUP(表格1_6[[#This Row],[PO+ITEM]],工作表1!B:E,4,FALSE)</f>
        <v>#N/A</v>
      </c>
      <c r="BA803" s="425" t="e">
        <f ca="1">INDEX(工作表1!G:G, MATCH(表格1_6[[#This Row],[invoice number]]&amp;表格1_6[[#This Row],[invoice number2]],工作表1!G:G, 0))</f>
        <v>#N/A</v>
      </c>
      <c r="BB803" s="423" t="e">
        <f ca="1">VLOOKUP(表格1_6[[#This Row],[PO+ITEM]],工作表1!F:H,2,FALSE)</f>
        <v>#N/A</v>
      </c>
    </row>
    <row r="804" spans="1:54" ht="14.45">
      <c r="A804" s="413">
        <v>803</v>
      </c>
      <c r="B804" s="413" t="s">
        <v>3659</v>
      </c>
      <c r="C804" s="414" t="s">
        <v>16</v>
      </c>
      <c r="D804" s="414" t="s">
        <v>3648</v>
      </c>
      <c r="E804" s="414"/>
      <c r="F804" s="414"/>
      <c r="G804" s="414"/>
      <c r="H804" s="414"/>
      <c r="I804" s="414"/>
      <c r="J804" s="414"/>
      <c r="K804" s="414"/>
      <c r="L804" s="415" t="s">
        <v>5527</v>
      </c>
      <c r="M804" s="416" t="s">
        <v>4269</v>
      </c>
      <c r="N804" s="416" t="s">
        <v>2999</v>
      </c>
      <c r="O804" s="417"/>
      <c r="P804" s="416">
        <v>4590007769</v>
      </c>
      <c r="Q804" s="418">
        <v>44861</v>
      </c>
      <c r="R804" s="419">
        <v>13</v>
      </c>
      <c r="S804" s="458">
        <v>5638.25</v>
      </c>
      <c r="T804" s="420" t="s">
        <v>2156</v>
      </c>
      <c r="U804" s="414" t="s">
        <v>3926</v>
      </c>
      <c r="V804" s="414" t="s">
        <v>3927</v>
      </c>
      <c r="W804" s="417" t="s">
        <v>3928</v>
      </c>
      <c r="X804" s="417"/>
      <c r="Y804" s="421" t="s">
        <v>3652</v>
      </c>
      <c r="Z804" s="421" t="s">
        <v>3652</v>
      </c>
      <c r="AA804" s="416"/>
      <c r="AB804" s="414" t="s">
        <v>3664</v>
      </c>
      <c r="AC804" s="426"/>
      <c r="AD804" s="421"/>
      <c r="AE804" s="420"/>
      <c r="AF804" s="421">
        <v>91186</v>
      </c>
      <c r="AG804" s="420" t="s">
        <v>3378</v>
      </c>
      <c r="AH804" s="421" t="s">
        <v>4109</v>
      </c>
      <c r="AI804" s="420" t="s">
        <v>3666</v>
      </c>
      <c r="AJ804" s="413" t="str">
        <f t="shared" si="52"/>
        <v>4590007769_013</v>
      </c>
      <c r="AK804" s="423"/>
      <c r="AL804" s="413"/>
      <c r="AM804" s="221"/>
      <c r="AN804" s="424"/>
      <c r="AO804" s="423"/>
      <c r="AP804" s="413"/>
      <c r="AQ804" s="222"/>
      <c r="AR804" s="424"/>
      <c r="AS804" s="614">
        <f ca="1">表格1_6[[#This Row],[total amount]]/表格1_6[[#This Row],[PO$]]</f>
        <v>0</v>
      </c>
      <c r="AT804" s="223">
        <f ca="1">表格1_6[[#This Row],[invoice amount]]+表格1_6[[#This Row],[invoice amount2]]</f>
        <v>0</v>
      </c>
      <c r="AU804" s="224"/>
      <c r="AV804" s="423"/>
      <c r="AW804" s="423" t="e">
        <f ca="1">VLOOKUP(表格1_6[[#This Row],[TI tool ID2]],工作表1!A:A,1,FALSE)</f>
        <v>#N/A</v>
      </c>
      <c r="AX804" s="425" t="e">
        <f ca="1">VLOOKUP(表格1_6[[#This Row],[PO+ITEM]],工作表1!B:E,2,FALSE)</f>
        <v>#N/A</v>
      </c>
      <c r="AY804" s="425" t="e">
        <f ca="1">VLOOKUP(表格1_6[[#This Row],[PO+ITEM]],工作表1!B:E,3,FALSE)</f>
        <v>#N/A</v>
      </c>
      <c r="AZ804" s="423" t="e">
        <f ca="1">VLOOKUP(表格1_6[[#This Row],[PO+ITEM]],工作表1!B:E,4,FALSE)</f>
        <v>#N/A</v>
      </c>
      <c r="BA804" s="425" t="e">
        <f ca="1">INDEX(工作表1!G:G, MATCH(表格1_6[[#This Row],[invoice number]]&amp;表格1_6[[#This Row],[invoice number2]],工作表1!G:G, 0))</f>
        <v>#N/A</v>
      </c>
      <c r="BB804" s="423" t="e">
        <f ca="1">VLOOKUP(表格1_6[[#This Row],[PO+ITEM]],工作表1!F:H,2,FALSE)</f>
        <v>#N/A</v>
      </c>
    </row>
    <row r="805" spans="1:54" ht="15.6">
      <c r="A805" s="413">
        <v>804</v>
      </c>
      <c r="B805" s="413" t="s">
        <v>3659</v>
      </c>
      <c r="C805" s="414" t="s">
        <v>16</v>
      </c>
      <c r="D805" s="414" t="s">
        <v>3648</v>
      </c>
      <c r="E805" s="414"/>
      <c r="F805" s="414"/>
      <c r="G805" s="414"/>
      <c r="H805" s="414"/>
      <c r="I805" s="414"/>
      <c r="J805" s="414"/>
      <c r="K805" s="414"/>
      <c r="L805" s="415" t="s">
        <v>5528</v>
      </c>
      <c r="M805" s="416" t="s">
        <v>4269</v>
      </c>
      <c r="N805" s="416" t="s">
        <v>2999</v>
      </c>
      <c r="O805" s="417"/>
      <c r="P805" s="416">
        <v>4590007769</v>
      </c>
      <c r="Q805" s="418">
        <v>44861</v>
      </c>
      <c r="R805" s="419">
        <v>14</v>
      </c>
      <c r="S805" s="458">
        <v>5965.42</v>
      </c>
      <c r="T805" s="420" t="s">
        <v>2156</v>
      </c>
      <c r="U805" s="414" t="s">
        <v>3926</v>
      </c>
      <c r="V805" s="414" t="s">
        <v>3927</v>
      </c>
      <c r="W805" s="417" t="s">
        <v>3928</v>
      </c>
      <c r="X805" s="417"/>
      <c r="Y805" s="421" t="s">
        <v>3652</v>
      </c>
      <c r="Z805" s="421" t="s">
        <v>3652</v>
      </c>
      <c r="AA805" s="416" t="s">
        <v>4270</v>
      </c>
      <c r="AB805" s="414" t="s">
        <v>3664</v>
      </c>
      <c r="AC805" s="426"/>
      <c r="AD805" s="421"/>
      <c r="AE805" s="420"/>
      <c r="AF805" s="421">
        <v>91355</v>
      </c>
      <c r="AG805" s="420" t="s">
        <v>3352</v>
      </c>
      <c r="AH805" s="421" t="s">
        <v>4109</v>
      </c>
      <c r="AI805" s="420" t="s">
        <v>3666</v>
      </c>
      <c r="AJ805" s="413" t="str">
        <f t="shared" si="52"/>
        <v>4590007769_014</v>
      </c>
      <c r="AK805" s="423"/>
      <c r="AL805" s="427">
        <v>45108</v>
      </c>
      <c r="AM805" s="221">
        <v>0</v>
      </c>
      <c r="AN805" s="431" t="s">
        <v>3788</v>
      </c>
      <c r="AO805" s="423"/>
      <c r="AP805" s="413"/>
      <c r="AQ805" s="222"/>
      <c r="AR805" s="424"/>
      <c r="AS805" s="614">
        <f ca="1">表格1_6[[#This Row],[total amount]]/表格1_6[[#This Row],[PO$]]</f>
        <v>0</v>
      </c>
      <c r="AT805" s="223">
        <f ca="1">表格1_6[[#This Row],[invoice amount]]+表格1_6[[#This Row],[invoice amount2]]</f>
        <v>0</v>
      </c>
      <c r="AU805" s="224" t="s">
        <v>3789</v>
      </c>
      <c r="AV805" s="423" t="s">
        <v>5529</v>
      </c>
      <c r="AW805" s="423" t="e">
        <f ca="1">VLOOKUP(表格1_6[[#This Row],[TI tool ID2]],工作表1!A:A,1,FALSE)</f>
        <v>#N/A</v>
      </c>
      <c r="AX805" s="425" t="e">
        <f ca="1">VLOOKUP(表格1_6[[#This Row],[PO+ITEM]],工作表1!B:E,2,FALSE)</f>
        <v>#N/A</v>
      </c>
      <c r="AY805" s="425" t="e">
        <f ca="1">VLOOKUP(表格1_6[[#This Row],[PO+ITEM]],工作表1!B:E,3,FALSE)</f>
        <v>#N/A</v>
      </c>
      <c r="AZ805" s="423" t="e">
        <f ca="1">VLOOKUP(表格1_6[[#This Row],[PO+ITEM]],工作表1!B:E,4,FALSE)</f>
        <v>#N/A</v>
      </c>
      <c r="BA805" s="425" t="e">
        <f ca="1">INDEX(工作表1!G:G, MATCH(表格1_6[[#This Row],[invoice number]]&amp;表格1_6[[#This Row],[invoice number2]],工作表1!G:G, 0))</f>
        <v>#N/A</v>
      </c>
      <c r="BB805" s="423" t="e">
        <f ca="1">VLOOKUP(表格1_6[[#This Row],[PO+ITEM]],工作表1!F:H,2,FALSE)</f>
        <v>#N/A</v>
      </c>
    </row>
    <row r="806" spans="1:54" ht="15.6">
      <c r="A806" s="413">
        <v>805</v>
      </c>
      <c r="B806" s="413" t="s">
        <v>3659</v>
      </c>
      <c r="C806" s="414" t="s">
        <v>16</v>
      </c>
      <c r="D806" s="414" t="s">
        <v>3648</v>
      </c>
      <c r="E806" s="414"/>
      <c r="F806" s="414"/>
      <c r="G806" s="414"/>
      <c r="H806" s="414"/>
      <c r="I806" s="414"/>
      <c r="J806" s="414"/>
      <c r="K806" s="414"/>
      <c r="L806" s="415" t="s">
        <v>5530</v>
      </c>
      <c r="M806" s="416" t="s">
        <v>4269</v>
      </c>
      <c r="N806" s="416" t="s">
        <v>2999</v>
      </c>
      <c r="O806" s="417"/>
      <c r="P806" s="416">
        <v>4590007769</v>
      </c>
      <c r="Q806" s="418">
        <v>44861</v>
      </c>
      <c r="R806" s="419">
        <v>15</v>
      </c>
      <c r="S806" s="458">
        <v>5965.42</v>
      </c>
      <c r="T806" s="420" t="s">
        <v>2156</v>
      </c>
      <c r="U806" s="414" t="s">
        <v>3926</v>
      </c>
      <c r="V806" s="414" t="s">
        <v>3927</v>
      </c>
      <c r="W806" s="417" t="s">
        <v>3928</v>
      </c>
      <c r="X806" s="417"/>
      <c r="Y806" s="421" t="s">
        <v>3652</v>
      </c>
      <c r="Z806" s="421" t="s">
        <v>3652</v>
      </c>
      <c r="AA806" s="416" t="s">
        <v>4270</v>
      </c>
      <c r="AB806" s="414" t="s">
        <v>3664</v>
      </c>
      <c r="AC806" s="426"/>
      <c r="AD806" s="421"/>
      <c r="AE806" s="420"/>
      <c r="AF806" s="421">
        <v>91254</v>
      </c>
      <c r="AG806" s="420" t="s">
        <v>3354</v>
      </c>
      <c r="AH806" s="421" t="s">
        <v>4109</v>
      </c>
      <c r="AI806" s="420" t="s">
        <v>3666</v>
      </c>
      <c r="AJ806" s="413" t="str">
        <f t="shared" si="52"/>
        <v>4590007769_015</v>
      </c>
      <c r="AK806" s="423"/>
      <c r="AL806" s="427">
        <v>45108</v>
      </c>
      <c r="AM806" s="221">
        <v>0</v>
      </c>
      <c r="AN806" s="431" t="s">
        <v>3788</v>
      </c>
      <c r="AO806" s="423"/>
      <c r="AP806" s="413"/>
      <c r="AQ806" s="222"/>
      <c r="AR806" s="424"/>
      <c r="AS806" s="614">
        <f ca="1">表格1_6[[#This Row],[total amount]]/表格1_6[[#This Row],[PO$]]</f>
        <v>0</v>
      </c>
      <c r="AT806" s="223">
        <f ca="1">表格1_6[[#This Row],[invoice amount]]+表格1_6[[#This Row],[invoice amount2]]</f>
        <v>0</v>
      </c>
      <c r="AU806" s="224" t="s">
        <v>3789</v>
      </c>
      <c r="AV806" s="423" t="s">
        <v>5529</v>
      </c>
      <c r="AW806" s="423" t="e">
        <f ca="1">VLOOKUP(表格1_6[[#This Row],[TI tool ID2]],工作表1!A:A,1,FALSE)</f>
        <v>#N/A</v>
      </c>
      <c r="AX806" s="425" t="e">
        <f ca="1">VLOOKUP(表格1_6[[#This Row],[PO+ITEM]],工作表1!B:E,2,FALSE)</f>
        <v>#N/A</v>
      </c>
      <c r="AY806" s="425" t="e">
        <f ca="1">VLOOKUP(表格1_6[[#This Row],[PO+ITEM]],工作表1!B:E,3,FALSE)</f>
        <v>#N/A</v>
      </c>
      <c r="AZ806" s="423" t="e">
        <f ca="1">VLOOKUP(表格1_6[[#This Row],[PO+ITEM]],工作表1!B:E,4,FALSE)</f>
        <v>#N/A</v>
      </c>
      <c r="BA806" s="425" t="e">
        <f ca="1">INDEX(工作表1!G:G, MATCH(表格1_6[[#This Row],[invoice number]]&amp;表格1_6[[#This Row],[invoice number2]],工作表1!G:G, 0))</f>
        <v>#N/A</v>
      </c>
      <c r="BB806" s="423" t="e">
        <f ca="1">VLOOKUP(表格1_6[[#This Row],[PO+ITEM]],工作表1!F:H,2,FALSE)</f>
        <v>#N/A</v>
      </c>
    </row>
    <row r="807" spans="1:54" ht="15.6">
      <c r="A807" s="413">
        <v>806</v>
      </c>
      <c r="B807" s="413" t="s">
        <v>3659</v>
      </c>
      <c r="C807" s="414" t="s">
        <v>16</v>
      </c>
      <c r="D807" s="414" t="s">
        <v>3648</v>
      </c>
      <c r="E807" s="414"/>
      <c r="F807" s="414"/>
      <c r="G807" s="414"/>
      <c r="H807" s="414"/>
      <c r="I807" s="414"/>
      <c r="J807" s="414"/>
      <c r="K807" s="414"/>
      <c r="L807" s="415" t="s">
        <v>5531</v>
      </c>
      <c r="M807" s="416" t="s">
        <v>4269</v>
      </c>
      <c r="N807" s="416" t="s">
        <v>2999</v>
      </c>
      <c r="O807" s="417"/>
      <c r="P807" s="416">
        <v>4590007769</v>
      </c>
      <c r="Q807" s="418">
        <v>44861</v>
      </c>
      <c r="R807" s="419">
        <v>16</v>
      </c>
      <c r="S807" s="458">
        <v>5965.42</v>
      </c>
      <c r="T807" s="420" t="s">
        <v>2156</v>
      </c>
      <c r="U807" s="414" t="s">
        <v>3926</v>
      </c>
      <c r="V807" s="414" t="s">
        <v>3927</v>
      </c>
      <c r="W807" s="417" t="s">
        <v>3928</v>
      </c>
      <c r="X807" s="417"/>
      <c r="Y807" s="421" t="s">
        <v>3652</v>
      </c>
      <c r="Z807" s="421" t="s">
        <v>3652</v>
      </c>
      <c r="AA807" s="416" t="s">
        <v>4270</v>
      </c>
      <c r="AB807" s="414" t="s">
        <v>3664</v>
      </c>
      <c r="AC807" s="426"/>
      <c r="AD807" s="421"/>
      <c r="AE807" s="420"/>
      <c r="AF807" s="421">
        <v>91257</v>
      </c>
      <c r="AG807" s="420" t="s">
        <v>3350</v>
      </c>
      <c r="AH807" s="421" t="s">
        <v>4109</v>
      </c>
      <c r="AI807" s="420" t="s">
        <v>3666</v>
      </c>
      <c r="AJ807" s="413" t="str">
        <f t="shared" si="52"/>
        <v>4590007769_016</v>
      </c>
      <c r="AK807" s="423"/>
      <c r="AL807" s="427">
        <v>45108</v>
      </c>
      <c r="AM807" s="221">
        <v>0</v>
      </c>
      <c r="AN807" s="431" t="s">
        <v>3788</v>
      </c>
      <c r="AO807" s="423"/>
      <c r="AP807" s="413"/>
      <c r="AQ807" s="222"/>
      <c r="AR807" s="424"/>
      <c r="AS807" s="614">
        <f ca="1">表格1_6[[#This Row],[total amount]]/表格1_6[[#This Row],[PO$]]</f>
        <v>0</v>
      </c>
      <c r="AT807" s="223">
        <f ca="1">表格1_6[[#This Row],[invoice amount]]+表格1_6[[#This Row],[invoice amount2]]</f>
        <v>0</v>
      </c>
      <c r="AU807" s="224" t="s">
        <v>3789</v>
      </c>
      <c r="AV807" s="423" t="s">
        <v>5529</v>
      </c>
      <c r="AW807" s="423" t="e">
        <f ca="1">VLOOKUP(表格1_6[[#This Row],[TI tool ID2]],工作表1!A:A,1,FALSE)</f>
        <v>#N/A</v>
      </c>
      <c r="AX807" s="425" t="e">
        <f ca="1">VLOOKUP(表格1_6[[#This Row],[PO+ITEM]],工作表1!B:E,2,FALSE)</f>
        <v>#N/A</v>
      </c>
      <c r="AY807" s="425" t="e">
        <f ca="1">VLOOKUP(表格1_6[[#This Row],[PO+ITEM]],工作表1!B:E,3,FALSE)</f>
        <v>#N/A</v>
      </c>
      <c r="AZ807" s="423" t="e">
        <f ca="1">VLOOKUP(表格1_6[[#This Row],[PO+ITEM]],工作表1!B:E,4,FALSE)</f>
        <v>#N/A</v>
      </c>
      <c r="BA807" s="425" t="e">
        <f ca="1">INDEX(工作表1!G:G, MATCH(表格1_6[[#This Row],[invoice number]]&amp;表格1_6[[#This Row],[invoice number2]],工作表1!G:G, 0))</f>
        <v>#N/A</v>
      </c>
      <c r="BB807" s="423" t="e">
        <f ca="1">VLOOKUP(表格1_6[[#This Row],[PO+ITEM]],工作表1!F:H,2,FALSE)</f>
        <v>#N/A</v>
      </c>
    </row>
    <row r="808" spans="1:54" ht="15.6">
      <c r="A808" s="413">
        <v>807</v>
      </c>
      <c r="B808" s="413" t="s">
        <v>3659</v>
      </c>
      <c r="C808" s="414" t="s">
        <v>16</v>
      </c>
      <c r="D808" s="414" t="s">
        <v>3648</v>
      </c>
      <c r="E808" s="414"/>
      <c r="F808" s="414"/>
      <c r="G808" s="414"/>
      <c r="H808" s="414"/>
      <c r="I808" s="414"/>
      <c r="J808" s="414"/>
      <c r="K808" s="414"/>
      <c r="L808" s="415" t="s">
        <v>5532</v>
      </c>
      <c r="M808" s="416" t="s">
        <v>4269</v>
      </c>
      <c r="N808" s="416" t="s">
        <v>2999</v>
      </c>
      <c r="O808" s="417"/>
      <c r="P808" s="416">
        <v>4590007770</v>
      </c>
      <c r="Q808" s="418">
        <v>44861</v>
      </c>
      <c r="R808" s="419">
        <v>1</v>
      </c>
      <c r="S808" s="458">
        <v>7402.76</v>
      </c>
      <c r="T808" s="420" t="s">
        <v>2156</v>
      </c>
      <c r="U808" s="414" t="s">
        <v>3926</v>
      </c>
      <c r="V808" s="414" t="s">
        <v>3927</v>
      </c>
      <c r="W808" s="417" t="s">
        <v>3928</v>
      </c>
      <c r="X808" s="417"/>
      <c r="Y808" s="421" t="s">
        <v>3652</v>
      </c>
      <c r="Z808" s="421" t="s">
        <v>3652</v>
      </c>
      <c r="AA808" s="416" t="s">
        <v>4270</v>
      </c>
      <c r="AB808" s="414" t="s">
        <v>3664</v>
      </c>
      <c r="AC808" s="426"/>
      <c r="AD808" s="421"/>
      <c r="AE808" s="420"/>
      <c r="AF808" s="421">
        <v>91253</v>
      </c>
      <c r="AG808" s="420" t="s">
        <v>3407</v>
      </c>
      <c r="AH808" s="421" t="s">
        <v>4109</v>
      </c>
      <c r="AI808" s="420" t="s">
        <v>3666</v>
      </c>
      <c r="AJ808" s="413" t="str">
        <f t="shared" ref="AJ808:AJ833" si="53">P808&amp;"_00"&amp;R808</f>
        <v>4590007770_001</v>
      </c>
      <c r="AK808" s="423"/>
      <c r="AL808" s="427">
        <v>45108</v>
      </c>
      <c r="AM808" s="221">
        <v>0</v>
      </c>
      <c r="AN808" s="431" t="s">
        <v>3788</v>
      </c>
      <c r="AO808" s="423"/>
      <c r="AP808" s="413"/>
      <c r="AQ808" s="222"/>
      <c r="AR808" s="424"/>
      <c r="AS808" s="614">
        <f ca="1">表格1_6[[#This Row],[total amount]]/表格1_6[[#This Row],[PO$]]</f>
        <v>0</v>
      </c>
      <c r="AT808" s="223">
        <f ca="1">表格1_6[[#This Row],[invoice amount]]+表格1_6[[#This Row],[invoice amount2]]</f>
        <v>0</v>
      </c>
      <c r="AU808" s="224" t="s">
        <v>3789</v>
      </c>
      <c r="AV808" s="423" t="s">
        <v>5529</v>
      </c>
      <c r="AW808" s="423" t="e">
        <f ca="1">VLOOKUP(表格1_6[[#This Row],[TI tool ID2]],工作表1!A:A,1,FALSE)</f>
        <v>#N/A</v>
      </c>
      <c r="AX808" s="425" t="e">
        <f ca="1">VLOOKUP(表格1_6[[#This Row],[PO+ITEM]],工作表1!B:E,2,FALSE)</f>
        <v>#N/A</v>
      </c>
      <c r="AY808" s="425" t="e">
        <f ca="1">VLOOKUP(表格1_6[[#This Row],[PO+ITEM]],工作表1!B:E,3,FALSE)</f>
        <v>#N/A</v>
      </c>
      <c r="AZ808" s="423" t="e">
        <f ca="1">VLOOKUP(表格1_6[[#This Row],[PO+ITEM]],工作表1!B:E,4,FALSE)</f>
        <v>#N/A</v>
      </c>
      <c r="BA808" s="425" t="e">
        <f ca="1">INDEX(工作表1!G:G, MATCH(表格1_6[[#This Row],[invoice number]]&amp;表格1_6[[#This Row],[invoice number2]],工作表1!G:G, 0))</f>
        <v>#N/A</v>
      </c>
      <c r="BB808" s="423" t="e">
        <f ca="1">VLOOKUP(表格1_6[[#This Row],[PO+ITEM]],工作表1!F:H,2,FALSE)</f>
        <v>#N/A</v>
      </c>
    </row>
    <row r="809" spans="1:54" ht="14.45">
      <c r="A809" s="413">
        <v>808</v>
      </c>
      <c r="B809" s="413" t="s">
        <v>3659</v>
      </c>
      <c r="C809" s="414" t="s">
        <v>16</v>
      </c>
      <c r="D809" s="414" t="s">
        <v>3648</v>
      </c>
      <c r="E809" s="414"/>
      <c r="F809" s="414"/>
      <c r="G809" s="414"/>
      <c r="H809" s="414"/>
      <c r="I809" s="414"/>
      <c r="J809" s="414"/>
      <c r="K809" s="414"/>
      <c r="L809" s="415" t="s">
        <v>5533</v>
      </c>
      <c r="M809" s="416" t="s">
        <v>4269</v>
      </c>
      <c r="N809" s="416" t="s">
        <v>2999</v>
      </c>
      <c r="O809" s="417"/>
      <c r="P809" s="416">
        <v>4590007770</v>
      </c>
      <c r="Q809" s="418">
        <v>44861</v>
      </c>
      <c r="R809" s="419">
        <v>2</v>
      </c>
      <c r="S809" s="458">
        <v>23051.14</v>
      </c>
      <c r="T809" s="420" t="s">
        <v>2156</v>
      </c>
      <c r="U809" s="414" t="s">
        <v>3926</v>
      </c>
      <c r="V809" s="414" t="s">
        <v>3927</v>
      </c>
      <c r="W809" s="417" t="s">
        <v>3928</v>
      </c>
      <c r="X809" s="417"/>
      <c r="Y809" s="421" t="s">
        <v>3652</v>
      </c>
      <c r="Z809" s="421" t="s">
        <v>3652</v>
      </c>
      <c r="AA809" s="416"/>
      <c r="AB809" s="414" t="s">
        <v>3664</v>
      </c>
      <c r="AC809" s="426"/>
      <c r="AD809" s="421"/>
      <c r="AE809" s="420"/>
      <c r="AF809" s="421">
        <v>91190</v>
      </c>
      <c r="AG809" s="420" t="s">
        <v>3318</v>
      </c>
      <c r="AH809" s="421" t="s">
        <v>4109</v>
      </c>
      <c r="AI809" s="420" t="s">
        <v>3666</v>
      </c>
      <c r="AJ809" s="413" t="str">
        <f t="shared" si="53"/>
        <v>4590007770_002</v>
      </c>
      <c r="AK809" s="423"/>
      <c r="AL809" s="413"/>
      <c r="AM809" s="221"/>
      <c r="AN809" s="424"/>
      <c r="AO809" s="423"/>
      <c r="AP809" s="413"/>
      <c r="AQ809" s="222"/>
      <c r="AR809" s="424"/>
      <c r="AS809" s="614">
        <f ca="1">表格1_6[[#This Row],[total amount]]/表格1_6[[#This Row],[PO$]]</f>
        <v>0</v>
      </c>
      <c r="AT809" s="223">
        <f ca="1">表格1_6[[#This Row],[invoice amount]]+表格1_6[[#This Row],[invoice amount2]]</f>
        <v>0</v>
      </c>
      <c r="AU809" s="224"/>
      <c r="AV809" s="423"/>
      <c r="AW809" s="423" t="e">
        <f ca="1">VLOOKUP(表格1_6[[#This Row],[TI tool ID2]],工作表1!A:A,1,FALSE)</f>
        <v>#N/A</v>
      </c>
      <c r="AX809" s="425" t="e">
        <f ca="1">VLOOKUP(表格1_6[[#This Row],[PO+ITEM]],工作表1!B:E,2,FALSE)</f>
        <v>#N/A</v>
      </c>
      <c r="AY809" s="425" t="e">
        <f ca="1">VLOOKUP(表格1_6[[#This Row],[PO+ITEM]],工作表1!B:E,3,FALSE)</f>
        <v>#N/A</v>
      </c>
      <c r="AZ809" s="423" t="e">
        <f ca="1">VLOOKUP(表格1_6[[#This Row],[PO+ITEM]],工作表1!B:E,4,FALSE)</f>
        <v>#N/A</v>
      </c>
      <c r="BA809" s="425" t="e">
        <f ca="1">INDEX(工作表1!G:G, MATCH(表格1_6[[#This Row],[invoice number]]&amp;表格1_6[[#This Row],[invoice number2]],工作表1!G:G, 0))</f>
        <v>#N/A</v>
      </c>
      <c r="BB809" s="423" t="e">
        <f ca="1">VLOOKUP(表格1_6[[#This Row],[PO+ITEM]],工作表1!F:H,2,FALSE)</f>
        <v>#N/A</v>
      </c>
    </row>
    <row r="810" spans="1:54" ht="14.45">
      <c r="A810" s="413">
        <v>809</v>
      </c>
      <c r="B810" s="413" t="s">
        <v>3659</v>
      </c>
      <c r="C810" s="414" t="s">
        <v>16</v>
      </c>
      <c r="D810" s="414" t="s">
        <v>3648</v>
      </c>
      <c r="E810" s="414"/>
      <c r="F810" s="414"/>
      <c r="G810" s="414"/>
      <c r="H810" s="414"/>
      <c r="I810" s="414"/>
      <c r="J810" s="414"/>
      <c r="K810" s="414"/>
      <c r="L810" s="415" t="s">
        <v>5534</v>
      </c>
      <c r="M810" s="416" t="s">
        <v>4269</v>
      </c>
      <c r="N810" s="416" t="s">
        <v>2999</v>
      </c>
      <c r="O810" s="417"/>
      <c r="P810" s="416">
        <v>4590007770</v>
      </c>
      <c r="Q810" s="418">
        <v>44861</v>
      </c>
      <c r="R810" s="419">
        <v>3</v>
      </c>
      <c r="S810" s="458">
        <v>12958.44</v>
      </c>
      <c r="T810" s="420" t="s">
        <v>2156</v>
      </c>
      <c r="U810" s="414" t="s">
        <v>3926</v>
      </c>
      <c r="V810" s="414" t="s">
        <v>3927</v>
      </c>
      <c r="W810" s="417" t="s">
        <v>3928</v>
      </c>
      <c r="X810" s="417"/>
      <c r="Y810" s="421" t="s">
        <v>3652</v>
      </c>
      <c r="Z810" s="421" t="s">
        <v>3652</v>
      </c>
      <c r="AA810" s="416"/>
      <c r="AB810" s="414" t="s">
        <v>3664</v>
      </c>
      <c r="AC810" s="426"/>
      <c r="AD810" s="421"/>
      <c r="AE810" s="420"/>
      <c r="AF810" s="421">
        <v>91191</v>
      </c>
      <c r="AG810" s="420" t="s">
        <v>3333</v>
      </c>
      <c r="AH810" s="421" t="s">
        <v>4109</v>
      </c>
      <c r="AI810" s="420" t="s">
        <v>3666</v>
      </c>
      <c r="AJ810" s="413" t="str">
        <f t="shared" si="53"/>
        <v>4590007770_003</v>
      </c>
      <c r="AK810" s="423"/>
      <c r="AL810" s="413"/>
      <c r="AM810" s="221"/>
      <c r="AN810" s="424"/>
      <c r="AO810" s="423"/>
      <c r="AP810" s="413"/>
      <c r="AQ810" s="222"/>
      <c r="AR810" s="424"/>
      <c r="AS810" s="614">
        <f ca="1">表格1_6[[#This Row],[total amount]]/表格1_6[[#This Row],[PO$]]</f>
        <v>0</v>
      </c>
      <c r="AT810" s="223">
        <f ca="1">表格1_6[[#This Row],[invoice amount]]+表格1_6[[#This Row],[invoice amount2]]</f>
        <v>0</v>
      </c>
      <c r="AU810" s="224"/>
      <c r="AV810" s="423"/>
      <c r="AW810" s="423" t="e">
        <f ca="1">VLOOKUP(表格1_6[[#This Row],[TI tool ID2]],工作表1!A:A,1,FALSE)</f>
        <v>#N/A</v>
      </c>
      <c r="AX810" s="425" t="e">
        <f ca="1">VLOOKUP(表格1_6[[#This Row],[PO+ITEM]],工作表1!B:E,2,FALSE)</f>
        <v>#N/A</v>
      </c>
      <c r="AY810" s="425" t="e">
        <f ca="1">VLOOKUP(表格1_6[[#This Row],[PO+ITEM]],工作表1!B:E,3,FALSE)</f>
        <v>#N/A</v>
      </c>
      <c r="AZ810" s="423" t="e">
        <f ca="1">VLOOKUP(表格1_6[[#This Row],[PO+ITEM]],工作表1!B:E,4,FALSE)</f>
        <v>#N/A</v>
      </c>
      <c r="BA810" s="425" t="e">
        <f ca="1">INDEX(工作表1!G:G, MATCH(表格1_6[[#This Row],[invoice number]]&amp;表格1_6[[#This Row],[invoice number2]],工作表1!G:G, 0))</f>
        <v>#N/A</v>
      </c>
      <c r="BB810" s="423" t="e">
        <f ca="1">VLOOKUP(表格1_6[[#This Row],[PO+ITEM]],工作表1!F:H,2,FALSE)</f>
        <v>#N/A</v>
      </c>
    </row>
    <row r="811" spans="1:54" ht="14.45">
      <c r="A811" s="413">
        <v>810</v>
      </c>
      <c r="B811" s="413" t="s">
        <v>3659</v>
      </c>
      <c r="C811" s="414" t="s">
        <v>16</v>
      </c>
      <c r="D811" s="414" t="s">
        <v>3648</v>
      </c>
      <c r="E811" s="414"/>
      <c r="F811" s="414"/>
      <c r="G811" s="414"/>
      <c r="H811" s="414"/>
      <c r="I811" s="414"/>
      <c r="J811" s="414"/>
      <c r="K811" s="414"/>
      <c r="L811" s="415" t="s">
        <v>5535</v>
      </c>
      <c r="M811" s="416" t="s">
        <v>4269</v>
      </c>
      <c r="N811" s="416" t="s">
        <v>2999</v>
      </c>
      <c r="O811" s="417"/>
      <c r="P811" s="416">
        <v>4590007770</v>
      </c>
      <c r="Q811" s="418">
        <v>44861</v>
      </c>
      <c r="R811" s="419">
        <v>4</v>
      </c>
      <c r="S811" s="458">
        <v>12958.44</v>
      </c>
      <c r="T811" s="420" t="s">
        <v>2156</v>
      </c>
      <c r="U811" s="414" t="s">
        <v>3926</v>
      </c>
      <c r="V811" s="414" t="s">
        <v>3927</v>
      </c>
      <c r="W811" s="417" t="s">
        <v>3928</v>
      </c>
      <c r="X811" s="417"/>
      <c r="Y811" s="421" t="s">
        <v>3652</v>
      </c>
      <c r="Z811" s="421" t="s">
        <v>3652</v>
      </c>
      <c r="AA811" s="416"/>
      <c r="AB811" s="414" t="s">
        <v>3664</v>
      </c>
      <c r="AC811" s="426"/>
      <c r="AD811" s="421"/>
      <c r="AE811" s="420"/>
      <c r="AF811" s="421">
        <v>91192</v>
      </c>
      <c r="AG811" s="420" t="s">
        <v>3337</v>
      </c>
      <c r="AH811" s="421" t="s">
        <v>4109</v>
      </c>
      <c r="AI811" s="420" t="s">
        <v>3666</v>
      </c>
      <c r="AJ811" s="413" t="str">
        <f t="shared" si="53"/>
        <v>4590007770_004</v>
      </c>
      <c r="AK811" s="423"/>
      <c r="AL811" s="413"/>
      <c r="AM811" s="221"/>
      <c r="AN811" s="424"/>
      <c r="AO811" s="423"/>
      <c r="AP811" s="413"/>
      <c r="AQ811" s="222"/>
      <c r="AR811" s="424"/>
      <c r="AS811" s="614">
        <f ca="1">表格1_6[[#This Row],[total amount]]/表格1_6[[#This Row],[PO$]]</f>
        <v>0</v>
      </c>
      <c r="AT811" s="223">
        <f ca="1">表格1_6[[#This Row],[invoice amount]]+表格1_6[[#This Row],[invoice amount2]]</f>
        <v>0</v>
      </c>
      <c r="AU811" s="224"/>
      <c r="AV811" s="423"/>
      <c r="AW811" s="423" t="e">
        <f ca="1">VLOOKUP(表格1_6[[#This Row],[TI tool ID2]],工作表1!A:A,1,FALSE)</f>
        <v>#N/A</v>
      </c>
      <c r="AX811" s="425" t="e">
        <f ca="1">VLOOKUP(表格1_6[[#This Row],[PO+ITEM]],工作表1!B:E,2,FALSE)</f>
        <v>#N/A</v>
      </c>
      <c r="AY811" s="425" t="e">
        <f ca="1">VLOOKUP(表格1_6[[#This Row],[PO+ITEM]],工作表1!B:E,3,FALSE)</f>
        <v>#N/A</v>
      </c>
      <c r="AZ811" s="423" t="e">
        <f ca="1">VLOOKUP(表格1_6[[#This Row],[PO+ITEM]],工作表1!B:E,4,FALSE)</f>
        <v>#N/A</v>
      </c>
      <c r="BA811" s="425" t="e">
        <f ca="1">INDEX(工作表1!G:G, MATCH(表格1_6[[#This Row],[invoice number]]&amp;表格1_6[[#This Row],[invoice number2]],工作表1!G:G, 0))</f>
        <v>#N/A</v>
      </c>
      <c r="BB811" s="423" t="e">
        <f ca="1">VLOOKUP(表格1_6[[#This Row],[PO+ITEM]],工作表1!F:H,2,FALSE)</f>
        <v>#N/A</v>
      </c>
    </row>
    <row r="812" spans="1:54" ht="14.45">
      <c r="A812" s="413">
        <v>811</v>
      </c>
      <c r="B812" s="413" t="s">
        <v>3659</v>
      </c>
      <c r="C812" s="414" t="s">
        <v>16</v>
      </c>
      <c r="D812" s="414" t="s">
        <v>3648</v>
      </c>
      <c r="E812" s="414"/>
      <c r="F812" s="414"/>
      <c r="G812" s="414"/>
      <c r="H812" s="414"/>
      <c r="I812" s="414"/>
      <c r="J812" s="414"/>
      <c r="K812" s="414"/>
      <c r="L812" s="415" t="s">
        <v>5536</v>
      </c>
      <c r="M812" s="416" t="s">
        <v>4269</v>
      </c>
      <c r="N812" s="416" t="s">
        <v>2999</v>
      </c>
      <c r="O812" s="417"/>
      <c r="P812" s="416">
        <v>4590007770</v>
      </c>
      <c r="Q812" s="418">
        <v>44861</v>
      </c>
      <c r="R812" s="419">
        <v>5</v>
      </c>
      <c r="S812" s="458">
        <v>23051.14</v>
      </c>
      <c r="T812" s="420" t="s">
        <v>2156</v>
      </c>
      <c r="U812" s="414" t="s">
        <v>3926</v>
      </c>
      <c r="V812" s="414" t="s">
        <v>3927</v>
      </c>
      <c r="W812" s="417" t="s">
        <v>3928</v>
      </c>
      <c r="X812" s="417"/>
      <c r="Y812" s="421" t="s">
        <v>3652</v>
      </c>
      <c r="Z812" s="421" t="s">
        <v>3652</v>
      </c>
      <c r="AA812" s="416"/>
      <c r="AB812" s="414" t="s">
        <v>3664</v>
      </c>
      <c r="AC812" s="426"/>
      <c r="AD812" s="421"/>
      <c r="AE812" s="420"/>
      <c r="AF812" s="421">
        <v>91187</v>
      </c>
      <c r="AG812" s="420" t="s">
        <v>3320</v>
      </c>
      <c r="AH812" s="421" t="s">
        <v>4109</v>
      </c>
      <c r="AI812" s="420" t="s">
        <v>3666</v>
      </c>
      <c r="AJ812" s="413" t="str">
        <f t="shared" si="53"/>
        <v>4590007770_005</v>
      </c>
      <c r="AK812" s="423"/>
      <c r="AL812" s="413"/>
      <c r="AM812" s="221"/>
      <c r="AN812" s="424"/>
      <c r="AO812" s="423"/>
      <c r="AP812" s="413"/>
      <c r="AQ812" s="222"/>
      <c r="AR812" s="424"/>
      <c r="AS812" s="614">
        <f ca="1">表格1_6[[#This Row],[total amount]]/表格1_6[[#This Row],[PO$]]</f>
        <v>0</v>
      </c>
      <c r="AT812" s="223">
        <f ca="1">表格1_6[[#This Row],[invoice amount]]+表格1_6[[#This Row],[invoice amount2]]</f>
        <v>0</v>
      </c>
      <c r="AU812" s="224"/>
      <c r="AV812" s="423"/>
      <c r="AW812" s="423" t="e">
        <f ca="1">VLOOKUP(表格1_6[[#This Row],[TI tool ID2]],工作表1!A:A,1,FALSE)</f>
        <v>#N/A</v>
      </c>
      <c r="AX812" s="425" t="e">
        <f ca="1">VLOOKUP(表格1_6[[#This Row],[PO+ITEM]],工作表1!B:E,2,FALSE)</f>
        <v>#N/A</v>
      </c>
      <c r="AY812" s="425" t="e">
        <f ca="1">VLOOKUP(表格1_6[[#This Row],[PO+ITEM]],工作表1!B:E,3,FALSE)</f>
        <v>#N/A</v>
      </c>
      <c r="AZ812" s="423" t="e">
        <f ca="1">VLOOKUP(表格1_6[[#This Row],[PO+ITEM]],工作表1!B:E,4,FALSE)</f>
        <v>#N/A</v>
      </c>
      <c r="BA812" s="425" t="e">
        <f ca="1">INDEX(工作表1!G:G, MATCH(表格1_6[[#This Row],[invoice number]]&amp;表格1_6[[#This Row],[invoice number2]],工作表1!G:G, 0))</f>
        <v>#N/A</v>
      </c>
      <c r="BB812" s="423" t="e">
        <f ca="1">VLOOKUP(表格1_6[[#This Row],[PO+ITEM]],工作表1!F:H,2,FALSE)</f>
        <v>#N/A</v>
      </c>
    </row>
    <row r="813" spans="1:54" ht="14.45">
      <c r="A813" s="413">
        <v>812</v>
      </c>
      <c r="B813" s="413" t="s">
        <v>3659</v>
      </c>
      <c r="C813" s="414" t="s">
        <v>16</v>
      </c>
      <c r="D813" s="414" t="s">
        <v>3648</v>
      </c>
      <c r="E813" s="414"/>
      <c r="F813" s="414"/>
      <c r="G813" s="414"/>
      <c r="H813" s="414"/>
      <c r="I813" s="414"/>
      <c r="J813" s="414"/>
      <c r="K813" s="414"/>
      <c r="L813" s="415" t="s">
        <v>5537</v>
      </c>
      <c r="M813" s="416" t="s">
        <v>4269</v>
      </c>
      <c r="N813" s="416" t="s">
        <v>2999</v>
      </c>
      <c r="O813" s="417"/>
      <c r="P813" s="416">
        <v>4590007770</v>
      </c>
      <c r="Q813" s="418">
        <v>44861</v>
      </c>
      <c r="R813" s="419">
        <v>6</v>
      </c>
      <c r="S813" s="458">
        <v>12958.44</v>
      </c>
      <c r="T813" s="420" t="s">
        <v>2156</v>
      </c>
      <c r="U813" s="414" t="s">
        <v>3926</v>
      </c>
      <c r="V813" s="414" t="s">
        <v>3927</v>
      </c>
      <c r="W813" s="417" t="s">
        <v>3928</v>
      </c>
      <c r="X813" s="417"/>
      <c r="Y813" s="421" t="s">
        <v>3652</v>
      </c>
      <c r="Z813" s="421" t="s">
        <v>3652</v>
      </c>
      <c r="AA813" s="416"/>
      <c r="AB813" s="414" t="s">
        <v>3664</v>
      </c>
      <c r="AC813" s="426"/>
      <c r="AD813" s="421"/>
      <c r="AE813" s="420"/>
      <c r="AF813" s="421">
        <v>91255</v>
      </c>
      <c r="AG813" s="420" t="s">
        <v>3339</v>
      </c>
      <c r="AH813" s="421" t="s">
        <v>4109</v>
      </c>
      <c r="AI813" s="420" t="s">
        <v>3666</v>
      </c>
      <c r="AJ813" s="413" t="str">
        <f t="shared" si="53"/>
        <v>4590007770_006</v>
      </c>
      <c r="AK813" s="423"/>
      <c r="AL813" s="413"/>
      <c r="AM813" s="221"/>
      <c r="AN813" s="424"/>
      <c r="AO813" s="423"/>
      <c r="AP813" s="413"/>
      <c r="AQ813" s="222"/>
      <c r="AR813" s="424"/>
      <c r="AS813" s="614">
        <f ca="1">表格1_6[[#This Row],[total amount]]/表格1_6[[#This Row],[PO$]]</f>
        <v>0</v>
      </c>
      <c r="AT813" s="223">
        <f ca="1">表格1_6[[#This Row],[invoice amount]]+表格1_6[[#This Row],[invoice amount2]]</f>
        <v>0</v>
      </c>
      <c r="AU813" s="224"/>
      <c r="AV813" s="423"/>
      <c r="AW813" s="423" t="e">
        <f ca="1">VLOOKUP(表格1_6[[#This Row],[TI tool ID2]],工作表1!A:A,1,FALSE)</f>
        <v>#N/A</v>
      </c>
      <c r="AX813" s="425" t="e">
        <f ca="1">VLOOKUP(表格1_6[[#This Row],[PO+ITEM]],工作表1!B:E,2,FALSE)</f>
        <v>#N/A</v>
      </c>
      <c r="AY813" s="425" t="e">
        <f ca="1">VLOOKUP(表格1_6[[#This Row],[PO+ITEM]],工作表1!B:E,3,FALSE)</f>
        <v>#N/A</v>
      </c>
      <c r="AZ813" s="423" t="e">
        <f ca="1">VLOOKUP(表格1_6[[#This Row],[PO+ITEM]],工作表1!B:E,4,FALSE)</f>
        <v>#N/A</v>
      </c>
      <c r="BA813" s="425" t="e">
        <f ca="1">INDEX(工作表1!G:G, MATCH(表格1_6[[#This Row],[invoice number]]&amp;表格1_6[[#This Row],[invoice number2]],工作表1!G:G, 0))</f>
        <v>#N/A</v>
      </c>
      <c r="BB813" s="423" t="e">
        <f ca="1">VLOOKUP(表格1_6[[#This Row],[PO+ITEM]],工作表1!F:H,2,FALSE)</f>
        <v>#N/A</v>
      </c>
    </row>
    <row r="814" spans="1:54" ht="14.45">
      <c r="A814" s="413">
        <v>813</v>
      </c>
      <c r="B814" s="413" t="s">
        <v>3659</v>
      </c>
      <c r="C814" s="414" t="s">
        <v>16</v>
      </c>
      <c r="D814" s="414" t="s">
        <v>3648</v>
      </c>
      <c r="E814" s="414"/>
      <c r="F814" s="414"/>
      <c r="G814" s="414"/>
      <c r="H814" s="414"/>
      <c r="I814" s="414"/>
      <c r="J814" s="414"/>
      <c r="K814" s="414"/>
      <c r="L814" s="415" t="s">
        <v>5538</v>
      </c>
      <c r="M814" s="416" t="s">
        <v>4269</v>
      </c>
      <c r="N814" s="416" t="s">
        <v>2999</v>
      </c>
      <c r="O814" s="417"/>
      <c r="P814" s="416">
        <v>4590007770</v>
      </c>
      <c r="Q814" s="418">
        <v>44861</v>
      </c>
      <c r="R814" s="419">
        <v>7</v>
      </c>
      <c r="S814" s="458">
        <v>12958.44</v>
      </c>
      <c r="T814" s="420" t="s">
        <v>2156</v>
      </c>
      <c r="U814" s="414" t="s">
        <v>3926</v>
      </c>
      <c r="V814" s="414" t="s">
        <v>3927</v>
      </c>
      <c r="W814" s="417" t="s">
        <v>3928</v>
      </c>
      <c r="X814" s="417"/>
      <c r="Y814" s="421" t="s">
        <v>3652</v>
      </c>
      <c r="Z814" s="421" t="s">
        <v>3652</v>
      </c>
      <c r="AA814" s="416"/>
      <c r="AB814" s="414" t="s">
        <v>3664</v>
      </c>
      <c r="AC814" s="426"/>
      <c r="AD814" s="421"/>
      <c r="AE814" s="420"/>
      <c r="AF814" s="421">
        <v>91185</v>
      </c>
      <c r="AG814" s="420" t="s">
        <v>3335</v>
      </c>
      <c r="AH814" s="421" t="s">
        <v>4109</v>
      </c>
      <c r="AI814" s="420" t="s">
        <v>3666</v>
      </c>
      <c r="AJ814" s="413" t="str">
        <f t="shared" si="53"/>
        <v>4590007770_007</v>
      </c>
      <c r="AK814" s="423"/>
      <c r="AL814" s="413"/>
      <c r="AM814" s="221"/>
      <c r="AN814" s="424"/>
      <c r="AO814" s="423"/>
      <c r="AP814" s="413"/>
      <c r="AQ814" s="222"/>
      <c r="AR814" s="424"/>
      <c r="AS814" s="614">
        <f ca="1">表格1_6[[#This Row],[total amount]]/表格1_6[[#This Row],[PO$]]</f>
        <v>0</v>
      </c>
      <c r="AT814" s="223">
        <f ca="1">表格1_6[[#This Row],[invoice amount]]+表格1_6[[#This Row],[invoice amount2]]</f>
        <v>0</v>
      </c>
      <c r="AU814" s="224"/>
      <c r="AV814" s="423"/>
      <c r="AW814" s="423" t="e">
        <f ca="1">VLOOKUP(表格1_6[[#This Row],[TI tool ID2]],工作表1!A:A,1,FALSE)</f>
        <v>#N/A</v>
      </c>
      <c r="AX814" s="425" t="e">
        <f ca="1">VLOOKUP(表格1_6[[#This Row],[PO+ITEM]],工作表1!B:E,2,FALSE)</f>
        <v>#N/A</v>
      </c>
      <c r="AY814" s="425" t="e">
        <f ca="1">VLOOKUP(表格1_6[[#This Row],[PO+ITEM]],工作表1!B:E,3,FALSE)</f>
        <v>#N/A</v>
      </c>
      <c r="AZ814" s="423" t="e">
        <f ca="1">VLOOKUP(表格1_6[[#This Row],[PO+ITEM]],工作表1!B:E,4,FALSE)</f>
        <v>#N/A</v>
      </c>
      <c r="BA814" s="425" t="e">
        <f ca="1">INDEX(工作表1!G:G, MATCH(表格1_6[[#This Row],[invoice number]]&amp;表格1_6[[#This Row],[invoice number2]],工作表1!G:G, 0))</f>
        <v>#N/A</v>
      </c>
      <c r="BB814" s="423" t="e">
        <f ca="1">VLOOKUP(表格1_6[[#This Row],[PO+ITEM]],工作表1!F:H,2,FALSE)</f>
        <v>#N/A</v>
      </c>
    </row>
    <row r="815" spans="1:54">
      <c r="A815" s="413">
        <v>814</v>
      </c>
      <c r="B815" s="413" t="s">
        <v>3674</v>
      </c>
      <c r="C815" s="414" t="s">
        <v>16</v>
      </c>
      <c r="D815" s="414" t="s">
        <v>3648</v>
      </c>
      <c r="E815" s="414"/>
      <c r="F815" s="414"/>
      <c r="G815" s="414"/>
      <c r="H815" s="414"/>
      <c r="I815" s="414"/>
      <c r="J815" s="414"/>
      <c r="K815" s="414"/>
      <c r="L815" s="415" t="s">
        <v>5539</v>
      </c>
      <c r="M815" s="416" t="s">
        <v>4269</v>
      </c>
      <c r="N815" s="416" t="s">
        <v>2999</v>
      </c>
      <c r="O815" s="417"/>
      <c r="P815" s="416">
        <v>4590007771</v>
      </c>
      <c r="Q815" s="418">
        <v>44861</v>
      </c>
      <c r="R815" s="419">
        <v>1</v>
      </c>
      <c r="S815" s="458">
        <v>40926</v>
      </c>
      <c r="T815" s="420" t="s">
        <v>2156</v>
      </c>
      <c r="U815" s="414" t="s">
        <v>3926</v>
      </c>
      <c r="V815" s="414" t="s">
        <v>3927</v>
      </c>
      <c r="W815" s="417" t="s">
        <v>3928</v>
      </c>
      <c r="X815" s="417"/>
      <c r="Y815" s="421" t="s">
        <v>3652</v>
      </c>
      <c r="Z815" s="421" t="s">
        <v>3652</v>
      </c>
      <c r="AA815" s="416" t="s">
        <v>4276</v>
      </c>
      <c r="AB815" s="414" t="s">
        <v>3664</v>
      </c>
      <c r="AC815" s="426"/>
      <c r="AD815" s="421"/>
      <c r="AE815" s="420"/>
      <c r="AF815" s="421">
        <v>90053</v>
      </c>
      <c r="AG815" s="420" t="s">
        <v>2806</v>
      </c>
      <c r="AH815" s="421" t="s">
        <v>4109</v>
      </c>
      <c r="AI815" s="420" t="s">
        <v>32</v>
      </c>
      <c r="AJ815" s="413" t="str">
        <f t="shared" si="53"/>
        <v>4590007771_001</v>
      </c>
      <c r="AK815" s="423"/>
      <c r="AL815" s="413"/>
      <c r="AM815" s="221"/>
      <c r="AN815" s="424"/>
      <c r="AO815" s="423"/>
      <c r="AP815" s="413"/>
      <c r="AQ815" s="222"/>
      <c r="AR815" s="424"/>
      <c r="AS815" s="614">
        <f ca="1">表格1_6[[#This Row],[total amount]]/表格1_6[[#This Row],[PO$]]</f>
        <v>0</v>
      </c>
      <c r="AT815" s="223">
        <f ca="1">表格1_6[[#This Row],[invoice amount]]+表格1_6[[#This Row],[invoice amount2]]</f>
        <v>0</v>
      </c>
      <c r="AU815" s="224"/>
      <c r="AV815" s="423"/>
      <c r="AW815" s="423" t="e">
        <f ca="1">VLOOKUP(表格1_6[[#This Row],[TI tool ID2]],工作表1!A:A,1,FALSE)</f>
        <v>#N/A</v>
      </c>
      <c r="AX815" s="425" t="e">
        <f ca="1">VLOOKUP(表格1_6[[#This Row],[PO+ITEM]],工作表1!B:E,2,FALSE)</f>
        <v>#N/A</v>
      </c>
      <c r="AY815" s="425" t="e">
        <f ca="1">VLOOKUP(表格1_6[[#This Row],[PO+ITEM]],工作表1!B:E,3,FALSE)</f>
        <v>#N/A</v>
      </c>
      <c r="AZ815" s="423" t="e">
        <f ca="1">VLOOKUP(表格1_6[[#This Row],[PO+ITEM]],工作表1!B:E,4,FALSE)</f>
        <v>#N/A</v>
      </c>
      <c r="BA815" s="425" t="e">
        <f ca="1">INDEX(工作表1!G:G, MATCH(表格1_6[[#This Row],[invoice number]]&amp;表格1_6[[#This Row],[invoice number2]],工作表1!G:G, 0))</f>
        <v>#N/A</v>
      </c>
      <c r="BB815" s="423" t="e">
        <f ca="1">VLOOKUP(表格1_6[[#This Row],[PO+ITEM]],工作表1!F:H,2,FALSE)</f>
        <v>#N/A</v>
      </c>
    </row>
    <row r="816" spans="1:54" ht="15.6">
      <c r="A816" s="413">
        <v>815</v>
      </c>
      <c r="B816" s="413" t="s">
        <v>3674</v>
      </c>
      <c r="C816" s="414" t="s">
        <v>16</v>
      </c>
      <c r="D816" s="414" t="s">
        <v>3648</v>
      </c>
      <c r="E816" s="414"/>
      <c r="F816" s="414"/>
      <c r="G816" s="414"/>
      <c r="H816" s="414"/>
      <c r="I816" s="414"/>
      <c r="J816" s="414"/>
      <c r="K816" s="414"/>
      <c r="L816" s="420" t="s">
        <v>5540</v>
      </c>
      <c r="M816" s="416" t="s">
        <v>2206</v>
      </c>
      <c r="N816" s="416" t="s">
        <v>2999</v>
      </c>
      <c r="O816" s="417"/>
      <c r="P816" s="416">
        <v>4590007771</v>
      </c>
      <c r="Q816" s="418">
        <v>44861</v>
      </c>
      <c r="R816" s="419">
        <v>2</v>
      </c>
      <c r="S816" s="458">
        <v>70376.320000000007</v>
      </c>
      <c r="T816" s="420" t="s">
        <v>2156</v>
      </c>
      <c r="U816" s="414" t="s">
        <v>3926</v>
      </c>
      <c r="V816" s="414" t="s">
        <v>3927</v>
      </c>
      <c r="W816" s="417" t="s">
        <v>3928</v>
      </c>
      <c r="X816" s="417"/>
      <c r="Y816" s="421" t="s">
        <v>3652</v>
      </c>
      <c r="Z816" s="421" t="s">
        <v>3652</v>
      </c>
      <c r="AA816" s="416" t="s">
        <v>4276</v>
      </c>
      <c r="AB816" s="414" t="s">
        <v>3664</v>
      </c>
      <c r="AC816" s="426"/>
      <c r="AD816" s="421"/>
      <c r="AE816" s="420"/>
      <c r="AF816" s="421">
        <v>91341</v>
      </c>
      <c r="AG816" s="420" t="s">
        <v>5541</v>
      </c>
      <c r="AH816" s="421" t="s">
        <v>3932</v>
      </c>
      <c r="AI816" s="420" t="s">
        <v>846</v>
      </c>
      <c r="AJ816" s="413" t="str">
        <f t="shared" si="53"/>
        <v>4590007771_002</v>
      </c>
      <c r="AK816" s="423"/>
      <c r="AL816" s="427">
        <v>45017</v>
      </c>
      <c r="AM816" s="221">
        <v>0</v>
      </c>
      <c r="AN816" s="431" t="s">
        <v>3788</v>
      </c>
      <c r="AO816" s="423"/>
      <c r="AP816" s="413"/>
      <c r="AQ816" s="222"/>
      <c r="AR816" s="424"/>
      <c r="AS816" s="614">
        <f ca="1">表格1_6[[#This Row],[total amount]]/表格1_6[[#This Row],[PO$]]</f>
        <v>0</v>
      </c>
      <c r="AT816" s="223">
        <f ca="1">表格1_6[[#This Row],[invoice amount]]+表格1_6[[#This Row],[invoice amount2]]</f>
        <v>0</v>
      </c>
      <c r="AU816" s="224" t="s">
        <v>3789</v>
      </c>
      <c r="AV816" s="423" t="s">
        <v>4870</v>
      </c>
      <c r="AW816" s="423" t="e">
        <f ca="1">VLOOKUP(表格1_6[[#This Row],[TI tool ID2]],工作表1!A:A,1,FALSE)</f>
        <v>#N/A</v>
      </c>
      <c r="AX816" s="425" t="e">
        <f ca="1">VLOOKUP(表格1_6[[#This Row],[PO+ITEM]],工作表1!B:E,2,FALSE)</f>
        <v>#N/A</v>
      </c>
      <c r="AY816" s="425" t="e">
        <f ca="1">VLOOKUP(表格1_6[[#This Row],[PO+ITEM]],工作表1!B:E,3,FALSE)</f>
        <v>#N/A</v>
      </c>
      <c r="AZ816" s="423" t="e">
        <f ca="1">VLOOKUP(表格1_6[[#This Row],[PO+ITEM]],工作表1!B:E,4,FALSE)</f>
        <v>#N/A</v>
      </c>
      <c r="BA816" s="425" t="e">
        <f ca="1">INDEX(工作表1!G:G, MATCH(表格1_6[[#This Row],[invoice number]]&amp;表格1_6[[#This Row],[invoice number2]],工作表1!G:G, 0))</f>
        <v>#N/A</v>
      </c>
      <c r="BB816" s="423" t="e">
        <f ca="1">VLOOKUP(表格1_6[[#This Row],[PO+ITEM]],工作表1!F:H,2,FALSE)</f>
        <v>#N/A</v>
      </c>
    </row>
    <row r="817" spans="1:54" ht="14.45">
      <c r="A817" s="413">
        <v>816</v>
      </c>
      <c r="B817" s="413" t="s">
        <v>3659</v>
      </c>
      <c r="C817" s="414" t="s">
        <v>16</v>
      </c>
      <c r="D817" s="414" t="s">
        <v>3648</v>
      </c>
      <c r="E817" s="414"/>
      <c r="F817" s="414"/>
      <c r="G817" s="414"/>
      <c r="H817" s="414"/>
      <c r="I817" s="414"/>
      <c r="J817" s="414"/>
      <c r="K817" s="414"/>
      <c r="L817" s="415" t="s">
        <v>5542</v>
      </c>
      <c r="M817" s="416" t="s">
        <v>4269</v>
      </c>
      <c r="N817" s="416" t="s">
        <v>2999</v>
      </c>
      <c r="O817" s="417"/>
      <c r="P817" s="416">
        <v>4590007771</v>
      </c>
      <c r="Q817" s="418">
        <v>44861</v>
      </c>
      <c r="R817" s="419">
        <v>3</v>
      </c>
      <c r="S817" s="458">
        <v>16767.03</v>
      </c>
      <c r="T817" s="420" t="s">
        <v>2156</v>
      </c>
      <c r="U817" s="414" t="s">
        <v>3926</v>
      </c>
      <c r="V817" s="414" t="s">
        <v>3927</v>
      </c>
      <c r="W817" s="417" t="s">
        <v>3928</v>
      </c>
      <c r="X817" s="417"/>
      <c r="Y817" s="421" t="s">
        <v>3652</v>
      </c>
      <c r="Z817" s="421" t="s">
        <v>3652</v>
      </c>
      <c r="AA817" s="416" t="s">
        <v>4270</v>
      </c>
      <c r="AB817" s="414" t="s">
        <v>3664</v>
      </c>
      <c r="AC817" s="426"/>
      <c r="AD817" s="421"/>
      <c r="AE817" s="420"/>
      <c r="AF817" s="421">
        <v>91414</v>
      </c>
      <c r="AG817" s="420" t="s">
        <v>3324</v>
      </c>
      <c r="AH817" s="421" t="s">
        <v>4109</v>
      </c>
      <c r="AI817" s="420" t="s">
        <v>3666</v>
      </c>
      <c r="AJ817" s="413" t="str">
        <f t="shared" si="53"/>
        <v>4590007771_003</v>
      </c>
      <c r="AK817" s="423"/>
      <c r="AL817" s="413"/>
      <c r="AM817" s="221"/>
      <c r="AN817" s="424"/>
      <c r="AO817" s="423"/>
      <c r="AP817" s="413"/>
      <c r="AQ817" s="222"/>
      <c r="AR817" s="424"/>
      <c r="AS817" s="614">
        <f ca="1">表格1_6[[#This Row],[total amount]]/表格1_6[[#This Row],[PO$]]</f>
        <v>0</v>
      </c>
      <c r="AT817" s="223">
        <f ca="1">表格1_6[[#This Row],[invoice amount]]+表格1_6[[#This Row],[invoice amount2]]</f>
        <v>0</v>
      </c>
      <c r="AU817" s="224"/>
      <c r="AV817" s="423"/>
      <c r="AW817" s="423" t="e">
        <f ca="1">VLOOKUP(表格1_6[[#This Row],[TI tool ID2]],工作表1!A:A,1,FALSE)</f>
        <v>#N/A</v>
      </c>
      <c r="AX817" s="425" t="e">
        <f ca="1">VLOOKUP(表格1_6[[#This Row],[PO+ITEM]],工作表1!B:E,2,FALSE)</f>
        <v>#N/A</v>
      </c>
      <c r="AY817" s="425" t="e">
        <f ca="1">VLOOKUP(表格1_6[[#This Row],[PO+ITEM]],工作表1!B:E,3,FALSE)</f>
        <v>#N/A</v>
      </c>
      <c r="AZ817" s="423" t="e">
        <f ca="1">VLOOKUP(表格1_6[[#This Row],[PO+ITEM]],工作表1!B:E,4,FALSE)</f>
        <v>#N/A</v>
      </c>
      <c r="BA817" s="425" t="e">
        <f ca="1">INDEX(工作表1!G:G, MATCH(表格1_6[[#This Row],[invoice number]]&amp;表格1_6[[#This Row],[invoice number2]],工作表1!G:G, 0))</f>
        <v>#N/A</v>
      </c>
      <c r="BB817" s="423" t="e">
        <f ca="1">VLOOKUP(表格1_6[[#This Row],[PO+ITEM]],工作表1!F:H,2,FALSE)</f>
        <v>#N/A</v>
      </c>
    </row>
    <row r="818" spans="1:54">
      <c r="A818" s="413">
        <v>817</v>
      </c>
      <c r="B818" s="413" t="s">
        <v>3674</v>
      </c>
      <c r="C818" s="414" t="s">
        <v>16</v>
      </c>
      <c r="D818" s="414" t="s">
        <v>3648</v>
      </c>
      <c r="E818" s="414"/>
      <c r="F818" s="414"/>
      <c r="G818" s="414"/>
      <c r="H818" s="414"/>
      <c r="I818" s="414"/>
      <c r="J818" s="414"/>
      <c r="K818" s="414"/>
      <c r="L818" s="415" t="s">
        <v>5543</v>
      </c>
      <c r="M818" s="416" t="s">
        <v>4269</v>
      </c>
      <c r="N818" s="416" t="s">
        <v>2999</v>
      </c>
      <c r="O818" s="417"/>
      <c r="P818" s="416">
        <v>4590007772</v>
      </c>
      <c r="Q818" s="418">
        <v>44861</v>
      </c>
      <c r="R818" s="419" t="s">
        <v>5544</v>
      </c>
      <c r="S818" s="349">
        <f>46102.28/2</f>
        <v>23051.14</v>
      </c>
      <c r="T818" s="420" t="s">
        <v>2156</v>
      </c>
      <c r="U818" s="414" t="s">
        <v>3926</v>
      </c>
      <c r="V818" s="414" t="s">
        <v>3927</v>
      </c>
      <c r="W818" s="417" t="s">
        <v>3928</v>
      </c>
      <c r="X818" s="417"/>
      <c r="Y818" s="421" t="s">
        <v>3652</v>
      </c>
      <c r="Z818" s="421" t="s">
        <v>3652</v>
      </c>
      <c r="AA818" s="416"/>
      <c r="AB818" s="414" t="s">
        <v>3664</v>
      </c>
      <c r="AC818" s="426"/>
      <c r="AD818" s="421"/>
      <c r="AE818" s="420"/>
      <c r="AF818" s="421"/>
      <c r="AG818" s="420" t="s">
        <v>3164</v>
      </c>
      <c r="AH818" s="421" t="s">
        <v>4109</v>
      </c>
      <c r="AI818" s="420" t="s">
        <v>3666</v>
      </c>
      <c r="AJ818" s="413" t="str">
        <f t="shared" si="53"/>
        <v>4590007772_001-1</v>
      </c>
      <c r="AK818" s="420" t="s">
        <v>5545</v>
      </c>
      <c r="AL818" s="424">
        <v>45471</v>
      </c>
      <c r="AM818" s="221">
        <v>23051.14</v>
      </c>
      <c r="AN818" s="424" t="s">
        <v>3805</v>
      </c>
      <c r="AO818" s="423"/>
      <c r="AP818" s="413"/>
      <c r="AQ818" s="222"/>
      <c r="AR818" s="424"/>
      <c r="AS818" s="614">
        <f ca="1">表格1_6[[#This Row],[total amount]]/表格1_6[[#This Row],[PO$]]</f>
        <v>1</v>
      </c>
      <c r="AT818" s="223">
        <f ca="1">表格1_6[[#This Row],[invoice amount]]+表格1_6[[#This Row],[invoice amount2]]</f>
        <v>23051.14</v>
      </c>
      <c r="AU818" s="224" t="s">
        <v>3752</v>
      </c>
      <c r="AV818" s="277" t="s">
        <v>5546</v>
      </c>
      <c r="AW818" s="423" t="e">
        <f ca="1">VLOOKUP(表格1_6[[#This Row],[TI tool ID2]],工作表1!A:A,1,FALSE)</f>
        <v>#N/A</v>
      </c>
      <c r="AX818" s="425" t="e">
        <f ca="1">VLOOKUP(表格1_6[[#This Row],[PO+ITEM]],工作表1!B:E,2,FALSE)</f>
        <v>#N/A</v>
      </c>
      <c r="AY818" s="425" t="e">
        <f ca="1">VLOOKUP(表格1_6[[#This Row],[PO+ITEM]],工作表1!B:E,3,FALSE)</f>
        <v>#N/A</v>
      </c>
      <c r="AZ818" s="423" t="e">
        <f ca="1">VLOOKUP(表格1_6[[#This Row],[PO+ITEM]],工作表1!B:E,4,FALSE)</f>
        <v>#N/A</v>
      </c>
      <c r="BA818" s="425" t="e">
        <f ca="1">INDEX(工作表1!G:G, MATCH(表格1_6[[#This Row],[invoice number]]&amp;表格1_6[[#This Row],[invoice number2]],工作表1!G:G, 0))</f>
        <v>#N/A</v>
      </c>
      <c r="BB818" s="423" t="e">
        <f ca="1">VLOOKUP(表格1_6[[#This Row],[PO+ITEM]],工作表1!F:H,2,FALSE)</f>
        <v>#N/A</v>
      </c>
    </row>
    <row r="819" spans="1:54">
      <c r="A819" s="413">
        <v>818</v>
      </c>
      <c r="B819" s="413" t="s">
        <v>3674</v>
      </c>
      <c r="C819" s="414" t="s">
        <v>16</v>
      </c>
      <c r="D819" s="414" t="s">
        <v>3648</v>
      </c>
      <c r="E819" s="414"/>
      <c r="F819" s="414"/>
      <c r="G819" s="209"/>
      <c r="H819" s="209"/>
      <c r="I819" s="209"/>
      <c r="J819" s="209"/>
      <c r="K819" s="209"/>
      <c r="L819" s="415" t="s">
        <v>5543</v>
      </c>
      <c r="M819" s="212"/>
      <c r="N819" s="212"/>
      <c r="O819" s="218"/>
      <c r="P819" s="416">
        <v>4590007772</v>
      </c>
      <c r="Q819" s="214"/>
      <c r="R819" s="334" t="s">
        <v>5547</v>
      </c>
      <c r="S819" s="349">
        <f>46102.28/2</f>
        <v>23051.14</v>
      </c>
      <c r="T819" s="217"/>
      <c r="U819" s="414" t="e">
        <v>#N/A</v>
      </c>
      <c r="V819" s="414" t="s">
        <v>3927</v>
      </c>
      <c r="W819" s="213"/>
      <c r="X819" s="213"/>
      <c r="Y819" s="218"/>
      <c r="Z819" s="218"/>
      <c r="AA819" s="212"/>
      <c r="AB819" s="209"/>
      <c r="AC819" s="218"/>
      <c r="AD819" s="218"/>
      <c r="AE819" s="218"/>
      <c r="AF819" s="218"/>
      <c r="AG819" s="217" t="s">
        <v>3492</v>
      </c>
      <c r="AH819" s="421" t="s">
        <v>4109</v>
      </c>
      <c r="AI819" s="420" t="s">
        <v>3666</v>
      </c>
      <c r="AJ819" s="413" t="str">
        <f t="shared" si="53"/>
        <v>4590007772_001-2</v>
      </c>
      <c r="AK819" s="420" t="s">
        <v>5545</v>
      </c>
      <c r="AL819" s="424">
        <v>45471</v>
      </c>
      <c r="AM819" s="221">
        <v>23051.14</v>
      </c>
      <c r="AN819" s="424" t="s">
        <v>3805</v>
      </c>
      <c r="AO819" s="208"/>
      <c r="AP819" s="220"/>
      <c r="AQ819" s="222"/>
      <c r="AR819" s="227"/>
      <c r="AS819" s="614">
        <f ca="1">表格1_6[[#This Row],[total amount]]/表格1_6[[#This Row],[PO$]]</f>
        <v>1</v>
      </c>
      <c r="AT819" s="223">
        <f ca="1">表格1_6[[#This Row],[invoice amount]]+表格1_6[[#This Row],[invoice amount2]]</f>
        <v>23051.14</v>
      </c>
      <c r="AU819" s="224" t="s">
        <v>3752</v>
      </c>
      <c r="AV819" s="208" t="s">
        <v>5548</v>
      </c>
      <c r="AW819" s="208" t="e">
        <f ca="1">VLOOKUP(表格1_6[[#This Row],[TI tool ID2]],工作表1!A:A,1,FALSE)</f>
        <v>#N/A</v>
      </c>
      <c r="AX819" s="341" t="e">
        <f ca="1">VLOOKUP(表格1_6[[#This Row],[PO+ITEM]],工作表1!B:E,2,FALSE)</f>
        <v>#N/A</v>
      </c>
      <c r="AY819" s="341" t="e">
        <f ca="1">VLOOKUP(表格1_6[[#This Row],[PO+ITEM]],工作表1!B:E,3,FALSE)</f>
        <v>#N/A</v>
      </c>
      <c r="AZ819" s="208" t="e">
        <f ca="1">VLOOKUP(表格1_6[[#This Row],[PO+ITEM]],工作表1!B:E,4,FALSE)</f>
        <v>#N/A</v>
      </c>
      <c r="BA819" s="425" t="e">
        <f ca="1">INDEX(工作表1!G:G, MATCH(表格1_6[[#This Row],[invoice number]]&amp;表格1_6[[#This Row],[invoice number2]],工作表1!G:G, 0))</f>
        <v>#N/A</v>
      </c>
      <c r="BB819" s="208" t="e">
        <f ca="1">VLOOKUP(表格1_6[[#This Row],[PO+ITEM]],工作表1!F:H,2,FALSE)</f>
        <v>#N/A</v>
      </c>
    </row>
    <row r="820" spans="1:54" ht="14.45">
      <c r="A820" s="413">
        <v>819</v>
      </c>
      <c r="B820" s="413" t="s">
        <v>3674</v>
      </c>
      <c r="C820" s="414" t="s">
        <v>16</v>
      </c>
      <c r="D820" s="414" t="s">
        <v>3648</v>
      </c>
      <c r="E820" s="414"/>
      <c r="F820" s="414"/>
      <c r="G820" s="414"/>
      <c r="H820" s="414"/>
      <c r="I820" s="414"/>
      <c r="J820" s="414"/>
      <c r="K820" s="414"/>
      <c r="L820" s="415" t="s">
        <v>5549</v>
      </c>
      <c r="M820" s="416" t="s">
        <v>4269</v>
      </c>
      <c r="N820" s="416" t="s">
        <v>2999</v>
      </c>
      <c r="O820" s="417"/>
      <c r="P820" s="416">
        <v>4590007772</v>
      </c>
      <c r="Q820" s="418">
        <v>44861</v>
      </c>
      <c r="R820" s="419" t="s">
        <v>5550</v>
      </c>
      <c r="S820" s="349">
        <f>33534.04/2</f>
        <v>16767.02</v>
      </c>
      <c r="T820" s="420" t="s">
        <v>2156</v>
      </c>
      <c r="U820" s="414" t="s">
        <v>3926</v>
      </c>
      <c r="V820" s="414" t="s">
        <v>3927</v>
      </c>
      <c r="W820" s="417" t="s">
        <v>3928</v>
      </c>
      <c r="X820" s="417"/>
      <c r="Y820" s="421" t="s">
        <v>3652</v>
      </c>
      <c r="Z820" s="421" t="s">
        <v>3652</v>
      </c>
      <c r="AA820" s="416"/>
      <c r="AB820" s="414" t="s">
        <v>3664</v>
      </c>
      <c r="AC820" s="426"/>
      <c r="AD820" s="421"/>
      <c r="AE820" s="420"/>
      <c r="AF820" s="421"/>
      <c r="AG820" s="420" t="s">
        <v>3167</v>
      </c>
      <c r="AH820" s="421" t="s">
        <v>4109</v>
      </c>
      <c r="AI820" s="420" t="s">
        <v>3666</v>
      </c>
      <c r="AJ820" s="413" t="str">
        <f t="shared" si="53"/>
        <v>4590007772_002-1</v>
      </c>
      <c r="AK820" s="420" t="s">
        <v>5551</v>
      </c>
      <c r="AL820" s="424">
        <v>45471</v>
      </c>
      <c r="AM820" s="221">
        <v>16767.02</v>
      </c>
      <c r="AN820" s="424" t="s">
        <v>3805</v>
      </c>
      <c r="AO820" s="423"/>
      <c r="AP820" s="413"/>
      <c r="AQ820" s="222"/>
      <c r="AR820" s="424"/>
      <c r="AS820" s="614">
        <f ca="1">表格1_6[[#This Row],[total amount]]/表格1_6[[#This Row],[PO$]]</f>
        <v>1</v>
      </c>
      <c r="AT820" s="223">
        <f ca="1">表格1_6[[#This Row],[invoice amount]]+表格1_6[[#This Row],[invoice amount2]]</f>
        <v>16767.02</v>
      </c>
      <c r="AU820" s="224" t="s">
        <v>3752</v>
      </c>
      <c r="AV820" s="423"/>
      <c r="AW820" s="423" t="e">
        <f ca="1">VLOOKUP(表格1_6[[#This Row],[TI tool ID2]],工作表1!A:A,1,FALSE)</f>
        <v>#N/A</v>
      </c>
      <c r="AX820" s="425" t="e">
        <f ca="1">VLOOKUP(表格1_6[[#This Row],[PO+ITEM]],工作表1!B:E,2,FALSE)</f>
        <v>#N/A</v>
      </c>
      <c r="AY820" s="425" t="e">
        <f ca="1">VLOOKUP(表格1_6[[#This Row],[PO+ITEM]],工作表1!B:E,3,FALSE)</f>
        <v>#N/A</v>
      </c>
      <c r="AZ820" s="423" t="e">
        <f ca="1">VLOOKUP(表格1_6[[#This Row],[PO+ITEM]],工作表1!B:E,4,FALSE)</f>
        <v>#N/A</v>
      </c>
      <c r="BA820" s="425" t="e">
        <f ca="1">INDEX(工作表1!G:G, MATCH(表格1_6[[#This Row],[invoice number]]&amp;表格1_6[[#This Row],[invoice number2]],工作表1!G:G, 0))</f>
        <v>#N/A</v>
      </c>
      <c r="BB820" s="423" t="e">
        <f ca="1">VLOOKUP(表格1_6[[#This Row],[PO+ITEM]],工作表1!F:H,2,FALSE)</f>
        <v>#N/A</v>
      </c>
    </row>
    <row r="821" spans="1:54" ht="14.45">
      <c r="A821" s="413">
        <v>820</v>
      </c>
      <c r="B821" s="413" t="s">
        <v>3674</v>
      </c>
      <c r="C821" s="414" t="s">
        <v>16</v>
      </c>
      <c r="D821" s="414" t="s">
        <v>3648</v>
      </c>
      <c r="E821" s="414"/>
      <c r="F821" s="414"/>
      <c r="G821" s="414"/>
      <c r="H821" s="414"/>
      <c r="I821" s="414"/>
      <c r="J821" s="414"/>
      <c r="K821" s="414"/>
      <c r="L821" s="415" t="s">
        <v>5549</v>
      </c>
      <c r="M821" s="416"/>
      <c r="N821" s="416"/>
      <c r="O821" s="421"/>
      <c r="P821" s="416">
        <v>4590007772</v>
      </c>
      <c r="Q821" s="418">
        <v>44861</v>
      </c>
      <c r="R821" s="419" t="s">
        <v>5552</v>
      </c>
      <c r="S821" s="458">
        <f>33534.04/2</f>
        <v>16767.02</v>
      </c>
      <c r="T821" s="420"/>
      <c r="U821" s="414" t="e">
        <v>#N/A</v>
      </c>
      <c r="V821" s="414" t="s">
        <v>3927</v>
      </c>
      <c r="W821" s="417"/>
      <c r="X821" s="417"/>
      <c r="Y821" s="421"/>
      <c r="Z821" s="421"/>
      <c r="AA821" s="416"/>
      <c r="AB821" s="414"/>
      <c r="AC821" s="421"/>
      <c r="AD821" s="421"/>
      <c r="AE821" s="421"/>
      <c r="AF821" s="421"/>
      <c r="AG821" s="420" t="s">
        <v>3322</v>
      </c>
      <c r="AH821" s="421" t="s">
        <v>4109</v>
      </c>
      <c r="AI821" s="420" t="s">
        <v>3666</v>
      </c>
      <c r="AJ821" s="413" t="str">
        <f t="shared" si="53"/>
        <v>4590007772_002-2</v>
      </c>
      <c r="AK821" s="420"/>
      <c r="AL821" s="413"/>
      <c r="AM821" s="221"/>
      <c r="AN821" s="424"/>
      <c r="AO821" s="423"/>
      <c r="AP821" s="413"/>
      <c r="AQ821" s="222"/>
      <c r="AR821" s="424"/>
      <c r="AS821" s="614">
        <f ca="1">表格1_6[[#This Row],[total amount]]/表格1_6[[#This Row],[PO$]]</f>
        <v>0</v>
      </c>
      <c r="AT821" s="223">
        <f ca="1">表格1_6[[#This Row],[invoice amount]]+表格1_6[[#This Row],[invoice amount2]]</f>
        <v>0</v>
      </c>
      <c r="AU821" s="224"/>
      <c r="AV821" s="423"/>
      <c r="AW821" s="423" t="e">
        <f ca="1">VLOOKUP(表格1_6[[#This Row],[TI tool ID2]],工作表1!A:A,1,FALSE)</f>
        <v>#N/A</v>
      </c>
      <c r="AX821" s="425" t="e">
        <f ca="1">VLOOKUP(表格1_6[[#This Row],[PO+ITEM]],工作表1!B:E,2,FALSE)</f>
        <v>#N/A</v>
      </c>
      <c r="AY821" s="425" t="e">
        <f ca="1">VLOOKUP(表格1_6[[#This Row],[PO+ITEM]],工作表1!B:E,3,FALSE)</f>
        <v>#N/A</v>
      </c>
      <c r="AZ821" s="423" t="e">
        <f ca="1">VLOOKUP(表格1_6[[#This Row],[PO+ITEM]],工作表1!B:E,4,FALSE)</f>
        <v>#N/A</v>
      </c>
      <c r="BA821" s="425" t="e">
        <f ca="1">INDEX(工作表1!G:G, MATCH(表格1_6[[#This Row],[invoice number]]&amp;表格1_6[[#This Row],[invoice number2]],工作表1!G:G, 0))</f>
        <v>#N/A</v>
      </c>
      <c r="BB821" s="423" t="e">
        <f ca="1">VLOOKUP(表格1_6[[#This Row],[PO+ITEM]],工作表1!F:H,2,FALSE)</f>
        <v>#N/A</v>
      </c>
    </row>
    <row r="822" spans="1:54" ht="15.6">
      <c r="A822" s="413">
        <v>821</v>
      </c>
      <c r="B822" s="413" t="s">
        <v>3674</v>
      </c>
      <c r="C822" s="414" t="s">
        <v>16</v>
      </c>
      <c r="D822" s="414" t="s">
        <v>3648</v>
      </c>
      <c r="E822" s="414"/>
      <c r="F822" s="414"/>
      <c r="G822" s="414"/>
      <c r="H822" s="414"/>
      <c r="I822" s="414"/>
      <c r="J822" s="414"/>
      <c r="K822" s="414"/>
      <c r="L822" s="415" t="s">
        <v>5553</v>
      </c>
      <c r="M822" s="416" t="s">
        <v>4269</v>
      </c>
      <c r="N822" s="416" t="s">
        <v>2999</v>
      </c>
      <c r="O822" s="417"/>
      <c r="P822" s="416">
        <v>4590007772</v>
      </c>
      <c r="Q822" s="418">
        <v>44861</v>
      </c>
      <c r="R822" s="419">
        <v>3</v>
      </c>
      <c r="S822" s="458">
        <v>7402.77</v>
      </c>
      <c r="T822" s="420" t="s">
        <v>2156</v>
      </c>
      <c r="U822" s="414" t="s">
        <v>3926</v>
      </c>
      <c r="V822" s="414" t="s">
        <v>3927</v>
      </c>
      <c r="W822" s="417" t="s">
        <v>3928</v>
      </c>
      <c r="X822" s="417"/>
      <c r="Y822" s="421" t="s">
        <v>3652</v>
      </c>
      <c r="Z822" s="421" t="s">
        <v>3652</v>
      </c>
      <c r="AA822" s="416" t="s">
        <v>4270</v>
      </c>
      <c r="AB822" s="414" t="s">
        <v>3664</v>
      </c>
      <c r="AC822" s="426"/>
      <c r="AD822" s="421"/>
      <c r="AE822" s="420"/>
      <c r="AF822" s="421"/>
      <c r="AG822" s="420" t="s">
        <v>3500</v>
      </c>
      <c r="AH822" s="421" t="s">
        <v>4109</v>
      </c>
      <c r="AI822" s="420" t="s">
        <v>3666</v>
      </c>
      <c r="AJ822" s="413" t="str">
        <f t="shared" si="53"/>
        <v>4590007772_003</v>
      </c>
      <c r="AK822" s="423" t="s">
        <v>5554</v>
      </c>
      <c r="AL822" s="424">
        <v>45108</v>
      </c>
      <c r="AM822" s="221">
        <v>0</v>
      </c>
      <c r="AN822" s="431" t="s">
        <v>3788</v>
      </c>
      <c r="AO822" s="425" t="s">
        <v>5555</v>
      </c>
      <c r="AP822" s="424">
        <v>45541</v>
      </c>
      <c r="AQ822" s="221">
        <v>7402.77</v>
      </c>
      <c r="AR822" s="424" t="s">
        <v>3805</v>
      </c>
      <c r="AS822" s="614">
        <f ca="1">表格1_6[[#This Row],[total amount]]/表格1_6[[#This Row],[PO$]]</f>
        <v>1</v>
      </c>
      <c r="AT822" s="223">
        <f ca="1">表格1_6[[#This Row],[invoice amount]]+表格1_6[[#This Row],[invoice amount2]]</f>
        <v>7402.77</v>
      </c>
      <c r="AU822" s="224" t="s">
        <v>3701</v>
      </c>
      <c r="AV822" s="423" t="s">
        <v>5529</v>
      </c>
      <c r="AW822" s="423" t="e">
        <f ca="1">VLOOKUP(表格1_6[[#This Row],[TI tool ID2]],工作表1!A:A,1,FALSE)</f>
        <v>#N/A</v>
      </c>
      <c r="AX822" s="425" t="e">
        <f ca="1">VLOOKUP(表格1_6[[#This Row],[PO+ITEM]],工作表1!B:E,2,FALSE)</f>
        <v>#N/A</v>
      </c>
      <c r="AY822" s="425" t="e">
        <f ca="1">VLOOKUP(表格1_6[[#This Row],[PO+ITEM]],工作表1!B:E,3,FALSE)</f>
        <v>#N/A</v>
      </c>
      <c r="AZ822" s="423" t="e">
        <f ca="1">VLOOKUP(表格1_6[[#This Row],[PO+ITEM]],工作表1!B:E,4,FALSE)</f>
        <v>#N/A</v>
      </c>
      <c r="BA822" s="425" t="e">
        <f ca="1">INDEX(工作表1!G:G, MATCH(表格1_6[[#This Row],[invoice number]]&amp;表格1_6[[#This Row],[invoice number2]],工作表1!G:G, 0))</f>
        <v>#N/A</v>
      </c>
      <c r="BB822" s="423" t="e">
        <f ca="1">VLOOKUP(表格1_6[[#This Row],[PO+ITEM]],工作表1!F:H,2,FALSE)</f>
        <v>#N/A</v>
      </c>
    </row>
    <row r="823" spans="1:54" ht="14.45">
      <c r="A823" s="413">
        <v>822</v>
      </c>
      <c r="B823" s="413" t="s">
        <v>3674</v>
      </c>
      <c r="C823" s="414" t="s">
        <v>16</v>
      </c>
      <c r="D823" s="414" t="s">
        <v>3648</v>
      </c>
      <c r="E823" s="414"/>
      <c r="F823" s="414"/>
      <c r="G823" s="414"/>
      <c r="H823" s="414"/>
      <c r="I823" s="414"/>
      <c r="J823" s="414"/>
      <c r="K823" s="414"/>
      <c r="L823" s="415" t="s">
        <v>5556</v>
      </c>
      <c r="M823" s="416" t="s">
        <v>4269</v>
      </c>
      <c r="N823" s="416" t="s">
        <v>2999</v>
      </c>
      <c r="O823" s="417"/>
      <c r="P823" s="416">
        <v>4590007772</v>
      </c>
      <c r="Q823" s="418">
        <v>44861</v>
      </c>
      <c r="R823" s="419" t="s">
        <v>5557</v>
      </c>
      <c r="S823" s="458">
        <f>20751.92/2</f>
        <v>10375.959999999999</v>
      </c>
      <c r="T823" s="420" t="s">
        <v>2156</v>
      </c>
      <c r="U823" s="414" t="s">
        <v>3926</v>
      </c>
      <c r="V823" s="414" t="s">
        <v>3927</v>
      </c>
      <c r="W823" s="417" t="s">
        <v>3928</v>
      </c>
      <c r="X823" s="417"/>
      <c r="Y823" s="421" t="s">
        <v>3652</v>
      </c>
      <c r="Z823" s="421" t="s">
        <v>3652</v>
      </c>
      <c r="AA823" s="416" t="s">
        <v>5558</v>
      </c>
      <c r="AB823" s="414" t="s">
        <v>3664</v>
      </c>
      <c r="AC823" s="426"/>
      <c r="AD823" s="421"/>
      <c r="AE823" s="420"/>
      <c r="AF823" s="421"/>
      <c r="AG823" s="420" t="s">
        <v>3396</v>
      </c>
      <c r="AH823" s="421" t="s">
        <v>4109</v>
      </c>
      <c r="AI823" s="420" t="s">
        <v>3666</v>
      </c>
      <c r="AJ823" s="413" t="str">
        <f t="shared" si="53"/>
        <v>4590007772_004-1</v>
      </c>
      <c r="AK823" s="425" t="s">
        <v>5559</v>
      </c>
      <c r="AL823" s="424">
        <v>45541</v>
      </c>
      <c r="AM823" s="221">
        <v>10375.959999999999</v>
      </c>
      <c r="AN823" s="424" t="s">
        <v>3805</v>
      </c>
      <c r="AO823" s="423"/>
      <c r="AP823" s="413"/>
      <c r="AQ823" s="222"/>
      <c r="AR823" s="424"/>
      <c r="AS823" s="614">
        <f ca="1">表格1_6[[#This Row],[total amount]]/表格1_6[[#This Row],[PO$]]</f>
        <v>1</v>
      </c>
      <c r="AT823" s="223">
        <f ca="1">表格1_6[[#This Row],[invoice amount]]+表格1_6[[#This Row],[invoice amount2]]</f>
        <v>10375.959999999999</v>
      </c>
      <c r="AU823" s="224" t="s">
        <v>3701</v>
      </c>
      <c r="AV823" s="423"/>
      <c r="AW823" s="423" t="e">
        <f ca="1">VLOOKUP(表格1_6[[#This Row],[TI tool ID2]],工作表1!A:A,1,FALSE)</f>
        <v>#N/A</v>
      </c>
      <c r="AX823" s="425" t="e">
        <f ca="1">VLOOKUP(表格1_6[[#This Row],[PO+ITEM]],工作表1!B:E,2,FALSE)</f>
        <v>#N/A</v>
      </c>
      <c r="AY823" s="425" t="e">
        <f ca="1">VLOOKUP(表格1_6[[#This Row],[PO+ITEM]],工作表1!B:E,3,FALSE)</f>
        <v>#N/A</v>
      </c>
      <c r="AZ823" s="423" t="e">
        <f ca="1">VLOOKUP(表格1_6[[#This Row],[PO+ITEM]],工作表1!B:E,4,FALSE)</f>
        <v>#N/A</v>
      </c>
      <c r="BA823" s="425" t="e">
        <f ca="1">INDEX(工作表1!G:G, MATCH(表格1_6[[#This Row],[invoice number]]&amp;表格1_6[[#This Row],[invoice number2]],工作表1!G:G, 0))</f>
        <v>#N/A</v>
      </c>
      <c r="BB823" s="423" t="e">
        <f ca="1">VLOOKUP(表格1_6[[#This Row],[PO+ITEM]],工作表1!F:H,2,FALSE)</f>
        <v>#N/A</v>
      </c>
    </row>
    <row r="824" spans="1:54" ht="14.45">
      <c r="A824" s="413">
        <v>823</v>
      </c>
      <c r="B824" s="413" t="s">
        <v>3674</v>
      </c>
      <c r="C824" s="414" t="s">
        <v>16</v>
      </c>
      <c r="D824" s="414" t="s">
        <v>3648</v>
      </c>
      <c r="E824" s="414"/>
      <c r="F824" s="414"/>
      <c r="G824" s="414"/>
      <c r="H824" s="414"/>
      <c r="I824" s="414"/>
      <c r="J824" s="414"/>
      <c r="K824" s="414"/>
      <c r="L824" s="415" t="s">
        <v>5556</v>
      </c>
      <c r="M824" s="416" t="s">
        <v>4269</v>
      </c>
      <c r="N824" s="416" t="s">
        <v>2999</v>
      </c>
      <c r="O824" s="417"/>
      <c r="P824" s="416">
        <v>4590007772</v>
      </c>
      <c r="Q824" s="418">
        <v>44861</v>
      </c>
      <c r="R824" s="419" t="s">
        <v>5560</v>
      </c>
      <c r="S824" s="544">
        <f>20751.92/2</f>
        <v>10375.959999999999</v>
      </c>
      <c r="T824" s="420" t="s">
        <v>2156</v>
      </c>
      <c r="U824" s="414" t="s">
        <v>3926</v>
      </c>
      <c r="V824" s="414" t="s">
        <v>3927</v>
      </c>
      <c r="W824" s="417" t="s">
        <v>3928</v>
      </c>
      <c r="X824" s="417"/>
      <c r="Y824" s="421" t="s">
        <v>3652</v>
      </c>
      <c r="Z824" s="421" t="s">
        <v>3652</v>
      </c>
      <c r="AA824" s="416" t="s">
        <v>5561</v>
      </c>
      <c r="AB824" s="414" t="s">
        <v>3664</v>
      </c>
      <c r="AC824" s="426"/>
      <c r="AD824" s="421"/>
      <c r="AE824" s="420"/>
      <c r="AF824" s="421"/>
      <c r="AG824" s="420" t="s">
        <v>3399</v>
      </c>
      <c r="AH824" s="421" t="s">
        <v>4109</v>
      </c>
      <c r="AI824" s="420" t="s">
        <v>3666</v>
      </c>
      <c r="AJ824" s="413" t="str">
        <f t="shared" si="53"/>
        <v>4590007772_004-2</v>
      </c>
      <c r="AK824" s="425" t="s">
        <v>5562</v>
      </c>
      <c r="AL824" s="424">
        <v>45520</v>
      </c>
      <c r="AM824" s="221">
        <v>10375.959999999999</v>
      </c>
      <c r="AN824" s="424" t="s">
        <v>3805</v>
      </c>
      <c r="AO824" s="423"/>
      <c r="AP824" s="413"/>
      <c r="AQ824" s="222"/>
      <c r="AR824" s="424"/>
      <c r="AS824" s="614">
        <f ca="1">表格1_6[[#This Row],[total amount]]/表格1_6[[#This Row],[PO$]]</f>
        <v>1</v>
      </c>
      <c r="AT824" s="223">
        <f ca="1">表格1_6[[#This Row],[invoice amount]]+表格1_6[[#This Row],[invoice amount2]]</f>
        <v>10375.959999999999</v>
      </c>
      <c r="AU824" s="224" t="s">
        <v>3701</v>
      </c>
      <c r="AV824" s="423"/>
      <c r="AW824" s="423" t="e">
        <f ca="1">VLOOKUP(表格1_6[[#This Row],[TI tool ID2]],工作表1!A:A,1,FALSE)</f>
        <v>#N/A</v>
      </c>
      <c r="AX824" s="425" t="e">
        <f ca="1">VLOOKUP(表格1_6[[#This Row],[PO+ITEM]],工作表1!B:E,2,FALSE)</f>
        <v>#N/A</v>
      </c>
      <c r="AY824" s="425" t="e">
        <f ca="1">VLOOKUP(表格1_6[[#This Row],[PO+ITEM]],工作表1!B:E,3,FALSE)</f>
        <v>#N/A</v>
      </c>
      <c r="AZ824" s="423" t="e">
        <f ca="1">VLOOKUP(表格1_6[[#This Row],[PO+ITEM]],工作表1!B:E,4,FALSE)</f>
        <v>#N/A</v>
      </c>
      <c r="BA824" s="425" t="e">
        <f ca="1">INDEX(工作表1!G:G, MATCH(表格1_6[[#This Row],[invoice number]]&amp;表格1_6[[#This Row],[invoice number2]],工作表1!G:G, 0))</f>
        <v>#N/A</v>
      </c>
      <c r="BB824" s="423" t="e">
        <f ca="1">VLOOKUP(表格1_6[[#This Row],[PO+ITEM]],工作表1!F:H,2,FALSE)</f>
        <v>#N/A</v>
      </c>
    </row>
    <row r="825" spans="1:54" ht="14.45">
      <c r="A825" s="413">
        <v>824</v>
      </c>
      <c r="B825" s="413" t="s">
        <v>3674</v>
      </c>
      <c r="C825" s="414" t="s">
        <v>16</v>
      </c>
      <c r="D825" s="414" t="s">
        <v>3648</v>
      </c>
      <c r="E825" s="414"/>
      <c r="F825" s="414"/>
      <c r="G825" s="414"/>
      <c r="H825" s="414"/>
      <c r="I825" s="414"/>
      <c r="J825" s="414"/>
      <c r="K825" s="414"/>
      <c r="L825" s="415" t="s">
        <v>5563</v>
      </c>
      <c r="M825" s="416" t="s">
        <v>4269</v>
      </c>
      <c r="N825" s="416" t="s">
        <v>2999</v>
      </c>
      <c r="O825" s="417"/>
      <c r="P825" s="416">
        <v>4590007772</v>
      </c>
      <c r="Q825" s="418">
        <v>44861</v>
      </c>
      <c r="R825" s="419" t="s">
        <v>5564</v>
      </c>
      <c r="S825" s="458">
        <f>11276.5/2</f>
        <v>5638.25</v>
      </c>
      <c r="T825" s="420" t="s">
        <v>2156</v>
      </c>
      <c r="U825" s="414" t="s">
        <v>3926</v>
      </c>
      <c r="V825" s="414" t="s">
        <v>3927</v>
      </c>
      <c r="W825" s="417" t="s">
        <v>3928</v>
      </c>
      <c r="X825" s="417"/>
      <c r="Y825" s="421" t="s">
        <v>3652</v>
      </c>
      <c r="Z825" s="421" t="s">
        <v>3652</v>
      </c>
      <c r="AA825" s="416" t="s">
        <v>5561</v>
      </c>
      <c r="AB825" s="414" t="s">
        <v>3664</v>
      </c>
      <c r="AC825" s="426"/>
      <c r="AD825" s="421"/>
      <c r="AE825" s="420"/>
      <c r="AF825" s="421"/>
      <c r="AG825" s="420" t="s">
        <v>3496</v>
      </c>
      <c r="AH825" s="421" t="s">
        <v>4109</v>
      </c>
      <c r="AI825" s="420" t="s">
        <v>3666</v>
      </c>
      <c r="AJ825" s="413" t="str">
        <f t="shared" si="53"/>
        <v>4590007772_005-1</v>
      </c>
      <c r="AK825" s="423" t="s">
        <v>5565</v>
      </c>
      <c r="AL825" s="424">
        <v>45443</v>
      </c>
      <c r="AM825" s="221">
        <v>5638.25</v>
      </c>
      <c r="AN825" s="424" t="s">
        <v>3805</v>
      </c>
      <c r="AO825" s="423"/>
      <c r="AP825" s="413"/>
      <c r="AQ825" s="222"/>
      <c r="AR825" s="424"/>
      <c r="AS825" s="614">
        <f ca="1">表格1_6[[#This Row],[total amount]]/表格1_6[[#This Row],[PO$]]</f>
        <v>1</v>
      </c>
      <c r="AT825" s="223">
        <f ca="1">表格1_6[[#This Row],[invoice amount]]+表格1_6[[#This Row],[invoice amount2]]</f>
        <v>5638.25</v>
      </c>
      <c r="AU825" s="224" t="s">
        <v>3752</v>
      </c>
      <c r="AV825" s="423"/>
      <c r="AW825" s="423" t="e">
        <f ca="1">VLOOKUP(表格1_6[[#This Row],[TI tool ID2]],工作表1!A:A,1,FALSE)</f>
        <v>#N/A</v>
      </c>
      <c r="AX825" s="425" t="e">
        <f ca="1">VLOOKUP(表格1_6[[#This Row],[PO+ITEM]],工作表1!B:E,2,FALSE)</f>
        <v>#N/A</v>
      </c>
      <c r="AY825" s="425" t="e">
        <f ca="1">VLOOKUP(表格1_6[[#This Row],[PO+ITEM]],工作表1!B:E,3,FALSE)</f>
        <v>#N/A</v>
      </c>
      <c r="AZ825" s="423" t="e">
        <f ca="1">VLOOKUP(表格1_6[[#This Row],[PO+ITEM]],工作表1!B:E,4,FALSE)</f>
        <v>#N/A</v>
      </c>
      <c r="BA825" s="425" t="e">
        <f ca="1">INDEX(工作表1!G:G, MATCH(表格1_6[[#This Row],[invoice number]]&amp;表格1_6[[#This Row],[invoice number2]],工作表1!G:G, 0))</f>
        <v>#N/A</v>
      </c>
      <c r="BB825" s="423" t="e">
        <f ca="1">VLOOKUP(表格1_6[[#This Row],[PO+ITEM]],工作表1!F:H,2,FALSE)</f>
        <v>#N/A</v>
      </c>
    </row>
    <row r="826" spans="1:54" ht="14.45">
      <c r="A826" s="413">
        <v>825</v>
      </c>
      <c r="B826" s="413" t="s">
        <v>3674</v>
      </c>
      <c r="C826" s="414" t="s">
        <v>16</v>
      </c>
      <c r="D826" s="414" t="s">
        <v>3648</v>
      </c>
      <c r="E826" s="414"/>
      <c r="F826" s="414"/>
      <c r="G826" s="414"/>
      <c r="H826" s="414"/>
      <c r="I826" s="414"/>
      <c r="J826" s="414"/>
      <c r="K826" s="414"/>
      <c r="L826" s="415" t="s">
        <v>5563</v>
      </c>
      <c r="M826" s="416"/>
      <c r="N826" s="416"/>
      <c r="O826" s="421"/>
      <c r="P826" s="416">
        <v>4590007772</v>
      </c>
      <c r="Q826" s="418">
        <v>44861</v>
      </c>
      <c r="R826" s="419" t="s">
        <v>5566</v>
      </c>
      <c r="S826" s="458">
        <f>11276.5/2</f>
        <v>5638.25</v>
      </c>
      <c r="T826" s="420"/>
      <c r="U826" s="414" t="e">
        <v>#N/A</v>
      </c>
      <c r="V826" s="414" t="s">
        <v>3927</v>
      </c>
      <c r="W826" s="417"/>
      <c r="X826" s="417"/>
      <c r="Y826" s="421"/>
      <c r="Z826" s="421"/>
      <c r="AA826" s="416" t="s">
        <v>5558</v>
      </c>
      <c r="AB826" s="414"/>
      <c r="AC826" s="421"/>
      <c r="AD826" s="421"/>
      <c r="AE826" s="421"/>
      <c r="AF826" s="421"/>
      <c r="AG826" s="420" t="s">
        <v>3372</v>
      </c>
      <c r="AH826" s="421" t="s">
        <v>4109</v>
      </c>
      <c r="AI826" s="420" t="s">
        <v>3666</v>
      </c>
      <c r="AJ826" s="413" t="str">
        <f t="shared" si="53"/>
        <v>4590007772_005-2</v>
      </c>
      <c r="AK826" s="425" t="s">
        <v>5567</v>
      </c>
      <c r="AL826" s="424">
        <v>45541</v>
      </c>
      <c r="AM826" s="221">
        <v>5638.25</v>
      </c>
      <c r="AN826" s="424" t="s">
        <v>3805</v>
      </c>
      <c r="AO826" s="423"/>
      <c r="AP826" s="413"/>
      <c r="AQ826" s="222"/>
      <c r="AR826" s="424"/>
      <c r="AS826" s="614">
        <f ca="1">表格1_6[[#This Row],[total amount]]/表格1_6[[#This Row],[PO$]]</f>
        <v>1</v>
      </c>
      <c r="AT826" s="223">
        <f ca="1">表格1_6[[#This Row],[invoice amount]]+表格1_6[[#This Row],[invoice amount2]]</f>
        <v>5638.25</v>
      </c>
      <c r="AU826" s="224" t="s">
        <v>3701</v>
      </c>
      <c r="AV826" s="423"/>
      <c r="AW826" s="423" t="e">
        <f ca="1">VLOOKUP(表格1_6[[#This Row],[TI tool ID2]],工作表1!A:A,1,FALSE)</f>
        <v>#N/A</v>
      </c>
      <c r="AX826" s="425" t="e">
        <f ca="1">VLOOKUP(表格1_6[[#This Row],[PO+ITEM]],工作表1!B:E,2,FALSE)</f>
        <v>#N/A</v>
      </c>
      <c r="AY826" s="425" t="e">
        <f ca="1">VLOOKUP(表格1_6[[#This Row],[PO+ITEM]],工作表1!B:E,3,FALSE)</f>
        <v>#N/A</v>
      </c>
      <c r="AZ826" s="423" t="e">
        <f ca="1">VLOOKUP(表格1_6[[#This Row],[PO+ITEM]],工作表1!B:E,4,FALSE)</f>
        <v>#N/A</v>
      </c>
      <c r="BA826" s="425" t="e">
        <f ca="1">INDEX(工作表1!G:G, MATCH(表格1_6[[#This Row],[invoice number]]&amp;表格1_6[[#This Row],[invoice number2]],工作表1!G:G, 0))</f>
        <v>#N/A</v>
      </c>
      <c r="BB826" s="423" t="e">
        <f ca="1">VLOOKUP(表格1_6[[#This Row],[PO+ITEM]],工作表1!F:H,2,FALSE)</f>
        <v>#N/A</v>
      </c>
    </row>
    <row r="827" spans="1:54">
      <c r="A827" s="413">
        <v>826</v>
      </c>
      <c r="B827" s="413" t="s">
        <v>3674</v>
      </c>
      <c r="C827" s="414" t="s">
        <v>16</v>
      </c>
      <c r="D827" s="414" t="s">
        <v>3648</v>
      </c>
      <c r="E827" s="414"/>
      <c r="F827" s="414"/>
      <c r="G827" s="414"/>
      <c r="H827" s="414"/>
      <c r="I827" s="414"/>
      <c r="J827" s="414"/>
      <c r="K827" s="414"/>
      <c r="L827" s="415" t="s">
        <v>5568</v>
      </c>
      <c r="M827" s="416" t="s">
        <v>4269</v>
      </c>
      <c r="N827" s="416" t="s">
        <v>2999</v>
      </c>
      <c r="O827" s="417"/>
      <c r="P827" s="416">
        <v>4590007772</v>
      </c>
      <c r="Q827" s="418">
        <v>44861</v>
      </c>
      <c r="R827" s="419" t="s">
        <v>5569</v>
      </c>
      <c r="S827" s="544">
        <f>38875.32/3</f>
        <v>12958.44</v>
      </c>
      <c r="T827" s="420" t="s">
        <v>2156</v>
      </c>
      <c r="U827" s="414" t="s">
        <v>3926</v>
      </c>
      <c r="V827" s="414" t="s">
        <v>3927</v>
      </c>
      <c r="W827" s="417" t="s">
        <v>3928</v>
      </c>
      <c r="X827" s="417"/>
      <c r="Y827" s="421" t="s">
        <v>3652</v>
      </c>
      <c r="Z827" s="421" t="s">
        <v>3652</v>
      </c>
      <c r="AA827" s="416" t="s">
        <v>5558</v>
      </c>
      <c r="AB827" s="414" t="s">
        <v>3664</v>
      </c>
      <c r="AC827" s="426"/>
      <c r="AD827" s="421"/>
      <c r="AE827" s="420"/>
      <c r="AF827" s="421"/>
      <c r="AG827" s="420" t="s">
        <v>3328</v>
      </c>
      <c r="AH827" s="421" t="s">
        <v>4109</v>
      </c>
      <c r="AI827" s="420" t="s">
        <v>3666</v>
      </c>
      <c r="AJ827" s="413" t="str">
        <f t="shared" si="53"/>
        <v>4590007772_006-1</v>
      </c>
      <c r="AK827" s="425" t="s">
        <v>5570</v>
      </c>
      <c r="AL827" s="424">
        <v>45520</v>
      </c>
      <c r="AM827" s="221">
        <v>12958.44</v>
      </c>
      <c r="AN827" s="424" t="s">
        <v>3805</v>
      </c>
      <c r="AO827" s="423"/>
      <c r="AP827" s="413"/>
      <c r="AQ827" s="222"/>
      <c r="AR827" s="424"/>
      <c r="AS827" s="614">
        <f ca="1">表格1_6[[#This Row],[total amount]]/表格1_6[[#This Row],[PO$]]</f>
        <v>1</v>
      </c>
      <c r="AT827" s="223">
        <f ca="1">表格1_6[[#This Row],[invoice amount]]+表格1_6[[#This Row],[invoice amount2]]</f>
        <v>12958.44</v>
      </c>
      <c r="AU827" s="224" t="s">
        <v>3701</v>
      </c>
      <c r="AV827" s="423"/>
      <c r="AW827" s="423" t="e">
        <f ca="1">VLOOKUP(表格1_6[[#This Row],[TI tool ID2]],工作表1!A:A,1,FALSE)</f>
        <v>#N/A</v>
      </c>
      <c r="AX827" s="425" t="e">
        <f ca="1">VLOOKUP(表格1_6[[#This Row],[PO+ITEM]],工作表1!B:E,2,FALSE)</f>
        <v>#N/A</v>
      </c>
      <c r="AY827" s="425" t="e">
        <f ca="1">VLOOKUP(表格1_6[[#This Row],[PO+ITEM]],工作表1!B:E,3,FALSE)</f>
        <v>#N/A</v>
      </c>
      <c r="AZ827" s="423" t="e">
        <f ca="1">VLOOKUP(表格1_6[[#This Row],[PO+ITEM]],工作表1!B:E,4,FALSE)</f>
        <v>#N/A</v>
      </c>
      <c r="BA827" s="425" t="e">
        <f ca="1">INDEX(工作表1!G:G, MATCH(表格1_6[[#This Row],[invoice number]]&amp;表格1_6[[#This Row],[invoice number2]],工作表1!G:G, 0))</f>
        <v>#N/A</v>
      </c>
      <c r="BB827" s="423" t="e">
        <f ca="1">VLOOKUP(表格1_6[[#This Row],[PO+ITEM]],工作表1!F:H,2,FALSE)</f>
        <v>#N/A</v>
      </c>
    </row>
    <row r="828" spans="1:54" ht="14.45">
      <c r="A828" s="413">
        <v>827</v>
      </c>
      <c r="B828" s="413" t="s">
        <v>3674</v>
      </c>
      <c r="C828" s="414" t="s">
        <v>16</v>
      </c>
      <c r="D828" s="414" t="s">
        <v>3648</v>
      </c>
      <c r="E828" s="414"/>
      <c r="F828" s="414"/>
      <c r="G828" s="414"/>
      <c r="H828" s="414"/>
      <c r="I828" s="414"/>
      <c r="J828" s="414"/>
      <c r="K828" s="414"/>
      <c r="L828" s="415" t="s">
        <v>5568</v>
      </c>
      <c r="M828" s="416" t="s">
        <v>4269</v>
      </c>
      <c r="N828" s="416" t="s">
        <v>2999</v>
      </c>
      <c r="O828" s="417"/>
      <c r="P828" s="416">
        <v>4590007772</v>
      </c>
      <c r="Q828" s="418"/>
      <c r="R828" s="419" t="s">
        <v>5571</v>
      </c>
      <c r="S828" s="544">
        <f>38875.32/3</f>
        <v>12958.44</v>
      </c>
      <c r="T828" s="420"/>
      <c r="U828" s="414" t="e">
        <v>#N/A</v>
      </c>
      <c r="V828" s="414" t="s">
        <v>3927</v>
      </c>
      <c r="W828" s="417"/>
      <c r="X828" s="417"/>
      <c r="Y828" s="421"/>
      <c r="Z828" s="421"/>
      <c r="AA828" s="416" t="s">
        <v>5558</v>
      </c>
      <c r="AB828" s="414"/>
      <c r="AC828" s="421"/>
      <c r="AD828" s="421"/>
      <c r="AE828" s="421"/>
      <c r="AF828" s="421"/>
      <c r="AG828" s="420" t="s">
        <v>3331</v>
      </c>
      <c r="AH828" s="421" t="s">
        <v>4109</v>
      </c>
      <c r="AI828" s="420" t="s">
        <v>3666</v>
      </c>
      <c r="AJ828" s="413" t="str">
        <f t="shared" si="53"/>
        <v>4590007772_006-2</v>
      </c>
      <c r="AK828" s="425" t="s">
        <v>5572</v>
      </c>
      <c r="AL828" s="424">
        <v>45520</v>
      </c>
      <c r="AM828" s="221">
        <v>12958.44</v>
      </c>
      <c r="AN828" s="424" t="s">
        <v>3805</v>
      </c>
      <c r="AO828" s="423"/>
      <c r="AP828" s="413"/>
      <c r="AQ828" s="222"/>
      <c r="AR828" s="424"/>
      <c r="AS828" s="614">
        <f ca="1">表格1_6[[#This Row],[total amount]]/表格1_6[[#This Row],[PO$]]</f>
        <v>1</v>
      </c>
      <c r="AT828" s="223">
        <f ca="1">表格1_6[[#This Row],[invoice amount]]+表格1_6[[#This Row],[invoice amount2]]</f>
        <v>12958.44</v>
      </c>
      <c r="AU828" s="224" t="s">
        <v>3701</v>
      </c>
      <c r="AV828" s="423"/>
      <c r="AW828" s="423" t="e">
        <f ca="1">VLOOKUP(表格1_6[[#This Row],[TI tool ID2]],工作表1!A:A,1,FALSE)</f>
        <v>#N/A</v>
      </c>
      <c r="AX828" s="425" t="e">
        <f ca="1">VLOOKUP(表格1_6[[#This Row],[PO+ITEM]],工作表1!B:E,2,FALSE)</f>
        <v>#N/A</v>
      </c>
      <c r="AY828" s="425" t="e">
        <f ca="1">VLOOKUP(表格1_6[[#This Row],[PO+ITEM]],工作表1!B:E,3,FALSE)</f>
        <v>#N/A</v>
      </c>
      <c r="AZ828" s="423" t="e">
        <f ca="1">VLOOKUP(表格1_6[[#This Row],[PO+ITEM]],工作表1!B:E,4,FALSE)</f>
        <v>#N/A</v>
      </c>
      <c r="BA828" s="425" t="e">
        <f ca="1">INDEX(工作表1!G:G, MATCH(表格1_6[[#This Row],[invoice number]]&amp;表格1_6[[#This Row],[invoice number2]],工作表1!G:G, 0))</f>
        <v>#N/A</v>
      </c>
      <c r="BB828" s="423" t="e">
        <f ca="1">VLOOKUP(表格1_6[[#This Row],[PO+ITEM]],工作表1!F:H,2,FALSE)</f>
        <v>#N/A</v>
      </c>
    </row>
    <row r="829" spans="1:54" ht="14.45">
      <c r="A829" s="413">
        <v>828</v>
      </c>
      <c r="B829" s="413" t="s">
        <v>3674</v>
      </c>
      <c r="C829" s="414" t="s">
        <v>16</v>
      </c>
      <c r="D829" s="414" t="s">
        <v>3648</v>
      </c>
      <c r="E829" s="414"/>
      <c r="F829" s="414"/>
      <c r="G829" s="414"/>
      <c r="H829" s="414"/>
      <c r="I829" s="414"/>
      <c r="J829" s="414"/>
      <c r="K829" s="414"/>
      <c r="L829" s="415" t="s">
        <v>5568</v>
      </c>
      <c r="M829" s="416" t="s">
        <v>4269</v>
      </c>
      <c r="N829" s="416" t="s">
        <v>2999</v>
      </c>
      <c r="O829" s="417"/>
      <c r="P829" s="416">
        <v>4590007772</v>
      </c>
      <c r="Q829" s="418"/>
      <c r="R829" s="419" t="s">
        <v>5573</v>
      </c>
      <c r="S829" s="458">
        <f>38875.32/3</f>
        <v>12958.44</v>
      </c>
      <c r="T829" s="420"/>
      <c r="U829" s="414" t="e">
        <v>#N/A</v>
      </c>
      <c r="V829" s="414" t="s">
        <v>3927</v>
      </c>
      <c r="W829" s="417"/>
      <c r="X829" s="417"/>
      <c r="Y829" s="421"/>
      <c r="Z829" s="421"/>
      <c r="AA829" s="416" t="s">
        <v>5561</v>
      </c>
      <c r="AB829" s="414"/>
      <c r="AC829" s="421"/>
      <c r="AD829" s="421"/>
      <c r="AE829" s="421"/>
      <c r="AF829" s="421"/>
      <c r="AG829" s="420" t="s">
        <v>3494</v>
      </c>
      <c r="AH829" s="421" t="s">
        <v>4109</v>
      </c>
      <c r="AI829" s="420" t="s">
        <v>3666</v>
      </c>
      <c r="AJ829" s="413" t="str">
        <f t="shared" si="53"/>
        <v>4590007772_006-3</v>
      </c>
      <c r="AK829" s="420" t="s">
        <v>5574</v>
      </c>
      <c r="AL829" s="424">
        <v>45443</v>
      </c>
      <c r="AM829" s="221">
        <v>12958.44</v>
      </c>
      <c r="AN829" s="424" t="s">
        <v>3805</v>
      </c>
      <c r="AO829" s="423"/>
      <c r="AP829" s="413"/>
      <c r="AQ829" s="222"/>
      <c r="AR829" s="424"/>
      <c r="AS829" s="614">
        <f ca="1">表格1_6[[#This Row],[total amount]]/表格1_6[[#This Row],[PO$]]</f>
        <v>1</v>
      </c>
      <c r="AT829" s="223">
        <f ca="1">表格1_6[[#This Row],[invoice amount]]+表格1_6[[#This Row],[invoice amount2]]</f>
        <v>12958.44</v>
      </c>
      <c r="AU829" s="224" t="s">
        <v>3752</v>
      </c>
      <c r="AV829" s="423"/>
      <c r="AW829" s="423" t="e">
        <f ca="1">VLOOKUP(表格1_6[[#This Row],[TI tool ID2]],工作表1!A:A,1,FALSE)</f>
        <v>#N/A</v>
      </c>
      <c r="AX829" s="425" t="e">
        <f ca="1">VLOOKUP(表格1_6[[#This Row],[PO+ITEM]],工作表1!B:E,2,FALSE)</f>
        <v>#N/A</v>
      </c>
      <c r="AY829" s="425" t="e">
        <f ca="1">VLOOKUP(表格1_6[[#This Row],[PO+ITEM]],工作表1!B:E,3,FALSE)</f>
        <v>#N/A</v>
      </c>
      <c r="AZ829" s="423" t="e">
        <f ca="1">VLOOKUP(表格1_6[[#This Row],[PO+ITEM]],工作表1!B:E,4,FALSE)</f>
        <v>#N/A</v>
      </c>
      <c r="BA829" s="425" t="e">
        <f ca="1">INDEX(工作表1!G:G, MATCH(表格1_6[[#This Row],[invoice number]]&amp;表格1_6[[#This Row],[invoice number2]],工作表1!G:G, 0))</f>
        <v>#N/A</v>
      </c>
      <c r="BB829" s="423" t="e">
        <f ca="1">VLOOKUP(表格1_6[[#This Row],[PO+ITEM]],工作表1!F:H,2,FALSE)</f>
        <v>#N/A</v>
      </c>
    </row>
    <row r="830" spans="1:54" ht="14.45">
      <c r="A830" s="413">
        <v>829</v>
      </c>
      <c r="B830" s="413" t="s">
        <v>3674</v>
      </c>
      <c r="C830" s="414" t="s">
        <v>16</v>
      </c>
      <c r="D830" s="414" t="s">
        <v>3648</v>
      </c>
      <c r="E830" s="414"/>
      <c r="F830" s="414"/>
      <c r="G830" s="414"/>
      <c r="H830" s="414"/>
      <c r="I830" s="414"/>
      <c r="J830" s="414"/>
      <c r="K830" s="414"/>
      <c r="L830" s="415" t="s">
        <v>5575</v>
      </c>
      <c r="M830" s="416" t="s">
        <v>4269</v>
      </c>
      <c r="N830" s="416" t="s">
        <v>2999</v>
      </c>
      <c r="O830" s="417"/>
      <c r="P830" s="416">
        <v>4590007772</v>
      </c>
      <c r="Q830" s="418">
        <v>44861</v>
      </c>
      <c r="R830" s="419" t="s">
        <v>5576</v>
      </c>
      <c r="S830" s="458">
        <f>11276.5/2</f>
        <v>5638.25</v>
      </c>
      <c r="T830" s="420" t="s">
        <v>2156</v>
      </c>
      <c r="U830" s="414" t="s">
        <v>3926</v>
      </c>
      <c r="V830" s="414" t="s">
        <v>3927</v>
      </c>
      <c r="W830" s="417" t="s">
        <v>3928</v>
      </c>
      <c r="X830" s="417"/>
      <c r="Y830" s="421" t="s">
        <v>3652</v>
      </c>
      <c r="Z830" s="421" t="s">
        <v>3652</v>
      </c>
      <c r="AA830" s="416" t="s">
        <v>5561</v>
      </c>
      <c r="AB830" s="414" t="s">
        <v>3664</v>
      </c>
      <c r="AC830" s="426"/>
      <c r="AD830" s="421"/>
      <c r="AE830" s="420"/>
      <c r="AF830" s="421"/>
      <c r="AG830" s="420" t="s">
        <v>3498</v>
      </c>
      <c r="AH830" s="421" t="s">
        <v>4109</v>
      </c>
      <c r="AI830" s="420" t="s">
        <v>3666</v>
      </c>
      <c r="AJ830" s="413" t="str">
        <f t="shared" si="53"/>
        <v>4590007772_007-1</v>
      </c>
      <c r="AK830" s="425" t="s">
        <v>5577</v>
      </c>
      <c r="AL830" s="424">
        <v>45541</v>
      </c>
      <c r="AM830" s="221">
        <v>5638.25</v>
      </c>
      <c r="AN830" s="424" t="s">
        <v>3805</v>
      </c>
      <c r="AO830" s="423"/>
      <c r="AP830" s="413"/>
      <c r="AQ830" s="222"/>
      <c r="AR830" s="424"/>
      <c r="AS830" s="614">
        <f ca="1">表格1_6[[#This Row],[total amount]]/表格1_6[[#This Row],[PO$]]</f>
        <v>1</v>
      </c>
      <c r="AT830" s="223">
        <f ca="1">表格1_6[[#This Row],[invoice amount]]+表格1_6[[#This Row],[invoice amount2]]</f>
        <v>5638.25</v>
      </c>
      <c r="AU830" s="224" t="s">
        <v>3701</v>
      </c>
      <c r="AV830" s="423"/>
      <c r="AW830" s="423" t="e">
        <f ca="1">VLOOKUP(表格1_6[[#This Row],[TI tool ID2]],工作表1!A:A,1,FALSE)</f>
        <v>#N/A</v>
      </c>
      <c r="AX830" s="425" t="e">
        <f ca="1">VLOOKUP(表格1_6[[#This Row],[PO+ITEM]],工作表1!B:E,2,FALSE)</f>
        <v>#N/A</v>
      </c>
      <c r="AY830" s="425" t="e">
        <f ca="1">VLOOKUP(表格1_6[[#This Row],[PO+ITEM]],工作表1!B:E,3,FALSE)</f>
        <v>#N/A</v>
      </c>
      <c r="AZ830" s="423" t="e">
        <f ca="1">VLOOKUP(表格1_6[[#This Row],[PO+ITEM]],工作表1!B:E,4,FALSE)</f>
        <v>#N/A</v>
      </c>
      <c r="BA830" s="425" t="e">
        <f ca="1">INDEX(工作表1!G:G, MATCH(表格1_6[[#This Row],[invoice number]]&amp;表格1_6[[#This Row],[invoice number2]],工作表1!G:G, 0))</f>
        <v>#N/A</v>
      </c>
      <c r="BB830" s="423" t="e">
        <f ca="1">VLOOKUP(表格1_6[[#This Row],[PO+ITEM]],工作表1!F:H,2,FALSE)</f>
        <v>#N/A</v>
      </c>
    </row>
    <row r="831" spans="1:54" ht="14.45">
      <c r="A831" s="413">
        <v>830</v>
      </c>
      <c r="B831" s="413" t="s">
        <v>3659</v>
      </c>
      <c r="C831" s="414" t="s">
        <v>16</v>
      </c>
      <c r="D831" s="414" t="s">
        <v>3648</v>
      </c>
      <c r="E831" s="414"/>
      <c r="F831" s="414"/>
      <c r="G831" s="414"/>
      <c r="H831" s="414"/>
      <c r="I831" s="414"/>
      <c r="J831" s="414"/>
      <c r="K831" s="414"/>
      <c r="L831" s="415" t="s">
        <v>5575</v>
      </c>
      <c r="M831" s="416" t="s">
        <v>4269</v>
      </c>
      <c r="N831" s="416" t="s">
        <v>2999</v>
      </c>
      <c r="O831" s="417"/>
      <c r="P831" s="416">
        <v>4590007772</v>
      </c>
      <c r="Q831" s="418">
        <v>44861</v>
      </c>
      <c r="R831" s="419" t="s">
        <v>5578</v>
      </c>
      <c r="S831" s="458">
        <f>11276.5/2</f>
        <v>5638.25</v>
      </c>
      <c r="T831" s="420" t="s">
        <v>2156</v>
      </c>
      <c r="U831" s="414" t="s">
        <v>3926</v>
      </c>
      <c r="V831" s="414" t="s">
        <v>3927</v>
      </c>
      <c r="W831" s="417" t="s">
        <v>3928</v>
      </c>
      <c r="X831" s="417"/>
      <c r="Y831" s="421" t="s">
        <v>3652</v>
      </c>
      <c r="Z831" s="421" t="s">
        <v>3652</v>
      </c>
      <c r="AA831" s="416" t="s">
        <v>5561</v>
      </c>
      <c r="AB831" s="414" t="s">
        <v>3664</v>
      </c>
      <c r="AC831" s="426"/>
      <c r="AD831" s="421"/>
      <c r="AE831" s="420"/>
      <c r="AF831" s="421"/>
      <c r="AG831" s="420" t="s">
        <v>5579</v>
      </c>
      <c r="AH831" s="421" t="s">
        <v>4109</v>
      </c>
      <c r="AI831" s="420" t="s">
        <v>3666</v>
      </c>
      <c r="AJ831" s="413" t="str">
        <f t="shared" si="53"/>
        <v>4590007772_007-2</v>
      </c>
      <c r="AK831" s="425" t="s">
        <v>5580</v>
      </c>
      <c r="AL831" s="424">
        <v>45541</v>
      </c>
      <c r="AM831" s="221">
        <v>5638.25</v>
      </c>
      <c r="AN831" s="424" t="s">
        <v>3805</v>
      </c>
      <c r="AO831" s="423"/>
      <c r="AP831" s="413"/>
      <c r="AQ831" s="222"/>
      <c r="AR831" s="424"/>
      <c r="AS831" s="614">
        <f ca="1">表格1_6[[#This Row],[total amount]]/表格1_6[[#This Row],[PO$]]</f>
        <v>1</v>
      </c>
      <c r="AT831" s="223">
        <f ca="1">表格1_6[[#This Row],[invoice amount]]+表格1_6[[#This Row],[invoice amount2]]</f>
        <v>5638.25</v>
      </c>
      <c r="AU831" s="224" t="s">
        <v>3701</v>
      </c>
      <c r="AV831" s="423"/>
      <c r="AW831" s="423" t="e">
        <f ca="1">VLOOKUP(表格1_6[[#This Row],[TI tool ID2]],工作表1!A:A,1,FALSE)</f>
        <v>#N/A</v>
      </c>
      <c r="AX831" s="425" t="e">
        <f ca="1">VLOOKUP(表格1_6[[#This Row],[PO+ITEM]],工作表1!B:E,2,FALSE)</f>
        <v>#N/A</v>
      </c>
      <c r="AY831" s="425" t="e">
        <f ca="1">VLOOKUP(表格1_6[[#This Row],[PO+ITEM]],工作表1!B:E,3,FALSE)</f>
        <v>#N/A</v>
      </c>
      <c r="AZ831" s="423" t="e">
        <f ca="1">VLOOKUP(表格1_6[[#This Row],[PO+ITEM]],工作表1!B:E,4,FALSE)</f>
        <v>#N/A</v>
      </c>
      <c r="BA831" s="425" t="e">
        <f ca="1">INDEX(工作表1!G:G, MATCH(表格1_6[[#This Row],[invoice number]]&amp;表格1_6[[#This Row],[invoice number2]],工作表1!G:G, 0))</f>
        <v>#N/A</v>
      </c>
      <c r="BB831" s="423" t="e">
        <f ca="1">VLOOKUP(表格1_6[[#This Row],[PO+ITEM]],工作表1!F:H,2,FALSE)</f>
        <v>#N/A</v>
      </c>
    </row>
    <row r="832" spans="1:54" ht="15.6">
      <c r="A832" s="413">
        <v>831</v>
      </c>
      <c r="B832" s="413" t="s">
        <v>3674</v>
      </c>
      <c r="C832" s="414" t="s">
        <v>16</v>
      </c>
      <c r="D832" s="414" t="s">
        <v>3648</v>
      </c>
      <c r="E832" s="414"/>
      <c r="F832" s="414"/>
      <c r="G832" s="414"/>
      <c r="H832" s="414"/>
      <c r="I832" s="414"/>
      <c r="J832" s="414"/>
      <c r="K832" s="414"/>
      <c r="L832" s="415" t="s">
        <v>5581</v>
      </c>
      <c r="M832" s="416" t="s">
        <v>4269</v>
      </c>
      <c r="N832" s="416" t="s">
        <v>2999</v>
      </c>
      <c r="O832" s="417"/>
      <c r="P832" s="416">
        <v>4590007772</v>
      </c>
      <c r="Q832" s="418">
        <v>44861</v>
      </c>
      <c r="R832" s="419">
        <v>8</v>
      </c>
      <c r="S832" s="458">
        <v>5965.43</v>
      </c>
      <c r="T832" s="420" t="s">
        <v>2156</v>
      </c>
      <c r="U832" s="414" t="s">
        <v>3926</v>
      </c>
      <c r="V832" s="414" t="s">
        <v>3927</v>
      </c>
      <c r="W832" s="417" t="s">
        <v>3928</v>
      </c>
      <c r="X832" s="417"/>
      <c r="Y832" s="421" t="s">
        <v>3652</v>
      </c>
      <c r="Z832" s="421" t="s">
        <v>3652</v>
      </c>
      <c r="AA832" s="416" t="s">
        <v>4270</v>
      </c>
      <c r="AB832" s="414" t="s">
        <v>3664</v>
      </c>
      <c r="AC832" s="426"/>
      <c r="AD832" s="421"/>
      <c r="AE832" s="420"/>
      <c r="AF832" s="421"/>
      <c r="AG832" s="420" t="s">
        <v>3346</v>
      </c>
      <c r="AH832" s="421" t="s">
        <v>4109</v>
      </c>
      <c r="AI832" s="420" t="s">
        <v>3666</v>
      </c>
      <c r="AJ832" s="413" t="str">
        <f t="shared" si="53"/>
        <v>4590007772_008</v>
      </c>
      <c r="AK832" s="423" t="s">
        <v>5582</v>
      </c>
      <c r="AL832" s="424">
        <v>45108</v>
      </c>
      <c r="AM832" s="221">
        <v>0</v>
      </c>
      <c r="AN832" s="431" t="s">
        <v>3788</v>
      </c>
      <c r="AO832" s="425" t="s">
        <v>5583</v>
      </c>
      <c r="AP832" s="424">
        <v>45541</v>
      </c>
      <c r="AQ832" s="221">
        <v>5965.43</v>
      </c>
      <c r="AR832" s="424" t="s">
        <v>3805</v>
      </c>
      <c r="AS832" s="614">
        <f ca="1">表格1_6[[#This Row],[total amount]]/表格1_6[[#This Row],[PO$]]</f>
        <v>1</v>
      </c>
      <c r="AT832" s="223">
        <f ca="1">表格1_6[[#This Row],[invoice amount]]+表格1_6[[#This Row],[invoice amount2]]</f>
        <v>5965.43</v>
      </c>
      <c r="AU832" s="224" t="s">
        <v>3701</v>
      </c>
      <c r="AV832" s="423" t="s">
        <v>5584</v>
      </c>
      <c r="AW832" s="423" t="e">
        <f ca="1">VLOOKUP(表格1_6[[#This Row],[TI tool ID2]],工作表1!A:A,1,FALSE)</f>
        <v>#N/A</v>
      </c>
      <c r="AX832" s="425" t="e">
        <f ca="1">VLOOKUP(表格1_6[[#This Row],[PO+ITEM]],工作表1!B:E,2,FALSE)</f>
        <v>#N/A</v>
      </c>
      <c r="AY832" s="425" t="e">
        <f ca="1">VLOOKUP(表格1_6[[#This Row],[PO+ITEM]],工作表1!B:E,3,FALSE)</f>
        <v>#N/A</v>
      </c>
      <c r="AZ832" s="423" t="e">
        <f ca="1">VLOOKUP(表格1_6[[#This Row],[PO+ITEM]],工作表1!B:E,4,FALSE)</f>
        <v>#N/A</v>
      </c>
      <c r="BA832" s="425" t="e">
        <f ca="1">INDEX(工作表1!G:G, MATCH(表格1_6[[#This Row],[invoice number]]&amp;表格1_6[[#This Row],[invoice number2]],工作表1!G:G, 0))</f>
        <v>#N/A</v>
      </c>
      <c r="BB832" s="423" t="e">
        <f ca="1">VLOOKUP(表格1_6[[#This Row],[PO+ITEM]],工作表1!F:H,2,FALSE)</f>
        <v>#N/A</v>
      </c>
    </row>
    <row r="833" spans="1:54" ht="14.45">
      <c r="A833" s="413">
        <v>832</v>
      </c>
      <c r="B833" s="413" t="s">
        <v>3674</v>
      </c>
      <c r="C833" s="414" t="s">
        <v>16</v>
      </c>
      <c r="D833" s="414" t="s">
        <v>3648</v>
      </c>
      <c r="E833" s="414"/>
      <c r="F833" s="414"/>
      <c r="G833" s="414"/>
      <c r="H833" s="414"/>
      <c r="I833" s="414"/>
      <c r="J833" s="414"/>
      <c r="K833" s="414"/>
      <c r="L833" s="415" t="s">
        <v>5585</v>
      </c>
      <c r="M833" s="416" t="s">
        <v>4269</v>
      </c>
      <c r="N833" s="416" t="s">
        <v>2999</v>
      </c>
      <c r="O833" s="417"/>
      <c r="P833" s="416">
        <v>4590007772</v>
      </c>
      <c r="Q833" s="418">
        <v>44861</v>
      </c>
      <c r="R833" s="419">
        <v>9</v>
      </c>
      <c r="S833" s="458">
        <v>5638.25</v>
      </c>
      <c r="T833" s="420" t="s">
        <v>2156</v>
      </c>
      <c r="U833" s="414" t="s">
        <v>3926</v>
      </c>
      <c r="V833" s="414" t="s">
        <v>3927</v>
      </c>
      <c r="W833" s="417" t="s">
        <v>3928</v>
      </c>
      <c r="X833" s="417"/>
      <c r="Y833" s="421" t="s">
        <v>3652</v>
      </c>
      <c r="Z833" s="421" t="s">
        <v>3652</v>
      </c>
      <c r="AA833" s="416" t="s">
        <v>4270</v>
      </c>
      <c r="AB833" s="414" t="s">
        <v>3664</v>
      </c>
      <c r="AC833" s="426"/>
      <c r="AD833" s="421"/>
      <c r="AE833" s="420"/>
      <c r="AF833" s="421"/>
      <c r="AG833" s="420" t="s">
        <v>3370</v>
      </c>
      <c r="AH833" s="421" t="s">
        <v>4109</v>
      </c>
      <c r="AI833" s="420" t="s">
        <v>3666</v>
      </c>
      <c r="AJ833" s="413" t="str">
        <f t="shared" si="53"/>
        <v>4590007772_009</v>
      </c>
      <c r="AK833" s="425" t="s">
        <v>5586</v>
      </c>
      <c r="AL833" s="424">
        <v>45541</v>
      </c>
      <c r="AM833" s="221">
        <v>5638.25</v>
      </c>
      <c r="AN833" s="424" t="s">
        <v>3805</v>
      </c>
      <c r="AO833" s="423"/>
      <c r="AP833" s="413"/>
      <c r="AQ833" s="222"/>
      <c r="AR833" s="424"/>
      <c r="AS833" s="614">
        <f ca="1">表格1_6[[#This Row],[total amount]]/表格1_6[[#This Row],[PO$]]</f>
        <v>1</v>
      </c>
      <c r="AT833" s="223">
        <f ca="1">表格1_6[[#This Row],[invoice amount]]+表格1_6[[#This Row],[invoice amount2]]</f>
        <v>5638.25</v>
      </c>
      <c r="AU833" s="224" t="s">
        <v>3701</v>
      </c>
      <c r="AV833" s="423"/>
      <c r="AW833" s="423" t="e">
        <f ca="1">VLOOKUP(表格1_6[[#This Row],[TI tool ID2]],工作表1!A:A,1,FALSE)</f>
        <v>#N/A</v>
      </c>
      <c r="AX833" s="425" t="e">
        <f ca="1">VLOOKUP(表格1_6[[#This Row],[PO+ITEM]],工作表1!B:E,2,FALSE)</f>
        <v>#N/A</v>
      </c>
      <c r="AY833" s="425" t="e">
        <f ca="1">VLOOKUP(表格1_6[[#This Row],[PO+ITEM]],工作表1!B:E,3,FALSE)</f>
        <v>#N/A</v>
      </c>
      <c r="AZ833" s="423" t="e">
        <f ca="1">VLOOKUP(表格1_6[[#This Row],[PO+ITEM]],工作表1!B:E,4,FALSE)</f>
        <v>#N/A</v>
      </c>
      <c r="BA833" s="425" t="e">
        <f ca="1">INDEX(工作表1!G:G, MATCH(表格1_6[[#This Row],[invoice number]]&amp;表格1_6[[#This Row],[invoice number2]],工作表1!G:G, 0))</f>
        <v>#N/A</v>
      </c>
      <c r="BB833" s="423" t="e">
        <f ca="1">VLOOKUP(表格1_6[[#This Row],[PO+ITEM]],工作表1!F:H,2,FALSE)</f>
        <v>#N/A</v>
      </c>
    </row>
    <row r="834" spans="1:54" ht="14.45">
      <c r="A834" s="413">
        <v>833</v>
      </c>
      <c r="B834" s="413" t="s">
        <v>3674</v>
      </c>
      <c r="C834" s="414" t="s">
        <v>16</v>
      </c>
      <c r="D834" s="414" t="s">
        <v>3648</v>
      </c>
      <c r="E834" s="414"/>
      <c r="F834" s="414"/>
      <c r="G834" s="414"/>
      <c r="H834" s="414"/>
      <c r="I834" s="414"/>
      <c r="J834" s="414"/>
      <c r="K834" s="414"/>
      <c r="L834" s="415" t="s">
        <v>5587</v>
      </c>
      <c r="M834" s="416" t="s">
        <v>4269</v>
      </c>
      <c r="N834" s="416" t="s">
        <v>2999</v>
      </c>
      <c r="O834" s="417"/>
      <c r="P834" s="416">
        <v>4590007772</v>
      </c>
      <c r="Q834" s="418">
        <v>44861</v>
      </c>
      <c r="R834" s="419">
        <v>10</v>
      </c>
      <c r="S834" s="458">
        <v>5638.25</v>
      </c>
      <c r="T834" s="420" t="s">
        <v>2156</v>
      </c>
      <c r="U834" s="414" t="s">
        <v>3926</v>
      </c>
      <c r="V834" s="414" t="s">
        <v>3927</v>
      </c>
      <c r="W834" s="417" t="s">
        <v>3928</v>
      </c>
      <c r="X834" s="417"/>
      <c r="Y834" s="421" t="s">
        <v>3652</v>
      </c>
      <c r="Z834" s="421" t="s">
        <v>3652</v>
      </c>
      <c r="AA834" s="416" t="s">
        <v>4270</v>
      </c>
      <c r="AB834" s="414" t="s">
        <v>3664</v>
      </c>
      <c r="AC834" s="426"/>
      <c r="AD834" s="421"/>
      <c r="AE834" s="420"/>
      <c r="AF834" s="421"/>
      <c r="AG834" s="420" t="s">
        <v>3367</v>
      </c>
      <c r="AH834" s="421" t="s">
        <v>4109</v>
      </c>
      <c r="AI834" s="420" t="s">
        <v>3666</v>
      </c>
      <c r="AJ834" s="413" t="str">
        <f t="shared" ref="AJ834:AJ840" si="54">P834&amp;"_0"&amp;R834</f>
        <v>4590007772_010</v>
      </c>
      <c r="AK834" s="425" t="s">
        <v>5588</v>
      </c>
      <c r="AL834" s="424">
        <v>45541</v>
      </c>
      <c r="AM834" s="221">
        <v>5638.25</v>
      </c>
      <c r="AN834" s="424" t="s">
        <v>3805</v>
      </c>
      <c r="AO834" s="423"/>
      <c r="AP834" s="413"/>
      <c r="AQ834" s="222"/>
      <c r="AR834" s="424"/>
      <c r="AS834" s="614">
        <f ca="1">表格1_6[[#This Row],[total amount]]/表格1_6[[#This Row],[PO$]]</f>
        <v>1</v>
      </c>
      <c r="AT834" s="223">
        <f ca="1">表格1_6[[#This Row],[invoice amount]]+表格1_6[[#This Row],[invoice amount2]]</f>
        <v>5638.25</v>
      </c>
      <c r="AU834" s="224" t="s">
        <v>3701</v>
      </c>
      <c r="AV834" s="423"/>
      <c r="AW834" s="423" t="e">
        <f ca="1">VLOOKUP(表格1_6[[#This Row],[TI tool ID2]],工作表1!A:A,1,FALSE)</f>
        <v>#N/A</v>
      </c>
      <c r="AX834" s="425" t="e">
        <f ca="1">VLOOKUP(表格1_6[[#This Row],[PO+ITEM]],工作表1!B:E,2,FALSE)</f>
        <v>#N/A</v>
      </c>
      <c r="AY834" s="425" t="e">
        <f ca="1">VLOOKUP(表格1_6[[#This Row],[PO+ITEM]],工作表1!B:E,3,FALSE)</f>
        <v>#N/A</v>
      </c>
      <c r="AZ834" s="423" t="e">
        <f ca="1">VLOOKUP(表格1_6[[#This Row],[PO+ITEM]],工作表1!B:E,4,FALSE)</f>
        <v>#N/A</v>
      </c>
      <c r="BA834" s="425" t="e">
        <f ca="1">INDEX(工作表1!G:G, MATCH(表格1_6[[#This Row],[invoice number]]&amp;表格1_6[[#This Row],[invoice number2]],工作表1!G:G, 0))</f>
        <v>#N/A</v>
      </c>
      <c r="BB834" s="423" t="e">
        <f ca="1">VLOOKUP(表格1_6[[#This Row],[PO+ITEM]],工作表1!F:H,2,FALSE)</f>
        <v>#N/A</v>
      </c>
    </row>
    <row r="835" spans="1:54" ht="14.45">
      <c r="A835" s="413">
        <v>834</v>
      </c>
      <c r="B835" s="413" t="s">
        <v>3674</v>
      </c>
      <c r="C835" s="414" t="s">
        <v>16</v>
      </c>
      <c r="D835" s="414" t="s">
        <v>3648</v>
      </c>
      <c r="E835" s="414"/>
      <c r="F835" s="414"/>
      <c r="G835" s="414"/>
      <c r="H835" s="414"/>
      <c r="I835" s="414"/>
      <c r="J835" s="414"/>
      <c r="K835" s="414"/>
      <c r="L835" s="415" t="s">
        <v>5589</v>
      </c>
      <c r="M835" s="416" t="s">
        <v>4269</v>
      </c>
      <c r="N835" s="416" t="s">
        <v>2999</v>
      </c>
      <c r="O835" s="417"/>
      <c r="P835" s="416">
        <v>4590007772</v>
      </c>
      <c r="Q835" s="418">
        <v>44861</v>
      </c>
      <c r="R835" s="419" t="s">
        <v>5590</v>
      </c>
      <c r="S835" s="544">
        <f>11895.94/2</f>
        <v>5947.97</v>
      </c>
      <c r="T835" s="420" t="s">
        <v>2156</v>
      </c>
      <c r="U835" s="414" t="s">
        <v>3926</v>
      </c>
      <c r="V835" s="414" t="s">
        <v>3927</v>
      </c>
      <c r="W835" s="417" t="s">
        <v>3928</v>
      </c>
      <c r="X835" s="417"/>
      <c r="Y835" s="421" t="s">
        <v>3652</v>
      </c>
      <c r="Z835" s="421" t="s">
        <v>3652</v>
      </c>
      <c r="AA835" s="416" t="s">
        <v>4270</v>
      </c>
      <c r="AB835" s="414" t="s">
        <v>3664</v>
      </c>
      <c r="AC835" s="426"/>
      <c r="AD835" s="421"/>
      <c r="AE835" s="420"/>
      <c r="AF835" s="421"/>
      <c r="AG835" s="420" t="s">
        <v>3356</v>
      </c>
      <c r="AH835" s="421" t="s">
        <v>4109</v>
      </c>
      <c r="AI835" s="420" t="s">
        <v>3666</v>
      </c>
      <c r="AJ835" s="413" t="str">
        <f t="shared" si="54"/>
        <v>4590007772_011-1</v>
      </c>
      <c r="AK835" s="425" t="s">
        <v>5591</v>
      </c>
      <c r="AL835" s="424">
        <v>45520</v>
      </c>
      <c r="AM835" s="221">
        <v>5947.97</v>
      </c>
      <c r="AN835" s="424" t="s">
        <v>3805</v>
      </c>
      <c r="AO835" s="423"/>
      <c r="AP835" s="413"/>
      <c r="AQ835" s="222"/>
      <c r="AR835" s="424"/>
      <c r="AS835" s="614">
        <f ca="1">表格1_6[[#This Row],[total amount]]/表格1_6[[#This Row],[PO$]]</f>
        <v>1</v>
      </c>
      <c r="AT835" s="223">
        <f ca="1">表格1_6[[#This Row],[invoice amount]]+表格1_6[[#This Row],[invoice amount2]]</f>
        <v>5947.97</v>
      </c>
      <c r="AU835" s="224" t="s">
        <v>3701</v>
      </c>
      <c r="AV835" s="423"/>
      <c r="AW835" s="423" t="e">
        <f ca="1">VLOOKUP(表格1_6[[#This Row],[TI tool ID2]],工作表1!A:A,1,FALSE)</f>
        <v>#N/A</v>
      </c>
      <c r="AX835" s="425" t="e">
        <f ca="1">VLOOKUP(表格1_6[[#This Row],[PO+ITEM]],工作表1!B:E,2,FALSE)</f>
        <v>#N/A</v>
      </c>
      <c r="AY835" s="425" t="e">
        <f ca="1">VLOOKUP(表格1_6[[#This Row],[PO+ITEM]],工作表1!B:E,3,FALSE)</f>
        <v>#N/A</v>
      </c>
      <c r="AZ835" s="423" t="e">
        <f ca="1">VLOOKUP(表格1_6[[#This Row],[PO+ITEM]],工作表1!B:E,4,FALSE)</f>
        <v>#N/A</v>
      </c>
      <c r="BA835" s="425" t="e">
        <f ca="1">INDEX(工作表1!G:G, MATCH(表格1_6[[#This Row],[invoice number]]&amp;表格1_6[[#This Row],[invoice number2]],工作表1!G:G, 0))</f>
        <v>#N/A</v>
      </c>
      <c r="BB835" s="423" t="e">
        <f ca="1">VLOOKUP(表格1_6[[#This Row],[PO+ITEM]],工作表1!F:H,2,FALSE)</f>
        <v>#N/A</v>
      </c>
    </row>
    <row r="836" spans="1:54" ht="14.45">
      <c r="A836" s="413">
        <v>835</v>
      </c>
      <c r="B836" s="413" t="s">
        <v>3674</v>
      </c>
      <c r="C836" s="414" t="s">
        <v>16</v>
      </c>
      <c r="D836" s="414" t="s">
        <v>3648</v>
      </c>
      <c r="E836" s="414"/>
      <c r="F836" s="414"/>
      <c r="G836" s="414"/>
      <c r="H836" s="414"/>
      <c r="I836" s="414"/>
      <c r="J836" s="414"/>
      <c r="K836" s="414"/>
      <c r="L836" s="415" t="s">
        <v>5589</v>
      </c>
      <c r="M836" s="416" t="s">
        <v>4269</v>
      </c>
      <c r="N836" s="416" t="s">
        <v>2999</v>
      </c>
      <c r="O836" s="417"/>
      <c r="P836" s="416">
        <v>4590007772</v>
      </c>
      <c r="Q836" s="418"/>
      <c r="R836" s="419" t="s">
        <v>5592</v>
      </c>
      <c r="S836" s="544">
        <f>11895.94/2</f>
        <v>5947.97</v>
      </c>
      <c r="T836" s="420" t="s">
        <v>2156</v>
      </c>
      <c r="U836" s="414" t="s">
        <v>3926</v>
      </c>
      <c r="V836" s="414" t="s">
        <v>3927</v>
      </c>
      <c r="W836" s="417" t="s">
        <v>3928</v>
      </c>
      <c r="X836" s="417"/>
      <c r="Y836" s="421" t="s">
        <v>3652</v>
      </c>
      <c r="Z836" s="421" t="s">
        <v>3652</v>
      </c>
      <c r="AA836" s="416" t="s">
        <v>4270</v>
      </c>
      <c r="AB836" s="414" t="s">
        <v>3664</v>
      </c>
      <c r="AC836" s="426"/>
      <c r="AD836" s="421"/>
      <c r="AE836" s="420"/>
      <c r="AF836" s="421"/>
      <c r="AG836" s="420" t="s">
        <v>3359</v>
      </c>
      <c r="AH836" s="421" t="s">
        <v>4109</v>
      </c>
      <c r="AI836" s="420" t="s">
        <v>3666</v>
      </c>
      <c r="AJ836" s="413" t="str">
        <f t="shared" si="54"/>
        <v>4590007772_011-2</v>
      </c>
      <c r="AK836" s="425" t="s">
        <v>5593</v>
      </c>
      <c r="AL836" s="424">
        <v>45520</v>
      </c>
      <c r="AM836" s="221">
        <v>5947.97</v>
      </c>
      <c r="AN836" s="424" t="s">
        <v>3805</v>
      </c>
      <c r="AO836" s="423"/>
      <c r="AP836" s="413"/>
      <c r="AQ836" s="222"/>
      <c r="AR836" s="424"/>
      <c r="AS836" s="614">
        <f ca="1">表格1_6[[#This Row],[total amount]]/表格1_6[[#This Row],[PO$]]</f>
        <v>1</v>
      </c>
      <c r="AT836" s="223">
        <f ca="1">表格1_6[[#This Row],[invoice amount]]+表格1_6[[#This Row],[invoice amount2]]</f>
        <v>5947.97</v>
      </c>
      <c r="AU836" s="224" t="s">
        <v>3701</v>
      </c>
      <c r="AV836" s="423"/>
      <c r="AW836" s="423" t="e">
        <f ca="1">VLOOKUP(表格1_6[[#This Row],[TI tool ID2]],工作表1!A:A,1,FALSE)</f>
        <v>#N/A</v>
      </c>
      <c r="AX836" s="425" t="e">
        <f ca="1">VLOOKUP(表格1_6[[#This Row],[PO+ITEM]],工作表1!B:E,2,FALSE)</f>
        <v>#N/A</v>
      </c>
      <c r="AY836" s="425" t="e">
        <f ca="1">VLOOKUP(表格1_6[[#This Row],[PO+ITEM]],工作表1!B:E,3,FALSE)</f>
        <v>#N/A</v>
      </c>
      <c r="AZ836" s="423" t="e">
        <f ca="1">VLOOKUP(表格1_6[[#This Row],[PO+ITEM]],工作表1!B:E,4,FALSE)</f>
        <v>#N/A</v>
      </c>
      <c r="BA836" s="425" t="e">
        <f ca="1">INDEX(工作表1!G:G, MATCH(表格1_6[[#This Row],[invoice number]]&amp;表格1_6[[#This Row],[invoice number2]],工作表1!G:G, 0))</f>
        <v>#N/A</v>
      </c>
      <c r="BB836" s="423" t="e">
        <f ca="1">VLOOKUP(表格1_6[[#This Row],[PO+ITEM]],工作表1!F:H,2,FALSE)</f>
        <v>#N/A</v>
      </c>
    </row>
    <row r="837" spans="1:54" ht="15.6">
      <c r="A837" s="413">
        <v>836</v>
      </c>
      <c r="B837" s="413" t="s">
        <v>3674</v>
      </c>
      <c r="C837" s="414" t="s">
        <v>16</v>
      </c>
      <c r="D837" s="414" t="s">
        <v>3648</v>
      </c>
      <c r="E837" s="414"/>
      <c r="F837" s="414"/>
      <c r="G837" s="414"/>
      <c r="H837" s="414"/>
      <c r="I837" s="414"/>
      <c r="J837" s="414"/>
      <c r="K837" s="414"/>
      <c r="L837" s="415" t="s">
        <v>5594</v>
      </c>
      <c r="M837" s="416" t="s">
        <v>4269</v>
      </c>
      <c r="N837" s="416" t="s">
        <v>2999</v>
      </c>
      <c r="O837" s="417"/>
      <c r="P837" s="416">
        <v>4590007772</v>
      </c>
      <c r="Q837" s="418">
        <v>44861</v>
      </c>
      <c r="R837" s="419" t="s">
        <v>5595</v>
      </c>
      <c r="S837" s="458">
        <f>11930.86/2</f>
        <v>5965.43</v>
      </c>
      <c r="T837" s="420" t="s">
        <v>2156</v>
      </c>
      <c r="U837" s="414" t="s">
        <v>3926</v>
      </c>
      <c r="V837" s="414" t="s">
        <v>3927</v>
      </c>
      <c r="W837" s="417" t="s">
        <v>3928</v>
      </c>
      <c r="X837" s="417"/>
      <c r="Y837" s="421" t="s">
        <v>3652</v>
      </c>
      <c r="Z837" s="421" t="s">
        <v>3652</v>
      </c>
      <c r="AA837" s="416" t="s">
        <v>4270</v>
      </c>
      <c r="AB837" s="414" t="s">
        <v>3664</v>
      </c>
      <c r="AC837" s="426"/>
      <c r="AD837" s="421"/>
      <c r="AE837" s="420"/>
      <c r="AF837" s="421"/>
      <c r="AG837" s="420" t="s">
        <v>3341</v>
      </c>
      <c r="AH837" s="421" t="s">
        <v>4109</v>
      </c>
      <c r="AI837" s="420" t="s">
        <v>3666</v>
      </c>
      <c r="AJ837" s="413" t="str">
        <f t="shared" si="54"/>
        <v>4590007772_012-1</v>
      </c>
      <c r="AK837" s="423" t="s">
        <v>5596</v>
      </c>
      <c r="AL837" s="424">
        <v>45108</v>
      </c>
      <c r="AM837" s="221">
        <v>0</v>
      </c>
      <c r="AN837" s="431" t="s">
        <v>3788</v>
      </c>
      <c r="AO837" s="425" t="s">
        <v>5597</v>
      </c>
      <c r="AP837" s="424">
        <v>45541</v>
      </c>
      <c r="AQ837" s="221">
        <v>5965.43</v>
      </c>
      <c r="AR837" s="424" t="s">
        <v>3805</v>
      </c>
      <c r="AS837" s="614">
        <f ca="1">表格1_6[[#This Row],[total amount]]/表格1_6[[#This Row],[PO$]]</f>
        <v>1</v>
      </c>
      <c r="AT837" s="223">
        <f ca="1">表格1_6[[#This Row],[invoice amount]]+表格1_6[[#This Row],[invoice amount2]]</f>
        <v>5965.43</v>
      </c>
      <c r="AU837" s="224" t="s">
        <v>3701</v>
      </c>
      <c r="AV837" s="423" t="s">
        <v>5529</v>
      </c>
      <c r="AW837" s="423" t="e">
        <f ca="1">VLOOKUP(表格1_6[[#This Row],[TI tool ID2]],工作表1!A:A,1,FALSE)</f>
        <v>#N/A</v>
      </c>
      <c r="AX837" s="425" t="e">
        <f ca="1">VLOOKUP(表格1_6[[#This Row],[PO+ITEM]],工作表1!B:E,2,FALSE)</f>
        <v>#N/A</v>
      </c>
      <c r="AY837" s="425" t="e">
        <f ca="1">VLOOKUP(表格1_6[[#This Row],[PO+ITEM]],工作表1!B:E,3,FALSE)</f>
        <v>#N/A</v>
      </c>
      <c r="AZ837" s="423" t="e">
        <f ca="1">VLOOKUP(表格1_6[[#This Row],[PO+ITEM]],工作表1!B:E,4,FALSE)</f>
        <v>#N/A</v>
      </c>
      <c r="BA837" s="425" t="e">
        <f ca="1">INDEX(工作表1!G:G, MATCH(表格1_6[[#This Row],[invoice number]]&amp;表格1_6[[#This Row],[invoice number2]],工作表1!G:G, 0))</f>
        <v>#N/A</v>
      </c>
      <c r="BB837" s="423" t="e">
        <f ca="1">VLOOKUP(表格1_6[[#This Row],[PO+ITEM]],工作表1!F:H,2,FALSE)</f>
        <v>#N/A</v>
      </c>
    </row>
    <row r="838" spans="1:54" ht="14.45">
      <c r="A838" s="413">
        <v>837</v>
      </c>
      <c r="B838" s="413" t="s">
        <v>3659</v>
      </c>
      <c r="C838" s="414" t="s">
        <v>16</v>
      </c>
      <c r="D838" s="414" t="s">
        <v>3648</v>
      </c>
      <c r="E838" s="414"/>
      <c r="F838" s="414"/>
      <c r="G838" s="414"/>
      <c r="H838" s="414"/>
      <c r="I838" s="414"/>
      <c r="J838" s="414"/>
      <c r="K838" s="414"/>
      <c r="L838" s="415" t="s">
        <v>5594</v>
      </c>
      <c r="M838" s="416" t="s">
        <v>4269</v>
      </c>
      <c r="N838" s="416" t="s">
        <v>2999</v>
      </c>
      <c r="O838" s="417"/>
      <c r="P838" s="416">
        <v>4590007772</v>
      </c>
      <c r="Q838" s="418">
        <v>44861</v>
      </c>
      <c r="R838" s="419" t="s">
        <v>5598</v>
      </c>
      <c r="S838" s="458">
        <f>11930.86/2</f>
        <v>5965.43</v>
      </c>
      <c r="T838" s="420" t="s">
        <v>2156</v>
      </c>
      <c r="U838" s="414" t="s">
        <v>3926</v>
      </c>
      <c r="V838" s="414" t="s">
        <v>3927</v>
      </c>
      <c r="W838" s="417" t="s">
        <v>3928</v>
      </c>
      <c r="X838" s="417"/>
      <c r="Y838" s="421" t="s">
        <v>3652</v>
      </c>
      <c r="Z838" s="421" t="s">
        <v>3652</v>
      </c>
      <c r="AA838" s="416" t="s">
        <v>4270</v>
      </c>
      <c r="AB838" s="414" t="s">
        <v>3664</v>
      </c>
      <c r="AC838" s="426"/>
      <c r="AD838" s="421"/>
      <c r="AE838" s="420"/>
      <c r="AF838" s="421"/>
      <c r="AG838" s="420" t="s">
        <v>3344</v>
      </c>
      <c r="AH838" s="421" t="s">
        <v>4109</v>
      </c>
      <c r="AI838" s="420" t="s">
        <v>3666</v>
      </c>
      <c r="AJ838" s="413" t="str">
        <f t="shared" si="54"/>
        <v>4590007772_012-2</v>
      </c>
      <c r="AK838" s="420"/>
      <c r="AL838" s="413"/>
      <c r="AM838" s="221"/>
      <c r="AN838" s="424"/>
      <c r="AO838" s="423"/>
      <c r="AP838" s="413"/>
      <c r="AQ838" s="222"/>
      <c r="AR838" s="424"/>
      <c r="AS838" s="614">
        <f ca="1">表格1_6[[#This Row],[total amount]]/表格1_6[[#This Row],[PO$]]</f>
        <v>0</v>
      </c>
      <c r="AT838" s="223">
        <f ca="1">表格1_6[[#This Row],[invoice amount]]+表格1_6[[#This Row],[invoice amount2]]</f>
        <v>0</v>
      </c>
      <c r="AU838" s="224"/>
      <c r="AV838" s="423"/>
      <c r="AW838" s="423" t="e">
        <f ca="1">VLOOKUP(表格1_6[[#This Row],[TI tool ID2]],工作表1!A:A,1,FALSE)</f>
        <v>#N/A</v>
      </c>
      <c r="AX838" s="425" t="e">
        <f ca="1">VLOOKUP(表格1_6[[#This Row],[PO+ITEM]],工作表1!B:E,2,FALSE)</f>
        <v>#N/A</v>
      </c>
      <c r="AY838" s="425" t="e">
        <f ca="1">VLOOKUP(表格1_6[[#This Row],[PO+ITEM]],工作表1!B:E,3,FALSE)</f>
        <v>#N/A</v>
      </c>
      <c r="AZ838" s="423" t="e">
        <f ca="1">VLOOKUP(表格1_6[[#This Row],[PO+ITEM]],工作表1!B:E,4,FALSE)</f>
        <v>#N/A</v>
      </c>
      <c r="BA838" s="425" t="e">
        <f ca="1">INDEX(工作表1!G:G, MATCH(表格1_6[[#This Row],[invoice number]]&amp;表格1_6[[#This Row],[invoice number2]],工作表1!G:G, 0))</f>
        <v>#N/A</v>
      </c>
      <c r="BB838" s="423" t="e">
        <f ca="1">VLOOKUP(表格1_6[[#This Row],[PO+ITEM]],工作表1!F:H,2,FALSE)</f>
        <v>#N/A</v>
      </c>
    </row>
    <row r="839" spans="1:54" ht="15.6">
      <c r="A839" s="413">
        <v>838</v>
      </c>
      <c r="B839" s="413" t="s">
        <v>3674</v>
      </c>
      <c r="C839" s="414" t="s">
        <v>16</v>
      </c>
      <c r="D839" s="414" t="s">
        <v>3648</v>
      </c>
      <c r="E839" s="414"/>
      <c r="F839" s="414"/>
      <c r="G839" s="414"/>
      <c r="H839" s="414"/>
      <c r="I839" s="414"/>
      <c r="J839" s="414"/>
      <c r="K839" s="414"/>
      <c r="L839" s="415" t="s">
        <v>5599</v>
      </c>
      <c r="M839" s="416" t="s">
        <v>4269</v>
      </c>
      <c r="N839" s="416" t="s">
        <v>2999</v>
      </c>
      <c r="O839" s="417"/>
      <c r="P839" s="416">
        <v>4590007772</v>
      </c>
      <c r="Q839" s="418">
        <v>44861</v>
      </c>
      <c r="R839" s="419">
        <v>13</v>
      </c>
      <c r="S839" s="458">
        <v>5965.43</v>
      </c>
      <c r="T839" s="420" t="s">
        <v>2156</v>
      </c>
      <c r="U839" s="414" t="s">
        <v>3926</v>
      </c>
      <c r="V839" s="414" t="s">
        <v>3927</v>
      </c>
      <c r="W839" s="417" t="s">
        <v>3928</v>
      </c>
      <c r="X839" s="417"/>
      <c r="Y839" s="421" t="s">
        <v>3652</v>
      </c>
      <c r="Z839" s="421" t="s">
        <v>3652</v>
      </c>
      <c r="AA839" s="416" t="s">
        <v>4270</v>
      </c>
      <c r="AB839" s="414" t="s">
        <v>3664</v>
      </c>
      <c r="AC839" s="426"/>
      <c r="AD839" s="421"/>
      <c r="AE839" s="420"/>
      <c r="AF839" s="421"/>
      <c r="AG839" s="420" t="s">
        <v>3348</v>
      </c>
      <c r="AH839" s="421" t="s">
        <v>4109</v>
      </c>
      <c r="AI839" s="420" t="s">
        <v>3666</v>
      </c>
      <c r="AJ839" s="413" t="str">
        <f t="shared" si="54"/>
        <v>4590007772_013</v>
      </c>
      <c r="AK839" s="423" t="s">
        <v>5600</v>
      </c>
      <c r="AL839" s="424">
        <v>45108</v>
      </c>
      <c r="AM839" s="221">
        <v>0</v>
      </c>
      <c r="AN839" s="431" t="s">
        <v>3788</v>
      </c>
      <c r="AO839" s="425" t="s">
        <v>5601</v>
      </c>
      <c r="AP839" s="424">
        <v>45541</v>
      </c>
      <c r="AQ839" s="221">
        <v>5965.43</v>
      </c>
      <c r="AR839" s="424" t="s">
        <v>3805</v>
      </c>
      <c r="AS839" s="614">
        <f ca="1">表格1_6[[#This Row],[total amount]]/表格1_6[[#This Row],[PO$]]</f>
        <v>1</v>
      </c>
      <c r="AT839" s="223">
        <f ca="1">表格1_6[[#This Row],[invoice amount]]+表格1_6[[#This Row],[invoice amount2]]</f>
        <v>5965.43</v>
      </c>
      <c r="AU839" s="224" t="s">
        <v>3701</v>
      </c>
      <c r="AV839" s="423" t="s">
        <v>5529</v>
      </c>
      <c r="AW839" s="423" t="e">
        <f ca="1">VLOOKUP(表格1_6[[#This Row],[TI tool ID2]],工作表1!A:A,1,FALSE)</f>
        <v>#N/A</v>
      </c>
      <c r="AX839" s="425" t="e">
        <f ca="1">VLOOKUP(表格1_6[[#This Row],[PO+ITEM]],工作表1!B:E,2,FALSE)</f>
        <v>#N/A</v>
      </c>
      <c r="AY839" s="425" t="e">
        <f ca="1">VLOOKUP(表格1_6[[#This Row],[PO+ITEM]],工作表1!B:E,3,FALSE)</f>
        <v>#N/A</v>
      </c>
      <c r="AZ839" s="423" t="e">
        <f ca="1">VLOOKUP(表格1_6[[#This Row],[PO+ITEM]],工作表1!B:E,4,FALSE)</f>
        <v>#N/A</v>
      </c>
      <c r="BA839" s="425" t="e">
        <f ca="1">INDEX(工作表1!G:G, MATCH(表格1_6[[#This Row],[invoice number]]&amp;表格1_6[[#This Row],[invoice number2]],工作表1!G:G, 0))</f>
        <v>#N/A</v>
      </c>
      <c r="BB839" s="423" t="e">
        <f ca="1">VLOOKUP(表格1_6[[#This Row],[PO+ITEM]],工作表1!F:H,2,FALSE)</f>
        <v>#N/A</v>
      </c>
    </row>
    <row r="840" spans="1:54" ht="15.6">
      <c r="A840" s="413">
        <v>839</v>
      </c>
      <c r="B840" s="413" t="s">
        <v>3674</v>
      </c>
      <c r="C840" s="414" t="s">
        <v>16</v>
      </c>
      <c r="D840" s="414" t="s">
        <v>3648</v>
      </c>
      <c r="E840" s="414"/>
      <c r="F840" s="414"/>
      <c r="G840" s="414"/>
      <c r="H840" s="414"/>
      <c r="I840" s="414"/>
      <c r="J840" s="414"/>
      <c r="K840" s="414"/>
      <c r="L840" s="415" t="s">
        <v>5602</v>
      </c>
      <c r="M840" s="416" t="s">
        <v>4269</v>
      </c>
      <c r="N840" s="416" t="s">
        <v>2999</v>
      </c>
      <c r="O840" s="417"/>
      <c r="P840" s="416">
        <v>4590007772</v>
      </c>
      <c r="Q840" s="418">
        <v>44861</v>
      </c>
      <c r="R840" s="419">
        <v>14</v>
      </c>
      <c r="S840" s="458">
        <v>5965.43</v>
      </c>
      <c r="T840" s="420" t="s">
        <v>2156</v>
      </c>
      <c r="U840" s="414" t="s">
        <v>3926</v>
      </c>
      <c r="V840" s="414" t="s">
        <v>3927</v>
      </c>
      <c r="W840" s="417" t="s">
        <v>3928</v>
      </c>
      <c r="X840" s="417"/>
      <c r="Y840" s="421" t="s">
        <v>3652</v>
      </c>
      <c r="Z840" s="421" t="s">
        <v>3652</v>
      </c>
      <c r="AA840" s="416" t="s">
        <v>4270</v>
      </c>
      <c r="AB840" s="414" t="s">
        <v>3664</v>
      </c>
      <c r="AC840" s="426"/>
      <c r="AD840" s="421"/>
      <c r="AE840" s="420"/>
      <c r="AF840" s="421"/>
      <c r="AG840" s="420" t="s">
        <v>3201</v>
      </c>
      <c r="AH840" s="421" t="s">
        <v>4109</v>
      </c>
      <c r="AI840" s="420" t="s">
        <v>3666</v>
      </c>
      <c r="AJ840" s="413" t="str">
        <f t="shared" si="54"/>
        <v>4590007772_014</v>
      </c>
      <c r="AK840" s="423" t="s">
        <v>5603</v>
      </c>
      <c r="AL840" s="424">
        <v>45408</v>
      </c>
      <c r="AM840" s="221">
        <v>5965.43</v>
      </c>
      <c r="AN840" s="431">
        <v>45488</v>
      </c>
      <c r="AO840" s="423"/>
      <c r="AP840" s="413"/>
      <c r="AQ840" s="222"/>
      <c r="AR840" s="424"/>
      <c r="AS840" s="614">
        <f ca="1">表格1_6[[#This Row],[total amount]]/表格1_6[[#This Row],[PO$]]</f>
        <v>1</v>
      </c>
      <c r="AT840" s="223">
        <f ca="1">表格1_6[[#This Row],[invoice amount]]+表格1_6[[#This Row],[invoice amount2]]</f>
        <v>5965.43</v>
      </c>
      <c r="AU840" s="224" t="s">
        <v>3725</v>
      </c>
      <c r="AV840" s="423" t="s">
        <v>5604</v>
      </c>
      <c r="AW840" s="423" t="e">
        <f ca="1">VLOOKUP(表格1_6[[#This Row],[TI tool ID2]],工作表1!A:A,1,FALSE)</f>
        <v>#N/A</v>
      </c>
      <c r="AX840" s="425" t="e">
        <f ca="1">VLOOKUP(表格1_6[[#This Row],[PO+ITEM]],工作表1!B:E,2,FALSE)</f>
        <v>#N/A</v>
      </c>
      <c r="AY840" s="425" t="e">
        <f ca="1">VLOOKUP(表格1_6[[#This Row],[PO+ITEM]],工作表1!B:E,3,FALSE)</f>
        <v>#N/A</v>
      </c>
      <c r="AZ840" s="423" t="e">
        <f ca="1">VLOOKUP(表格1_6[[#This Row],[PO+ITEM]],工作表1!B:E,4,FALSE)</f>
        <v>#N/A</v>
      </c>
      <c r="BA840" s="425" t="e">
        <f ca="1">INDEX(工作表1!G:G, MATCH(表格1_6[[#This Row],[invoice number]]&amp;表格1_6[[#This Row],[invoice number2]],工作表1!G:G, 0))</f>
        <v>#N/A</v>
      </c>
      <c r="BB840" s="423" t="e">
        <f ca="1">VLOOKUP(表格1_6[[#This Row],[PO+ITEM]],工作表1!F:H,2,FALSE)</f>
        <v>#N/A</v>
      </c>
    </row>
    <row r="841" spans="1:54" ht="15.6">
      <c r="A841" s="413">
        <v>840</v>
      </c>
      <c r="B841" s="413" t="s">
        <v>3674</v>
      </c>
      <c r="C841" s="414" t="s">
        <v>17</v>
      </c>
      <c r="D841" s="414" t="s">
        <v>3648</v>
      </c>
      <c r="E841" s="414"/>
      <c r="F841" s="414"/>
      <c r="G841" s="414"/>
      <c r="H841" s="414"/>
      <c r="I841" s="414"/>
      <c r="J841" s="414"/>
      <c r="K841" s="414"/>
      <c r="L841" s="415" t="s">
        <v>5605</v>
      </c>
      <c r="M841" s="416" t="s">
        <v>2999</v>
      </c>
      <c r="N841" s="416" t="s">
        <v>2999</v>
      </c>
      <c r="O841" s="417"/>
      <c r="P841" s="416">
        <v>4590007911</v>
      </c>
      <c r="Q841" s="418">
        <v>44867</v>
      </c>
      <c r="R841" s="419">
        <v>1</v>
      </c>
      <c r="S841" s="458">
        <v>59149.02</v>
      </c>
      <c r="T841" s="420" t="s">
        <v>2156</v>
      </c>
      <c r="U841" s="414" t="s">
        <v>3913</v>
      </c>
      <c r="V841" s="414" t="s">
        <v>3914</v>
      </c>
      <c r="W841" s="417" t="s">
        <v>3915</v>
      </c>
      <c r="X841" s="417"/>
      <c r="Y841" s="421" t="s">
        <v>3652</v>
      </c>
      <c r="Z841" s="421" t="s">
        <v>3652</v>
      </c>
      <c r="AA841" s="416"/>
      <c r="AB841" s="414" t="s">
        <v>5606</v>
      </c>
      <c r="AC841" s="426"/>
      <c r="AD841" s="421"/>
      <c r="AE841" s="420"/>
      <c r="AF841" s="421">
        <v>90713</v>
      </c>
      <c r="AG841" s="420" t="s">
        <v>5607</v>
      </c>
      <c r="AH841" s="421" t="s">
        <v>3918</v>
      </c>
      <c r="AI841" s="420" t="s">
        <v>3919</v>
      </c>
      <c r="AJ841" s="413" t="str">
        <f t="shared" ref="AJ841:AJ851" si="55">P841&amp;"_00"&amp;R841</f>
        <v>4590007911_001</v>
      </c>
      <c r="AK841" s="423" t="s">
        <v>5608</v>
      </c>
      <c r="AL841" s="424">
        <v>44985</v>
      </c>
      <c r="AM841" s="221">
        <v>23659.608</v>
      </c>
      <c r="AN841" s="226">
        <v>45015</v>
      </c>
      <c r="AO841" s="423" t="s">
        <v>5609</v>
      </c>
      <c r="AP841" s="424">
        <v>45436</v>
      </c>
      <c r="AQ841" s="222">
        <v>35489.411999999997</v>
      </c>
      <c r="AR841" s="424" t="s">
        <v>3805</v>
      </c>
      <c r="AS841" s="614">
        <f ca="1">表格1_6[[#This Row],[total amount]]/表格1_6[[#This Row],[PO$]]</f>
        <v>1</v>
      </c>
      <c r="AT841" s="223">
        <f ca="1">表格1_6[[#This Row],[invoice amount]]+表格1_6[[#This Row],[invoice amount2]]</f>
        <v>59149.02</v>
      </c>
      <c r="AU841" s="224" t="s">
        <v>4371</v>
      </c>
      <c r="AV841" s="423"/>
      <c r="AW841" s="423" t="e">
        <f ca="1">VLOOKUP(表格1_6[[#This Row],[TI tool ID2]],工作表1!A:A,1,FALSE)</f>
        <v>#N/A</v>
      </c>
      <c r="AX841" s="425" t="e">
        <f ca="1">VLOOKUP(表格1_6[[#This Row],[PO+ITEM]],工作表1!B:E,2,FALSE)</f>
        <v>#N/A</v>
      </c>
      <c r="AY841" s="425" t="e">
        <f ca="1">VLOOKUP(表格1_6[[#This Row],[PO+ITEM]],工作表1!B:E,3,FALSE)</f>
        <v>#N/A</v>
      </c>
      <c r="AZ841" s="423" t="e">
        <f ca="1">VLOOKUP(表格1_6[[#This Row],[PO+ITEM]],工作表1!B:E,4,FALSE)</f>
        <v>#N/A</v>
      </c>
      <c r="BA841" s="425" t="e">
        <f ca="1">INDEX(工作表1!G:G, MATCH(表格1_6[[#This Row],[invoice number]]&amp;表格1_6[[#This Row],[invoice number2]],工作表1!G:G, 0))</f>
        <v>#N/A</v>
      </c>
      <c r="BB841" s="423" t="e">
        <f ca="1">VLOOKUP(表格1_6[[#This Row],[PO+ITEM]],工作表1!F:H,2,FALSE)</f>
        <v>#N/A</v>
      </c>
    </row>
    <row r="842" spans="1:54" ht="15.6">
      <c r="A842" s="413">
        <v>841</v>
      </c>
      <c r="B842" s="413" t="s">
        <v>3659</v>
      </c>
      <c r="C842" s="414" t="s">
        <v>17</v>
      </c>
      <c r="D842" s="414" t="s">
        <v>3648</v>
      </c>
      <c r="E842" s="414"/>
      <c r="F842" s="414"/>
      <c r="G842" s="414"/>
      <c r="H842" s="414"/>
      <c r="I842" s="414"/>
      <c r="J842" s="414"/>
      <c r="K842" s="414"/>
      <c r="L842" s="415" t="s">
        <v>5610</v>
      </c>
      <c r="M842" s="416" t="s">
        <v>2999</v>
      </c>
      <c r="N842" s="416" t="s">
        <v>2999</v>
      </c>
      <c r="O842" s="417"/>
      <c r="P842" s="416">
        <v>4590007911</v>
      </c>
      <c r="Q842" s="418">
        <v>44867</v>
      </c>
      <c r="R842" s="419">
        <v>2</v>
      </c>
      <c r="S842" s="458">
        <v>59149.02</v>
      </c>
      <c r="T842" s="420" t="s">
        <v>2156</v>
      </c>
      <c r="U842" s="414" t="s">
        <v>3913</v>
      </c>
      <c r="V842" s="414" t="s">
        <v>3914</v>
      </c>
      <c r="W842" s="417" t="s">
        <v>3915</v>
      </c>
      <c r="X842" s="417"/>
      <c r="Y842" s="421" t="s">
        <v>3652</v>
      </c>
      <c r="Z842" s="421" t="s">
        <v>3652</v>
      </c>
      <c r="AA842" s="416"/>
      <c r="AB842" s="414" t="s">
        <v>5606</v>
      </c>
      <c r="AC842" s="426"/>
      <c r="AD842" s="421"/>
      <c r="AE842" s="420"/>
      <c r="AF842" s="421">
        <v>91195</v>
      </c>
      <c r="AG842" s="420" t="s">
        <v>5611</v>
      </c>
      <c r="AH842" s="421" t="s">
        <v>3918</v>
      </c>
      <c r="AI842" s="420" t="s">
        <v>3919</v>
      </c>
      <c r="AJ842" s="413" t="str">
        <f t="shared" si="55"/>
        <v>4590007911_002</v>
      </c>
      <c r="AK842" s="423" t="s">
        <v>5612</v>
      </c>
      <c r="AL842" s="424">
        <v>44985</v>
      </c>
      <c r="AM842" s="221">
        <v>23659.608</v>
      </c>
      <c r="AN842" s="226">
        <v>45015</v>
      </c>
      <c r="AO842" s="423"/>
      <c r="AP842" s="413"/>
      <c r="AQ842" s="222"/>
      <c r="AR842" s="424"/>
      <c r="AS842" s="614">
        <f ca="1">表格1_6[[#This Row],[total amount]]/表格1_6[[#This Row],[PO$]]</f>
        <v>0.4</v>
      </c>
      <c r="AT842" s="223">
        <f ca="1">表格1_6[[#This Row],[invoice amount]]+表格1_6[[#This Row],[invoice amount2]]</f>
        <v>23659.608</v>
      </c>
      <c r="AU842" s="224" t="s">
        <v>3673</v>
      </c>
      <c r="AV842" s="423"/>
      <c r="AW842" s="423" t="e">
        <f ca="1">VLOOKUP(表格1_6[[#This Row],[TI tool ID2]],工作表1!A:A,1,FALSE)</f>
        <v>#N/A</v>
      </c>
      <c r="AX842" s="425" t="e">
        <f ca="1">VLOOKUP(表格1_6[[#This Row],[PO+ITEM]],工作表1!B:E,2,FALSE)</f>
        <v>#N/A</v>
      </c>
      <c r="AY842" s="425" t="e">
        <f ca="1">VLOOKUP(表格1_6[[#This Row],[PO+ITEM]],工作表1!B:E,3,FALSE)</f>
        <v>#N/A</v>
      </c>
      <c r="AZ842" s="423" t="e">
        <f ca="1">VLOOKUP(表格1_6[[#This Row],[PO+ITEM]],工作表1!B:E,4,FALSE)</f>
        <v>#N/A</v>
      </c>
      <c r="BA842" s="425" t="e">
        <f ca="1">INDEX(工作表1!G:G, MATCH(表格1_6[[#This Row],[invoice number]]&amp;表格1_6[[#This Row],[invoice number2]],工作表1!G:G, 0))</f>
        <v>#N/A</v>
      </c>
      <c r="BB842" s="423" t="e">
        <f ca="1">VLOOKUP(表格1_6[[#This Row],[PO+ITEM]],工作表1!F:H,2,FALSE)</f>
        <v>#N/A</v>
      </c>
    </row>
    <row r="843" spans="1:54" ht="15.6">
      <c r="A843" s="413">
        <v>842</v>
      </c>
      <c r="B843" s="413" t="s">
        <v>3674</v>
      </c>
      <c r="C843" s="414" t="s">
        <v>17</v>
      </c>
      <c r="D843" s="414" t="s">
        <v>3648</v>
      </c>
      <c r="E843" s="414"/>
      <c r="F843" s="414"/>
      <c r="G843" s="414"/>
      <c r="H843" s="414"/>
      <c r="I843" s="414"/>
      <c r="J843" s="414"/>
      <c r="K843" s="414"/>
      <c r="L843" s="415" t="s">
        <v>5613</v>
      </c>
      <c r="M843" s="416" t="s">
        <v>2999</v>
      </c>
      <c r="N843" s="416" t="s">
        <v>2999</v>
      </c>
      <c r="O843" s="417"/>
      <c r="P843" s="416">
        <v>4590007912</v>
      </c>
      <c r="Q843" s="418">
        <v>44867</v>
      </c>
      <c r="R843" s="419">
        <v>1</v>
      </c>
      <c r="S843" s="458">
        <v>181112.68</v>
      </c>
      <c r="T843" s="420" t="s">
        <v>2156</v>
      </c>
      <c r="U843" s="414" t="s">
        <v>3913</v>
      </c>
      <c r="V843" s="414" t="s">
        <v>3914</v>
      </c>
      <c r="W843" s="417" t="s">
        <v>3915</v>
      </c>
      <c r="X843" s="417"/>
      <c r="Y843" s="421" t="s">
        <v>3652</v>
      </c>
      <c r="Z843" s="421" t="s">
        <v>3652</v>
      </c>
      <c r="AA843" s="416"/>
      <c r="AB843" s="414" t="s">
        <v>5614</v>
      </c>
      <c r="AC843" s="426"/>
      <c r="AD843" s="421"/>
      <c r="AE843" s="420"/>
      <c r="AF843" s="421">
        <v>90728</v>
      </c>
      <c r="AG843" s="420" t="s">
        <v>5615</v>
      </c>
      <c r="AH843" s="421" t="s">
        <v>3918</v>
      </c>
      <c r="AI843" s="420" t="s">
        <v>3919</v>
      </c>
      <c r="AJ843" s="413" t="str">
        <f t="shared" si="55"/>
        <v>4590007912_001</v>
      </c>
      <c r="AK843" s="423" t="s">
        <v>5616</v>
      </c>
      <c r="AL843" s="424">
        <v>44985</v>
      </c>
      <c r="AM843" s="221">
        <v>72445.072</v>
      </c>
      <c r="AN843" s="228">
        <v>45030</v>
      </c>
      <c r="AO843" s="423" t="s">
        <v>5617</v>
      </c>
      <c r="AP843" s="424">
        <v>45408</v>
      </c>
      <c r="AQ843" s="222">
        <v>108667.60799999999</v>
      </c>
      <c r="AR843" s="424">
        <v>45471</v>
      </c>
      <c r="AS843" s="614">
        <f ca="1">表格1_6[[#This Row],[total amount]]/表格1_6[[#This Row],[PO$]]</f>
        <v>1</v>
      </c>
      <c r="AT843" s="223">
        <f ca="1">表格1_6[[#This Row],[invoice amount]]+表格1_6[[#This Row],[invoice amount2]]</f>
        <v>181112.68</v>
      </c>
      <c r="AU843" s="224" t="s">
        <v>3673</v>
      </c>
      <c r="AV843" s="423"/>
      <c r="AW843" s="423" t="e">
        <f ca="1">VLOOKUP(表格1_6[[#This Row],[TI tool ID2]],工作表1!A:A,1,FALSE)</f>
        <v>#N/A</v>
      </c>
      <c r="AX843" s="425" t="e">
        <f ca="1">VLOOKUP(表格1_6[[#This Row],[PO+ITEM]],工作表1!B:E,2,FALSE)</f>
        <v>#N/A</v>
      </c>
      <c r="AY843" s="425" t="e">
        <f ca="1">VLOOKUP(表格1_6[[#This Row],[PO+ITEM]],工作表1!B:E,3,FALSE)</f>
        <v>#N/A</v>
      </c>
      <c r="AZ843" s="423" t="e">
        <f ca="1">VLOOKUP(表格1_6[[#This Row],[PO+ITEM]],工作表1!B:E,4,FALSE)</f>
        <v>#N/A</v>
      </c>
      <c r="BA843" s="425" t="e">
        <f ca="1">INDEX(工作表1!G:G, MATCH(表格1_6[[#This Row],[invoice number]]&amp;表格1_6[[#This Row],[invoice number2]],工作表1!G:G, 0))</f>
        <v>#N/A</v>
      </c>
      <c r="BB843" s="423" t="e">
        <f ca="1">VLOOKUP(表格1_6[[#This Row],[PO+ITEM]],工作表1!F:H,2,FALSE)</f>
        <v>#N/A</v>
      </c>
    </row>
    <row r="844" spans="1:54" ht="15.6">
      <c r="A844" s="413">
        <v>843</v>
      </c>
      <c r="B844" s="413" t="s">
        <v>3674</v>
      </c>
      <c r="C844" s="414" t="s">
        <v>17</v>
      </c>
      <c r="D844" s="414" t="s">
        <v>3648</v>
      </c>
      <c r="E844" s="414"/>
      <c r="F844" s="414"/>
      <c r="G844" s="414"/>
      <c r="H844" s="414"/>
      <c r="I844" s="414"/>
      <c r="J844" s="414"/>
      <c r="K844" s="414"/>
      <c r="L844" s="415" t="s">
        <v>5618</v>
      </c>
      <c r="M844" s="416" t="s">
        <v>2999</v>
      </c>
      <c r="N844" s="416" t="s">
        <v>2999</v>
      </c>
      <c r="O844" s="417"/>
      <c r="P844" s="416">
        <v>4590007912</v>
      </c>
      <c r="Q844" s="418">
        <v>44867</v>
      </c>
      <c r="R844" s="419">
        <v>2</v>
      </c>
      <c r="S844" s="458">
        <v>86299.29</v>
      </c>
      <c r="T844" s="420" t="s">
        <v>2156</v>
      </c>
      <c r="U844" s="414" t="s">
        <v>3913</v>
      </c>
      <c r="V844" s="414" t="s">
        <v>3914</v>
      </c>
      <c r="W844" s="417" t="s">
        <v>3915</v>
      </c>
      <c r="X844" s="417"/>
      <c r="Y844" s="421" t="s">
        <v>3652</v>
      </c>
      <c r="Z844" s="421" t="s">
        <v>3652</v>
      </c>
      <c r="AA844" s="416"/>
      <c r="AB844" s="414" t="s">
        <v>5614</v>
      </c>
      <c r="AC844" s="426"/>
      <c r="AD844" s="421"/>
      <c r="AE844" s="420"/>
      <c r="AF844" s="421">
        <v>90741</v>
      </c>
      <c r="AG844" s="420" t="s">
        <v>5619</v>
      </c>
      <c r="AH844" s="421" t="s">
        <v>3918</v>
      </c>
      <c r="AI844" s="420" t="s">
        <v>3919</v>
      </c>
      <c r="AJ844" s="413" t="str">
        <f t="shared" si="55"/>
        <v>4590007912_002</v>
      </c>
      <c r="AK844" s="423"/>
      <c r="AL844" s="424">
        <v>44958</v>
      </c>
      <c r="AM844" s="221">
        <v>34519.716</v>
      </c>
      <c r="AN844" s="228">
        <v>45030</v>
      </c>
      <c r="AO844" s="573" t="s">
        <v>5620</v>
      </c>
      <c r="AP844" s="424">
        <v>45483</v>
      </c>
      <c r="AQ844" s="222">
        <v>51779.573999999993</v>
      </c>
      <c r="AR844" s="424"/>
      <c r="AS844" s="614">
        <f ca="1">表格1_6[[#This Row],[total amount]]/表格1_6[[#This Row],[PO$]]</f>
        <v>1</v>
      </c>
      <c r="AT844" s="223">
        <f ca="1">表格1_6[[#This Row],[invoice amount]]+表格1_6[[#This Row],[invoice amount2]]</f>
        <v>86299.29</v>
      </c>
      <c r="AU844" s="224" t="s">
        <v>4235</v>
      </c>
      <c r="AV844" s="423"/>
      <c r="AW844" s="423" t="e">
        <f ca="1">VLOOKUP(表格1_6[[#This Row],[TI tool ID2]],工作表1!A:A,1,FALSE)</f>
        <v>#N/A</v>
      </c>
      <c r="AX844" s="425" t="e">
        <f ca="1">VLOOKUP(表格1_6[[#This Row],[PO+ITEM]],工作表1!B:E,2,FALSE)</f>
        <v>#N/A</v>
      </c>
      <c r="AY844" s="425" t="e">
        <f ca="1">VLOOKUP(表格1_6[[#This Row],[PO+ITEM]],工作表1!B:E,3,FALSE)</f>
        <v>#N/A</v>
      </c>
      <c r="AZ844" s="423" t="e">
        <f ca="1">VLOOKUP(表格1_6[[#This Row],[PO+ITEM]],工作表1!B:E,4,FALSE)</f>
        <v>#N/A</v>
      </c>
      <c r="BA844" s="425" t="e">
        <f ca="1">INDEX(工作表1!G:G, MATCH(表格1_6[[#This Row],[invoice number]]&amp;表格1_6[[#This Row],[invoice number2]],工作表1!G:G, 0))</f>
        <v>#N/A</v>
      </c>
      <c r="BB844" s="423" t="e">
        <f ca="1">VLOOKUP(表格1_6[[#This Row],[PO+ITEM]],工作表1!F:H,2,FALSE)</f>
        <v>#N/A</v>
      </c>
    </row>
    <row r="845" spans="1:54" ht="15.6">
      <c r="A845" s="413">
        <v>844</v>
      </c>
      <c r="B845" s="413" t="s">
        <v>3674</v>
      </c>
      <c r="C845" s="414" t="s">
        <v>17</v>
      </c>
      <c r="D845" s="414" t="s">
        <v>3648</v>
      </c>
      <c r="E845" s="414"/>
      <c r="F845" s="414"/>
      <c r="G845" s="414"/>
      <c r="H845" s="414"/>
      <c r="I845" s="414"/>
      <c r="J845" s="414"/>
      <c r="K845" s="414"/>
      <c r="L845" s="415" t="s">
        <v>5621</v>
      </c>
      <c r="M845" s="416" t="s">
        <v>2999</v>
      </c>
      <c r="N845" s="416" t="s">
        <v>2999</v>
      </c>
      <c r="O845" s="417"/>
      <c r="P845" s="416">
        <v>4590007912</v>
      </c>
      <c r="Q845" s="418">
        <v>44867</v>
      </c>
      <c r="R845" s="419">
        <v>3</v>
      </c>
      <c r="S845" s="458">
        <v>66153.75</v>
      </c>
      <c r="T845" s="420" t="s">
        <v>2156</v>
      </c>
      <c r="U845" s="414" t="s">
        <v>3913</v>
      </c>
      <c r="V845" s="414" t="s">
        <v>3914</v>
      </c>
      <c r="W845" s="417" t="s">
        <v>3915</v>
      </c>
      <c r="X845" s="417"/>
      <c r="Y845" s="421" t="s">
        <v>3652</v>
      </c>
      <c r="Z845" s="421" t="s">
        <v>3652</v>
      </c>
      <c r="AA845" s="416"/>
      <c r="AB845" s="414" t="s">
        <v>5614</v>
      </c>
      <c r="AC845" s="426"/>
      <c r="AD845" s="421"/>
      <c r="AE845" s="420"/>
      <c r="AF845" s="421">
        <v>90740</v>
      </c>
      <c r="AG845" s="420" t="s">
        <v>5622</v>
      </c>
      <c r="AH845" s="421" t="s">
        <v>3918</v>
      </c>
      <c r="AI845" s="420" t="s">
        <v>3919</v>
      </c>
      <c r="AJ845" s="413" t="str">
        <f t="shared" si="55"/>
        <v>4590007912_003</v>
      </c>
      <c r="AK845" s="423" t="s">
        <v>5623</v>
      </c>
      <c r="AL845" s="424">
        <v>44985</v>
      </c>
      <c r="AM845" s="221">
        <v>26461.5</v>
      </c>
      <c r="AN845" s="226">
        <v>45015</v>
      </c>
      <c r="AO845" s="423" t="s">
        <v>5624</v>
      </c>
      <c r="AP845" s="424">
        <v>45450</v>
      </c>
      <c r="AQ845" s="222">
        <v>39692.25</v>
      </c>
      <c r="AR845" s="424">
        <v>45519</v>
      </c>
      <c r="AS845" s="614">
        <f ca="1">表格1_6[[#This Row],[total amount]]/表格1_6[[#This Row],[PO$]]</f>
        <v>1</v>
      </c>
      <c r="AT845" s="223">
        <f ca="1">表格1_6[[#This Row],[invoice amount]]+表格1_6[[#This Row],[invoice amount2]]</f>
        <v>66153.75</v>
      </c>
      <c r="AU845" s="224" t="s">
        <v>3657</v>
      </c>
      <c r="AV845" s="423"/>
      <c r="AW845" s="423" t="e">
        <f ca="1">VLOOKUP(表格1_6[[#This Row],[TI tool ID2]],工作表1!A:A,1,FALSE)</f>
        <v>#N/A</v>
      </c>
      <c r="AX845" s="425" t="e">
        <f ca="1">VLOOKUP(表格1_6[[#This Row],[PO+ITEM]],工作表1!B:E,2,FALSE)</f>
        <v>#N/A</v>
      </c>
      <c r="AY845" s="425" t="e">
        <f ca="1">VLOOKUP(表格1_6[[#This Row],[PO+ITEM]],工作表1!B:E,3,FALSE)</f>
        <v>#N/A</v>
      </c>
      <c r="AZ845" s="423" t="e">
        <f ca="1">VLOOKUP(表格1_6[[#This Row],[PO+ITEM]],工作表1!B:E,4,FALSE)</f>
        <v>#N/A</v>
      </c>
      <c r="BA845" s="425" t="e">
        <f ca="1">INDEX(工作表1!G:G, MATCH(表格1_6[[#This Row],[invoice number]]&amp;表格1_6[[#This Row],[invoice number2]],工作表1!G:G, 0))</f>
        <v>#N/A</v>
      </c>
      <c r="BB845" s="423" t="e">
        <f ca="1">VLOOKUP(表格1_6[[#This Row],[PO+ITEM]],工作表1!F:H,2,FALSE)</f>
        <v>#N/A</v>
      </c>
    </row>
    <row r="846" spans="1:54" ht="15.6">
      <c r="A846" s="413">
        <v>845</v>
      </c>
      <c r="B846" s="413" t="s">
        <v>3659</v>
      </c>
      <c r="C846" s="414" t="s">
        <v>17</v>
      </c>
      <c r="D846" s="414" t="s">
        <v>3648</v>
      </c>
      <c r="E846" s="414"/>
      <c r="F846" s="414"/>
      <c r="G846" s="414"/>
      <c r="H846" s="414"/>
      <c r="I846" s="414"/>
      <c r="J846" s="414"/>
      <c r="K846" s="414"/>
      <c r="L846" s="415" t="s">
        <v>5625</v>
      </c>
      <c r="M846" s="416" t="s">
        <v>2999</v>
      </c>
      <c r="N846" s="416" t="s">
        <v>2999</v>
      </c>
      <c r="O846" s="417"/>
      <c r="P846" s="416">
        <v>4590007912</v>
      </c>
      <c r="Q846" s="418">
        <v>44867</v>
      </c>
      <c r="R846" s="419">
        <v>4</v>
      </c>
      <c r="S846" s="458">
        <v>66153.75</v>
      </c>
      <c r="T846" s="420" t="s">
        <v>2156</v>
      </c>
      <c r="U846" s="414" t="s">
        <v>3913</v>
      </c>
      <c r="V846" s="414" t="s">
        <v>3914</v>
      </c>
      <c r="W846" s="417" t="s">
        <v>3915</v>
      </c>
      <c r="X846" s="417"/>
      <c r="Y846" s="421" t="s">
        <v>3652</v>
      </c>
      <c r="Z846" s="421" t="s">
        <v>3652</v>
      </c>
      <c r="AA846" s="416"/>
      <c r="AB846" s="414" t="s">
        <v>5614</v>
      </c>
      <c r="AC846" s="426"/>
      <c r="AD846" s="421"/>
      <c r="AE846" s="420"/>
      <c r="AF846" s="421">
        <v>91209</v>
      </c>
      <c r="AG846" s="420" t="s">
        <v>5626</v>
      </c>
      <c r="AH846" s="421" t="s">
        <v>3918</v>
      </c>
      <c r="AI846" s="420" t="s">
        <v>3919</v>
      </c>
      <c r="AJ846" s="413" t="str">
        <f t="shared" si="55"/>
        <v>4590007912_004</v>
      </c>
      <c r="AK846" s="423"/>
      <c r="AL846" s="424">
        <v>44958</v>
      </c>
      <c r="AM846" s="221">
        <v>26461.5</v>
      </c>
      <c r="AN846" s="228">
        <v>45030</v>
      </c>
      <c r="AO846" s="423"/>
      <c r="AP846" s="413"/>
      <c r="AQ846" s="222"/>
      <c r="AR846" s="424"/>
      <c r="AS846" s="614">
        <f ca="1">表格1_6[[#This Row],[total amount]]/表格1_6[[#This Row],[PO$]]</f>
        <v>0.4</v>
      </c>
      <c r="AT846" s="223">
        <f ca="1">表格1_6[[#This Row],[invoice amount]]+表格1_6[[#This Row],[invoice amount2]]</f>
        <v>26461.5</v>
      </c>
      <c r="AU846" s="224" t="s">
        <v>3673</v>
      </c>
      <c r="AV846" s="423"/>
      <c r="AW846" s="423" t="e">
        <f ca="1">VLOOKUP(表格1_6[[#This Row],[TI tool ID2]],工作表1!A:A,1,FALSE)</f>
        <v>#N/A</v>
      </c>
      <c r="AX846" s="425" t="e">
        <f ca="1">VLOOKUP(表格1_6[[#This Row],[PO+ITEM]],工作表1!B:E,2,FALSE)</f>
        <v>#N/A</v>
      </c>
      <c r="AY846" s="425" t="e">
        <f ca="1">VLOOKUP(表格1_6[[#This Row],[PO+ITEM]],工作表1!B:E,3,FALSE)</f>
        <v>#N/A</v>
      </c>
      <c r="AZ846" s="423" t="e">
        <f ca="1">VLOOKUP(表格1_6[[#This Row],[PO+ITEM]],工作表1!B:E,4,FALSE)</f>
        <v>#N/A</v>
      </c>
      <c r="BA846" s="425" t="e">
        <f ca="1">INDEX(工作表1!G:G, MATCH(表格1_6[[#This Row],[invoice number]]&amp;表格1_6[[#This Row],[invoice number2]],工作表1!G:G, 0))</f>
        <v>#N/A</v>
      </c>
      <c r="BB846" s="423" t="e">
        <f ca="1">VLOOKUP(表格1_6[[#This Row],[PO+ITEM]],工作表1!F:H,2,FALSE)</f>
        <v>#N/A</v>
      </c>
    </row>
    <row r="847" spans="1:54" ht="15.6">
      <c r="A847" s="413">
        <v>846</v>
      </c>
      <c r="B847" s="413" t="s">
        <v>3674</v>
      </c>
      <c r="C847" s="414" t="s">
        <v>17</v>
      </c>
      <c r="D847" s="414" t="s">
        <v>3648</v>
      </c>
      <c r="E847" s="414"/>
      <c r="F847" s="414"/>
      <c r="G847" s="414"/>
      <c r="H847" s="414"/>
      <c r="I847" s="414"/>
      <c r="J847" s="414"/>
      <c r="K847" s="414"/>
      <c r="L847" s="415" t="s">
        <v>5627</v>
      </c>
      <c r="M847" s="416" t="s">
        <v>2999</v>
      </c>
      <c r="N847" s="416" t="s">
        <v>2999</v>
      </c>
      <c r="O847" s="417"/>
      <c r="P847" s="416">
        <v>4590007912</v>
      </c>
      <c r="Q847" s="418">
        <v>44867</v>
      </c>
      <c r="R847" s="419">
        <v>5</v>
      </c>
      <c r="S847" s="458">
        <v>66153.75</v>
      </c>
      <c r="T847" s="420" t="s">
        <v>2156</v>
      </c>
      <c r="U847" s="414" t="s">
        <v>3913</v>
      </c>
      <c r="V847" s="414" t="s">
        <v>3914</v>
      </c>
      <c r="W847" s="417" t="s">
        <v>3915</v>
      </c>
      <c r="X847" s="417"/>
      <c r="Y847" s="421" t="s">
        <v>3652</v>
      </c>
      <c r="Z847" s="421" t="s">
        <v>3652</v>
      </c>
      <c r="AA847" s="416"/>
      <c r="AB847" s="414" t="s">
        <v>5614</v>
      </c>
      <c r="AC847" s="426"/>
      <c r="AD847" s="421"/>
      <c r="AE847" s="420"/>
      <c r="AF847" s="421">
        <v>90735</v>
      </c>
      <c r="AG847" s="420" t="s">
        <v>5628</v>
      </c>
      <c r="AH847" s="421" t="s">
        <v>3918</v>
      </c>
      <c r="AI847" s="420" t="s">
        <v>3919</v>
      </c>
      <c r="AJ847" s="413" t="str">
        <f t="shared" si="55"/>
        <v>4590007912_005</v>
      </c>
      <c r="AK847" s="423" t="s">
        <v>5629</v>
      </c>
      <c r="AL847" s="424">
        <v>44985</v>
      </c>
      <c r="AM847" s="221">
        <v>26461.5</v>
      </c>
      <c r="AN847" s="226">
        <v>45015</v>
      </c>
      <c r="AO847" s="423" t="s">
        <v>5630</v>
      </c>
      <c r="AP847" s="424">
        <v>45408</v>
      </c>
      <c r="AQ847" s="222">
        <v>39692.25</v>
      </c>
      <c r="AR847" s="424">
        <v>45442</v>
      </c>
      <c r="AS847" s="614">
        <f ca="1">表格1_6[[#This Row],[total amount]]/表格1_6[[#This Row],[PO$]]</f>
        <v>1</v>
      </c>
      <c r="AT847" s="223">
        <f ca="1">表格1_6[[#This Row],[invoice amount]]+表格1_6[[#This Row],[invoice amount2]]</f>
        <v>66153.75</v>
      </c>
      <c r="AU847" s="224" t="s">
        <v>3673</v>
      </c>
      <c r="AV847" s="423"/>
      <c r="AW847" s="423" t="e">
        <f ca="1">VLOOKUP(表格1_6[[#This Row],[TI tool ID2]],工作表1!A:A,1,FALSE)</f>
        <v>#N/A</v>
      </c>
      <c r="AX847" s="425" t="e">
        <f ca="1">VLOOKUP(表格1_6[[#This Row],[PO+ITEM]],工作表1!B:E,2,FALSE)</f>
        <v>#N/A</v>
      </c>
      <c r="AY847" s="425" t="e">
        <f ca="1">VLOOKUP(表格1_6[[#This Row],[PO+ITEM]],工作表1!B:E,3,FALSE)</f>
        <v>#N/A</v>
      </c>
      <c r="AZ847" s="423" t="e">
        <f ca="1">VLOOKUP(表格1_6[[#This Row],[PO+ITEM]],工作表1!B:E,4,FALSE)</f>
        <v>#N/A</v>
      </c>
      <c r="BA847" s="425" t="e">
        <f ca="1">INDEX(工作表1!G:G, MATCH(表格1_6[[#This Row],[invoice number]]&amp;表格1_6[[#This Row],[invoice number2]],工作表1!G:G, 0))</f>
        <v>#N/A</v>
      </c>
      <c r="BB847" s="423" t="e">
        <f ca="1">VLOOKUP(表格1_6[[#This Row],[PO+ITEM]],工作表1!F:H,2,FALSE)</f>
        <v>#N/A</v>
      </c>
    </row>
    <row r="848" spans="1:54" ht="15.6">
      <c r="A848" s="413">
        <v>847</v>
      </c>
      <c r="B848" s="413" t="s">
        <v>3674</v>
      </c>
      <c r="C848" s="414" t="s">
        <v>17</v>
      </c>
      <c r="D848" s="414" t="s">
        <v>3648</v>
      </c>
      <c r="E848" s="414"/>
      <c r="F848" s="414"/>
      <c r="G848" s="414"/>
      <c r="H848" s="414"/>
      <c r="I848" s="414"/>
      <c r="J848" s="414"/>
      <c r="K848" s="414"/>
      <c r="L848" s="420" t="s">
        <v>5631</v>
      </c>
      <c r="M848" s="416" t="s">
        <v>2999</v>
      </c>
      <c r="N848" s="416" t="s">
        <v>2999</v>
      </c>
      <c r="O848" s="417"/>
      <c r="P848" s="416">
        <v>4590007912</v>
      </c>
      <c r="Q848" s="418">
        <v>44867</v>
      </c>
      <c r="R848" s="419">
        <v>6</v>
      </c>
      <c r="S848" s="458">
        <v>66153.75</v>
      </c>
      <c r="T848" s="420" t="s">
        <v>2156</v>
      </c>
      <c r="U848" s="414" t="s">
        <v>3913</v>
      </c>
      <c r="V848" s="414" t="s">
        <v>3914</v>
      </c>
      <c r="W848" s="417" t="s">
        <v>3915</v>
      </c>
      <c r="X848" s="417"/>
      <c r="Y848" s="421" t="s">
        <v>3652</v>
      </c>
      <c r="Z848" s="421" t="s">
        <v>3652</v>
      </c>
      <c r="AA848" s="416"/>
      <c r="AB848" s="414" t="s">
        <v>5614</v>
      </c>
      <c r="AC848" s="426"/>
      <c r="AD848" s="421"/>
      <c r="AE848" s="420"/>
      <c r="AF848" s="421">
        <v>90736</v>
      </c>
      <c r="AG848" s="420" t="s">
        <v>5632</v>
      </c>
      <c r="AH848" s="421" t="s">
        <v>3918</v>
      </c>
      <c r="AI848" s="420" t="s">
        <v>3919</v>
      </c>
      <c r="AJ848" s="413" t="str">
        <f t="shared" si="55"/>
        <v>4590007912_006</v>
      </c>
      <c r="AK848" s="423"/>
      <c r="AL848" s="424">
        <v>44958</v>
      </c>
      <c r="AM848" s="221">
        <v>26461.5</v>
      </c>
      <c r="AN848" s="228">
        <v>45030</v>
      </c>
      <c r="AO848" s="423" t="s">
        <v>5633</v>
      </c>
      <c r="AP848" s="424">
        <v>45408</v>
      </c>
      <c r="AQ848" s="222">
        <v>39692.25</v>
      </c>
      <c r="AR848" s="424">
        <v>45442</v>
      </c>
      <c r="AS848" s="614">
        <f ca="1">表格1_6[[#This Row],[total amount]]/表格1_6[[#This Row],[PO$]]</f>
        <v>1</v>
      </c>
      <c r="AT848" s="223">
        <f ca="1">表格1_6[[#This Row],[invoice amount]]+表格1_6[[#This Row],[invoice amount2]]</f>
        <v>66153.75</v>
      </c>
      <c r="AU848" s="224" t="s">
        <v>3673</v>
      </c>
      <c r="AV848" s="423"/>
      <c r="AW848" s="423" t="e">
        <f ca="1">VLOOKUP(表格1_6[[#This Row],[TI tool ID2]],工作表1!A:A,1,FALSE)</f>
        <v>#N/A</v>
      </c>
      <c r="AX848" s="425" t="e">
        <f ca="1">VLOOKUP(表格1_6[[#This Row],[PO+ITEM]],工作表1!B:E,2,FALSE)</f>
        <v>#N/A</v>
      </c>
      <c r="AY848" s="425" t="e">
        <f ca="1">VLOOKUP(表格1_6[[#This Row],[PO+ITEM]],工作表1!B:E,3,FALSE)</f>
        <v>#N/A</v>
      </c>
      <c r="AZ848" s="423" t="e">
        <f ca="1">VLOOKUP(表格1_6[[#This Row],[PO+ITEM]],工作表1!B:E,4,FALSE)</f>
        <v>#N/A</v>
      </c>
      <c r="BA848" s="425" t="e">
        <f ca="1">INDEX(工作表1!G:G, MATCH(表格1_6[[#This Row],[invoice number]]&amp;表格1_6[[#This Row],[invoice number2]],工作表1!G:G, 0))</f>
        <v>#N/A</v>
      </c>
      <c r="BB848" s="423" t="e">
        <f ca="1">VLOOKUP(表格1_6[[#This Row],[PO+ITEM]],工作表1!F:H,2,FALSE)</f>
        <v>#N/A</v>
      </c>
    </row>
    <row r="849" spans="1:54" ht="15.6">
      <c r="A849" s="413">
        <v>848</v>
      </c>
      <c r="B849" s="413" t="s">
        <v>3674</v>
      </c>
      <c r="C849" s="414" t="s">
        <v>17</v>
      </c>
      <c r="D849" s="414" t="s">
        <v>3648</v>
      </c>
      <c r="E849" s="414"/>
      <c r="F849" s="414"/>
      <c r="G849" s="414"/>
      <c r="H849" s="414"/>
      <c r="I849" s="414"/>
      <c r="J849" s="414"/>
      <c r="K849" s="414"/>
      <c r="L849" s="415" t="s">
        <v>5634</v>
      </c>
      <c r="M849" s="416" t="s">
        <v>2999</v>
      </c>
      <c r="N849" s="416" t="s">
        <v>2999</v>
      </c>
      <c r="O849" s="417"/>
      <c r="P849" s="416">
        <v>4590007912</v>
      </c>
      <c r="Q849" s="418">
        <v>44867</v>
      </c>
      <c r="R849" s="419">
        <v>7</v>
      </c>
      <c r="S849" s="458">
        <v>86299.29</v>
      </c>
      <c r="T849" s="420" t="s">
        <v>2156</v>
      </c>
      <c r="U849" s="414" t="s">
        <v>3913</v>
      </c>
      <c r="V849" s="414" t="s">
        <v>3914</v>
      </c>
      <c r="W849" s="417" t="s">
        <v>3915</v>
      </c>
      <c r="X849" s="417"/>
      <c r="Y849" s="421" t="s">
        <v>3652</v>
      </c>
      <c r="Z849" s="421" t="s">
        <v>3652</v>
      </c>
      <c r="AA849" s="416"/>
      <c r="AB849" s="414" t="s">
        <v>5614</v>
      </c>
      <c r="AC849" s="426"/>
      <c r="AD849" s="421"/>
      <c r="AE849" s="420"/>
      <c r="AF849" s="421">
        <v>90737</v>
      </c>
      <c r="AG849" s="420" t="s">
        <v>5635</v>
      </c>
      <c r="AH849" s="421" t="s">
        <v>3918</v>
      </c>
      <c r="AI849" s="420" t="s">
        <v>3919</v>
      </c>
      <c r="AJ849" s="413" t="str">
        <f t="shared" si="55"/>
        <v>4590007912_007</v>
      </c>
      <c r="AK849" s="423" t="s">
        <v>5636</v>
      </c>
      <c r="AL849" s="424">
        <v>44985</v>
      </c>
      <c r="AM849" s="221">
        <v>34519.716</v>
      </c>
      <c r="AN849" s="226">
        <v>45015</v>
      </c>
      <c r="AO849" s="423" t="s">
        <v>5637</v>
      </c>
      <c r="AP849" s="424">
        <v>45408</v>
      </c>
      <c r="AQ849" s="222">
        <v>51779.573999999993</v>
      </c>
      <c r="AR849" s="432">
        <v>45458</v>
      </c>
      <c r="AS849" s="614">
        <f ca="1">表格1_6[[#This Row],[total amount]]/表格1_6[[#This Row],[PO$]]</f>
        <v>1</v>
      </c>
      <c r="AT849" s="223">
        <f ca="1">表格1_6[[#This Row],[invoice amount]]+表格1_6[[#This Row],[invoice amount2]]</f>
        <v>86299.29</v>
      </c>
      <c r="AU849" s="224" t="s">
        <v>3725</v>
      </c>
      <c r="AV849" s="423"/>
      <c r="AW849" s="423" t="e">
        <f ca="1">VLOOKUP(表格1_6[[#This Row],[TI tool ID2]],工作表1!A:A,1,FALSE)</f>
        <v>#N/A</v>
      </c>
      <c r="AX849" s="425" t="e">
        <f ca="1">VLOOKUP(表格1_6[[#This Row],[PO+ITEM]],工作表1!B:E,2,FALSE)</f>
        <v>#N/A</v>
      </c>
      <c r="AY849" s="425" t="e">
        <f ca="1">VLOOKUP(表格1_6[[#This Row],[PO+ITEM]],工作表1!B:E,3,FALSE)</f>
        <v>#N/A</v>
      </c>
      <c r="AZ849" s="423" t="e">
        <f ca="1">VLOOKUP(表格1_6[[#This Row],[PO+ITEM]],工作表1!B:E,4,FALSE)</f>
        <v>#N/A</v>
      </c>
      <c r="BA849" s="425" t="e">
        <f ca="1">INDEX(工作表1!G:G, MATCH(表格1_6[[#This Row],[invoice number]]&amp;表格1_6[[#This Row],[invoice number2]],工作表1!G:G, 0))</f>
        <v>#N/A</v>
      </c>
      <c r="BB849" s="423" t="e">
        <f ca="1">VLOOKUP(表格1_6[[#This Row],[PO+ITEM]],工作表1!F:H,2,FALSE)</f>
        <v>#N/A</v>
      </c>
    </row>
    <row r="850" spans="1:54" ht="15.6">
      <c r="A850" s="413">
        <v>849</v>
      </c>
      <c r="B850" s="413" t="s">
        <v>3659</v>
      </c>
      <c r="C850" s="414" t="s">
        <v>17</v>
      </c>
      <c r="D850" s="414" t="s">
        <v>3648</v>
      </c>
      <c r="E850" s="414"/>
      <c r="F850" s="414"/>
      <c r="G850" s="414"/>
      <c r="H850" s="414"/>
      <c r="I850" s="414"/>
      <c r="J850" s="414"/>
      <c r="K850" s="414"/>
      <c r="L850" s="415" t="s">
        <v>5638</v>
      </c>
      <c r="M850" s="416" t="s">
        <v>2999</v>
      </c>
      <c r="N850" s="416" t="s">
        <v>2999</v>
      </c>
      <c r="O850" s="417"/>
      <c r="P850" s="416">
        <v>4590007912</v>
      </c>
      <c r="Q850" s="418">
        <v>44867</v>
      </c>
      <c r="R850" s="419">
        <v>8</v>
      </c>
      <c r="S850" s="458">
        <v>86299.29</v>
      </c>
      <c r="T850" s="420" t="s">
        <v>2156</v>
      </c>
      <c r="U850" s="414" t="s">
        <v>3913</v>
      </c>
      <c r="V850" s="414" t="s">
        <v>3914</v>
      </c>
      <c r="W850" s="417" t="s">
        <v>3915</v>
      </c>
      <c r="X850" s="417"/>
      <c r="Y850" s="421" t="s">
        <v>3652</v>
      </c>
      <c r="Z850" s="421" t="s">
        <v>3652</v>
      </c>
      <c r="AA850" s="416"/>
      <c r="AB850" s="414" t="s">
        <v>5614</v>
      </c>
      <c r="AC850" s="426"/>
      <c r="AD850" s="421"/>
      <c r="AE850" s="420"/>
      <c r="AF850" s="421">
        <v>91211</v>
      </c>
      <c r="AG850" s="420" t="s">
        <v>5639</v>
      </c>
      <c r="AH850" s="421" t="s">
        <v>3918</v>
      </c>
      <c r="AI850" s="420" t="s">
        <v>3919</v>
      </c>
      <c r="AJ850" s="413" t="str">
        <f t="shared" si="55"/>
        <v>4590007912_008</v>
      </c>
      <c r="AK850" s="423"/>
      <c r="AL850" s="424">
        <v>44958</v>
      </c>
      <c r="AM850" s="221">
        <v>34519.716</v>
      </c>
      <c r="AN850" s="228">
        <v>45030</v>
      </c>
      <c r="AO850" s="423"/>
      <c r="AP850" s="413"/>
      <c r="AQ850" s="222"/>
      <c r="AR850" s="424"/>
      <c r="AS850" s="614">
        <f ca="1">表格1_6[[#This Row],[total amount]]/表格1_6[[#This Row],[PO$]]</f>
        <v>0.4</v>
      </c>
      <c r="AT850" s="223">
        <f ca="1">表格1_6[[#This Row],[invoice amount]]+表格1_6[[#This Row],[invoice amount2]]</f>
        <v>34519.716</v>
      </c>
      <c r="AU850" s="224" t="s">
        <v>3673</v>
      </c>
      <c r="AV850" s="423"/>
      <c r="AW850" s="423" t="e">
        <f ca="1">VLOOKUP(表格1_6[[#This Row],[TI tool ID2]],工作表1!A:A,1,FALSE)</f>
        <v>#N/A</v>
      </c>
      <c r="AX850" s="425" t="e">
        <f ca="1">VLOOKUP(表格1_6[[#This Row],[PO+ITEM]],工作表1!B:E,2,FALSE)</f>
        <v>#N/A</v>
      </c>
      <c r="AY850" s="425" t="e">
        <f ca="1">VLOOKUP(表格1_6[[#This Row],[PO+ITEM]],工作表1!B:E,3,FALSE)</f>
        <v>#N/A</v>
      </c>
      <c r="AZ850" s="423" t="e">
        <f ca="1">VLOOKUP(表格1_6[[#This Row],[PO+ITEM]],工作表1!B:E,4,FALSE)</f>
        <v>#N/A</v>
      </c>
      <c r="BA850" s="425" t="e">
        <f ca="1">INDEX(工作表1!G:G, MATCH(表格1_6[[#This Row],[invoice number]]&amp;表格1_6[[#This Row],[invoice number2]],工作表1!G:G, 0))</f>
        <v>#N/A</v>
      </c>
      <c r="BB850" s="423" t="e">
        <f ca="1">VLOOKUP(表格1_6[[#This Row],[PO+ITEM]],工作表1!F:H,2,FALSE)</f>
        <v>#N/A</v>
      </c>
    </row>
    <row r="851" spans="1:54" ht="15.6">
      <c r="A851" s="413">
        <v>850</v>
      </c>
      <c r="B851" s="413" t="s">
        <v>3659</v>
      </c>
      <c r="C851" s="414" t="s">
        <v>17</v>
      </c>
      <c r="D851" s="414" t="s">
        <v>3648</v>
      </c>
      <c r="E851" s="414"/>
      <c r="F851" s="414"/>
      <c r="G851" s="414"/>
      <c r="H851" s="414"/>
      <c r="I851" s="414"/>
      <c r="J851" s="414"/>
      <c r="K851" s="414"/>
      <c r="L851" s="420" t="s">
        <v>5640</v>
      </c>
      <c r="M851" s="416" t="s">
        <v>2999</v>
      </c>
      <c r="N851" s="416" t="s">
        <v>2999</v>
      </c>
      <c r="O851" s="417"/>
      <c r="P851" s="416">
        <v>4590007912</v>
      </c>
      <c r="Q851" s="418">
        <v>44867</v>
      </c>
      <c r="R851" s="419">
        <v>9</v>
      </c>
      <c r="S851" s="458">
        <v>66153.75</v>
      </c>
      <c r="T851" s="420" t="s">
        <v>2156</v>
      </c>
      <c r="U851" s="414" t="s">
        <v>3913</v>
      </c>
      <c r="V851" s="414" t="s">
        <v>3914</v>
      </c>
      <c r="W851" s="417" t="s">
        <v>3915</v>
      </c>
      <c r="X851" s="417"/>
      <c r="Y851" s="421" t="s">
        <v>3652</v>
      </c>
      <c r="Z851" s="421" t="s">
        <v>3652</v>
      </c>
      <c r="AA851" s="416"/>
      <c r="AB851" s="414" t="s">
        <v>5614</v>
      </c>
      <c r="AC851" s="426"/>
      <c r="AD851" s="421"/>
      <c r="AE851" s="420"/>
      <c r="AF851" s="421">
        <v>90742</v>
      </c>
      <c r="AG851" s="420" t="s">
        <v>5641</v>
      </c>
      <c r="AH851" s="421" t="s">
        <v>3918</v>
      </c>
      <c r="AI851" s="420" t="s">
        <v>3919</v>
      </c>
      <c r="AJ851" s="413" t="str">
        <f t="shared" si="55"/>
        <v>4590007912_009</v>
      </c>
      <c r="AK851" s="423" t="s">
        <v>5642</v>
      </c>
      <c r="AL851" s="424">
        <v>44985</v>
      </c>
      <c r="AM851" s="221">
        <v>26461.5</v>
      </c>
      <c r="AN851" s="226">
        <v>45015</v>
      </c>
      <c r="AO851" s="423"/>
      <c r="AP851" s="413"/>
      <c r="AQ851" s="222"/>
      <c r="AR851" s="424"/>
      <c r="AS851" s="614">
        <f ca="1">表格1_6[[#This Row],[total amount]]/表格1_6[[#This Row],[PO$]]</f>
        <v>0.4</v>
      </c>
      <c r="AT851" s="223">
        <f ca="1">表格1_6[[#This Row],[invoice amount]]+表格1_6[[#This Row],[invoice amount2]]</f>
        <v>26461.5</v>
      </c>
      <c r="AU851" s="224" t="s">
        <v>3673</v>
      </c>
      <c r="AV851" s="423"/>
      <c r="AW851" s="423" t="e">
        <f ca="1">VLOOKUP(表格1_6[[#This Row],[TI tool ID2]],工作表1!A:A,1,FALSE)</f>
        <v>#N/A</v>
      </c>
      <c r="AX851" s="425" t="e">
        <f ca="1">VLOOKUP(表格1_6[[#This Row],[PO+ITEM]],工作表1!B:E,2,FALSE)</f>
        <v>#N/A</v>
      </c>
      <c r="AY851" s="425" t="e">
        <f ca="1">VLOOKUP(表格1_6[[#This Row],[PO+ITEM]],工作表1!B:E,3,FALSE)</f>
        <v>#N/A</v>
      </c>
      <c r="AZ851" s="423" t="e">
        <f ca="1">VLOOKUP(表格1_6[[#This Row],[PO+ITEM]],工作表1!B:E,4,FALSE)</f>
        <v>#N/A</v>
      </c>
      <c r="BA851" s="425" t="e">
        <f ca="1">INDEX(工作表1!G:G, MATCH(表格1_6[[#This Row],[invoice number]]&amp;表格1_6[[#This Row],[invoice number2]],工作表1!G:G, 0))</f>
        <v>#N/A</v>
      </c>
      <c r="BB851" s="423" t="e">
        <f ca="1">VLOOKUP(表格1_6[[#This Row],[PO+ITEM]],工作表1!F:H,2,FALSE)</f>
        <v>#N/A</v>
      </c>
    </row>
    <row r="852" spans="1:54" ht="15.6">
      <c r="A852" s="413">
        <v>851</v>
      </c>
      <c r="B852" s="413" t="s">
        <v>3674</v>
      </c>
      <c r="C852" s="414" t="s">
        <v>17</v>
      </c>
      <c r="D852" s="414" t="s">
        <v>3648</v>
      </c>
      <c r="E852" s="414"/>
      <c r="F852" s="414"/>
      <c r="G852" s="414"/>
      <c r="H852" s="414"/>
      <c r="I852" s="414"/>
      <c r="J852" s="414"/>
      <c r="K852" s="414"/>
      <c r="L852" s="415" t="s">
        <v>5643</v>
      </c>
      <c r="M852" s="416" t="s">
        <v>2999</v>
      </c>
      <c r="N852" s="416" t="s">
        <v>2999</v>
      </c>
      <c r="O852" s="417"/>
      <c r="P852" s="416">
        <v>4590007912</v>
      </c>
      <c r="Q852" s="418">
        <v>44867</v>
      </c>
      <c r="R852" s="419">
        <v>10</v>
      </c>
      <c r="S852" s="458">
        <v>66153.75</v>
      </c>
      <c r="T852" s="420" t="s">
        <v>2156</v>
      </c>
      <c r="U852" s="414" t="s">
        <v>3913</v>
      </c>
      <c r="V852" s="414" t="s">
        <v>3914</v>
      </c>
      <c r="W852" s="417" t="s">
        <v>3915</v>
      </c>
      <c r="X852" s="417"/>
      <c r="Y852" s="421" t="s">
        <v>3652</v>
      </c>
      <c r="Z852" s="421" t="s">
        <v>3652</v>
      </c>
      <c r="AA852" s="416"/>
      <c r="AB852" s="414" t="s">
        <v>5614</v>
      </c>
      <c r="AC852" s="426"/>
      <c r="AD852" s="421"/>
      <c r="AE852" s="420"/>
      <c r="AF852" s="421">
        <v>90738</v>
      </c>
      <c r="AG852" s="420" t="s">
        <v>5644</v>
      </c>
      <c r="AH852" s="421" t="s">
        <v>3918</v>
      </c>
      <c r="AI852" s="420" t="s">
        <v>3919</v>
      </c>
      <c r="AJ852" s="413" t="str">
        <f>P852&amp;"_0"&amp;R852</f>
        <v>4590007912_010</v>
      </c>
      <c r="AK852" s="423"/>
      <c r="AL852" s="424">
        <v>44958</v>
      </c>
      <c r="AM852" s="221">
        <v>26461.5</v>
      </c>
      <c r="AN852" s="226">
        <v>45015</v>
      </c>
      <c r="AO852" s="423" t="s">
        <v>5645</v>
      </c>
      <c r="AP852" s="424">
        <v>45408</v>
      </c>
      <c r="AQ852" s="222">
        <v>39692.25</v>
      </c>
      <c r="AR852" s="424">
        <v>45442</v>
      </c>
      <c r="AS852" s="614">
        <f ca="1">表格1_6[[#This Row],[total amount]]/表格1_6[[#This Row],[PO$]]</f>
        <v>1</v>
      </c>
      <c r="AT852" s="223">
        <f ca="1">表格1_6[[#This Row],[invoice amount]]+表格1_6[[#This Row],[invoice amount2]]</f>
        <v>66153.75</v>
      </c>
      <c r="AU852" s="224" t="s">
        <v>3673</v>
      </c>
      <c r="AV852" s="423"/>
      <c r="AW852" s="423" t="e">
        <f ca="1">VLOOKUP(表格1_6[[#This Row],[TI tool ID2]],工作表1!A:A,1,FALSE)</f>
        <v>#N/A</v>
      </c>
      <c r="AX852" s="425" t="e">
        <f ca="1">VLOOKUP(表格1_6[[#This Row],[PO+ITEM]],工作表1!B:E,2,FALSE)</f>
        <v>#N/A</v>
      </c>
      <c r="AY852" s="425" t="e">
        <f ca="1">VLOOKUP(表格1_6[[#This Row],[PO+ITEM]],工作表1!B:E,3,FALSE)</f>
        <v>#N/A</v>
      </c>
      <c r="AZ852" s="423" t="e">
        <f ca="1">VLOOKUP(表格1_6[[#This Row],[PO+ITEM]],工作表1!B:E,4,FALSE)</f>
        <v>#N/A</v>
      </c>
      <c r="BA852" s="425" t="e">
        <f ca="1">INDEX(工作表1!G:G, MATCH(表格1_6[[#This Row],[invoice number]]&amp;表格1_6[[#This Row],[invoice number2]],工作表1!G:G, 0))</f>
        <v>#N/A</v>
      </c>
      <c r="BB852" s="423" t="e">
        <f ca="1">VLOOKUP(表格1_6[[#This Row],[PO+ITEM]],工作表1!F:H,2,FALSE)</f>
        <v>#N/A</v>
      </c>
    </row>
    <row r="853" spans="1:54" ht="15.6">
      <c r="A853" s="413">
        <v>852</v>
      </c>
      <c r="B853" s="413" t="s">
        <v>3659</v>
      </c>
      <c r="C853" s="414" t="s">
        <v>17</v>
      </c>
      <c r="D853" s="414" t="s">
        <v>3648</v>
      </c>
      <c r="E853" s="414"/>
      <c r="F853" s="414"/>
      <c r="G853" s="414"/>
      <c r="H853" s="414"/>
      <c r="I853" s="414"/>
      <c r="J853" s="414"/>
      <c r="K853" s="414"/>
      <c r="L853" s="415" t="s">
        <v>5646</v>
      </c>
      <c r="M853" s="416" t="s">
        <v>2999</v>
      </c>
      <c r="N853" s="416" t="s">
        <v>2999</v>
      </c>
      <c r="O853" s="417"/>
      <c r="P853" s="416">
        <v>4590007912</v>
      </c>
      <c r="Q853" s="418">
        <v>44867</v>
      </c>
      <c r="R853" s="419">
        <v>11</v>
      </c>
      <c r="S853" s="458">
        <v>66153.75</v>
      </c>
      <c r="T853" s="420" t="s">
        <v>2156</v>
      </c>
      <c r="U853" s="414" t="s">
        <v>3913</v>
      </c>
      <c r="V853" s="414" t="s">
        <v>3914</v>
      </c>
      <c r="W853" s="417" t="s">
        <v>3915</v>
      </c>
      <c r="X853" s="417"/>
      <c r="Y853" s="421" t="s">
        <v>3652</v>
      </c>
      <c r="Z853" s="421" t="s">
        <v>3652</v>
      </c>
      <c r="AA853" s="416"/>
      <c r="AB853" s="414" t="s">
        <v>5614</v>
      </c>
      <c r="AC853" s="426"/>
      <c r="AD853" s="421"/>
      <c r="AE853" s="420"/>
      <c r="AF853" s="421">
        <v>91210</v>
      </c>
      <c r="AG853" s="420" t="s">
        <v>5647</v>
      </c>
      <c r="AH853" s="421" t="s">
        <v>3918</v>
      </c>
      <c r="AI853" s="420" t="s">
        <v>3919</v>
      </c>
      <c r="AJ853" s="413" t="str">
        <f>P853&amp;"_0"&amp;R853</f>
        <v>4590007912_011</v>
      </c>
      <c r="AK853" s="423" t="s">
        <v>5648</v>
      </c>
      <c r="AL853" s="424">
        <v>44985</v>
      </c>
      <c r="AM853" s="221">
        <v>26461.5</v>
      </c>
      <c r="AN853" s="226">
        <v>45015</v>
      </c>
      <c r="AO853" s="423"/>
      <c r="AP853" s="413"/>
      <c r="AQ853" s="222"/>
      <c r="AR853" s="424"/>
      <c r="AS853" s="614">
        <f ca="1">表格1_6[[#This Row],[total amount]]/表格1_6[[#This Row],[PO$]]</f>
        <v>0.4</v>
      </c>
      <c r="AT853" s="223">
        <f ca="1">表格1_6[[#This Row],[invoice amount]]+表格1_6[[#This Row],[invoice amount2]]</f>
        <v>26461.5</v>
      </c>
      <c r="AU853" s="224" t="s">
        <v>3673</v>
      </c>
      <c r="AV853" s="423"/>
      <c r="AW853" s="423" t="e">
        <f ca="1">VLOOKUP(表格1_6[[#This Row],[TI tool ID2]],工作表1!A:A,1,FALSE)</f>
        <v>#N/A</v>
      </c>
      <c r="AX853" s="425" t="e">
        <f ca="1">VLOOKUP(表格1_6[[#This Row],[PO+ITEM]],工作表1!B:E,2,FALSE)</f>
        <v>#N/A</v>
      </c>
      <c r="AY853" s="425" t="e">
        <f ca="1">VLOOKUP(表格1_6[[#This Row],[PO+ITEM]],工作表1!B:E,3,FALSE)</f>
        <v>#N/A</v>
      </c>
      <c r="AZ853" s="423" t="e">
        <f ca="1">VLOOKUP(表格1_6[[#This Row],[PO+ITEM]],工作表1!B:E,4,FALSE)</f>
        <v>#N/A</v>
      </c>
      <c r="BA853" s="425" t="e">
        <f ca="1">INDEX(工作表1!G:G, MATCH(表格1_6[[#This Row],[invoice number]]&amp;表格1_6[[#This Row],[invoice number2]],工作表1!G:G, 0))</f>
        <v>#N/A</v>
      </c>
      <c r="BB853" s="423" t="e">
        <f ca="1">VLOOKUP(表格1_6[[#This Row],[PO+ITEM]],工作表1!F:H,2,FALSE)</f>
        <v>#N/A</v>
      </c>
    </row>
    <row r="854" spans="1:54" ht="15.6">
      <c r="A854" s="413">
        <v>853</v>
      </c>
      <c r="B854" s="413" t="s">
        <v>3674</v>
      </c>
      <c r="C854" s="414" t="s">
        <v>17</v>
      </c>
      <c r="D854" s="414" t="s">
        <v>3648</v>
      </c>
      <c r="E854" s="414"/>
      <c r="F854" s="414"/>
      <c r="G854" s="414"/>
      <c r="H854" s="414"/>
      <c r="I854" s="414"/>
      <c r="J854" s="414"/>
      <c r="K854" s="414"/>
      <c r="L854" s="415" t="s">
        <v>5649</v>
      </c>
      <c r="M854" s="416" t="s">
        <v>2999</v>
      </c>
      <c r="N854" s="416" t="s">
        <v>2999</v>
      </c>
      <c r="O854" s="417"/>
      <c r="P854" s="416">
        <v>4590007912</v>
      </c>
      <c r="Q854" s="418">
        <v>44867</v>
      </c>
      <c r="R854" s="419">
        <v>12</v>
      </c>
      <c r="S854" s="458">
        <v>66153.75</v>
      </c>
      <c r="T854" s="420" t="s">
        <v>2156</v>
      </c>
      <c r="U854" s="414" t="s">
        <v>3913</v>
      </c>
      <c r="V854" s="414" t="s">
        <v>3914</v>
      </c>
      <c r="W854" s="417" t="s">
        <v>3915</v>
      </c>
      <c r="X854" s="417"/>
      <c r="Y854" s="421" t="s">
        <v>3652</v>
      </c>
      <c r="Z854" s="421" t="s">
        <v>3652</v>
      </c>
      <c r="AA854" s="416"/>
      <c r="AB854" s="414" t="s">
        <v>5614</v>
      </c>
      <c r="AC854" s="426"/>
      <c r="AD854" s="421"/>
      <c r="AE854" s="420"/>
      <c r="AF854" s="421">
        <v>90739</v>
      </c>
      <c r="AG854" s="420" t="s">
        <v>5650</v>
      </c>
      <c r="AH854" s="421" t="s">
        <v>3918</v>
      </c>
      <c r="AI854" s="420" t="s">
        <v>3919</v>
      </c>
      <c r="AJ854" s="413" t="str">
        <f>P854&amp;"_0"&amp;R854</f>
        <v>4590007912_012</v>
      </c>
      <c r="AK854" s="423"/>
      <c r="AL854" s="424">
        <v>44958</v>
      </c>
      <c r="AM854" s="221">
        <v>26461.5</v>
      </c>
      <c r="AN854" s="228">
        <v>45030</v>
      </c>
      <c r="AO854" s="423" t="s">
        <v>5651</v>
      </c>
      <c r="AP854" s="424">
        <v>45408</v>
      </c>
      <c r="AQ854" s="222">
        <v>39692.25</v>
      </c>
      <c r="AR854" s="424">
        <v>45442</v>
      </c>
      <c r="AS854" s="614">
        <f ca="1">表格1_6[[#This Row],[total amount]]/表格1_6[[#This Row],[PO$]]</f>
        <v>1</v>
      </c>
      <c r="AT854" s="223">
        <f ca="1">表格1_6[[#This Row],[invoice amount]]+表格1_6[[#This Row],[invoice amount2]]</f>
        <v>66153.75</v>
      </c>
      <c r="AU854" s="224" t="s">
        <v>3673</v>
      </c>
      <c r="AV854" s="423"/>
      <c r="AW854" s="423" t="e">
        <f ca="1">VLOOKUP(表格1_6[[#This Row],[TI tool ID2]],工作表1!A:A,1,FALSE)</f>
        <v>#N/A</v>
      </c>
      <c r="AX854" s="425" t="e">
        <f ca="1">VLOOKUP(表格1_6[[#This Row],[PO+ITEM]],工作表1!B:E,2,FALSE)</f>
        <v>#N/A</v>
      </c>
      <c r="AY854" s="425" t="e">
        <f ca="1">VLOOKUP(表格1_6[[#This Row],[PO+ITEM]],工作表1!B:E,3,FALSE)</f>
        <v>#N/A</v>
      </c>
      <c r="AZ854" s="423" t="e">
        <f ca="1">VLOOKUP(表格1_6[[#This Row],[PO+ITEM]],工作表1!B:E,4,FALSE)</f>
        <v>#N/A</v>
      </c>
      <c r="BA854" s="425" t="e">
        <f ca="1">INDEX(工作表1!G:G, MATCH(表格1_6[[#This Row],[invoice number]]&amp;表格1_6[[#This Row],[invoice number2]],工作表1!G:G, 0))</f>
        <v>#N/A</v>
      </c>
      <c r="BB854" s="423" t="e">
        <f ca="1">VLOOKUP(表格1_6[[#This Row],[PO+ITEM]],工作表1!F:H,2,FALSE)</f>
        <v>#N/A</v>
      </c>
    </row>
    <row r="855" spans="1:54" ht="15.6">
      <c r="A855" s="413">
        <v>854</v>
      </c>
      <c r="B855" s="413" t="s">
        <v>3659</v>
      </c>
      <c r="C855" s="414" t="s">
        <v>17</v>
      </c>
      <c r="D855" s="414" t="s">
        <v>3648</v>
      </c>
      <c r="E855" s="414"/>
      <c r="F855" s="414"/>
      <c r="G855" s="414"/>
      <c r="H855" s="414"/>
      <c r="I855" s="414"/>
      <c r="J855" s="414"/>
      <c r="K855" s="414"/>
      <c r="L855" s="415" t="s">
        <v>5652</v>
      </c>
      <c r="M855" s="416" t="s">
        <v>2999</v>
      </c>
      <c r="N855" s="416" t="s">
        <v>2999</v>
      </c>
      <c r="O855" s="417"/>
      <c r="P855" s="416">
        <v>4590007912</v>
      </c>
      <c r="Q855" s="418">
        <v>44867</v>
      </c>
      <c r="R855" s="419">
        <v>13</v>
      </c>
      <c r="S855" s="458">
        <v>66153.75</v>
      </c>
      <c r="T855" s="420" t="s">
        <v>2156</v>
      </c>
      <c r="U855" s="414" t="s">
        <v>3913</v>
      </c>
      <c r="V855" s="414" t="s">
        <v>3914</v>
      </c>
      <c r="W855" s="417" t="s">
        <v>3915</v>
      </c>
      <c r="X855" s="417"/>
      <c r="Y855" s="421" t="s">
        <v>3652</v>
      </c>
      <c r="Z855" s="421" t="s">
        <v>3652</v>
      </c>
      <c r="AA855" s="416"/>
      <c r="AB855" s="414" t="s">
        <v>5614</v>
      </c>
      <c r="AC855" s="426"/>
      <c r="AD855" s="421"/>
      <c r="AE855" s="420"/>
      <c r="AF855" s="421">
        <v>90743</v>
      </c>
      <c r="AG855" s="420" t="s">
        <v>5653</v>
      </c>
      <c r="AH855" s="421" t="s">
        <v>3918</v>
      </c>
      <c r="AI855" s="420" t="s">
        <v>3919</v>
      </c>
      <c r="AJ855" s="413" t="str">
        <f>P855&amp;"_0"&amp;R855</f>
        <v>4590007912_013</v>
      </c>
      <c r="AK855" s="423" t="s">
        <v>5654</v>
      </c>
      <c r="AL855" s="424">
        <v>44985</v>
      </c>
      <c r="AM855" s="221">
        <v>26461.5</v>
      </c>
      <c r="AN855" s="226">
        <v>45015</v>
      </c>
      <c r="AO855" s="423"/>
      <c r="AP855" s="413"/>
      <c r="AQ855" s="222"/>
      <c r="AR855" s="424"/>
      <c r="AS855" s="614">
        <f ca="1">表格1_6[[#This Row],[total amount]]/表格1_6[[#This Row],[PO$]]</f>
        <v>0.4</v>
      </c>
      <c r="AT855" s="223">
        <f ca="1">表格1_6[[#This Row],[invoice amount]]+表格1_6[[#This Row],[invoice amount2]]</f>
        <v>26461.5</v>
      </c>
      <c r="AU855" s="224" t="s">
        <v>3673</v>
      </c>
      <c r="AV855" s="423"/>
      <c r="AW855" s="423" t="e">
        <f ca="1">VLOOKUP(表格1_6[[#This Row],[TI tool ID2]],工作表1!A:A,1,FALSE)</f>
        <v>#N/A</v>
      </c>
      <c r="AX855" s="425" t="e">
        <f ca="1">VLOOKUP(表格1_6[[#This Row],[PO+ITEM]],工作表1!B:E,2,FALSE)</f>
        <v>#N/A</v>
      </c>
      <c r="AY855" s="425" t="e">
        <f ca="1">VLOOKUP(表格1_6[[#This Row],[PO+ITEM]],工作表1!B:E,3,FALSE)</f>
        <v>#N/A</v>
      </c>
      <c r="AZ855" s="423" t="e">
        <f ca="1">VLOOKUP(表格1_6[[#This Row],[PO+ITEM]],工作表1!B:E,4,FALSE)</f>
        <v>#N/A</v>
      </c>
      <c r="BA855" s="425" t="e">
        <f ca="1">INDEX(工作表1!G:G, MATCH(表格1_6[[#This Row],[invoice number]]&amp;表格1_6[[#This Row],[invoice number2]],工作表1!G:G, 0))</f>
        <v>#N/A</v>
      </c>
      <c r="BB855" s="423" t="e">
        <f ca="1">VLOOKUP(表格1_6[[#This Row],[PO+ITEM]],工作表1!F:H,2,FALSE)</f>
        <v>#N/A</v>
      </c>
    </row>
    <row r="856" spans="1:54" ht="15.6">
      <c r="A856" s="413">
        <v>855</v>
      </c>
      <c r="B856" s="413" t="s">
        <v>3674</v>
      </c>
      <c r="C856" s="414" t="s">
        <v>17</v>
      </c>
      <c r="D856" s="414" t="s">
        <v>3648</v>
      </c>
      <c r="E856" s="414"/>
      <c r="F856" s="414"/>
      <c r="G856" s="414"/>
      <c r="H856" s="414"/>
      <c r="I856" s="414"/>
      <c r="J856" s="414"/>
      <c r="K856" s="414"/>
      <c r="L856" s="415" t="s">
        <v>5655</v>
      </c>
      <c r="M856" s="416" t="s">
        <v>2999</v>
      </c>
      <c r="N856" s="416" t="s">
        <v>2999</v>
      </c>
      <c r="O856" s="417"/>
      <c r="P856" s="416">
        <v>4590007916</v>
      </c>
      <c r="Q856" s="418">
        <v>44867</v>
      </c>
      <c r="R856" s="419">
        <v>1</v>
      </c>
      <c r="S856" s="458">
        <v>108761.25</v>
      </c>
      <c r="T856" s="420" t="s">
        <v>2156</v>
      </c>
      <c r="U856" s="414" t="s">
        <v>3913</v>
      </c>
      <c r="V856" s="414" t="s">
        <v>3914</v>
      </c>
      <c r="W856" s="417" t="s">
        <v>3915</v>
      </c>
      <c r="X856" s="417"/>
      <c r="Y856" s="421" t="s">
        <v>3652</v>
      </c>
      <c r="Z856" s="421" t="s">
        <v>3652</v>
      </c>
      <c r="AA856" s="416"/>
      <c r="AB856" s="414" t="s">
        <v>5614</v>
      </c>
      <c r="AC856" s="426"/>
      <c r="AD856" s="421"/>
      <c r="AE856" s="420"/>
      <c r="AF856" s="421">
        <v>90716</v>
      </c>
      <c r="AG856" s="420" t="s">
        <v>5656</v>
      </c>
      <c r="AH856" s="421" t="s">
        <v>3918</v>
      </c>
      <c r="AI856" s="420" t="s">
        <v>3919</v>
      </c>
      <c r="AJ856" s="413" t="str">
        <f t="shared" ref="AJ856:AJ864" si="56">P856&amp;"_00"&amp;R856</f>
        <v>4590007916_001</v>
      </c>
      <c r="AK856" s="423"/>
      <c r="AL856" s="424">
        <v>44958</v>
      </c>
      <c r="AM856" s="221">
        <v>43504.5</v>
      </c>
      <c r="AN856" s="228">
        <v>45030</v>
      </c>
      <c r="AO856" s="423" t="s">
        <v>5657</v>
      </c>
      <c r="AP856" s="424">
        <v>45436</v>
      </c>
      <c r="AQ856" s="222">
        <v>65256.75</v>
      </c>
      <c r="AR856" s="424">
        <v>45519</v>
      </c>
      <c r="AS856" s="614">
        <f ca="1">表格1_6[[#This Row],[total amount]]/表格1_6[[#This Row],[PO$]]</f>
        <v>1</v>
      </c>
      <c r="AT856" s="223">
        <f ca="1">表格1_6[[#This Row],[invoice amount]]+表格1_6[[#This Row],[invoice amount2]]</f>
        <v>108761.25</v>
      </c>
      <c r="AU856" s="224" t="s">
        <v>3657</v>
      </c>
      <c r="AV856" s="423"/>
      <c r="AW856" s="423" t="e">
        <f ca="1">VLOOKUP(表格1_6[[#This Row],[TI tool ID2]],工作表1!A:A,1,FALSE)</f>
        <v>#N/A</v>
      </c>
      <c r="AX856" s="425" t="e">
        <f ca="1">VLOOKUP(表格1_6[[#This Row],[PO+ITEM]],工作表1!B:E,2,FALSE)</f>
        <v>#N/A</v>
      </c>
      <c r="AY856" s="425" t="e">
        <f ca="1">VLOOKUP(表格1_6[[#This Row],[PO+ITEM]],工作表1!B:E,3,FALSE)</f>
        <v>#N/A</v>
      </c>
      <c r="AZ856" s="423" t="e">
        <f ca="1">VLOOKUP(表格1_6[[#This Row],[PO+ITEM]],工作表1!B:E,4,FALSE)</f>
        <v>#N/A</v>
      </c>
      <c r="BA856" s="425" t="e">
        <f ca="1">INDEX(工作表1!G:G, MATCH(表格1_6[[#This Row],[invoice number]]&amp;表格1_6[[#This Row],[invoice number2]],工作表1!G:G, 0))</f>
        <v>#N/A</v>
      </c>
      <c r="BB856" s="423" t="e">
        <f ca="1">VLOOKUP(表格1_6[[#This Row],[PO+ITEM]],工作表1!F:H,2,FALSE)</f>
        <v>#N/A</v>
      </c>
    </row>
    <row r="857" spans="1:54" ht="15.6">
      <c r="A857" s="413">
        <v>856</v>
      </c>
      <c r="B857" s="413" t="s">
        <v>3659</v>
      </c>
      <c r="C857" s="414" t="s">
        <v>17</v>
      </c>
      <c r="D857" s="414" t="s">
        <v>3648</v>
      </c>
      <c r="E857" s="414"/>
      <c r="F857" s="414"/>
      <c r="G857" s="414"/>
      <c r="H857" s="414"/>
      <c r="I857" s="414"/>
      <c r="J857" s="414"/>
      <c r="K857" s="414"/>
      <c r="L857" s="415" t="s">
        <v>5658</v>
      </c>
      <c r="M857" s="416" t="s">
        <v>2999</v>
      </c>
      <c r="N857" s="416" t="s">
        <v>2999</v>
      </c>
      <c r="O857" s="417"/>
      <c r="P857" s="416">
        <v>4590007916</v>
      </c>
      <c r="Q857" s="418">
        <v>44867</v>
      </c>
      <c r="R857" s="419">
        <v>2</v>
      </c>
      <c r="S857" s="458">
        <v>108761.25</v>
      </c>
      <c r="T857" s="420" t="s">
        <v>2156</v>
      </c>
      <c r="U857" s="414" t="s">
        <v>3913</v>
      </c>
      <c r="V857" s="414" t="s">
        <v>3914</v>
      </c>
      <c r="W857" s="417" t="s">
        <v>3915</v>
      </c>
      <c r="X857" s="417"/>
      <c r="Y857" s="421" t="s">
        <v>3652</v>
      </c>
      <c r="Z857" s="421" t="s">
        <v>3652</v>
      </c>
      <c r="AA857" s="416"/>
      <c r="AB857" s="414" t="s">
        <v>5614</v>
      </c>
      <c r="AC857" s="426"/>
      <c r="AD857" s="421"/>
      <c r="AE857" s="420"/>
      <c r="AF857" s="421">
        <v>90990</v>
      </c>
      <c r="AG857" s="420" t="s">
        <v>5659</v>
      </c>
      <c r="AH857" s="421" t="s">
        <v>3918</v>
      </c>
      <c r="AI857" s="420" t="s">
        <v>3919</v>
      </c>
      <c r="AJ857" s="413" t="str">
        <f t="shared" si="56"/>
        <v>4590007916_002</v>
      </c>
      <c r="AK857" s="423"/>
      <c r="AL857" s="424">
        <v>44958</v>
      </c>
      <c r="AM857" s="221">
        <v>43504.5</v>
      </c>
      <c r="AN857" s="228">
        <v>45030</v>
      </c>
      <c r="AO857" s="423"/>
      <c r="AP857" s="413"/>
      <c r="AQ857" s="222"/>
      <c r="AR857" s="424"/>
      <c r="AS857" s="614">
        <f ca="1">表格1_6[[#This Row],[total amount]]/表格1_6[[#This Row],[PO$]]</f>
        <v>0.4</v>
      </c>
      <c r="AT857" s="223">
        <f ca="1">表格1_6[[#This Row],[invoice amount]]+表格1_6[[#This Row],[invoice amount2]]</f>
        <v>43504.5</v>
      </c>
      <c r="AU857" s="224" t="s">
        <v>3673</v>
      </c>
      <c r="AV857" s="423"/>
      <c r="AW857" s="423" t="e">
        <f ca="1">VLOOKUP(表格1_6[[#This Row],[TI tool ID2]],工作表1!A:A,1,FALSE)</f>
        <v>#N/A</v>
      </c>
      <c r="AX857" s="425" t="e">
        <f ca="1">VLOOKUP(表格1_6[[#This Row],[PO+ITEM]],工作表1!B:E,2,FALSE)</f>
        <v>#N/A</v>
      </c>
      <c r="AY857" s="425" t="e">
        <f ca="1">VLOOKUP(表格1_6[[#This Row],[PO+ITEM]],工作表1!B:E,3,FALSE)</f>
        <v>#N/A</v>
      </c>
      <c r="AZ857" s="423" t="e">
        <f ca="1">VLOOKUP(表格1_6[[#This Row],[PO+ITEM]],工作表1!B:E,4,FALSE)</f>
        <v>#N/A</v>
      </c>
      <c r="BA857" s="425" t="e">
        <f ca="1">INDEX(工作表1!G:G, MATCH(表格1_6[[#This Row],[invoice number]]&amp;表格1_6[[#This Row],[invoice number2]],工作表1!G:G, 0))</f>
        <v>#N/A</v>
      </c>
      <c r="BB857" s="423" t="e">
        <f ca="1">VLOOKUP(表格1_6[[#This Row],[PO+ITEM]],工作表1!F:H,2,FALSE)</f>
        <v>#N/A</v>
      </c>
    </row>
    <row r="858" spans="1:54" ht="15.6">
      <c r="A858" s="413">
        <v>857</v>
      </c>
      <c r="B858" s="413" t="s">
        <v>3674</v>
      </c>
      <c r="C858" s="414" t="s">
        <v>17</v>
      </c>
      <c r="D858" s="414" t="s">
        <v>3648</v>
      </c>
      <c r="E858" s="414"/>
      <c r="F858" s="414"/>
      <c r="G858" s="414"/>
      <c r="H858" s="414"/>
      <c r="I858" s="414"/>
      <c r="J858" s="414"/>
      <c r="K858" s="414"/>
      <c r="L858" s="415" t="s">
        <v>5660</v>
      </c>
      <c r="M858" s="416" t="s">
        <v>2999</v>
      </c>
      <c r="N858" s="416" t="s">
        <v>2999</v>
      </c>
      <c r="O858" s="417"/>
      <c r="P858" s="416">
        <v>4590007916</v>
      </c>
      <c r="Q858" s="418">
        <v>44867</v>
      </c>
      <c r="R858" s="419">
        <v>3</v>
      </c>
      <c r="S858" s="458">
        <v>15796.07</v>
      </c>
      <c r="T858" s="420" t="s">
        <v>2156</v>
      </c>
      <c r="U858" s="414" t="s">
        <v>3913</v>
      </c>
      <c r="V858" s="414" t="s">
        <v>3914</v>
      </c>
      <c r="W858" s="417" t="s">
        <v>3915</v>
      </c>
      <c r="X858" s="417"/>
      <c r="Y858" s="421" t="s">
        <v>3652</v>
      </c>
      <c r="Z858" s="421" t="s">
        <v>3652</v>
      </c>
      <c r="AA858" s="416" t="s">
        <v>5661</v>
      </c>
      <c r="AB858" s="414" t="s">
        <v>5614</v>
      </c>
      <c r="AC858" s="426"/>
      <c r="AD858" s="421"/>
      <c r="AE858" s="420"/>
      <c r="AF858" s="421">
        <v>90730</v>
      </c>
      <c r="AG858" s="420" t="s">
        <v>4187</v>
      </c>
      <c r="AH858" s="421" t="s">
        <v>3918</v>
      </c>
      <c r="AI858" s="420" t="s">
        <v>3919</v>
      </c>
      <c r="AJ858" s="413" t="str">
        <f t="shared" si="56"/>
        <v>4590007916_003</v>
      </c>
      <c r="AK858" s="423"/>
      <c r="AL858" s="424">
        <v>44958</v>
      </c>
      <c r="AM858" s="221">
        <v>6318.4279999999999</v>
      </c>
      <c r="AN858" s="228">
        <v>45030</v>
      </c>
      <c r="AO858" s="423"/>
      <c r="AP858" s="427">
        <v>45170</v>
      </c>
      <c r="AQ858" s="222">
        <v>9477.64</v>
      </c>
      <c r="AR858" s="258">
        <v>45288</v>
      </c>
      <c r="AS858" s="614">
        <f ca="1">表格1_6[[#This Row],[total amount]]/表格1_6[[#This Row],[PO$]]</f>
        <v>0.99999987338622831</v>
      </c>
      <c r="AT858" s="223">
        <f ca="1">表格1_6[[#This Row],[invoice amount]]+表格1_6[[#This Row],[invoice amount2]]</f>
        <v>15796.067999999999</v>
      </c>
      <c r="AU858" s="224" t="s">
        <v>3673</v>
      </c>
      <c r="AV858" s="342" t="s">
        <v>5662</v>
      </c>
      <c r="AW858" s="423" t="e">
        <f ca="1">VLOOKUP(表格1_6[[#This Row],[TI tool ID2]],工作表1!A:A,1,FALSE)</f>
        <v>#N/A</v>
      </c>
      <c r="AX858" s="425" t="e">
        <f ca="1">VLOOKUP(表格1_6[[#This Row],[PO+ITEM]],工作表1!B:E,2,FALSE)</f>
        <v>#N/A</v>
      </c>
      <c r="AY858" s="425" t="e">
        <f ca="1">VLOOKUP(表格1_6[[#This Row],[PO+ITEM]],工作表1!B:E,3,FALSE)</f>
        <v>#N/A</v>
      </c>
      <c r="AZ858" s="423" t="e">
        <f ca="1">VLOOKUP(表格1_6[[#This Row],[PO+ITEM]],工作表1!B:E,4,FALSE)</f>
        <v>#N/A</v>
      </c>
      <c r="BA858" s="425" t="e">
        <f ca="1">INDEX(工作表1!G:G, MATCH(表格1_6[[#This Row],[invoice number]]&amp;表格1_6[[#This Row],[invoice number2]],工作表1!G:G, 0))</f>
        <v>#N/A</v>
      </c>
      <c r="BB858" s="423" t="e">
        <f ca="1">VLOOKUP(表格1_6[[#This Row],[PO+ITEM]],工作表1!F:H,2,FALSE)</f>
        <v>#N/A</v>
      </c>
    </row>
    <row r="859" spans="1:54" ht="15.6">
      <c r="A859" s="413">
        <v>858</v>
      </c>
      <c r="B859" s="413" t="s">
        <v>3674</v>
      </c>
      <c r="C859" s="414" t="s">
        <v>17</v>
      </c>
      <c r="D859" s="414" t="s">
        <v>3648</v>
      </c>
      <c r="E859" s="414"/>
      <c r="F859" s="414"/>
      <c r="G859" s="414"/>
      <c r="H859" s="414"/>
      <c r="I859" s="414"/>
      <c r="J859" s="414"/>
      <c r="K859" s="414"/>
      <c r="L859" s="420" t="s">
        <v>5663</v>
      </c>
      <c r="M859" s="416" t="s">
        <v>2999</v>
      </c>
      <c r="N859" s="416" t="s">
        <v>2999</v>
      </c>
      <c r="O859" s="417"/>
      <c r="P859" s="416">
        <v>4590007916</v>
      </c>
      <c r="Q859" s="418">
        <v>44867</v>
      </c>
      <c r="R859" s="419">
        <v>4</v>
      </c>
      <c r="S859" s="458">
        <v>15796.07</v>
      </c>
      <c r="T859" s="420" t="s">
        <v>2156</v>
      </c>
      <c r="U859" s="414" t="s">
        <v>3913</v>
      </c>
      <c r="V859" s="414" t="s">
        <v>3914</v>
      </c>
      <c r="W859" s="417" t="s">
        <v>3915</v>
      </c>
      <c r="X859" s="417"/>
      <c r="Y859" s="421" t="s">
        <v>3652</v>
      </c>
      <c r="Z859" s="421" t="s">
        <v>3652</v>
      </c>
      <c r="AA859" s="416" t="s">
        <v>5661</v>
      </c>
      <c r="AB859" s="414" t="s">
        <v>5614</v>
      </c>
      <c r="AC859" s="426"/>
      <c r="AD859" s="421"/>
      <c r="AE859" s="420"/>
      <c r="AF859" s="421">
        <v>90729</v>
      </c>
      <c r="AG859" s="420" t="s">
        <v>4191</v>
      </c>
      <c r="AH859" s="421" t="s">
        <v>3918</v>
      </c>
      <c r="AI859" s="420" t="s">
        <v>3919</v>
      </c>
      <c r="AJ859" s="413" t="str">
        <f t="shared" si="56"/>
        <v>4590007916_004</v>
      </c>
      <c r="AK859" s="423"/>
      <c r="AL859" s="424">
        <v>44958</v>
      </c>
      <c r="AM859" s="221">
        <v>6318.4279999999999</v>
      </c>
      <c r="AN859" s="228">
        <v>45030</v>
      </c>
      <c r="AO859" s="423"/>
      <c r="AP859" s="427">
        <v>45170</v>
      </c>
      <c r="AQ859" s="222">
        <v>9477.64</v>
      </c>
      <c r="AR859" s="258">
        <v>45288</v>
      </c>
      <c r="AS859" s="614">
        <f ca="1">表格1_6[[#This Row],[total amount]]/表格1_6[[#This Row],[PO$]]</f>
        <v>0.99999987338622831</v>
      </c>
      <c r="AT859" s="223">
        <f ca="1">表格1_6[[#This Row],[invoice amount]]+表格1_6[[#This Row],[invoice amount2]]</f>
        <v>15796.067999999999</v>
      </c>
      <c r="AU859" s="224" t="s">
        <v>3673</v>
      </c>
      <c r="AV859" s="342" t="s">
        <v>5664</v>
      </c>
      <c r="AW859" s="423" t="e">
        <f ca="1">VLOOKUP(表格1_6[[#This Row],[TI tool ID2]],工作表1!A:A,1,FALSE)</f>
        <v>#N/A</v>
      </c>
      <c r="AX859" s="425" t="e">
        <f ca="1">VLOOKUP(表格1_6[[#This Row],[PO+ITEM]],工作表1!B:E,2,FALSE)</f>
        <v>#N/A</v>
      </c>
      <c r="AY859" s="425" t="e">
        <f ca="1">VLOOKUP(表格1_6[[#This Row],[PO+ITEM]],工作表1!B:E,3,FALSE)</f>
        <v>#N/A</v>
      </c>
      <c r="AZ859" s="423" t="e">
        <f ca="1">VLOOKUP(表格1_6[[#This Row],[PO+ITEM]],工作表1!B:E,4,FALSE)</f>
        <v>#N/A</v>
      </c>
      <c r="BA859" s="425" t="e">
        <f ca="1">INDEX(工作表1!G:G, MATCH(表格1_6[[#This Row],[invoice number]]&amp;表格1_6[[#This Row],[invoice number2]],工作表1!G:G, 0))</f>
        <v>#N/A</v>
      </c>
      <c r="BB859" s="423" t="e">
        <f ca="1">VLOOKUP(表格1_6[[#This Row],[PO+ITEM]],工作表1!F:H,2,FALSE)</f>
        <v>#N/A</v>
      </c>
    </row>
    <row r="860" spans="1:54" ht="15.6">
      <c r="A860" s="413">
        <v>859</v>
      </c>
      <c r="B860" s="413" t="s">
        <v>3674</v>
      </c>
      <c r="C860" s="414" t="s">
        <v>17</v>
      </c>
      <c r="D860" s="414" t="s">
        <v>3648</v>
      </c>
      <c r="E860" s="414"/>
      <c r="F860" s="414"/>
      <c r="G860" s="414"/>
      <c r="H860" s="414"/>
      <c r="I860" s="414"/>
      <c r="J860" s="414"/>
      <c r="K860" s="414"/>
      <c r="L860" s="415" t="s">
        <v>5665</v>
      </c>
      <c r="M860" s="416" t="s">
        <v>2999</v>
      </c>
      <c r="N860" s="416" t="s">
        <v>2999</v>
      </c>
      <c r="O860" s="417"/>
      <c r="P860" s="416">
        <v>4590007916</v>
      </c>
      <c r="Q860" s="418">
        <v>44867</v>
      </c>
      <c r="R860" s="419">
        <v>5</v>
      </c>
      <c r="S860" s="458">
        <v>15796.07</v>
      </c>
      <c r="T860" s="420" t="s">
        <v>2156</v>
      </c>
      <c r="U860" s="414" t="s">
        <v>3913</v>
      </c>
      <c r="V860" s="414" t="s">
        <v>3914</v>
      </c>
      <c r="W860" s="417" t="s">
        <v>3915</v>
      </c>
      <c r="X860" s="417"/>
      <c r="Y860" s="421" t="s">
        <v>3652</v>
      </c>
      <c r="Z860" s="421" t="s">
        <v>3652</v>
      </c>
      <c r="AA860" s="416"/>
      <c r="AB860" s="414" t="s">
        <v>5614</v>
      </c>
      <c r="AC860" s="426"/>
      <c r="AD860" s="421"/>
      <c r="AE860" s="420"/>
      <c r="AF860" s="421">
        <v>90692</v>
      </c>
      <c r="AG860" s="420" t="s">
        <v>5666</v>
      </c>
      <c r="AH860" s="421" t="s">
        <v>3918</v>
      </c>
      <c r="AI860" s="420" t="s">
        <v>3919</v>
      </c>
      <c r="AJ860" s="413" t="str">
        <f t="shared" si="56"/>
        <v>4590007916_005</v>
      </c>
      <c r="AK860" s="423"/>
      <c r="AL860" s="424">
        <v>44958</v>
      </c>
      <c r="AM860" s="221">
        <v>6318.4279999999999</v>
      </c>
      <c r="AN860" s="228">
        <v>45030</v>
      </c>
      <c r="AO860" s="429" t="s">
        <v>5667</v>
      </c>
      <c r="AP860" s="430">
        <v>45436</v>
      </c>
      <c r="AQ860" s="241"/>
      <c r="AR860" s="430" t="s">
        <v>3765</v>
      </c>
      <c r="AS860" s="618">
        <f ca="1">表格1_6[[#This Row],[total amount]]/表格1_6[[#This Row],[PO$]]</f>
        <v>0.4</v>
      </c>
      <c r="AT860" s="223">
        <f ca="1">表格1_6[[#This Row],[invoice amount]]+表格1_6[[#This Row],[invoice amount2]]</f>
        <v>6318.4279999999999</v>
      </c>
      <c r="AU860" s="224" t="s">
        <v>4085</v>
      </c>
      <c r="AV860" s="420" t="s">
        <v>5668</v>
      </c>
      <c r="AW860" s="423" t="e">
        <f ca="1">VLOOKUP(表格1_6[[#This Row],[TI tool ID2]],工作表1!A:A,1,FALSE)</f>
        <v>#N/A</v>
      </c>
      <c r="AX860" s="425" t="e">
        <f ca="1">VLOOKUP(表格1_6[[#This Row],[PO+ITEM]],工作表1!B:E,2,FALSE)</f>
        <v>#N/A</v>
      </c>
      <c r="AY860" s="425" t="e">
        <f ca="1">VLOOKUP(表格1_6[[#This Row],[PO+ITEM]],工作表1!B:E,3,FALSE)</f>
        <v>#N/A</v>
      </c>
      <c r="AZ860" s="423" t="e">
        <f ca="1">VLOOKUP(表格1_6[[#This Row],[PO+ITEM]],工作表1!B:E,4,FALSE)</f>
        <v>#N/A</v>
      </c>
      <c r="BA860" s="425" t="e">
        <f ca="1">INDEX(工作表1!G:G, MATCH(表格1_6[[#This Row],[invoice number]]&amp;表格1_6[[#This Row],[invoice number2]],工作表1!G:G, 0))</f>
        <v>#N/A</v>
      </c>
      <c r="BB860" s="423" t="e">
        <f ca="1">VLOOKUP(表格1_6[[#This Row],[PO+ITEM]],工作表1!F:H,2,FALSE)</f>
        <v>#N/A</v>
      </c>
    </row>
    <row r="861" spans="1:54" ht="15.6">
      <c r="A861" s="413">
        <v>860</v>
      </c>
      <c r="B861" s="413" t="s">
        <v>3674</v>
      </c>
      <c r="C861" s="414" t="s">
        <v>17</v>
      </c>
      <c r="D861" s="414" t="s">
        <v>3648</v>
      </c>
      <c r="E861" s="414"/>
      <c r="F861" s="414"/>
      <c r="G861" s="414"/>
      <c r="H861" s="414"/>
      <c r="I861" s="414"/>
      <c r="J861" s="414"/>
      <c r="K861" s="414"/>
      <c r="L861" s="415" t="s">
        <v>5669</v>
      </c>
      <c r="M861" s="416" t="s">
        <v>2999</v>
      </c>
      <c r="N861" s="416" t="s">
        <v>2999</v>
      </c>
      <c r="O861" s="417"/>
      <c r="P861" s="416">
        <v>4590007916</v>
      </c>
      <c r="Q861" s="418">
        <v>44867</v>
      </c>
      <c r="R861" s="419">
        <v>6</v>
      </c>
      <c r="S861" s="458">
        <v>13208.57</v>
      </c>
      <c r="T861" s="420" t="s">
        <v>2156</v>
      </c>
      <c r="U861" s="414" t="s">
        <v>3913</v>
      </c>
      <c r="V861" s="414" t="s">
        <v>3914</v>
      </c>
      <c r="W861" s="417" t="s">
        <v>3915</v>
      </c>
      <c r="X861" s="417"/>
      <c r="Y861" s="421" t="s">
        <v>3652</v>
      </c>
      <c r="Z861" s="421" t="s">
        <v>3652</v>
      </c>
      <c r="AA861" s="416"/>
      <c r="AB861" s="414" t="s">
        <v>5614</v>
      </c>
      <c r="AC861" s="426"/>
      <c r="AD861" s="421"/>
      <c r="AE861" s="420"/>
      <c r="AF861" s="421">
        <v>90690</v>
      </c>
      <c r="AG861" s="420" t="s">
        <v>5670</v>
      </c>
      <c r="AH861" s="421" t="s">
        <v>3918</v>
      </c>
      <c r="AI861" s="420" t="s">
        <v>3919</v>
      </c>
      <c r="AJ861" s="413" t="str">
        <f t="shared" si="56"/>
        <v>4590007916_006</v>
      </c>
      <c r="AK861" s="423"/>
      <c r="AL861" s="424">
        <v>44958</v>
      </c>
      <c r="AM861" s="221">
        <v>5283.4279999999999</v>
      </c>
      <c r="AN861" s="228">
        <v>45030</v>
      </c>
      <c r="AO861" s="429" t="s">
        <v>5671</v>
      </c>
      <c r="AP861" s="430">
        <v>45429</v>
      </c>
      <c r="AQ861" s="241"/>
      <c r="AR861" s="430" t="s">
        <v>3765</v>
      </c>
      <c r="AS861" s="618">
        <f ca="1">表格1_6[[#This Row],[total amount]]/表格1_6[[#This Row],[PO$]]</f>
        <v>0.4</v>
      </c>
      <c r="AT861" s="223">
        <f ca="1">表格1_6[[#This Row],[invoice amount]]+表格1_6[[#This Row],[invoice amount2]]</f>
        <v>5283.4279999999999</v>
      </c>
      <c r="AU861" s="224" t="s">
        <v>4085</v>
      </c>
      <c r="AV861" s="420" t="s">
        <v>5668</v>
      </c>
      <c r="AW861" s="423" t="e">
        <f ca="1">VLOOKUP(表格1_6[[#This Row],[TI tool ID2]],工作表1!A:A,1,FALSE)</f>
        <v>#N/A</v>
      </c>
      <c r="AX861" s="425" t="e">
        <f ca="1">VLOOKUP(表格1_6[[#This Row],[PO+ITEM]],工作表1!B:E,2,FALSE)</f>
        <v>#N/A</v>
      </c>
      <c r="AY861" s="425" t="e">
        <f ca="1">VLOOKUP(表格1_6[[#This Row],[PO+ITEM]],工作表1!B:E,3,FALSE)</f>
        <v>#N/A</v>
      </c>
      <c r="AZ861" s="423" t="e">
        <f ca="1">VLOOKUP(表格1_6[[#This Row],[PO+ITEM]],工作表1!B:E,4,FALSE)</f>
        <v>#N/A</v>
      </c>
      <c r="BA861" s="425" t="e">
        <f ca="1">INDEX(工作表1!G:G, MATCH(表格1_6[[#This Row],[invoice number]]&amp;表格1_6[[#This Row],[invoice number2]],工作表1!G:G, 0))</f>
        <v>#N/A</v>
      </c>
      <c r="BB861" s="423" t="e">
        <f ca="1">VLOOKUP(表格1_6[[#This Row],[PO+ITEM]],工作表1!F:H,2,FALSE)</f>
        <v>#N/A</v>
      </c>
    </row>
    <row r="862" spans="1:54" ht="15.6">
      <c r="A862" s="413">
        <v>861</v>
      </c>
      <c r="B862" s="413" t="s">
        <v>3659</v>
      </c>
      <c r="C862" s="414" t="s">
        <v>17</v>
      </c>
      <c r="D862" s="414" t="s">
        <v>3648</v>
      </c>
      <c r="E862" s="414"/>
      <c r="F862" s="414"/>
      <c r="G862" s="414"/>
      <c r="H862" s="414"/>
      <c r="I862" s="414"/>
      <c r="J862" s="414"/>
      <c r="K862" s="414"/>
      <c r="L862" s="415" t="s">
        <v>5672</v>
      </c>
      <c r="M862" s="416" t="s">
        <v>2999</v>
      </c>
      <c r="N862" s="416" t="s">
        <v>2999</v>
      </c>
      <c r="O862" s="417"/>
      <c r="P862" s="416">
        <v>4590007916</v>
      </c>
      <c r="Q862" s="418">
        <v>44867</v>
      </c>
      <c r="R862" s="419">
        <v>7</v>
      </c>
      <c r="S862" s="458">
        <v>13208.57</v>
      </c>
      <c r="T862" s="420" t="s">
        <v>2156</v>
      </c>
      <c r="U862" s="414" t="s">
        <v>3913</v>
      </c>
      <c r="V862" s="414" t="s">
        <v>3914</v>
      </c>
      <c r="W862" s="417" t="s">
        <v>3915</v>
      </c>
      <c r="X862" s="417"/>
      <c r="Y862" s="421" t="s">
        <v>3652</v>
      </c>
      <c r="Z862" s="421" t="s">
        <v>3652</v>
      </c>
      <c r="AA862" s="416"/>
      <c r="AB862" s="414" t="s">
        <v>5614</v>
      </c>
      <c r="AC862" s="426"/>
      <c r="AD862" s="421"/>
      <c r="AE862" s="420"/>
      <c r="AF862" s="421">
        <v>91202</v>
      </c>
      <c r="AG862" s="420" t="s">
        <v>5673</v>
      </c>
      <c r="AH862" s="421" t="s">
        <v>3918</v>
      </c>
      <c r="AI862" s="420" t="s">
        <v>3919</v>
      </c>
      <c r="AJ862" s="413" t="str">
        <f t="shared" si="56"/>
        <v>4590007916_007</v>
      </c>
      <c r="AK862" s="423"/>
      <c r="AL862" s="424">
        <v>44958</v>
      </c>
      <c r="AM862" s="221">
        <v>5283.4279999999999</v>
      </c>
      <c r="AN862" s="228">
        <v>45030</v>
      </c>
      <c r="AO862" s="423"/>
      <c r="AP862" s="413"/>
      <c r="AQ862" s="222"/>
      <c r="AR862" s="424"/>
      <c r="AS862" s="614">
        <f ca="1">表格1_6[[#This Row],[total amount]]/表格1_6[[#This Row],[PO$]]</f>
        <v>0.4</v>
      </c>
      <c r="AT862" s="223">
        <f ca="1">表格1_6[[#This Row],[invoice amount]]+表格1_6[[#This Row],[invoice amount2]]</f>
        <v>5283.4279999999999</v>
      </c>
      <c r="AU862" s="224" t="s">
        <v>3673</v>
      </c>
      <c r="AV862" s="423"/>
      <c r="AW862" s="423" t="e">
        <f ca="1">VLOOKUP(表格1_6[[#This Row],[TI tool ID2]],工作表1!A:A,1,FALSE)</f>
        <v>#N/A</v>
      </c>
      <c r="AX862" s="425" t="e">
        <f ca="1">VLOOKUP(表格1_6[[#This Row],[PO+ITEM]],工作表1!B:E,2,FALSE)</f>
        <v>#N/A</v>
      </c>
      <c r="AY862" s="425" t="e">
        <f ca="1">VLOOKUP(表格1_6[[#This Row],[PO+ITEM]],工作表1!B:E,3,FALSE)</f>
        <v>#N/A</v>
      </c>
      <c r="AZ862" s="423" t="e">
        <f ca="1">VLOOKUP(表格1_6[[#This Row],[PO+ITEM]],工作表1!B:E,4,FALSE)</f>
        <v>#N/A</v>
      </c>
      <c r="BA862" s="425" t="e">
        <f ca="1">INDEX(工作表1!G:G, MATCH(表格1_6[[#This Row],[invoice number]]&amp;表格1_6[[#This Row],[invoice number2]],工作表1!G:G, 0))</f>
        <v>#N/A</v>
      </c>
      <c r="BB862" s="423" t="e">
        <f ca="1">VLOOKUP(表格1_6[[#This Row],[PO+ITEM]],工作表1!F:H,2,FALSE)</f>
        <v>#N/A</v>
      </c>
    </row>
    <row r="863" spans="1:54" ht="15.6">
      <c r="A863" s="413">
        <v>862</v>
      </c>
      <c r="B863" s="413" t="s">
        <v>3674</v>
      </c>
      <c r="C863" s="414" t="s">
        <v>17</v>
      </c>
      <c r="D863" s="414" t="s">
        <v>3648</v>
      </c>
      <c r="E863" s="414"/>
      <c r="F863" s="414"/>
      <c r="G863" s="414"/>
      <c r="H863" s="414"/>
      <c r="I863" s="414"/>
      <c r="J863" s="414"/>
      <c r="K863" s="414"/>
      <c r="L863" s="415" t="s">
        <v>5674</v>
      </c>
      <c r="M863" s="416" t="s">
        <v>2999</v>
      </c>
      <c r="N863" s="416" t="s">
        <v>2999</v>
      </c>
      <c r="O863" s="417"/>
      <c r="P863" s="416">
        <v>4590007916</v>
      </c>
      <c r="Q863" s="418">
        <v>44867</v>
      </c>
      <c r="R863" s="419">
        <v>8</v>
      </c>
      <c r="S863" s="458">
        <v>13208.57</v>
      </c>
      <c r="T863" s="420" t="s">
        <v>2156</v>
      </c>
      <c r="U863" s="414" t="s">
        <v>3913</v>
      </c>
      <c r="V863" s="414" t="s">
        <v>3914</v>
      </c>
      <c r="W863" s="417" t="s">
        <v>3915</v>
      </c>
      <c r="X863" s="417"/>
      <c r="Y863" s="421" t="s">
        <v>3652</v>
      </c>
      <c r="Z863" s="421" t="s">
        <v>3652</v>
      </c>
      <c r="AA863" s="416"/>
      <c r="AB863" s="414" t="s">
        <v>5614</v>
      </c>
      <c r="AC863" s="426"/>
      <c r="AD863" s="421"/>
      <c r="AE863" s="420"/>
      <c r="AF863" s="421">
        <v>90691</v>
      </c>
      <c r="AG863" s="420" t="s">
        <v>5675</v>
      </c>
      <c r="AH863" s="421" t="s">
        <v>3918</v>
      </c>
      <c r="AI863" s="420" t="s">
        <v>3919</v>
      </c>
      <c r="AJ863" s="413" t="str">
        <f t="shared" si="56"/>
        <v>4590007916_008</v>
      </c>
      <c r="AK863" s="423"/>
      <c r="AL863" s="424">
        <v>44958</v>
      </c>
      <c r="AM863" s="221">
        <v>5283.4279999999999</v>
      </c>
      <c r="AN863" s="228">
        <v>45030</v>
      </c>
      <c r="AO863" s="429" t="s">
        <v>5676</v>
      </c>
      <c r="AP863" s="430">
        <v>45436</v>
      </c>
      <c r="AQ863" s="241"/>
      <c r="AR863" s="430" t="s">
        <v>3765</v>
      </c>
      <c r="AS863" s="618">
        <f ca="1">表格1_6[[#This Row],[total amount]]/表格1_6[[#This Row],[PO$]]</f>
        <v>0.4</v>
      </c>
      <c r="AT863" s="223">
        <f ca="1">表格1_6[[#This Row],[invoice amount]]+表格1_6[[#This Row],[invoice amount2]]</f>
        <v>5283.4279999999999</v>
      </c>
      <c r="AU863" s="224" t="s">
        <v>4085</v>
      </c>
      <c r="AV863" s="420" t="s">
        <v>5668</v>
      </c>
      <c r="AW863" s="423" t="e">
        <f ca="1">VLOOKUP(表格1_6[[#This Row],[TI tool ID2]],工作表1!A:A,1,FALSE)</f>
        <v>#N/A</v>
      </c>
      <c r="AX863" s="425" t="e">
        <f ca="1">VLOOKUP(表格1_6[[#This Row],[PO+ITEM]],工作表1!B:E,2,FALSE)</f>
        <v>#N/A</v>
      </c>
      <c r="AY863" s="425" t="e">
        <f ca="1">VLOOKUP(表格1_6[[#This Row],[PO+ITEM]],工作表1!B:E,3,FALSE)</f>
        <v>#N/A</v>
      </c>
      <c r="AZ863" s="423" t="e">
        <f ca="1">VLOOKUP(表格1_6[[#This Row],[PO+ITEM]],工作表1!B:E,4,FALSE)</f>
        <v>#N/A</v>
      </c>
      <c r="BA863" s="425" t="e">
        <f ca="1">INDEX(工作表1!G:G, MATCH(表格1_6[[#This Row],[invoice number]]&amp;表格1_6[[#This Row],[invoice number2]],工作表1!G:G, 0))</f>
        <v>#N/A</v>
      </c>
      <c r="BB863" s="423" t="e">
        <f ca="1">VLOOKUP(表格1_6[[#This Row],[PO+ITEM]],工作表1!F:H,2,FALSE)</f>
        <v>#N/A</v>
      </c>
    </row>
    <row r="864" spans="1:54" ht="15.6">
      <c r="A864" s="413">
        <v>863</v>
      </c>
      <c r="B864" s="413" t="s">
        <v>3674</v>
      </c>
      <c r="C864" s="414" t="s">
        <v>17</v>
      </c>
      <c r="D864" s="414" t="s">
        <v>3648</v>
      </c>
      <c r="E864" s="414"/>
      <c r="F864" s="414"/>
      <c r="G864" s="414"/>
      <c r="H864" s="414"/>
      <c r="I864" s="414"/>
      <c r="J864" s="414"/>
      <c r="K864" s="414"/>
      <c r="L864" s="420" t="s">
        <v>5677</v>
      </c>
      <c r="M864" s="416" t="s">
        <v>2999</v>
      </c>
      <c r="N864" s="416" t="s">
        <v>2999</v>
      </c>
      <c r="O864" s="417"/>
      <c r="P864" s="416">
        <v>4590007916</v>
      </c>
      <c r="Q864" s="418">
        <v>44867</v>
      </c>
      <c r="R864" s="419">
        <v>9</v>
      </c>
      <c r="S864" s="458">
        <v>13208.57</v>
      </c>
      <c r="T864" s="420" t="s">
        <v>2156</v>
      </c>
      <c r="U864" s="414" t="s">
        <v>3913</v>
      </c>
      <c r="V864" s="414" t="s">
        <v>3914</v>
      </c>
      <c r="W864" s="417" t="s">
        <v>3915</v>
      </c>
      <c r="X864" s="417"/>
      <c r="Y864" s="421" t="s">
        <v>3652</v>
      </c>
      <c r="Z864" s="421" t="s">
        <v>3652</v>
      </c>
      <c r="AA864" s="416"/>
      <c r="AB864" s="414" t="s">
        <v>5614</v>
      </c>
      <c r="AC864" s="426"/>
      <c r="AD864" s="421"/>
      <c r="AE864" s="420"/>
      <c r="AF864" s="421">
        <v>90687</v>
      </c>
      <c r="AG864" s="420" t="s">
        <v>5678</v>
      </c>
      <c r="AH864" s="421" t="s">
        <v>3918</v>
      </c>
      <c r="AI864" s="420" t="s">
        <v>3919</v>
      </c>
      <c r="AJ864" s="413" t="str">
        <f t="shared" si="56"/>
        <v>4590007916_009</v>
      </c>
      <c r="AK864" s="423"/>
      <c r="AL864" s="424">
        <v>44958</v>
      </c>
      <c r="AM864" s="221">
        <v>5283.4279999999999</v>
      </c>
      <c r="AN864" s="228">
        <v>45030</v>
      </c>
      <c r="AO864" s="429" t="s">
        <v>5679</v>
      </c>
      <c r="AP864" s="430">
        <v>45436</v>
      </c>
      <c r="AQ864" s="241"/>
      <c r="AR864" s="430" t="s">
        <v>3765</v>
      </c>
      <c r="AS864" s="618">
        <f ca="1">表格1_6[[#This Row],[total amount]]/表格1_6[[#This Row],[PO$]]</f>
        <v>0.4</v>
      </c>
      <c r="AT864" s="223">
        <f ca="1">表格1_6[[#This Row],[invoice amount]]+表格1_6[[#This Row],[invoice amount2]]</f>
        <v>5283.4279999999999</v>
      </c>
      <c r="AU864" s="224" t="s">
        <v>4085</v>
      </c>
      <c r="AV864" s="420" t="s">
        <v>5668</v>
      </c>
      <c r="AW864" s="423" t="e">
        <f ca="1">VLOOKUP(表格1_6[[#This Row],[TI tool ID2]],工作表1!A:A,1,FALSE)</f>
        <v>#N/A</v>
      </c>
      <c r="AX864" s="425" t="e">
        <f ca="1">VLOOKUP(表格1_6[[#This Row],[PO+ITEM]],工作表1!B:E,2,FALSE)</f>
        <v>#N/A</v>
      </c>
      <c r="AY864" s="425" t="e">
        <f ca="1">VLOOKUP(表格1_6[[#This Row],[PO+ITEM]],工作表1!B:E,3,FALSE)</f>
        <v>#N/A</v>
      </c>
      <c r="AZ864" s="423" t="e">
        <f ca="1">VLOOKUP(表格1_6[[#This Row],[PO+ITEM]],工作表1!B:E,4,FALSE)</f>
        <v>#N/A</v>
      </c>
      <c r="BA864" s="425" t="e">
        <f ca="1">INDEX(工作表1!G:G, MATCH(表格1_6[[#This Row],[invoice number]]&amp;表格1_6[[#This Row],[invoice number2]],工作表1!G:G, 0))</f>
        <v>#N/A</v>
      </c>
      <c r="BB864" s="423" t="e">
        <f ca="1">VLOOKUP(表格1_6[[#This Row],[PO+ITEM]],工作表1!F:H,2,FALSE)</f>
        <v>#N/A</v>
      </c>
    </row>
    <row r="865" spans="1:54" ht="15.6">
      <c r="A865" s="413">
        <v>864</v>
      </c>
      <c r="B865" s="413" t="s">
        <v>3659</v>
      </c>
      <c r="C865" s="414" t="s">
        <v>17</v>
      </c>
      <c r="D865" s="414" t="s">
        <v>3648</v>
      </c>
      <c r="E865" s="414"/>
      <c r="F865" s="414"/>
      <c r="G865" s="414"/>
      <c r="H865" s="414"/>
      <c r="I865" s="414"/>
      <c r="J865" s="414"/>
      <c r="K865" s="414"/>
      <c r="L865" s="415" t="s">
        <v>5680</v>
      </c>
      <c r="M865" s="416" t="s">
        <v>2999</v>
      </c>
      <c r="N865" s="416" t="s">
        <v>2999</v>
      </c>
      <c r="O865" s="417"/>
      <c r="P865" s="416">
        <v>4590007916</v>
      </c>
      <c r="Q865" s="418">
        <v>44867</v>
      </c>
      <c r="R865" s="419">
        <v>10</v>
      </c>
      <c r="S865" s="458">
        <v>13208.57</v>
      </c>
      <c r="T865" s="420" t="s">
        <v>2156</v>
      </c>
      <c r="U865" s="414" t="s">
        <v>3913</v>
      </c>
      <c r="V865" s="414" t="s">
        <v>3914</v>
      </c>
      <c r="W865" s="417" t="s">
        <v>3915</v>
      </c>
      <c r="X865" s="417"/>
      <c r="Y865" s="421" t="s">
        <v>3652</v>
      </c>
      <c r="Z865" s="421" t="s">
        <v>3652</v>
      </c>
      <c r="AA865" s="416"/>
      <c r="AB865" s="414" t="s">
        <v>5614</v>
      </c>
      <c r="AC865" s="426"/>
      <c r="AD865" s="421"/>
      <c r="AE865" s="420"/>
      <c r="AF865" s="421">
        <v>90688</v>
      </c>
      <c r="AG865" s="420" t="s">
        <v>5681</v>
      </c>
      <c r="AH865" s="421" t="s">
        <v>3918</v>
      </c>
      <c r="AI865" s="420" t="s">
        <v>3919</v>
      </c>
      <c r="AJ865" s="413" t="str">
        <f t="shared" ref="AJ865:AJ877" si="57">P865&amp;"_0"&amp;R865</f>
        <v>4590007916_010</v>
      </c>
      <c r="AK865" s="423"/>
      <c r="AL865" s="424">
        <v>44958</v>
      </c>
      <c r="AM865" s="221">
        <v>5283.4279999999999</v>
      </c>
      <c r="AN865" s="228">
        <v>45030</v>
      </c>
      <c r="AO865" s="423"/>
      <c r="AP865" s="413"/>
      <c r="AQ865" s="222"/>
      <c r="AR865" s="424"/>
      <c r="AS865" s="614">
        <f ca="1">表格1_6[[#This Row],[total amount]]/表格1_6[[#This Row],[PO$]]</f>
        <v>0.4</v>
      </c>
      <c r="AT865" s="223">
        <f ca="1">表格1_6[[#This Row],[invoice amount]]+表格1_6[[#This Row],[invoice amount2]]</f>
        <v>5283.4279999999999</v>
      </c>
      <c r="AU865" s="224" t="s">
        <v>3673</v>
      </c>
      <c r="AV865" s="423"/>
      <c r="AW865" s="423" t="e">
        <f ca="1">VLOOKUP(表格1_6[[#This Row],[TI tool ID2]],工作表1!A:A,1,FALSE)</f>
        <v>#N/A</v>
      </c>
      <c r="AX865" s="425" t="e">
        <f ca="1">VLOOKUP(表格1_6[[#This Row],[PO+ITEM]],工作表1!B:E,2,FALSE)</f>
        <v>#N/A</v>
      </c>
      <c r="AY865" s="425" t="e">
        <f ca="1">VLOOKUP(表格1_6[[#This Row],[PO+ITEM]],工作表1!B:E,3,FALSE)</f>
        <v>#N/A</v>
      </c>
      <c r="AZ865" s="423" t="e">
        <f ca="1">VLOOKUP(表格1_6[[#This Row],[PO+ITEM]],工作表1!B:E,4,FALSE)</f>
        <v>#N/A</v>
      </c>
      <c r="BA865" s="425" t="e">
        <f ca="1">INDEX(工作表1!G:G, MATCH(表格1_6[[#This Row],[invoice number]]&amp;表格1_6[[#This Row],[invoice number2]],工作表1!G:G, 0))</f>
        <v>#N/A</v>
      </c>
      <c r="BB865" s="423" t="e">
        <f ca="1">VLOOKUP(表格1_6[[#This Row],[PO+ITEM]],工作表1!F:H,2,FALSE)</f>
        <v>#N/A</v>
      </c>
    </row>
    <row r="866" spans="1:54" ht="15.6">
      <c r="A866" s="413">
        <v>865</v>
      </c>
      <c r="B866" s="413" t="s">
        <v>3659</v>
      </c>
      <c r="C866" s="414" t="s">
        <v>17</v>
      </c>
      <c r="D866" s="414" t="s">
        <v>3648</v>
      </c>
      <c r="E866" s="414"/>
      <c r="F866" s="414"/>
      <c r="G866" s="414"/>
      <c r="H866" s="414"/>
      <c r="I866" s="414"/>
      <c r="J866" s="414"/>
      <c r="K866" s="414"/>
      <c r="L866" s="415" t="s">
        <v>5682</v>
      </c>
      <c r="M866" s="416" t="s">
        <v>2999</v>
      </c>
      <c r="N866" s="416" t="s">
        <v>2999</v>
      </c>
      <c r="O866" s="417"/>
      <c r="P866" s="416">
        <v>4590007916</v>
      </c>
      <c r="Q866" s="418">
        <v>44867</v>
      </c>
      <c r="R866" s="419">
        <v>11</v>
      </c>
      <c r="S866" s="458">
        <v>13208.57</v>
      </c>
      <c r="T866" s="420" t="s">
        <v>2156</v>
      </c>
      <c r="U866" s="414" t="s">
        <v>3913</v>
      </c>
      <c r="V866" s="414" t="s">
        <v>3914</v>
      </c>
      <c r="W866" s="417" t="s">
        <v>3915</v>
      </c>
      <c r="X866" s="417"/>
      <c r="Y866" s="421" t="s">
        <v>3652</v>
      </c>
      <c r="Z866" s="421" t="s">
        <v>3652</v>
      </c>
      <c r="AA866" s="416"/>
      <c r="AB866" s="414" t="s">
        <v>5614</v>
      </c>
      <c r="AC866" s="426"/>
      <c r="AD866" s="421"/>
      <c r="AE866" s="420"/>
      <c r="AF866" s="421">
        <v>91204</v>
      </c>
      <c r="AG866" s="420" t="s">
        <v>5683</v>
      </c>
      <c r="AH866" s="421" t="s">
        <v>3918</v>
      </c>
      <c r="AI866" s="420" t="s">
        <v>3919</v>
      </c>
      <c r="AJ866" s="413" t="str">
        <f t="shared" si="57"/>
        <v>4590007916_011</v>
      </c>
      <c r="AK866" s="423"/>
      <c r="AL866" s="424">
        <v>44958</v>
      </c>
      <c r="AM866" s="221">
        <v>5283.4279999999999</v>
      </c>
      <c r="AN866" s="228">
        <v>45030</v>
      </c>
      <c r="AO866" s="423"/>
      <c r="AP866" s="413"/>
      <c r="AQ866" s="222"/>
      <c r="AR866" s="424"/>
      <c r="AS866" s="614">
        <f ca="1">表格1_6[[#This Row],[total amount]]/表格1_6[[#This Row],[PO$]]</f>
        <v>0.4</v>
      </c>
      <c r="AT866" s="223">
        <f ca="1">表格1_6[[#This Row],[invoice amount]]+表格1_6[[#This Row],[invoice amount2]]</f>
        <v>5283.4279999999999</v>
      </c>
      <c r="AU866" s="224" t="s">
        <v>3673</v>
      </c>
      <c r="AV866" s="423"/>
      <c r="AW866" s="423" t="e">
        <f ca="1">VLOOKUP(表格1_6[[#This Row],[TI tool ID2]],工作表1!A:A,1,FALSE)</f>
        <v>#N/A</v>
      </c>
      <c r="AX866" s="425" t="e">
        <f ca="1">VLOOKUP(表格1_6[[#This Row],[PO+ITEM]],工作表1!B:E,2,FALSE)</f>
        <v>#N/A</v>
      </c>
      <c r="AY866" s="425" t="e">
        <f ca="1">VLOOKUP(表格1_6[[#This Row],[PO+ITEM]],工作表1!B:E,3,FALSE)</f>
        <v>#N/A</v>
      </c>
      <c r="AZ866" s="423" t="e">
        <f ca="1">VLOOKUP(表格1_6[[#This Row],[PO+ITEM]],工作表1!B:E,4,FALSE)</f>
        <v>#N/A</v>
      </c>
      <c r="BA866" s="425" t="e">
        <f ca="1">INDEX(工作表1!G:G, MATCH(表格1_6[[#This Row],[invoice number]]&amp;表格1_6[[#This Row],[invoice number2]],工作表1!G:G, 0))</f>
        <v>#N/A</v>
      </c>
      <c r="BB866" s="423" t="e">
        <f ca="1">VLOOKUP(表格1_6[[#This Row],[PO+ITEM]],工作表1!F:H,2,FALSE)</f>
        <v>#N/A</v>
      </c>
    </row>
    <row r="867" spans="1:54" ht="15.6">
      <c r="A867" s="413">
        <v>866</v>
      </c>
      <c r="B867" s="413" t="s">
        <v>3659</v>
      </c>
      <c r="C867" s="414" t="s">
        <v>17</v>
      </c>
      <c r="D867" s="414" t="s">
        <v>3648</v>
      </c>
      <c r="E867" s="414"/>
      <c r="F867" s="414"/>
      <c r="G867" s="414"/>
      <c r="H867" s="414"/>
      <c r="I867" s="414"/>
      <c r="J867" s="414"/>
      <c r="K867" s="414"/>
      <c r="L867" s="415" t="s">
        <v>5684</v>
      </c>
      <c r="M867" s="416" t="s">
        <v>2999</v>
      </c>
      <c r="N867" s="416" t="s">
        <v>2999</v>
      </c>
      <c r="O867" s="417"/>
      <c r="P867" s="416">
        <v>4590007916</v>
      </c>
      <c r="Q867" s="418">
        <v>44867</v>
      </c>
      <c r="R867" s="419">
        <v>12</v>
      </c>
      <c r="S867" s="458">
        <v>13208.57</v>
      </c>
      <c r="T867" s="420" t="s">
        <v>2156</v>
      </c>
      <c r="U867" s="414" t="s">
        <v>3913</v>
      </c>
      <c r="V867" s="414" t="s">
        <v>3914</v>
      </c>
      <c r="W867" s="417" t="s">
        <v>3915</v>
      </c>
      <c r="X867" s="417"/>
      <c r="Y867" s="421" t="s">
        <v>3652</v>
      </c>
      <c r="Z867" s="421" t="s">
        <v>3652</v>
      </c>
      <c r="AA867" s="416"/>
      <c r="AB867" s="414" t="s">
        <v>5614</v>
      </c>
      <c r="AC867" s="426"/>
      <c r="AD867" s="421"/>
      <c r="AE867" s="420"/>
      <c r="AF867" s="421">
        <v>91203</v>
      </c>
      <c r="AG867" s="420" t="s">
        <v>5685</v>
      </c>
      <c r="AH867" s="421" t="s">
        <v>3918</v>
      </c>
      <c r="AI867" s="420" t="s">
        <v>3919</v>
      </c>
      <c r="AJ867" s="413" t="str">
        <f t="shared" si="57"/>
        <v>4590007916_012</v>
      </c>
      <c r="AK867" s="423"/>
      <c r="AL867" s="424">
        <v>44958</v>
      </c>
      <c r="AM867" s="221">
        <v>5283.4279999999999</v>
      </c>
      <c r="AN867" s="228">
        <v>45030</v>
      </c>
      <c r="AO867" s="423"/>
      <c r="AP867" s="413"/>
      <c r="AQ867" s="222"/>
      <c r="AR867" s="424"/>
      <c r="AS867" s="614">
        <f ca="1">表格1_6[[#This Row],[total amount]]/表格1_6[[#This Row],[PO$]]</f>
        <v>0.4</v>
      </c>
      <c r="AT867" s="223">
        <f ca="1">表格1_6[[#This Row],[invoice amount]]+表格1_6[[#This Row],[invoice amount2]]</f>
        <v>5283.4279999999999</v>
      </c>
      <c r="AU867" s="224" t="s">
        <v>3673</v>
      </c>
      <c r="AV867" s="423"/>
      <c r="AW867" s="423" t="e">
        <f ca="1">VLOOKUP(表格1_6[[#This Row],[TI tool ID2]],工作表1!A:A,1,FALSE)</f>
        <v>#N/A</v>
      </c>
      <c r="AX867" s="425" t="e">
        <f ca="1">VLOOKUP(表格1_6[[#This Row],[PO+ITEM]],工作表1!B:E,2,FALSE)</f>
        <v>#N/A</v>
      </c>
      <c r="AY867" s="425" t="e">
        <f ca="1">VLOOKUP(表格1_6[[#This Row],[PO+ITEM]],工作表1!B:E,3,FALSE)</f>
        <v>#N/A</v>
      </c>
      <c r="AZ867" s="423" t="e">
        <f ca="1">VLOOKUP(表格1_6[[#This Row],[PO+ITEM]],工作表1!B:E,4,FALSE)</f>
        <v>#N/A</v>
      </c>
      <c r="BA867" s="425" t="e">
        <f ca="1">INDEX(工作表1!G:G, MATCH(表格1_6[[#This Row],[invoice number]]&amp;表格1_6[[#This Row],[invoice number2]],工作表1!G:G, 0))</f>
        <v>#N/A</v>
      </c>
      <c r="BB867" s="423" t="e">
        <f ca="1">VLOOKUP(表格1_6[[#This Row],[PO+ITEM]],工作表1!F:H,2,FALSE)</f>
        <v>#N/A</v>
      </c>
    </row>
    <row r="868" spans="1:54" ht="15.6">
      <c r="A868" s="413">
        <v>867</v>
      </c>
      <c r="B868" s="413" t="s">
        <v>3674</v>
      </c>
      <c r="C868" s="414" t="s">
        <v>17</v>
      </c>
      <c r="D868" s="414" t="s">
        <v>3648</v>
      </c>
      <c r="E868" s="414"/>
      <c r="F868" s="414"/>
      <c r="G868" s="414"/>
      <c r="H868" s="414"/>
      <c r="I868" s="414"/>
      <c r="J868" s="414"/>
      <c r="K868" s="414"/>
      <c r="L868" s="415" t="s">
        <v>5686</v>
      </c>
      <c r="M868" s="416" t="s">
        <v>2999</v>
      </c>
      <c r="N868" s="416" t="s">
        <v>2999</v>
      </c>
      <c r="O868" s="417"/>
      <c r="P868" s="416">
        <v>4590007916</v>
      </c>
      <c r="Q868" s="418">
        <v>44867</v>
      </c>
      <c r="R868" s="419">
        <v>13</v>
      </c>
      <c r="S868" s="458">
        <v>13208.57</v>
      </c>
      <c r="T868" s="420" t="s">
        <v>2156</v>
      </c>
      <c r="U868" s="414" t="s">
        <v>3913</v>
      </c>
      <c r="V868" s="414" t="s">
        <v>3914</v>
      </c>
      <c r="W868" s="417" t="s">
        <v>3915</v>
      </c>
      <c r="X868" s="417"/>
      <c r="Y868" s="421" t="s">
        <v>3652</v>
      </c>
      <c r="Z868" s="421" t="s">
        <v>3652</v>
      </c>
      <c r="AA868" s="416"/>
      <c r="AB868" s="414" t="s">
        <v>5614</v>
      </c>
      <c r="AC868" s="426"/>
      <c r="AD868" s="421"/>
      <c r="AE868" s="420"/>
      <c r="AF868" s="421">
        <v>90689</v>
      </c>
      <c r="AG868" s="420" t="s">
        <v>5687</v>
      </c>
      <c r="AH868" s="421" t="s">
        <v>3918</v>
      </c>
      <c r="AI868" s="420" t="s">
        <v>3919</v>
      </c>
      <c r="AJ868" s="413" t="str">
        <f t="shared" si="57"/>
        <v>4590007916_013</v>
      </c>
      <c r="AK868" s="423"/>
      <c r="AL868" s="424">
        <v>44958</v>
      </c>
      <c r="AM868" s="221">
        <v>5628.43</v>
      </c>
      <c r="AN868" s="228">
        <v>45030</v>
      </c>
      <c r="AO868" s="429" t="s">
        <v>5688</v>
      </c>
      <c r="AP868" s="430">
        <v>45436</v>
      </c>
      <c r="AQ868" s="241"/>
      <c r="AR868" s="430" t="s">
        <v>3765</v>
      </c>
      <c r="AS868" s="618">
        <f ca="1">表格1_6[[#This Row],[total amount]]/表格1_6[[#This Row],[PO$]]</f>
        <v>0.42611955722686107</v>
      </c>
      <c r="AT868" s="223">
        <f ca="1">表格1_6[[#This Row],[invoice amount]]+表格1_6[[#This Row],[invoice amount2]]</f>
        <v>5628.43</v>
      </c>
      <c r="AU868" s="224" t="s">
        <v>4085</v>
      </c>
      <c r="AV868" s="420" t="s">
        <v>5668</v>
      </c>
      <c r="AW868" s="423" t="e">
        <f ca="1">VLOOKUP(表格1_6[[#This Row],[TI tool ID2]],工作表1!A:A,1,FALSE)</f>
        <v>#N/A</v>
      </c>
      <c r="AX868" s="425" t="e">
        <f ca="1">VLOOKUP(表格1_6[[#This Row],[PO+ITEM]],工作表1!B:E,2,FALSE)</f>
        <v>#N/A</v>
      </c>
      <c r="AY868" s="425" t="e">
        <f ca="1">VLOOKUP(表格1_6[[#This Row],[PO+ITEM]],工作表1!B:E,3,FALSE)</f>
        <v>#N/A</v>
      </c>
      <c r="AZ868" s="423" t="e">
        <f ca="1">VLOOKUP(表格1_6[[#This Row],[PO+ITEM]],工作表1!B:E,4,FALSE)</f>
        <v>#N/A</v>
      </c>
      <c r="BA868" s="425" t="e">
        <f ca="1">INDEX(工作表1!G:G, MATCH(表格1_6[[#This Row],[invoice number]]&amp;表格1_6[[#This Row],[invoice number2]],工作表1!G:G, 0))</f>
        <v>#N/A</v>
      </c>
      <c r="BB868" s="423" t="e">
        <f ca="1">VLOOKUP(表格1_6[[#This Row],[PO+ITEM]],工作表1!F:H,2,FALSE)</f>
        <v>#N/A</v>
      </c>
    </row>
    <row r="869" spans="1:54" ht="15.6">
      <c r="A869" s="413">
        <v>868</v>
      </c>
      <c r="B869" s="413" t="s">
        <v>3659</v>
      </c>
      <c r="C869" s="414" t="s">
        <v>17</v>
      </c>
      <c r="D869" s="414" t="s">
        <v>3648</v>
      </c>
      <c r="E869" s="414"/>
      <c r="F869" s="414"/>
      <c r="G869" s="414"/>
      <c r="H869" s="414"/>
      <c r="I869" s="414"/>
      <c r="J869" s="414"/>
      <c r="K869" s="414"/>
      <c r="L869" s="415" t="s">
        <v>5689</v>
      </c>
      <c r="M869" s="416" t="s">
        <v>2999</v>
      </c>
      <c r="N869" s="416" t="s">
        <v>2999</v>
      </c>
      <c r="O869" s="417"/>
      <c r="P869" s="416">
        <v>4590007916</v>
      </c>
      <c r="Q869" s="418">
        <v>44867</v>
      </c>
      <c r="R869" s="419">
        <v>14</v>
      </c>
      <c r="S869" s="458">
        <v>13208.57</v>
      </c>
      <c r="T869" s="420" t="s">
        <v>2156</v>
      </c>
      <c r="U869" s="414" t="s">
        <v>3913</v>
      </c>
      <c r="V869" s="414" t="s">
        <v>3914</v>
      </c>
      <c r="W869" s="417" t="s">
        <v>3915</v>
      </c>
      <c r="X869" s="417"/>
      <c r="Y869" s="421" t="s">
        <v>3652</v>
      </c>
      <c r="Z869" s="421" t="s">
        <v>3652</v>
      </c>
      <c r="AA869" s="416"/>
      <c r="AB869" s="414" t="s">
        <v>5614</v>
      </c>
      <c r="AC869" s="426"/>
      <c r="AD869" s="421"/>
      <c r="AE869" s="420"/>
      <c r="AF869" s="421">
        <v>90954</v>
      </c>
      <c r="AG869" s="420" t="s">
        <v>5690</v>
      </c>
      <c r="AH869" s="421" t="s">
        <v>3918</v>
      </c>
      <c r="AI869" s="420" t="s">
        <v>3919</v>
      </c>
      <c r="AJ869" s="413" t="str">
        <f t="shared" si="57"/>
        <v>4590007916_014</v>
      </c>
      <c r="AK869" s="423"/>
      <c r="AL869" s="424">
        <v>44958</v>
      </c>
      <c r="AM869" s="221">
        <v>5283.4279999999999</v>
      </c>
      <c r="AN869" s="228">
        <v>45030</v>
      </c>
      <c r="AO869" s="423"/>
      <c r="AP869" s="413"/>
      <c r="AQ869" s="222"/>
      <c r="AR869" s="424"/>
      <c r="AS869" s="614">
        <f ca="1">表格1_6[[#This Row],[total amount]]/表格1_6[[#This Row],[PO$]]</f>
        <v>0.4</v>
      </c>
      <c r="AT869" s="223">
        <f ca="1">表格1_6[[#This Row],[invoice amount]]+表格1_6[[#This Row],[invoice amount2]]</f>
        <v>5283.4279999999999</v>
      </c>
      <c r="AU869" s="224" t="s">
        <v>3673</v>
      </c>
      <c r="AV869" s="423"/>
      <c r="AW869" s="423" t="e">
        <f ca="1">VLOOKUP(表格1_6[[#This Row],[TI tool ID2]],工作表1!A:A,1,FALSE)</f>
        <v>#N/A</v>
      </c>
      <c r="AX869" s="425" t="e">
        <f ca="1">VLOOKUP(表格1_6[[#This Row],[PO+ITEM]],工作表1!B:E,2,FALSE)</f>
        <v>#N/A</v>
      </c>
      <c r="AY869" s="425" t="e">
        <f ca="1">VLOOKUP(表格1_6[[#This Row],[PO+ITEM]],工作表1!B:E,3,FALSE)</f>
        <v>#N/A</v>
      </c>
      <c r="AZ869" s="423" t="e">
        <f ca="1">VLOOKUP(表格1_6[[#This Row],[PO+ITEM]],工作表1!B:E,4,FALSE)</f>
        <v>#N/A</v>
      </c>
      <c r="BA869" s="425" t="e">
        <f ca="1">INDEX(工作表1!G:G, MATCH(表格1_6[[#This Row],[invoice number]]&amp;表格1_6[[#This Row],[invoice number2]],工作表1!G:G, 0))</f>
        <v>#N/A</v>
      </c>
      <c r="BB869" s="423" t="e">
        <f ca="1">VLOOKUP(表格1_6[[#This Row],[PO+ITEM]],工作表1!F:H,2,FALSE)</f>
        <v>#N/A</v>
      </c>
    </row>
    <row r="870" spans="1:54" ht="15.6">
      <c r="A870" s="413">
        <v>869</v>
      </c>
      <c r="B870" s="413" t="s">
        <v>3674</v>
      </c>
      <c r="C870" s="414" t="s">
        <v>17</v>
      </c>
      <c r="D870" s="414" t="s">
        <v>3648</v>
      </c>
      <c r="E870" s="414"/>
      <c r="F870" s="414"/>
      <c r="G870" s="414"/>
      <c r="H870" s="414"/>
      <c r="I870" s="414"/>
      <c r="J870" s="414"/>
      <c r="K870" s="414"/>
      <c r="L870" s="415" t="s">
        <v>5691</v>
      </c>
      <c r="M870" s="416" t="s">
        <v>2999</v>
      </c>
      <c r="N870" s="416" t="s">
        <v>2999</v>
      </c>
      <c r="O870" s="417"/>
      <c r="P870" s="416">
        <v>4590007916</v>
      </c>
      <c r="Q870" s="418">
        <v>44867</v>
      </c>
      <c r="R870" s="419">
        <v>15</v>
      </c>
      <c r="S870" s="458">
        <v>14071.07</v>
      </c>
      <c r="T870" s="420" t="s">
        <v>2156</v>
      </c>
      <c r="U870" s="414" t="s">
        <v>3913</v>
      </c>
      <c r="V870" s="414" t="s">
        <v>3914</v>
      </c>
      <c r="W870" s="417" t="s">
        <v>3915</v>
      </c>
      <c r="X870" s="417"/>
      <c r="Y870" s="421" t="s">
        <v>3652</v>
      </c>
      <c r="Z870" s="421" t="s">
        <v>3652</v>
      </c>
      <c r="AA870" s="416"/>
      <c r="AB870" s="414" t="s">
        <v>5614</v>
      </c>
      <c r="AC870" s="426"/>
      <c r="AD870" s="421"/>
      <c r="AE870" s="420"/>
      <c r="AF870" s="421">
        <v>90683</v>
      </c>
      <c r="AG870" s="420" t="s">
        <v>5692</v>
      </c>
      <c r="AH870" s="421" t="s">
        <v>3918</v>
      </c>
      <c r="AI870" s="420" t="s">
        <v>3919</v>
      </c>
      <c r="AJ870" s="413" t="str">
        <f t="shared" si="57"/>
        <v>4590007916_015</v>
      </c>
      <c r="AK870" s="423"/>
      <c r="AL870" s="424">
        <v>44958</v>
      </c>
      <c r="AM870" s="221">
        <v>5628.4279999999999</v>
      </c>
      <c r="AN870" s="228">
        <v>45030</v>
      </c>
      <c r="AO870" s="429" t="s">
        <v>5693</v>
      </c>
      <c r="AP870" s="430">
        <v>45408</v>
      </c>
      <c r="AQ870" s="241"/>
      <c r="AR870" s="430" t="s">
        <v>3765</v>
      </c>
      <c r="AS870" s="618">
        <f ca="1">表格1_6[[#This Row],[total amount]]/表格1_6[[#This Row],[PO$]]</f>
        <v>0.4</v>
      </c>
      <c r="AT870" s="223">
        <f ca="1">表格1_6[[#This Row],[invoice amount]]+表格1_6[[#This Row],[invoice amount2]]</f>
        <v>5628.4279999999999</v>
      </c>
      <c r="AU870" s="224" t="s">
        <v>4085</v>
      </c>
      <c r="AV870" s="420" t="s">
        <v>5668</v>
      </c>
      <c r="AW870" s="423" t="e">
        <f ca="1">VLOOKUP(表格1_6[[#This Row],[TI tool ID2]],工作表1!A:A,1,FALSE)</f>
        <v>#N/A</v>
      </c>
      <c r="AX870" s="425" t="e">
        <f ca="1">VLOOKUP(表格1_6[[#This Row],[PO+ITEM]],工作表1!B:E,2,FALSE)</f>
        <v>#N/A</v>
      </c>
      <c r="AY870" s="425" t="e">
        <f ca="1">VLOOKUP(表格1_6[[#This Row],[PO+ITEM]],工作表1!B:E,3,FALSE)</f>
        <v>#N/A</v>
      </c>
      <c r="AZ870" s="423" t="e">
        <f ca="1">VLOOKUP(表格1_6[[#This Row],[PO+ITEM]],工作表1!B:E,4,FALSE)</f>
        <v>#N/A</v>
      </c>
      <c r="BA870" s="425" t="e">
        <f ca="1">INDEX(工作表1!G:G, MATCH(表格1_6[[#This Row],[invoice number]]&amp;表格1_6[[#This Row],[invoice number2]],工作表1!G:G, 0))</f>
        <v>#N/A</v>
      </c>
      <c r="BB870" s="423" t="e">
        <f ca="1">VLOOKUP(表格1_6[[#This Row],[PO+ITEM]],工作表1!F:H,2,FALSE)</f>
        <v>#N/A</v>
      </c>
    </row>
    <row r="871" spans="1:54" ht="15.6">
      <c r="A871" s="413">
        <v>870</v>
      </c>
      <c r="B871" s="413" t="s">
        <v>3659</v>
      </c>
      <c r="C871" s="414" t="s">
        <v>17</v>
      </c>
      <c r="D871" s="414" t="s">
        <v>3648</v>
      </c>
      <c r="E871" s="414"/>
      <c r="F871" s="414"/>
      <c r="G871" s="414"/>
      <c r="H871" s="414"/>
      <c r="I871" s="414"/>
      <c r="J871" s="414"/>
      <c r="K871" s="414"/>
      <c r="L871" s="415" t="s">
        <v>5694</v>
      </c>
      <c r="M871" s="416" t="s">
        <v>2999</v>
      </c>
      <c r="N871" s="416" t="s">
        <v>2999</v>
      </c>
      <c r="O871" s="417"/>
      <c r="P871" s="416">
        <v>4590007916</v>
      </c>
      <c r="Q871" s="418">
        <v>44867</v>
      </c>
      <c r="R871" s="419">
        <v>16</v>
      </c>
      <c r="S871" s="458">
        <v>14071.07</v>
      </c>
      <c r="T871" s="420" t="s">
        <v>2156</v>
      </c>
      <c r="U871" s="414" t="s">
        <v>3913</v>
      </c>
      <c r="V871" s="414" t="s">
        <v>3914</v>
      </c>
      <c r="W871" s="417" t="s">
        <v>3915</v>
      </c>
      <c r="X871" s="417"/>
      <c r="Y871" s="421" t="s">
        <v>3652</v>
      </c>
      <c r="Z871" s="421" t="s">
        <v>3652</v>
      </c>
      <c r="AA871" s="416"/>
      <c r="AB871" s="414" t="s">
        <v>5614</v>
      </c>
      <c r="AC871" s="426"/>
      <c r="AD871" s="421"/>
      <c r="AE871" s="420"/>
      <c r="AF871" s="421">
        <v>91206</v>
      </c>
      <c r="AG871" s="420" t="s">
        <v>5695</v>
      </c>
      <c r="AH871" s="421" t="s">
        <v>3918</v>
      </c>
      <c r="AI871" s="420" t="s">
        <v>3919</v>
      </c>
      <c r="AJ871" s="413" t="str">
        <f t="shared" si="57"/>
        <v>4590007916_016</v>
      </c>
      <c r="AK871" s="423"/>
      <c r="AL871" s="424">
        <v>44958</v>
      </c>
      <c r="AM871" s="221">
        <v>5628.4279999999999</v>
      </c>
      <c r="AN871" s="228">
        <v>45030</v>
      </c>
      <c r="AO871" s="423"/>
      <c r="AP871" s="413"/>
      <c r="AQ871" s="222"/>
      <c r="AR871" s="424"/>
      <c r="AS871" s="614">
        <f ca="1">表格1_6[[#This Row],[total amount]]/表格1_6[[#This Row],[PO$]]</f>
        <v>0.4</v>
      </c>
      <c r="AT871" s="223">
        <f ca="1">表格1_6[[#This Row],[invoice amount]]+表格1_6[[#This Row],[invoice amount2]]</f>
        <v>5628.4279999999999</v>
      </c>
      <c r="AU871" s="224" t="s">
        <v>3673</v>
      </c>
      <c r="AV871" s="423"/>
      <c r="AW871" s="423" t="e">
        <f ca="1">VLOOKUP(表格1_6[[#This Row],[TI tool ID2]],工作表1!A:A,1,FALSE)</f>
        <v>#N/A</v>
      </c>
      <c r="AX871" s="425" t="e">
        <f ca="1">VLOOKUP(表格1_6[[#This Row],[PO+ITEM]],工作表1!B:E,2,FALSE)</f>
        <v>#N/A</v>
      </c>
      <c r="AY871" s="425" t="e">
        <f ca="1">VLOOKUP(表格1_6[[#This Row],[PO+ITEM]],工作表1!B:E,3,FALSE)</f>
        <v>#N/A</v>
      </c>
      <c r="AZ871" s="423" t="e">
        <f ca="1">VLOOKUP(表格1_6[[#This Row],[PO+ITEM]],工作表1!B:E,4,FALSE)</f>
        <v>#N/A</v>
      </c>
      <c r="BA871" s="425" t="e">
        <f ca="1">INDEX(工作表1!G:G, MATCH(表格1_6[[#This Row],[invoice number]]&amp;表格1_6[[#This Row],[invoice number2]],工作表1!G:G, 0))</f>
        <v>#N/A</v>
      </c>
      <c r="BB871" s="423" t="e">
        <f ca="1">VLOOKUP(表格1_6[[#This Row],[PO+ITEM]],工作表1!F:H,2,FALSE)</f>
        <v>#N/A</v>
      </c>
    </row>
    <row r="872" spans="1:54" ht="15.6">
      <c r="A872" s="413">
        <v>871</v>
      </c>
      <c r="B872" s="413" t="s">
        <v>3674</v>
      </c>
      <c r="C872" s="414" t="s">
        <v>17</v>
      </c>
      <c r="D872" s="414" t="s">
        <v>3648</v>
      </c>
      <c r="E872" s="414"/>
      <c r="F872" s="414"/>
      <c r="G872" s="414"/>
      <c r="H872" s="414"/>
      <c r="I872" s="414"/>
      <c r="J872" s="414"/>
      <c r="K872" s="414"/>
      <c r="L872" s="415" t="s">
        <v>5696</v>
      </c>
      <c r="M872" s="416" t="s">
        <v>2999</v>
      </c>
      <c r="N872" s="416" t="s">
        <v>2999</v>
      </c>
      <c r="O872" s="417"/>
      <c r="P872" s="416">
        <v>4590007916</v>
      </c>
      <c r="Q872" s="418">
        <v>44867</v>
      </c>
      <c r="R872" s="419">
        <v>17</v>
      </c>
      <c r="S872" s="458">
        <v>13208.57</v>
      </c>
      <c r="T872" s="420" t="s">
        <v>2156</v>
      </c>
      <c r="U872" s="414" t="s">
        <v>3913</v>
      </c>
      <c r="V872" s="414" t="s">
        <v>3914</v>
      </c>
      <c r="W872" s="417" t="s">
        <v>3915</v>
      </c>
      <c r="X872" s="417"/>
      <c r="Y872" s="421" t="s">
        <v>3652</v>
      </c>
      <c r="Z872" s="421" t="s">
        <v>3652</v>
      </c>
      <c r="AA872" s="416"/>
      <c r="AB872" s="414" t="s">
        <v>5614</v>
      </c>
      <c r="AC872" s="426"/>
      <c r="AD872" s="421"/>
      <c r="AE872" s="420"/>
      <c r="AF872" s="421">
        <v>90686</v>
      </c>
      <c r="AG872" s="420" t="s">
        <v>5697</v>
      </c>
      <c r="AH872" s="421" t="s">
        <v>3918</v>
      </c>
      <c r="AI872" s="420" t="s">
        <v>3919</v>
      </c>
      <c r="AJ872" s="413" t="str">
        <f t="shared" si="57"/>
        <v>4590007916_017</v>
      </c>
      <c r="AK872" s="423"/>
      <c r="AL872" s="424">
        <v>44958</v>
      </c>
      <c r="AM872" s="221">
        <v>5283.4279999999999</v>
      </c>
      <c r="AN872" s="228">
        <v>45030</v>
      </c>
      <c r="AO872" s="429" t="s">
        <v>5698</v>
      </c>
      <c r="AP872" s="430">
        <v>45436</v>
      </c>
      <c r="AQ872" s="241"/>
      <c r="AR872" s="430" t="s">
        <v>3765</v>
      </c>
      <c r="AS872" s="618">
        <f ca="1">表格1_6[[#This Row],[total amount]]/表格1_6[[#This Row],[PO$]]</f>
        <v>0.4</v>
      </c>
      <c r="AT872" s="223">
        <f ca="1">表格1_6[[#This Row],[invoice amount]]+表格1_6[[#This Row],[invoice amount2]]</f>
        <v>5283.4279999999999</v>
      </c>
      <c r="AU872" s="224" t="s">
        <v>4085</v>
      </c>
      <c r="AV872" s="420" t="s">
        <v>5668</v>
      </c>
      <c r="AW872" s="423" t="e">
        <f ca="1">VLOOKUP(表格1_6[[#This Row],[TI tool ID2]],工作表1!A:A,1,FALSE)</f>
        <v>#N/A</v>
      </c>
      <c r="AX872" s="425" t="e">
        <f ca="1">VLOOKUP(表格1_6[[#This Row],[PO+ITEM]],工作表1!B:E,2,FALSE)</f>
        <v>#N/A</v>
      </c>
      <c r="AY872" s="425" t="e">
        <f ca="1">VLOOKUP(表格1_6[[#This Row],[PO+ITEM]],工作表1!B:E,3,FALSE)</f>
        <v>#N/A</v>
      </c>
      <c r="AZ872" s="423" t="e">
        <f ca="1">VLOOKUP(表格1_6[[#This Row],[PO+ITEM]],工作表1!B:E,4,FALSE)</f>
        <v>#N/A</v>
      </c>
      <c r="BA872" s="425" t="e">
        <f ca="1">INDEX(工作表1!G:G, MATCH(表格1_6[[#This Row],[invoice number]]&amp;表格1_6[[#This Row],[invoice number2]],工作表1!G:G, 0))</f>
        <v>#N/A</v>
      </c>
      <c r="BB872" s="423" t="e">
        <f ca="1">VLOOKUP(表格1_6[[#This Row],[PO+ITEM]],工作表1!F:H,2,FALSE)</f>
        <v>#N/A</v>
      </c>
    </row>
    <row r="873" spans="1:54" ht="15.6">
      <c r="A873" s="413">
        <v>872</v>
      </c>
      <c r="B873" s="413" t="s">
        <v>3659</v>
      </c>
      <c r="C873" s="414" t="s">
        <v>17</v>
      </c>
      <c r="D873" s="414" t="s">
        <v>3648</v>
      </c>
      <c r="E873" s="414"/>
      <c r="F873" s="414"/>
      <c r="G873" s="414"/>
      <c r="H873" s="414"/>
      <c r="I873" s="414"/>
      <c r="J873" s="414"/>
      <c r="K873" s="414"/>
      <c r="L873" s="415" t="s">
        <v>5699</v>
      </c>
      <c r="M873" s="416" t="s">
        <v>2999</v>
      </c>
      <c r="N873" s="416" t="s">
        <v>2999</v>
      </c>
      <c r="O873" s="417"/>
      <c r="P873" s="416">
        <v>4590007916</v>
      </c>
      <c r="Q873" s="418">
        <v>44867</v>
      </c>
      <c r="R873" s="419">
        <v>18</v>
      </c>
      <c r="S873" s="458">
        <v>13208.57</v>
      </c>
      <c r="T873" s="420" t="s">
        <v>2156</v>
      </c>
      <c r="U873" s="414" t="s">
        <v>3913</v>
      </c>
      <c r="V873" s="414" t="s">
        <v>3914</v>
      </c>
      <c r="W873" s="417" t="s">
        <v>3915</v>
      </c>
      <c r="X873" s="417"/>
      <c r="Y873" s="421" t="s">
        <v>3652</v>
      </c>
      <c r="Z873" s="421" t="s">
        <v>3652</v>
      </c>
      <c r="AA873" s="416"/>
      <c r="AB873" s="414" t="s">
        <v>5614</v>
      </c>
      <c r="AC873" s="426"/>
      <c r="AD873" s="421"/>
      <c r="AE873" s="420"/>
      <c r="AF873" s="421">
        <v>91205</v>
      </c>
      <c r="AG873" s="420" t="s">
        <v>5700</v>
      </c>
      <c r="AH873" s="421" t="s">
        <v>3918</v>
      </c>
      <c r="AI873" s="420" t="s">
        <v>3919</v>
      </c>
      <c r="AJ873" s="413" t="str">
        <f t="shared" si="57"/>
        <v>4590007916_018</v>
      </c>
      <c r="AK873" s="423"/>
      <c r="AL873" s="424">
        <v>44958</v>
      </c>
      <c r="AM873" s="221">
        <v>5283.4279999999999</v>
      </c>
      <c r="AN873" s="228">
        <v>45030</v>
      </c>
      <c r="AO873" s="423"/>
      <c r="AP873" s="413"/>
      <c r="AQ873" s="222"/>
      <c r="AR873" s="424"/>
      <c r="AS873" s="614">
        <f ca="1">表格1_6[[#This Row],[total amount]]/表格1_6[[#This Row],[PO$]]</f>
        <v>0.4</v>
      </c>
      <c r="AT873" s="223">
        <f ca="1">表格1_6[[#This Row],[invoice amount]]+表格1_6[[#This Row],[invoice amount2]]</f>
        <v>5283.4279999999999</v>
      </c>
      <c r="AU873" s="224" t="s">
        <v>3673</v>
      </c>
      <c r="AV873" s="423"/>
      <c r="AW873" s="423" t="e">
        <f ca="1">VLOOKUP(表格1_6[[#This Row],[TI tool ID2]],工作表1!A:A,1,FALSE)</f>
        <v>#N/A</v>
      </c>
      <c r="AX873" s="425" t="e">
        <f ca="1">VLOOKUP(表格1_6[[#This Row],[PO+ITEM]],工作表1!B:E,2,FALSE)</f>
        <v>#N/A</v>
      </c>
      <c r="AY873" s="425" t="e">
        <f ca="1">VLOOKUP(表格1_6[[#This Row],[PO+ITEM]],工作表1!B:E,3,FALSE)</f>
        <v>#N/A</v>
      </c>
      <c r="AZ873" s="423" t="e">
        <f ca="1">VLOOKUP(表格1_6[[#This Row],[PO+ITEM]],工作表1!B:E,4,FALSE)</f>
        <v>#N/A</v>
      </c>
      <c r="BA873" s="425" t="e">
        <f ca="1">INDEX(工作表1!G:G, MATCH(表格1_6[[#This Row],[invoice number]]&amp;表格1_6[[#This Row],[invoice number2]],工作表1!G:G, 0))</f>
        <v>#N/A</v>
      </c>
      <c r="BB873" s="423" t="e">
        <f ca="1">VLOOKUP(表格1_6[[#This Row],[PO+ITEM]],工作表1!F:H,2,FALSE)</f>
        <v>#N/A</v>
      </c>
    </row>
    <row r="874" spans="1:54" ht="15.6">
      <c r="A874" s="413">
        <v>873</v>
      </c>
      <c r="B874" s="413" t="s">
        <v>3674</v>
      </c>
      <c r="C874" s="414" t="s">
        <v>17</v>
      </c>
      <c r="D874" s="414" t="s">
        <v>3648</v>
      </c>
      <c r="E874" s="414"/>
      <c r="F874" s="414"/>
      <c r="G874" s="414"/>
      <c r="H874" s="414"/>
      <c r="I874" s="414"/>
      <c r="J874" s="414"/>
      <c r="K874" s="414"/>
      <c r="L874" s="415" t="s">
        <v>5701</v>
      </c>
      <c r="M874" s="416" t="s">
        <v>2999</v>
      </c>
      <c r="N874" s="416" t="s">
        <v>2999</v>
      </c>
      <c r="O874" s="417"/>
      <c r="P874" s="416">
        <v>4590007916</v>
      </c>
      <c r="Q874" s="418">
        <v>44867</v>
      </c>
      <c r="R874" s="419">
        <v>19</v>
      </c>
      <c r="S874" s="458">
        <v>14071.07</v>
      </c>
      <c r="T874" s="420" t="s">
        <v>2156</v>
      </c>
      <c r="U874" s="414" t="s">
        <v>3913</v>
      </c>
      <c r="V874" s="414" t="s">
        <v>3914</v>
      </c>
      <c r="W874" s="417" t="s">
        <v>3915</v>
      </c>
      <c r="X874" s="417"/>
      <c r="Y874" s="421" t="s">
        <v>3652</v>
      </c>
      <c r="Z874" s="421" t="s">
        <v>3652</v>
      </c>
      <c r="AA874" s="416" t="s">
        <v>5702</v>
      </c>
      <c r="AB874" s="414" t="s">
        <v>5614</v>
      </c>
      <c r="AC874" s="426"/>
      <c r="AD874" s="421"/>
      <c r="AE874" s="420"/>
      <c r="AF874" s="421">
        <v>90684</v>
      </c>
      <c r="AG874" s="420" t="s">
        <v>5703</v>
      </c>
      <c r="AH874" s="421" t="s">
        <v>3918</v>
      </c>
      <c r="AI874" s="420" t="s">
        <v>3919</v>
      </c>
      <c r="AJ874" s="413" t="str">
        <f t="shared" si="57"/>
        <v>4590007916_019</v>
      </c>
      <c r="AK874" s="423"/>
      <c r="AL874" s="424">
        <v>44958</v>
      </c>
      <c r="AM874" s="221">
        <v>0</v>
      </c>
      <c r="AN874" s="431" t="s">
        <v>3788</v>
      </c>
      <c r="AO874" s="423" t="s">
        <v>5704</v>
      </c>
      <c r="AP874" s="424">
        <v>45429</v>
      </c>
      <c r="AQ874" s="221">
        <v>5628.4279999999999</v>
      </c>
      <c r="AR874" s="424"/>
      <c r="AS874" s="614">
        <f ca="1">表格1_6[[#This Row],[total amount]]/表格1_6[[#This Row],[PO$]]</f>
        <v>0.4</v>
      </c>
      <c r="AT874" s="223">
        <f ca="1">表格1_6[[#This Row],[invoice amount]]+表格1_6[[#This Row],[invoice amount2]]</f>
        <v>5628.4279999999999</v>
      </c>
      <c r="AU874" s="224" t="s">
        <v>4085</v>
      </c>
      <c r="AV874" s="420" t="s">
        <v>5668</v>
      </c>
      <c r="AW874" s="423" t="e">
        <f ca="1">VLOOKUP(表格1_6[[#This Row],[TI tool ID2]],工作表1!A:A,1,FALSE)</f>
        <v>#N/A</v>
      </c>
      <c r="AX874" s="425" t="e">
        <f ca="1">VLOOKUP(表格1_6[[#This Row],[PO+ITEM]],工作表1!B:E,2,FALSE)</f>
        <v>#N/A</v>
      </c>
      <c r="AY874" s="425" t="e">
        <f ca="1">VLOOKUP(表格1_6[[#This Row],[PO+ITEM]],工作表1!B:E,3,FALSE)</f>
        <v>#N/A</v>
      </c>
      <c r="AZ874" s="423" t="e">
        <f ca="1">VLOOKUP(表格1_6[[#This Row],[PO+ITEM]],工作表1!B:E,4,FALSE)</f>
        <v>#N/A</v>
      </c>
      <c r="BA874" s="425" t="e">
        <f ca="1">INDEX(工作表1!G:G, MATCH(表格1_6[[#This Row],[invoice number]]&amp;表格1_6[[#This Row],[invoice number2]],工作表1!G:G, 0))</f>
        <v>#N/A</v>
      </c>
      <c r="BB874" s="423" t="e">
        <f ca="1">VLOOKUP(表格1_6[[#This Row],[PO+ITEM]],工作表1!F:H,2,FALSE)</f>
        <v>#N/A</v>
      </c>
    </row>
    <row r="875" spans="1:54" ht="15.6">
      <c r="A875" s="413">
        <v>874</v>
      </c>
      <c r="B875" s="413" t="s">
        <v>3659</v>
      </c>
      <c r="C875" s="414" t="s">
        <v>17</v>
      </c>
      <c r="D875" s="414" t="s">
        <v>3648</v>
      </c>
      <c r="E875" s="414"/>
      <c r="F875" s="414"/>
      <c r="G875" s="414"/>
      <c r="H875" s="414"/>
      <c r="I875" s="414"/>
      <c r="J875" s="414"/>
      <c r="K875" s="414"/>
      <c r="L875" s="415" t="s">
        <v>5705</v>
      </c>
      <c r="M875" s="416" t="s">
        <v>2999</v>
      </c>
      <c r="N875" s="416" t="s">
        <v>2999</v>
      </c>
      <c r="O875" s="417"/>
      <c r="P875" s="416">
        <v>4590007916</v>
      </c>
      <c r="Q875" s="418">
        <v>44867</v>
      </c>
      <c r="R875" s="419">
        <v>20</v>
      </c>
      <c r="S875" s="458">
        <v>14071.07</v>
      </c>
      <c r="T875" s="420" t="s">
        <v>2156</v>
      </c>
      <c r="U875" s="414" t="s">
        <v>3913</v>
      </c>
      <c r="V875" s="414" t="s">
        <v>3914</v>
      </c>
      <c r="W875" s="417" t="s">
        <v>3915</v>
      </c>
      <c r="X875" s="417"/>
      <c r="Y875" s="421" t="s">
        <v>3652</v>
      </c>
      <c r="Z875" s="421" t="s">
        <v>3652</v>
      </c>
      <c r="AA875" s="416"/>
      <c r="AB875" s="414" t="s">
        <v>5614</v>
      </c>
      <c r="AC875" s="426"/>
      <c r="AD875" s="421"/>
      <c r="AE875" s="420"/>
      <c r="AF875" s="421">
        <v>90685</v>
      </c>
      <c r="AG875" s="420" t="s">
        <v>5706</v>
      </c>
      <c r="AH875" s="421" t="s">
        <v>3918</v>
      </c>
      <c r="AI875" s="420" t="s">
        <v>3919</v>
      </c>
      <c r="AJ875" s="413" t="str">
        <f t="shared" si="57"/>
        <v>4590007916_020</v>
      </c>
      <c r="AK875" s="423"/>
      <c r="AL875" s="424">
        <v>44958</v>
      </c>
      <c r="AM875" s="221">
        <v>5628.4279999999999</v>
      </c>
      <c r="AN875" s="228">
        <v>45030</v>
      </c>
      <c r="AO875" s="423"/>
      <c r="AP875" s="413"/>
      <c r="AQ875" s="222"/>
      <c r="AR875" s="424"/>
      <c r="AS875" s="614">
        <f ca="1">表格1_6[[#This Row],[total amount]]/表格1_6[[#This Row],[PO$]]</f>
        <v>0.4</v>
      </c>
      <c r="AT875" s="223">
        <f ca="1">表格1_6[[#This Row],[invoice amount]]+表格1_6[[#This Row],[invoice amount2]]</f>
        <v>5628.4279999999999</v>
      </c>
      <c r="AU875" s="224" t="s">
        <v>3673</v>
      </c>
      <c r="AV875" s="423"/>
      <c r="AW875" s="423" t="e">
        <f ca="1">VLOOKUP(表格1_6[[#This Row],[TI tool ID2]],工作表1!A:A,1,FALSE)</f>
        <v>#N/A</v>
      </c>
      <c r="AX875" s="425" t="e">
        <f ca="1">VLOOKUP(表格1_6[[#This Row],[PO+ITEM]],工作表1!B:E,2,FALSE)</f>
        <v>#N/A</v>
      </c>
      <c r="AY875" s="425" t="e">
        <f ca="1">VLOOKUP(表格1_6[[#This Row],[PO+ITEM]],工作表1!B:E,3,FALSE)</f>
        <v>#N/A</v>
      </c>
      <c r="AZ875" s="423" t="e">
        <f ca="1">VLOOKUP(表格1_6[[#This Row],[PO+ITEM]],工作表1!B:E,4,FALSE)</f>
        <v>#N/A</v>
      </c>
      <c r="BA875" s="425" t="e">
        <f ca="1">INDEX(工作表1!G:G, MATCH(表格1_6[[#This Row],[invoice number]]&amp;表格1_6[[#This Row],[invoice number2]],工作表1!G:G, 0))</f>
        <v>#N/A</v>
      </c>
      <c r="BB875" s="423" t="e">
        <f ca="1">VLOOKUP(表格1_6[[#This Row],[PO+ITEM]],工作表1!F:H,2,FALSE)</f>
        <v>#N/A</v>
      </c>
    </row>
    <row r="876" spans="1:54" ht="15.6">
      <c r="A876" s="413">
        <v>875</v>
      </c>
      <c r="B876" s="413" t="s">
        <v>3674</v>
      </c>
      <c r="C876" s="414" t="s">
        <v>17</v>
      </c>
      <c r="D876" s="414" t="s">
        <v>3648</v>
      </c>
      <c r="E876" s="414"/>
      <c r="F876" s="414"/>
      <c r="G876" s="414"/>
      <c r="H876" s="414"/>
      <c r="I876" s="414"/>
      <c r="J876" s="414"/>
      <c r="K876" s="414"/>
      <c r="L876" s="415" t="s">
        <v>5707</v>
      </c>
      <c r="M876" s="416" t="s">
        <v>2999</v>
      </c>
      <c r="N876" s="416" t="s">
        <v>2999</v>
      </c>
      <c r="O876" s="417"/>
      <c r="P876" s="416">
        <v>4590007916</v>
      </c>
      <c r="Q876" s="418">
        <v>44867</v>
      </c>
      <c r="R876" s="419">
        <v>21</v>
      </c>
      <c r="S876" s="458">
        <v>14071.07</v>
      </c>
      <c r="T876" s="420" t="s">
        <v>2156</v>
      </c>
      <c r="U876" s="414" t="s">
        <v>3913</v>
      </c>
      <c r="V876" s="414" t="s">
        <v>3914</v>
      </c>
      <c r="W876" s="417" t="s">
        <v>3915</v>
      </c>
      <c r="X876" s="417"/>
      <c r="Y876" s="421" t="s">
        <v>3652</v>
      </c>
      <c r="Z876" s="421" t="s">
        <v>3652</v>
      </c>
      <c r="AA876" s="416"/>
      <c r="AB876" s="414" t="s">
        <v>5614</v>
      </c>
      <c r="AC876" s="426"/>
      <c r="AD876" s="421"/>
      <c r="AE876" s="420"/>
      <c r="AF876" s="421">
        <v>90693</v>
      </c>
      <c r="AG876" s="420" t="s">
        <v>5708</v>
      </c>
      <c r="AH876" s="421" t="s">
        <v>3918</v>
      </c>
      <c r="AI876" s="420" t="s">
        <v>3919</v>
      </c>
      <c r="AJ876" s="413" t="str">
        <f t="shared" si="57"/>
        <v>4590007916_021</v>
      </c>
      <c r="AK876" s="423"/>
      <c r="AL876" s="424">
        <v>44958</v>
      </c>
      <c r="AM876" s="221">
        <v>5628.4279999999999</v>
      </c>
      <c r="AN876" s="228">
        <v>45030</v>
      </c>
      <c r="AO876" s="423" t="s">
        <v>5709</v>
      </c>
      <c r="AP876" s="424">
        <v>45412</v>
      </c>
      <c r="AQ876" s="222">
        <v>8442.64</v>
      </c>
      <c r="AR876" s="424" t="s">
        <v>5710</v>
      </c>
      <c r="AS876" s="614">
        <f ca="1">表格1_6[[#This Row],[total amount]]/表格1_6[[#This Row],[PO$]]</f>
        <v>0.99999985786439838</v>
      </c>
      <c r="AT876" s="223">
        <f ca="1">表格1_6[[#This Row],[invoice amount]]+表格1_6[[#This Row],[invoice amount2]]</f>
        <v>14071.067999999999</v>
      </c>
      <c r="AU876" s="224" t="s">
        <v>4371</v>
      </c>
      <c r="AV876" s="423"/>
      <c r="AW876" s="423" t="e">
        <f ca="1">VLOOKUP(表格1_6[[#This Row],[TI tool ID2]],工作表1!A:A,1,FALSE)</f>
        <v>#N/A</v>
      </c>
      <c r="AX876" s="425" t="e">
        <f ca="1">VLOOKUP(表格1_6[[#This Row],[PO+ITEM]],工作表1!B:E,2,FALSE)</f>
        <v>#N/A</v>
      </c>
      <c r="AY876" s="425" t="e">
        <f ca="1">VLOOKUP(表格1_6[[#This Row],[PO+ITEM]],工作表1!B:E,3,FALSE)</f>
        <v>#N/A</v>
      </c>
      <c r="AZ876" s="423" t="e">
        <f ca="1">VLOOKUP(表格1_6[[#This Row],[PO+ITEM]],工作表1!B:E,4,FALSE)</f>
        <v>#N/A</v>
      </c>
      <c r="BA876" s="425" t="e">
        <f ca="1">INDEX(工作表1!G:G, MATCH(表格1_6[[#This Row],[invoice number]]&amp;表格1_6[[#This Row],[invoice number2]],工作表1!G:G, 0))</f>
        <v>#N/A</v>
      </c>
      <c r="BB876" s="423" t="e">
        <f ca="1">VLOOKUP(表格1_6[[#This Row],[PO+ITEM]],工作表1!F:H,2,FALSE)</f>
        <v>#N/A</v>
      </c>
    </row>
    <row r="877" spans="1:54" ht="15.6">
      <c r="A877" s="413">
        <v>876</v>
      </c>
      <c r="B877" s="413" t="s">
        <v>3659</v>
      </c>
      <c r="C877" s="414" t="s">
        <v>17</v>
      </c>
      <c r="D877" s="414" t="s">
        <v>3648</v>
      </c>
      <c r="E877" s="414"/>
      <c r="F877" s="414"/>
      <c r="G877" s="414"/>
      <c r="H877" s="414"/>
      <c r="I877" s="414"/>
      <c r="J877" s="414"/>
      <c r="K877" s="414"/>
      <c r="L877" s="415" t="s">
        <v>5711</v>
      </c>
      <c r="M877" s="416" t="s">
        <v>2999</v>
      </c>
      <c r="N877" s="416" t="s">
        <v>2999</v>
      </c>
      <c r="O877" s="417"/>
      <c r="P877" s="416">
        <v>4590007916</v>
      </c>
      <c r="Q877" s="418">
        <v>44867</v>
      </c>
      <c r="R877" s="419">
        <v>22</v>
      </c>
      <c r="S877" s="458">
        <v>14071.07</v>
      </c>
      <c r="T877" s="420" t="s">
        <v>2156</v>
      </c>
      <c r="U877" s="414" t="s">
        <v>3913</v>
      </c>
      <c r="V877" s="414" t="s">
        <v>3914</v>
      </c>
      <c r="W877" s="417" t="s">
        <v>3915</v>
      </c>
      <c r="X877" s="417"/>
      <c r="Y877" s="421" t="s">
        <v>3652</v>
      </c>
      <c r="Z877" s="421" t="s">
        <v>3652</v>
      </c>
      <c r="AA877" s="416"/>
      <c r="AB877" s="414" t="s">
        <v>5614</v>
      </c>
      <c r="AC877" s="426"/>
      <c r="AD877" s="421"/>
      <c r="AE877" s="420"/>
      <c r="AF877" s="421">
        <v>90694</v>
      </c>
      <c r="AG877" s="420" t="s">
        <v>5712</v>
      </c>
      <c r="AH877" s="421" t="s">
        <v>3918</v>
      </c>
      <c r="AI877" s="420" t="s">
        <v>3919</v>
      </c>
      <c r="AJ877" s="413" t="str">
        <f t="shared" si="57"/>
        <v>4590007916_022</v>
      </c>
      <c r="AK877" s="423"/>
      <c r="AL877" s="424">
        <v>44958</v>
      </c>
      <c r="AM877" s="221">
        <v>5628.4279999999999</v>
      </c>
      <c r="AN877" s="228">
        <v>45030</v>
      </c>
      <c r="AO877" s="423"/>
      <c r="AP877" s="413"/>
      <c r="AQ877" s="222"/>
      <c r="AR877" s="424"/>
      <c r="AS877" s="614">
        <f ca="1">表格1_6[[#This Row],[total amount]]/表格1_6[[#This Row],[PO$]]</f>
        <v>0.4</v>
      </c>
      <c r="AT877" s="223">
        <f ca="1">表格1_6[[#This Row],[invoice amount]]+表格1_6[[#This Row],[invoice amount2]]</f>
        <v>5628.4279999999999</v>
      </c>
      <c r="AU877" s="224" t="s">
        <v>3673</v>
      </c>
      <c r="AV877" s="423"/>
      <c r="AW877" s="423" t="e">
        <f ca="1">VLOOKUP(表格1_6[[#This Row],[TI tool ID2]],工作表1!A:A,1,FALSE)</f>
        <v>#N/A</v>
      </c>
      <c r="AX877" s="425" t="e">
        <f ca="1">VLOOKUP(表格1_6[[#This Row],[PO+ITEM]],工作表1!B:E,2,FALSE)</f>
        <v>#N/A</v>
      </c>
      <c r="AY877" s="425" t="e">
        <f ca="1">VLOOKUP(表格1_6[[#This Row],[PO+ITEM]],工作表1!B:E,3,FALSE)</f>
        <v>#N/A</v>
      </c>
      <c r="AZ877" s="423" t="e">
        <f ca="1">VLOOKUP(表格1_6[[#This Row],[PO+ITEM]],工作表1!B:E,4,FALSE)</f>
        <v>#N/A</v>
      </c>
      <c r="BA877" s="425" t="e">
        <f ca="1">INDEX(工作表1!G:G, MATCH(表格1_6[[#This Row],[invoice number]]&amp;表格1_6[[#This Row],[invoice number2]],工作表1!G:G, 0))</f>
        <v>#N/A</v>
      </c>
      <c r="BB877" s="423" t="e">
        <f ca="1">VLOOKUP(表格1_6[[#This Row],[PO+ITEM]],工作表1!F:H,2,FALSE)</f>
        <v>#N/A</v>
      </c>
    </row>
    <row r="878" spans="1:54" ht="15.6">
      <c r="A878" s="413">
        <v>877</v>
      </c>
      <c r="B878" s="413" t="s">
        <v>3659</v>
      </c>
      <c r="C878" s="414" t="s">
        <v>17</v>
      </c>
      <c r="D878" s="414" t="s">
        <v>3648</v>
      </c>
      <c r="E878" s="414"/>
      <c r="F878" s="414"/>
      <c r="G878" s="414"/>
      <c r="H878" s="414"/>
      <c r="I878" s="414"/>
      <c r="J878" s="414"/>
      <c r="K878" s="414"/>
      <c r="L878" s="415" t="s">
        <v>5713</v>
      </c>
      <c r="M878" s="416" t="s">
        <v>2999</v>
      </c>
      <c r="N878" s="416" t="s">
        <v>2999</v>
      </c>
      <c r="O878" s="417"/>
      <c r="P878" s="416">
        <v>4590007917</v>
      </c>
      <c r="Q878" s="418">
        <v>44867</v>
      </c>
      <c r="R878" s="419">
        <v>1</v>
      </c>
      <c r="S878" s="458">
        <v>284982.32</v>
      </c>
      <c r="T878" s="420" t="s">
        <v>2156</v>
      </c>
      <c r="U878" s="414" t="s">
        <v>3913</v>
      </c>
      <c r="V878" s="414" t="s">
        <v>3914</v>
      </c>
      <c r="W878" s="417" t="s">
        <v>3915</v>
      </c>
      <c r="X878" s="417"/>
      <c r="Y878" s="421" t="s">
        <v>3652</v>
      </c>
      <c r="Z878" s="421" t="s">
        <v>3652</v>
      </c>
      <c r="AA878" s="416" t="s">
        <v>5714</v>
      </c>
      <c r="AB878" s="414" t="s">
        <v>5614</v>
      </c>
      <c r="AC878" s="426"/>
      <c r="AD878" s="421"/>
      <c r="AE878" s="420"/>
      <c r="AF878" s="421">
        <v>90734</v>
      </c>
      <c r="AG878" s="420" t="s">
        <v>5715</v>
      </c>
      <c r="AH878" s="421" t="s">
        <v>3918</v>
      </c>
      <c r="AI878" s="420" t="s">
        <v>3919</v>
      </c>
      <c r="AJ878" s="413" t="str">
        <f t="shared" ref="AJ878:AJ909" si="58">P878&amp;"_00"&amp;R878</f>
        <v>4590007917_001</v>
      </c>
      <c r="AK878" s="423"/>
      <c r="AL878" s="424">
        <v>44958</v>
      </c>
      <c r="AM878" s="221">
        <v>113992.92800000001</v>
      </c>
      <c r="AN878" s="226">
        <v>45015</v>
      </c>
      <c r="AO878" s="423"/>
      <c r="AP878" s="413"/>
      <c r="AQ878" s="222"/>
      <c r="AR878" s="424"/>
      <c r="AS878" s="614">
        <f ca="1">表格1_6[[#This Row],[total amount]]/表格1_6[[#This Row],[PO$]]</f>
        <v>0.4</v>
      </c>
      <c r="AT878" s="223">
        <f ca="1">表格1_6[[#This Row],[invoice amount]]+表格1_6[[#This Row],[invoice amount2]]</f>
        <v>113992.92800000001</v>
      </c>
      <c r="AU878" s="224" t="s">
        <v>3673</v>
      </c>
      <c r="AV878" s="423"/>
      <c r="AW878" s="423" t="e">
        <f ca="1">VLOOKUP(表格1_6[[#This Row],[TI tool ID2]],工作表1!A:A,1,FALSE)</f>
        <v>#N/A</v>
      </c>
      <c r="AX878" s="425" t="e">
        <f ca="1">VLOOKUP(表格1_6[[#This Row],[PO+ITEM]],工作表1!B:E,2,FALSE)</f>
        <v>#N/A</v>
      </c>
      <c r="AY878" s="425" t="e">
        <f ca="1">VLOOKUP(表格1_6[[#This Row],[PO+ITEM]],工作表1!B:E,3,FALSE)</f>
        <v>#N/A</v>
      </c>
      <c r="AZ878" s="423" t="e">
        <f ca="1">VLOOKUP(表格1_6[[#This Row],[PO+ITEM]],工作表1!B:E,4,FALSE)</f>
        <v>#N/A</v>
      </c>
      <c r="BA878" s="425" t="e">
        <f ca="1">INDEX(工作表1!G:G, MATCH(表格1_6[[#This Row],[invoice number]]&amp;表格1_6[[#This Row],[invoice number2]],工作表1!G:G, 0))</f>
        <v>#N/A</v>
      </c>
      <c r="BB878" s="423" t="e">
        <f ca="1">VLOOKUP(表格1_6[[#This Row],[PO+ITEM]],工作表1!F:H,2,FALSE)</f>
        <v>#N/A</v>
      </c>
    </row>
    <row r="879" spans="1:54" ht="15.6">
      <c r="A879" s="413">
        <v>878</v>
      </c>
      <c r="B879" s="413" t="s">
        <v>3674</v>
      </c>
      <c r="C879" s="414" t="s">
        <v>17</v>
      </c>
      <c r="D879" s="414" t="s">
        <v>3648</v>
      </c>
      <c r="E879" s="414"/>
      <c r="F879" s="414"/>
      <c r="G879" s="414"/>
      <c r="H879" s="414"/>
      <c r="I879" s="414"/>
      <c r="J879" s="414"/>
      <c r="K879" s="414"/>
      <c r="L879" s="415" t="s">
        <v>5716</v>
      </c>
      <c r="M879" s="416" t="s">
        <v>2999</v>
      </c>
      <c r="N879" s="416" t="s">
        <v>2999</v>
      </c>
      <c r="O879" s="417"/>
      <c r="P879" s="416">
        <v>4590007917</v>
      </c>
      <c r="Q879" s="418">
        <v>44867</v>
      </c>
      <c r="R879" s="419">
        <v>2</v>
      </c>
      <c r="S879" s="458">
        <v>280842.32</v>
      </c>
      <c r="T879" s="420" t="s">
        <v>2156</v>
      </c>
      <c r="U879" s="414" t="s">
        <v>3913</v>
      </c>
      <c r="V879" s="414" t="s">
        <v>3914</v>
      </c>
      <c r="W879" s="417" t="s">
        <v>3915</v>
      </c>
      <c r="X879" s="417"/>
      <c r="Y879" s="421" t="s">
        <v>3652</v>
      </c>
      <c r="Z879" s="421" t="s">
        <v>3652</v>
      </c>
      <c r="AA879" s="416" t="s">
        <v>5714</v>
      </c>
      <c r="AB879" s="414" t="s">
        <v>5614</v>
      </c>
      <c r="AC879" s="426"/>
      <c r="AD879" s="421"/>
      <c r="AE879" s="420"/>
      <c r="AF879" s="421">
        <v>90709</v>
      </c>
      <c r="AG879" s="420" t="s">
        <v>5717</v>
      </c>
      <c r="AH879" s="421" t="s">
        <v>3918</v>
      </c>
      <c r="AI879" s="420" t="s">
        <v>3919</v>
      </c>
      <c r="AJ879" s="413" t="str">
        <f t="shared" si="58"/>
        <v>4590007917_002</v>
      </c>
      <c r="AK879" s="423"/>
      <c r="AL879" s="424">
        <v>44958</v>
      </c>
      <c r="AM879" s="221">
        <v>112336.92800000001</v>
      </c>
      <c r="AN879" s="226">
        <v>45015</v>
      </c>
      <c r="AO879" s="423" t="s">
        <v>5718</v>
      </c>
      <c r="AP879" s="424">
        <v>45422</v>
      </c>
      <c r="AQ879" s="222">
        <v>168505.39199999999</v>
      </c>
      <c r="AR879" s="424" t="s">
        <v>3805</v>
      </c>
      <c r="AS879" s="614">
        <f ca="1">表格1_6[[#This Row],[total amount]]/表格1_6[[#This Row],[PO$]]</f>
        <v>1</v>
      </c>
      <c r="AT879" s="223">
        <f ca="1">表格1_6[[#This Row],[invoice amount]]+表格1_6[[#This Row],[invoice amount2]]</f>
        <v>280842.32</v>
      </c>
      <c r="AU879" s="224" t="s">
        <v>4371</v>
      </c>
      <c r="AV879" s="423" t="s">
        <v>3657</v>
      </c>
      <c r="AW879" s="423" t="e">
        <f ca="1">VLOOKUP(表格1_6[[#This Row],[TI tool ID2]],工作表1!A:A,1,FALSE)</f>
        <v>#N/A</v>
      </c>
      <c r="AX879" s="425" t="e">
        <f ca="1">VLOOKUP(表格1_6[[#This Row],[PO+ITEM]],工作表1!B:E,2,FALSE)</f>
        <v>#N/A</v>
      </c>
      <c r="AY879" s="425" t="e">
        <f ca="1">VLOOKUP(表格1_6[[#This Row],[PO+ITEM]],工作表1!B:E,3,FALSE)</f>
        <v>#N/A</v>
      </c>
      <c r="AZ879" s="423" t="e">
        <f ca="1">VLOOKUP(表格1_6[[#This Row],[PO+ITEM]],工作表1!B:E,4,FALSE)</f>
        <v>#N/A</v>
      </c>
      <c r="BA879" s="425" t="e">
        <f ca="1">INDEX(工作表1!G:G, MATCH(表格1_6[[#This Row],[invoice number]]&amp;表格1_6[[#This Row],[invoice number2]],工作表1!G:G, 0))</f>
        <v>#N/A</v>
      </c>
      <c r="BB879" s="423" t="e">
        <f ca="1">VLOOKUP(表格1_6[[#This Row],[PO+ITEM]],工作表1!F:H,2,FALSE)</f>
        <v>#N/A</v>
      </c>
    </row>
    <row r="880" spans="1:54" ht="15.6">
      <c r="A880" s="413">
        <v>879</v>
      </c>
      <c r="B880" s="413" t="s">
        <v>3659</v>
      </c>
      <c r="C880" s="414" t="s">
        <v>17</v>
      </c>
      <c r="D880" s="414" t="s">
        <v>3648</v>
      </c>
      <c r="E880" s="414"/>
      <c r="F880" s="414"/>
      <c r="G880" s="414"/>
      <c r="H880" s="414"/>
      <c r="I880" s="414"/>
      <c r="J880" s="414"/>
      <c r="K880" s="414"/>
      <c r="L880" s="415" t="s">
        <v>5719</v>
      </c>
      <c r="M880" s="416" t="s">
        <v>2999</v>
      </c>
      <c r="N880" s="416" t="s">
        <v>2999</v>
      </c>
      <c r="O880" s="417"/>
      <c r="P880" s="416">
        <v>4590007917</v>
      </c>
      <c r="Q880" s="418">
        <v>44867</v>
      </c>
      <c r="R880" s="419">
        <v>3</v>
      </c>
      <c r="S880" s="458">
        <v>280842.32</v>
      </c>
      <c r="T880" s="420" t="s">
        <v>2156</v>
      </c>
      <c r="U880" s="414" t="s">
        <v>3913</v>
      </c>
      <c r="V880" s="414" t="s">
        <v>3914</v>
      </c>
      <c r="W880" s="417" t="s">
        <v>3915</v>
      </c>
      <c r="X880" s="417"/>
      <c r="Y880" s="421" t="s">
        <v>3652</v>
      </c>
      <c r="Z880" s="421" t="s">
        <v>3652</v>
      </c>
      <c r="AA880" s="416" t="s">
        <v>5714</v>
      </c>
      <c r="AB880" s="414" t="s">
        <v>5614</v>
      </c>
      <c r="AC880" s="426"/>
      <c r="AD880" s="421"/>
      <c r="AE880" s="420"/>
      <c r="AF880" s="421">
        <v>90746</v>
      </c>
      <c r="AG880" s="420" t="s">
        <v>5720</v>
      </c>
      <c r="AH880" s="421" t="s">
        <v>3918</v>
      </c>
      <c r="AI880" s="420" t="s">
        <v>3919</v>
      </c>
      <c r="AJ880" s="413" t="str">
        <f t="shared" si="58"/>
        <v>4590007917_003</v>
      </c>
      <c r="AK880" s="423"/>
      <c r="AL880" s="424">
        <v>44958</v>
      </c>
      <c r="AM880" s="221">
        <v>112336.92800000001</v>
      </c>
      <c r="AN880" s="226">
        <v>45015</v>
      </c>
      <c r="AO880" s="423"/>
      <c r="AP880" s="413"/>
      <c r="AQ880" s="222"/>
      <c r="AR880" s="424"/>
      <c r="AS880" s="614">
        <f ca="1">表格1_6[[#This Row],[total amount]]/表格1_6[[#This Row],[PO$]]</f>
        <v>0.4</v>
      </c>
      <c r="AT880" s="223">
        <f ca="1">表格1_6[[#This Row],[invoice amount]]+表格1_6[[#This Row],[invoice amount2]]</f>
        <v>112336.92800000001</v>
      </c>
      <c r="AU880" s="224" t="s">
        <v>3673</v>
      </c>
      <c r="AV880" s="423"/>
      <c r="AW880" s="423" t="e">
        <f ca="1">VLOOKUP(表格1_6[[#This Row],[TI tool ID2]],工作表1!A:A,1,FALSE)</f>
        <v>#N/A</v>
      </c>
      <c r="AX880" s="425" t="e">
        <f ca="1">VLOOKUP(表格1_6[[#This Row],[PO+ITEM]],工作表1!B:E,2,FALSE)</f>
        <v>#N/A</v>
      </c>
      <c r="AY880" s="425" t="e">
        <f ca="1">VLOOKUP(表格1_6[[#This Row],[PO+ITEM]],工作表1!B:E,3,FALSE)</f>
        <v>#N/A</v>
      </c>
      <c r="AZ880" s="423" t="e">
        <f ca="1">VLOOKUP(表格1_6[[#This Row],[PO+ITEM]],工作表1!B:E,4,FALSE)</f>
        <v>#N/A</v>
      </c>
      <c r="BA880" s="425" t="e">
        <f ca="1">INDEX(工作表1!G:G, MATCH(表格1_6[[#This Row],[invoice number]]&amp;表格1_6[[#This Row],[invoice number2]],工作表1!G:G, 0))</f>
        <v>#N/A</v>
      </c>
      <c r="BB880" s="423" t="e">
        <f ca="1">VLOOKUP(表格1_6[[#This Row],[PO+ITEM]],工作表1!F:H,2,FALSE)</f>
        <v>#N/A</v>
      </c>
    </row>
    <row r="881" spans="1:54" ht="14.45">
      <c r="A881" s="413">
        <v>880</v>
      </c>
      <c r="B881" s="413" t="s">
        <v>3674</v>
      </c>
      <c r="C881" s="414" t="s">
        <v>17</v>
      </c>
      <c r="D881" s="414" t="s">
        <v>3648</v>
      </c>
      <c r="E881" s="414"/>
      <c r="F881" s="414"/>
      <c r="G881" s="414"/>
      <c r="H881" s="414"/>
      <c r="I881" s="414"/>
      <c r="J881" s="414"/>
      <c r="K881" s="414"/>
      <c r="L881" s="415" t="s">
        <v>5721</v>
      </c>
      <c r="M881" s="416" t="s">
        <v>2999</v>
      </c>
      <c r="N881" s="416" t="s">
        <v>2999</v>
      </c>
      <c r="O881" s="417"/>
      <c r="P881" s="416">
        <v>4590007918</v>
      </c>
      <c r="Q881" s="418">
        <v>44867</v>
      </c>
      <c r="R881" s="419">
        <v>1</v>
      </c>
      <c r="S881" s="458">
        <v>369926.25</v>
      </c>
      <c r="T881" s="420" t="s">
        <v>2156</v>
      </c>
      <c r="U881" s="414" t="s">
        <v>3913</v>
      </c>
      <c r="V881" s="414" t="s">
        <v>3914</v>
      </c>
      <c r="W881" s="417" t="s">
        <v>3915</v>
      </c>
      <c r="X881" s="417"/>
      <c r="Y881" s="421" t="s">
        <v>3652</v>
      </c>
      <c r="Z881" s="421" t="s">
        <v>3652</v>
      </c>
      <c r="AA881" s="416"/>
      <c r="AB881" s="414" t="s">
        <v>5722</v>
      </c>
      <c r="AC881" s="426"/>
      <c r="AD881" s="421"/>
      <c r="AE881" s="420"/>
      <c r="AF881" s="421">
        <v>90811</v>
      </c>
      <c r="AG881" s="420" t="s">
        <v>5723</v>
      </c>
      <c r="AH881" s="421" t="s">
        <v>3918</v>
      </c>
      <c r="AI881" s="420" t="s">
        <v>3919</v>
      </c>
      <c r="AJ881" s="413" t="str">
        <f t="shared" si="58"/>
        <v>4590007918_001</v>
      </c>
      <c r="AK881" s="423" t="s">
        <v>5724</v>
      </c>
      <c r="AL881" s="424">
        <v>45429</v>
      </c>
      <c r="AM881" s="221">
        <v>369926.25</v>
      </c>
      <c r="AN881" s="424" t="s">
        <v>3805</v>
      </c>
      <c r="AO881" s="423"/>
      <c r="AP881" s="413"/>
      <c r="AQ881" s="222"/>
      <c r="AR881" s="424"/>
      <c r="AS881" s="614">
        <f ca="1">表格1_6[[#This Row],[total amount]]/表格1_6[[#This Row],[PO$]]</f>
        <v>1</v>
      </c>
      <c r="AT881" s="223">
        <f ca="1">表格1_6[[#This Row],[invoice amount]]+表格1_6[[#This Row],[invoice amount2]]</f>
        <v>369926.25</v>
      </c>
      <c r="AU881" s="224" t="s">
        <v>3752</v>
      </c>
      <c r="AV881" s="423"/>
      <c r="AW881" s="423" t="e">
        <f ca="1">VLOOKUP(表格1_6[[#This Row],[TI tool ID2]],工作表1!A:A,1,FALSE)</f>
        <v>#N/A</v>
      </c>
      <c r="AX881" s="425" t="e">
        <f ca="1">VLOOKUP(表格1_6[[#This Row],[PO+ITEM]],工作表1!B:E,2,FALSE)</f>
        <v>#N/A</v>
      </c>
      <c r="AY881" s="425" t="e">
        <f ca="1">VLOOKUP(表格1_6[[#This Row],[PO+ITEM]],工作表1!B:E,3,FALSE)</f>
        <v>#N/A</v>
      </c>
      <c r="AZ881" s="423" t="e">
        <f ca="1">VLOOKUP(表格1_6[[#This Row],[PO+ITEM]],工作表1!B:E,4,FALSE)</f>
        <v>#N/A</v>
      </c>
      <c r="BA881" s="425" t="e">
        <f ca="1">INDEX(工作表1!G:G, MATCH(表格1_6[[#This Row],[invoice number]]&amp;表格1_6[[#This Row],[invoice number2]],工作表1!G:G, 0))</f>
        <v>#N/A</v>
      </c>
      <c r="BB881" s="423" t="e">
        <f ca="1">VLOOKUP(表格1_6[[#This Row],[PO+ITEM]],工作表1!F:H,2,FALSE)</f>
        <v>#N/A</v>
      </c>
    </row>
    <row r="882" spans="1:54" ht="14.45">
      <c r="A882" s="413">
        <v>881</v>
      </c>
      <c r="B882" s="413" t="s">
        <v>3674</v>
      </c>
      <c r="C882" s="414" t="s">
        <v>17</v>
      </c>
      <c r="D882" s="414" t="s">
        <v>3648</v>
      </c>
      <c r="E882" s="414"/>
      <c r="F882" s="414"/>
      <c r="G882" s="414"/>
      <c r="H882" s="414"/>
      <c r="I882" s="414"/>
      <c r="J882" s="414"/>
      <c r="K882" s="414"/>
      <c r="L882" s="415" t="s">
        <v>5725</v>
      </c>
      <c r="M882" s="416" t="s">
        <v>2999</v>
      </c>
      <c r="N882" s="416" t="s">
        <v>2999</v>
      </c>
      <c r="O882" s="417"/>
      <c r="P882" s="416">
        <v>4590007918</v>
      </c>
      <c r="Q882" s="418">
        <v>44867</v>
      </c>
      <c r="R882" s="419">
        <v>2</v>
      </c>
      <c r="S882" s="458">
        <v>369926.25</v>
      </c>
      <c r="T882" s="420" t="s">
        <v>2156</v>
      </c>
      <c r="U882" s="414" t="s">
        <v>3913</v>
      </c>
      <c r="V882" s="414" t="s">
        <v>3914</v>
      </c>
      <c r="W882" s="417" t="s">
        <v>3915</v>
      </c>
      <c r="X882" s="417"/>
      <c r="Y882" s="421" t="s">
        <v>3652</v>
      </c>
      <c r="Z882" s="421" t="s">
        <v>3652</v>
      </c>
      <c r="AA882" s="416"/>
      <c r="AB882" s="414" t="s">
        <v>5722</v>
      </c>
      <c r="AC882" s="426"/>
      <c r="AD882" s="421"/>
      <c r="AE882" s="420"/>
      <c r="AF882" s="421">
        <v>90812</v>
      </c>
      <c r="AG882" s="420" t="s">
        <v>5726</v>
      </c>
      <c r="AH882" s="421" t="s">
        <v>3918</v>
      </c>
      <c r="AI882" s="420" t="s">
        <v>3919</v>
      </c>
      <c r="AJ882" s="413" t="str">
        <f t="shared" si="58"/>
        <v>4590007918_002</v>
      </c>
      <c r="AK882" s="423" t="s">
        <v>5727</v>
      </c>
      <c r="AL882" s="424">
        <v>45408</v>
      </c>
      <c r="AM882" s="222">
        <v>369926.25</v>
      </c>
      <c r="AN882" s="424" t="s">
        <v>3805</v>
      </c>
      <c r="AO882" s="423"/>
      <c r="AP882" s="413"/>
      <c r="AR882" s="424"/>
      <c r="AS882" s="614">
        <f ca="1">表格1_6[[#This Row],[total amount]]/表格1_6[[#This Row],[PO$]]</f>
        <v>1</v>
      </c>
      <c r="AT882" s="223">
        <f ca="1">表格1_6[[#This Row],[invoice amount]]+表格1_6[[#This Row],[invoice amount2]]</f>
        <v>369926.25</v>
      </c>
      <c r="AU882" s="224" t="s">
        <v>3806</v>
      </c>
      <c r="AV882" s="423"/>
      <c r="AW882" s="423" t="e">
        <f ca="1">VLOOKUP(表格1_6[[#This Row],[TI tool ID2]],工作表1!A:A,1,FALSE)</f>
        <v>#N/A</v>
      </c>
      <c r="AX882" s="425" t="e">
        <f ca="1">VLOOKUP(表格1_6[[#This Row],[PO+ITEM]],工作表1!B:E,2,FALSE)</f>
        <v>#N/A</v>
      </c>
      <c r="AY882" s="425" t="e">
        <f ca="1">VLOOKUP(表格1_6[[#This Row],[PO+ITEM]],工作表1!B:E,3,FALSE)</f>
        <v>#N/A</v>
      </c>
      <c r="AZ882" s="423" t="e">
        <f ca="1">VLOOKUP(表格1_6[[#This Row],[PO+ITEM]],工作表1!B:E,4,FALSE)</f>
        <v>#N/A</v>
      </c>
      <c r="BA882" s="425" t="e">
        <f ca="1">INDEX(工作表1!G:G, MATCH(表格1_6[[#This Row],[invoice number]]&amp;表格1_6[[#This Row],[invoice number2]],工作表1!G:G, 0))</f>
        <v>#N/A</v>
      </c>
      <c r="BB882" s="423" t="e">
        <f ca="1">VLOOKUP(表格1_6[[#This Row],[PO+ITEM]],工作表1!F:H,2,FALSE)</f>
        <v>#N/A</v>
      </c>
    </row>
    <row r="883" spans="1:54" ht="14.45">
      <c r="A883" s="413">
        <v>882</v>
      </c>
      <c r="B883" s="413" t="s">
        <v>3659</v>
      </c>
      <c r="C883" s="414" t="s">
        <v>17</v>
      </c>
      <c r="D883" s="414" t="s">
        <v>3648</v>
      </c>
      <c r="E883" s="414"/>
      <c r="F883" s="414"/>
      <c r="G883" s="414"/>
      <c r="H883" s="414"/>
      <c r="I883" s="414"/>
      <c r="J883" s="414"/>
      <c r="K883" s="414"/>
      <c r="L883" s="415" t="s">
        <v>5728</v>
      </c>
      <c r="M883" s="416" t="s">
        <v>2999</v>
      </c>
      <c r="N883" s="416" t="s">
        <v>2999</v>
      </c>
      <c r="O883" s="417"/>
      <c r="P883" s="416">
        <v>4590007918</v>
      </c>
      <c r="Q883" s="418">
        <v>44867</v>
      </c>
      <c r="R883" s="419">
        <v>3</v>
      </c>
      <c r="S883" s="458">
        <v>369926.25</v>
      </c>
      <c r="T883" s="420" t="s">
        <v>2156</v>
      </c>
      <c r="U883" s="414" t="s">
        <v>3913</v>
      </c>
      <c r="V883" s="414" t="s">
        <v>3914</v>
      </c>
      <c r="W883" s="417" t="s">
        <v>3915</v>
      </c>
      <c r="X883" s="417"/>
      <c r="Y883" s="421" t="s">
        <v>3652</v>
      </c>
      <c r="Z883" s="421" t="s">
        <v>3652</v>
      </c>
      <c r="AA883" s="416"/>
      <c r="AB883" s="414" t="s">
        <v>5722</v>
      </c>
      <c r="AC883" s="426"/>
      <c r="AD883" s="421"/>
      <c r="AE883" s="420"/>
      <c r="AF883" s="421">
        <v>90962</v>
      </c>
      <c r="AG883" s="420" t="s">
        <v>5729</v>
      </c>
      <c r="AH883" s="421" t="s">
        <v>3918</v>
      </c>
      <c r="AI883" s="420" t="s">
        <v>3919</v>
      </c>
      <c r="AJ883" s="413" t="str">
        <f t="shared" si="58"/>
        <v>4590007918_003</v>
      </c>
      <c r="AK883" s="423"/>
      <c r="AL883" s="413"/>
      <c r="AM883" s="222"/>
      <c r="AN883" s="424"/>
      <c r="AO883" s="423"/>
      <c r="AP883" s="413"/>
      <c r="AR883" s="424"/>
      <c r="AS883" s="614">
        <f ca="1">表格1_6[[#This Row],[total amount]]/表格1_6[[#This Row],[PO$]]</f>
        <v>0</v>
      </c>
      <c r="AT883" s="223">
        <f ca="1">表格1_6[[#This Row],[invoice amount]]+表格1_6[[#This Row],[invoice amount2]]</f>
        <v>0</v>
      </c>
      <c r="AU883" s="224"/>
      <c r="AV883" s="423"/>
      <c r="AW883" s="423" t="e">
        <f ca="1">VLOOKUP(表格1_6[[#This Row],[TI tool ID2]],工作表1!A:A,1,FALSE)</f>
        <v>#N/A</v>
      </c>
      <c r="AX883" s="425" t="e">
        <f ca="1">VLOOKUP(表格1_6[[#This Row],[PO+ITEM]],工作表1!B:E,2,FALSE)</f>
        <v>#N/A</v>
      </c>
      <c r="AY883" s="425" t="e">
        <f ca="1">VLOOKUP(表格1_6[[#This Row],[PO+ITEM]],工作表1!B:E,3,FALSE)</f>
        <v>#N/A</v>
      </c>
      <c r="AZ883" s="423" t="e">
        <f ca="1">VLOOKUP(表格1_6[[#This Row],[PO+ITEM]],工作表1!B:E,4,FALSE)</f>
        <v>#N/A</v>
      </c>
      <c r="BA883" s="425" t="e">
        <f ca="1">INDEX(工作表1!G:G, MATCH(表格1_6[[#This Row],[invoice number]]&amp;表格1_6[[#This Row],[invoice number2]],工作表1!G:G, 0))</f>
        <v>#N/A</v>
      </c>
      <c r="BB883" s="423" t="e">
        <f ca="1">VLOOKUP(表格1_6[[#This Row],[PO+ITEM]],工作表1!F:H,2,FALSE)</f>
        <v>#N/A</v>
      </c>
    </row>
    <row r="884" spans="1:54" ht="14.45">
      <c r="A884" s="413">
        <v>883</v>
      </c>
      <c r="B884" s="413" t="s">
        <v>3659</v>
      </c>
      <c r="C884" s="414" t="s">
        <v>17</v>
      </c>
      <c r="D884" s="414" t="s">
        <v>3648</v>
      </c>
      <c r="E884" s="414"/>
      <c r="F884" s="414"/>
      <c r="G884" s="414"/>
      <c r="H884" s="414"/>
      <c r="I884" s="414"/>
      <c r="J884" s="414"/>
      <c r="K884" s="414"/>
      <c r="L884" s="420" t="s">
        <v>5730</v>
      </c>
      <c r="M884" s="416" t="s">
        <v>2999</v>
      </c>
      <c r="N884" s="416" t="s">
        <v>2999</v>
      </c>
      <c r="O884" s="417"/>
      <c r="P884" s="416">
        <v>4590007918</v>
      </c>
      <c r="Q884" s="418">
        <v>44867</v>
      </c>
      <c r="R884" s="419">
        <v>4</v>
      </c>
      <c r="S884" s="458">
        <v>369926.25</v>
      </c>
      <c r="T884" s="420" t="s">
        <v>2156</v>
      </c>
      <c r="U884" s="414" t="s">
        <v>3913</v>
      </c>
      <c r="V884" s="414" t="s">
        <v>3914</v>
      </c>
      <c r="W884" s="417" t="s">
        <v>3915</v>
      </c>
      <c r="X884" s="417"/>
      <c r="Y884" s="421" t="s">
        <v>3652</v>
      </c>
      <c r="Z884" s="421" t="s">
        <v>3652</v>
      </c>
      <c r="AA884" s="416"/>
      <c r="AB884" s="414" t="s">
        <v>5722</v>
      </c>
      <c r="AC884" s="426"/>
      <c r="AD884" s="421"/>
      <c r="AE884" s="420"/>
      <c r="AF884" s="421">
        <v>90991</v>
      </c>
      <c r="AG884" s="420" t="s">
        <v>5731</v>
      </c>
      <c r="AH884" s="421" t="s">
        <v>3918</v>
      </c>
      <c r="AI884" s="420" t="s">
        <v>3919</v>
      </c>
      <c r="AJ884" s="413" t="str">
        <f t="shared" si="58"/>
        <v>4590007918_004</v>
      </c>
      <c r="AK884" s="423"/>
      <c r="AL884" s="413"/>
      <c r="AM884" s="222"/>
      <c r="AN884" s="424"/>
      <c r="AO884" s="423"/>
      <c r="AP884" s="413"/>
      <c r="AR884" s="424"/>
      <c r="AS884" s="614">
        <f ca="1">表格1_6[[#This Row],[total amount]]/表格1_6[[#This Row],[PO$]]</f>
        <v>0</v>
      </c>
      <c r="AT884" s="223">
        <f ca="1">表格1_6[[#This Row],[invoice amount]]+表格1_6[[#This Row],[invoice amount2]]</f>
        <v>0</v>
      </c>
      <c r="AU884" s="224"/>
      <c r="AV884" s="423"/>
      <c r="AW884" s="423" t="e">
        <f ca="1">VLOOKUP(表格1_6[[#This Row],[TI tool ID2]],工作表1!A:A,1,FALSE)</f>
        <v>#N/A</v>
      </c>
      <c r="AX884" s="425" t="e">
        <f ca="1">VLOOKUP(表格1_6[[#This Row],[PO+ITEM]],工作表1!B:E,2,FALSE)</f>
        <v>#N/A</v>
      </c>
      <c r="AY884" s="425" t="e">
        <f ca="1">VLOOKUP(表格1_6[[#This Row],[PO+ITEM]],工作表1!B:E,3,FALSE)</f>
        <v>#N/A</v>
      </c>
      <c r="AZ884" s="423" t="e">
        <f ca="1">VLOOKUP(表格1_6[[#This Row],[PO+ITEM]],工作表1!B:E,4,FALSE)</f>
        <v>#N/A</v>
      </c>
      <c r="BA884" s="425" t="e">
        <f ca="1">INDEX(工作表1!G:G, MATCH(表格1_6[[#This Row],[invoice number]]&amp;表格1_6[[#This Row],[invoice number2]],工作表1!G:G, 0))</f>
        <v>#N/A</v>
      </c>
      <c r="BB884" s="423" t="e">
        <f ca="1">VLOOKUP(表格1_6[[#This Row],[PO+ITEM]],工作表1!F:H,2,FALSE)</f>
        <v>#N/A</v>
      </c>
    </row>
    <row r="885" spans="1:54" ht="14.45">
      <c r="A885" s="413">
        <v>884</v>
      </c>
      <c r="B885" s="413" t="s">
        <v>3674</v>
      </c>
      <c r="C885" s="414" t="s">
        <v>17</v>
      </c>
      <c r="D885" s="414" t="s">
        <v>3648</v>
      </c>
      <c r="E885" s="414"/>
      <c r="F885" s="414"/>
      <c r="G885" s="414"/>
      <c r="H885" s="414"/>
      <c r="I885" s="414"/>
      <c r="J885" s="414"/>
      <c r="K885" s="414"/>
      <c r="L885" s="415" t="s">
        <v>5732</v>
      </c>
      <c r="M885" s="416" t="s">
        <v>2999</v>
      </c>
      <c r="N885" s="416" t="s">
        <v>2999</v>
      </c>
      <c r="O885" s="417"/>
      <c r="P885" s="416">
        <v>4590007919</v>
      </c>
      <c r="Q885" s="418">
        <v>44867</v>
      </c>
      <c r="R885" s="419">
        <v>1</v>
      </c>
      <c r="S885" s="458">
        <v>307284.11</v>
      </c>
      <c r="T885" s="420" t="s">
        <v>2156</v>
      </c>
      <c r="U885" s="414" t="s">
        <v>3913</v>
      </c>
      <c r="V885" s="414" t="s">
        <v>3914</v>
      </c>
      <c r="W885" s="417" t="s">
        <v>3915</v>
      </c>
      <c r="X885" s="417"/>
      <c r="Y885" s="421" t="s">
        <v>3652</v>
      </c>
      <c r="Z885" s="421" t="s">
        <v>3652</v>
      </c>
      <c r="AA885" s="416"/>
      <c r="AB885" s="414" t="s">
        <v>5614</v>
      </c>
      <c r="AC885" s="426"/>
      <c r="AD885" s="421"/>
      <c r="AE885" s="420"/>
      <c r="AF885" s="421">
        <v>90708</v>
      </c>
      <c r="AG885" s="420" t="s">
        <v>5733</v>
      </c>
      <c r="AH885" s="421" t="s">
        <v>3918</v>
      </c>
      <c r="AI885" s="420" t="s">
        <v>3919</v>
      </c>
      <c r="AJ885" s="413" t="str">
        <f t="shared" si="58"/>
        <v>4590007919_001</v>
      </c>
      <c r="AK885" s="423" t="s">
        <v>5734</v>
      </c>
      <c r="AL885" s="424">
        <v>45408</v>
      </c>
      <c r="AM885" s="222">
        <v>307284.11</v>
      </c>
      <c r="AN885" s="424" t="s">
        <v>3805</v>
      </c>
      <c r="AO885" s="423"/>
      <c r="AP885" s="413"/>
      <c r="AR885" s="424"/>
      <c r="AS885" s="614">
        <f ca="1">表格1_6[[#This Row],[total amount]]/表格1_6[[#This Row],[PO$]]</f>
        <v>1</v>
      </c>
      <c r="AT885" s="223">
        <f ca="1">表格1_6[[#This Row],[invoice amount]]+表格1_6[[#This Row],[invoice amount2]]</f>
        <v>307284.11</v>
      </c>
      <c r="AU885" s="224" t="s">
        <v>3806</v>
      </c>
      <c r="AV885" s="423"/>
      <c r="AW885" s="423" t="e">
        <f ca="1">VLOOKUP(表格1_6[[#This Row],[TI tool ID2]],工作表1!A:A,1,FALSE)</f>
        <v>#N/A</v>
      </c>
      <c r="AX885" s="425" t="e">
        <f ca="1">VLOOKUP(表格1_6[[#This Row],[PO+ITEM]],工作表1!B:E,2,FALSE)</f>
        <v>#N/A</v>
      </c>
      <c r="AY885" s="425" t="e">
        <f ca="1">VLOOKUP(表格1_6[[#This Row],[PO+ITEM]],工作表1!B:E,3,FALSE)</f>
        <v>#N/A</v>
      </c>
      <c r="AZ885" s="423" t="e">
        <f ca="1">VLOOKUP(表格1_6[[#This Row],[PO+ITEM]],工作表1!B:E,4,FALSE)</f>
        <v>#N/A</v>
      </c>
      <c r="BA885" s="425" t="e">
        <f ca="1">INDEX(工作表1!G:G, MATCH(表格1_6[[#This Row],[invoice number]]&amp;表格1_6[[#This Row],[invoice number2]],工作表1!G:G, 0))</f>
        <v>#N/A</v>
      </c>
      <c r="BB885" s="423" t="e">
        <f ca="1">VLOOKUP(表格1_6[[#This Row],[PO+ITEM]],工作表1!F:H,2,FALSE)</f>
        <v>#N/A</v>
      </c>
    </row>
    <row r="886" spans="1:54" ht="14.45">
      <c r="A886" s="413">
        <v>885</v>
      </c>
      <c r="B886" s="413" t="s">
        <v>3659</v>
      </c>
      <c r="C886" s="414" t="s">
        <v>17</v>
      </c>
      <c r="D886" s="414" t="s">
        <v>3648</v>
      </c>
      <c r="E886" s="414"/>
      <c r="F886" s="414"/>
      <c r="G886" s="414"/>
      <c r="H886" s="414"/>
      <c r="I886" s="414"/>
      <c r="J886" s="414"/>
      <c r="K886" s="414"/>
      <c r="L886" s="415" t="s">
        <v>5735</v>
      </c>
      <c r="M886" s="416" t="s">
        <v>2999</v>
      </c>
      <c r="N886" s="416" t="s">
        <v>2999</v>
      </c>
      <c r="O886" s="417"/>
      <c r="P886" s="416">
        <v>4590007919</v>
      </c>
      <c r="Q886" s="418">
        <v>44867</v>
      </c>
      <c r="R886" s="419">
        <v>2</v>
      </c>
      <c r="S886" s="458">
        <v>307284.11</v>
      </c>
      <c r="T886" s="420" t="s">
        <v>2156</v>
      </c>
      <c r="U886" s="414" t="s">
        <v>3913</v>
      </c>
      <c r="V886" s="414" t="s">
        <v>3914</v>
      </c>
      <c r="W886" s="417" t="s">
        <v>3915</v>
      </c>
      <c r="X886" s="417"/>
      <c r="Y886" s="421" t="s">
        <v>3652</v>
      </c>
      <c r="Z886" s="421" t="s">
        <v>3652</v>
      </c>
      <c r="AA886" s="416"/>
      <c r="AB886" s="414" t="s">
        <v>5614</v>
      </c>
      <c r="AC886" s="426"/>
      <c r="AD886" s="421"/>
      <c r="AE886" s="420"/>
      <c r="AF886" s="421">
        <v>90724</v>
      </c>
      <c r="AG886" s="420" t="s">
        <v>5736</v>
      </c>
      <c r="AH886" s="421" t="s">
        <v>3918</v>
      </c>
      <c r="AI886" s="420" t="s">
        <v>3919</v>
      </c>
      <c r="AJ886" s="413" t="str">
        <f t="shared" si="58"/>
        <v>4590007919_002</v>
      </c>
      <c r="AK886" s="423"/>
      <c r="AL886" s="413"/>
      <c r="AM886" s="221"/>
      <c r="AN886" s="424"/>
      <c r="AO886" s="423"/>
      <c r="AP886" s="413"/>
      <c r="AQ886" s="222"/>
      <c r="AR886" s="424"/>
      <c r="AS886" s="614">
        <f ca="1">表格1_6[[#This Row],[total amount]]/表格1_6[[#This Row],[PO$]]</f>
        <v>0</v>
      </c>
      <c r="AT886" s="223">
        <f ca="1">表格1_6[[#This Row],[invoice amount]]+表格1_6[[#This Row],[invoice amount2]]</f>
        <v>0</v>
      </c>
      <c r="AU886" s="224"/>
      <c r="AV886" s="423"/>
      <c r="AW886" s="423" t="e">
        <f ca="1">VLOOKUP(表格1_6[[#This Row],[TI tool ID2]],工作表1!A:A,1,FALSE)</f>
        <v>#N/A</v>
      </c>
      <c r="AX886" s="425" t="e">
        <f ca="1">VLOOKUP(表格1_6[[#This Row],[PO+ITEM]],工作表1!B:E,2,FALSE)</f>
        <v>#N/A</v>
      </c>
      <c r="AY886" s="425" t="e">
        <f ca="1">VLOOKUP(表格1_6[[#This Row],[PO+ITEM]],工作表1!B:E,3,FALSE)</f>
        <v>#N/A</v>
      </c>
      <c r="AZ886" s="423" t="e">
        <f ca="1">VLOOKUP(表格1_6[[#This Row],[PO+ITEM]],工作表1!B:E,4,FALSE)</f>
        <v>#N/A</v>
      </c>
      <c r="BA886" s="425" t="e">
        <f ca="1">INDEX(工作表1!G:G, MATCH(表格1_6[[#This Row],[invoice number]]&amp;表格1_6[[#This Row],[invoice number2]],工作表1!G:G, 0))</f>
        <v>#N/A</v>
      </c>
      <c r="BB886" s="423" t="e">
        <f ca="1">VLOOKUP(表格1_6[[#This Row],[PO+ITEM]],工作表1!F:H,2,FALSE)</f>
        <v>#N/A</v>
      </c>
    </row>
    <row r="887" spans="1:54" ht="14.45">
      <c r="A887" s="413">
        <v>886</v>
      </c>
      <c r="B887" s="413" t="s">
        <v>3659</v>
      </c>
      <c r="C887" s="414" t="s">
        <v>17</v>
      </c>
      <c r="D887" s="414" t="s">
        <v>3648</v>
      </c>
      <c r="E887" s="414"/>
      <c r="F887" s="414"/>
      <c r="G887" s="414"/>
      <c r="H887" s="414"/>
      <c r="I887" s="414"/>
      <c r="J887" s="414"/>
      <c r="K887" s="414"/>
      <c r="L887" s="415" t="s">
        <v>5737</v>
      </c>
      <c r="M887" s="416" t="s">
        <v>2999</v>
      </c>
      <c r="N887" s="416" t="s">
        <v>2999</v>
      </c>
      <c r="O887" s="417"/>
      <c r="P887" s="416">
        <v>4590007919</v>
      </c>
      <c r="Q887" s="418">
        <v>44867</v>
      </c>
      <c r="R887" s="419">
        <v>3</v>
      </c>
      <c r="S887" s="458">
        <v>274028.57</v>
      </c>
      <c r="T887" s="420" t="s">
        <v>2156</v>
      </c>
      <c r="U887" s="414" t="s">
        <v>3913</v>
      </c>
      <c r="V887" s="414" t="s">
        <v>3914</v>
      </c>
      <c r="W887" s="417" t="s">
        <v>3915</v>
      </c>
      <c r="X887" s="417"/>
      <c r="Y887" s="421" t="s">
        <v>3652</v>
      </c>
      <c r="Z887" s="421" t="s">
        <v>3652</v>
      </c>
      <c r="AA887" s="416"/>
      <c r="AB887" s="414" t="s">
        <v>5614</v>
      </c>
      <c r="AC887" s="426"/>
      <c r="AD887" s="421"/>
      <c r="AE887" s="420"/>
      <c r="AF887" s="421">
        <v>90745</v>
      </c>
      <c r="AG887" s="420" t="s">
        <v>5738</v>
      </c>
      <c r="AH887" s="421" t="s">
        <v>3918</v>
      </c>
      <c r="AI887" s="420" t="s">
        <v>3919</v>
      </c>
      <c r="AJ887" s="413" t="str">
        <f t="shared" si="58"/>
        <v>4590007919_003</v>
      </c>
      <c r="AK887" s="423"/>
      <c r="AL887" s="413"/>
      <c r="AM887" s="221"/>
      <c r="AN887" s="424"/>
      <c r="AO887" s="423"/>
      <c r="AP887" s="413"/>
      <c r="AQ887" s="222"/>
      <c r="AR887" s="424"/>
      <c r="AS887" s="614">
        <f ca="1">表格1_6[[#This Row],[total amount]]/表格1_6[[#This Row],[PO$]]</f>
        <v>0</v>
      </c>
      <c r="AT887" s="223">
        <f ca="1">表格1_6[[#This Row],[invoice amount]]+表格1_6[[#This Row],[invoice amount2]]</f>
        <v>0</v>
      </c>
      <c r="AU887" s="224"/>
      <c r="AV887" s="423"/>
      <c r="AW887" s="423" t="e">
        <f ca="1">VLOOKUP(表格1_6[[#This Row],[TI tool ID2]],工作表1!A:A,1,FALSE)</f>
        <v>#N/A</v>
      </c>
      <c r="AX887" s="425" t="e">
        <f ca="1">VLOOKUP(表格1_6[[#This Row],[PO+ITEM]],工作表1!B:E,2,FALSE)</f>
        <v>#N/A</v>
      </c>
      <c r="AY887" s="425" t="e">
        <f ca="1">VLOOKUP(表格1_6[[#This Row],[PO+ITEM]],工作表1!B:E,3,FALSE)</f>
        <v>#N/A</v>
      </c>
      <c r="AZ887" s="423" t="e">
        <f ca="1">VLOOKUP(表格1_6[[#This Row],[PO+ITEM]],工作表1!B:E,4,FALSE)</f>
        <v>#N/A</v>
      </c>
      <c r="BA887" s="425" t="e">
        <f ca="1">INDEX(工作表1!G:G, MATCH(表格1_6[[#This Row],[invoice number]]&amp;表格1_6[[#This Row],[invoice number2]],工作表1!G:G, 0))</f>
        <v>#N/A</v>
      </c>
      <c r="BB887" s="423" t="e">
        <f ca="1">VLOOKUP(表格1_6[[#This Row],[PO+ITEM]],工作表1!F:H,2,FALSE)</f>
        <v>#N/A</v>
      </c>
    </row>
    <row r="888" spans="1:54" ht="14.45">
      <c r="A888" s="413">
        <v>887</v>
      </c>
      <c r="B888" s="413" t="s">
        <v>3674</v>
      </c>
      <c r="C888" s="414" t="s">
        <v>17</v>
      </c>
      <c r="D888" s="414" t="s">
        <v>3648</v>
      </c>
      <c r="E888" s="414"/>
      <c r="F888" s="414"/>
      <c r="G888" s="414"/>
      <c r="H888" s="414"/>
      <c r="I888" s="414"/>
      <c r="J888" s="414"/>
      <c r="K888" s="414"/>
      <c r="L888" s="415" t="s">
        <v>5739</v>
      </c>
      <c r="M888" s="416" t="s">
        <v>2999</v>
      </c>
      <c r="N888" s="416" t="s">
        <v>2999</v>
      </c>
      <c r="O888" s="417"/>
      <c r="P888" s="416">
        <v>4590007919</v>
      </c>
      <c r="Q888" s="418">
        <v>44867</v>
      </c>
      <c r="R888" s="419">
        <v>4</v>
      </c>
      <c r="S888" s="458">
        <v>274028.57</v>
      </c>
      <c r="T888" s="420" t="s">
        <v>2156</v>
      </c>
      <c r="U888" s="414" t="s">
        <v>3913</v>
      </c>
      <c r="V888" s="414" t="s">
        <v>3914</v>
      </c>
      <c r="W888" s="417" t="s">
        <v>3915</v>
      </c>
      <c r="X888" s="417"/>
      <c r="Y888" s="421" t="s">
        <v>3652</v>
      </c>
      <c r="Z888" s="421" t="s">
        <v>3652</v>
      </c>
      <c r="AA888" s="416"/>
      <c r="AB888" s="414" t="s">
        <v>5614</v>
      </c>
      <c r="AC888" s="426"/>
      <c r="AD888" s="421"/>
      <c r="AE888" s="420"/>
      <c r="AF888" s="421">
        <v>90712</v>
      </c>
      <c r="AG888" s="420" t="s">
        <v>5740</v>
      </c>
      <c r="AH888" s="421" t="s">
        <v>3918</v>
      </c>
      <c r="AI888" s="420" t="s">
        <v>3919</v>
      </c>
      <c r="AJ888" s="413" t="str">
        <f t="shared" si="58"/>
        <v>4590007919_004</v>
      </c>
      <c r="AK888" s="423" t="s">
        <v>5741</v>
      </c>
      <c r="AL888" s="424">
        <v>45429</v>
      </c>
      <c r="AM888" s="221">
        <v>274028.57</v>
      </c>
      <c r="AN888" s="424" t="s">
        <v>3805</v>
      </c>
      <c r="AO888" s="423"/>
      <c r="AP888" s="413"/>
      <c r="AQ888" s="222"/>
      <c r="AR888" s="424"/>
      <c r="AS888" s="614">
        <f ca="1">表格1_6[[#This Row],[total amount]]/表格1_6[[#This Row],[PO$]]</f>
        <v>1</v>
      </c>
      <c r="AT888" s="223">
        <f ca="1">表格1_6[[#This Row],[invoice amount]]+表格1_6[[#This Row],[invoice amount2]]</f>
        <v>274028.57</v>
      </c>
      <c r="AU888" s="224" t="s">
        <v>3752</v>
      </c>
      <c r="AV888" s="423"/>
      <c r="AW888" s="423" t="e">
        <f ca="1">VLOOKUP(表格1_6[[#This Row],[TI tool ID2]],工作表1!A:A,1,FALSE)</f>
        <v>#N/A</v>
      </c>
      <c r="AX888" s="425" t="e">
        <f ca="1">VLOOKUP(表格1_6[[#This Row],[PO+ITEM]],工作表1!B:E,2,FALSE)</f>
        <v>#N/A</v>
      </c>
      <c r="AY888" s="425" t="e">
        <f ca="1">VLOOKUP(表格1_6[[#This Row],[PO+ITEM]],工作表1!B:E,3,FALSE)</f>
        <v>#N/A</v>
      </c>
      <c r="AZ888" s="423" t="e">
        <f ca="1">VLOOKUP(表格1_6[[#This Row],[PO+ITEM]],工作表1!B:E,4,FALSE)</f>
        <v>#N/A</v>
      </c>
      <c r="BA888" s="425" t="e">
        <f ca="1">INDEX(工作表1!G:G, MATCH(表格1_6[[#This Row],[invoice number]]&amp;表格1_6[[#This Row],[invoice number2]],工作表1!G:G, 0))</f>
        <v>#N/A</v>
      </c>
      <c r="BB888" s="423" t="e">
        <f ca="1">VLOOKUP(表格1_6[[#This Row],[PO+ITEM]],工作表1!F:H,2,FALSE)</f>
        <v>#N/A</v>
      </c>
    </row>
    <row r="889" spans="1:54" ht="15.6">
      <c r="A889" s="413">
        <v>888</v>
      </c>
      <c r="B889" s="413" t="s">
        <v>3674</v>
      </c>
      <c r="C889" s="414" t="s">
        <v>17</v>
      </c>
      <c r="D889" s="414" t="s">
        <v>3648</v>
      </c>
      <c r="E889" s="414"/>
      <c r="F889" s="414"/>
      <c r="G889" s="414"/>
      <c r="H889" s="414"/>
      <c r="I889" s="414"/>
      <c r="J889" s="414"/>
      <c r="K889" s="414"/>
      <c r="L889" s="415" t="s">
        <v>5742</v>
      </c>
      <c r="M889" s="416" t="s">
        <v>2999</v>
      </c>
      <c r="N889" s="416" t="s">
        <v>2999</v>
      </c>
      <c r="O889" s="417"/>
      <c r="P889" s="416">
        <v>4590007920</v>
      </c>
      <c r="Q889" s="418">
        <v>44867</v>
      </c>
      <c r="R889" s="419">
        <v>1</v>
      </c>
      <c r="S889" s="458">
        <v>142448.04</v>
      </c>
      <c r="T889" s="420" t="s">
        <v>2156</v>
      </c>
      <c r="U889" s="414" t="s">
        <v>3913</v>
      </c>
      <c r="V889" s="414" t="s">
        <v>3914</v>
      </c>
      <c r="W889" s="417" t="s">
        <v>3915</v>
      </c>
      <c r="X889" s="417"/>
      <c r="Y889" s="421" t="s">
        <v>3652</v>
      </c>
      <c r="Z889" s="421" t="s">
        <v>3652</v>
      </c>
      <c r="AA889" s="416" t="s">
        <v>5299</v>
      </c>
      <c r="AB889" s="414" t="s">
        <v>5614</v>
      </c>
      <c r="AC889" s="426"/>
      <c r="AD889" s="421"/>
      <c r="AE889" s="420"/>
      <c r="AF889" s="421">
        <v>90702</v>
      </c>
      <c r="AG889" s="420" t="s">
        <v>5743</v>
      </c>
      <c r="AH889" s="421" t="s">
        <v>3918</v>
      </c>
      <c r="AI889" s="420" t="s">
        <v>3919</v>
      </c>
      <c r="AJ889" s="413" t="str">
        <f t="shared" si="58"/>
        <v>4590007920_001</v>
      </c>
      <c r="AK889" s="423"/>
      <c r="AL889" s="424">
        <v>44958</v>
      </c>
      <c r="AM889" s="221">
        <v>56979.216000000008</v>
      </c>
      <c r="AN889" s="226">
        <v>45015</v>
      </c>
      <c r="AO889" s="423" t="s">
        <v>5744</v>
      </c>
      <c r="AP889" s="424">
        <v>45436</v>
      </c>
      <c r="AQ889" s="222">
        <v>85468.824000000008</v>
      </c>
      <c r="AR889" s="424">
        <v>45519</v>
      </c>
      <c r="AS889" s="614">
        <f ca="1">表格1_6[[#This Row],[total amount]]/表格1_6[[#This Row],[PO$]]</f>
        <v>1</v>
      </c>
      <c r="AT889" s="223">
        <f ca="1">表格1_6[[#This Row],[invoice amount]]+表格1_6[[#This Row],[invoice amount2]]</f>
        <v>142448.04</v>
      </c>
      <c r="AU889" s="224" t="s">
        <v>3657</v>
      </c>
      <c r="AV889" s="423"/>
      <c r="AW889" s="423" t="e">
        <f ca="1">VLOOKUP(表格1_6[[#This Row],[TI tool ID2]],工作表1!A:A,1,FALSE)</f>
        <v>#N/A</v>
      </c>
      <c r="AX889" s="425" t="e">
        <f ca="1">VLOOKUP(表格1_6[[#This Row],[PO+ITEM]],工作表1!B:E,2,FALSE)</f>
        <v>#N/A</v>
      </c>
      <c r="AY889" s="425" t="e">
        <f ca="1">VLOOKUP(表格1_6[[#This Row],[PO+ITEM]],工作表1!B:E,3,FALSE)</f>
        <v>#N/A</v>
      </c>
      <c r="AZ889" s="423" t="e">
        <f ca="1">VLOOKUP(表格1_6[[#This Row],[PO+ITEM]],工作表1!B:E,4,FALSE)</f>
        <v>#N/A</v>
      </c>
      <c r="BA889" s="425" t="e">
        <f ca="1">INDEX(工作表1!G:G, MATCH(表格1_6[[#This Row],[invoice number]]&amp;表格1_6[[#This Row],[invoice number2]],工作表1!G:G, 0))</f>
        <v>#N/A</v>
      </c>
      <c r="BB889" s="423" t="e">
        <f ca="1">VLOOKUP(表格1_6[[#This Row],[PO+ITEM]],工作表1!F:H,2,FALSE)</f>
        <v>#N/A</v>
      </c>
    </row>
    <row r="890" spans="1:54" ht="15.6">
      <c r="A890" s="413">
        <v>889</v>
      </c>
      <c r="B890" s="413" t="s">
        <v>3674</v>
      </c>
      <c r="C890" s="414" t="s">
        <v>17</v>
      </c>
      <c r="D890" s="414" t="s">
        <v>3648</v>
      </c>
      <c r="E890" s="414"/>
      <c r="F890" s="414"/>
      <c r="G890" s="414"/>
      <c r="H890" s="414"/>
      <c r="I890" s="414"/>
      <c r="J890" s="414"/>
      <c r="K890" s="414"/>
      <c r="L890" s="415" t="s">
        <v>5745</v>
      </c>
      <c r="M890" s="416" t="s">
        <v>2999</v>
      </c>
      <c r="N890" s="416" t="s">
        <v>2999</v>
      </c>
      <c r="O890" s="417"/>
      <c r="P890" s="416">
        <v>4590007920</v>
      </c>
      <c r="Q890" s="418">
        <v>44867</v>
      </c>
      <c r="R890" s="419">
        <v>2</v>
      </c>
      <c r="S890" s="458">
        <v>327220.18</v>
      </c>
      <c r="T890" s="420" t="s">
        <v>2156</v>
      </c>
      <c r="U890" s="414" t="s">
        <v>3913</v>
      </c>
      <c r="V890" s="414" t="s">
        <v>3914</v>
      </c>
      <c r="W890" s="417" t="s">
        <v>3915</v>
      </c>
      <c r="X890" s="417"/>
      <c r="Y890" s="421" t="s">
        <v>3652</v>
      </c>
      <c r="Z890" s="421" t="s">
        <v>3652</v>
      </c>
      <c r="AA890" s="416"/>
      <c r="AB890" s="414" t="s">
        <v>5614</v>
      </c>
      <c r="AC890" s="426"/>
      <c r="AD890" s="421"/>
      <c r="AE890" s="420"/>
      <c r="AF890" s="421">
        <v>90703</v>
      </c>
      <c r="AG890" s="420" t="s">
        <v>5746</v>
      </c>
      <c r="AH890" s="421" t="s">
        <v>3918</v>
      </c>
      <c r="AI890" s="420" t="s">
        <v>3919</v>
      </c>
      <c r="AJ890" s="413" t="str">
        <f t="shared" si="58"/>
        <v>4590007920_002</v>
      </c>
      <c r="AK890" s="423"/>
      <c r="AL890" s="424">
        <v>44958</v>
      </c>
      <c r="AM890" s="221">
        <v>130888.072</v>
      </c>
      <c r="AN890" s="228">
        <v>45030</v>
      </c>
      <c r="AO890" s="423" t="s">
        <v>5747</v>
      </c>
      <c r="AP890" s="424">
        <v>45436</v>
      </c>
      <c r="AQ890" s="222">
        <v>196332.10799999998</v>
      </c>
      <c r="AR890" s="424">
        <v>45519</v>
      </c>
      <c r="AS890" s="614">
        <f ca="1">表格1_6[[#This Row],[total amount]]/表格1_6[[#This Row],[PO$]]</f>
        <v>1</v>
      </c>
      <c r="AT890" s="223">
        <f ca="1">表格1_6[[#This Row],[invoice amount]]+表格1_6[[#This Row],[invoice amount2]]</f>
        <v>327220.18</v>
      </c>
      <c r="AU890" s="224" t="s">
        <v>3657</v>
      </c>
      <c r="AV890" s="423"/>
      <c r="AW890" s="423" t="e">
        <f ca="1">VLOOKUP(表格1_6[[#This Row],[TI tool ID2]],工作表1!A:A,1,FALSE)</f>
        <v>#N/A</v>
      </c>
      <c r="AX890" s="425" t="e">
        <f ca="1">VLOOKUP(表格1_6[[#This Row],[PO+ITEM]],工作表1!B:E,2,FALSE)</f>
        <v>#N/A</v>
      </c>
      <c r="AY890" s="425" t="e">
        <f ca="1">VLOOKUP(表格1_6[[#This Row],[PO+ITEM]],工作表1!B:E,3,FALSE)</f>
        <v>#N/A</v>
      </c>
      <c r="AZ890" s="423" t="e">
        <f ca="1">VLOOKUP(表格1_6[[#This Row],[PO+ITEM]],工作表1!B:E,4,FALSE)</f>
        <v>#N/A</v>
      </c>
      <c r="BA890" s="425" t="e">
        <f ca="1">INDEX(工作表1!G:G, MATCH(表格1_6[[#This Row],[invoice number]]&amp;表格1_6[[#This Row],[invoice number2]],工作表1!G:G, 0))</f>
        <v>#N/A</v>
      </c>
      <c r="BB890" s="423" t="e">
        <f ca="1">VLOOKUP(表格1_6[[#This Row],[PO+ITEM]],工作表1!F:H,2,FALSE)</f>
        <v>#N/A</v>
      </c>
    </row>
    <row r="891" spans="1:54" ht="15.6">
      <c r="A891" s="413">
        <v>890</v>
      </c>
      <c r="B891" s="413" t="s">
        <v>3659</v>
      </c>
      <c r="C891" s="414" t="s">
        <v>17</v>
      </c>
      <c r="D891" s="414" t="s">
        <v>3648</v>
      </c>
      <c r="E891" s="414"/>
      <c r="F891" s="414"/>
      <c r="G891" s="414"/>
      <c r="H891" s="414"/>
      <c r="I891" s="414"/>
      <c r="J891" s="414"/>
      <c r="K891" s="414"/>
      <c r="L891" s="415" t="s">
        <v>5748</v>
      </c>
      <c r="M891" s="416" t="s">
        <v>2999</v>
      </c>
      <c r="N891" s="416" t="s">
        <v>2999</v>
      </c>
      <c r="O891" s="417"/>
      <c r="P891" s="416">
        <v>4590007920</v>
      </c>
      <c r="Q891" s="418">
        <v>44867</v>
      </c>
      <c r="R891" s="419">
        <v>3</v>
      </c>
      <c r="S891" s="458">
        <v>327220.18</v>
      </c>
      <c r="T891" s="420" t="s">
        <v>2156</v>
      </c>
      <c r="U891" s="414" t="s">
        <v>3913</v>
      </c>
      <c r="V891" s="414" t="s">
        <v>3914</v>
      </c>
      <c r="W891" s="417" t="s">
        <v>3915</v>
      </c>
      <c r="X891" s="417"/>
      <c r="Y891" s="421" t="s">
        <v>3652</v>
      </c>
      <c r="Z891" s="421" t="s">
        <v>3652</v>
      </c>
      <c r="AA891" s="416"/>
      <c r="AB891" s="414" t="s">
        <v>5614</v>
      </c>
      <c r="AC891" s="426"/>
      <c r="AD891" s="421"/>
      <c r="AE891" s="420"/>
      <c r="AF891" s="421">
        <v>90704</v>
      </c>
      <c r="AG891" s="420" t="s">
        <v>5749</v>
      </c>
      <c r="AH891" s="421" t="s">
        <v>3918</v>
      </c>
      <c r="AI891" s="420" t="s">
        <v>3919</v>
      </c>
      <c r="AJ891" s="413" t="str">
        <f t="shared" si="58"/>
        <v>4590007920_003</v>
      </c>
      <c r="AK891" s="423"/>
      <c r="AL891" s="424">
        <v>44958</v>
      </c>
      <c r="AM891" s="221">
        <v>130888.072</v>
      </c>
      <c r="AN891" s="228">
        <v>45030</v>
      </c>
      <c r="AO891" s="423"/>
      <c r="AP891" s="413"/>
      <c r="AQ891" s="222"/>
      <c r="AR891" s="424"/>
      <c r="AS891" s="614">
        <f ca="1">表格1_6[[#This Row],[total amount]]/表格1_6[[#This Row],[PO$]]</f>
        <v>0.4</v>
      </c>
      <c r="AT891" s="223">
        <f ca="1">表格1_6[[#This Row],[invoice amount]]+表格1_6[[#This Row],[invoice amount2]]</f>
        <v>130888.072</v>
      </c>
      <c r="AU891" s="224" t="s">
        <v>3673</v>
      </c>
      <c r="AV891" s="423"/>
      <c r="AW891" s="423" t="e">
        <f ca="1">VLOOKUP(表格1_6[[#This Row],[TI tool ID2]],工作表1!A:A,1,FALSE)</f>
        <v>#N/A</v>
      </c>
      <c r="AX891" s="425" t="e">
        <f ca="1">VLOOKUP(表格1_6[[#This Row],[PO+ITEM]],工作表1!B:E,2,FALSE)</f>
        <v>#N/A</v>
      </c>
      <c r="AY891" s="425" t="e">
        <f ca="1">VLOOKUP(表格1_6[[#This Row],[PO+ITEM]],工作表1!B:E,3,FALSE)</f>
        <v>#N/A</v>
      </c>
      <c r="AZ891" s="423" t="e">
        <f ca="1">VLOOKUP(表格1_6[[#This Row],[PO+ITEM]],工作表1!B:E,4,FALSE)</f>
        <v>#N/A</v>
      </c>
      <c r="BA891" s="425" t="e">
        <f ca="1">INDEX(工作表1!G:G, MATCH(表格1_6[[#This Row],[invoice number]]&amp;表格1_6[[#This Row],[invoice number2]],工作表1!G:G, 0))</f>
        <v>#N/A</v>
      </c>
      <c r="BB891" s="423" t="e">
        <f ca="1">VLOOKUP(表格1_6[[#This Row],[PO+ITEM]],工作表1!F:H,2,FALSE)</f>
        <v>#N/A</v>
      </c>
    </row>
    <row r="892" spans="1:54" ht="15.6">
      <c r="A892" s="413">
        <v>891</v>
      </c>
      <c r="B892" s="413" t="s">
        <v>3674</v>
      </c>
      <c r="C892" s="414" t="s">
        <v>17</v>
      </c>
      <c r="D892" s="414" t="s">
        <v>3648</v>
      </c>
      <c r="E892" s="414"/>
      <c r="F892" s="414"/>
      <c r="G892" s="414"/>
      <c r="H892" s="414"/>
      <c r="I892" s="414"/>
      <c r="J892" s="414"/>
      <c r="K892" s="414"/>
      <c r="L892" s="415" t="s">
        <v>5750</v>
      </c>
      <c r="M892" s="416" t="s">
        <v>2999</v>
      </c>
      <c r="N892" s="416" t="s">
        <v>2999</v>
      </c>
      <c r="O892" s="417"/>
      <c r="P892" s="416">
        <v>4590007920</v>
      </c>
      <c r="Q892" s="418">
        <v>44867</v>
      </c>
      <c r="R892" s="419">
        <v>4</v>
      </c>
      <c r="S892" s="458">
        <v>74791.070000000007</v>
      </c>
      <c r="T892" s="420" t="s">
        <v>2156</v>
      </c>
      <c r="U892" s="414" t="s">
        <v>3913</v>
      </c>
      <c r="V892" s="414" t="s">
        <v>3914</v>
      </c>
      <c r="W892" s="417" t="s">
        <v>3915</v>
      </c>
      <c r="X892" s="417"/>
      <c r="Y892" s="421" t="s">
        <v>3652</v>
      </c>
      <c r="Z892" s="421" t="s">
        <v>3652</v>
      </c>
      <c r="AA892" s="416"/>
      <c r="AB892" s="414" t="s">
        <v>5614</v>
      </c>
      <c r="AC892" s="426"/>
      <c r="AD892" s="421"/>
      <c r="AE892" s="420"/>
      <c r="AF892" s="421">
        <v>90705</v>
      </c>
      <c r="AG892" s="420" t="s">
        <v>5751</v>
      </c>
      <c r="AH892" s="421" t="s">
        <v>3918</v>
      </c>
      <c r="AI892" s="420" t="s">
        <v>3919</v>
      </c>
      <c r="AJ892" s="413" t="str">
        <f t="shared" si="58"/>
        <v>4590007920_004</v>
      </c>
      <c r="AK892" s="423"/>
      <c r="AL892" s="424">
        <v>44958</v>
      </c>
      <c r="AM892" s="221">
        <v>29916.428000000004</v>
      </c>
      <c r="AN892" s="228">
        <v>45030</v>
      </c>
      <c r="AO892" s="423" t="s">
        <v>5752</v>
      </c>
      <c r="AP892" s="424">
        <v>45412</v>
      </c>
      <c r="AQ892" s="222">
        <v>44874.64</v>
      </c>
      <c r="AR892" s="424">
        <v>45519</v>
      </c>
      <c r="AS892" s="614">
        <f ca="1">表格1_6[[#This Row],[total amount]]/表格1_6[[#This Row],[PO$]]</f>
        <v>0.99999997325883949</v>
      </c>
      <c r="AT892" s="223">
        <f ca="1">表格1_6[[#This Row],[invoice amount]]+表格1_6[[#This Row],[invoice amount2]]</f>
        <v>74791.067999999999</v>
      </c>
      <c r="AU892" s="224" t="s">
        <v>3657</v>
      </c>
      <c r="AV892" s="423"/>
      <c r="AW892" s="423" t="e">
        <f ca="1">VLOOKUP(表格1_6[[#This Row],[TI tool ID2]],工作表1!A:A,1,FALSE)</f>
        <v>#N/A</v>
      </c>
      <c r="AX892" s="425" t="e">
        <f ca="1">VLOOKUP(表格1_6[[#This Row],[PO+ITEM]],工作表1!B:E,2,FALSE)</f>
        <v>#N/A</v>
      </c>
      <c r="AY892" s="425" t="e">
        <f ca="1">VLOOKUP(表格1_6[[#This Row],[PO+ITEM]],工作表1!B:E,3,FALSE)</f>
        <v>#N/A</v>
      </c>
      <c r="AZ892" s="423" t="e">
        <f ca="1">VLOOKUP(表格1_6[[#This Row],[PO+ITEM]],工作表1!B:E,4,FALSE)</f>
        <v>#N/A</v>
      </c>
      <c r="BA892" s="425" t="e">
        <f ca="1">INDEX(工作表1!G:G, MATCH(表格1_6[[#This Row],[invoice number]]&amp;表格1_6[[#This Row],[invoice number2]],工作表1!G:G, 0))</f>
        <v>#N/A</v>
      </c>
      <c r="BB892" s="423" t="e">
        <f ca="1">VLOOKUP(表格1_6[[#This Row],[PO+ITEM]],工作表1!F:H,2,FALSE)</f>
        <v>#N/A</v>
      </c>
    </row>
    <row r="893" spans="1:54" ht="15.6">
      <c r="A893" s="413">
        <v>892</v>
      </c>
      <c r="B893" s="413" t="s">
        <v>3659</v>
      </c>
      <c r="C893" s="414" t="s">
        <v>17</v>
      </c>
      <c r="D893" s="414" t="s">
        <v>3648</v>
      </c>
      <c r="E893" s="414"/>
      <c r="F893" s="414"/>
      <c r="G893" s="414"/>
      <c r="H893" s="414"/>
      <c r="I893" s="414"/>
      <c r="J893" s="414"/>
      <c r="K893" s="414"/>
      <c r="L893" s="415" t="s">
        <v>5753</v>
      </c>
      <c r="M893" s="416" t="s">
        <v>2999</v>
      </c>
      <c r="N893" s="416" t="s">
        <v>2999</v>
      </c>
      <c r="O893" s="417"/>
      <c r="P893" s="416">
        <v>4590007920</v>
      </c>
      <c r="Q893" s="418">
        <v>44867</v>
      </c>
      <c r="R893" s="419">
        <v>5</v>
      </c>
      <c r="S893" s="458">
        <v>74791.070000000007</v>
      </c>
      <c r="T893" s="420" t="s">
        <v>2156</v>
      </c>
      <c r="U893" s="414" t="s">
        <v>3913</v>
      </c>
      <c r="V893" s="414" t="s">
        <v>3914</v>
      </c>
      <c r="W893" s="417" t="s">
        <v>3915</v>
      </c>
      <c r="X893" s="417"/>
      <c r="Y893" s="421" t="s">
        <v>3652</v>
      </c>
      <c r="Z893" s="421" t="s">
        <v>3652</v>
      </c>
      <c r="AA893" s="416"/>
      <c r="AB893" s="414" t="s">
        <v>5614</v>
      </c>
      <c r="AC893" s="426"/>
      <c r="AD893" s="421"/>
      <c r="AE893" s="420"/>
      <c r="AF893" s="421">
        <v>90706</v>
      </c>
      <c r="AG893" s="420" t="s">
        <v>5754</v>
      </c>
      <c r="AH893" s="421" t="s">
        <v>3918</v>
      </c>
      <c r="AI893" s="420" t="s">
        <v>3919</v>
      </c>
      <c r="AJ893" s="413" t="str">
        <f t="shared" si="58"/>
        <v>4590007920_005</v>
      </c>
      <c r="AK893" s="423"/>
      <c r="AL893" s="424">
        <v>44958</v>
      </c>
      <c r="AM893" s="221">
        <v>29916.428000000004</v>
      </c>
      <c r="AN893" s="228">
        <v>45030</v>
      </c>
      <c r="AO893" s="423"/>
      <c r="AP893" s="413"/>
      <c r="AQ893" s="222"/>
      <c r="AR893" s="424"/>
      <c r="AS893" s="614">
        <f ca="1">表格1_6[[#This Row],[total amount]]/表格1_6[[#This Row],[PO$]]</f>
        <v>0.4</v>
      </c>
      <c r="AT893" s="223">
        <f ca="1">表格1_6[[#This Row],[invoice amount]]+表格1_6[[#This Row],[invoice amount2]]</f>
        <v>29916.428000000004</v>
      </c>
      <c r="AU893" s="224" t="s">
        <v>3673</v>
      </c>
      <c r="AV893" s="423"/>
      <c r="AW893" s="423" t="e">
        <f ca="1">VLOOKUP(表格1_6[[#This Row],[TI tool ID2]],工作表1!A:A,1,FALSE)</f>
        <v>#N/A</v>
      </c>
      <c r="AX893" s="425" t="e">
        <f ca="1">VLOOKUP(表格1_6[[#This Row],[PO+ITEM]],工作表1!B:E,2,FALSE)</f>
        <v>#N/A</v>
      </c>
      <c r="AY893" s="425" t="e">
        <f ca="1">VLOOKUP(表格1_6[[#This Row],[PO+ITEM]],工作表1!B:E,3,FALSE)</f>
        <v>#N/A</v>
      </c>
      <c r="AZ893" s="423" t="e">
        <f ca="1">VLOOKUP(表格1_6[[#This Row],[PO+ITEM]],工作表1!B:E,4,FALSE)</f>
        <v>#N/A</v>
      </c>
      <c r="BA893" s="425" t="e">
        <f ca="1">INDEX(工作表1!G:G, MATCH(表格1_6[[#This Row],[invoice number]]&amp;表格1_6[[#This Row],[invoice number2]],工作表1!G:G, 0))</f>
        <v>#N/A</v>
      </c>
      <c r="BB893" s="423" t="e">
        <f ca="1">VLOOKUP(表格1_6[[#This Row],[PO+ITEM]],工作表1!F:H,2,FALSE)</f>
        <v>#N/A</v>
      </c>
    </row>
    <row r="894" spans="1:54" ht="15.6">
      <c r="A894" s="413">
        <v>893</v>
      </c>
      <c r="B894" s="413" t="s">
        <v>3674</v>
      </c>
      <c r="C894" s="414" t="s">
        <v>17</v>
      </c>
      <c r="D894" s="414" t="s">
        <v>3648</v>
      </c>
      <c r="E894" s="414"/>
      <c r="F894" s="414"/>
      <c r="G894" s="414"/>
      <c r="H894" s="414"/>
      <c r="I894" s="414"/>
      <c r="J894" s="414"/>
      <c r="K894" s="414"/>
      <c r="L894" s="415" t="s">
        <v>5755</v>
      </c>
      <c r="M894" s="416" t="s">
        <v>2999</v>
      </c>
      <c r="N894" s="416" t="s">
        <v>2999</v>
      </c>
      <c r="O894" s="417"/>
      <c r="P894" s="416">
        <v>4590007922</v>
      </c>
      <c r="Q894" s="418">
        <v>44867</v>
      </c>
      <c r="R894" s="419">
        <v>1</v>
      </c>
      <c r="S894" s="458">
        <v>204141.43</v>
      </c>
      <c r="T894" s="420" t="s">
        <v>2156</v>
      </c>
      <c r="U894" s="414" t="s">
        <v>3913</v>
      </c>
      <c r="V894" s="414" t="s">
        <v>3914</v>
      </c>
      <c r="W894" s="417" t="s">
        <v>3915</v>
      </c>
      <c r="X894" s="417"/>
      <c r="Y894" s="421" t="s">
        <v>3652</v>
      </c>
      <c r="Z894" s="421" t="s">
        <v>3652</v>
      </c>
      <c r="AA894" s="416" t="s">
        <v>5714</v>
      </c>
      <c r="AB894" s="414" t="s">
        <v>5756</v>
      </c>
      <c r="AC894" s="426"/>
      <c r="AD894" s="421"/>
      <c r="AE894" s="420"/>
      <c r="AF894" s="421">
        <v>90701</v>
      </c>
      <c r="AG894" s="420" t="s">
        <v>5757</v>
      </c>
      <c r="AH894" s="421" t="s">
        <v>3918</v>
      </c>
      <c r="AI894" s="420" t="s">
        <v>3919</v>
      </c>
      <c r="AJ894" s="413" t="str">
        <f t="shared" si="58"/>
        <v>4590007922_001</v>
      </c>
      <c r="AK894" s="423"/>
      <c r="AL894" s="424">
        <v>44958</v>
      </c>
      <c r="AM894" s="221">
        <v>81656.572</v>
      </c>
      <c r="AN894" s="226">
        <v>45015</v>
      </c>
      <c r="AO894" s="423" t="s">
        <v>5758</v>
      </c>
      <c r="AP894" s="424">
        <v>45429</v>
      </c>
      <c r="AQ894" s="222">
        <v>122484.85799999999</v>
      </c>
      <c r="AR894" s="424" t="s">
        <v>3805</v>
      </c>
      <c r="AS894" s="614">
        <f ca="1">表格1_6[[#This Row],[total amount]]/表格1_6[[#This Row],[PO$]]</f>
        <v>1</v>
      </c>
      <c r="AT894" s="223">
        <f ca="1">表格1_6[[#This Row],[invoice amount]]+表格1_6[[#This Row],[invoice amount2]]</f>
        <v>204141.43</v>
      </c>
      <c r="AU894" s="224" t="s">
        <v>4371</v>
      </c>
      <c r="AV894" s="423"/>
      <c r="AW894" s="423" t="e">
        <f ca="1">VLOOKUP(表格1_6[[#This Row],[TI tool ID2]],工作表1!A:A,1,FALSE)</f>
        <v>#N/A</v>
      </c>
      <c r="AX894" s="425" t="e">
        <f ca="1">VLOOKUP(表格1_6[[#This Row],[PO+ITEM]],工作表1!B:E,2,FALSE)</f>
        <v>#N/A</v>
      </c>
      <c r="AY894" s="425" t="e">
        <f ca="1">VLOOKUP(表格1_6[[#This Row],[PO+ITEM]],工作表1!B:E,3,FALSE)</f>
        <v>#N/A</v>
      </c>
      <c r="AZ894" s="423" t="e">
        <f ca="1">VLOOKUP(表格1_6[[#This Row],[PO+ITEM]],工作表1!B:E,4,FALSE)</f>
        <v>#N/A</v>
      </c>
      <c r="BA894" s="425" t="e">
        <f ca="1">INDEX(工作表1!G:G, MATCH(表格1_6[[#This Row],[invoice number]]&amp;表格1_6[[#This Row],[invoice number2]],工作表1!G:G, 0))</f>
        <v>#N/A</v>
      </c>
      <c r="BB894" s="423" t="e">
        <f ca="1">VLOOKUP(表格1_6[[#This Row],[PO+ITEM]],工作表1!F:H,2,FALSE)</f>
        <v>#N/A</v>
      </c>
    </row>
    <row r="895" spans="1:54" ht="15.6">
      <c r="A895" s="413">
        <v>894</v>
      </c>
      <c r="B895" s="413" t="s">
        <v>3659</v>
      </c>
      <c r="C895" s="414" t="s">
        <v>17</v>
      </c>
      <c r="D895" s="414" t="s">
        <v>3648</v>
      </c>
      <c r="E895" s="414"/>
      <c r="F895" s="414"/>
      <c r="G895" s="414"/>
      <c r="H895" s="414"/>
      <c r="I895" s="414"/>
      <c r="J895" s="414"/>
      <c r="K895" s="414"/>
      <c r="L895" s="415" t="s">
        <v>5759</v>
      </c>
      <c r="M895" s="416" t="s">
        <v>2999</v>
      </c>
      <c r="N895" s="416" t="s">
        <v>2999</v>
      </c>
      <c r="O895" s="417"/>
      <c r="P895" s="416">
        <v>4590007922</v>
      </c>
      <c r="Q895" s="418">
        <v>44867</v>
      </c>
      <c r="R895" s="419">
        <v>2</v>
      </c>
      <c r="S895" s="458">
        <v>204141.43</v>
      </c>
      <c r="T895" s="420" t="s">
        <v>2156</v>
      </c>
      <c r="U895" s="414" t="s">
        <v>3913</v>
      </c>
      <c r="V895" s="414" t="s">
        <v>3914</v>
      </c>
      <c r="W895" s="417" t="s">
        <v>3915</v>
      </c>
      <c r="X895" s="417"/>
      <c r="Y895" s="421" t="s">
        <v>3652</v>
      </c>
      <c r="Z895" s="421" t="s">
        <v>3652</v>
      </c>
      <c r="AA895" s="416" t="s">
        <v>5714</v>
      </c>
      <c r="AB895" s="414" t="s">
        <v>5756</v>
      </c>
      <c r="AC895" s="426"/>
      <c r="AD895" s="421"/>
      <c r="AE895" s="420"/>
      <c r="AF895" s="421">
        <v>90744</v>
      </c>
      <c r="AG895" s="420" t="s">
        <v>5760</v>
      </c>
      <c r="AH895" s="421" t="s">
        <v>3918</v>
      </c>
      <c r="AI895" s="420" t="s">
        <v>3919</v>
      </c>
      <c r="AJ895" s="413" t="str">
        <f t="shared" si="58"/>
        <v>4590007922_002</v>
      </c>
      <c r="AK895" s="423"/>
      <c r="AL895" s="424">
        <v>44958</v>
      </c>
      <c r="AM895" s="221">
        <v>81656.572</v>
      </c>
      <c r="AN895" s="226">
        <v>45015</v>
      </c>
      <c r="AO895" s="423"/>
      <c r="AP895" s="413"/>
      <c r="AQ895" s="222"/>
      <c r="AR895" s="424"/>
      <c r="AS895" s="614">
        <f ca="1">表格1_6[[#This Row],[total amount]]/表格1_6[[#This Row],[PO$]]</f>
        <v>0.4</v>
      </c>
      <c r="AT895" s="223">
        <f ca="1">表格1_6[[#This Row],[invoice amount]]+表格1_6[[#This Row],[invoice amount2]]</f>
        <v>81656.572</v>
      </c>
      <c r="AU895" s="224" t="s">
        <v>3673</v>
      </c>
      <c r="AV895" s="423"/>
      <c r="AW895" s="423" t="e">
        <f ca="1">VLOOKUP(表格1_6[[#This Row],[TI tool ID2]],工作表1!A:A,1,FALSE)</f>
        <v>#N/A</v>
      </c>
      <c r="AX895" s="425" t="e">
        <f ca="1">VLOOKUP(表格1_6[[#This Row],[PO+ITEM]],工作表1!B:E,2,FALSE)</f>
        <v>#N/A</v>
      </c>
      <c r="AY895" s="425" t="e">
        <f ca="1">VLOOKUP(表格1_6[[#This Row],[PO+ITEM]],工作表1!B:E,3,FALSE)</f>
        <v>#N/A</v>
      </c>
      <c r="AZ895" s="423" t="e">
        <f ca="1">VLOOKUP(表格1_6[[#This Row],[PO+ITEM]],工作表1!B:E,4,FALSE)</f>
        <v>#N/A</v>
      </c>
      <c r="BA895" s="425" t="e">
        <f ca="1">INDEX(工作表1!G:G, MATCH(表格1_6[[#This Row],[invoice number]]&amp;表格1_6[[#This Row],[invoice number2]],工作表1!G:G, 0))</f>
        <v>#N/A</v>
      </c>
      <c r="BB895" s="423" t="e">
        <f ca="1">VLOOKUP(表格1_6[[#This Row],[PO+ITEM]],工作表1!F:H,2,FALSE)</f>
        <v>#N/A</v>
      </c>
    </row>
    <row r="896" spans="1:54" ht="14.45">
      <c r="A896" s="413">
        <v>895</v>
      </c>
      <c r="B896" s="413" t="s">
        <v>3674</v>
      </c>
      <c r="C896" s="414" t="s">
        <v>17</v>
      </c>
      <c r="D896" s="414" t="s">
        <v>3648</v>
      </c>
      <c r="E896" s="414"/>
      <c r="F896" s="414"/>
      <c r="G896" s="414"/>
      <c r="H896" s="414"/>
      <c r="I896" s="414"/>
      <c r="J896" s="414"/>
      <c r="K896" s="414"/>
      <c r="L896" s="415" t="s">
        <v>5761</v>
      </c>
      <c r="M896" s="416" t="s">
        <v>2999</v>
      </c>
      <c r="N896" s="416" t="s">
        <v>2999</v>
      </c>
      <c r="O896" s="417"/>
      <c r="P896" s="416">
        <v>4590007923</v>
      </c>
      <c r="Q896" s="418">
        <v>44867</v>
      </c>
      <c r="R896" s="419">
        <v>1</v>
      </c>
      <c r="S896" s="458">
        <v>173251.61</v>
      </c>
      <c r="T896" s="420" t="s">
        <v>2156</v>
      </c>
      <c r="U896" s="414" t="s">
        <v>3913</v>
      </c>
      <c r="V896" s="414" t="s">
        <v>3914</v>
      </c>
      <c r="W896" s="417" t="s">
        <v>3915</v>
      </c>
      <c r="X896" s="417"/>
      <c r="Y896" s="421" t="s">
        <v>3652</v>
      </c>
      <c r="Z896" s="421" t="s">
        <v>3652</v>
      </c>
      <c r="AA896" s="416"/>
      <c r="AB896" s="414" t="s">
        <v>5762</v>
      </c>
      <c r="AC896" s="426"/>
      <c r="AD896" s="421"/>
      <c r="AE896" s="420"/>
      <c r="AF896" s="421">
        <v>90722</v>
      </c>
      <c r="AG896" s="420" t="s">
        <v>5763</v>
      </c>
      <c r="AH896" s="421" t="s">
        <v>3918</v>
      </c>
      <c r="AI896" s="420" t="s">
        <v>3919</v>
      </c>
      <c r="AJ896" s="413" t="str">
        <f t="shared" si="58"/>
        <v>4590007923_001</v>
      </c>
      <c r="AK896" s="423" t="s">
        <v>5764</v>
      </c>
      <c r="AL896" s="424">
        <v>45436</v>
      </c>
      <c r="AM896" s="221">
        <v>173251.61</v>
      </c>
      <c r="AN896" s="424">
        <v>45580</v>
      </c>
      <c r="AO896" s="423"/>
      <c r="AP896" s="413"/>
      <c r="AQ896" s="222"/>
      <c r="AR896" s="424"/>
      <c r="AS896" s="614">
        <f ca="1">表格1_6[[#This Row],[total amount]]/表格1_6[[#This Row],[PO$]]</f>
        <v>1</v>
      </c>
      <c r="AT896" s="223">
        <f ca="1">表格1_6[[#This Row],[invoice amount]]+表格1_6[[#This Row],[invoice amount2]]</f>
        <v>173251.61</v>
      </c>
      <c r="AU896" s="224" t="s">
        <v>3725</v>
      </c>
      <c r="AV896" s="423"/>
      <c r="AW896" s="423" t="e">
        <f ca="1">VLOOKUP(表格1_6[[#This Row],[TI tool ID2]],工作表1!A:A,1,FALSE)</f>
        <v>#N/A</v>
      </c>
      <c r="AX896" s="425" t="e">
        <f ca="1">VLOOKUP(表格1_6[[#This Row],[PO+ITEM]],工作表1!B:E,2,FALSE)</f>
        <v>#N/A</v>
      </c>
      <c r="AY896" s="425" t="e">
        <f ca="1">VLOOKUP(表格1_6[[#This Row],[PO+ITEM]],工作表1!B:E,3,FALSE)</f>
        <v>#N/A</v>
      </c>
      <c r="AZ896" s="423" t="e">
        <f ca="1">VLOOKUP(表格1_6[[#This Row],[PO+ITEM]],工作表1!B:E,4,FALSE)</f>
        <v>#N/A</v>
      </c>
      <c r="BA896" s="425" t="str">
        <f ca="1">INDEX(工作表1!G:G, MATCH(表格1_6[[#This Row],[invoice number]]&amp;表格1_6[[#This Row],[invoice number2]],工作表1!G:G, 0))</f>
        <v>MICUINT202405091</v>
      </c>
      <c r="BB896" s="423" t="str">
        <f ca="1">VLOOKUP(表格1_6[[#This Row],[PO+ITEM]],工作表1!F:H,2,FALSE)</f>
        <v>MICUINT202405091</v>
      </c>
    </row>
    <row r="897" spans="1:54" ht="14.45">
      <c r="A897" s="413">
        <v>896</v>
      </c>
      <c r="B897" s="413" t="s">
        <v>3659</v>
      </c>
      <c r="C897" s="414" t="s">
        <v>17</v>
      </c>
      <c r="D897" s="414" t="s">
        <v>3648</v>
      </c>
      <c r="E897" s="414"/>
      <c r="F897" s="414"/>
      <c r="G897" s="414"/>
      <c r="H897" s="414"/>
      <c r="I897" s="414"/>
      <c r="J897" s="414"/>
      <c r="K897" s="414"/>
      <c r="L897" s="415" t="s">
        <v>5765</v>
      </c>
      <c r="M897" s="416" t="s">
        <v>2999</v>
      </c>
      <c r="N897" s="416" t="s">
        <v>2999</v>
      </c>
      <c r="O897" s="417"/>
      <c r="P897" s="416">
        <v>4590007923</v>
      </c>
      <c r="Q897" s="418">
        <v>44867</v>
      </c>
      <c r="R897" s="419">
        <v>2</v>
      </c>
      <c r="S897" s="458">
        <v>173251.61</v>
      </c>
      <c r="T897" s="420" t="s">
        <v>2156</v>
      </c>
      <c r="U897" s="414" t="s">
        <v>3913</v>
      </c>
      <c r="V897" s="414" t="s">
        <v>3914</v>
      </c>
      <c r="W897" s="417" t="s">
        <v>3915</v>
      </c>
      <c r="X897" s="417"/>
      <c r="Y897" s="421" t="s">
        <v>3652</v>
      </c>
      <c r="Z897" s="421" t="s">
        <v>3652</v>
      </c>
      <c r="AA897" s="416"/>
      <c r="AB897" s="414" t="s">
        <v>5762</v>
      </c>
      <c r="AC897" s="426"/>
      <c r="AD897" s="421"/>
      <c r="AE897" s="420"/>
      <c r="AF897" s="421">
        <v>90723</v>
      </c>
      <c r="AG897" s="420" t="s">
        <v>5766</v>
      </c>
      <c r="AH897" s="421" t="s">
        <v>3918</v>
      </c>
      <c r="AI897" s="420" t="s">
        <v>3919</v>
      </c>
      <c r="AJ897" s="413" t="str">
        <f t="shared" si="58"/>
        <v>4590007923_002</v>
      </c>
      <c r="AK897" s="423"/>
      <c r="AL897" s="413"/>
      <c r="AM897" s="221"/>
      <c r="AN897" s="424"/>
      <c r="AO897" s="423"/>
      <c r="AP897" s="413"/>
      <c r="AQ897" s="222"/>
      <c r="AR897" s="424"/>
      <c r="AS897" s="614">
        <f ca="1">表格1_6[[#This Row],[total amount]]/表格1_6[[#This Row],[PO$]]</f>
        <v>0</v>
      </c>
      <c r="AT897" s="223">
        <f ca="1">表格1_6[[#This Row],[invoice amount]]+表格1_6[[#This Row],[invoice amount2]]</f>
        <v>0</v>
      </c>
      <c r="AU897" s="224"/>
      <c r="AV897" s="423"/>
      <c r="AW897" s="423" t="e">
        <f ca="1">VLOOKUP(表格1_6[[#This Row],[TI tool ID2]],工作表1!A:A,1,FALSE)</f>
        <v>#N/A</v>
      </c>
      <c r="AX897" s="425" t="e">
        <f ca="1">VLOOKUP(表格1_6[[#This Row],[PO+ITEM]],工作表1!B:E,2,FALSE)</f>
        <v>#N/A</v>
      </c>
      <c r="AY897" s="425" t="e">
        <f ca="1">VLOOKUP(表格1_6[[#This Row],[PO+ITEM]],工作表1!B:E,3,FALSE)</f>
        <v>#N/A</v>
      </c>
      <c r="AZ897" s="423" t="e">
        <f ca="1">VLOOKUP(表格1_6[[#This Row],[PO+ITEM]],工作表1!B:E,4,FALSE)</f>
        <v>#N/A</v>
      </c>
      <c r="BA897" s="425" t="e">
        <f ca="1">INDEX(工作表1!G:G, MATCH(表格1_6[[#This Row],[invoice number]]&amp;表格1_6[[#This Row],[invoice number2]],工作表1!G:G, 0))</f>
        <v>#N/A</v>
      </c>
      <c r="BB897" s="423" t="e">
        <f ca="1">VLOOKUP(表格1_6[[#This Row],[PO+ITEM]],工作表1!F:H,2,FALSE)</f>
        <v>#N/A</v>
      </c>
    </row>
    <row r="898" spans="1:54" ht="14.45">
      <c r="A898" s="413">
        <v>897</v>
      </c>
      <c r="B898" s="413" t="s">
        <v>3674</v>
      </c>
      <c r="C898" s="414" t="s">
        <v>17</v>
      </c>
      <c r="D898" s="414" t="s">
        <v>3648</v>
      </c>
      <c r="E898" s="414"/>
      <c r="F898" s="414"/>
      <c r="G898" s="414"/>
      <c r="H898" s="414"/>
      <c r="I898" s="414"/>
      <c r="J898" s="414"/>
      <c r="K898" s="414"/>
      <c r="L898" s="415" t="s">
        <v>5767</v>
      </c>
      <c r="M898" s="416" t="s">
        <v>2999</v>
      </c>
      <c r="N898" s="416" t="s">
        <v>2999</v>
      </c>
      <c r="O898" s="417"/>
      <c r="P898" s="416">
        <v>4590007924</v>
      </c>
      <c r="Q898" s="418">
        <v>44867</v>
      </c>
      <c r="R898" s="419">
        <v>1</v>
      </c>
      <c r="S898" s="458">
        <v>168446.25</v>
      </c>
      <c r="T898" s="420" t="s">
        <v>2156</v>
      </c>
      <c r="U898" s="414" t="s">
        <v>3913</v>
      </c>
      <c r="V898" s="414" t="s">
        <v>3914</v>
      </c>
      <c r="W898" s="417" t="s">
        <v>3915</v>
      </c>
      <c r="X898" s="417"/>
      <c r="Y898" s="421" t="s">
        <v>3652</v>
      </c>
      <c r="Z898" s="421" t="s">
        <v>3652</v>
      </c>
      <c r="AA898" s="416"/>
      <c r="AB898" s="414" t="s">
        <v>5768</v>
      </c>
      <c r="AC898" s="426"/>
      <c r="AD898" s="421"/>
      <c r="AE898" s="420"/>
      <c r="AF898" s="421">
        <v>90707</v>
      </c>
      <c r="AG898" s="420" t="s">
        <v>5769</v>
      </c>
      <c r="AH898" s="421" t="s">
        <v>3918</v>
      </c>
      <c r="AI898" s="420" t="s">
        <v>3919</v>
      </c>
      <c r="AJ898" s="413" t="str">
        <f t="shared" si="58"/>
        <v>4590007924_001</v>
      </c>
      <c r="AK898" s="423" t="s">
        <v>5770</v>
      </c>
      <c r="AL898" s="424">
        <v>45412</v>
      </c>
      <c r="AM898" s="273">
        <v>168446.25</v>
      </c>
      <c r="AN898" s="424" t="s">
        <v>3805</v>
      </c>
      <c r="AO898" s="423"/>
      <c r="AP898" s="413"/>
      <c r="AQ898" s="222"/>
      <c r="AR898" s="424"/>
      <c r="AS898" s="614">
        <f ca="1">表格1_6[[#This Row],[total amount]]/表格1_6[[#This Row],[PO$]]</f>
        <v>1</v>
      </c>
      <c r="AT898" s="223">
        <f ca="1">表格1_6[[#This Row],[invoice amount]]+表格1_6[[#This Row],[invoice amount2]]</f>
        <v>168446.25</v>
      </c>
      <c r="AU898" s="224" t="s">
        <v>3806</v>
      </c>
      <c r="AV898" s="423"/>
      <c r="AW898" s="423" t="e">
        <f ca="1">VLOOKUP(表格1_6[[#This Row],[TI tool ID2]],工作表1!A:A,1,FALSE)</f>
        <v>#N/A</v>
      </c>
      <c r="AX898" s="425" t="e">
        <f ca="1">VLOOKUP(表格1_6[[#This Row],[PO+ITEM]],工作表1!B:E,2,FALSE)</f>
        <v>#N/A</v>
      </c>
      <c r="AY898" s="425" t="e">
        <f ca="1">VLOOKUP(表格1_6[[#This Row],[PO+ITEM]],工作表1!B:E,3,FALSE)</f>
        <v>#N/A</v>
      </c>
      <c r="AZ898" s="423" t="e">
        <f ca="1">VLOOKUP(表格1_6[[#This Row],[PO+ITEM]],工作表1!B:E,4,FALSE)</f>
        <v>#N/A</v>
      </c>
      <c r="BA898" s="425" t="e">
        <f ca="1">INDEX(工作表1!G:G, MATCH(表格1_6[[#This Row],[invoice number]]&amp;表格1_6[[#This Row],[invoice number2]],工作表1!G:G, 0))</f>
        <v>#N/A</v>
      </c>
      <c r="BB898" s="423" t="e">
        <f ca="1">VLOOKUP(表格1_6[[#This Row],[PO+ITEM]],工作表1!F:H,2,FALSE)</f>
        <v>#N/A</v>
      </c>
    </row>
    <row r="899" spans="1:54" ht="14.45">
      <c r="A899" s="413">
        <v>898</v>
      </c>
      <c r="B899" s="413" t="s">
        <v>3659</v>
      </c>
      <c r="C899" s="414" t="s">
        <v>17</v>
      </c>
      <c r="D899" s="414" t="s">
        <v>3648</v>
      </c>
      <c r="E899" s="414"/>
      <c r="F899" s="414"/>
      <c r="G899" s="414"/>
      <c r="H899" s="414"/>
      <c r="I899" s="414"/>
      <c r="J899" s="414"/>
      <c r="K899" s="414"/>
      <c r="L899" s="415" t="s">
        <v>5771</v>
      </c>
      <c r="M899" s="416" t="s">
        <v>2999</v>
      </c>
      <c r="N899" s="416" t="s">
        <v>2999</v>
      </c>
      <c r="O899" s="417"/>
      <c r="P899" s="416">
        <v>4590007924</v>
      </c>
      <c r="Q899" s="418">
        <v>44867</v>
      </c>
      <c r="R899" s="419">
        <v>2</v>
      </c>
      <c r="S899" s="458">
        <v>168446.25</v>
      </c>
      <c r="T899" s="420" t="s">
        <v>2156</v>
      </c>
      <c r="U899" s="414" t="s">
        <v>3913</v>
      </c>
      <c r="V899" s="414" t="s">
        <v>3914</v>
      </c>
      <c r="W899" s="417" t="s">
        <v>3915</v>
      </c>
      <c r="X899" s="417"/>
      <c r="Y899" s="421" t="s">
        <v>3652</v>
      </c>
      <c r="Z899" s="421" t="s">
        <v>3652</v>
      </c>
      <c r="AA899" s="416"/>
      <c r="AB899" s="414" t="s">
        <v>5768</v>
      </c>
      <c r="AC899" s="426"/>
      <c r="AD899" s="421"/>
      <c r="AE899" s="420"/>
      <c r="AF899" s="421">
        <v>91004</v>
      </c>
      <c r="AG899" s="420" t="s">
        <v>5772</v>
      </c>
      <c r="AH899" s="421" t="s">
        <v>3918</v>
      </c>
      <c r="AI899" s="420" t="s">
        <v>3919</v>
      </c>
      <c r="AJ899" s="413" t="str">
        <f t="shared" si="58"/>
        <v>4590007924_002</v>
      </c>
      <c r="AK899" s="423"/>
      <c r="AL899" s="413"/>
      <c r="AM899" s="221"/>
      <c r="AN899" s="424"/>
      <c r="AO899" s="423"/>
      <c r="AP899" s="413"/>
      <c r="AQ899" s="222"/>
      <c r="AR899" s="424"/>
      <c r="AS899" s="614">
        <f ca="1">表格1_6[[#This Row],[total amount]]/表格1_6[[#This Row],[PO$]]</f>
        <v>0</v>
      </c>
      <c r="AT899" s="223">
        <f ca="1">表格1_6[[#This Row],[invoice amount]]+表格1_6[[#This Row],[invoice amount2]]</f>
        <v>0</v>
      </c>
      <c r="AU899" s="224"/>
      <c r="AV899" s="423"/>
      <c r="AW899" s="423" t="e">
        <f ca="1">VLOOKUP(表格1_6[[#This Row],[TI tool ID2]],工作表1!A:A,1,FALSE)</f>
        <v>#N/A</v>
      </c>
      <c r="AX899" s="425" t="e">
        <f ca="1">VLOOKUP(表格1_6[[#This Row],[PO+ITEM]],工作表1!B:E,2,FALSE)</f>
        <v>#N/A</v>
      </c>
      <c r="AY899" s="425" t="e">
        <f ca="1">VLOOKUP(表格1_6[[#This Row],[PO+ITEM]],工作表1!B:E,3,FALSE)</f>
        <v>#N/A</v>
      </c>
      <c r="AZ899" s="423" t="e">
        <f ca="1">VLOOKUP(表格1_6[[#This Row],[PO+ITEM]],工作表1!B:E,4,FALSE)</f>
        <v>#N/A</v>
      </c>
      <c r="BA899" s="425" t="e">
        <f ca="1">INDEX(工作表1!G:G, MATCH(表格1_6[[#This Row],[invoice number]]&amp;表格1_6[[#This Row],[invoice number2]],工作表1!G:G, 0))</f>
        <v>#N/A</v>
      </c>
      <c r="BB899" s="423" t="e">
        <f ca="1">VLOOKUP(表格1_6[[#This Row],[PO+ITEM]],工作表1!F:H,2,FALSE)</f>
        <v>#N/A</v>
      </c>
    </row>
    <row r="900" spans="1:54" ht="15.6">
      <c r="A900" s="413">
        <v>899</v>
      </c>
      <c r="B900" s="413" t="s">
        <v>3674</v>
      </c>
      <c r="C900" s="414" t="s">
        <v>17</v>
      </c>
      <c r="D900" s="414" t="s">
        <v>3648</v>
      </c>
      <c r="E900" s="414"/>
      <c r="F900" s="414"/>
      <c r="G900" s="414"/>
      <c r="H900" s="414"/>
      <c r="I900" s="414"/>
      <c r="J900" s="414"/>
      <c r="K900" s="414"/>
      <c r="L900" s="415" t="s">
        <v>5773</v>
      </c>
      <c r="M900" s="416" t="s">
        <v>2999</v>
      </c>
      <c r="N900" s="416" t="s">
        <v>2999</v>
      </c>
      <c r="O900" s="417"/>
      <c r="P900" s="416">
        <v>4590007925</v>
      </c>
      <c r="Q900" s="418">
        <v>44867</v>
      </c>
      <c r="R900" s="419">
        <v>1</v>
      </c>
      <c r="S900" s="458">
        <v>142448.04</v>
      </c>
      <c r="T900" s="420" t="s">
        <v>2156</v>
      </c>
      <c r="U900" s="414" t="s">
        <v>3913</v>
      </c>
      <c r="V900" s="414" t="s">
        <v>3914</v>
      </c>
      <c r="W900" s="417" t="s">
        <v>3915</v>
      </c>
      <c r="X900" s="417"/>
      <c r="Y900" s="421" t="s">
        <v>3652</v>
      </c>
      <c r="Z900" s="421" t="s">
        <v>3652</v>
      </c>
      <c r="AA900" s="416"/>
      <c r="AB900" s="414" t="s">
        <v>5614</v>
      </c>
      <c r="AC900" s="426"/>
      <c r="AD900" s="421"/>
      <c r="AE900" s="420"/>
      <c r="AF900" s="421">
        <v>90717</v>
      </c>
      <c r="AG900" s="420" t="s">
        <v>5774</v>
      </c>
      <c r="AH900" s="421" t="s">
        <v>3918</v>
      </c>
      <c r="AI900" s="420" t="s">
        <v>3919</v>
      </c>
      <c r="AJ900" s="413" t="str">
        <f t="shared" si="58"/>
        <v>4590007925_001</v>
      </c>
      <c r="AK900" s="423"/>
      <c r="AL900" s="424">
        <v>44958</v>
      </c>
      <c r="AM900" s="221">
        <v>56979.216000000008</v>
      </c>
      <c r="AN900" s="228">
        <v>45030</v>
      </c>
      <c r="AO900" s="423" t="s">
        <v>5775</v>
      </c>
      <c r="AP900" s="424">
        <v>45412</v>
      </c>
      <c r="AQ900" s="222">
        <v>85468.82</v>
      </c>
      <c r="AR900" s="424">
        <v>45519</v>
      </c>
      <c r="AS900" s="614">
        <f ca="1">表格1_6[[#This Row],[total amount]]/表格1_6[[#This Row],[PO$]]</f>
        <v>0.99999997191958567</v>
      </c>
      <c r="AT900" s="223">
        <f ca="1">表格1_6[[#This Row],[invoice amount]]+表格1_6[[#This Row],[invoice amount2]]</f>
        <v>142448.03600000002</v>
      </c>
      <c r="AU900" s="224" t="s">
        <v>3657</v>
      </c>
      <c r="AV900" s="423"/>
      <c r="AW900" s="423" t="e">
        <f ca="1">VLOOKUP(表格1_6[[#This Row],[TI tool ID2]],工作表1!A:A,1,FALSE)</f>
        <v>#N/A</v>
      </c>
      <c r="AX900" s="425" t="e">
        <f ca="1">VLOOKUP(表格1_6[[#This Row],[PO+ITEM]],工作表1!B:E,2,FALSE)</f>
        <v>#N/A</v>
      </c>
      <c r="AY900" s="425" t="e">
        <f ca="1">VLOOKUP(表格1_6[[#This Row],[PO+ITEM]],工作表1!B:E,3,FALSE)</f>
        <v>#N/A</v>
      </c>
      <c r="AZ900" s="423" t="e">
        <f ca="1">VLOOKUP(表格1_6[[#This Row],[PO+ITEM]],工作表1!B:E,4,FALSE)</f>
        <v>#N/A</v>
      </c>
      <c r="BA900" s="425" t="e">
        <f ca="1">INDEX(工作表1!G:G, MATCH(表格1_6[[#This Row],[invoice number]]&amp;表格1_6[[#This Row],[invoice number2]],工作表1!G:G, 0))</f>
        <v>#N/A</v>
      </c>
      <c r="BB900" s="423" t="e">
        <f ca="1">VLOOKUP(表格1_6[[#This Row],[PO+ITEM]],工作表1!F:H,2,FALSE)</f>
        <v>#N/A</v>
      </c>
    </row>
    <row r="901" spans="1:54" ht="15.6">
      <c r="A901" s="413">
        <v>900</v>
      </c>
      <c r="B901" s="413" t="s">
        <v>3659</v>
      </c>
      <c r="C901" s="414" t="s">
        <v>17</v>
      </c>
      <c r="D901" s="414" t="s">
        <v>3648</v>
      </c>
      <c r="E901" s="414"/>
      <c r="F901" s="414"/>
      <c r="G901" s="414"/>
      <c r="H901" s="414"/>
      <c r="I901" s="414"/>
      <c r="J901" s="414"/>
      <c r="K901" s="414"/>
      <c r="L901" s="415" t="s">
        <v>5776</v>
      </c>
      <c r="M901" s="416" t="s">
        <v>2999</v>
      </c>
      <c r="N901" s="416" t="s">
        <v>2999</v>
      </c>
      <c r="O901" s="417"/>
      <c r="P901" s="416">
        <v>4590007925</v>
      </c>
      <c r="Q901" s="418">
        <v>44867</v>
      </c>
      <c r="R901" s="419">
        <v>2</v>
      </c>
      <c r="S901" s="458">
        <v>142448.04</v>
      </c>
      <c r="T901" s="420" t="s">
        <v>2156</v>
      </c>
      <c r="U901" s="414" t="s">
        <v>3913</v>
      </c>
      <c r="V901" s="414" t="s">
        <v>3914</v>
      </c>
      <c r="W901" s="417" t="s">
        <v>3915</v>
      </c>
      <c r="X901" s="417"/>
      <c r="Y901" s="421" t="s">
        <v>3652</v>
      </c>
      <c r="Z901" s="421" t="s">
        <v>3652</v>
      </c>
      <c r="AA901" s="416"/>
      <c r="AB901" s="414" t="s">
        <v>5614</v>
      </c>
      <c r="AC901" s="426"/>
      <c r="AD901" s="421"/>
      <c r="AE901" s="420"/>
      <c r="AF901" s="421">
        <v>90718</v>
      </c>
      <c r="AG901" s="420" t="s">
        <v>5777</v>
      </c>
      <c r="AH901" s="421" t="s">
        <v>3918</v>
      </c>
      <c r="AI901" s="420" t="s">
        <v>3919</v>
      </c>
      <c r="AJ901" s="413" t="str">
        <f t="shared" si="58"/>
        <v>4590007925_002</v>
      </c>
      <c r="AK901" s="423"/>
      <c r="AL901" s="424">
        <v>44958</v>
      </c>
      <c r="AM901" s="221">
        <v>56979.216000000008</v>
      </c>
      <c r="AN901" s="228">
        <v>45030</v>
      </c>
      <c r="AO901" s="423"/>
      <c r="AP901" s="413"/>
      <c r="AQ901" s="222"/>
      <c r="AR901" s="424"/>
      <c r="AS901" s="614">
        <f ca="1">表格1_6[[#This Row],[total amount]]/表格1_6[[#This Row],[PO$]]</f>
        <v>0.4</v>
      </c>
      <c r="AT901" s="223">
        <f ca="1">表格1_6[[#This Row],[invoice amount]]+表格1_6[[#This Row],[invoice amount2]]</f>
        <v>56979.216000000008</v>
      </c>
      <c r="AU901" s="224" t="s">
        <v>3673</v>
      </c>
      <c r="AV901" s="423"/>
      <c r="AW901" s="423" t="e">
        <f ca="1">VLOOKUP(表格1_6[[#This Row],[TI tool ID2]],工作表1!A:A,1,FALSE)</f>
        <v>#N/A</v>
      </c>
      <c r="AX901" s="425" t="e">
        <f ca="1">VLOOKUP(表格1_6[[#This Row],[PO+ITEM]],工作表1!B:E,2,FALSE)</f>
        <v>#N/A</v>
      </c>
      <c r="AY901" s="425" t="e">
        <f ca="1">VLOOKUP(表格1_6[[#This Row],[PO+ITEM]],工作表1!B:E,3,FALSE)</f>
        <v>#N/A</v>
      </c>
      <c r="AZ901" s="423" t="e">
        <f ca="1">VLOOKUP(表格1_6[[#This Row],[PO+ITEM]],工作表1!B:E,4,FALSE)</f>
        <v>#N/A</v>
      </c>
      <c r="BA901" s="425" t="e">
        <f ca="1">INDEX(工作表1!G:G, MATCH(表格1_6[[#This Row],[invoice number]]&amp;表格1_6[[#This Row],[invoice number2]],工作表1!G:G, 0))</f>
        <v>#N/A</v>
      </c>
      <c r="BB901" s="423" t="e">
        <f ca="1">VLOOKUP(表格1_6[[#This Row],[PO+ITEM]],工作表1!F:H,2,FALSE)</f>
        <v>#N/A</v>
      </c>
    </row>
    <row r="902" spans="1:54" ht="15.6">
      <c r="A902" s="413">
        <v>901</v>
      </c>
      <c r="B902" s="413" t="s">
        <v>3674</v>
      </c>
      <c r="C902" s="414" t="s">
        <v>17</v>
      </c>
      <c r="D902" s="414" t="s">
        <v>3648</v>
      </c>
      <c r="E902" s="414"/>
      <c r="F902" s="414"/>
      <c r="G902" s="414"/>
      <c r="H902" s="414"/>
      <c r="I902" s="414"/>
      <c r="J902" s="414"/>
      <c r="K902" s="414"/>
      <c r="L902" s="415" t="s">
        <v>5778</v>
      </c>
      <c r="M902" s="416" t="s">
        <v>2999</v>
      </c>
      <c r="N902" s="416" t="s">
        <v>2999</v>
      </c>
      <c r="O902" s="417"/>
      <c r="P902" s="416">
        <v>4590007925</v>
      </c>
      <c r="Q902" s="418">
        <v>44867</v>
      </c>
      <c r="R902" s="419">
        <v>3</v>
      </c>
      <c r="S902" s="458">
        <v>193273.93</v>
      </c>
      <c r="T902" s="420" t="s">
        <v>2156</v>
      </c>
      <c r="U902" s="414" t="s">
        <v>3913</v>
      </c>
      <c r="V902" s="414" t="s">
        <v>3914</v>
      </c>
      <c r="W902" s="417" t="s">
        <v>3915</v>
      </c>
      <c r="X902" s="417"/>
      <c r="Y902" s="421" t="s">
        <v>3652</v>
      </c>
      <c r="Z902" s="421" t="s">
        <v>3652</v>
      </c>
      <c r="AA902" s="416" t="s">
        <v>5299</v>
      </c>
      <c r="AB902" s="414" t="s">
        <v>5614</v>
      </c>
      <c r="AC902" s="426"/>
      <c r="AD902" s="421"/>
      <c r="AE902" s="420"/>
      <c r="AF902" s="421">
        <v>90719</v>
      </c>
      <c r="AG902" s="420" t="s">
        <v>5779</v>
      </c>
      <c r="AH902" s="421" t="s">
        <v>3918</v>
      </c>
      <c r="AI902" s="420" t="s">
        <v>3919</v>
      </c>
      <c r="AJ902" s="413" t="str">
        <f t="shared" si="58"/>
        <v>4590007925_003</v>
      </c>
      <c r="AK902" s="423"/>
      <c r="AL902" s="424">
        <v>44958</v>
      </c>
      <c r="AM902" s="221">
        <v>77309.572</v>
      </c>
      <c r="AN902" s="226">
        <v>45015</v>
      </c>
      <c r="AO902" s="463" t="s">
        <v>5780</v>
      </c>
      <c r="AP902" s="424">
        <v>45483</v>
      </c>
      <c r="AQ902" s="222">
        <v>115964.36</v>
      </c>
      <c r="AR902" s="424">
        <v>45548</v>
      </c>
      <c r="AS902" s="614">
        <f ca="1">表格1_6[[#This Row],[total amount]]/表格1_6[[#This Row],[PO$]]</f>
        <v>1.0000000103480071</v>
      </c>
      <c r="AT902" s="223">
        <f ca="1">表格1_6[[#This Row],[invoice amount]]+表格1_6[[#This Row],[invoice amount2]]</f>
        <v>193273.932</v>
      </c>
      <c r="AU902" s="224" t="s">
        <v>3725</v>
      </c>
      <c r="AV902" s="423"/>
      <c r="AW902" s="423" t="e">
        <f ca="1">VLOOKUP(表格1_6[[#This Row],[TI tool ID2]],工作表1!A:A,1,FALSE)</f>
        <v>#N/A</v>
      </c>
      <c r="AX902" s="425" t="e">
        <f ca="1">VLOOKUP(表格1_6[[#This Row],[PO+ITEM]],工作表1!B:E,2,FALSE)</f>
        <v>#N/A</v>
      </c>
      <c r="AY902" s="425" t="e">
        <f ca="1">VLOOKUP(表格1_6[[#This Row],[PO+ITEM]],工作表1!B:E,3,FALSE)</f>
        <v>#N/A</v>
      </c>
      <c r="AZ902" s="423" t="e">
        <f ca="1">VLOOKUP(表格1_6[[#This Row],[PO+ITEM]],工作表1!B:E,4,FALSE)</f>
        <v>#N/A</v>
      </c>
      <c r="BA902" s="425" t="e">
        <f ca="1">INDEX(工作表1!G:G, MATCH(表格1_6[[#This Row],[invoice number]]&amp;表格1_6[[#This Row],[invoice number2]],工作表1!G:G, 0))</f>
        <v>#N/A</v>
      </c>
      <c r="BB902" s="423" t="e">
        <f ca="1">VLOOKUP(表格1_6[[#This Row],[PO+ITEM]],工作表1!F:H,2,FALSE)</f>
        <v>#N/A</v>
      </c>
    </row>
    <row r="903" spans="1:54" ht="15.6">
      <c r="A903" s="413">
        <v>902</v>
      </c>
      <c r="B903" s="413" t="s">
        <v>3659</v>
      </c>
      <c r="C903" s="414" t="s">
        <v>17</v>
      </c>
      <c r="D903" s="414" t="s">
        <v>3648</v>
      </c>
      <c r="E903" s="414"/>
      <c r="F903" s="414"/>
      <c r="G903" s="414"/>
      <c r="H903" s="414"/>
      <c r="I903" s="414"/>
      <c r="J903" s="414"/>
      <c r="K903" s="414"/>
      <c r="L903" s="415" t="s">
        <v>5781</v>
      </c>
      <c r="M903" s="416" t="s">
        <v>2999</v>
      </c>
      <c r="N903" s="416" t="s">
        <v>2999</v>
      </c>
      <c r="O903" s="417"/>
      <c r="P903" s="416">
        <v>4590007925</v>
      </c>
      <c r="Q903" s="418">
        <v>44867</v>
      </c>
      <c r="R903" s="419">
        <v>4</v>
      </c>
      <c r="S903" s="458">
        <v>193273.93</v>
      </c>
      <c r="T903" s="420" t="s">
        <v>2156</v>
      </c>
      <c r="U903" s="414" t="s">
        <v>3913</v>
      </c>
      <c r="V903" s="414" t="s">
        <v>3914</v>
      </c>
      <c r="W903" s="417" t="s">
        <v>3915</v>
      </c>
      <c r="X903" s="417"/>
      <c r="Y903" s="421" t="s">
        <v>3652</v>
      </c>
      <c r="Z903" s="421" t="s">
        <v>3652</v>
      </c>
      <c r="AA903" s="416" t="s">
        <v>5299</v>
      </c>
      <c r="AB903" s="414" t="s">
        <v>5614</v>
      </c>
      <c r="AC903" s="426"/>
      <c r="AD903" s="421"/>
      <c r="AE903" s="420"/>
      <c r="AF903" s="421">
        <v>91208</v>
      </c>
      <c r="AG903" s="420" t="s">
        <v>5782</v>
      </c>
      <c r="AH903" s="421" t="s">
        <v>3918</v>
      </c>
      <c r="AI903" s="420" t="s">
        <v>3919</v>
      </c>
      <c r="AJ903" s="413" t="str">
        <f t="shared" si="58"/>
        <v>4590007925_004</v>
      </c>
      <c r="AK903" s="423"/>
      <c r="AL903" s="424">
        <v>44958</v>
      </c>
      <c r="AM903" s="221">
        <v>77309.572</v>
      </c>
      <c r="AN903" s="226">
        <v>45015</v>
      </c>
      <c r="AO903" s="423"/>
      <c r="AP903" s="413"/>
      <c r="AQ903" s="222"/>
      <c r="AR903" s="424"/>
      <c r="AS903" s="614">
        <f ca="1">表格1_6[[#This Row],[total amount]]/表格1_6[[#This Row],[PO$]]</f>
        <v>0.4</v>
      </c>
      <c r="AT903" s="223">
        <f ca="1">表格1_6[[#This Row],[invoice amount]]+表格1_6[[#This Row],[invoice amount2]]</f>
        <v>77309.572</v>
      </c>
      <c r="AU903" s="224" t="s">
        <v>3673</v>
      </c>
      <c r="AV903" s="423"/>
      <c r="AW903" s="423" t="e">
        <f ca="1">VLOOKUP(表格1_6[[#This Row],[TI tool ID2]],工作表1!A:A,1,FALSE)</f>
        <v>#N/A</v>
      </c>
      <c r="AX903" s="425" t="e">
        <f ca="1">VLOOKUP(表格1_6[[#This Row],[PO+ITEM]],工作表1!B:E,2,FALSE)</f>
        <v>#N/A</v>
      </c>
      <c r="AY903" s="425" t="e">
        <f ca="1">VLOOKUP(表格1_6[[#This Row],[PO+ITEM]],工作表1!B:E,3,FALSE)</f>
        <v>#N/A</v>
      </c>
      <c r="AZ903" s="423" t="e">
        <f ca="1">VLOOKUP(表格1_6[[#This Row],[PO+ITEM]],工作表1!B:E,4,FALSE)</f>
        <v>#N/A</v>
      </c>
      <c r="BA903" s="425" t="e">
        <f ca="1">INDEX(工作表1!G:G, MATCH(表格1_6[[#This Row],[invoice number]]&amp;表格1_6[[#This Row],[invoice number2]],工作表1!G:G, 0))</f>
        <v>#N/A</v>
      </c>
      <c r="BB903" s="423" t="e">
        <f ca="1">VLOOKUP(表格1_6[[#This Row],[PO+ITEM]],工作表1!F:H,2,FALSE)</f>
        <v>#N/A</v>
      </c>
    </row>
    <row r="904" spans="1:54" ht="15.6">
      <c r="A904" s="413">
        <v>903</v>
      </c>
      <c r="B904" s="413" t="s">
        <v>3674</v>
      </c>
      <c r="C904" s="414" t="s">
        <v>17</v>
      </c>
      <c r="D904" s="414" t="s">
        <v>3648</v>
      </c>
      <c r="E904" s="414"/>
      <c r="F904" s="414"/>
      <c r="G904" s="414"/>
      <c r="H904" s="414"/>
      <c r="I904" s="414"/>
      <c r="J904" s="414"/>
      <c r="K904" s="414"/>
      <c r="L904" s="415" t="s">
        <v>5783</v>
      </c>
      <c r="M904" s="416" t="s">
        <v>2999</v>
      </c>
      <c r="N904" s="416" t="s">
        <v>2999</v>
      </c>
      <c r="O904" s="417"/>
      <c r="P904" s="416">
        <v>4590007925</v>
      </c>
      <c r="Q904" s="418">
        <v>44867</v>
      </c>
      <c r="R904" s="419">
        <v>5</v>
      </c>
      <c r="S904" s="458">
        <v>193273.93</v>
      </c>
      <c r="T904" s="420" t="s">
        <v>2156</v>
      </c>
      <c r="U904" s="414" t="s">
        <v>3913</v>
      </c>
      <c r="V904" s="414" t="s">
        <v>3914</v>
      </c>
      <c r="W904" s="417" t="s">
        <v>3915</v>
      </c>
      <c r="X904" s="417"/>
      <c r="Y904" s="421" t="s">
        <v>3652</v>
      </c>
      <c r="Z904" s="421" t="s">
        <v>3652</v>
      </c>
      <c r="AA904" s="416" t="s">
        <v>5299</v>
      </c>
      <c r="AB904" s="414" t="s">
        <v>5614</v>
      </c>
      <c r="AC904" s="426"/>
      <c r="AD904" s="421"/>
      <c r="AE904" s="420"/>
      <c r="AF904" s="421">
        <v>90720</v>
      </c>
      <c r="AG904" s="420" t="s">
        <v>5784</v>
      </c>
      <c r="AH904" s="421" t="s">
        <v>3918</v>
      </c>
      <c r="AI904" s="420" t="s">
        <v>3919</v>
      </c>
      <c r="AJ904" s="413" t="str">
        <f t="shared" si="58"/>
        <v>4590007925_005</v>
      </c>
      <c r="AK904" s="423"/>
      <c r="AL904" s="424">
        <v>44958</v>
      </c>
      <c r="AM904" s="221">
        <v>77309.572</v>
      </c>
      <c r="AN904" s="226">
        <v>45015</v>
      </c>
      <c r="AO904" s="423" t="s">
        <v>5785</v>
      </c>
      <c r="AP904" s="424">
        <v>45436</v>
      </c>
      <c r="AQ904" s="222">
        <v>115964.35799999999</v>
      </c>
      <c r="AR904" s="424">
        <v>45548</v>
      </c>
      <c r="AS904" s="614">
        <f ca="1">表格1_6[[#This Row],[total amount]]/表格1_6[[#This Row],[PO$]]</f>
        <v>1</v>
      </c>
      <c r="AT904" s="223">
        <f ca="1">表格1_6[[#This Row],[invoice amount]]+表格1_6[[#This Row],[invoice amount2]]</f>
        <v>193273.93</v>
      </c>
      <c r="AU904" s="224" t="s">
        <v>3725</v>
      </c>
      <c r="AV904" s="423"/>
      <c r="AW904" s="423" t="e">
        <f ca="1">VLOOKUP(表格1_6[[#This Row],[TI tool ID2]],工作表1!A:A,1,FALSE)</f>
        <v>#N/A</v>
      </c>
      <c r="AX904" s="425" t="e">
        <f ca="1">VLOOKUP(表格1_6[[#This Row],[PO+ITEM]],工作表1!B:E,2,FALSE)</f>
        <v>#N/A</v>
      </c>
      <c r="AY904" s="425" t="e">
        <f ca="1">VLOOKUP(表格1_6[[#This Row],[PO+ITEM]],工作表1!B:E,3,FALSE)</f>
        <v>#N/A</v>
      </c>
      <c r="AZ904" s="423" t="e">
        <f ca="1">VLOOKUP(表格1_6[[#This Row],[PO+ITEM]],工作表1!B:E,4,FALSE)</f>
        <v>#N/A</v>
      </c>
      <c r="BA904" s="425" t="e">
        <f ca="1">INDEX(工作表1!G:G, MATCH(表格1_6[[#This Row],[invoice number]]&amp;表格1_6[[#This Row],[invoice number2]],工作表1!G:G, 0))</f>
        <v>#N/A</v>
      </c>
      <c r="BB904" s="423" t="e">
        <f ca="1">VLOOKUP(表格1_6[[#This Row],[PO+ITEM]],工作表1!F:H,2,FALSE)</f>
        <v>#N/A</v>
      </c>
    </row>
    <row r="905" spans="1:54" ht="15.6">
      <c r="A905" s="413">
        <v>904</v>
      </c>
      <c r="B905" s="413" t="s">
        <v>3659</v>
      </c>
      <c r="C905" s="414" t="s">
        <v>17</v>
      </c>
      <c r="D905" s="414" t="s">
        <v>3648</v>
      </c>
      <c r="E905" s="414"/>
      <c r="F905" s="414"/>
      <c r="G905" s="414"/>
      <c r="H905" s="414"/>
      <c r="I905" s="414"/>
      <c r="J905" s="414"/>
      <c r="K905" s="414"/>
      <c r="L905" s="415" t="s">
        <v>5786</v>
      </c>
      <c r="M905" s="416" t="s">
        <v>2999</v>
      </c>
      <c r="N905" s="416" t="s">
        <v>2999</v>
      </c>
      <c r="O905" s="417"/>
      <c r="P905" s="416">
        <v>4590007925</v>
      </c>
      <c r="Q905" s="418">
        <v>44867</v>
      </c>
      <c r="R905" s="419">
        <v>6</v>
      </c>
      <c r="S905" s="458">
        <v>193273.93</v>
      </c>
      <c r="T905" s="420" t="s">
        <v>2156</v>
      </c>
      <c r="U905" s="414" t="s">
        <v>3913</v>
      </c>
      <c r="V905" s="414" t="s">
        <v>3914</v>
      </c>
      <c r="W905" s="417" t="s">
        <v>3915</v>
      </c>
      <c r="X905" s="417"/>
      <c r="Y905" s="421" t="s">
        <v>3652</v>
      </c>
      <c r="Z905" s="421" t="s">
        <v>3652</v>
      </c>
      <c r="AA905" s="416" t="s">
        <v>5299</v>
      </c>
      <c r="AB905" s="414" t="s">
        <v>5614</v>
      </c>
      <c r="AC905" s="426"/>
      <c r="AD905" s="421"/>
      <c r="AE905" s="420"/>
      <c r="AF905" s="421">
        <v>90721</v>
      </c>
      <c r="AG905" s="420" t="s">
        <v>5787</v>
      </c>
      <c r="AH905" s="421" t="s">
        <v>3918</v>
      </c>
      <c r="AI905" s="420" t="s">
        <v>3919</v>
      </c>
      <c r="AJ905" s="413" t="str">
        <f t="shared" si="58"/>
        <v>4590007925_006</v>
      </c>
      <c r="AK905" s="423"/>
      <c r="AL905" s="424">
        <v>44958</v>
      </c>
      <c r="AM905" s="221">
        <v>77309.572</v>
      </c>
      <c r="AN905" s="226">
        <v>45015</v>
      </c>
      <c r="AO905" s="423"/>
      <c r="AP905" s="413"/>
      <c r="AQ905" s="222"/>
      <c r="AR905" s="424"/>
      <c r="AS905" s="614">
        <f ca="1">表格1_6[[#This Row],[total amount]]/表格1_6[[#This Row],[PO$]]</f>
        <v>0.4</v>
      </c>
      <c r="AT905" s="223">
        <f ca="1">表格1_6[[#This Row],[invoice amount]]+表格1_6[[#This Row],[invoice amount2]]</f>
        <v>77309.572</v>
      </c>
      <c r="AU905" s="224" t="s">
        <v>3673</v>
      </c>
      <c r="AV905" s="423"/>
      <c r="AW905" s="423" t="e">
        <f ca="1">VLOOKUP(表格1_6[[#This Row],[TI tool ID2]],工作表1!A:A,1,FALSE)</f>
        <v>#N/A</v>
      </c>
      <c r="AX905" s="425" t="e">
        <f ca="1">VLOOKUP(表格1_6[[#This Row],[PO+ITEM]],工作表1!B:E,2,FALSE)</f>
        <v>#N/A</v>
      </c>
      <c r="AY905" s="425" t="e">
        <f ca="1">VLOOKUP(表格1_6[[#This Row],[PO+ITEM]],工作表1!B:E,3,FALSE)</f>
        <v>#N/A</v>
      </c>
      <c r="AZ905" s="423" t="e">
        <f ca="1">VLOOKUP(表格1_6[[#This Row],[PO+ITEM]],工作表1!B:E,4,FALSE)</f>
        <v>#N/A</v>
      </c>
      <c r="BA905" s="425" t="e">
        <f ca="1">INDEX(工作表1!G:G, MATCH(表格1_6[[#This Row],[invoice number]]&amp;表格1_6[[#This Row],[invoice number2]],工作表1!G:G, 0))</f>
        <v>#N/A</v>
      </c>
      <c r="BB905" s="423" t="e">
        <f ca="1">VLOOKUP(表格1_6[[#This Row],[PO+ITEM]],工作表1!F:H,2,FALSE)</f>
        <v>#N/A</v>
      </c>
    </row>
    <row r="906" spans="1:54" ht="15.6">
      <c r="A906" s="413">
        <v>905</v>
      </c>
      <c r="B906" s="413" t="s">
        <v>3674</v>
      </c>
      <c r="C906" s="414" t="s">
        <v>17</v>
      </c>
      <c r="D906" s="414" t="s">
        <v>3648</v>
      </c>
      <c r="E906" s="414"/>
      <c r="F906" s="414"/>
      <c r="G906" s="414"/>
      <c r="H906" s="414"/>
      <c r="I906" s="414"/>
      <c r="J906" s="414"/>
      <c r="K906" s="414"/>
      <c r="L906" s="415" t="s">
        <v>5788</v>
      </c>
      <c r="M906" s="416" t="s">
        <v>2999</v>
      </c>
      <c r="N906" s="416" t="s">
        <v>2999</v>
      </c>
      <c r="O906" s="417"/>
      <c r="P906" s="416">
        <v>4590007939</v>
      </c>
      <c r="Q906" s="418">
        <v>44867</v>
      </c>
      <c r="R906" s="419">
        <v>1</v>
      </c>
      <c r="S906" s="458">
        <v>128685</v>
      </c>
      <c r="T906" s="420" t="s">
        <v>2156</v>
      </c>
      <c r="U906" s="414" t="s">
        <v>3913</v>
      </c>
      <c r="V906" s="414" t="s">
        <v>3914</v>
      </c>
      <c r="W906" s="417" t="s">
        <v>3915</v>
      </c>
      <c r="X906" s="417"/>
      <c r="Y906" s="421" t="s">
        <v>3652</v>
      </c>
      <c r="Z906" s="421" t="s">
        <v>3652</v>
      </c>
      <c r="AA906" s="416"/>
      <c r="AB906" s="414" t="s">
        <v>5614</v>
      </c>
      <c r="AC906" s="426"/>
      <c r="AD906" s="421"/>
      <c r="AE906" s="420"/>
      <c r="AF906" s="421">
        <v>90731</v>
      </c>
      <c r="AG906" s="420" t="s">
        <v>5789</v>
      </c>
      <c r="AH906" s="421" t="s">
        <v>3918</v>
      </c>
      <c r="AI906" s="420" t="s">
        <v>3919</v>
      </c>
      <c r="AJ906" s="413" t="str">
        <f t="shared" si="58"/>
        <v>4590007939_001</v>
      </c>
      <c r="AK906" s="423"/>
      <c r="AL906" s="424">
        <v>44958</v>
      </c>
      <c r="AM906" s="221">
        <v>51474</v>
      </c>
      <c r="AN906" s="226">
        <v>45015</v>
      </c>
      <c r="AO906" s="423" t="s">
        <v>5790</v>
      </c>
      <c r="AP906" s="424">
        <v>45436</v>
      </c>
      <c r="AQ906" s="222">
        <v>77211</v>
      </c>
      <c r="AR906" s="424" t="s">
        <v>3805</v>
      </c>
      <c r="AS906" s="614">
        <f ca="1">表格1_6[[#This Row],[total amount]]/表格1_6[[#This Row],[PO$]]</f>
        <v>1</v>
      </c>
      <c r="AT906" s="223">
        <f ca="1">表格1_6[[#This Row],[invoice amount]]+表格1_6[[#This Row],[invoice amount2]]</f>
        <v>128685</v>
      </c>
      <c r="AU906" s="224" t="s">
        <v>4371</v>
      </c>
      <c r="AV906" s="423"/>
      <c r="AW906" s="423" t="e">
        <f ca="1">VLOOKUP(表格1_6[[#This Row],[TI tool ID2]],工作表1!A:A,1,FALSE)</f>
        <v>#N/A</v>
      </c>
      <c r="AX906" s="425" t="e">
        <f ca="1">VLOOKUP(表格1_6[[#This Row],[PO+ITEM]],工作表1!B:E,2,FALSE)</f>
        <v>#N/A</v>
      </c>
      <c r="AY906" s="425" t="e">
        <f ca="1">VLOOKUP(表格1_6[[#This Row],[PO+ITEM]],工作表1!B:E,3,FALSE)</f>
        <v>#N/A</v>
      </c>
      <c r="AZ906" s="423" t="e">
        <f ca="1">VLOOKUP(表格1_6[[#This Row],[PO+ITEM]],工作表1!B:E,4,FALSE)</f>
        <v>#N/A</v>
      </c>
      <c r="BA906" s="425" t="e">
        <f ca="1">INDEX(工作表1!G:G, MATCH(表格1_6[[#This Row],[invoice number]]&amp;表格1_6[[#This Row],[invoice number2]],工作表1!G:G, 0))</f>
        <v>#N/A</v>
      </c>
      <c r="BB906" s="423" t="e">
        <f ca="1">VLOOKUP(表格1_6[[#This Row],[PO+ITEM]],工作表1!F:H,2,FALSE)</f>
        <v>#N/A</v>
      </c>
    </row>
    <row r="907" spans="1:54" ht="15.6">
      <c r="A907" s="413">
        <v>906</v>
      </c>
      <c r="B907" s="413" t="s">
        <v>3659</v>
      </c>
      <c r="C907" s="414" t="s">
        <v>17</v>
      </c>
      <c r="D907" s="414" t="s">
        <v>3648</v>
      </c>
      <c r="E907" s="414"/>
      <c r="F907" s="414"/>
      <c r="G907" s="414"/>
      <c r="H907" s="414"/>
      <c r="I907" s="414"/>
      <c r="J907" s="414"/>
      <c r="K907" s="414"/>
      <c r="L907" s="415" t="s">
        <v>5791</v>
      </c>
      <c r="M907" s="416" t="s">
        <v>2999</v>
      </c>
      <c r="N907" s="416" t="s">
        <v>2999</v>
      </c>
      <c r="O907" s="417"/>
      <c r="P907" s="416">
        <v>4590007939</v>
      </c>
      <c r="Q907" s="418">
        <v>44867</v>
      </c>
      <c r="R907" s="419">
        <v>2</v>
      </c>
      <c r="S907" s="458">
        <v>128685</v>
      </c>
      <c r="T907" s="420" t="s">
        <v>2156</v>
      </c>
      <c r="U907" s="414" t="s">
        <v>3913</v>
      </c>
      <c r="V907" s="414" t="s">
        <v>3914</v>
      </c>
      <c r="W907" s="417" t="s">
        <v>3915</v>
      </c>
      <c r="X907" s="417"/>
      <c r="Y907" s="421" t="s">
        <v>3652</v>
      </c>
      <c r="Z907" s="421" t="s">
        <v>3652</v>
      </c>
      <c r="AA907" s="416"/>
      <c r="AB907" s="414" t="s">
        <v>5614</v>
      </c>
      <c r="AC907" s="426"/>
      <c r="AD907" s="421"/>
      <c r="AE907" s="420"/>
      <c r="AF907" s="421">
        <v>90732</v>
      </c>
      <c r="AG907" s="420" t="s">
        <v>5792</v>
      </c>
      <c r="AH907" s="421" t="s">
        <v>3918</v>
      </c>
      <c r="AI907" s="420" t="s">
        <v>3919</v>
      </c>
      <c r="AJ907" s="413" t="str">
        <f t="shared" si="58"/>
        <v>4590007939_002</v>
      </c>
      <c r="AK907" s="423"/>
      <c r="AL907" s="424">
        <v>44958</v>
      </c>
      <c r="AM907" s="221">
        <v>51474</v>
      </c>
      <c r="AN907" s="226">
        <v>45015</v>
      </c>
      <c r="AO907" s="423"/>
      <c r="AP907" s="413"/>
      <c r="AQ907" s="222"/>
      <c r="AR907" s="424"/>
      <c r="AS907" s="614">
        <f ca="1">表格1_6[[#This Row],[total amount]]/表格1_6[[#This Row],[PO$]]</f>
        <v>0.4</v>
      </c>
      <c r="AT907" s="223">
        <f ca="1">表格1_6[[#This Row],[invoice amount]]+表格1_6[[#This Row],[invoice amount2]]</f>
        <v>51474</v>
      </c>
      <c r="AU907" s="224" t="s">
        <v>3673</v>
      </c>
      <c r="AV907" s="423"/>
      <c r="AW907" s="423" t="e">
        <f ca="1">VLOOKUP(表格1_6[[#This Row],[TI tool ID2]],工作表1!A:A,1,FALSE)</f>
        <v>#N/A</v>
      </c>
      <c r="AX907" s="425" t="e">
        <f ca="1">VLOOKUP(表格1_6[[#This Row],[PO+ITEM]],工作表1!B:E,2,FALSE)</f>
        <v>#N/A</v>
      </c>
      <c r="AY907" s="425" t="e">
        <f ca="1">VLOOKUP(表格1_6[[#This Row],[PO+ITEM]],工作表1!B:E,3,FALSE)</f>
        <v>#N/A</v>
      </c>
      <c r="AZ907" s="423" t="e">
        <f ca="1">VLOOKUP(表格1_6[[#This Row],[PO+ITEM]],工作表1!B:E,4,FALSE)</f>
        <v>#N/A</v>
      </c>
      <c r="BA907" s="425" t="e">
        <f ca="1">INDEX(工作表1!G:G, MATCH(表格1_6[[#This Row],[invoice number]]&amp;表格1_6[[#This Row],[invoice number2]],工作表1!G:G, 0))</f>
        <v>#N/A</v>
      </c>
      <c r="BB907" s="423" t="e">
        <f ca="1">VLOOKUP(表格1_6[[#This Row],[PO+ITEM]],工作表1!F:H,2,FALSE)</f>
        <v>#N/A</v>
      </c>
    </row>
    <row r="908" spans="1:54" ht="15.6">
      <c r="A908" s="413">
        <v>907</v>
      </c>
      <c r="B908" s="413" t="s">
        <v>3674</v>
      </c>
      <c r="C908" s="414" t="s">
        <v>17</v>
      </c>
      <c r="D908" s="414" t="s">
        <v>3648</v>
      </c>
      <c r="E908" s="414"/>
      <c r="F908" s="414"/>
      <c r="G908" s="414"/>
      <c r="H908" s="414"/>
      <c r="I908" s="414"/>
      <c r="J908" s="414"/>
      <c r="K908" s="414"/>
      <c r="L908" s="415" t="s">
        <v>5793</v>
      </c>
      <c r="M908" s="416" t="s">
        <v>2999</v>
      </c>
      <c r="N908" s="416" t="s">
        <v>2999</v>
      </c>
      <c r="O908" s="417"/>
      <c r="P908" s="416">
        <v>4590007939</v>
      </c>
      <c r="Q908" s="418">
        <v>44867</v>
      </c>
      <c r="R908" s="419">
        <v>3</v>
      </c>
      <c r="S908" s="458">
        <v>128685</v>
      </c>
      <c r="T908" s="420" t="s">
        <v>2156</v>
      </c>
      <c r="U908" s="414" t="s">
        <v>3913</v>
      </c>
      <c r="V908" s="414" t="s">
        <v>3914</v>
      </c>
      <c r="W908" s="417" t="s">
        <v>3915</v>
      </c>
      <c r="X908" s="417"/>
      <c r="Y908" s="421" t="s">
        <v>3652</v>
      </c>
      <c r="Z908" s="421" t="s">
        <v>3652</v>
      </c>
      <c r="AA908" s="416"/>
      <c r="AB908" s="414" t="s">
        <v>5614</v>
      </c>
      <c r="AC908" s="426"/>
      <c r="AD908" s="421"/>
      <c r="AE908" s="420"/>
      <c r="AF908" s="421">
        <v>90725</v>
      </c>
      <c r="AG908" s="420" t="s">
        <v>5794</v>
      </c>
      <c r="AH908" s="421" t="s">
        <v>3918</v>
      </c>
      <c r="AI908" s="420" t="s">
        <v>3919</v>
      </c>
      <c r="AJ908" s="413" t="str">
        <f t="shared" si="58"/>
        <v>4590007939_003</v>
      </c>
      <c r="AK908" s="423"/>
      <c r="AL908" s="424">
        <v>44958</v>
      </c>
      <c r="AM908" s="221">
        <v>51474</v>
      </c>
      <c r="AN908" s="226">
        <v>45015</v>
      </c>
      <c r="AO908" s="423" t="s">
        <v>5795</v>
      </c>
      <c r="AP908" s="424">
        <v>45436</v>
      </c>
      <c r="AQ908" s="222">
        <v>77211</v>
      </c>
      <c r="AR908" s="424" t="s">
        <v>3805</v>
      </c>
      <c r="AS908" s="614">
        <f ca="1">表格1_6[[#This Row],[total amount]]/表格1_6[[#This Row],[PO$]]</f>
        <v>1</v>
      </c>
      <c r="AT908" s="223">
        <f ca="1">表格1_6[[#This Row],[invoice amount]]+表格1_6[[#This Row],[invoice amount2]]</f>
        <v>128685</v>
      </c>
      <c r="AU908" s="224" t="s">
        <v>4371</v>
      </c>
      <c r="AV908" s="423"/>
      <c r="AW908" s="423" t="e">
        <f ca="1">VLOOKUP(表格1_6[[#This Row],[TI tool ID2]],工作表1!A:A,1,FALSE)</f>
        <v>#N/A</v>
      </c>
      <c r="AX908" s="425" t="e">
        <f ca="1">VLOOKUP(表格1_6[[#This Row],[PO+ITEM]],工作表1!B:E,2,FALSE)</f>
        <v>#N/A</v>
      </c>
      <c r="AY908" s="425" t="e">
        <f ca="1">VLOOKUP(表格1_6[[#This Row],[PO+ITEM]],工作表1!B:E,3,FALSE)</f>
        <v>#N/A</v>
      </c>
      <c r="AZ908" s="423" t="e">
        <f ca="1">VLOOKUP(表格1_6[[#This Row],[PO+ITEM]],工作表1!B:E,4,FALSE)</f>
        <v>#N/A</v>
      </c>
      <c r="BA908" s="425" t="e">
        <f ca="1">INDEX(工作表1!G:G, MATCH(表格1_6[[#This Row],[invoice number]]&amp;表格1_6[[#This Row],[invoice number2]],工作表1!G:G, 0))</f>
        <v>#N/A</v>
      </c>
      <c r="BB908" s="423" t="e">
        <f ca="1">VLOOKUP(表格1_6[[#This Row],[PO+ITEM]],工作表1!F:H,2,FALSE)</f>
        <v>#N/A</v>
      </c>
    </row>
    <row r="909" spans="1:54" ht="15.6">
      <c r="A909" s="413">
        <v>908</v>
      </c>
      <c r="B909" s="413" t="s">
        <v>3674</v>
      </c>
      <c r="C909" s="414" t="s">
        <v>17</v>
      </c>
      <c r="D909" s="414" t="s">
        <v>3648</v>
      </c>
      <c r="E909" s="414"/>
      <c r="F909" s="414"/>
      <c r="G909" s="414"/>
      <c r="H909" s="414"/>
      <c r="I909" s="414"/>
      <c r="J909" s="414"/>
      <c r="K909" s="414"/>
      <c r="L909" s="420" t="s">
        <v>5796</v>
      </c>
      <c r="M909" s="416" t="s">
        <v>2999</v>
      </c>
      <c r="N909" s="416" t="s">
        <v>2999</v>
      </c>
      <c r="O909" s="417"/>
      <c r="P909" s="416">
        <v>4590007939</v>
      </c>
      <c r="Q909" s="418">
        <v>44867</v>
      </c>
      <c r="R909" s="419">
        <v>4</v>
      </c>
      <c r="S909" s="458">
        <v>128685</v>
      </c>
      <c r="T909" s="420" t="s">
        <v>2156</v>
      </c>
      <c r="U909" s="414" t="s">
        <v>3913</v>
      </c>
      <c r="V909" s="414" t="s">
        <v>3914</v>
      </c>
      <c r="W909" s="417" t="s">
        <v>3915</v>
      </c>
      <c r="X909" s="417"/>
      <c r="Y909" s="421" t="s">
        <v>3652</v>
      </c>
      <c r="Z909" s="421" t="s">
        <v>3652</v>
      </c>
      <c r="AA909" s="416"/>
      <c r="AB909" s="414" t="s">
        <v>5614</v>
      </c>
      <c r="AC909" s="426"/>
      <c r="AD909" s="421"/>
      <c r="AE909" s="420"/>
      <c r="AF909" s="421">
        <v>90726</v>
      </c>
      <c r="AG909" s="420" t="s">
        <v>5797</v>
      </c>
      <c r="AH909" s="421" t="s">
        <v>3918</v>
      </c>
      <c r="AI909" s="420" t="s">
        <v>3919</v>
      </c>
      <c r="AJ909" s="413" t="str">
        <f t="shared" si="58"/>
        <v>4590007939_004</v>
      </c>
      <c r="AK909" s="423"/>
      <c r="AL909" s="424">
        <v>44958</v>
      </c>
      <c r="AM909" s="221">
        <v>51474</v>
      </c>
      <c r="AN909" s="226">
        <v>45015</v>
      </c>
      <c r="AO909" s="423" t="s">
        <v>5798</v>
      </c>
      <c r="AP909" s="424">
        <v>45464</v>
      </c>
      <c r="AQ909" s="222">
        <v>77211</v>
      </c>
      <c r="AR909" s="424" t="s">
        <v>3805</v>
      </c>
      <c r="AS909" s="614">
        <f ca="1">表格1_6[[#This Row],[total amount]]/表格1_6[[#This Row],[PO$]]</f>
        <v>1</v>
      </c>
      <c r="AT909" s="223">
        <f ca="1">表格1_6[[#This Row],[invoice amount]]+表格1_6[[#This Row],[invoice amount2]]</f>
        <v>128685</v>
      </c>
      <c r="AU909" s="224" t="s">
        <v>4235</v>
      </c>
      <c r="AV909" s="423"/>
      <c r="AW909" s="423" t="e">
        <f ca="1">VLOOKUP(表格1_6[[#This Row],[TI tool ID2]],工作表1!A:A,1,FALSE)</f>
        <v>#N/A</v>
      </c>
      <c r="AX909" s="425" t="e">
        <f ca="1">VLOOKUP(表格1_6[[#This Row],[PO+ITEM]],工作表1!B:E,2,FALSE)</f>
        <v>#N/A</v>
      </c>
      <c r="AY909" s="425" t="e">
        <f ca="1">VLOOKUP(表格1_6[[#This Row],[PO+ITEM]],工作表1!B:E,3,FALSE)</f>
        <v>#N/A</v>
      </c>
      <c r="AZ909" s="423" t="e">
        <f ca="1">VLOOKUP(表格1_6[[#This Row],[PO+ITEM]],工作表1!B:E,4,FALSE)</f>
        <v>#N/A</v>
      </c>
      <c r="BA909" s="425" t="e">
        <f ca="1">INDEX(工作表1!G:G, MATCH(表格1_6[[#This Row],[invoice number]]&amp;表格1_6[[#This Row],[invoice number2]],工作表1!G:G, 0))</f>
        <v>#N/A</v>
      </c>
      <c r="BB909" s="423" t="e">
        <f ca="1">VLOOKUP(表格1_6[[#This Row],[PO+ITEM]],工作表1!F:H,2,FALSE)</f>
        <v>#N/A</v>
      </c>
    </row>
    <row r="910" spans="1:54" ht="15.6">
      <c r="A910" s="413">
        <v>909</v>
      </c>
      <c r="B910" s="413" t="s">
        <v>3659</v>
      </c>
      <c r="C910" s="414" t="s">
        <v>17</v>
      </c>
      <c r="D910" s="414" t="s">
        <v>3648</v>
      </c>
      <c r="E910" s="414"/>
      <c r="F910" s="414"/>
      <c r="G910" s="414"/>
      <c r="H910" s="414"/>
      <c r="I910" s="414"/>
      <c r="J910" s="414"/>
      <c r="K910" s="414"/>
      <c r="L910" s="415" t="s">
        <v>5799</v>
      </c>
      <c r="M910" s="416" t="s">
        <v>2999</v>
      </c>
      <c r="N910" s="416" t="s">
        <v>2999</v>
      </c>
      <c r="O910" s="417"/>
      <c r="P910" s="416">
        <v>4590007939</v>
      </c>
      <c r="Q910" s="418">
        <v>44867</v>
      </c>
      <c r="R910" s="419">
        <v>5</v>
      </c>
      <c r="S910" s="458">
        <v>128685</v>
      </c>
      <c r="T910" s="420" t="s">
        <v>2156</v>
      </c>
      <c r="U910" s="414" t="s">
        <v>3913</v>
      </c>
      <c r="V910" s="414" t="s">
        <v>3914</v>
      </c>
      <c r="W910" s="417" t="s">
        <v>3915</v>
      </c>
      <c r="X910" s="417"/>
      <c r="Y910" s="421" t="s">
        <v>3652</v>
      </c>
      <c r="Z910" s="421" t="s">
        <v>3652</v>
      </c>
      <c r="AA910" s="416" t="s">
        <v>5800</v>
      </c>
      <c r="AB910" s="414" t="s">
        <v>5614</v>
      </c>
      <c r="AC910" s="426"/>
      <c r="AD910" s="421"/>
      <c r="AE910" s="420"/>
      <c r="AF910" s="421">
        <v>90992</v>
      </c>
      <c r="AG910" s="420" t="s">
        <v>5801</v>
      </c>
      <c r="AH910" s="421" t="s">
        <v>3918</v>
      </c>
      <c r="AI910" s="420" t="s">
        <v>3919</v>
      </c>
      <c r="AJ910" s="413" t="str">
        <f t="shared" ref="AJ910:AJ946" si="59">P910&amp;"_00"&amp;R910</f>
        <v>4590007939_005</v>
      </c>
      <c r="AK910" s="423"/>
      <c r="AL910" s="424">
        <v>44958</v>
      </c>
      <c r="AM910" s="221">
        <v>51474</v>
      </c>
      <c r="AN910" s="226">
        <v>45015</v>
      </c>
      <c r="AO910" s="423"/>
      <c r="AP910" s="413"/>
      <c r="AQ910" s="222"/>
      <c r="AR910" s="424"/>
      <c r="AS910" s="614">
        <f ca="1">表格1_6[[#This Row],[total amount]]/表格1_6[[#This Row],[PO$]]</f>
        <v>0.4</v>
      </c>
      <c r="AT910" s="223">
        <f ca="1">表格1_6[[#This Row],[invoice amount]]+表格1_6[[#This Row],[invoice amount2]]</f>
        <v>51474</v>
      </c>
      <c r="AU910" s="224" t="s">
        <v>3673</v>
      </c>
      <c r="AV910" s="423"/>
      <c r="AW910" s="423" t="e">
        <f ca="1">VLOOKUP(表格1_6[[#This Row],[TI tool ID2]],工作表1!A:A,1,FALSE)</f>
        <v>#N/A</v>
      </c>
      <c r="AX910" s="425" t="e">
        <f ca="1">VLOOKUP(表格1_6[[#This Row],[PO+ITEM]],工作表1!B:E,2,FALSE)</f>
        <v>#N/A</v>
      </c>
      <c r="AY910" s="425" t="e">
        <f ca="1">VLOOKUP(表格1_6[[#This Row],[PO+ITEM]],工作表1!B:E,3,FALSE)</f>
        <v>#N/A</v>
      </c>
      <c r="AZ910" s="423" t="e">
        <f ca="1">VLOOKUP(表格1_6[[#This Row],[PO+ITEM]],工作表1!B:E,4,FALSE)</f>
        <v>#N/A</v>
      </c>
      <c r="BA910" s="425" t="e">
        <f ca="1">INDEX(工作表1!G:G, MATCH(表格1_6[[#This Row],[invoice number]]&amp;表格1_6[[#This Row],[invoice number2]],工作表1!G:G, 0))</f>
        <v>#N/A</v>
      </c>
      <c r="BB910" s="423" t="e">
        <f ca="1">VLOOKUP(表格1_6[[#This Row],[PO+ITEM]],工作表1!F:H,2,FALSE)</f>
        <v>#N/A</v>
      </c>
    </row>
    <row r="911" spans="1:54" ht="15.6">
      <c r="A911" s="413">
        <v>910</v>
      </c>
      <c r="B911" s="413" t="s">
        <v>3674</v>
      </c>
      <c r="C911" s="414" t="s">
        <v>17</v>
      </c>
      <c r="D911" s="414" t="s">
        <v>3648</v>
      </c>
      <c r="E911" s="414"/>
      <c r="F911" s="414"/>
      <c r="G911" s="414"/>
      <c r="H911" s="414"/>
      <c r="I911" s="414"/>
      <c r="J911" s="414"/>
      <c r="K911" s="414"/>
      <c r="L911" s="415" t="s">
        <v>5802</v>
      </c>
      <c r="M911" s="416" t="s">
        <v>2999</v>
      </c>
      <c r="N911" s="416" t="s">
        <v>2999</v>
      </c>
      <c r="O911" s="417"/>
      <c r="P911" s="416">
        <v>4590007939</v>
      </c>
      <c r="Q911" s="418">
        <v>44867</v>
      </c>
      <c r="R911" s="419">
        <v>6</v>
      </c>
      <c r="S911" s="458">
        <v>128685</v>
      </c>
      <c r="T911" s="420" t="s">
        <v>2156</v>
      </c>
      <c r="U911" s="414" t="s">
        <v>3913</v>
      </c>
      <c r="V911" s="414" t="s">
        <v>3914</v>
      </c>
      <c r="W911" s="417" t="s">
        <v>3915</v>
      </c>
      <c r="X911" s="417"/>
      <c r="Y911" s="421" t="s">
        <v>3652</v>
      </c>
      <c r="Z911" s="421" t="s">
        <v>3652</v>
      </c>
      <c r="AA911" s="416"/>
      <c r="AB911" s="414" t="s">
        <v>5614</v>
      </c>
      <c r="AC911" s="426"/>
      <c r="AD911" s="421"/>
      <c r="AE911" s="420"/>
      <c r="AF911" s="421">
        <v>90733</v>
      </c>
      <c r="AG911" s="420" t="s">
        <v>5803</v>
      </c>
      <c r="AH911" s="421" t="s">
        <v>3918</v>
      </c>
      <c r="AI911" s="420" t="s">
        <v>3919</v>
      </c>
      <c r="AJ911" s="413" t="str">
        <f t="shared" si="59"/>
        <v>4590007939_006</v>
      </c>
      <c r="AK911" s="423"/>
      <c r="AL911" s="424">
        <v>44958</v>
      </c>
      <c r="AM911" s="221">
        <v>51474</v>
      </c>
      <c r="AN911" s="226">
        <v>45015</v>
      </c>
      <c r="AO911" s="423" t="s">
        <v>5804</v>
      </c>
      <c r="AP911" s="424">
        <v>45429</v>
      </c>
      <c r="AQ911" s="222">
        <v>77211</v>
      </c>
      <c r="AR911" s="424" t="s">
        <v>3805</v>
      </c>
      <c r="AS911" s="614">
        <f ca="1">表格1_6[[#This Row],[total amount]]/表格1_6[[#This Row],[PO$]]</f>
        <v>1</v>
      </c>
      <c r="AT911" s="223">
        <f ca="1">表格1_6[[#This Row],[invoice amount]]+表格1_6[[#This Row],[invoice amount2]]</f>
        <v>128685</v>
      </c>
      <c r="AU911" s="224" t="s">
        <v>4371</v>
      </c>
      <c r="AV911" s="423"/>
      <c r="AW911" s="423" t="e">
        <f ca="1">VLOOKUP(表格1_6[[#This Row],[TI tool ID2]],工作表1!A:A,1,FALSE)</f>
        <v>#N/A</v>
      </c>
      <c r="AX911" s="425" t="e">
        <f ca="1">VLOOKUP(表格1_6[[#This Row],[PO+ITEM]],工作表1!B:E,2,FALSE)</f>
        <v>#N/A</v>
      </c>
      <c r="AY911" s="425" t="e">
        <f ca="1">VLOOKUP(表格1_6[[#This Row],[PO+ITEM]],工作表1!B:E,3,FALSE)</f>
        <v>#N/A</v>
      </c>
      <c r="AZ911" s="423" t="e">
        <f ca="1">VLOOKUP(表格1_6[[#This Row],[PO+ITEM]],工作表1!B:E,4,FALSE)</f>
        <v>#N/A</v>
      </c>
      <c r="BA911" s="425" t="e">
        <f ca="1">INDEX(工作表1!G:G, MATCH(表格1_6[[#This Row],[invoice number]]&amp;表格1_6[[#This Row],[invoice number2]],工作表1!G:G, 0))</f>
        <v>#N/A</v>
      </c>
      <c r="BB911" s="423" t="e">
        <f ca="1">VLOOKUP(表格1_6[[#This Row],[PO+ITEM]],工作表1!F:H,2,FALSE)</f>
        <v>#N/A</v>
      </c>
    </row>
    <row r="912" spans="1:54" ht="15.6">
      <c r="A912" s="413">
        <v>911</v>
      </c>
      <c r="B912" s="413" t="s">
        <v>3674</v>
      </c>
      <c r="C912" s="414" t="s">
        <v>17</v>
      </c>
      <c r="D912" s="414" t="s">
        <v>3648</v>
      </c>
      <c r="E912" s="414"/>
      <c r="F912" s="414"/>
      <c r="G912" s="414"/>
      <c r="H912" s="414"/>
      <c r="I912" s="414"/>
      <c r="J912" s="414"/>
      <c r="K912" s="414"/>
      <c r="L912" s="415" t="s">
        <v>5805</v>
      </c>
      <c r="M912" s="416" t="s">
        <v>2999</v>
      </c>
      <c r="N912" s="416" t="s">
        <v>2999</v>
      </c>
      <c r="O912" s="417"/>
      <c r="P912" s="416">
        <v>4590007940</v>
      </c>
      <c r="Q912" s="418">
        <v>44867</v>
      </c>
      <c r="R912" s="419">
        <v>1</v>
      </c>
      <c r="S912" s="458">
        <v>169912.5</v>
      </c>
      <c r="T912" s="420" t="s">
        <v>2156</v>
      </c>
      <c r="U912" s="414" t="s">
        <v>3913</v>
      </c>
      <c r="V912" s="414" t="s">
        <v>3914</v>
      </c>
      <c r="W912" s="417" t="s">
        <v>3915</v>
      </c>
      <c r="X912" s="417"/>
      <c r="Y912" s="421" t="s">
        <v>3652</v>
      </c>
      <c r="Z912" s="421" t="s">
        <v>3652</v>
      </c>
      <c r="AA912" s="416" t="s">
        <v>5714</v>
      </c>
      <c r="AB912" s="414" t="s">
        <v>5614</v>
      </c>
      <c r="AC912" s="426"/>
      <c r="AD912" s="421"/>
      <c r="AE912" s="420"/>
      <c r="AF912" s="421">
        <v>90699</v>
      </c>
      <c r="AG912" s="420" t="s">
        <v>5806</v>
      </c>
      <c r="AH912" s="421" t="s">
        <v>3918</v>
      </c>
      <c r="AI912" s="420" t="s">
        <v>3919</v>
      </c>
      <c r="AJ912" s="413" t="str">
        <f t="shared" si="59"/>
        <v>4590007940_001</v>
      </c>
      <c r="AK912" s="423"/>
      <c r="AL912" s="424">
        <v>44958</v>
      </c>
      <c r="AM912" s="221">
        <v>67965</v>
      </c>
      <c r="AN912" s="226">
        <v>45015</v>
      </c>
      <c r="AO912" s="423" t="s">
        <v>5807</v>
      </c>
      <c r="AP912" s="424">
        <v>45412</v>
      </c>
      <c r="AQ912" s="222">
        <v>101947.5</v>
      </c>
      <c r="AR912" s="424" t="s">
        <v>5710</v>
      </c>
      <c r="AS912" s="614">
        <f ca="1">表格1_6[[#This Row],[total amount]]/表格1_6[[#This Row],[PO$]]</f>
        <v>1</v>
      </c>
      <c r="AT912" s="223">
        <f ca="1">表格1_6[[#This Row],[invoice amount]]+表格1_6[[#This Row],[invoice amount2]]</f>
        <v>169912.5</v>
      </c>
      <c r="AU912" s="224" t="s">
        <v>4371</v>
      </c>
      <c r="AV912" s="423"/>
      <c r="AW912" s="423" t="e">
        <f ca="1">VLOOKUP(表格1_6[[#This Row],[TI tool ID2]],工作表1!A:A,1,FALSE)</f>
        <v>#N/A</v>
      </c>
      <c r="AX912" s="425" t="e">
        <f ca="1">VLOOKUP(表格1_6[[#This Row],[PO+ITEM]],工作表1!B:E,2,FALSE)</f>
        <v>#N/A</v>
      </c>
      <c r="AY912" s="425" t="e">
        <f ca="1">VLOOKUP(表格1_6[[#This Row],[PO+ITEM]],工作表1!B:E,3,FALSE)</f>
        <v>#N/A</v>
      </c>
      <c r="AZ912" s="423" t="e">
        <f ca="1">VLOOKUP(表格1_6[[#This Row],[PO+ITEM]],工作表1!B:E,4,FALSE)</f>
        <v>#N/A</v>
      </c>
      <c r="BA912" s="425" t="e">
        <f ca="1">INDEX(工作表1!G:G, MATCH(表格1_6[[#This Row],[invoice number]]&amp;表格1_6[[#This Row],[invoice number2]],工作表1!G:G, 0))</f>
        <v>#N/A</v>
      </c>
      <c r="BB912" s="423" t="e">
        <f ca="1">VLOOKUP(表格1_6[[#This Row],[PO+ITEM]],工作表1!F:H,2,FALSE)</f>
        <v>#N/A</v>
      </c>
    </row>
    <row r="913" spans="1:54" ht="15.6">
      <c r="A913" s="413">
        <v>912</v>
      </c>
      <c r="B913" s="413" t="s">
        <v>3659</v>
      </c>
      <c r="C913" s="414" t="s">
        <v>17</v>
      </c>
      <c r="D913" s="414" t="s">
        <v>3648</v>
      </c>
      <c r="E913" s="414"/>
      <c r="F913" s="414"/>
      <c r="G913" s="414"/>
      <c r="H913" s="414"/>
      <c r="I913" s="414"/>
      <c r="J913" s="414"/>
      <c r="K913" s="414"/>
      <c r="L913" s="420" t="s">
        <v>5808</v>
      </c>
      <c r="M913" s="416" t="s">
        <v>2999</v>
      </c>
      <c r="N913" s="416" t="s">
        <v>2999</v>
      </c>
      <c r="O913" s="417"/>
      <c r="P913" s="416">
        <v>4590007940</v>
      </c>
      <c r="Q913" s="418">
        <v>44867</v>
      </c>
      <c r="R913" s="419">
        <v>2</v>
      </c>
      <c r="S913" s="458">
        <v>169912.5</v>
      </c>
      <c r="T913" s="420" t="s">
        <v>2156</v>
      </c>
      <c r="U913" s="414" t="s">
        <v>3913</v>
      </c>
      <c r="V913" s="414" t="s">
        <v>3914</v>
      </c>
      <c r="W913" s="417" t="s">
        <v>3915</v>
      </c>
      <c r="X913" s="417"/>
      <c r="Y913" s="421" t="s">
        <v>3652</v>
      </c>
      <c r="Z913" s="421" t="s">
        <v>3652</v>
      </c>
      <c r="AA913" s="416" t="s">
        <v>5714</v>
      </c>
      <c r="AB913" s="414" t="s">
        <v>5614</v>
      </c>
      <c r="AC913" s="426"/>
      <c r="AD913" s="421"/>
      <c r="AE913" s="420"/>
      <c r="AF913" s="421">
        <v>90700</v>
      </c>
      <c r="AG913" s="420" t="s">
        <v>5809</v>
      </c>
      <c r="AH913" s="421" t="s">
        <v>3918</v>
      </c>
      <c r="AI913" s="420" t="s">
        <v>3919</v>
      </c>
      <c r="AJ913" s="413" t="str">
        <f t="shared" si="59"/>
        <v>4590007940_002</v>
      </c>
      <c r="AK913" s="423"/>
      <c r="AL913" s="424">
        <v>44958</v>
      </c>
      <c r="AM913" s="221">
        <v>67965</v>
      </c>
      <c r="AN913" s="226">
        <v>45015</v>
      </c>
      <c r="AO913" s="423"/>
      <c r="AP913" s="413"/>
      <c r="AQ913" s="222"/>
      <c r="AR913" s="424"/>
      <c r="AS913" s="614">
        <f ca="1">表格1_6[[#This Row],[total amount]]/表格1_6[[#This Row],[PO$]]</f>
        <v>0.4</v>
      </c>
      <c r="AT913" s="223">
        <f ca="1">表格1_6[[#This Row],[invoice amount]]+表格1_6[[#This Row],[invoice amount2]]</f>
        <v>67965</v>
      </c>
      <c r="AU913" s="224" t="s">
        <v>3673</v>
      </c>
      <c r="AV913" s="423"/>
      <c r="AW913" s="423" t="e">
        <f ca="1">VLOOKUP(表格1_6[[#This Row],[TI tool ID2]],工作表1!A:A,1,FALSE)</f>
        <v>#N/A</v>
      </c>
      <c r="AX913" s="425" t="e">
        <f ca="1">VLOOKUP(表格1_6[[#This Row],[PO+ITEM]],工作表1!B:E,2,FALSE)</f>
        <v>#N/A</v>
      </c>
      <c r="AY913" s="425" t="e">
        <f ca="1">VLOOKUP(表格1_6[[#This Row],[PO+ITEM]],工作表1!B:E,3,FALSE)</f>
        <v>#N/A</v>
      </c>
      <c r="AZ913" s="423" t="e">
        <f ca="1">VLOOKUP(表格1_6[[#This Row],[PO+ITEM]],工作表1!B:E,4,FALSE)</f>
        <v>#N/A</v>
      </c>
      <c r="BA913" s="425" t="e">
        <f ca="1">INDEX(工作表1!G:G, MATCH(表格1_6[[#This Row],[invoice number]]&amp;表格1_6[[#This Row],[invoice number2]],工作表1!G:G, 0))</f>
        <v>#N/A</v>
      </c>
      <c r="BB913" s="423" t="e">
        <f ca="1">VLOOKUP(表格1_6[[#This Row],[PO+ITEM]],工作表1!F:H,2,FALSE)</f>
        <v>#N/A</v>
      </c>
    </row>
    <row r="914" spans="1:54" ht="15.6">
      <c r="A914" s="413">
        <v>913</v>
      </c>
      <c r="B914" s="413" t="s">
        <v>3659</v>
      </c>
      <c r="C914" s="414" t="s">
        <v>17</v>
      </c>
      <c r="D914" s="414" t="s">
        <v>3648</v>
      </c>
      <c r="E914" s="414"/>
      <c r="F914" s="414"/>
      <c r="G914" s="414"/>
      <c r="H914" s="414"/>
      <c r="I914" s="414"/>
      <c r="J914" s="414"/>
      <c r="K914" s="414"/>
      <c r="L914" s="415" t="s">
        <v>5810</v>
      </c>
      <c r="M914" s="416" t="s">
        <v>2999</v>
      </c>
      <c r="N914" s="416" t="s">
        <v>2999</v>
      </c>
      <c r="O914" s="417"/>
      <c r="P914" s="416">
        <v>4590007940</v>
      </c>
      <c r="Q914" s="418">
        <v>44867</v>
      </c>
      <c r="R914" s="419">
        <v>3</v>
      </c>
      <c r="S914" s="458">
        <v>169912.5</v>
      </c>
      <c r="T914" s="420" t="s">
        <v>2156</v>
      </c>
      <c r="U914" s="414" t="s">
        <v>3913</v>
      </c>
      <c r="V914" s="414" t="s">
        <v>3914</v>
      </c>
      <c r="W914" s="417" t="s">
        <v>3915</v>
      </c>
      <c r="X914" s="417"/>
      <c r="Y914" s="421" t="s">
        <v>3652</v>
      </c>
      <c r="Z914" s="421" t="s">
        <v>3652</v>
      </c>
      <c r="AA914" s="416" t="s">
        <v>5714</v>
      </c>
      <c r="AB914" s="414" t="s">
        <v>5614</v>
      </c>
      <c r="AC914" s="426"/>
      <c r="AD914" s="421"/>
      <c r="AE914" s="420"/>
      <c r="AF914" s="421">
        <v>91374</v>
      </c>
      <c r="AG914" s="420" t="s">
        <v>5811</v>
      </c>
      <c r="AH914" s="421" t="s">
        <v>3918</v>
      </c>
      <c r="AI914" s="420" t="s">
        <v>3919</v>
      </c>
      <c r="AJ914" s="413" t="str">
        <f t="shared" si="59"/>
        <v>4590007940_003</v>
      </c>
      <c r="AK914" s="423"/>
      <c r="AL914" s="424">
        <v>44958</v>
      </c>
      <c r="AM914" s="221">
        <v>67965</v>
      </c>
      <c r="AN914" s="226">
        <v>45015</v>
      </c>
      <c r="AO914" s="423"/>
      <c r="AP914" s="413"/>
      <c r="AQ914" s="222"/>
      <c r="AR914" s="424"/>
      <c r="AS914" s="614">
        <f ca="1">表格1_6[[#This Row],[total amount]]/表格1_6[[#This Row],[PO$]]</f>
        <v>0.4</v>
      </c>
      <c r="AT914" s="223">
        <f ca="1">表格1_6[[#This Row],[invoice amount]]+表格1_6[[#This Row],[invoice amount2]]</f>
        <v>67965</v>
      </c>
      <c r="AU914" s="224" t="s">
        <v>3673</v>
      </c>
      <c r="AV914" s="423"/>
      <c r="AW914" s="423" t="e">
        <f ca="1">VLOOKUP(表格1_6[[#This Row],[TI tool ID2]],工作表1!A:A,1,FALSE)</f>
        <v>#N/A</v>
      </c>
      <c r="AX914" s="425" t="e">
        <f ca="1">VLOOKUP(表格1_6[[#This Row],[PO+ITEM]],工作表1!B:E,2,FALSE)</f>
        <v>#N/A</v>
      </c>
      <c r="AY914" s="425" t="e">
        <f ca="1">VLOOKUP(表格1_6[[#This Row],[PO+ITEM]],工作表1!B:E,3,FALSE)</f>
        <v>#N/A</v>
      </c>
      <c r="AZ914" s="423" t="e">
        <f ca="1">VLOOKUP(表格1_6[[#This Row],[PO+ITEM]],工作表1!B:E,4,FALSE)</f>
        <v>#N/A</v>
      </c>
      <c r="BA914" s="425" t="e">
        <f ca="1">INDEX(工作表1!G:G, MATCH(表格1_6[[#This Row],[invoice number]]&amp;表格1_6[[#This Row],[invoice number2]],工作表1!G:G, 0))</f>
        <v>#N/A</v>
      </c>
      <c r="BB914" s="423" t="e">
        <f ca="1">VLOOKUP(表格1_6[[#This Row],[PO+ITEM]],工作表1!F:H,2,FALSE)</f>
        <v>#N/A</v>
      </c>
    </row>
    <row r="915" spans="1:54" ht="14.45">
      <c r="A915" s="413">
        <v>914</v>
      </c>
      <c r="B915" s="413" t="s">
        <v>3674</v>
      </c>
      <c r="C915" s="414" t="s">
        <v>17</v>
      </c>
      <c r="D915" s="414" t="s">
        <v>3648</v>
      </c>
      <c r="E915" s="414"/>
      <c r="F915" s="414"/>
      <c r="G915" s="414"/>
      <c r="H915" s="414"/>
      <c r="I915" s="414"/>
      <c r="J915" s="414"/>
      <c r="K915" s="414"/>
      <c r="L915" s="415" t="s">
        <v>5812</v>
      </c>
      <c r="M915" s="416" t="s">
        <v>2999</v>
      </c>
      <c r="N915" s="416" t="s">
        <v>2999</v>
      </c>
      <c r="O915" s="417"/>
      <c r="P915" s="416">
        <v>4590007940</v>
      </c>
      <c r="Q915" s="418">
        <v>44867</v>
      </c>
      <c r="R915" s="419">
        <v>4</v>
      </c>
      <c r="S915" s="458">
        <v>165784.82</v>
      </c>
      <c r="T915" s="420" t="s">
        <v>2156</v>
      </c>
      <c r="U915" s="414" t="s">
        <v>3913</v>
      </c>
      <c r="V915" s="414" t="s">
        <v>3914</v>
      </c>
      <c r="W915" s="417" t="s">
        <v>3915</v>
      </c>
      <c r="X915" s="417"/>
      <c r="Y915" s="421" t="s">
        <v>3652</v>
      </c>
      <c r="Z915" s="421" t="s">
        <v>3652</v>
      </c>
      <c r="AA915" s="416"/>
      <c r="AB915" s="414" t="s">
        <v>5614</v>
      </c>
      <c r="AC915" s="426"/>
      <c r="AD915" s="421"/>
      <c r="AE915" s="420"/>
      <c r="AF915" s="421">
        <v>90695</v>
      </c>
      <c r="AG915" s="420" t="s">
        <v>5813</v>
      </c>
      <c r="AH915" s="421" t="s">
        <v>3918</v>
      </c>
      <c r="AI915" s="420" t="s">
        <v>3919</v>
      </c>
      <c r="AJ915" s="413" t="str">
        <f t="shared" si="59"/>
        <v>4590007940_004</v>
      </c>
      <c r="AK915" s="423" t="s">
        <v>5814</v>
      </c>
      <c r="AL915" s="424">
        <v>45412</v>
      </c>
      <c r="AM915" s="273">
        <v>165784.82</v>
      </c>
      <c r="AN915" s="424" t="s">
        <v>3805</v>
      </c>
      <c r="AO915" s="423"/>
      <c r="AP915" s="413"/>
      <c r="AQ915" s="222"/>
      <c r="AR915" s="424"/>
      <c r="AS915" s="614">
        <f ca="1">表格1_6[[#This Row],[total amount]]/表格1_6[[#This Row],[PO$]]</f>
        <v>1</v>
      </c>
      <c r="AT915" s="223">
        <f ca="1">表格1_6[[#This Row],[invoice amount]]+表格1_6[[#This Row],[invoice amount2]]</f>
        <v>165784.82</v>
      </c>
      <c r="AU915" s="224" t="s">
        <v>3806</v>
      </c>
      <c r="AV915" s="423"/>
      <c r="AW915" s="423" t="e">
        <f ca="1">VLOOKUP(表格1_6[[#This Row],[TI tool ID2]],工作表1!A:A,1,FALSE)</f>
        <v>#N/A</v>
      </c>
      <c r="AX915" s="425" t="e">
        <f ca="1">VLOOKUP(表格1_6[[#This Row],[PO+ITEM]],工作表1!B:E,2,FALSE)</f>
        <v>#N/A</v>
      </c>
      <c r="AY915" s="425" t="e">
        <f ca="1">VLOOKUP(表格1_6[[#This Row],[PO+ITEM]],工作表1!B:E,3,FALSE)</f>
        <v>#N/A</v>
      </c>
      <c r="AZ915" s="423" t="e">
        <f ca="1">VLOOKUP(表格1_6[[#This Row],[PO+ITEM]],工作表1!B:E,4,FALSE)</f>
        <v>#N/A</v>
      </c>
      <c r="BA915" s="425" t="e">
        <f ca="1">INDEX(工作表1!G:G, MATCH(表格1_6[[#This Row],[invoice number]]&amp;表格1_6[[#This Row],[invoice number2]],工作表1!G:G, 0))</f>
        <v>#N/A</v>
      </c>
      <c r="BB915" s="423" t="e">
        <f ca="1">VLOOKUP(表格1_6[[#This Row],[PO+ITEM]],工作表1!F:H,2,FALSE)</f>
        <v>#N/A</v>
      </c>
    </row>
    <row r="916" spans="1:54" ht="14.45">
      <c r="A916" s="413">
        <v>915</v>
      </c>
      <c r="B916" s="413" t="s">
        <v>3659</v>
      </c>
      <c r="C916" s="414" t="s">
        <v>17</v>
      </c>
      <c r="D916" s="414" t="s">
        <v>3648</v>
      </c>
      <c r="E916" s="414"/>
      <c r="F916" s="414"/>
      <c r="G916" s="414"/>
      <c r="H916" s="414"/>
      <c r="I916" s="414"/>
      <c r="J916" s="414"/>
      <c r="K916" s="414"/>
      <c r="L916" s="415" t="s">
        <v>5815</v>
      </c>
      <c r="M916" s="416" t="s">
        <v>2999</v>
      </c>
      <c r="N916" s="416" t="s">
        <v>2999</v>
      </c>
      <c r="O916" s="417"/>
      <c r="P916" s="416">
        <v>4590007940</v>
      </c>
      <c r="Q916" s="418">
        <v>44867</v>
      </c>
      <c r="R916" s="419">
        <v>5</v>
      </c>
      <c r="S916" s="458">
        <v>165784.82</v>
      </c>
      <c r="T916" s="420" t="s">
        <v>2156</v>
      </c>
      <c r="U916" s="414" t="s">
        <v>3913</v>
      </c>
      <c r="V916" s="414" t="s">
        <v>3914</v>
      </c>
      <c r="W916" s="417" t="s">
        <v>3915</v>
      </c>
      <c r="X916" s="417"/>
      <c r="Y916" s="421" t="s">
        <v>3652</v>
      </c>
      <c r="Z916" s="421" t="s">
        <v>3652</v>
      </c>
      <c r="AA916" s="416"/>
      <c r="AB916" s="414" t="s">
        <v>5614</v>
      </c>
      <c r="AC916" s="426"/>
      <c r="AD916" s="421"/>
      <c r="AE916" s="420"/>
      <c r="AF916" s="421">
        <v>90696</v>
      </c>
      <c r="AG916" s="420" t="s">
        <v>5816</v>
      </c>
      <c r="AH916" s="421" t="s">
        <v>3918</v>
      </c>
      <c r="AI916" s="420" t="s">
        <v>3919</v>
      </c>
      <c r="AJ916" s="413" t="str">
        <f t="shared" si="59"/>
        <v>4590007940_005</v>
      </c>
      <c r="AK916" s="423"/>
      <c r="AL916" s="413"/>
      <c r="AM916" s="221"/>
      <c r="AN916" s="424"/>
      <c r="AO916" s="423"/>
      <c r="AP916" s="413"/>
      <c r="AQ916" s="222"/>
      <c r="AR916" s="424"/>
      <c r="AS916" s="614">
        <f ca="1">表格1_6[[#This Row],[total amount]]/表格1_6[[#This Row],[PO$]]</f>
        <v>0</v>
      </c>
      <c r="AT916" s="223">
        <f ca="1">表格1_6[[#This Row],[invoice amount]]+表格1_6[[#This Row],[invoice amount2]]</f>
        <v>0</v>
      </c>
      <c r="AU916" s="224"/>
      <c r="AV916" s="423"/>
      <c r="AW916" s="423" t="e">
        <f ca="1">VLOOKUP(表格1_6[[#This Row],[TI tool ID2]],工作表1!A:A,1,FALSE)</f>
        <v>#N/A</v>
      </c>
      <c r="AX916" s="425" t="e">
        <f ca="1">VLOOKUP(表格1_6[[#This Row],[PO+ITEM]],工作表1!B:E,2,FALSE)</f>
        <v>#N/A</v>
      </c>
      <c r="AY916" s="425" t="e">
        <f ca="1">VLOOKUP(表格1_6[[#This Row],[PO+ITEM]],工作表1!B:E,3,FALSE)</f>
        <v>#N/A</v>
      </c>
      <c r="AZ916" s="423" t="e">
        <f ca="1">VLOOKUP(表格1_6[[#This Row],[PO+ITEM]],工作表1!B:E,4,FALSE)</f>
        <v>#N/A</v>
      </c>
      <c r="BA916" s="425" t="e">
        <f ca="1">INDEX(工作表1!G:G, MATCH(表格1_6[[#This Row],[invoice number]]&amp;表格1_6[[#This Row],[invoice number2]],工作表1!G:G, 0))</f>
        <v>#N/A</v>
      </c>
      <c r="BB916" s="423" t="e">
        <f ca="1">VLOOKUP(表格1_6[[#This Row],[PO+ITEM]],工作表1!F:H,2,FALSE)</f>
        <v>#N/A</v>
      </c>
    </row>
    <row r="917" spans="1:54" ht="14.45">
      <c r="A917" s="413">
        <v>916</v>
      </c>
      <c r="B917" s="413" t="s">
        <v>3659</v>
      </c>
      <c r="C917" s="414" t="s">
        <v>17</v>
      </c>
      <c r="D917" s="414" t="s">
        <v>3648</v>
      </c>
      <c r="E917" s="414"/>
      <c r="F917" s="414"/>
      <c r="G917" s="414"/>
      <c r="H917" s="414"/>
      <c r="I917" s="414"/>
      <c r="J917" s="414"/>
      <c r="K917" s="414"/>
      <c r="L917" s="415" t="s">
        <v>5817</v>
      </c>
      <c r="M917" s="416" t="s">
        <v>2999</v>
      </c>
      <c r="N917" s="416" t="s">
        <v>2999</v>
      </c>
      <c r="O917" s="417"/>
      <c r="P917" s="416">
        <v>4590007940</v>
      </c>
      <c r="Q917" s="418">
        <v>44867</v>
      </c>
      <c r="R917" s="419">
        <v>6</v>
      </c>
      <c r="S917" s="458">
        <v>165784.82</v>
      </c>
      <c r="T917" s="420" t="s">
        <v>2156</v>
      </c>
      <c r="U917" s="414" t="s">
        <v>3913</v>
      </c>
      <c r="V917" s="414" t="s">
        <v>3914</v>
      </c>
      <c r="W917" s="417" t="s">
        <v>3915</v>
      </c>
      <c r="X917" s="417"/>
      <c r="Y917" s="421" t="s">
        <v>3652</v>
      </c>
      <c r="Z917" s="421" t="s">
        <v>3652</v>
      </c>
      <c r="AA917" s="416"/>
      <c r="AB917" s="414" t="s">
        <v>5614</v>
      </c>
      <c r="AC917" s="426"/>
      <c r="AD917" s="421"/>
      <c r="AE917" s="420"/>
      <c r="AF917" s="421">
        <v>91196</v>
      </c>
      <c r="AG917" s="420" t="s">
        <v>5818</v>
      </c>
      <c r="AH917" s="421" t="s">
        <v>3918</v>
      </c>
      <c r="AI917" s="420" t="s">
        <v>3919</v>
      </c>
      <c r="AJ917" s="413" t="str">
        <f t="shared" si="59"/>
        <v>4590007940_006</v>
      </c>
      <c r="AK917" s="423"/>
      <c r="AL917" s="413"/>
      <c r="AM917" s="221"/>
      <c r="AN917" s="424"/>
      <c r="AO917" s="423"/>
      <c r="AP917" s="413"/>
      <c r="AQ917" s="222"/>
      <c r="AR917" s="424"/>
      <c r="AS917" s="614">
        <f ca="1">表格1_6[[#This Row],[total amount]]/表格1_6[[#This Row],[PO$]]</f>
        <v>0</v>
      </c>
      <c r="AT917" s="223">
        <f ca="1">表格1_6[[#This Row],[invoice amount]]+表格1_6[[#This Row],[invoice amount2]]</f>
        <v>0</v>
      </c>
      <c r="AU917" s="224"/>
      <c r="AV917" s="423"/>
      <c r="AW917" s="423" t="e">
        <f ca="1">VLOOKUP(表格1_6[[#This Row],[TI tool ID2]],工作表1!A:A,1,FALSE)</f>
        <v>#N/A</v>
      </c>
      <c r="AX917" s="425" t="e">
        <f ca="1">VLOOKUP(表格1_6[[#This Row],[PO+ITEM]],工作表1!B:E,2,FALSE)</f>
        <v>#N/A</v>
      </c>
      <c r="AY917" s="425" t="e">
        <f ca="1">VLOOKUP(表格1_6[[#This Row],[PO+ITEM]],工作表1!B:E,3,FALSE)</f>
        <v>#N/A</v>
      </c>
      <c r="AZ917" s="423" t="e">
        <f ca="1">VLOOKUP(表格1_6[[#This Row],[PO+ITEM]],工作表1!B:E,4,FALSE)</f>
        <v>#N/A</v>
      </c>
      <c r="BA917" s="425" t="e">
        <f ca="1">INDEX(工作表1!G:G, MATCH(表格1_6[[#This Row],[invoice number]]&amp;表格1_6[[#This Row],[invoice number2]],工作表1!G:G, 0))</f>
        <v>#N/A</v>
      </c>
      <c r="BB917" s="423" t="e">
        <f ca="1">VLOOKUP(表格1_6[[#This Row],[PO+ITEM]],工作表1!F:H,2,FALSE)</f>
        <v>#N/A</v>
      </c>
    </row>
    <row r="918" spans="1:54" ht="15.6">
      <c r="A918" s="413">
        <v>917</v>
      </c>
      <c r="B918" s="413" t="s">
        <v>3674</v>
      </c>
      <c r="C918" s="414" t="s">
        <v>17</v>
      </c>
      <c r="D918" s="414" t="s">
        <v>3648</v>
      </c>
      <c r="E918" s="414"/>
      <c r="F918" s="414"/>
      <c r="G918" s="414"/>
      <c r="H918" s="414"/>
      <c r="I918" s="414"/>
      <c r="J918" s="414"/>
      <c r="K918" s="414"/>
      <c r="L918" s="415" t="s">
        <v>5819</v>
      </c>
      <c r="M918" s="416" t="s">
        <v>2999</v>
      </c>
      <c r="N918" s="416" t="s">
        <v>2999</v>
      </c>
      <c r="O918" s="417"/>
      <c r="P918" s="416">
        <v>4590007941</v>
      </c>
      <c r="Q918" s="418">
        <v>44867</v>
      </c>
      <c r="R918" s="419">
        <v>1</v>
      </c>
      <c r="S918" s="458">
        <v>233503.39</v>
      </c>
      <c r="T918" s="420" t="s">
        <v>2156</v>
      </c>
      <c r="U918" s="414" t="s">
        <v>3913</v>
      </c>
      <c r="V918" s="414" t="s">
        <v>3914</v>
      </c>
      <c r="W918" s="417" t="s">
        <v>3915</v>
      </c>
      <c r="X918" s="417"/>
      <c r="Y918" s="421" t="s">
        <v>3652</v>
      </c>
      <c r="Z918" s="421" t="s">
        <v>3652</v>
      </c>
      <c r="AA918" s="416" t="s">
        <v>5714</v>
      </c>
      <c r="AB918" s="414" t="s">
        <v>5820</v>
      </c>
      <c r="AC918" s="426"/>
      <c r="AD918" s="421"/>
      <c r="AE918" s="420"/>
      <c r="AF918" s="421">
        <v>90697</v>
      </c>
      <c r="AG918" s="420" t="s">
        <v>5821</v>
      </c>
      <c r="AH918" s="421" t="s">
        <v>3918</v>
      </c>
      <c r="AI918" s="420" t="s">
        <v>3919</v>
      </c>
      <c r="AJ918" s="413" t="str">
        <f t="shared" si="59"/>
        <v>4590007941_001</v>
      </c>
      <c r="AK918" s="423"/>
      <c r="AL918" s="424">
        <v>44958</v>
      </c>
      <c r="AM918" s="221">
        <v>93401.356000000014</v>
      </c>
      <c r="AN918" s="226">
        <v>45015</v>
      </c>
      <c r="AO918" s="423" t="s">
        <v>5822</v>
      </c>
      <c r="AP918" s="424">
        <v>45412</v>
      </c>
      <c r="AQ918" s="222">
        <v>140102.03</v>
      </c>
      <c r="AR918" s="424" t="s">
        <v>5710</v>
      </c>
      <c r="AS918" s="614">
        <f ca="1">表格1_6[[#This Row],[total amount]]/表格1_6[[#This Row],[PO$]]</f>
        <v>0.99999998286962766</v>
      </c>
      <c r="AT918" s="223">
        <f ca="1">表格1_6[[#This Row],[invoice amount]]+表格1_6[[#This Row],[invoice amount2]]</f>
        <v>233503.386</v>
      </c>
      <c r="AU918" s="224" t="s">
        <v>4371</v>
      </c>
      <c r="AV918" s="423"/>
      <c r="AW918" s="423" t="e">
        <f ca="1">VLOOKUP(表格1_6[[#This Row],[TI tool ID2]],工作表1!A:A,1,FALSE)</f>
        <v>#N/A</v>
      </c>
      <c r="AX918" s="425" t="e">
        <f ca="1">VLOOKUP(表格1_6[[#This Row],[PO+ITEM]],工作表1!B:E,2,FALSE)</f>
        <v>#N/A</v>
      </c>
      <c r="AY918" s="425" t="e">
        <f ca="1">VLOOKUP(表格1_6[[#This Row],[PO+ITEM]],工作表1!B:E,3,FALSE)</f>
        <v>#N/A</v>
      </c>
      <c r="AZ918" s="423" t="e">
        <f ca="1">VLOOKUP(表格1_6[[#This Row],[PO+ITEM]],工作表1!B:E,4,FALSE)</f>
        <v>#N/A</v>
      </c>
      <c r="BA918" s="425" t="e">
        <f ca="1">INDEX(工作表1!G:G, MATCH(表格1_6[[#This Row],[invoice number]]&amp;表格1_6[[#This Row],[invoice number2]],工作表1!G:G, 0))</f>
        <v>#N/A</v>
      </c>
      <c r="BB918" s="423" t="e">
        <f ca="1">VLOOKUP(表格1_6[[#This Row],[PO+ITEM]],工作表1!F:H,2,FALSE)</f>
        <v>#N/A</v>
      </c>
    </row>
    <row r="919" spans="1:54" ht="15.6">
      <c r="A919" s="413">
        <v>918</v>
      </c>
      <c r="B919" s="413" t="s">
        <v>3659</v>
      </c>
      <c r="C919" s="414" t="s">
        <v>17</v>
      </c>
      <c r="D919" s="414" t="s">
        <v>3648</v>
      </c>
      <c r="E919" s="414"/>
      <c r="F919" s="414"/>
      <c r="G919" s="414"/>
      <c r="H919" s="414"/>
      <c r="I919" s="414"/>
      <c r="J919" s="414"/>
      <c r="K919" s="414"/>
      <c r="L919" s="415" t="s">
        <v>5823</v>
      </c>
      <c r="M919" s="416" t="s">
        <v>2999</v>
      </c>
      <c r="N919" s="416" t="s">
        <v>2999</v>
      </c>
      <c r="O919" s="417"/>
      <c r="P919" s="416">
        <v>4590007941</v>
      </c>
      <c r="Q919" s="418">
        <v>44867</v>
      </c>
      <c r="R919" s="419">
        <v>2</v>
      </c>
      <c r="S919" s="458">
        <v>233503.39</v>
      </c>
      <c r="T919" s="420" t="s">
        <v>2156</v>
      </c>
      <c r="U919" s="414" t="s">
        <v>3913</v>
      </c>
      <c r="V919" s="414" t="s">
        <v>3914</v>
      </c>
      <c r="W919" s="417" t="s">
        <v>3915</v>
      </c>
      <c r="X919" s="417"/>
      <c r="Y919" s="421" t="s">
        <v>3652</v>
      </c>
      <c r="Z919" s="421" t="s">
        <v>3652</v>
      </c>
      <c r="AA919" s="416" t="s">
        <v>5714</v>
      </c>
      <c r="AB919" s="414" t="s">
        <v>5820</v>
      </c>
      <c r="AC919" s="426"/>
      <c r="AD919" s="421"/>
      <c r="AE919" s="420"/>
      <c r="AF919" s="421">
        <v>90698</v>
      </c>
      <c r="AG919" s="420" t="s">
        <v>5824</v>
      </c>
      <c r="AH919" s="421" t="s">
        <v>3918</v>
      </c>
      <c r="AI919" s="420" t="s">
        <v>3919</v>
      </c>
      <c r="AJ919" s="413" t="str">
        <f t="shared" si="59"/>
        <v>4590007941_002</v>
      </c>
      <c r="AK919" s="423"/>
      <c r="AL919" s="424">
        <v>44958</v>
      </c>
      <c r="AM919" s="221">
        <v>93401.356000000014</v>
      </c>
      <c r="AN919" s="226">
        <v>45015</v>
      </c>
      <c r="AO919" s="423"/>
      <c r="AP919" s="413"/>
      <c r="AQ919" s="222"/>
      <c r="AR919" s="424"/>
      <c r="AS919" s="614">
        <f ca="1">表格1_6[[#This Row],[total amount]]/表格1_6[[#This Row],[PO$]]</f>
        <v>0.4</v>
      </c>
      <c r="AT919" s="223">
        <f ca="1">表格1_6[[#This Row],[invoice amount]]+表格1_6[[#This Row],[invoice amount2]]</f>
        <v>93401.356000000014</v>
      </c>
      <c r="AU919" s="224" t="s">
        <v>3673</v>
      </c>
      <c r="AV919" s="423"/>
      <c r="AW919" s="423" t="e">
        <f ca="1">VLOOKUP(表格1_6[[#This Row],[TI tool ID2]],工作表1!A:A,1,FALSE)</f>
        <v>#N/A</v>
      </c>
      <c r="AX919" s="425" t="e">
        <f ca="1">VLOOKUP(表格1_6[[#This Row],[PO+ITEM]],工作表1!B:E,2,FALSE)</f>
        <v>#N/A</v>
      </c>
      <c r="AY919" s="425" t="e">
        <f ca="1">VLOOKUP(表格1_6[[#This Row],[PO+ITEM]],工作表1!B:E,3,FALSE)</f>
        <v>#N/A</v>
      </c>
      <c r="AZ919" s="423" t="e">
        <f ca="1">VLOOKUP(表格1_6[[#This Row],[PO+ITEM]],工作表1!B:E,4,FALSE)</f>
        <v>#N/A</v>
      </c>
      <c r="BA919" s="425" t="e">
        <f ca="1">INDEX(工作表1!G:G, MATCH(表格1_6[[#This Row],[invoice number]]&amp;表格1_6[[#This Row],[invoice number2]],工作表1!G:G, 0))</f>
        <v>#N/A</v>
      </c>
      <c r="BB919" s="423" t="e">
        <f ca="1">VLOOKUP(表格1_6[[#This Row],[PO+ITEM]],工作表1!F:H,2,FALSE)</f>
        <v>#N/A</v>
      </c>
    </row>
    <row r="920" spans="1:54" ht="15.6">
      <c r="A920" s="413">
        <v>919</v>
      </c>
      <c r="B920" s="413" t="s">
        <v>3659</v>
      </c>
      <c r="C920" s="414" t="s">
        <v>17</v>
      </c>
      <c r="D920" s="414" t="s">
        <v>3648</v>
      </c>
      <c r="E920" s="414"/>
      <c r="F920" s="414"/>
      <c r="G920" s="414"/>
      <c r="H920" s="414"/>
      <c r="I920" s="414"/>
      <c r="J920" s="414"/>
      <c r="K920" s="414"/>
      <c r="L920" s="415" t="s">
        <v>5825</v>
      </c>
      <c r="M920" s="416" t="s">
        <v>2999</v>
      </c>
      <c r="N920" s="416" t="s">
        <v>2999</v>
      </c>
      <c r="O920" s="417"/>
      <c r="P920" s="416">
        <v>4590007941</v>
      </c>
      <c r="Q920" s="418">
        <v>44867</v>
      </c>
      <c r="R920" s="419">
        <v>3</v>
      </c>
      <c r="S920" s="458">
        <v>233503.39</v>
      </c>
      <c r="T920" s="420" t="s">
        <v>2156</v>
      </c>
      <c r="U920" s="414" t="s">
        <v>3913</v>
      </c>
      <c r="V920" s="414" t="s">
        <v>3914</v>
      </c>
      <c r="W920" s="417" t="s">
        <v>3915</v>
      </c>
      <c r="X920" s="417"/>
      <c r="Y920" s="421" t="s">
        <v>3652</v>
      </c>
      <c r="Z920" s="421" t="s">
        <v>3652</v>
      </c>
      <c r="AA920" s="416" t="s">
        <v>5714</v>
      </c>
      <c r="AB920" s="414" t="s">
        <v>5820</v>
      </c>
      <c r="AC920" s="426"/>
      <c r="AD920" s="421"/>
      <c r="AE920" s="420"/>
      <c r="AF920" s="421">
        <v>90955</v>
      </c>
      <c r="AG920" s="420" t="s">
        <v>5826</v>
      </c>
      <c r="AH920" s="421" t="s">
        <v>3918</v>
      </c>
      <c r="AI920" s="420" t="s">
        <v>3919</v>
      </c>
      <c r="AJ920" s="413" t="str">
        <f t="shared" si="59"/>
        <v>4590007941_003</v>
      </c>
      <c r="AK920" s="423"/>
      <c r="AL920" s="424">
        <v>44958</v>
      </c>
      <c r="AM920" s="221">
        <v>93401.356000000014</v>
      </c>
      <c r="AN920" s="226">
        <v>45015</v>
      </c>
      <c r="AO920" s="423"/>
      <c r="AP920" s="413"/>
      <c r="AQ920" s="222"/>
      <c r="AR920" s="424"/>
      <c r="AS920" s="614">
        <f ca="1">表格1_6[[#This Row],[total amount]]/表格1_6[[#This Row],[PO$]]</f>
        <v>0.4</v>
      </c>
      <c r="AT920" s="223">
        <f ca="1">表格1_6[[#This Row],[invoice amount]]+表格1_6[[#This Row],[invoice amount2]]</f>
        <v>93401.356000000014</v>
      </c>
      <c r="AU920" s="224" t="s">
        <v>3673</v>
      </c>
      <c r="AV920" s="423"/>
      <c r="AW920" s="423" t="e">
        <f ca="1">VLOOKUP(表格1_6[[#This Row],[TI tool ID2]],工作表1!A:A,1,FALSE)</f>
        <v>#N/A</v>
      </c>
      <c r="AX920" s="425" t="e">
        <f ca="1">VLOOKUP(表格1_6[[#This Row],[PO+ITEM]],工作表1!B:E,2,FALSE)</f>
        <v>#N/A</v>
      </c>
      <c r="AY920" s="425" t="e">
        <f ca="1">VLOOKUP(表格1_6[[#This Row],[PO+ITEM]],工作表1!B:E,3,FALSE)</f>
        <v>#N/A</v>
      </c>
      <c r="AZ920" s="423" t="e">
        <f ca="1">VLOOKUP(表格1_6[[#This Row],[PO+ITEM]],工作表1!B:E,4,FALSE)</f>
        <v>#N/A</v>
      </c>
      <c r="BA920" s="425" t="e">
        <f ca="1">INDEX(工作表1!G:G, MATCH(表格1_6[[#This Row],[invoice number]]&amp;表格1_6[[#This Row],[invoice number2]],工作表1!G:G, 0))</f>
        <v>#N/A</v>
      </c>
      <c r="BB920" s="423" t="e">
        <f ca="1">VLOOKUP(表格1_6[[#This Row],[PO+ITEM]],工作表1!F:H,2,FALSE)</f>
        <v>#N/A</v>
      </c>
    </row>
    <row r="921" spans="1:54" ht="14.45">
      <c r="A921" s="413">
        <v>920</v>
      </c>
      <c r="B921" s="413" t="s">
        <v>3659</v>
      </c>
      <c r="C921" s="414" t="s">
        <v>17</v>
      </c>
      <c r="D921" s="414" t="s">
        <v>3648</v>
      </c>
      <c r="E921" s="414"/>
      <c r="F921" s="414"/>
      <c r="G921" s="414"/>
      <c r="H921" s="414"/>
      <c r="I921" s="414"/>
      <c r="J921" s="414"/>
      <c r="K921" s="414"/>
      <c r="L921" s="415" t="s">
        <v>5827</v>
      </c>
      <c r="M921" s="416" t="s">
        <v>2999</v>
      </c>
      <c r="N921" s="416" t="s">
        <v>2999</v>
      </c>
      <c r="O921" s="417"/>
      <c r="P921" s="416">
        <v>4590007942</v>
      </c>
      <c r="Q921" s="418">
        <v>44867</v>
      </c>
      <c r="R921" s="419">
        <v>1</v>
      </c>
      <c r="S921" s="458">
        <v>31846</v>
      </c>
      <c r="T921" s="420" t="s">
        <v>2156</v>
      </c>
      <c r="U921" s="414" t="s">
        <v>3713</v>
      </c>
      <c r="V921" s="414" t="s">
        <v>3714</v>
      </c>
      <c r="W921" s="417" t="s">
        <v>3715</v>
      </c>
      <c r="X921" s="417"/>
      <c r="Y921" s="421" t="s">
        <v>3652</v>
      </c>
      <c r="Z921" s="421" t="s">
        <v>3652</v>
      </c>
      <c r="AA921" s="416"/>
      <c r="AB921" s="414" t="s">
        <v>3716</v>
      </c>
      <c r="AC921" s="426"/>
      <c r="AD921" s="421"/>
      <c r="AE921" s="420"/>
      <c r="AF921" s="421">
        <v>91100</v>
      </c>
      <c r="AG921" s="420" t="s">
        <v>5828</v>
      </c>
      <c r="AH921" s="421" t="s">
        <v>3828</v>
      </c>
      <c r="AI921" s="420" t="s">
        <v>3719</v>
      </c>
      <c r="AJ921" s="413" t="str">
        <f t="shared" si="59"/>
        <v>4590007942_001</v>
      </c>
      <c r="AK921" s="423"/>
      <c r="AL921" s="413"/>
      <c r="AM921" s="221"/>
      <c r="AN921" s="424"/>
      <c r="AO921" s="423"/>
      <c r="AP921" s="413"/>
      <c r="AQ921" s="222"/>
      <c r="AR921" s="424"/>
      <c r="AS921" s="614">
        <f ca="1">表格1_6[[#This Row],[total amount]]/表格1_6[[#This Row],[PO$]]</f>
        <v>0</v>
      </c>
      <c r="AT921" s="223">
        <f ca="1">表格1_6[[#This Row],[invoice amount]]+表格1_6[[#This Row],[invoice amount2]]</f>
        <v>0</v>
      </c>
      <c r="AU921" s="224"/>
      <c r="AV921" s="423"/>
      <c r="AW921" s="423" t="e">
        <f ca="1">VLOOKUP(表格1_6[[#This Row],[TI tool ID2]],工作表1!A:A,1,FALSE)</f>
        <v>#N/A</v>
      </c>
      <c r="AX921" s="425" t="e">
        <f ca="1">VLOOKUP(表格1_6[[#This Row],[PO+ITEM]],工作表1!B:E,2,FALSE)</f>
        <v>#N/A</v>
      </c>
      <c r="AY921" s="425" t="e">
        <f ca="1">VLOOKUP(表格1_6[[#This Row],[PO+ITEM]],工作表1!B:E,3,FALSE)</f>
        <v>#N/A</v>
      </c>
      <c r="AZ921" s="423" t="e">
        <f ca="1">VLOOKUP(表格1_6[[#This Row],[PO+ITEM]],工作表1!B:E,4,FALSE)</f>
        <v>#N/A</v>
      </c>
      <c r="BA921" s="425" t="e">
        <f ca="1">INDEX(工作表1!G:G, MATCH(表格1_6[[#This Row],[invoice number]]&amp;表格1_6[[#This Row],[invoice number2]],工作表1!G:G, 0))</f>
        <v>#N/A</v>
      </c>
      <c r="BB921" s="423" t="e">
        <f ca="1">VLOOKUP(表格1_6[[#This Row],[PO+ITEM]],工作表1!F:H,2,FALSE)</f>
        <v>#N/A</v>
      </c>
    </row>
    <row r="922" spans="1:54" ht="14.45">
      <c r="A922" s="413">
        <v>921</v>
      </c>
      <c r="B922" s="413" t="s">
        <v>3674</v>
      </c>
      <c r="C922" s="414" t="s">
        <v>17</v>
      </c>
      <c r="D922" s="414" t="s">
        <v>3648</v>
      </c>
      <c r="E922" s="414"/>
      <c r="F922" s="414"/>
      <c r="G922" s="414"/>
      <c r="H922" s="414"/>
      <c r="I922" s="414"/>
      <c r="J922" s="414"/>
      <c r="K922" s="414"/>
      <c r="L922" s="415" t="s">
        <v>5829</v>
      </c>
      <c r="M922" s="416" t="s">
        <v>2999</v>
      </c>
      <c r="N922" s="416" t="s">
        <v>2999</v>
      </c>
      <c r="O922" s="417"/>
      <c r="P922" s="416">
        <v>4590007942</v>
      </c>
      <c r="Q922" s="418">
        <v>44867</v>
      </c>
      <c r="R922" s="419">
        <v>2</v>
      </c>
      <c r="S922" s="458">
        <v>44669</v>
      </c>
      <c r="T922" s="420" t="s">
        <v>2156</v>
      </c>
      <c r="U922" s="414" t="s">
        <v>3713</v>
      </c>
      <c r="V922" s="414" t="s">
        <v>3714</v>
      </c>
      <c r="W922" s="417" t="s">
        <v>3715</v>
      </c>
      <c r="X922" s="417"/>
      <c r="Y922" s="421" t="s">
        <v>3652</v>
      </c>
      <c r="Z922" s="421" t="s">
        <v>3652</v>
      </c>
      <c r="AA922" s="416"/>
      <c r="AB922" s="414" t="s">
        <v>3716</v>
      </c>
      <c r="AC922" s="426"/>
      <c r="AD922" s="421"/>
      <c r="AE922" s="420"/>
      <c r="AF922" s="421">
        <v>90848</v>
      </c>
      <c r="AG922" s="420" t="s">
        <v>4638</v>
      </c>
      <c r="AH922" s="421" t="s">
        <v>3828</v>
      </c>
      <c r="AI922" s="420" t="s">
        <v>3719</v>
      </c>
      <c r="AJ922" s="413" t="str">
        <f t="shared" si="59"/>
        <v>4590007942_002</v>
      </c>
      <c r="AK922" s="423" t="s">
        <v>5830</v>
      </c>
      <c r="AL922" s="424">
        <v>45401</v>
      </c>
      <c r="AM922" s="221">
        <v>44669</v>
      </c>
      <c r="AN922" s="424">
        <v>45565</v>
      </c>
      <c r="AO922" s="423"/>
      <c r="AP922" s="413"/>
      <c r="AQ922" s="222"/>
      <c r="AR922" s="424"/>
      <c r="AS922" s="614">
        <f ca="1">表格1_6[[#This Row],[total amount]]/表格1_6[[#This Row],[PO$]]</f>
        <v>1</v>
      </c>
      <c r="AT922" s="223">
        <f ca="1">表格1_6[[#This Row],[invoice amount]]+表格1_6[[#This Row],[invoice amount2]]</f>
        <v>44669</v>
      </c>
      <c r="AU922" s="224" t="s">
        <v>3725</v>
      </c>
      <c r="AV922" s="423"/>
      <c r="AW922" s="423" t="e">
        <f ca="1">VLOOKUP(表格1_6[[#This Row],[TI tool ID2]],工作表1!A:A,1,FALSE)</f>
        <v>#N/A</v>
      </c>
      <c r="AX922" s="425" t="e">
        <f ca="1">VLOOKUP(表格1_6[[#This Row],[PO+ITEM]],工作表1!B:E,2,FALSE)</f>
        <v>#N/A</v>
      </c>
      <c r="AY922" s="425" t="e">
        <f ca="1">VLOOKUP(表格1_6[[#This Row],[PO+ITEM]],工作表1!B:E,3,FALSE)</f>
        <v>#N/A</v>
      </c>
      <c r="AZ922" s="423" t="e">
        <f ca="1">VLOOKUP(表格1_6[[#This Row],[PO+ITEM]],工作表1!B:E,4,FALSE)</f>
        <v>#N/A</v>
      </c>
      <c r="BA922" s="425" t="e">
        <f ca="1">INDEX(工作表1!G:G, MATCH(表格1_6[[#This Row],[invoice number]]&amp;表格1_6[[#This Row],[invoice number2]],工作表1!G:G, 0))</f>
        <v>#N/A</v>
      </c>
      <c r="BB922" s="423" t="e">
        <f ca="1">VLOOKUP(表格1_6[[#This Row],[PO+ITEM]],工作表1!F:H,2,FALSE)</f>
        <v>#N/A</v>
      </c>
    </row>
    <row r="923" spans="1:54" ht="14.45">
      <c r="A923" s="413">
        <v>922</v>
      </c>
      <c r="B923" s="413" t="s">
        <v>3674</v>
      </c>
      <c r="C923" s="414" t="s">
        <v>17</v>
      </c>
      <c r="D923" s="414" t="s">
        <v>3648</v>
      </c>
      <c r="E923" s="414"/>
      <c r="F923" s="414"/>
      <c r="G923" s="414"/>
      <c r="H923" s="414"/>
      <c r="I923" s="414"/>
      <c r="J923" s="414"/>
      <c r="K923" s="414"/>
      <c r="L923" s="415" t="s">
        <v>5831</v>
      </c>
      <c r="M923" s="416" t="s">
        <v>2999</v>
      </c>
      <c r="N923" s="416" t="s">
        <v>2999</v>
      </c>
      <c r="O923" s="417"/>
      <c r="P923" s="416">
        <v>4590007942</v>
      </c>
      <c r="Q923" s="418">
        <v>44867</v>
      </c>
      <c r="R923" s="419">
        <v>3</v>
      </c>
      <c r="S923" s="458">
        <v>44669</v>
      </c>
      <c r="T923" s="420" t="s">
        <v>2156</v>
      </c>
      <c r="U923" s="414" t="s">
        <v>3713</v>
      </c>
      <c r="V923" s="414" t="s">
        <v>3714</v>
      </c>
      <c r="W923" s="417" t="s">
        <v>3715</v>
      </c>
      <c r="X923" s="417"/>
      <c r="Y923" s="421" t="s">
        <v>3652</v>
      </c>
      <c r="Z923" s="421" t="s">
        <v>3652</v>
      </c>
      <c r="AA923" s="416" t="s">
        <v>4559</v>
      </c>
      <c r="AB923" s="414" t="s">
        <v>3716</v>
      </c>
      <c r="AC923" s="426"/>
      <c r="AD923" s="421"/>
      <c r="AE923" s="420"/>
      <c r="AF923" s="421">
        <v>90130</v>
      </c>
      <c r="AG923" s="420" t="s">
        <v>4091</v>
      </c>
      <c r="AH923" s="421" t="s">
        <v>3828</v>
      </c>
      <c r="AI923" s="420" t="s">
        <v>3719</v>
      </c>
      <c r="AJ923" s="413" t="str">
        <f t="shared" si="59"/>
        <v>4590007942_003</v>
      </c>
      <c r="AK923" s="423" t="s">
        <v>5832</v>
      </c>
      <c r="AL923" s="424">
        <v>45408</v>
      </c>
      <c r="AM923" s="221">
        <v>42435.55</v>
      </c>
      <c r="AN923" s="424">
        <v>45565</v>
      </c>
      <c r="AO923" s="423"/>
      <c r="AP923" s="413"/>
      <c r="AQ923" s="222"/>
      <c r="AR923" s="424"/>
      <c r="AS923" s="614">
        <f ca="1">表格1_6[[#This Row],[total amount]]/表格1_6[[#This Row],[PO$]]</f>
        <v>0.95000000000000007</v>
      </c>
      <c r="AT923" s="223">
        <f ca="1">表格1_6[[#This Row],[invoice amount]]+表格1_6[[#This Row],[invoice amount2]]</f>
        <v>42435.55</v>
      </c>
      <c r="AU923" s="224" t="s">
        <v>3725</v>
      </c>
      <c r="AV923" s="423" t="s">
        <v>5833</v>
      </c>
      <c r="AW923" s="423" t="e">
        <f ca="1">VLOOKUP(表格1_6[[#This Row],[TI tool ID2]],工作表1!A:A,1,FALSE)</f>
        <v>#N/A</v>
      </c>
      <c r="AX923" s="425" t="e">
        <f ca="1">VLOOKUP(表格1_6[[#This Row],[PO+ITEM]],工作表1!B:E,2,FALSE)</f>
        <v>#N/A</v>
      </c>
      <c r="AY923" s="425" t="e">
        <f ca="1">VLOOKUP(表格1_6[[#This Row],[PO+ITEM]],工作表1!B:E,3,FALSE)</f>
        <v>#N/A</v>
      </c>
      <c r="AZ923" s="423" t="e">
        <f ca="1">VLOOKUP(表格1_6[[#This Row],[PO+ITEM]],工作表1!B:E,4,FALSE)</f>
        <v>#N/A</v>
      </c>
      <c r="BA923" s="425" t="e">
        <f ca="1">INDEX(工作表1!G:G, MATCH(表格1_6[[#This Row],[invoice number]]&amp;表格1_6[[#This Row],[invoice number2]],工作表1!G:G, 0))</f>
        <v>#N/A</v>
      </c>
      <c r="BB923" s="423" t="e">
        <f ca="1">VLOOKUP(表格1_6[[#This Row],[PO+ITEM]],工作表1!F:H,2,FALSE)</f>
        <v>#N/A</v>
      </c>
    </row>
    <row r="924" spans="1:54" ht="14.45">
      <c r="A924" s="413">
        <v>923</v>
      </c>
      <c r="B924" s="413" t="s">
        <v>3674</v>
      </c>
      <c r="C924" s="414" t="s">
        <v>17</v>
      </c>
      <c r="D924" s="414" t="s">
        <v>3648</v>
      </c>
      <c r="E924" s="414"/>
      <c r="F924" s="414"/>
      <c r="G924" s="414"/>
      <c r="H924" s="414"/>
      <c r="I924" s="414"/>
      <c r="J924" s="414"/>
      <c r="K924" s="414"/>
      <c r="L924" s="415" t="s">
        <v>5834</v>
      </c>
      <c r="M924" s="416" t="s">
        <v>2999</v>
      </c>
      <c r="N924" s="416" t="s">
        <v>2999</v>
      </c>
      <c r="O924" s="417"/>
      <c r="P924" s="416">
        <v>4590007942</v>
      </c>
      <c r="Q924" s="418">
        <v>44867</v>
      </c>
      <c r="R924" s="419">
        <v>4</v>
      </c>
      <c r="S924" s="458">
        <v>44669</v>
      </c>
      <c r="T924" s="420" t="s">
        <v>2156</v>
      </c>
      <c r="U924" s="414" t="s">
        <v>3713</v>
      </c>
      <c r="V924" s="414" t="s">
        <v>3714</v>
      </c>
      <c r="W924" s="417" t="s">
        <v>3715</v>
      </c>
      <c r="X924" s="417"/>
      <c r="Y924" s="421" t="s">
        <v>3652</v>
      </c>
      <c r="Z924" s="421" t="s">
        <v>3652</v>
      </c>
      <c r="AA924" s="416"/>
      <c r="AB924" s="414" t="s">
        <v>3716</v>
      </c>
      <c r="AC924" s="426"/>
      <c r="AD924" s="421"/>
      <c r="AE924" s="420"/>
      <c r="AF924" s="421">
        <v>90849</v>
      </c>
      <c r="AG924" s="420" t="s">
        <v>4641</v>
      </c>
      <c r="AH924" s="421" t="s">
        <v>3828</v>
      </c>
      <c r="AI924" s="420" t="s">
        <v>3719</v>
      </c>
      <c r="AJ924" s="413" t="str">
        <f t="shared" si="59"/>
        <v>4590007942_004</v>
      </c>
      <c r="AK924" s="423" t="s">
        <v>5835</v>
      </c>
      <c r="AL924" s="424">
        <v>45401</v>
      </c>
      <c r="AM924" s="221">
        <v>44669</v>
      </c>
      <c r="AN924" s="424">
        <v>45565</v>
      </c>
      <c r="AO924" s="423"/>
      <c r="AP924" s="413"/>
      <c r="AQ924" s="222"/>
      <c r="AR924" s="424"/>
      <c r="AS924" s="614">
        <f ca="1">表格1_6[[#This Row],[total amount]]/表格1_6[[#This Row],[PO$]]</f>
        <v>1</v>
      </c>
      <c r="AT924" s="223">
        <f ca="1">表格1_6[[#This Row],[invoice amount]]+表格1_6[[#This Row],[invoice amount2]]</f>
        <v>44669</v>
      </c>
      <c r="AU924" s="224" t="s">
        <v>3725</v>
      </c>
      <c r="AV924" s="423"/>
      <c r="AW924" s="423" t="e">
        <f ca="1">VLOOKUP(表格1_6[[#This Row],[TI tool ID2]],工作表1!A:A,1,FALSE)</f>
        <v>#N/A</v>
      </c>
      <c r="AX924" s="425" t="e">
        <f ca="1">VLOOKUP(表格1_6[[#This Row],[PO+ITEM]],工作表1!B:E,2,FALSE)</f>
        <v>#N/A</v>
      </c>
      <c r="AY924" s="425" t="e">
        <f ca="1">VLOOKUP(表格1_6[[#This Row],[PO+ITEM]],工作表1!B:E,3,FALSE)</f>
        <v>#N/A</v>
      </c>
      <c r="AZ924" s="423" t="e">
        <f ca="1">VLOOKUP(表格1_6[[#This Row],[PO+ITEM]],工作表1!B:E,4,FALSE)</f>
        <v>#N/A</v>
      </c>
      <c r="BA924" s="425" t="e">
        <f ca="1">INDEX(工作表1!G:G, MATCH(表格1_6[[#This Row],[invoice number]]&amp;表格1_6[[#This Row],[invoice number2]],工作表1!G:G, 0))</f>
        <v>#N/A</v>
      </c>
      <c r="BB924" s="423" t="e">
        <f ca="1">VLOOKUP(表格1_6[[#This Row],[PO+ITEM]],工作表1!F:H,2,FALSE)</f>
        <v>#N/A</v>
      </c>
    </row>
    <row r="925" spans="1:54" ht="14.45">
      <c r="A925" s="413">
        <v>924</v>
      </c>
      <c r="B925" s="413" t="s">
        <v>3659</v>
      </c>
      <c r="C925" s="414" t="s">
        <v>17</v>
      </c>
      <c r="D925" s="414" t="s">
        <v>3648</v>
      </c>
      <c r="E925" s="414"/>
      <c r="F925" s="414"/>
      <c r="G925" s="414"/>
      <c r="H925" s="414"/>
      <c r="I925" s="414"/>
      <c r="J925" s="414"/>
      <c r="K925" s="414"/>
      <c r="L925" s="415" t="s">
        <v>5836</v>
      </c>
      <c r="M925" s="416" t="s">
        <v>2999</v>
      </c>
      <c r="N925" s="416" t="s">
        <v>2999</v>
      </c>
      <c r="O925" s="417"/>
      <c r="P925" s="416">
        <v>4590007942</v>
      </c>
      <c r="Q925" s="418">
        <v>44867</v>
      </c>
      <c r="R925" s="419">
        <v>5</v>
      </c>
      <c r="S925" s="458">
        <v>44669</v>
      </c>
      <c r="T925" s="420" t="s">
        <v>2156</v>
      </c>
      <c r="U925" s="414" t="s">
        <v>3713</v>
      </c>
      <c r="V925" s="414" t="s">
        <v>3714</v>
      </c>
      <c r="W925" s="417" t="s">
        <v>3715</v>
      </c>
      <c r="X925" s="417"/>
      <c r="Y925" s="421" t="s">
        <v>3652</v>
      </c>
      <c r="Z925" s="421" t="s">
        <v>3652</v>
      </c>
      <c r="AA925" s="416"/>
      <c r="AB925" s="414" t="s">
        <v>3716</v>
      </c>
      <c r="AC925" s="426"/>
      <c r="AD925" s="421"/>
      <c r="AE925" s="420"/>
      <c r="AF925" s="421">
        <v>91395</v>
      </c>
      <c r="AG925" s="420" t="s">
        <v>5362</v>
      </c>
      <c r="AH925" s="421" t="s">
        <v>3828</v>
      </c>
      <c r="AI925" s="420" t="s">
        <v>3719</v>
      </c>
      <c r="AJ925" s="413" t="str">
        <f t="shared" si="59"/>
        <v>4590007942_005</v>
      </c>
      <c r="AK925" s="423"/>
      <c r="AL925" s="413"/>
      <c r="AM925" s="221"/>
      <c r="AN925" s="424"/>
      <c r="AO925" s="423"/>
      <c r="AP925" s="413"/>
      <c r="AQ925" s="222"/>
      <c r="AR925" s="424"/>
      <c r="AS925" s="614">
        <f ca="1">表格1_6[[#This Row],[total amount]]/表格1_6[[#This Row],[PO$]]</f>
        <v>0</v>
      </c>
      <c r="AT925" s="223">
        <f ca="1">表格1_6[[#This Row],[invoice amount]]+表格1_6[[#This Row],[invoice amount2]]</f>
        <v>0</v>
      </c>
      <c r="AU925" s="224"/>
      <c r="AV925" s="423"/>
      <c r="AW925" s="423" t="e">
        <f ca="1">VLOOKUP(表格1_6[[#This Row],[TI tool ID2]],工作表1!A:A,1,FALSE)</f>
        <v>#N/A</v>
      </c>
      <c r="AX925" s="425" t="e">
        <f ca="1">VLOOKUP(表格1_6[[#This Row],[PO+ITEM]],工作表1!B:E,2,FALSE)</f>
        <v>#N/A</v>
      </c>
      <c r="AY925" s="425" t="e">
        <f ca="1">VLOOKUP(表格1_6[[#This Row],[PO+ITEM]],工作表1!B:E,3,FALSE)</f>
        <v>#N/A</v>
      </c>
      <c r="AZ925" s="423" t="e">
        <f ca="1">VLOOKUP(表格1_6[[#This Row],[PO+ITEM]],工作表1!B:E,4,FALSE)</f>
        <v>#N/A</v>
      </c>
      <c r="BA925" s="425" t="e">
        <f ca="1">INDEX(工作表1!G:G, MATCH(表格1_6[[#This Row],[invoice number]]&amp;表格1_6[[#This Row],[invoice number2]],工作表1!G:G, 0))</f>
        <v>#N/A</v>
      </c>
      <c r="BB925" s="423" t="e">
        <f ca="1">VLOOKUP(表格1_6[[#This Row],[PO+ITEM]],工作表1!F:H,2,FALSE)</f>
        <v>#N/A</v>
      </c>
    </row>
    <row r="926" spans="1:54" ht="14.45">
      <c r="A926" s="413">
        <v>925</v>
      </c>
      <c r="B926" s="413" t="s">
        <v>3659</v>
      </c>
      <c r="C926" s="414" t="s">
        <v>17</v>
      </c>
      <c r="D926" s="414" t="s">
        <v>3648</v>
      </c>
      <c r="E926" s="414"/>
      <c r="F926" s="414"/>
      <c r="G926" s="414"/>
      <c r="H926" s="414"/>
      <c r="I926" s="414"/>
      <c r="J926" s="414"/>
      <c r="K926" s="414"/>
      <c r="L926" s="415" t="s">
        <v>5837</v>
      </c>
      <c r="M926" s="416" t="s">
        <v>2999</v>
      </c>
      <c r="N926" s="416" t="s">
        <v>2999</v>
      </c>
      <c r="O926" s="417"/>
      <c r="P926" s="416">
        <v>4590007942</v>
      </c>
      <c r="Q926" s="418">
        <v>44867</v>
      </c>
      <c r="R926" s="419">
        <v>6</v>
      </c>
      <c r="S926" s="458">
        <v>44669</v>
      </c>
      <c r="T926" s="420" t="s">
        <v>2156</v>
      </c>
      <c r="U926" s="414" t="s">
        <v>3713</v>
      </c>
      <c r="V926" s="414" t="s">
        <v>3714</v>
      </c>
      <c r="W926" s="417" t="s">
        <v>3715</v>
      </c>
      <c r="X926" s="417"/>
      <c r="Y926" s="421" t="s">
        <v>3652</v>
      </c>
      <c r="Z926" s="421" t="s">
        <v>3652</v>
      </c>
      <c r="AA926" s="416"/>
      <c r="AB926" s="414" t="s">
        <v>3716</v>
      </c>
      <c r="AC926" s="426"/>
      <c r="AD926" s="421"/>
      <c r="AE926" s="420"/>
      <c r="AF926" s="421">
        <v>91012</v>
      </c>
      <c r="AG926" s="420" t="s">
        <v>5360</v>
      </c>
      <c r="AH926" s="421" t="s">
        <v>3828</v>
      </c>
      <c r="AI926" s="420" t="s">
        <v>3719</v>
      </c>
      <c r="AJ926" s="413" t="str">
        <f t="shared" si="59"/>
        <v>4590007942_006</v>
      </c>
      <c r="AK926" s="423"/>
      <c r="AL926" s="413"/>
      <c r="AM926" s="221"/>
      <c r="AN926" s="424"/>
      <c r="AO926" s="423"/>
      <c r="AP926" s="413"/>
      <c r="AQ926" s="222"/>
      <c r="AR926" s="424"/>
      <c r="AS926" s="614">
        <f ca="1">表格1_6[[#This Row],[total amount]]/表格1_6[[#This Row],[PO$]]</f>
        <v>0</v>
      </c>
      <c r="AT926" s="223">
        <f ca="1">表格1_6[[#This Row],[invoice amount]]+表格1_6[[#This Row],[invoice amount2]]</f>
        <v>0</v>
      </c>
      <c r="AU926" s="224"/>
      <c r="AV926" s="423"/>
      <c r="AW926" s="423" t="e">
        <f ca="1">VLOOKUP(表格1_6[[#This Row],[TI tool ID2]],工作表1!A:A,1,FALSE)</f>
        <v>#N/A</v>
      </c>
      <c r="AX926" s="425" t="e">
        <f ca="1">VLOOKUP(表格1_6[[#This Row],[PO+ITEM]],工作表1!B:E,2,FALSE)</f>
        <v>#N/A</v>
      </c>
      <c r="AY926" s="425" t="e">
        <f ca="1">VLOOKUP(表格1_6[[#This Row],[PO+ITEM]],工作表1!B:E,3,FALSE)</f>
        <v>#N/A</v>
      </c>
      <c r="AZ926" s="423" t="e">
        <f ca="1">VLOOKUP(表格1_6[[#This Row],[PO+ITEM]],工作表1!B:E,4,FALSE)</f>
        <v>#N/A</v>
      </c>
      <c r="BA926" s="425" t="e">
        <f ca="1">INDEX(工作表1!G:G, MATCH(表格1_6[[#This Row],[invoice number]]&amp;表格1_6[[#This Row],[invoice number2]],工作表1!G:G, 0))</f>
        <v>#N/A</v>
      </c>
      <c r="BB926" s="423" t="e">
        <f ca="1">VLOOKUP(表格1_6[[#This Row],[PO+ITEM]],工作表1!F:H,2,FALSE)</f>
        <v>#N/A</v>
      </c>
    </row>
    <row r="927" spans="1:54" ht="14.45">
      <c r="A927" s="413">
        <v>926</v>
      </c>
      <c r="B927" s="413" t="s">
        <v>3659</v>
      </c>
      <c r="C927" s="414" t="s">
        <v>17</v>
      </c>
      <c r="D927" s="414" t="s">
        <v>3648</v>
      </c>
      <c r="E927" s="414"/>
      <c r="F927" s="414"/>
      <c r="G927" s="414"/>
      <c r="H927" s="414"/>
      <c r="I927" s="414"/>
      <c r="J927" s="414"/>
      <c r="K927" s="414"/>
      <c r="L927" s="415" t="s">
        <v>5838</v>
      </c>
      <c r="M927" s="416" t="s">
        <v>2999</v>
      </c>
      <c r="N927" s="416" t="s">
        <v>2999</v>
      </c>
      <c r="O927" s="417"/>
      <c r="P927" s="416">
        <v>4590007942</v>
      </c>
      <c r="Q927" s="418">
        <v>44867</v>
      </c>
      <c r="R927" s="419">
        <v>7</v>
      </c>
      <c r="S927" s="458">
        <v>44669</v>
      </c>
      <c r="T927" s="420" t="s">
        <v>2156</v>
      </c>
      <c r="U927" s="414" t="s">
        <v>3713</v>
      </c>
      <c r="V927" s="414" t="s">
        <v>3714</v>
      </c>
      <c r="W927" s="417" t="s">
        <v>3715</v>
      </c>
      <c r="X927" s="417"/>
      <c r="Y927" s="421" t="s">
        <v>3652</v>
      </c>
      <c r="Z927" s="421" t="s">
        <v>3652</v>
      </c>
      <c r="AA927" s="416"/>
      <c r="AB927" s="414" t="s">
        <v>3716</v>
      </c>
      <c r="AC927" s="426"/>
      <c r="AD927" s="421"/>
      <c r="AE927" s="420"/>
      <c r="AF927" s="421">
        <v>91093</v>
      </c>
      <c r="AG927" s="420" t="s">
        <v>5839</v>
      </c>
      <c r="AH927" s="421" t="s">
        <v>3828</v>
      </c>
      <c r="AI927" s="420" t="s">
        <v>3719</v>
      </c>
      <c r="AJ927" s="413" t="str">
        <f t="shared" si="59"/>
        <v>4590007942_007</v>
      </c>
      <c r="AK927" s="423"/>
      <c r="AL927" s="413"/>
      <c r="AM927" s="221"/>
      <c r="AN927" s="424"/>
      <c r="AO927" s="423"/>
      <c r="AP927" s="413"/>
      <c r="AQ927" s="222"/>
      <c r="AR927" s="424"/>
      <c r="AS927" s="614">
        <f ca="1">表格1_6[[#This Row],[total amount]]/表格1_6[[#This Row],[PO$]]</f>
        <v>0</v>
      </c>
      <c r="AT927" s="223">
        <f ca="1">表格1_6[[#This Row],[invoice amount]]+表格1_6[[#This Row],[invoice amount2]]</f>
        <v>0</v>
      </c>
      <c r="AU927" s="224"/>
      <c r="AV927" s="423"/>
      <c r="AW927" s="423" t="e">
        <f ca="1">VLOOKUP(表格1_6[[#This Row],[TI tool ID2]],工作表1!A:A,1,FALSE)</f>
        <v>#N/A</v>
      </c>
      <c r="AX927" s="425" t="e">
        <f ca="1">VLOOKUP(表格1_6[[#This Row],[PO+ITEM]],工作表1!B:E,2,FALSE)</f>
        <v>#N/A</v>
      </c>
      <c r="AY927" s="425" t="e">
        <f ca="1">VLOOKUP(表格1_6[[#This Row],[PO+ITEM]],工作表1!B:E,3,FALSE)</f>
        <v>#N/A</v>
      </c>
      <c r="AZ927" s="423" t="e">
        <f ca="1">VLOOKUP(表格1_6[[#This Row],[PO+ITEM]],工作表1!B:E,4,FALSE)</f>
        <v>#N/A</v>
      </c>
      <c r="BA927" s="425" t="e">
        <f ca="1">INDEX(工作表1!G:G, MATCH(表格1_6[[#This Row],[invoice number]]&amp;表格1_6[[#This Row],[invoice number2]],工作表1!G:G, 0))</f>
        <v>#N/A</v>
      </c>
      <c r="BB927" s="423" t="e">
        <f ca="1">VLOOKUP(表格1_6[[#This Row],[PO+ITEM]],工作表1!F:H,2,FALSE)</f>
        <v>#N/A</v>
      </c>
    </row>
    <row r="928" spans="1:54" ht="14.45">
      <c r="A928" s="413">
        <v>927</v>
      </c>
      <c r="B928" s="413" t="s">
        <v>3674</v>
      </c>
      <c r="C928" s="414" t="s">
        <v>17</v>
      </c>
      <c r="D928" s="414" t="s">
        <v>3648</v>
      </c>
      <c r="E928" s="414"/>
      <c r="F928" s="414"/>
      <c r="G928" s="414"/>
      <c r="H928" s="414"/>
      <c r="I928" s="414"/>
      <c r="J928" s="414"/>
      <c r="K928" s="414"/>
      <c r="L928" s="415" t="s">
        <v>5840</v>
      </c>
      <c r="M928" s="416" t="s">
        <v>2999</v>
      </c>
      <c r="N928" s="416" t="s">
        <v>2206</v>
      </c>
      <c r="O928" s="417"/>
      <c r="P928" s="416">
        <v>4590008015</v>
      </c>
      <c r="Q928" s="418">
        <v>44868</v>
      </c>
      <c r="R928" s="419">
        <v>1</v>
      </c>
      <c r="S928" s="458">
        <v>31318.99</v>
      </c>
      <c r="T928" s="420" t="s">
        <v>2156</v>
      </c>
      <c r="U928" s="414" t="s">
        <v>3913</v>
      </c>
      <c r="V928" s="414" t="s">
        <v>3914</v>
      </c>
      <c r="W928" s="417" t="s">
        <v>3915</v>
      </c>
      <c r="X928" s="417"/>
      <c r="Y928" s="421" t="s">
        <v>3652</v>
      </c>
      <c r="Z928" s="421" t="s">
        <v>3652</v>
      </c>
      <c r="AA928" s="416" t="s">
        <v>5841</v>
      </c>
      <c r="AB928" s="414" t="s">
        <v>5842</v>
      </c>
      <c r="AC928" s="426"/>
      <c r="AD928" s="421"/>
      <c r="AE928" s="420"/>
      <c r="AF928" s="421">
        <v>90759</v>
      </c>
      <c r="AG928" s="420" t="s">
        <v>5843</v>
      </c>
      <c r="AH928" s="421" t="s">
        <v>3681</v>
      </c>
      <c r="AI928" s="420" t="s">
        <v>3919</v>
      </c>
      <c r="AJ928" s="413" t="str">
        <f t="shared" si="59"/>
        <v>4590008015_001</v>
      </c>
      <c r="AK928" s="423" t="s">
        <v>5844</v>
      </c>
      <c r="AL928" s="424">
        <v>45380</v>
      </c>
      <c r="AM928" s="222">
        <v>31318.99</v>
      </c>
      <c r="AN928" s="424">
        <v>45503</v>
      </c>
      <c r="AO928" s="423"/>
      <c r="AP928" s="413"/>
      <c r="AQ928" s="222"/>
      <c r="AR928" s="424"/>
      <c r="AS928" s="614">
        <f ca="1">表格1_6[[#This Row],[total amount]]/表格1_6[[#This Row],[PO$]]</f>
        <v>1</v>
      </c>
      <c r="AT928" s="223">
        <f ca="1">表格1_6[[#This Row],[invoice amount]]+表格1_6[[#This Row],[invoice amount2]]</f>
        <v>31318.99</v>
      </c>
      <c r="AU928" s="224" t="s">
        <v>3725</v>
      </c>
      <c r="AV928" s="423"/>
      <c r="AW928" s="423" t="e">
        <f ca="1">VLOOKUP(表格1_6[[#This Row],[TI tool ID2]],工作表1!A:A,1,FALSE)</f>
        <v>#N/A</v>
      </c>
      <c r="AX928" s="425" t="e">
        <f ca="1">VLOOKUP(表格1_6[[#This Row],[PO+ITEM]],工作表1!B:E,2,FALSE)</f>
        <v>#N/A</v>
      </c>
      <c r="AY928" s="425" t="e">
        <f ca="1">VLOOKUP(表格1_6[[#This Row],[PO+ITEM]],工作表1!B:E,3,FALSE)</f>
        <v>#N/A</v>
      </c>
      <c r="AZ928" s="423" t="e">
        <f ca="1">VLOOKUP(表格1_6[[#This Row],[PO+ITEM]],工作表1!B:E,4,FALSE)</f>
        <v>#N/A</v>
      </c>
      <c r="BA928" s="425" t="e">
        <f ca="1">INDEX(工作表1!G:G, MATCH(表格1_6[[#This Row],[invoice number]]&amp;表格1_6[[#This Row],[invoice number2]],工作表1!G:G, 0))</f>
        <v>#N/A</v>
      </c>
      <c r="BB928" s="423" t="e">
        <f ca="1">VLOOKUP(表格1_6[[#This Row],[PO+ITEM]],工作表1!F:H,2,FALSE)</f>
        <v>#N/A</v>
      </c>
    </row>
    <row r="929" spans="1:54" ht="14.45">
      <c r="A929" s="413">
        <v>928</v>
      </c>
      <c r="B929" s="413" t="s">
        <v>3659</v>
      </c>
      <c r="C929" s="414" t="s">
        <v>17</v>
      </c>
      <c r="D929" s="414" t="s">
        <v>3648</v>
      </c>
      <c r="E929" s="414"/>
      <c r="F929" s="414"/>
      <c r="G929" s="414"/>
      <c r="H929" s="414"/>
      <c r="I929" s="414"/>
      <c r="J929" s="414"/>
      <c r="K929" s="414"/>
      <c r="L929" s="420" t="s">
        <v>5845</v>
      </c>
      <c r="M929" s="416" t="s">
        <v>2999</v>
      </c>
      <c r="N929" s="416" t="s">
        <v>2206</v>
      </c>
      <c r="O929" s="417"/>
      <c r="P929" s="416">
        <v>4590008015</v>
      </c>
      <c r="Q929" s="418">
        <v>44868</v>
      </c>
      <c r="R929" s="419">
        <v>2</v>
      </c>
      <c r="S929" s="458">
        <v>31318.99</v>
      </c>
      <c r="T929" s="420" t="s">
        <v>2156</v>
      </c>
      <c r="U929" s="414" t="s">
        <v>3913</v>
      </c>
      <c r="V929" s="414" t="s">
        <v>3914</v>
      </c>
      <c r="W929" s="417" t="s">
        <v>3915</v>
      </c>
      <c r="X929" s="417"/>
      <c r="Y929" s="421" t="s">
        <v>3652</v>
      </c>
      <c r="Z929" s="421" t="s">
        <v>3652</v>
      </c>
      <c r="AA929" s="416" t="s">
        <v>5841</v>
      </c>
      <c r="AB929" s="414" t="s">
        <v>5842</v>
      </c>
      <c r="AC929" s="426"/>
      <c r="AD929" s="421"/>
      <c r="AE929" s="420"/>
      <c r="AF929" s="421">
        <v>91295</v>
      </c>
      <c r="AG929" s="420" t="s">
        <v>5846</v>
      </c>
      <c r="AH929" s="421" t="s">
        <v>3681</v>
      </c>
      <c r="AI929" s="420" t="s">
        <v>3919</v>
      </c>
      <c r="AJ929" s="413" t="str">
        <f t="shared" si="59"/>
        <v>4590008015_002</v>
      </c>
      <c r="AK929" s="423"/>
      <c r="AL929" s="413"/>
      <c r="AM929" s="221"/>
      <c r="AN929" s="424"/>
      <c r="AO929" s="423"/>
      <c r="AP929" s="413"/>
      <c r="AQ929" s="222"/>
      <c r="AR929" s="424"/>
      <c r="AS929" s="614">
        <f ca="1">表格1_6[[#This Row],[total amount]]/表格1_6[[#This Row],[PO$]]</f>
        <v>0</v>
      </c>
      <c r="AT929" s="223">
        <f ca="1">表格1_6[[#This Row],[invoice amount]]+表格1_6[[#This Row],[invoice amount2]]</f>
        <v>0</v>
      </c>
      <c r="AU929" s="224"/>
      <c r="AV929" s="423"/>
      <c r="AW929" s="423" t="e">
        <f ca="1">VLOOKUP(表格1_6[[#This Row],[TI tool ID2]],工作表1!A:A,1,FALSE)</f>
        <v>#N/A</v>
      </c>
      <c r="AX929" s="425" t="e">
        <f ca="1">VLOOKUP(表格1_6[[#This Row],[PO+ITEM]],工作表1!B:E,2,FALSE)</f>
        <v>#N/A</v>
      </c>
      <c r="AY929" s="425" t="e">
        <f ca="1">VLOOKUP(表格1_6[[#This Row],[PO+ITEM]],工作表1!B:E,3,FALSE)</f>
        <v>#N/A</v>
      </c>
      <c r="AZ929" s="423" t="e">
        <f ca="1">VLOOKUP(表格1_6[[#This Row],[PO+ITEM]],工作表1!B:E,4,FALSE)</f>
        <v>#N/A</v>
      </c>
      <c r="BA929" s="425" t="e">
        <f ca="1">INDEX(工作表1!G:G, MATCH(表格1_6[[#This Row],[invoice number]]&amp;表格1_6[[#This Row],[invoice number2]],工作表1!G:G, 0))</f>
        <v>#N/A</v>
      </c>
      <c r="BB929" s="423" t="e">
        <f ca="1">VLOOKUP(表格1_6[[#This Row],[PO+ITEM]],工作表1!F:H,2,FALSE)</f>
        <v>#N/A</v>
      </c>
    </row>
    <row r="930" spans="1:54" ht="14.45">
      <c r="A930" s="413">
        <v>929</v>
      </c>
      <c r="B930" s="413" t="s">
        <v>3659</v>
      </c>
      <c r="C930" s="414" t="s">
        <v>16</v>
      </c>
      <c r="D930" s="414" t="s">
        <v>3648</v>
      </c>
      <c r="E930" s="414"/>
      <c r="F930" s="414"/>
      <c r="G930" s="414"/>
      <c r="H930" s="414"/>
      <c r="I930" s="414"/>
      <c r="J930" s="414"/>
      <c r="K930" s="414"/>
      <c r="L930" s="415" t="s">
        <v>5847</v>
      </c>
      <c r="M930" s="416" t="s">
        <v>2999</v>
      </c>
      <c r="N930" s="416" t="s">
        <v>2999</v>
      </c>
      <c r="O930" s="415"/>
      <c r="P930" s="416">
        <v>4590009024</v>
      </c>
      <c r="Q930" s="418">
        <v>44944</v>
      </c>
      <c r="R930" s="419">
        <v>1</v>
      </c>
      <c r="S930" s="458">
        <v>3780.29</v>
      </c>
      <c r="T930" s="445" t="s">
        <v>2156</v>
      </c>
      <c r="U930" s="414" t="s">
        <v>3661</v>
      </c>
      <c r="V930" s="414" t="s">
        <v>3662</v>
      </c>
      <c r="W930" s="417" t="s">
        <v>3663</v>
      </c>
      <c r="X930" s="417"/>
      <c r="Y930" s="421" t="s">
        <v>3652</v>
      </c>
      <c r="Z930" s="421" t="s">
        <v>3652</v>
      </c>
      <c r="AA930" s="416"/>
      <c r="AB930" s="414" t="s">
        <v>3664</v>
      </c>
      <c r="AC930" s="426"/>
      <c r="AD930" s="421"/>
      <c r="AE930" s="420"/>
      <c r="AF930" s="421">
        <v>91439</v>
      </c>
      <c r="AG930" s="420" t="s">
        <v>5848</v>
      </c>
      <c r="AH930" s="421" t="s">
        <v>3828</v>
      </c>
      <c r="AI930" s="420" t="s">
        <v>4444</v>
      </c>
      <c r="AJ930" s="413" t="str">
        <f t="shared" si="59"/>
        <v>4590009024_001</v>
      </c>
      <c r="AK930" s="423"/>
      <c r="AL930" s="413"/>
      <c r="AM930" s="221"/>
      <c r="AN930" s="424"/>
      <c r="AO930" s="423"/>
      <c r="AP930" s="413"/>
      <c r="AQ930" s="222"/>
      <c r="AR930" s="424"/>
      <c r="AS930" s="614">
        <f ca="1">表格1_6[[#This Row],[total amount]]/表格1_6[[#This Row],[PO$]]</f>
        <v>0</v>
      </c>
      <c r="AT930" s="223">
        <f ca="1">表格1_6[[#This Row],[invoice amount]]+表格1_6[[#This Row],[invoice amount2]]</f>
        <v>0</v>
      </c>
      <c r="AU930" s="224"/>
      <c r="AV930" s="423"/>
      <c r="AW930" s="423" t="e">
        <f ca="1">VLOOKUP(表格1_6[[#This Row],[TI tool ID2]],工作表1!A:A,1,FALSE)</f>
        <v>#N/A</v>
      </c>
      <c r="AX930" s="425" t="e">
        <f ca="1">VLOOKUP(表格1_6[[#This Row],[PO+ITEM]],工作表1!B:E,2,FALSE)</f>
        <v>#N/A</v>
      </c>
      <c r="AY930" s="425" t="e">
        <f ca="1">VLOOKUP(表格1_6[[#This Row],[PO+ITEM]],工作表1!B:E,3,FALSE)</f>
        <v>#N/A</v>
      </c>
      <c r="AZ930" s="423" t="e">
        <f ca="1">VLOOKUP(表格1_6[[#This Row],[PO+ITEM]],工作表1!B:E,4,FALSE)</f>
        <v>#N/A</v>
      </c>
      <c r="BA930" s="425" t="e">
        <f ca="1">INDEX(工作表1!G:G, MATCH(表格1_6[[#This Row],[invoice number]]&amp;表格1_6[[#This Row],[invoice number2]],工作表1!G:G, 0))</f>
        <v>#N/A</v>
      </c>
      <c r="BB930" s="423" t="e">
        <f ca="1">VLOOKUP(表格1_6[[#This Row],[PO+ITEM]],工作表1!F:H,2,FALSE)</f>
        <v>#N/A</v>
      </c>
    </row>
    <row r="931" spans="1:54" ht="14.45">
      <c r="A931" s="413">
        <v>930</v>
      </c>
      <c r="B931" s="413" t="s">
        <v>3659</v>
      </c>
      <c r="C931" s="414" t="s">
        <v>16</v>
      </c>
      <c r="D931" s="414" t="s">
        <v>3648</v>
      </c>
      <c r="E931" s="414"/>
      <c r="F931" s="414"/>
      <c r="G931" s="414"/>
      <c r="H931" s="414"/>
      <c r="I931" s="414"/>
      <c r="J931" s="414"/>
      <c r="K931" s="414"/>
      <c r="L931" s="420" t="s">
        <v>5849</v>
      </c>
      <c r="M931" s="416" t="s">
        <v>2999</v>
      </c>
      <c r="N931" s="416" t="s">
        <v>2999</v>
      </c>
      <c r="O931" s="415"/>
      <c r="P931" s="416">
        <v>4590009024</v>
      </c>
      <c r="Q931" s="418">
        <v>44944</v>
      </c>
      <c r="R931" s="419">
        <v>2</v>
      </c>
      <c r="S931" s="458">
        <v>3780.29</v>
      </c>
      <c r="T931" s="445" t="s">
        <v>2156</v>
      </c>
      <c r="U931" s="414" t="s">
        <v>3661</v>
      </c>
      <c r="V931" s="414" t="s">
        <v>3662</v>
      </c>
      <c r="W931" s="417" t="s">
        <v>3663</v>
      </c>
      <c r="X931" s="417"/>
      <c r="Y931" s="421" t="s">
        <v>3652</v>
      </c>
      <c r="Z931" s="421" t="s">
        <v>3652</v>
      </c>
      <c r="AA931" s="416"/>
      <c r="AB931" s="414" t="s">
        <v>3664</v>
      </c>
      <c r="AC931" s="426"/>
      <c r="AD931" s="421"/>
      <c r="AE931" s="420"/>
      <c r="AF931" s="421">
        <v>91440</v>
      </c>
      <c r="AG931" s="420" t="s">
        <v>5850</v>
      </c>
      <c r="AH931" s="421" t="s">
        <v>3828</v>
      </c>
      <c r="AI931" s="420" t="s">
        <v>4444</v>
      </c>
      <c r="AJ931" s="413" t="str">
        <f t="shared" si="59"/>
        <v>4590009024_002</v>
      </c>
      <c r="AK931" s="423"/>
      <c r="AL931" s="413"/>
      <c r="AM931" s="221"/>
      <c r="AN931" s="424"/>
      <c r="AO931" s="423"/>
      <c r="AP931" s="413"/>
      <c r="AQ931" s="222"/>
      <c r="AR931" s="424"/>
      <c r="AS931" s="614">
        <f ca="1">表格1_6[[#This Row],[total amount]]/表格1_6[[#This Row],[PO$]]</f>
        <v>0</v>
      </c>
      <c r="AT931" s="223">
        <f ca="1">表格1_6[[#This Row],[invoice amount]]+表格1_6[[#This Row],[invoice amount2]]</f>
        <v>0</v>
      </c>
      <c r="AU931" s="224"/>
      <c r="AV931" s="423"/>
      <c r="AW931" s="423" t="e">
        <f ca="1">VLOOKUP(表格1_6[[#This Row],[TI tool ID2]],工作表1!A:A,1,FALSE)</f>
        <v>#N/A</v>
      </c>
      <c r="AX931" s="425" t="e">
        <f ca="1">VLOOKUP(表格1_6[[#This Row],[PO+ITEM]],工作表1!B:E,2,FALSE)</f>
        <v>#N/A</v>
      </c>
      <c r="AY931" s="425" t="e">
        <f ca="1">VLOOKUP(表格1_6[[#This Row],[PO+ITEM]],工作表1!B:E,3,FALSE)</f>
        <v>#N/A</v>
      </c>
      <c r="AZ931" s="423" t="e">
        <f ca="1">VLOOKUP(表格1_6[[#This Row],[PO+ITEM]],工作表1!B:E,4,FALSE)</f>
        <v>#N/A</v>
      </c>
      <c r="BA931" s="425" t="e">
        <f ca="1">INDEX(工作表1!G:G, MATCH(表格1_6[[#This Row],[invoice number]]&amp;表格1_6[[#This Row],[invoice number2]],工作表1!G:G, 0))</f>
        <v>#N/A</v>
      </c>
      <c r="BB931" s="423" t="e">
        <f ca="1">VLOOKUP(表格1_6[[#This Row],[PO+ITEM]],工作表1!F:H,2,FALSE)</f>
        <v>#N/A</v>
      </c>
    </row>
    <row r="932" spans="1:54" ht="14.45">
      <c r="A932" s="413">
        <v>931</v>
      </c>
      <c r="B932" s="413" t="s">
        <v>3659</v>
      </c>
      <c r="C932" s="414" t="s">
        <v>16</v>
      </c>
      <c r="D932" s="414" t="s">
        <v>3648</v>
      </c>
      <c r="E932" s="414"/>
      <c r="F932" s="414"/>
      <c r="G932" s="414"/>
      <c r="H932" s="414"/>
      <c r="I932" s="414"/>
      <c r="J932" s="414"/>
      <c r="K932" s="414"/>
      <c r="L932" s="415" t="s">
        <v>5851</v>
      </c>
      <c r="M932" s="416" t="s">
        <v>2999</v>
      </c>
      <c r="N932" s="416" t="s">
        <v>2999</v>
      </c>
      <c r="O932" s="415"/>
      <c r="P932" s="416">
        <v>4590009024</v>
      </c>
      <c r="Q932" s="418">
        <v>44944</v>
      </c>
      <c r="R932" s="419">
        <v>3</v>
      </c>
      <c r="S932" s="458">
        <v>3780.29</v>
      </c>
      <c r="T932" s="445" t="s">
        <v>2156</v>
      </c>
      <c r="U932" s="414" t="s">
        <v>3661</v>
      </c>
      <c r="V932" s="414" t="s">
        <v>3662</v>
      </c>
      <c r="W932" s="417" t="s">
        <v>3663</v>
      </c>
      <c r="X932" s="417"/>
      <c r="Y932" s="421" t="s">
        <v>3652</v>
      </c>
      <c r="Z932" s="421" t="s">
        <v>3652</v>
      </c>
      <c r="AA932" s="416"/>
      <c r="AB932" s="414" t="s">
        <v>3664</v>
      </c>
      <c r="AC932" s="426"/>
      <c r="AD932" s="421"/>
      <c r="AE932" s="420"/>
      <c r="AF932" s="421">
        <v>91441</v>
      </c>
      <c r="AG932" s="420" t="s">
        <v>5852</v>
      </c>
      <c r="AH932" s="421" t="s">
        <v>3828</v>
      </c>
      <c r="AI932" s="420" t="s">
        <v>4444</v>
      </c>
      <c r="AJ932" s="413" t="str">
        <f t="shared" si="59"/>
        <v>4590009024_003</v>
      </c>
      <c r="AK932" s="423"/>
      <c r="AL932" s="413"/>
      <c r="AM932" s="221"/>
      <c r="AN932" s="424"/>
      <c r="AO932" s="423"/>
      <c r="AP932" s="413"/>
      <c r="AQ932" s="222"/>
      <c r="AR932" s="424"/>
      <c r="AS932" s="614">
        <f ca="1">表格1_6[[#This Row],[total amount]]/表格1_6[[#This Row],[PO$]]</f>
        <v>0</v>
      </c>
      <c r="AT932" s="223">
        <f ca="1">表格1_6[[#This Row],[invoice amount]]+表格1_6[[#This Row],[invoice amount2]]</f>
        <v>0</v>
      </c>
      <c r="AU932" s="224"/>
      <c r="AV932" s="423"/>
      <c r="AW932" s="423" t="e">
        <f ca="1">VLOOKUP(表格1_6[[#This Row],[TI tool ID2]],工作表1!A:A,1,FALSE)</f>
        <v>#N/A</v>
      </c>
      <c r="AX932" s="425" t="e">
        <f ca="1">VLOOKUP(表格1_6[[#This Row],[PO+ITEM]],工作表1!B:E,2,FALSE)</f>
        <v>#N/A</v>
      </c>
      <c r="AY932" s="425" t="e">
        <f ca="1">VLOOKUP(表格1_6[[#This Row],[PO+ITEM]],工作表1!B:E,3,FALSE)</f>
        <v>#N/A</v>
      </c>
      <c r="AZ932" s="423" t="e">
        <f ca="1">VLOOKUP(表格1_6[[#This Row],[PO+ITEM]],工作表1!B:E,4,FALSE)</f>
        <v>#N/A</v>
      </c>
      <c r="BA932" s="425" t="e">
        <f ca="1">INDEX(工作表1!G:G, MATCH(表格1_6[[#This Row],[invoice number]]&amp;表格1_6[[#This Row],[invoice number2]],工作表1!G:G, 0))</f>
        <v>#N/A</v>
      </c>
      <c r="BB932" s="423" t="e">
        <f ca="1">VLOOKUP(表格1_6[[#This Row],[PO+ITEM]],工作表1!F:H,2,FALSE)</f>
        <v>#N/A</v>
      </c>
    </row>
    <row r="933" spans="1:54" ht="14.45">
      <c r="A933" s="413">
        <v>932</v>
      </c>
      <c r="B933" s="413" t="s">
        <v>3659</v>
      </c>
      <c r="C933" s="414" t="s">
        <v>16</v>
      </c>
      <c r="D933" s="414" t="s">
        <v>3648</v>
      </c>
      <c r="E933" s="414"/>
      <c r="F933" s="414"/>
      <c r="G933" s="414"/>
      <c r="H933" s="414"/>
      <c r="I933" s="414"/>
      <c r="J933" s="414"/>
      <c r="K933" s="414"/>
      <c r="L933" s="415" t="s">
        <v>5853</v>
      </c>
      <c r="M933" s="416" t="s">
        <v>2999</v>
      </c>
      <c r="N933" s="416" t="s">
        <v>2999</v>
      </c>
      <c r="O933" s="415"/>
      <c r="P933" s="416">
        <v>4590009024</v>
      </c>
      <c r="Q933" s="418">
        <v>44944</v>
      </c>
      <c r="R933" s="419">
        <v>4</v>
      </c>
      <c r="S933" s="458">
        <v>1455.78</v>
      </c>
      <c r="T933" s="445" t="s">
        <v>2156</v>
      </c>
      <c r="U933" s="414" t="s">
        <v>3661</v>
      </c>
      <c r="V933" s="414" t="s">
        <v>3662</v>
      </c>
      <c r="W933" s="417" t="s">
        <v>3663</v>
      </c>
      <c r="X933" s="417"/>
      <c r="Y933" s="421" t="s">
        <v>3652</v>
      </c>
      <c r="Z933" s="421" t="s">
        <v>3652</v>
      </c>
      <c r="AA933" s="416"/>
      <c r="AB933" s="414" t="s">
        <v>3664</v>
      </c>
      <c r="AC933" s="426"/>
      <c r="AD933" s="421"/>
      <c r="AE933" s="420"/>
      <c r="AF933" s="421">
        <v>91428</v>
      </c>
      <c r="AG933" s="420" t="s">
        <v>3281</v>
      </c>
      <c r="AH933" s="421" t="s">
        <v>3828</v>
      </c>
      <c r="AI933" s="420" t="s">
        <v>3666</v>
      </c>
      <c r="AJ933" s="413" t="str">
        <f t="shared" si="59"/>
        <v>4590009024_004</v>
      </c>
      <c r="AK933" s="423"/>
      <c r="AL933" s="413"/>
      <c r="AM933" s="221"/>
      <c r="AN933" s="424"/>
      <c r="AO933" s="423"/>
      <c r="AP933" s="413"/>
      <c r="AQ933" s="222"/>
      <c r="AR933" s="424"/>
      <c r="AS933" s="614">
        <f ca="1">表格1_6[[#This Row],[total amount]]/表格1_6[[#This Row],[PO$]]</f>
        <v>0</v>
      </c>
      <c r="AT933" s="223">
        <f ca="1">表格1_6[[#This Row],[invoice amount]]+表格1_6[[#This Row],[invoice amount2]]</f>
        <v>0</v>
      </c>
      <c r="AU933" s="224"/>
      <c r="AV933" s="423"/>
      <c r="AW933" s="423" t="e">
        <f ca="1">VLOOKUP(表格1_6[[#This Row],[TI tool ID2]],工作表1!A:A,1,FALSE)</f>
        <v>#N/A</v>
      </c>
      <c r="AX933" s="425" t="e">
        <f ca="1">VLOOKUP(表格1_6[[#This Row],[PO+ITEM]],工作表1!B:E,2,FALSE)</f>
        <v>#N/A</v>
      </c>
      <c r="AY933" s="425" t="e">
        <f ca="1">VLOOKUP(表格1_6[[#This Row],[PO+ITEM]],工作表1!B:E,3,FALSE)</f>
        <v>#N/A</v>
      </c>
      <c r="AZ933" s="423" t="e">
        <f ca="1">VLOOKUP(表格1_6[[#This Row],[PO+ITEM]],工作表1!B:E,4,FALSE)</f>
        <v>#N/A</v>
      </c>
      <c r="BA933" s="425" t="e">
        <f ca="1">INDEX(工作表1!G:G, MATCH(表格1_6[[#This Row],[invoice number]]&amp;表格1_6[[#This Row],[invoice number2]],工作表1!G:G, 0))</f>
        <v>#N/A</v>
      </c>
      <c r="BB933" s="423" t="e">
        <f ca="1">VLOOKUP(表格1_6[[#This Row],[PO+ITEM]],工作表1!F:H,2,FALSE)</f>
        <v>#N/A</v>
      </c>
    </row>
    <row r="934" spans="1:54" ht="14.45">
      <c r="A934" s="413">
        <v>933</v>
      </c>
      <c r="B934" s="413"/>
      <c r="C934" s="414" t="s">
        <v>16</v>
      </c>
      <c r="D934" s="414" t="s">
        <v>3648</v>
      </c>
      <c r="E934" s="414"/>
      <c r="F934" s="414"/>
      <c r="G934" s="414"/>
      <c r="H934" s="414"/>
      <c r="I934" s="414"/>
      <c r="J934" s="414"/>
      <c r="K934" s="414"/>
      <c r="L934" s="420" t="s">
        <v>5854</v>
      </c>
      <c r="M934" s="416" t="s">
        <v>2999</v>
      </c>
      <c r="N934" s="416" t="s">
        <v>2999</v>
      </c>
      <c r="O934" s="415"/>
      <c r="P934" s="416">
        <v>4590009024</v>
      </c>
      <c r="Q934" s="418">
        <v>44944</v>
      </c>
      <c r="R934" s="419">
        <v>5</v>
      </c>
      <c r="S934" s="458">
        <v>1455.78</v>
      </c>
      <c r="T934" s="445" t="s">
        <v>2156</v>
      </c>
      <c r="U934" s="414" t="s">
        <v>3661</v>
      </c>
      <c r="V934" s="414" t="s">
        <v>3662</v>
      </c>
      <c r="W934" s="417" t="s">
        <v>3663</v>
      </c>
      <c r="X934" s="417"/>
      <c r="Y934" s="421" t="s">
        <v>3652</v>
      </c>
      <c r="Z934" s="421" t="s">
        <v>3652</v>
      </c>
      <c r="AA934" s="416"/>
      <c r="AB934" s="414" t="s">
        <v>3664</v>
      </c>
      <c r="AC934" s="426"/>
      <c r="AD934" s="421"/>
      <c r="AE934" s="420"/>
      <c r="AF934" s="421">
        <v>91425</v>
      </c>
      <c r="AG934" s="420" t="s">
        <v>3283</v>
      </c>
      <c r="AH934" s="421" t="s">
        <v>3828</v>
      </c>
      <c r="AI934" s="420" t="s">
        <v>3666</v>
      </c>
      <c r="AJ934" s="413" t="str">
        <f t="shared" si="59"/>
        <v>4590009024_005</v>
      </c>
      <c r="AK934" s="423"/>
      <c r="AL934" s="413"/>
      <c r="AM934" s="221"/>
      <c r="AN934" s="424"/>
      <c r="AO934" s="423"/>
      <c r="AP934" s="413"/>
      <c r="AQ934" s="222"/>
      <c r="AR934" s="424"/>
      <c r="AS934" s="614">
        <f ca="1">表格1_6[[#This Row],[total amount]]/表格1_6[[#This Row],[PO$]]</f>
        <v>0</v>
      </c>
      <c r="AT934" s="223">
        <f ca="1">表格1_6[[#This Row],[invoice amount]]+表格1_6[[#This Row],[invoice amount2]]</f>
        <v>0</v>
      </c>
      <c r="AU934" s="224"/>
      <c r="AV934" s="423"/>
      <c r="AW934" s="423" t="e">
        <f ca="1">VLOOKUP(表格1_6[[#This Row],[TI tool ID2]],工作表1!A:A,1,FALSE)</f>
        <v>#N/A</v>
      </c>
      <c r="AX934" s="425" t="e">
        <f ca="1">VLOOKUP(表格1_6[[#This Row],[PO+ITEM]],工作表1!B:E,2,FALSE)</f>
        <v>#N/A</v>
      </c>
      <c r="AY934" s="425" t="e">
        <f ca="1">VLOOKUP(表格1_6[[#This Row],[PO+ITEM]],工作表1!B:E,3,FALSE)</f>
        <v>#N/A</v>
      </c>
      <c r="AZ934" s="423" t="e">
        <f ca="1">VLOOKUP(表格1_6[[#This Row],[PO+ITEM]],工作表1!B:E,4,FALSE)</f>
        <v>#N/A</v>
      </c>
      <c r="BA934" s="425" t="e">
        <f ca="1">INDEX(工作表1!G:G, MATCH(表格1_6[[#This Row],[invoice number]]&amp;表格1_6[[#This Row],[invoice number2]],工作表1!G:G, 0))</f>
        <v>#N/A</v>
      </c>
      <c r="BB934" s="423" t="e">
        <f ca="1">VLOOKUP(表格1_6[[#This Row],[PO+ITEM]],工作表1!F:H,2,FALSE)</f>
        <v>#N/A</v>
      </c>
    </row>
    <row r="935" spans="1:54" ht="14.45">
      <c r="A935" s="413">
        <v>934</v>
      </c>
      <c r="B935" s="413" t="s">
        <v>3659</v>
      </c>
      <c r="C935" s="414" t="s">
        <v>16</v>
      </c>
      <c r="D935" s="414" t="s">
        <v>3648</v>
      </c>
      <c r="E935" s="414"/>
      <c r="F935" s="414"/>
      <c r="G935" s="414"/>
      <c r="H935" s="414"/>
      <c r="I935" s="414"/>
      <c r="J935" s="414"/>
      <c r="K935" s="414"/>
      <c r="L935" s="415" t="s">
        <v>5855</v>
      </c>
      <c r="M935" s="416" t="s">
        <v>2999</v>
      </c>
      <c r="N935" s="416" t="s">
        <v>2999</v>
      </c>
      <c r="O935" s="415"/>
      <c r="P935" s="416">
        <v>4590009024</v>
      </c>
      <c r="Q935" s="418">
        <v>44944</v>
      </c>
      <c r="R935" s="419">
        <v>6</v>
      </c>
      <c r="S935" s="458">
        <v>1455.78</v>
      </c>
      <c r="T935" s="445" t="s">
        <v>2156</v>
      </c>
      <c r="U935" s="414" t="s">
        <v>3661</v>
      </c>
      <c r="V935" s="414" t="s">
        <v>3662</v>
      </c>
      <c r="W935" s="417" t="s">
        <v>3663</v>
      </c>
      <c r="X935" s="417"/>
      <c r="Y935" s="421" t="s">
        <v>3652</v>
      </c>
      <c r="Z935" s="421" t="s">
        <v>3652</v>
      </c>
      <c r="AA935" s="416"/>
      <c r="AB935" s="414" t="s">
        <v>3664</v>
      </c>
      <c r="AC935" s="426"/>
      <c r="AD935" s="421"/>
      <c r="AE935" s="420"/>
      <c r="AF935" s="421">
        <v>91427</v>
      </c>
      <c r="AG935" s="420" t="s">
        <v>5856</v>
      </c>
      <c r="AH935" s="421" t="s">
        <v>3828</v>
      </c>
      <c r="AI935" s="420" t="s">
        <v>3666</v>
      </c>
      <c r="AJ935" s="413" t="str">
        <f t="shared" si="59"/>
        <v>4590009024_006</v>
      </c>
      <c r="AK935" s="423"/>
      <c r="AL935" s="413"/>
      <c r="AM935" s="221"/>
      <c r="AN935" s="424"/>
      <c r="AO935" s="423"/>
      <c r="AP935" s="413"/>
      <c r="AQ935" s="222"/>
      <c r="AR935" s="424"/>
      <c r="AS935" s="614">
        <f ca="1">表格1_6[[#This Row],[total amount]]/表格1_6[[#This Row],[PO$]]</f>
        <v>0</v>
      </c>
      <c r="AT935" s="223">
        <f ca="1">表格1_6[[#This Row],[invoice amount]]+表格1_6[[#This Row],[invoice amount2]]</f>
        <v>0</v>
      </c>
      <c r="AU935" s="224"/>
      <c r="AV935" s="423"/>
      <c r="AW935" s="423" t="e">
        <f ca="1">VLOOKUP(表格1_6[[#This Row],[TI tool ID2]],工作表1!A:A,1,FALSE)</f>
        <v>#N/A</v>
      </c>
      <c r="AX935" s="425" t="e">
        <f ca="1">VLOOKUP(表格1_6[[#This Row],[PO+ITEM]],工作表1!B:E,2,FALSE)</f>
        <v>#N/A</v>
      </c>
      <c r="AY935" s="425" t="e">
        <f ca="1">VLOOKUP(表格1_6[[#This Row],[PO+ITEM]],工作表1!B:E,3,FALSE)</f>
        <v>#N/A</v>
      </c>
      <c r="AZ935" s="423" t="e">
        <f ca="1">VLOOKUP(表格1_6[[#This Row],[PO+ITEM]],工作表1!B:E,4,FALSE)</f>
        <v>#N/A</v>
      </c>
      <c r="BA935" s="425" t="e">
        <f ca="1">INDEX(工作表1!G:G, MATCH(表格1_6[[#This Row],[invoice number]]&amp;表格1_6[[#This Row],[invoice number2]],工作表1!G:G, 0))</f>
        <v>#N/A</v>
      </c>
      <c r="BB935" s="423" t="e">
        <f ca="1">VLOOKUP(表格1_6[[#This Row],[PO+ITEM]],工作表1!F:H,2,FALSE)</f>
        <v>#N/A</v>
      </c>
    </row>
    <row r="936" spans="1:54" ht="14.45">
      <c r="A936" s="413">
        <v>935</v>
      </c>
      <c r="B936" s="413" t="s">
        <v>3674</v>
      </c>
      <c r="C936" s="414" t="s">
        <v>16</v>
      </c>
      <c r="D936" s="414" t="s">
        <v>3648</v>
      </c>
      <c r="E936" s="414"/>
      <c r="F936" s="414"/>
      <c r="G936" s="414"/>
      <c r="H936" s="414"/>
      <c r="I936" s="414"/>
      <c r="J936" s="414"/>
      <c r="K936" s="414"/>
      <c r="L936" s="420" t="s">
        <v>5857</v>
      </c>
      <c r="M936" s="416" t="s">
        <v>4088</v>
      </c>
      <c r="N936" s="416"/>
      <c r="O936" s="415"/>
      <c r="P936" s="416">
        <v>4590009139</v>
      </c>
      <c r="Q936" s="418">
        <v>44958</v>
      </c>
      <c r="R936" s="419">
        <v>1</v>
      </c>
      <c r="S936" s="458">
        <v>55351</v>
      </c>
      <c r="T936" s="420" t="s">
        <v>2156</v>
      </c>
      <c r="U936" s="414" t="s">
        <v>5858</v>
      </c>
      <c r="V936" s="414" t="s">
        <v>3662</v>
      </c>
      <c r="W936" s="417"/>
      <c r="X936" s="417"/>
      <c r="Y936" s="421" t="s">
        <v>3652</v>
      </c>
      <c r="Z936" s="421" t="s">
        <v>3652</v>
      </c>
      <c r="AA936" s="416"/>
      <c r="AB936" s="414" t="s">
        <v>5859</v>
      </c>
      <c r="AC936" s="426"/>
      <c r="AD936" s="421"/>
      <c r="AE936" s="420"/>
      <c r="AF936" s="421">
        <v>90393</v>
      </c>
      <c r="AG936" s="420" t="s">
        <v>2568</v>
      </c>
      <c r="AH936" s="421" t="s">
        <v>3711</v>
      </c>
      <c r="AI936" s="420" t="s">
        <v>846</v>
      </c>
      <c r="AJ936" s="413" t="str">
        <f t="shared" si="59"/>
        <v>4590009139_001</v>
      </c>
      <c r="AK936" s="423"/>
      <c r="AL936" s="413"/>
      <c r="AM936" s="221"/>
      <c r="AN936" s="424"/>
      <c r="AO936" s="423"/>
      <c r="AP936" s="413"/>
      <c r="AQ936" s="222"/>
      <c r="AR936" s="424"/>
      <c r="AS936" s="614">
        <f ca="1">表格1_6[[#This Row],[total amount]]/表格1_6[[#This Row],[PO$]]</f>
        <v>0</v>
      </c>
      <c r="AT936" s="223">
        <f ca="1">表格1_6[[#This Row],[invoice amount]]+表格1_6[[#This Row],[invoice amount2]]</f>
        <v>0</v>
      </c>
      <c r="AU936" s="224"/>
      <c r="AV936" s="423"/>
      <c r="AW936" s="423" t="e">
        <f ca="1">VLOOKUP(表格1_6[[#This Row],[TI tool ID2]],工作表1!A:A,1,FALSE)</f>
        <v>#N/A</v>
      </c>
      <c r="AX936" s="425" t="e">
        <f ca="1">VLOOKUP(表格1_6[[#This Row],[PO+ITEM]],工作表1!B:E,2,FALSE)</f>
        <v>#N/A</v>
      </c>
      <c r="AY936" s="425" t="e">
        <f ca="1">VLOOKUP(表格1_6[[#This Row],[PO+ITEM]],工作表1!B:E,3,FALSE)</f>
        <v>#N/A</v>
      </c>
      <c r="AZ936" s="423" t="e">
        <f ca="1">VLOOKUP(表格1_6[[#This Row],[PO+ITEM]],工作表1!B:E,4,FALSE)</f>
        <v>#N/A</v>
      </c>
      <c r="BA936" s="425" t="e">
        <f ca="1">INDEX(工作表1!G:G, MATCH(表格1_6[[#This Row],[invoice number]]&amp;表格1_6[[#This Row],[invoice number2]],工作表1!G:G, 0))</f>
        <v>#N/A</v>
      </c>
      <c r="BB936" s="423" t="e">
        <f ca="1">VLOOKUP(表格1_6[[#This Row],[PO+ITEM]],工作表1!F:H,2,FALSE)</f>
        <v>#N/A</v>
      </c>
    </row>
    <row r="937" spans="1:54" ht="14.45">
      <c r="A937" s="413">
        <v>936</v>
      </c>
      <c r="B937" s="413" t="s">
        <v>3674</v>
      </c>
      <c r="C937" s="414" t="s">
        <v>16</v>
      </c>
      <c r="D937" s="414" t="s">
        <v>3648</v>
      </c>
      <c r="E937" s="414"/>
      <c r="F937" s="414"/>
      <c r="G937" s="414"/>
      <c r="H937" s="414"/>
      <c r="I937" s="414"/>
      <c r="J937" s="414"/>
      <c r="K937" s="414"/>
      <c r="L937" s="420" t="s">
        <v>5860</v>
      </c>
      <c r="M937" s="416" t="s">
        <v>4088</v>
      </c>
      <c r="N937" s="416"/>
      <c r="O937" s="415"/>
      <c r="P937" s="416">
        <v>4590009139</v>
      </c>
      <c r="Q937" s="418">
        <v>44958</v>
      </c>
      <c r="R937" s="419">
        <v>2</v>
      </c>
      <c r="S937" s="458">
        <v>48831</v>
      </c>
      <c r="T937" s="420" t="s">
        <v>2156</v>
      </c>
      <c r="U937" s="414" t="s">
        <v>5861</v>
      </c>
      <c r="V937" s="414" t="s">
        <v>3662</v>
      </c>
      <c r="W937" s="417"/>
      <c r="X937" s="417"/>
      <c r="Y937" s="421" t="s">
        <v>3652</v>
      </c>
      <c r="Z937" s="421" t="s">
        <v>3652</v>
      </c>
      <c r="AA937" s="416"/>
      <c r="AB937" s="414" t="s">
        <v>5859</v>
      </c>
      <c r="AC937" s="426"/>
      <c r="AD937" s="421"/>
      <c r="AE937" s="420"/>
      <c r="AF937" s="421">
        <v>90490</v>
      </c>
      <c r="AG937" s="420" t="s">
        <v>5485</v>
      </c>
      <c r="AH937" s="421" t="s">
        <v>3711</v>
      </c>
      <c r="AI937" s="420" t="s">
        <v>3719</v>
      </c>
      <c r="AJ937" s="413" t="str">
        <f t="shared" si="59"/>
        <v>4590009139_002</v>
      </c>
      <c r="AK937" s="425" t="s">
        <v>5862</v>
      </c>
      <c r="AL937" s="424">
        <v>45562</v>
      </c>
      <c r="AM937" s="221">
        <v>48831</v>
      </c>
      <c r="AN937" s="424"/>
      <c r="AO937" s="423"/>
      <c r="AP937" s="413"/>
      <c r="AQ937" s="222"/>
      <c r="AR937" s="424"/>
      <c r="AS937" s="614">
        <f ca="1">表格1_6[[#This Row],[total amount]]/表格1_6[[#This Row],[PO$]]</f>
        <v>1</v>
      </c>
      <c r="AT937" s="223">
        <f ca="1">表格1_6[[#This Row],[invoice amount]]+表格1_6[[#This Row],[invoice amount2]]</f>
        <v>48831</v>
      </c>
      <c r="AU937" s="224" t="s">
        <v>3752</v>
      </c>
      <c r="AV937" s="423"/>
      <c r="AW937" s="423" t="e">
        <f ca="1">VLOOKUP(表格1_6[[#This Row],[TI tool ID2]],工作表1!A:A,1,FALSE)</f>
        <v>#N/A</v>
      </c>
      <c r="AX937" s="425" t="str">
        <f ca="1">VLOOKUP(表格1_6[[#This Row],[PO+ITEM]],工作表1!B:E,2,FALSE)</f>
        <v>MICUINT202409068</v>
      </c>
      <c r="AY937" s="425">
        <f ca="1">VLOOKUP(表格1_6[[#This Row],[PO+ITEM]],工作表1!B:E,3,FALSE)</f>
        <v>45562</v>
      </c>
      <c r="AZ937" s="423" t="e">
        <f ca="1">VLOOKUP(表格1_6[[#This Row],[PO+ITEM]],工作表1!B:E,4,FALSE)</f>
        <v>#REF!</v>
      </c>
      <c r="BA937" s="425" t="e">
        <f ca="1">INDEX(工作表1!G:G, MATCH(表格1_6[[#This Row],[invoice number]]&amp;表格1_6[[#This Row],[invoice number2]],工作表1!G:G, 0))</f>
        <v>#N/A</v>
      </c>
      <c r="BB937" s="423" t="e">
        <f ca="1">VLOOKUP(表格1_6[[#This Row],[PO+ITEM]],工作表1!F:H,2,FALSE)</f>
        <v>#N/A</v>
      </c>
    </row>
    <row r="938" spans="1:54" s="429" customFormat="1" ht="14.45">
      <c r="A938" s="413">
        <v>937</v>
      </c>
      <c r="B938" s="516" t="s">
        <v>3674</v>
      </c>
      <c r="C938" s="509" t="s">
        <v>16</v>
      </c>
      <c r="D938" s="509" t="s">
        <v>3648</v>
      </c>
      <c r="E938" s="509"/>
      <c r="F938" s="509"/>
      <c r="G938" s="509"/>
      <c r="H938" s="509"/>
      <c r="I938" s="509"/>
      <c r="J938" s="509"/>
      <c r="K938" s="509"/>
      <c r="L938" s="524" t="s">
        <v>5863</v>
      </c>
      <c r="M938" s="510" t="s">
        <v>2206</v>
      </c>
      <c r="N938" s="510" t="s">
        <v>2206</v>
      </c>
      <c r="O938" s="524"/>
      <c r="P938" s="510">
        <v>4590009140</v>
      </c>
      <c r="Q938" s="512">
        <v>44958</v>
      </c>
      <c r="R938" s="517">
        <v>1</v>
      </c>
      <c r="S938" s="545"/>
      <c r="T938" s="513" t="s">
        <v>2156</v>
      </c>
      <c r="U938" s="509" t="s">
        <v>4468</v>
      </c>
      <c r="V938" s="509" t="s">
        <v>4469</v>
      </c>
      <c r="W938" s="511" t="s">
        <v>4470</v>
      </c>
      <c r="X938" s="511"/>
      <c r="Y938" s="514" t="s">
        <v>3652</v>
      </c>
      <c r="Z938" s="514" t="s">
        <v>3652</v>
      </c>
      <c r="AA938" s="510"/>
      <c r="AB938" s="509" t="s">
        <v>5864</v>
      </c>
      <c r="AC938" s="525"/>
      <c r="AD938" s="514"/>
      <c r="AE938" s="513"/>
      <c r="AF938" s="514">
        <v>90057</v>
      </c>
      <c r="AG938" s="513" t="s">
        <v>4479</v>
      </c>
      <c r="AH938" s="514" t="s">
        <v>4102</v>
      </c>
      <c r="AI938" s="513" t="s">
        <v>846</v>
      </c>
      <c r="AJ938" s="516" t="str">
        <f t="shared" si="59"/>
        <v>4590009140_001</v>
      </c>
      <c r="AK938" s="518"/>
      <c r="AL938" s="516"/>
      <c r="AM938" s="519"/>
      <c r="AN938" s="520"/>
      <c r="AO938" s="518"/>
      <c r="AP938" s="516"/>
      <c r="AQ938" s="521"/>
      <c r="AR938" s="520"/>
      <c r="AS938" s="615"/>
      <c r="AT938" s="572">
        <f ca="1">表格1_6[[#This Row],[invoice amount]]+表格1_6[[#This Row],[invoice amount2]]</f>
        <v>0</v>
      </c>
      <c r="AU938" s="566" t="s">
        <v>3765</v>
      </c>
      <c r="AV938" s="522"/>
      <c r="AW938" s="522" t="e">
        <f ca="1">VLOOKUP(表格1_6[[#This Row],[TI tool ID2]],工作表1!A:A,1,FALSE)</f>
        <v>#N/A</v>
      </c>
      <c r="AX938" s="523" t="e">
        <f ca="1">VLOOKUP(表格1_6[[#This Row],[PO+ITEM]],工作表1!B:E,2,FALSE)</f>
        <v>#N/A</v>
      </c>
      <c r="AY938" s="523" t="e">
        <f ca="1">VLOOKUP(表格1_6[[#This Row],[PO+ITEM]],工作表1!B:E,3,FALSE)</f>
        <v>#N/A</v>
      </c>
      <c r="AZ938" s="522" t="e">
        <f ca="1">VLOOKUP(表格1_6[[#This Row],[PO+ITEM]],工作表1!B:E,4,FALSE)</f>
        <v>#N/A</v>
      </c>
      <c r="BA938" s="425" t="e">
        <f ca="1">INDEX(工作表1!G:G, MATCH(表格1_6[[#This Row],[invoice number]]&amp;表格1_6[[#This Row],[invoice number2]],工作表1!G:G, 0))</f>
        <v>#N/A</v>
      </c>
      <c r="BB938" s="522" t="e">
        <f ca="1">VLOOKUP(表格1_6[[#This Row],[PO+ITEM]],工作表1!F:H,2,FALSE)</f>
        <v>#N/A</v>
      </c>
    </row>
    <row r="939" spans="1:54" s="429" customFormat="1" ht="14.45">
      <c r="A939" s="413">
        <v>938</v>
      </c>
      <c r="B939" s="516" t="s">
        <v>3674</v>
      </c>
      <c r="C939" s="509" t="s">
        <v>16</v>
      </c>
      <c r="D939" s="509" t="s">
        <v>3648</v>
      </c>
      <c r="E939" s="509"/>
      <c r="F939" s="509"/>
      <c r="G939" s="509"/>
      <c r="H939" s="509"/>
      <c r="I939" s="509"/>
      <c r="J939" s="509"/>
      <c r="K939" s="509"/>
      <c r="L939" s="524" t="s">
        <v>5865</v>
      </c>
      <c r="M939" s="510" t="s">
        <v>2206</v>
      </c>
      <c r="N939" s="510" t="s">
        <v>2206</v>
      </c>
      <c r="O939" s="524"/>
      <c r="P939" s="510">
        <v>4590009140</v>
      </c>
      <c r="Q939" s="512">
        <v>44958</v>
      </c>
      <c r="R939" s="517">
        <v>2</v>
      </c>
      <c r="S939" s="545"/>
      <c r="T939" s="513" t="s">
        <v>2156</v>
      </c>
      <c r="U939" s="509" t="s">
        <v>4468</v>
      </c>
      <c r="V939" s="509" t="s">
        <v>4469</v>
      </c>
      <c r="W939" s="511" t="s">
        <v>4470</v>
      </c>
      <c r="X939" s="511"/>
      <c r="Y939" s="514" t="s">
        <v>3652</v>
      </c>
      <c r="Z939" s="514" t="s">
        <v>3652</v>
      </c>
      <c r="AA939" s="510"/>
      <c r="AB939" s="509" t="s">
        <v>5864</v>
      </c>
      <c r="AC939" s="525"/>
      <c r="AD939" s="514"/>
      <c r="AE939" s="513"/>
      <c r="AF939" s="514">
        <v>91244</v>
      </c>
      <c r="AG939" s="513" t="s">
        <v>5011</v>
      </c>
      <c r="AH939" s="514" t="s">
        <v>4102</v>
      </c>
      <c r="AI939" s="513" t="s">
        <v>846</v>
      </c>
      <c r="AJ939" s="516" t="str">
        <f t="shared" si="59"/>
        <v>4590009140_002</v>
      </c>
      <c r="AK939" s="518"/>
      <c r="AL939" s="516"/>
      <c r="AM939" s="519"/>
      <c r="AN939" s="520"/>
      <c r="AO939" s="518"/>
      <c r="AP939" s="516"/>
      <c r="AQ939" s="521"/>
      <c r="AR939" s="520"/>
      <c r="AS939" s="615"/>
      <c r="AT939" s="572">
        <f ca="1">表格1_6[[#This Row],[invoice amount]]+表格1_6[[#This Row],[invoice amount2]]</f>
        <v>0</v>
      </c>
      <c r="AU939" s="566" t="s">
        <v>3765</v>
      </c>
      <c r="AV939" s="522"/>
      <c r="AW939" s="522" t="e">
        <f ca="1">VLOOKUP(表格1_6[[#This Row],[TI tool ID2]],工作表1!A:A,1,FALSE)</f>
        <v>#N/A</v>
      </c>
      <c r="AX939" s="523" t="e">
        <f ca="1">VLOOKUP(表格1_6[[#This Row],[PO+ITEM]],工作表1!B:E,2,FALSE)</f>
        <v>#N/A</v>
      </c>
      <c r="AY939" s="523" t="e">
        <f ca="1">VLOOKUP(表格1_6[[#This Row],[PO+ITEM]],工作表1!B:E,3,FALSE)</f>
        <v>#N/A</v>
      </c>
      <c r="AZ939" s="522" t="e">
        <f ca="1">VLOOKUP(表格1_6[[#This Row],[PO+ITEM]],工作表1!B:E,4,FALSE)</f>
        <v>#N/A</v>
      </c>
      <c r="BA939" s="425" t="e">
        <f ca="1">INDEX(工作表1!G:G, MATCH(表格1_6[[#This Row],[invoice number]]&amp;表格1_6[[#This Row],[invoice number2]],工作表1!G:G, 0))</f>
        <v>#N/A</v>
      </c>
      <c r="BB939" s="522" t="e">
        <f ca="1">VLOOKUP(表格1_6[[#This Row],[PO+ITEM]],工作表1!F:H,2,FALSE)</f>
        <v>#N/A</v>
      </c>
    </row>
    <row r="940" spans="1:54" s="429" customFormat="1" ht="14.45">
      <c r="A940" s="413">
        <v>939</v>
      </c>
      <c r="B940" s="516" t="s">
        <v>3659</v>
      </c>
      <c r="C940" s="509" t="s">
        <v>16</v>
      </c>
      <c r="D940" s="509" t="s">
        <v>3648</v>
      </c>
      <c r="E940" s="509"/>
      <c r="F940" s="509"/>
      <c r="G940" s="509"/>
      <c r="H940" s="509"/>
      <c r="I940" s="509"/>
      <c r="J940" s="509"/>
      <c r="K940" s="509"/>
      <c r="L940" s="524" t="s">
        <v>5866</v>
      </c>
      <c r="M940" s="510" t="s">
        <v>2206</v>
      </c>
      <c r="N940" s="510" t="s">
        <v>2206</v>
      </c>
      <c r="O940" s="524"/>
      <c r="P940" s="510">
        <v>4590009140</v>
      </c>
      <c r="Q940" s="512">
        <v>44958</v>
      </c>
      <c r="R940" s="517">
        <v>3</v>
      </c>
      <c r="S940" s="545"/>
      <c r="T940" s="513" t="s">
        <v>2156</v>
      </c>
      <c r="U940" s="509" t="s">
        <v>4468</v>
      </c>
      <c r="V940" s="509" t="s">
        <v>4469</v>
      </c>
      <c r="W940" s="511" t="s">
        <v>4470</v>
      </c>
      <c r="X940" s="511"/>
      <c r="Y940" s="514" t="s">
        <v>3652</v>
      </c>
      <c r="Z940" s="514" t="s">
        <v>3652</v>
      </c>
      <c r="AA940" s="510"/>
      <c r="AB940" s="509" t="s">
        <v>5864</v>
      </c>
      <c r="AC940" s="525"/>
      <c r="AD940" s="514"/>
      <c r="AE940" s="513"/>
      <c r="AF940" s="514">
        <v>91243</v>
      </c>
      <c r="AG940" s="513" t="s">
        <v>5009</v>
      </c>
      <c r="AH940" s="514" t="s">
        <v>4102</v>
      </c>
      <c r="AI940" s="513" t="s">
        <v>846</v>
      </c>
      <c r="AJ940" s="516" t="str">
        <f t="shared" si="59"/>
        <v>4590009140_003</v>
      </c>
      <c r="AK940" s="518"/>
      <c r="AL940" s="516"/>
      <c r="AM940" s="519"/>
      <c r="AN940" s="520"/>
      <c r="AO940" s="518"/>
      <c r="AP940" s="516"/>
      <c r="AQ940" s="521"/>
      <c r="AR940" s="520"/>
      <c r="AS940" s="615"/>
      <c r="AT940" s="572">
        <f ca="1">表格1_6[[#This Row],[invoice amount]]+表格1_6[[#This Row],[invoice amount2]]</f>
        <v>0</v>
      </c>
      <c r="AU940" s="566" t="s">
        <v>3765</v>
      </c>
      <c r="AV940" s="522"/>
      <c r="AW940" s="522" t="e">
        <f ca="1">VLOOKUP(表格1_6[[#This Row],[TI tool ID2]],工作表1!A:A,1,FALSE)</f>
        <v>#N/A</v>
      </c>
      <c r="AX940" s="523" t="e">
        <f ca="1">VLOOKUP(表格1_6[[#This Row],[PO+ITEM]],工作表1!B:E,2,FALSE)</f>
        <v>#N/A</v>
      </c>
      <c r="AY940" s="523" t="e">
        <f ca="1">VLOOKUP(表格1_6[[#This Row],[PO+ITEM]],工作表1!B:E,3,FALSE)</f>
        <v>#N/A</v>
      </c>
      <c r="AZ940" s="522" t="e">
        <f ca="1">VLOOKUP(表格1_6[[#This Row],[PO+ITEM]],工作表1!B:E,4,FALSE)</f>
        <v>#N/A</v>
      </c>
      <c r="BA940" s="425" t="e">
        <f ca="1">INDEX(工作表1!G:G, MATCH(表格1_6[[#This Row],[invoice number]]&amp;表格1_6[[#This Row],[invoice number2]],工作表1!G:G, 0))</f>
        <v>#N/A</v>
      </c>
      <c r="BB940" s="522" t="e">
        <f ca="1">VLOOKUP(表格1_6[[#This Row],[PO+ITEM]],工作表1!F:H,2,FALSE)</f>
        <v>#N/A</v>
      </c>
    </row>
    <row r="941" spans="1:54" s="429" customFormat="1" ht="14.45">
      <c r="A941" s="413">
        <v>940</v>
      </c>
      <c r="B941" s="516" t="s">
        <v>3674</v>
      </c>
      <c r="C941" s="509" t="s">
        <v>16</v>
      </c>
      <c r="D941" s="509" t="s">
        <v>3648</v>
      </c>
      <c r="E941" s="509"/>
      <c r="F941" s="509"/>
      <c r="G941" s="509"/>
      <c r="H941" s="509"/>
      <c r="I941" s="509"/>
      <c r="J941" s="509"/>
      <c r="K941" s="509"/>
      <c r="L941" s="513" t="s">
        <v>5867</v>
      </c>
      <c r="M941" s="510" t="s">
        <v>2206</v>
      </c>
      <c r="N941" s="510" t="s">
        <v>2206</v>
      </c>
      <c r="O941" s="524"/>
      <c r="P941" s="510">
        <v>4590009140</v>
      </c>
      <c r="Q941" s="512">
        <v>44958</v>
      </c>
      <c r="R941" s="517">
        <v>4</v>
      </c>
      <c r="S941" s="545"/>
      <c r="T941" s="513" t="s">
        <v>2156</v>
      </c>
      <c r="U941" s="509" t="s">
        <v>4468</v>
      </c>
      <c r="V941" s="509" t="s">
        <v>4469</v>
      </c>
      <c r="W941" s="511" t="s">
        <v>4470</v>
      </c>
      <c r="X941" s="511"/>
      <c r="Y941" s="514" t="s">
        <v>3652</v>
      </c>
      <c r="Z941" s="514" t="s">
        <v>3652</v>
      </c>
      <c r="AA941" s="510"/>
      <c r="AB941" s="509" t="s">
        <v>5864</v>
      </c>
      <c r="AC941" s="525"/>
      <c r="AD941" s="514"/>
      <c r="AE941" s="513"/>
      <c r="AF941" s="514">
        <v>91242</v>
      </c>
      <c r="AG941" s="513" t="s">
        <v>5007</v>
      </c>
      <c r="AH941" s="514" t="s">
        <v>4102</v>
      </c>
      <c r="AI941" s="513" t="s">
        <v>846</v>
      </c>
      <c r="AJ941" s="516" t="str">
        <f t="shared" si="59"/>
        <v>4590009140_004</v>
      </c>
      <c r="AK941" s="518"/>
      <c r="AL941" s="516"/>
      <c r="AM941" s="519"/>
      <c r="AN941" s="520"/>
      <c r="AO941" s="518"/>
      <c r="AP941" s="516"/>
      <c r="AQ941" s="521"/>
      <c r="AR941" s="520"/>
      <c r="AS941" s="615"/>
      <c r="AT941" s="572">
        <f ca="1">表格1_6[[#This Row],[invoice amount]]+表格1_6[[#This Row],[invoice amount2]]</f>
        <v>0</v>
      </c>
      <c r="AU941" s="566" t="s">
        <v>3765</v>
      </c>
      <c r="AV941" s="522"/>
      <c r="AW941" s="522" t="e">
        <f ca="1">VLOOKUP(表格1_6[[#This Row],[TI tool ID2]],工作表1!A:A,1,FALSE)</f>
        <v>#N/A</v>
      </c>
      <c r="AX941" s="523" t="e">
        <f ca="1">VLOOKUP(表格1_6[[#This Row],[PO+ITEM]],工作表1!B:E,2,FALSE)</f>
        <v>#N/A</v>
      </c>
      <c r="AY941" s="523" t="e">
        <f ca="1">VLOOKUP(表格1_6[[#This Row],[PO+ITEM]],工作表1!B:E,3,FALSE)</f>
        <v>#N/A</v>
      </c>
      <c r="AZ941" s="522" t="e">
        <f ca="1">VLOOKUP(表格1_6[[#This Row],[PO+ITEM]],工作表1!B:E,4,FALSE)</f>
        <v>#N/A</v>
      </c>
      <c r="BA941" s="425" t="e">
        <f ca="1">INDEX(工作表1!G:G, MATCH(表格1_6[[#This Row],[invoice number]]&amp;表格1_6[[#This Row],[invoice number2]],工作表1!G:G, 0))</f>
        <v>#N/A</v>
      </c>
      <c r="BB941" s="522" t="e">
        <f ca="1">VLOOKUP(表格1_6[[#This Row],[PO+ITEM]],工作表1!F:H,2,FALSE)</f>
        <v>#N/A</v>
      </c>
    </row>
    <row r="942" spans="1:54" s="429" customFormat="1" ht="14.45">
      <c r="A942" s="413">
        <v>941</v>
      </c>
      <c r="B942" s="516" t="s">
        <v>3674</v>
      </c>
      <c r="C942" s="509" t="s">
        <v>16</v>
      </c>
      <c r="D942" s="509" t="s">
        <v>3648</v>
      </c>
      <c r="E942" s="509"/>
      <c r="F942" s="509"/>
      <c r="G942" s="509"/>
      <c r="H942" s="509"/>
      <c r="I942" s="509"/>
      <c r="J942" s="509"/>
      <c r="K942" s="509"/>
      <c r="L942" s="513" t="s">
        <v>5868</v>
      </c>
      <c r="M942" s="510" t="s">
        <v>2206</v>
      </c>
      <c r="N942" s="510" t="s">
        <v>2206</v>
      </c>
      <c r="O942" s="524"/>
      <c r="P942" s="510">
        <v>4590009140</v>
      </c>
      <c r="Q942" s="512">
        <v>44958</v>
      </c>
      <c r="R942" s="517">
        <v>5</v>
      </c>
      <c r="S942" s="545"/>
      <c r="T942" s="513" t="s">
        <v>2156</v>
      </c>
      <c r="U942" s="509" t="s">
        <v>4468</v>
      </c>
      <c r="V942" s="509" t="s">
        <v>4469</v>
      </c>
      <c r="W942" s="511" t="s">
        <v>4470</v>
      </c>
      <c r="X942" s="511"/>
      <c r="Y942" s="514" t="s">
        <v>3652</v>
      </c>
      <c r="Z942" s="514" t="s">
        <v>3652</v>
      </c>
      <c r="AA942" s="510"/>
      <c r="AB942" s="509" t="s">
        <v>5864</v>
      </c>
      <c r="AC942" s="525"/>
      <c r="AD942" s="514"/>
      <c r="AE942" s="513"/>
      <c r="AF942" s="514">
        <v>91241</v>
      </c>
      <c r="AG942" s="513" t="s">
        <v>5004</v>
      </c>
      <c r="AH942" s="514" t="s">
        <v>4102</v>
      </c>
      <c r="AI942" s="513" t="s">
        <v>846</v>
      </c>
      <c r="AJ942" s="516" t="str">
        <f t="shared" si="59"/>
        <v>4590009140_005</v>
      </c>
      <c r="AK942" s="518"/>
      <c r="AL942" s="516"/>
      <c r="AM942" s="519"/>
      <c r="AN942" s="520"/>
      <c r="AO942" s="518"/>
      <c r="AP942" s="516"/>
      <c r="AQ942" s="521"/>
      <c r="AR942" s="520"/>
      <c r="AS942" s="615"/>
      <c r="AT942" s="572">
        <f ca="1">表格1_6[[#This Row],[invoice amount]]+表格1_6[[#This Row],[invoice amount2]]</f>
        <v>0</v>
      </c>
      <c r="AU942" s="566" t="s">
        <v>3765</v>
      </c>
      <c r="AV942" s="522"/>
      <c r="AW942" s="522" t="e">
        <f ca="1">VLOOKUP(表格1_6[[#This Row],[TI tool ID2]],工作表1!A:A,1,FALSE)</f>
        <v>#N/A</v>
      </c>
      <c r="AX942" s="523" t="e">
        <f ca="1">VLOOKUP(表格1_6[[#This Row],[PO+ITEM]],工作表1!B:E,2,FALSE)</f>
        <v>#N/A</v>
      </c>
      <c r="AY942" s="523" t="e">
        <f ca="1">VLOOKUP(表格1_6[[#This Row],[PO+ITEM]],工作表1!B:E,3,FALSE)</f>
        <v>#N/A</v>
      </c>
      <c r="AZ942" s="522" t="e">
        <f ca="1">VLOOKUP(表格1_6[[#This Row],[PO+ITEM]],工作表1!B:E,4,FALSE)</f>
        <v>#N/A</v>
      </c>
      <c r="BA942" s="425" t="e">
        <f ca="1">INDEX(工作表1!G:G, MATCH(表格1_6[[#This Row],[invoice number]]&amp;表格1_6[[#This Row],[invoice number2]],工作表1!G:G, 0))</f>
        <v>#N/A</v>
      </c>
      <c r="BB942" s="522" t="e">
        <f ca="1">VLOOKUP(表格1_6[[#This Row],[PO+ITEM]],工作表1!F:H,2,FALSE)</f>
        <v>#N/A</v>
      </c>
    </row>
    <row r="943" spans="1:54" s="429" customFormat="1" ht="14.45">
      <c r="A943" s="413">
        <v>942</v>
      </c>
      <c r="B943" s="516" t="s">
        <v>3659</v>
      </c>
      <c r="C943" s="509" t="s">
        <v>16</v>
      </c>
      <c r="D943" s="509" t="s">
        <v>3648</v>
      </c>
      <c r="E943" s="509"/>
      <c r="F943" s="509"/>
      <c r="G943" s="509"/>
      <c r="H943" s="509"/>
      <c r="I943" s="509"/>
      <c r="J943" s="509"/>
      <c r="K943" s="509"/>
      <c r="L943" s="513" t="s">
        <v>5869</v>
      </c>
      <c r="M943" s="510" t="s">
        <v>2206</v>
      </c>
      <c r="N943" s="510" t="s">
        <v>2206</v>
      </c>
      <c r="O943" s="524"/>
      <c r="P943" s="510">
        <v>4590009140</v>
      </c>
      <c r="Q943" s="512">
        <v>44958</v>
      </c>
      <c r="R943" s="517">
        <v>6</v>
      </c>
      <c r="S943" s="545"/>
      <c r="T943" s="513" t="s">
        <v>2156</v>
      </c>
      <c r="U943" s="509" t="s">
        <v>4468</v>
      </c>
      <c r="V943" s="509" t="s">
        <v>4469</v>
      </c>
      <c r="W943" s="511" t="s">
        <v>4470</v>
      </c>
      <c r="X943" s="511"/>
      <c r="Y943" s="514" t="s">
        <v>3652</v>
      </c>
      <c r="Z943" s="514" t="s">
        <v>3652</v>
      </c>
      <c r="AA943" s="510"/>
      <c r="AB943" s="509" t="s">
        <v>5864</v>
      </c>
      <c r="AC943" s="525"/>
      <c r="AD943" s="514"/>
      <c r="AE943" s="513"/>
      <c r="AF943" s="514">
        <v>91239</v>
      </c>
      <c r="AG943" s="513" t="s">
        <v>4998</v>
      </c>
      <c r="AH943" s="514" t="s">
        <v>4102</v>
      </c>
      <c r="AI943" s="513" t="s">
        <v>846</v>
      </c>
      <c r="AJ943" s="516" t="str">
        <f t="shared" si="59"/>
        <v>4590009140_006</v>
      </c>
      <c r="AK943" s="518"/>
      <c r="AL943" s="516"/>
      <c r="AM943" s="519"/>
      <c r="AN943" s="520"/>
      <c r="AO943" s="518"/>
      <c r="AP943" s="516"/>
      <c r="AQ943" s="521"/>
      <c r="AR943" s="520"/>
      <c r="AS943" s="615"/>
      <c r="AT943" s="572">
        <f ca="1">表格1_6[[#This Row],[invoice amount]]+表格1_6[[#This Row],[invoice amount2]]</f>
        <v>0</v>
      </c>
      <c r="AU943" s="566" t="s">
        <v>3765</v>
      </c>
      <c r="AV943" s="522"/>
      <c r="AW943" s="522" t="e">
        <f ca="1">VLOOKUP(表格1_6[[#This Row],[TI tool ID2]],工作表1!A:A,1,FALSE)</f>
        <v>#N/A</v>
      </c>
      <c r="AX943" s="523" t="e">
        <f ca="1">VLOOKUP(表格1_6[[#This Row],[PO+ITEM]],工作表1!B:E,2,FALSE)</f>
        <v>#N/A</v>
      </c>
      <c r="AY943" s="523" t="e">
        <f ca="1">VLOOKUP(表格1_6[[#This Row],[PO+ITEM]],工作表1!B:E,3,FALSE)</f>
        <v>#N/A</v>
      </c>
      <c r="AZ943" s="522" t="e">
        <f ca="1">VLOOKUP(表格1_6[[#This Row],[PO+ITEM]],工作表1!B:E,4,FALSE)</f>
        <v>#N/A</v>
      </c>
      <c r="BA943" s="425" t="e">
        <f ca="1">INDEX(工作表1!G:G, MATCH(表格1_6[[#This Row],[invoice number]]&amp;表格1_6[[#This Row],[invoice number2]],工作表1!G:G, 0))</f>
        <v>#N/A</v>
      </c>
      <c r="BB943" s="522" t="e">
        <f ca="1">VLOOKUP(表格1_6[[#This Row],[PO+ITEM]],工作表1!F:H,2,FALSE)</f>
        <v>#N/A</v>
      </c>
    </row>
    <row r="944" spans="1:54" s="429" customFormat="1" ht="14.45">
      <c r="A944" s="413">
        <v>943</v>
      </c>
      <c r="B944" s="516" t="s">
        <v>3659</v>
      </c>
      <c r="C944" s="509" t="s">
        <v>16</v>
      </c>
      <c r="D944" s="509" t="s">
        <v>3648</v>
      </c>
      <c r="E944" s="509"/>
      <c r="F944" s="509"/>
      <c r="G944" s="509"/>
      <c r="H944" s="509"/>
      <c r="I944" s="509"/>
      <c r="J944" s="509"/>
      <c r="K944" s="509"/>
      <c r="L944" s="513" t="s">
        <v>5870</v>
      </c>
      <c r="M944" s="510" t="s">
        <v>2206</v>
      </c>
      <c r="N944" s="510" t="s">
        <v>2206</v>
      </c>
      <c r="O944" s="524"/>
      <c r="P944" s="510">
        <v>4590009140</v>
      </c>
      <c r="Q944" s="512">
        <v>44958</v>
      </c>
      <c r="R944" s="517">
        <v>7</v>
      </c>
      <c r="S944" s="545"/>
      <c r="T944" s="513" t="s">
        <v>2156</v>
      </c>
      <c r="U944" s="509" t="s">
        <v>4468</v>
      </c>
      <c r="V944" s="509" t="s">
        <v>4469</v>
      </c>
      <c r="W944" s="511" t="s">
        <v>4470</v>
      </c>
      <c r="X944" s="511"/>
      <c r="Y944" s="514" t="s">
        <v>3652</v>
      </c>
      <c r="Z944" s="514" t="s">
        <v>3652</v>
      </c>
      <c r="AA944" s="510"/>
      <c r="AB944" s="509" t="s">
        <v>5864</v>
      </c>
      <c r="AC944" s="525"/>
      <c r="AD944" s="514"/>
      <c r="AE944" s="513"/>
      <c r="AF944" s="514">
        <v>91238</v>
      </c>
      <c r="AG944" s="513" t="s">
        <v>5000</v>
      </c>
      <c r="AH944" s="514" t="s">
        <v>4102</v>
      </c>
      <c r="AI944" s="513" t="s">
        <v>846</v>
      </c>
      <c r="AJ944" s="516" t="str">
        <f t="shared" si="59"/>
        <v>4590009140_007</v>
      </c>
      <c r="AK944" s="518"/>
      <c r="AL944" s="516"/>
      <c r="AM944" s="519"/>
      <c r="AN944" s="520"/>
      <c r="AO944" s="518"/>
      <c r="AP944" s="516"/>
      <c r="AQ944" s="521"/>
      <c r="AR944" s="520"/>
      <c r="AS944" s="615"/>
      <c r="AT944" s="572">
        <f ca="1">表格1_6[[#This Row],[invoice amount]]+表格1_6[[#This Row],[invoice amount2]]</f>
        <v>0</v>
      </c>
      <c r="AU944" s="566" t="s">
        <v>3765</v>
      </c>
      <c r="AV944" s="522"/>
      <c r="AW944" s="522" t="e">
        <f ca="1">VLOOKUP(表格1_6[[#This Row],[TI tool ID2]],工作表1!A:A,1,FALSE)</f>
        <v>#N/A</v>
      </c>
      <c r="AX944" s="523" t="e">
        <f ca="1">VLOOKUP(表格1_6[[#This Row],[PO+ITEM]],工作表1!B:E,2,FALSE)</f>
        <v>#N/A</v>
      </c>
      <c r="AY944" s="523" t="e">
        <f ca="1">VLOOKUP(表格1_6[[#This Row],[PO+ITEM]],工作表1!B:E,3,FALSE)</f>
        <v>#N/A</v>
      </c>
      <c r="AZ944" s="522" t="e">
        <f ca="1">VLOOKUP(表格1_6[[#This Row],[PO+ITEM]],工作表1!B:E,4,FALSE)</f>
        <v>#N/A</v>
      </c>
      <c r="BA944" s="425" t="e">
        <f ca="1">INDEX(工作表1!G:G, MATCH(表格1_6[[#This Row],[invoice number]]&amp;表格1_6[[#This Row],[invoice number2]],工作表1!G:G, 0))</f>
        <v>#N/A</v>
      </c>
      <c r="BB944" s="522" t="e">
        <f ca="1">VLOOKUP(表格1_6[[#This Row],[PO+ITEM]],工作表1!F:H,2,FALSE)</f>
        <v>#N/A</v>
      </c>
    </row>
    <row r="945" spans="1:54" s="429" customFormat="1" ht="14.45">
      <c r="A945" s="413">
        <v>944</v>
      </c>
      <c r="B945" s="516" t="s">
        <v>3659</v>
      </c>
      <c r="C945" s="509" t="s">
        <v>16</v>
      </c>
      <c r="D945" s="509" t="s">
        <v>3648</v>
      </c>
      <c r="E945" s="509"/>
      <c r="F945" s="509"/>
      <c r="G945" s="509"/>
      <c r="H945" s="509"/>
      <c r="I945" s="509"/>
      <c r="J945" s="509"/>
      <c r="K945" s="509"/>
      <c r="L945" s="513" t="s">
        <v>5871</v>
      </c>
      <c r="M945" s="510" t="s">
        <v>2206</v>
      </c>
      <c r="N945" s="510" t="s">
        <v>2206</v>
      </c>
      <c r="O945" s="524"/>
      <c r="P945" s="510">
        <v>4590009140</v>
      </c>
      <c r="Q945" s="512">
        <v>44958</v>
      </c>
      <c r="R945" s="517">
        <v>8</v>
      </c>
      <c r="S945" s="545"/>
      <c r="T945" s="513" t="s">
        <v>2156</v>
      </c>
      <c r="U945" s="509" t="s">
        <v>4468</v>
      </c>
      <c r="V945" s="509" t="s">
        <v>4469</v>
      </c>
      <c r="W945" s="511" t="s">
        <v>4470</v>
      </c>
      <c r="X945" s="511"/>
      <c r="Y945" s="514" t="s">
        <v>3652</v>
      </c>
      <c r="Z945" s="514" t="s">
        <v>3652</v>
      </c>
      <c r="AA945" s="510"/>
      <c r="AB945" s="509" t="s">
        <v>5864</v>
      </c>
      <c r="AC945" s="525"/>
      <c r="AD945" s="514"/>
      <c r="AE945" s="513"/>
      <c r="AF945" s="514">
        <v>91240</v>
      </c>
      <c r="AG945" s="513" t="s">
        <v>5002</v>
      </c>
      <c r="AH945" s="514" t="s">
        <v>4102</v>
      </c>
      <c r="AI945" s="513" t="s">
        <v>846</v>
      </c>
      <c r="AJ945" s="516" t="str">
        <f t="shared" si="59"/>
        <v>4590009140_008</v>
      </c>
      <c r="AK945" s="518"/>
      <c r="AL945" s="516"/>
      <c r="AM945" s="519"/>
      <c r="AN945" s="520"/>
      <c r="AO945" s="518"/>
      <c r="AP945" s="516"/>
      <c r="AQ945" s="521"/>
      <c r="AR945" s="520"/>
      <c r="AS945" s="615"/>
      <c r="AT945" s="572">
        <f ca="1">表格1_6[[#This Row],[invoice amount]]+表格1_6[[#This Row],[invoice amount2]]</f>
        <v>0</v>
      </c>
      <c r="AU945" s="566" t="s">
        <v>3765</v>
      </c>
      <c r="AV945" s="522"/>
      <c r="AW945" s="522" t="e">
        <f ca="1">VLOOKUP(表格1_6[[#This Row],[TI tool ID2]],工作表1!A:A,1,FALSE)</f>
        <v>#N/A</v>
      </c>
      <c r="AX945" s="523" t="e">
        <f ca="1">VLOOKUP(表格1_6[[#This Row],[PO+ITEM]],工作表1!B:E,2,FALSE)</f>
        <v>#N/A</v>
      </c>
      <c r="AY945" s="523" t="e">
        <f ca="1">VLOOKUP(表格1_6[[#This Row],[PO+ITEM]],工作表1!B:E,3,FALSE)</f>
        <v>#N/A</v>
      </c>
      <c r="AZ945" s="522" t="e">
        <f ca="1">VLOOKUP(表格1_6[[#This Row],[PO+ITEM]],工作表1!B:E,4,FALSE)</f>
        <v>#N/A</v>
      </c>
      <c r="BA945" s="425" t="e">
        <f ca="1">INDEX(工作表1!G:G, MATCH(表格1_6[[#This Row],[invoice number]]&amp;表格1_6[[#This Row],[invoice number2]],工作表1!G:G, 0))</f>
        <v>#N/A</v>
      </c>
      <c r="BB945" s="522" t="e">
        <f ca="1">VLOOKUP(表格1_6[[#This Row],[PO+ITEM]],工作表1!F:H,2,FALSE)</f>
        <v>#N/A</v>
      </c>
    </row>
    <row r="946" spans="1:54" s="429" customFormat="1" ht="14.45">
      <c r="A946" s="413">
        <v>945</v>
      </c>
      <c r="B946" s="516" t="s">
        <v>3674</v>
      </c>
      <c r="C946" s="509" t="s">
        <v>16</v>
      </c>
      <c r="D946" s="509" t="s">
        <v>3648</v>
      </c>
      <c r="E946" s="509"/>
      <c r="F946" s="509"/>
      <c r="G946" s="509"/>
      <c r="H946" s="509"/>
      <c r="I946" s="509"/>
      <c r="J946" s="509"/>
      <c r="K946" s="509"/>
      <c r="L946" s="513" t="s">
        <v>5872</v>
      </c>
      <c r="M946" s="510" t="s">
        <v>2206</v>
      </c>
      <c r="N946" s="510" t="s">
        <v>2206</v>
      </c>
      <c r="O946" s="524"/>
      <c r="P946" s="510">
        <v>4590009140</v>
      </c>
      <c r="Q946" s="512">
        <v>44958</v>
      </c>
      <c r="R946" s="517">
        <v>9</v>
      </c>
      <c r="S946" s="545"/>
      <c r="T946" s="513" t="s">
        <v>2156</v>
      </c>
      <c r="U946" s="509" t="s">
        <v>4468</v>
      </c>
      <c r="V946" s="509" t="s">
        <v>4469</v>
      </c>
      <c r="W946" s="511" t="s">
        <v>4470</v>
      </c>
      <c r="X946" s="511"/>
      <c r="Y946" s="514" t="s">
        <v>3652</v>
      </c>
      <c r="Z946" s="514" t="s">
        <v>3652</v>
      </c>
      <c r="AA946" s="510"/>
      <c r="AB946" s="509" t="s">
        <v>5864</v>
      </c>
      <c r="AC946" s="525"/>
      <c r="AD946" s="514"/>
      <c r="AE946" s="513"/>
      <c r="AF946" s="514">
        <v>90061</v>
      </c>
      <c r="AG946" s="513" t="s">
        <v>2589</v>
      </c>
      <c r="AH946" s="514" t="s">
        <v>4102</v>
      </c>
      <c r="AI946" s="513" t="s">
        <v>846</v>
      </c>
      <c r="AJ946" s="516" t="str">
        <f t="shared" si="59"/>
        <v>4590009140_009</v>
      </c>
      <c r="AK946" s="518"/>
      <c r="AL946" s="516"/>
      <c r="AM946" s="519"/>
      <c r="AN946" s="520"/>
      <c r="AO946" s="518"/>
      <c r="AP946" s="516"/>
      <c r="AQ946" s="521"/>
      <c r="AR946" s="520"/>
      <c r="AS946" s="615"/>
      <c r="AT946" s="572">
        <f ca="1">表格1_6[[#This Row],[invoice amount]]+表格1_6[[#This Row],[invoice amount2]]</f>
        <v>0</v>
      </c>
      <c r="AU946" s="566" t="s">
        <v>3765</v>
      </c>
      <c r="AV946" s="522"/>
      <c r="AW946" s="522" t="e">
        <f ca="1">VLOOKUP(表格1_6[[#This Row],[TI tool ID2]],工作表1!A:A,1,FALSE)</f>
        <v>#N/A</v>
      </c>
      <c r="AX946" s="523" t="e">
        <f ca="1">VLOOKUP(表格1_6[[#This Row],[PO+ITEM]],工作表1!B:E,2,FALSE)</f>
        <v>#N/A</v>
      </c>
      <c r="AY946" s="523" t="e">
        <f ca="1">VLOOKUP(表格1_6[[#This Row],[PO+ITEM]],工作表1!B:E,3,FALSE)</f>
        <v>#N/A</v>
      </c>
      <c r="AZ946" s="522" t="e">
        <f ca="1">VLOOKUP(表格1_6[[#This Row],[PO+ITEM]],工作表1!B:E,4,FALSE)</f>
        <v>#N/A</v>
      </c>
      <c r="BA946" s="425" t="e">
        <f ca="1">INDEX(工作表1!G:G, MATCH(表格1_6[[#This Row],[invoice number]]&amp;表格1_6[[#This Row],[invoice number2]],工作表1!G:G, 0))</f>
        <v>#N/A</v>
      </c>
      <c r="BB946" s="522" t="e">
        <f ca="1">VLOOKUP(表格1_6[[#This Row],[PO+ITEM]],工作表1!F:H,2,FALSE)</f>
        <v>#N/A</v>
      </c>
    </row>
    <row r="947" spans="1:54" s="429" customFormat="1" ht="14.45">
      <c r="A947" s="413">
        <v>946</v>
      </c>
      <c r="B947" s="516" t="s">
        <v>3674</v>
      </c>
      <c r="C947" s="509" t="s">
        <v>16</v>
      </c>
      <c r="D947" s="509" t="s">
        <v>3648</v>
      </c>
      <c r="E947" s="509"/>
      <c r="F947" s="509"/>
      <c r="G947" s="509"/>
      <c r="H947" s="509"/>
      <c r="I947" s="509"/>
      <c r="J947" s="509"/>
      <c r="K947" s="509"/>
      <c r="L947" s="513" t="s">
        <v>5873</v>
      </c>
      <c r="M947" s="510" t="s">
        <v>2206</v>
      </c>
      <c r="N947" s="510" t="s">
        <v>2206</v>
      </c>
      <c r="O947" s="524"/>
      <c r="P947" s="510">
        <v>4590009140</v>
      </c>
      <c r="Q947" s="512">
        <v>44958</v>
      </c>
      <c r="R947" s="517">
        <v>10</v>
      </c>
      <c r="S947" s="545"/>
      <c r="T947" s="513" t="s">
        <v>2156</v>
      </c>
      <c r="U947" s="509" t="s">
        <v>4468</v>
      </c>
      <c r="V947" s="509" t="s">
        <v>4469</v>
      </c>
      <c r="W947" s="511" t="s">
        <v>4470</v>
      </c>
      <c r="X947" s="511"/>
      <c r="Y947" s="514" t="s">
        <v>3652</v>
      </c>
      <c r="Z947" s="514" t="s">
        <v>3652</v>
      </c>
      <c r="AA947" s="510"/>
      <c r="AB947" s="509" t="s">
        <v>5864</v>
      </c>
      <c r="AC947" s="525"/>
      <c r="AD947" s="514"/>
      <c r="AE947" s="513"/>
      <c r="AF947" s="514">
        <v>90060</v>
      </c>
      <c r="AG947" s="513" t="s">
        <v>2594</v>
      </c>
      <c r="AH947" s="514" t="s">
        <v>4102</v>
      </c>
      <c r="AI947" s="513" t="s">
        <v>846</v>
      </c>
      <c r="AJ947" s="516" t="str">
        <f>P947&amp;"_0"&amp;R947</f>
        <v>4590009140_010</v>
      </c>
      <c r="AK947" s="518"/>
      <c r="AL947" s="516"/>
      <c r="AM947" s="519"/>
      <c r="AN947" s="520"/>
      <c r="AO947" s="518"/>
      <c r="AP947" s="516"/>
      <c r="AQ947" s="521"/>
      <c r="AR947" s="520"/>
      <c r="AS947" s="615"/>
      <c r="AT947" s="572">
        <f ca="1">表格1_6[[#This Row],[invoice amount]]+表格1_6[[#This Row],[invoice amount2]]</f>
        <v>0</v>
      </c>
      <c r="AU947" s="566" t="s">
        <v>3765</v>
      </c>
      <c r="AV947" s="522"/>
      <c r="AW947" s="522" t="e">
        <f ca="1">VLOOKUP(表格1_6[[#This Row],[TI tool ID2]],工作表1!A:A,1,FALSE)</f>
        <v>#N/A</v>
      </c>
      <c r="AX947" s="523" t="e">
        <f ca="1">VLOOKUP(表格1_6[[#This Row],[PO+ITEM]],工作表1!B:E,2,FALSE)</f>
        <v>#N/A</v>
      </c>
      <c r="AY947" s="523" t="e">
        <f ca="1">VLOOKUP(表格1_6[[#This Row],[PO+ITEM]],工作表1!B:E,3,FALSE)</f>
        <v>#N/A</v>
      </c>
      <c r="AZ947" s="522" t="e">
        <f ca="1">VLOOKUP(表格1_6[[#This Row],[PO+ITEM]],工作表1!B:E,4,FALSE)</f>
        <v>#N/A</v>
      </c>
      <c r="BA947" s="425" t="e">
        <f ca="1">INDEX(工作表1!G:G, MATCH(表格1_6[[#This Row],[invoice number]]&amp;表格1_6[[#This Row],[invoice number2]],工作表1!G:G, 0))</f>
        <v>#N/A</v>
      </c>
      <c r="BB947" s="522" t="e">
        <f ca="1">VLOOKUP(表格1_6[[#This Row],[PO+ITEM]],工作表1!F:H,2,FALSE)</f>
        <v>#N/A</v>
      </c>
    </row>
    <row r="948" spans="1:54" ht="15.6">
      <c r="A948" s="413">
        <v>947</v>
      </c>
      <c r="B948" s="413" t="s">
        <v>3674</v>
      </c>
      <c r="C948" s="414" t="s">
        <v>16</v>
      </c>
      <c r="D948" s="414" t="s">
        <v>3648</v>
      </c>
      <c r="E948" s="414"/>
      <c r="F948" s="414"/>
      <c r="G948" s="414"/>
      <c r="H948" s="414"/>
      <c r="I948" s="414"/>
      <c r="J948" s="414"/>
      <c r="K948" s="414"/>
      <c r="L948" s="420" t="s">
        <v>5874</v>
      </c>
      <c r="M948" s="416" t="s">
        <v>3941</v>
      </c>
      <c r="N948" s="416" t="s">
        <v>3941</v>
      </c>
      <c r="O948" s="415"/>
      <c r="P948" s="416">
        <v>4590009140</v>
      </c>
      <c r="Q948" s="418">
        <v>44958</v>
      </c>
      <c r="R948" s="419">
        <v>11</v>
      </c>
      <c r="S948" s="458">
        <v>5475.46</v>
      </c>
      <c r="T948" s="420" t="s">
        <v>2156</v>
      </c>
      <c r="U948" s="414" t="s">
        <v>4468</v>
      </c>
      <c r="V948" s="414" t="s">
        <v>4469</v>
      </c>
      <c r="W948" s="417" t="s">
        <v>4470</v>
      </c>
      <c r="X948" s="417"/>
      <c r="Y948" s="421" t="s">
        <v>3652</v>
      </c>
      <c r="Z948" s="421" t="s">
        <v>3652</v>
      </c>
      <c r="AA948" s="416" t="s">
        <v>5875</v>
      </c>
      <c r="AB948" s="414" t="s">
        <v>5876</v>
      </c>
      <c r="AC948" s="426"/>
      <c r="AD948" s="421"/>
      <c r="AE948" s="420"/>
      <c r="AF948" s="421">
        <v>90328</v>
      </c>
      <c r="AG948" s="420" t="s">
        <v>5877</v>
      </c>
      <c r="AH948" s="421" t="s">
        <v>4102</v>
      </c>
      <c r="AI948" s="420" t="s">
        <v>5878</v>
      </c>
      <c r="AJ948" s="413" t="str">
        <f>P948&amp;"_0"&amp;R948</f>
        <v>4590009140_011</v>
      </c>
      <c r="AK948" s="423"/>
      <c r="AL948" s="424">
        <v>45261</v>
      </c>
      <c r="AM948" s="221">
        <v>5201.6869999999999</v>
      </c>
      <c r="AN948" s="244">
        <v>45366</v>
      </c>
      <c r="AO948" s="423"/>
      <c r="AP948" s="413"/>
      <c r="AQ948" s="222"/>
      <c r="AR948" s="424"/>
      <c r="AS948" s="614">
        <f ca="1">表格1_6[[#This Row],[total amount]]/表格1_6[[#This Row],[PO$]]</f>
        <v>0.95</v>
      </c>
      <c r="AT948" s="223">
        <f ca="1">表格1_6[[#This Row],[invoice amount]]+表格1_6[[#This Row],[invoice amount2]]</f>
        <v>5201.6869999999999</v>
      </c>
      <c r="AU948" s="224" t="s">
        <v>3673</v>
      </c>
      <c r="AV948" s="423"/>
      <c r="AW948" s="423" t="e">
        <f ca="1">VLOOKUP(表格1_6[[#This Row],[TI tool ID2]],工作表1!A:A,1,FALSE)</f>
        <v>#N/A</v>
      </c>
      <c r="AX948" s="425" t="e">
        <f ca="1">VLOOKUP(表格1_6[[#This Row],[PO+ITEM]],工作表1!B:E,2,FALSE)</f>
        <v>#N/A</v>
      </c>
      <c r="AY948" s="425" t="e">
        <f ca="1">VLOOKUP(表格1_6[[#This Row],[PO+ITEM]],工作表1!B:E,3,FALSE)</f>
        <v>#N/A</v>
      </c>
      <c r="AZ948" s="423" t="e">
        <f ca="1">VLOOKUP(表格1_6[[#This Row],[PO+ITEM]],工作表1!B:E,4,FALSE)</f>
        <v>#N/A</v>
      </c>
      <c r="BA948" s="425" t="e">
        <f ca="1">INDEX(工作表1!G:G, MATCH(表格1_6[[#This Row],[invoice number]]&amp;表格1_6[[#This Row],[invoice number2]],工作表1!G:G, 0))</f>
        <v>#N/A</v>
      </c>
      <c r="BB948" s="423" t="e">
        <f ca="1">VLOOKUP(表格1_6[[#This Row],[PO+ITEM]],工作表1!F:H,2,FALSE)</f>
        <v>#N/A</v>
      </c>
    </row>
    <row r="949" spans="1:54" s="429" customFormat="1" ht="14.45">
      <c r="A949" s="413">
        <v>948</v>
      </c>
      <c r="B949" s="413" t="s">
        <v>3659</v>
      </c>
      <c r="C949" s="414" t="s">
        <v>16</v>
      </c>
      <c r="D949" s="414" t="s">
        <v>3648</v>
      </c>
      <c r="E949" s="414"/>
      <c r="F949" s="414"/>
      <c r="G949" s="414"/>
      <c r="H949" s="414"/>
      <c r="I949" s="414"/>
      <c r="J949" s="414"/>
      <c r="K949" s="414"/>
      <c r="L949" s="420" t="s">
        <v>5879</v>
      </c>
      <c r="M949" s="416" t="s">
        <v>3941</v>
      </c>
      <c r="N949" s="416" t="s">
        <v>3941</v>
      </c>
      <c r="O949" s="415"/>
      <c r="P949" s="416">
        <v>4590009140</v>
      </c>
      <c r="Q949" s="418">
        <v>44958</v>
      </c>
      <c r="R949" s="419">
        <v>12</v>
      </c>
      <c r="S949" s="458">
        <v>5475.46</v>
      </c>
      <c r="T949" s="420" t="s">
        <v>2156</v>
      </c>
      <c r="U949" s="414" t="s">
        <v>4468</v>
      </c>
      <c r="V949" s="414" t="s">
        <v>4469</v>
      </c>
      <c r="W949" s="417" t="s">
        <v>4470</v>
      </c>
      <c r="X949" s="417"/>
      <c r="Y949" s="421" t="s">
        <v>3652</v>
      </c>
      <c r="Z949" s="421" t="s">
        <v>3652</v>
      </c>
      <c r="AA949" s="416"/>
      <c r="AB949" s="414" t="s">
        <v>5876</v>
      </c>
      <c r="AC949" s="426"/>
      <c r="AD949" s="421"/>
      <c r="AE949" s="420"/>
      <c r="AF949" s="421">
        <v>91230</v>
      </c>
      <c r="AG949" s="420" t="s">
        <v>5880</v>
      </c>
      <c r="AH949" s="421" t="s">
        <v>4102</v>
      </c>
      <c r="AI949" s="420" t="s">
        <v>5878</v>
      </c>
      <c r="AJ949" s="413" t="str">
        <f>P949&amp;"_0"&amp;R949</f>
        <v>4590009140_012</v>
      </c>
      <c r="AK949" s="423"/>
      <c r="AL949" s="413"/>
      <c r="AM949" s="221"/>
      <c r="AN949" s="424"/>
      <c r="AO949" s="423"/>
      <c r="AP949" s="413"/>
      <c r="AQ949" s="222"/>
      <c r="AR949" s="424"/>
      <c r="AS949" s="614">
        <f ca="1">表格1_6[[#This Row],[total amount]]/表格1_6[[#This Row],[PO$]]</f>
        <v>0</v>
      </c>
      <c r="AT949" s="223">
        <f ca="1">表格1_6[[#This Row],[invoice amount]]+表格1_6[[#This Row],[invoice amount2]]</f>
        <v>0</v>
      </c>
      <c r="AU949" s="224"/>
      <c r="AV949" s="423"/>
      <c r="AW949" s="423" t="e">
        <f ca="1">VLOOKUP(表格1_6[[#This Row],[TI tool ID2]],工作表1!A:A,1,FALSE)</f>
        <v>#N/A</v>
      </c>
      <c r="AX949" s="425" t="e">
        <f ca="1">VLOOKUP(表格1_6[[#This Row],[PO+ITEM]],工作表1!B:E,2,FALSE)</f>
        <v>#N/A</v>
      </c>
      <c r="AY949" s="425" t="e">
        <f ca="1">VLOOKUP(表格1_6[[#This Row],[PO+ITEM]],工作表1!B:E,3,FALSE)</f>
        <v>#N/A</v>
      </c>
      <c r="AZ949" s="423" t="e">
        <f ca="1">VLOOKUP(表格1_6[[#This Row],[PO+ITEM]],工作表1!B:E,4,FALSE)</f>
        <v>#N/A</v>
      </c>
      <c r="BA949" s="425" t="e">
        <f ca="1">INDEX(工作表1!G:G, MATCH(表格1_6[[#This Row],[invoice number]]&amp;表格1_6[[#This Row],[invoice number2]],工作表1!G:G, 0))</f>
        <v>#N/A</v>
      </c>
      <c r="BB949" s="423" t="e">
        <f ca="1">VLOOKUP(表格1_6[[#This Row],[PO+ITEM]],工作表1!F:H,2,FALSE)</f>
        <v>#N/A</v>
      </c>
    </row>
    <row r="950" spans="1:54" s="429" customFormat="1" ht="14.45">
      <c r="A950" s="413">
        <v>949</v>
      </c>
      <c r="B950" s="516" t="s">
        <v>3674</v>
      </c>
      <c r="C950" s="509" t="s">
        <v>16</v>
      </c>
      <c r="D950" s="509" t="s">
        <v>3648</v>
      </c>
      <c r="E950" s="509"/>
      <c r="F950" s="509"/>
      <c r="G950" s="509"/>
      <c r="H950" s="509"/>
      <c r="I950" s="509"/>
      <c r="J950" s="509"/>
      <c r="K950" s="509"/>
      <c r="L950" s="513" t="s">
        <v>5881</v>
      </c>
      <c r="M950" s="510" t="s">
        <v>2206</v>
      </c>
      <c r="N950" s="510" t="s">
        <v>2206</v>
      </c>
      <c r="O950" s="524"/>
      <c r="P950" s="510">
        <v>4590009140</v>
      </c>
      <c r="Q950" s="512">
        <v>44958</v>
      </c>
      <c r="R950" s="517">
        <v>13</v>
      </c>
      <c r="S950" s="545"/>
      <c r="T950" s="513" t="s">
        <v>2156</v>
      </c>
      <c r="U950" s="509" t="s">
        <v>4468</v>
      </c>
      <c r="V950" s="509" t="s">
        <v>4469</v>
      </c>
      <c r="W950" s="511" t="s">
        <v>4470</v>
      </c>
      <c r="X950" s="511"/>
      <c r="Y950" s="514" t="s">
        <v>3652</v>
      </c>
      <c r="Z950" s="514" t="s">
        <v>3652</v>
      </c>
      <c r="AA950" s="510"/>
      <c r="AB950" s="509" t="s">
        <v>5864</v>
      </c>
      <c r="AC950" s="525"/>
      <c r="AD950" s="514"/>
      <c r="AE950" s="513"/>
      <c r="AF950" s="514">
        <v>90059</v>
      </c>
      <c r="AG950" s="513" t="s">
        <v>2587</v>
      </c>
      <c r="AH950" s="514" t="s">
        <v>4102</v>
      </c>
      <c r="AI950" s="513" t="s">
        <v>846</v>
      </c>
      <c r="AJ950" s="516" t="str">
        <f>P950&amp;"_0"&amp;R950</f>
        <v>4590009140_013</v>
      </c>
      <c r="AK950" s="518"/>
      <c r="AL950" s="516"/>
      <c r="AM950" s="519"/>
      <c r="AN950" s="520"/>
      <c r="AO950" s="518"/>
      <c r="AP950" s="516"/>
      <c r="AQ950" s="521"/>
      <c r="AR950" s="520"/>
      <c r="AS950" s="615"/>
      <c r="AT950" s="572">
        <f ca="1">表格1_6[[#This Row],[invoice amount]]+表格1_6[[#This Row],[invoice amount2]]</f>
        <v>0</v>
      </c>
      <c r="AU950" s="566" t="s">
        <v>3765</v>
      </c>
      <c r="AV950" s="522"/>
      <c r="AW950" s="522" t="e">
        <f ca="1">VLOOKUP(表格1_6[[#This Row],[TI tool ID2]],工作表1!A:A,1,FALSE)</f>
        <v>#N/A</v>
      </c>
      <c r="AX950" s="523" t="e">
        <f ca="1">VLOOKUP(表格1_6[[#This Row],[PO+ITEM]],工作表1!B:E,2,FALSE)</f>
        <v>#N/A</v>
      </c>
      <c r="AY950" s="523" t="e">
        <f ca="1">VLOOKUP(表格1_6[[#This Row],[PO+ITEM]],工作表1!B:E,3,FALSE)</f>
        <v>#N/A</v>
      </c>
      <c r="AZ950" s="522" t="e">
        <f ca="1">VLOOKUP(表格1_6[[#This Row],[PO+ITEM]],工作表1!B:E,4,FALSE)</f>
        <v>#N/A</v>
      </c>
      <c r="BA950" s="425" t="e">
        <f ca="1">INDEX(工作表1!G:G, MATCH(表格1_6[[#This Row],[invoice number]]&amp;表格1_6[[#This Row],[invoice number2]],工作表1!G:G, 0))</f>
        <v>#N/A</v>
      </c>
      <c r="BB950" s="522" t="e">
        <f ca="1">VLOOKUP(表格1_6[[#This Row],[PO+ITEM]],工作表1!F:H,2,FALSE)</f>
        <v>#N/A</v>
      </c>
    </row>
    <row r="951" spans="1:54" s="429" customFormat="1" ht="14.45">
      <c r="A951" s="413">
        <v>950</v>
      </c>
      <c r="B951" s="516" t="s">
        <v>3674</v>
      </c>
      <c r="C951" s="509" t="s">
        <v>16</v>
      </c>
      <c r="D951" s="509" t="s">
        <v>3648</v>
      </c>
      <c r="E951" s="509"/>
      <c r="F951" s="509"/>
      <c r="G951" s="509"/>
      <c r="H951" s="509"/>
      <c r="I951" s="509"/>
      <c r="J951" s="509"/>
      <c r="K951" s="509"/>
      <c r="L951" s="513" t="s">
        <v>5882</v>
      </c>
      <c r="M951" s="510" t="s">
        <v>2206</v>
      </c>
      <c r="N951" s="510" t="s">
        <v>2206</v>
      </c>
      <c r="O951" s="524"/>
      <c r="P951" s="510">
        <v>4590009140</v>
      </c>
      <c r="Q951" s="512">
        <v>44958</v>
      </c>
      <c r="R951" s="517">
        <v>14</v>
      </c>
      <c r="S951" s="545"/>
      <c r="T951" s="513" t="s">
        <v>2156</v>
      </c>
      <c r="U951" s="509" t="s">
        <v>4468</v>
      </c>
      <c r="V951" s="509" t="s">
        <v>4469</v>
      </c>
      <c r="W951" s="511" t="s">
        <v>4470</v>
      </c>
      <c r="X951" s="511"/>
      <c r="Y951" s="514" t="s">
        <v>3652</v>
      </c>
      <c r="Z951" s="514" t="s">
        <v>3652</v>
      </c>
      <c r="AA951" s="510"/>
      <c r="AB951" s="509" t="s">
        <v>5864</v>
      </c>
      <c r="AC951" s="525"/>
      <c r="AD951" s="514"/>
      <c r="AE951" s="513"/>
      <c r="AF951" s="514">
        <v>90058</v>
      </c>
      <c r="AG951" s="513" t="s">
        <v>2627</v>
      </c>
      <c r="AH951" s="514" t="s">
        <v>4102</v>
      </c>
      <c r="AI951" s="513" t="s">
        <v>846</v>
      </c>
      <c r="AJ951" s="516" t="str">
        <f>P951&amp;"_0"&amp;R951</f>
        <v>4590009140_014</v>
      </c>
      <c r="AK951" s="518"/>
      <c r="AL951" s="516"/>
      <c r="AM951" s="519"/>
      <c r="AN951" s="520"/>
      <c r="AO951" s="518"/>
      <c r="AP951" s="516"/>
      <c r="AQ951" s="521"/>
      <c r="AR951" s="520"/>
      <c r="AS951" s="615"/>
      <c r="AT951" s="572">
        <f ca="1">表格1_6[[#This Row],[invoice amount]]+表格1_6[[#This Row],[invoice amount2]]</f>
        <v>0</v>
      </c>
      <c r="AU951" s="566" t="s">
        <v>3765</v>
      </c>
      <c r="AV951" s="522"/>
      <c r="AW951" s="522" t="e">
        <f ca="1">VLOOKUP(表格1_6[[#This Row],[TI tool ID2]],工作表1!A:A,1,FALSE)</f>
        <v>#N/A</v>
      </c>
      <c r="AX951" s="523" t="e">
        <f ca="1">VLOOKUP(表格1_6[[#This Row],[PO+ITEM]],工作表1!B:E,2,FALSE)</f>
        <v>#N/A</v>
      </c>
      <c r="AY951" s="523" t="e">
        <f ca="1">VLOOKUP(表格1_6[[#This Row],[PO+ITEM]],工作表1!B:E,3,FALSE)</f>
        <v>#N/A</v>
      </c>
      <c r="AZ951" s="522" t="e">
        <f ca="1">VLOOKUP(表格1_6[[#This Row],[PO+ITEM]],工作表1!B:E,4,FALSE)</f>
        <v>#N/A</v>
      </c>
      <c r="BA951" s="425" t="e">
        <f ca="1">INDEX(工作表1!G:G, MATCH(表格1_6[[#This Row],[invoice number]]&amp;表格1_6[[#This Row],[invoice number2]],工作表1!G:G, 0))</f>
        <v>#N/A</v>
      </c>
      <c r="BB951" s="522" t="e">
        <f ca="1">VLOOKUP(表格1_6[[#This Row],[PO+ITEM]],工作表1!F:H,2,FALSE)</f>
        <v>#N/A</v>
      </c>
    </row>
    <row r="952" spans="1:54" s="429" customFormat="1" ht="14.45">
      <c r="A952" s="413">
        <v>951</v>
      </c>
      <c r="B952" s="413" t="s">
        <v>3659</v>
      </c>
      <c r="C952" s="414" t="s">
        <v>16</v>
      </c>
      <c r="D952" s="414" t="s">
        <v>3648</v>
      </c>
      <c r="E952" s="414"/>
      <c r="F952" s="414"/>
      <c r="G952" s="414"/>
      <c r="H952" s="414"/>
      <c r="I952" s="414"/>
      <c r="J952" s="414"/>
      <c r="K952" s="414"/>
      <c r="L952" s="415" t="s">
        <v>5883</v>
      </c>
      <c r="M952" s="416" t="s">
        <v>2659</v>
      </c>
      <c r="N952" s="416"/>
      <c r="O952" s="421"/>
      <c r="P952" s="416">
        <v>4590016398</v>
      </c>
      <c r="Q952" s="418">
        <v>45367</v>
      </c>
      <c r="R952" s="419">
        <v>1</v>
      </c>
      <c r="S952" s="349">
        <v>469.48</v>
      </c>
      <c r="T952" s="420" t="s">
        <v>2156</v>
      </c>
      <c r="U952" s="414" t="s">
        <v>5884</v>
      </c>
      <c r="V952" s="414" t="s">
        <v>4469</v>
      </c>
      <c r="W952" s="417" t="s">
        <v>4470</v>
      </c>
      <c r="X952" s="417"/>
      <c r="Y952" s="421" t="s">
        <v>3652</v>
      </c>
      <c r="Z952" s="421" t="s">
        <v>3652</v>
      </c>
      <c r="AA952" s="416"/>
      <c r="AB952" s="414" t="s">
        <v>5885</v>
      </c>
      <c r="AC952" s="421"/>
      <c r="AD952" s="421" t="s">
        <v>4083</v>
      </c>
      <c r="AE952" s="421"/>
      <c r="AF952" s="421">
        <v>91238</v>
      </c>
      <c r="AG952" s="420" t="s">
        <v>5000</v>
      </c>
      <c r="AH952" s="421" t="s">
        <v>3681</v>
      </c>
      <c r="AI952" s="420" t="s">
        <v>846</v>
      </c>
      <c r="AJ952" s="413" t="str">
        <f t="shared" ref="AJ952:AJ960" si="60">P952&amp;"_00"&amp;R952</f>
        <v>4590016398_001</v>
      </c>
      <c r="AK952" s="423"/>
      <c r="AL952" s="413"/>
      <c r="AM952" s="221"/>
      <c r="AN952" s="424"/>
      <c r="AO952" s="423"/>
      <c r="AP952" s="413"/>
      <c r="AQ952" s="222"/>
      <c r="AR952" s="424"/>
      <c r="AS952" s="614">
        <f ca="1">表格1_6[[#This Row],[total amount]]/表格1_6[[#This Row],[PO$]]</f>
        <v>0</v>
      </c>
      <c r="AT952" s="223">
        <f ca="1">表格1_6[[#This Row],[invoice amount]]+表格1_6[[#This Row],[invoice amount2]]</f>
        <v>0</v>
      </c>
      <c r="AU952" s="224"/>
      <c r="AV952" s="423"/>
      <c r="AW952" s="423" t="e">
        <f ca="1">VLOOKUP(表格1_6[[#This Row],[TI tool ID2]],工作表1!A:A,1,FALSE)</f>
        <v>#N/A</v>
      </c>
      <c r="AX952" s="425" t="e">
        <f ca="1">VLOOKUP(表格1_6[[#This Row],[PO+ITEM]],工作表1!B:E,2,FALSE)</f>
        <v>#N/A</v>
      </c>
      <c r="AY952" s="425" t="e">
        <f ca="1">VLOOKUP(表格1_6[[#This Row],[PO+ITEM]],工作表1!B:E,3,FALSE)</f>
        <v>#N/A</v>
      </c>
      <c r="AZ952" s="423" t="e">
        <f ca="1">VLOOKUP(表格1_6[[#This Row],[PO+ITEM]],工作表1!B:E,4,FALSE)</f>
        <v>#N/A</v>
      </c>
      <c r="BA952" s="425" t="e">
        <f ca="1">INDEX(工作表1!G:G, MATCH(表格1_6[[#This Row],[invoice number]]&amp;表格1_6[[#This Row],[invoice number2]],工作表1!G:G, 0))</f>
        <v>#N/A</v>
      </c>
      <c r="BB952" s="423" t="e">
        <f ca="1">VLOOKUP(表格1_6[[#This Row],[PO+ITEM]],工作表1!F:H,2,FALSE)</f>
        <v>#N/A</v>
      </c>
    </row>
    <row r="953" spans="1:54" s="429" customFormat="1" ht="14.45">
      <c r="A953" s="413">
        <v>952</v>
      </c>
      <c r="B953" s="413" t="s">
        <v>3659</v>
      </c>
      <c r="C953" s="414" t="s">
        <v>16</v>
      </c>
      <c r="D953" s="414" t="s">
        <v>3648</v>
      </c>
      <c r="E953" s="414"/>
      <c r="F953" s="414"/>
      <c r="G953" s="414"/>
      <c r="H953" s="414"/>
      <c r="I953" s="414"/>
      <c r="J953" s="414"/>
      <c r="K953" s="414"/>
      <c r="L953" s="415" t="s">
        <v>5886</v>
      </c>
      <c r="M953" s="416" t="s">
        <v>2659</v>
      </c>
      <c r="N953" s="416"/>
      <c r="O953" s="421"/>
      <c r="P953" s="416">
        <v>4590016398</v>
      </c>
      <c r="Q953" s="418">
        <v>45367</v>
      </c>
      <c r="R953" s="419">
        <v>2</v>
      </c>
      <c r="S953" s="349">
        <v>469.48</v>
      </c>
      <c r="T953" s="420" t="s">
        <v>2156</v>
      </c>
      <c r="U953" s="414" t="s">
        <v>5884</v>
      </c>
      <c r="V953" s="414" t="s">
        <v>4469</v>
      </c>
      <c r="W953" s="417" t="s">
        <v>4470</v>
      </c>
      <c r="X953" s="417"/>
      <c r="Y953" s="421" t="s">
        <v>3652</v>
      </c>
      <c r="Z953" s="421" t="s">
        <v>3652</v>
      </c>
      <c r="AA953" s="416" t="s">
        <v>5887</v>
      </c>
      <c r="AB953" s="414" t="s">
        <v>5885</v>
      </c>
      <c r="AC953" s="421"/>
      <c r="AD953" s="421" t="s">
        <v>4083</v>
      </c>
      <c r="AE953" s="421"/>
      <c r="AF953" s="421">
        <v>91239</v>
      </c>
      <c r="AG953" s="420" t="s">
        <v>4998</v>
      </c>
      <c r="AH953" s="421" t="s">
        <v>3932</v>
      </c>
      <c r="AI953" s="420" t="s">
        <v>846</v>
      </c>
      <c r="AJ953" s="413" t="str">
        <f t="shared" si="60"/>
        <v>4590016398_002</v>
      </c>
      <c r="AK953" s="423"/>
      <c r="AL953" s="413"/>
      <c r="AM953" s="221"/>
      <c r="AN953" s="424"/>
      <c r="AO953" s="423"/>
      <c r="AP953" s="413"/>
      <c r="AQ953" s="222"/>
      <c r="AR953" s="424"/>
      <c r="AS953" s="614">
        <f ca="1">表格1_6[[#This Row],[total amount]]/表格1_6[[#This Row],[PO$]]</f>
        <v>0</v>
      </c>
      <c r="AT953" s="223">
        <f ca="1">表格1_6[[#This Row],[invoice amount]]+表格1_6[[#This Row],[invoice amount2]]</f>
        <v>0</v>
      </c>
      <c r="AU953" s="224"/>
      <c r="AV953" s="423"/>
      <c r="AW953" s="423" t="e">
        <f ca="1">VLOOKUP(表格1_6[[#This Row],[TI tool ID2]],工作表1!A:A,1,FALSE)</f>
        <v>#N/A</v>
      </c>
      <c r="AX953" s="425" t="e">
        <f ca="1">VLOOKUP(表格1_6[[#This Row],[PO+ITEM]],工作表1!B:E,2,FALSE)</f>
        <v>#N/A</v>
      </c>
      <c r="AY953" s="425" t="e">
        <f ca="1">VLOOKUP(表格1_6[[#This Row],[PO+ITEM]],工作表1!B:E,3,FALSE)</f>
        <v>#N/A</v>
      </c>
      <c r="AZ953" s="423" t="e">
        <f ca="1">VLOOKUP(表格1_6[[#This Row],[PO+ITEM]],工作表1!B:E,4,FALSE)</f>
        <v>#N/A</v>
      </c>
      <c r="BA953" s="425" t="e">
        <f ca="1">INDEX(工作表1!G:G, MATCH(表格1_6[[#This Row],[invoice number]]&amp;表格1_6[[#This Row],[invoice number2]],工作表1!G:G, 0))</f>
        <v>#N/A</v>
      </c>
      <c r="BB953" s="423" t="e">
        <f ca="1">VLOOKUP(表格1_6[[#This Row],[PO+ITEM]],工作表1!F:H,2,FALSE)</f>
        <v>#N/A</v>
      </c>
    </row>
    <row r="954" spans="1:54" s="429" customFormat="1" ht="14.45">
      <c r="A954" s="413">
        <v>953</v>
      </c>
      <c r="B954" s="413" t="s">
        <v>3659</v>
      </c>
      <c r="C954" s="414" t="s">
        <v>16</v>
      </c>
      <c r="D954" s="414" t="s">
        <v>3648</v>
      </c>
      <c r="E954" s="414"/>
      <c r="F954" s="414"/>
      <c r="G954" s="414"/>
      <c r="H954" s="414"/>
      <c r="I954" s="414"/>
      <c r="J954" s="414"/>
      <c r="K954" s="414"/>
      <c r="L954" s="415" t="s">
        <v>5888</v>
      </c>
      <c r="M954" s="416" t="s">
        <v>2659</v>
      </c>
      <c r="N954" s="416"/>
      <c r="O954" s="421"/>
      <c r="P954" s="416">
        <v>4590016398</v>
      </c>
      <c r="Q954" s="418">
        <v>45367</v>
      </c>
      <c r="R954" s="419">
        <v>3</v>
      </c>
      <c r="S954" s="349">
        <v>469.48</v>
      </c>
      <c r="T954" s="420" t="s">
        <v>2156</v>
      </c>
      <c r="U954" s="414" t="s">
        <v>5884</v>
      </c>
      <c r="V954" s="414" t="s">
        <v>4469</v>
      </c>
      <c r="W954" s="417" t="s">
        <v>4470</v>
      </c>
      <c r="X954" s="417"/>
      <c r="Y954" s="421" t="s">
        <v>3652</v>
      </c>
      <c r="Z954" s="421" t="s">
        <v>3652</v>
      </c>
      <c r="AA954" s="416" t="s">
        <v>5887</v>
      </c>
      <c r="AB954" s="414" t="s">
        <v>5885</v>
      </c>
      <c r="AC954" s="421"/>
      <c r="AD954" s="421" t="s">
        <v>4083</v>
      </c>
      <c r="AE954" s="421"/>
      <c r="AF954" s="421">
        <v>91240</v>
      </c>
      <c r="AG954" s="420" t="s">
        <v>5002</v>
      </c>
      <c r="AH954" s="421" t="s">
        <v>2369</v>
      </c>
      <c r="AI954" s="420" t="s">
        <v>846</v>
      </c>
      <c r="AJ954" s="413" t="str">
        <f t="shared" si="60"/>
        <v>4590016398_003</v>
      </c>
      <c r="AK954" s="423"/>
      <c r="AL954" s="413"/>
      <c r="AM954" s="221"/>
      <c r="AN954" s="424"/>
      <c r="AO954" s="423"/>
      <c r="AP954" s="413"/>
      <c r="AQ954" s="222"/>
      <c r="AR954" s="424"/>
      <c r="AS954" s="614">
        <f ca="1">表格1_6[[#This Row],[total amount]]/表格1_6[[#This Row],[PO$]]</f>
        <v>0</v>
      </c>
      <c r="AT954" s="223">
        <f ca="1">表格1_6[[#This Row],[invoice amount]]+表格1_6[[#This Row],[invoice amount2]]</f>
        <v>0</v>
      </c>
      <c r="AU954" s="224"/>
      <c r="AV954" s="423"/>
      <c r="AW954" s="423" t="e">
        <f ca="1">VLOOKUP(表格1_6[[#This Row],[TI tool ID2]],工作表1!A:A,1,FALSE)</f>
        <v>#N/A</v>
      </c>
      <c r="AX954" s="425" t="e">
        <f ca="1">VLOOKUP(表格1_6[[#This Row],[PO+ITEM]],工作表1!B:E,2,FALSE)</f>
        <v>#N/A</v>
      </c>
      <c r="AY954" s="425" t="e">
        <f ca="1">VLOOKUP(表格1_6[[#This Row],[PO+ITEM]],工作表1!B:E,3,FALSE)</f>
        <v>#N/A</v>
      </c>
      <c r="AZ954" s="423" t="e">
        <f ca="1">VLOOKUP(表格1_6[[#This Row],[PO+ITEM]],工作表1!B:E,4,FALSE)</f>
        <v>#N/A</v>
      </c>
      <c r="BA954" s="425" t="e">
        <f ca="1">INDEX(工作表1!G:G, MATCH(表格1_6[[#This Row],[invoice number]]&amp;表格1_6[[#This Row],[invoice number2]],工作表1!G:G, 0))</f>
        <v>#N/A</v>
      </c>
      <c r="BB954" s="423" t="e">
        <f ca="1">VLOOKUP(表格1_6[[#This Row],[PO+ITEM]],工作表1!F:H,2,FALSE)</f>
        <v>#N/A</v>
      </c>
    </row>
    <row r="955" spans="1:54" s="429" customFormat="1">
      <c r="A955" s="413">
        <v>954</v>
      </c>
      <c r="B955" s="413" t="s">
        <v>3674</v>
      </c>
      <c r="C955" s="414" t="s">
        <v>16</v>
      </c>
      <c r="D955" s="414" t="s">
        <v>3648</v>
      </c>
      <c r="E955" s="414"/>
      <c r="F955" s="414"/>
      <c r="G955" s="414"/>
      <c r="H955" s="414"/>
      <c r="I955" s="414"/>
      <c r="J955" s="414"/>
      <c r="K955" s="414"/>
      <c r="L955" s="415" t="s">
        <v>5889</v>
      </c>
      <c r="M955" s="416" t="s">
        <v>2659</v>
      </c>
      <c r="N955" s="416"/>
      <c r="O955" s="421"/>
      <c r="P955" s="416">
        <v>4590016398</v>
      </c>
      <c r="Q955" s="418">
        <v>45367</v>
      </c>
      <c r="R955" s="419">
        <v>4</v>
      </c>
      <c r="S955" s="349">
        <v>469.48</v>
      </c>
      <c r="T955" s="420" t="s">
        <v>2156</v>
      </c>
      <c r="U955" s="414" t="s">
        <v>5884</v>
      </c>
      <c r="V955" s="414" t="s">
        <v>4469</v>
      </c>
      <c r="W955" s="417" t="s">
        <v>4470</v>
      </c>
      <c r="X955" s="417"/>
      <c r="Y955" s="421" t="s">
        <v>3652</v>
      </c>
      <c r="Z955" s="421" t="s">
        <v>3652</v>
      </c>
      <c r="AA955" s="416" t="s">
        <v>5890</v>
      </c>
      <c r="AB955" s="414" t="s">
        <v>5885</v>
      </c>
      <c r="AC955" s="421"/>
      <c r="AD955" s="421" t="s">
        <v>4083</v>
      </c>
      <c r="AE955" s="421"/>
      <c r="AF955" s="421">
        <v>91241</v>
      </c>
      <c r="AG955" s="420" t="s">
        <v>5004</v>
      </c>
      <c r="AH955" s="421" t="s">
        <v>4102</v>
      </c>
      <c r="AI955" s="420" t="s">
        <v>846</v>
      </c>
      <c r="AJ955" s="413" t="str">
        <f t="shared" si="60"/>
        <v>4590016398_004</v>
      </c>
      <c r="AK955" s="425" t="s">
        <v>5891</v>
      </c>
      <c r="AL955" s="424">
        <v>45562</v>
      </c>
      <c r="AM955" s="221">
        <v>469.48</v>
      </c>
      <c r="AN955" s="424"/>
      <c r="AO955" s="423"/>
      <c r="AP955" s="413"/>
      <c r="AQ955" s="222"/>
      <c r="AR955" s="424"/>
      <c r="AS955" s="614">
        <f ca="1">表格1_6[[#This Row],[total amount]]/表格1_6[[#This Row],[PO$]]</f>
        <v>1</v>
      </c>
      <c r="AT955" s="223">
        <f ca="1">表格1_6[[#This Row],[invoice amount]]+表格1_6[[#This Row],[invoice amount2]]</f>
        <v>469.48</v>
      </c>
      <c r="AU955" s="224" t="s">
        <v>3752</v>
      </c>
      <c r="AV955" s="423"/>
      <c r="AW955" s="423" t="e">
        <f ca="1">VLOOKUP(表格1_6[[#This Row],[TI tool ID2]],工作表1!A:A,1,FALSE)</f>
        <v>#N/A</v>
      </c>
      <c r="AX955" s="425" t="str">
        <f ca="1">VLOOKUP(表格1_6[[#This Row],[PO+ITEM]],工作表1!B:E,2,FALSE)</f>
        <v>MICUINT202409069</v>
      </c>
      <c r="AY955" s="425">
        <f ca="1">VLOOKUP(表格1_6[[#This Row],[PO+ITEM]],工作表1!B:E,3,FALSE)</f>
        <v>45562</v>
      </c>
      <c r="AZ955" s="423" t="e">
        <f ca="1">VLOOKUP(表格1_6[[#This Row],[PO+ITEM]],工作表1!B:E,4,FALSE)</f>
        <v>#REF!</v>
      </c>
      <c r="BA955" s="425" t="e">
        <f ca="1">INDEX(工作表1!G:G, MATCH(表格1_6[[#This Row],[invoice number]]&amp;表格1_6[[#This Row],[invoice number2]],工作表1!G:G, 0))</f>
        <v>#N/A</v>
      </c>
      <c r="BB955" s="423" t="e">
        <f ca="1">VLOOKUP(表格1_6[[#This Row],[PO+ITEM]],工作表1!F:H,2,FALSE)</f>
        <v>#N/A</v>
      </c>
    </row>
    <row r="956" spans="1:54" s="429" customFormat="1">
      <c r="A956" s="413">
        <v>955</v>
      </c>
      <c r="B956" s="413" t="s">
        <v>3674</v>
      </c>
      <c r="C956" s="414" t="s">
        <v>16</v>
      </c>
      <c r="D956" s="414" t="s">
        <v>3648</v>
      </c>
      <c r="E956" s="414"/>
      <c r="F956" s="414"/>
      <c r="G956" s="414"/>
      <c r="H956" s="414"/>
      <c r="I956" s="414"/>
      <c r="J956" s="414"/>
      <c r="K956" s="414"/>
      <c r="L956" s="415" t="s">
        <v>5892</v>
      </c>
      <c r="M956" s="416" t="s">
        <v>2659</v>
      </c>
      <c r="N956" s="416"/>
      <c r="O956" s="421"/>
      <c r="P956" s="416">
        <v>4590016398</v>
      </c>
      <c r="Q956" s="418">
        <v>45367</v>
      </c>
      <c r="R956" s="419">
        <v>5</v>
      </c>
      <c r="S956" s="349">
        <v>469.48</v>
      </c>
      <c r="T956" s="420" t="s">
        <v>2156</v>
      </c>
      <c r="U956" s="414" t="s">
        <v>5884</v>
      </c>
      <c r="V956" s="414" t="s">
        <v>4469</v>
      </c>
      <c r="W956" s="417" t="s">
        <v>4470</v>
      </c>
      <c r="X956" s="417"/>
      <c r="Y956" s="421" t="s">
        <v>3652</v>
      </c>
      <c r="Z956" s="421" t="s">
        <v>3652</v>
      </c>
      <c r="AA956" s="416" t="s">
        <v>5890</v>
      </c>
      <c r="AB956" s="414" t="s">
        <v>5885</v>
      </c>
      <c r="AC956" s="421"/>
      <c r="AD956" s="421" t="s">
        <v>4083</v>
      </c>
      <c r="AE956" s="421"/>
      <c r="AF956" s="421">
        <v>91242</v>
      </c>
      <c r="AG956" s="420" t="s">
        <v>5007</v>
      </c>
      <c r="AH956" s="421" t="s">
        <v>4102</v>
      </c>
      <c r="AI956" s="420" t="s">
        <v>846</v>
      </c>
      <c r="AJ956" s="413" t="str">
        <f t="shared" si="60"/>
        <v>4590016398_005</v>
      </c>
      <c r="AK956" s="423"/>
      <c r="AL956" s="413"/>
      <c r="AM956" s="221"/>
      <c r="AN956" s="424"/>
      <c r="AO956" s="423"/>
      <c r="AP956" s="413"/>
      <c r="AQ956" s="222"/>
      <c r="AR956" s="424"/>
      <c r="AS956" s="614">
        <f ca="1">表格1_6[[#This Row],[total amount]]/表格1_6[[#This Row],[PO$]]</f>
        <v>0</v>
      </c>
      <c r="AT956" s="223">
        <f ca="1">表格1_6[[#This Row],[invoice amount]]+表格1_6[[#This Row],[invoice amount2]]</f>
        <v>0</v>
      </c>
      <c r="AU956" s="224"/>
      <c r="AV956" s="423"/>
      <c r="AW956" s="423" t="e">
        <f ca="1">VLOOKUP(表格1_6[[#This Row],[TI tool ID2]],工作表1!A:A,1,FALSE)</f>
        <v>#N/A</v>
      </c>
      <c r="AX956" s="425" t="e">
        <f ca="1">VLOOKUP(表格1_6[[#This Row],[PO+ITEM]],工作表1!B:E,2,FALSE)</f>
        <v>#N/A</v>
      </c>
      <c r="AY956" s="425" t="e">
        <f ca="1">VLOOKUP(表格1_6[[#This Row],[PO+ITEM]],工作表1!B:E,3,FALSE)</f>
        <v>#N/A</v>
      </c>
      <c r="AZ956" s="423" t="e">
        <f ca="1">VLOOKUP(表格1_6[[#This Row],[PO+ITEM]],工作表1!B:E,4,FALSE)</f>
        <v>#N/A</v>
      </c>
      <c r="BA956" s="425" t="e">
        <f ca="1">INDEX(工作表1!G:G, MATCH(表格1_6[[#This Row],[invoice number]]&amp;表格1_6[[#This Row],[invoice number2]],工作表1!G:G, 0))</f>
        <v>#N/A</v>
      </c>
      <c r="BB956" s="423" t="e">
        <f ca="1">VLOOKUP(表格1_6[[#This Row],[PO+ITEM]],工作表1!F:H,2,FALSE)</f>
        <v>#N/A</v>
      </c>
    </row>
    <row r="957" spans="1:54" s="429" customFormat="1" ht="14.45">
      <c r="A957" s="413">
        <v>956</v>
      </c>
      <c r="B957" s="413" t="s">
        <v>3659</v>
      </c>
      <c r="C957" s="414" t="s">
        <v>16</v>
      </c>
      <c r="D957" s="414" t="s">
        <v>3648</v>
      </c>
      <c r="E957" s="414"/>
      <c r="F957" s="414"/>
      <c r="G957" s="414"/>
      <c r="H957" s="414"/>
      <c r="I957" s="414"/>
      <c r="J957" s="414"/>
      <c r="K957" s="414"/>
      <c r="L957" s="415" t="s">
        <v>5893</v>
      </c>
      <c r="M957" s="416" t="s">
        <v>2659</v>
      </c>
      <c r="N957" s="416"/>
      <c r="O957" s="421"/>
      <c r="P957" s="416">
        <v>4590016398</v>
      </c>
      <c r="Q957" s="418">
        <v>45367</v>
      </c>
      <c r="R957" s="419">
        <v>6</v>
      </c>
      <c r="S957" s="349">
        <v>469.48</v>
      </c>
      <c r="T957" s="420" t="s">
        <v>2156</v>
      </c>
      <c r="U957" s="414" t="s">
        <v>5884</v>
      </c>
      <c r="V957" s="414" t="s">
        <v>4469</v>
      </c>
      <c r="W957" s="417" t="s">
        <v>4470</v>
      </c>
      <c r="X957" s="417"/>
      <c r="Y957" s="421" t="s">
        <v>3652</v>
      </c>
      <c r="Z957" s="421" t="s">
        <v>3652</v>
      </c>
      <c r="AA957" s="416" t="s">
        <v>5887</v>
      </c>
      <c r="AB957" s="414" t="s">
        <v>5885</v>
      </c>
      <c r="AC957" s="421"/>
      <c r="AD957" s="421" t="s">
        <v>4083</v>
      </c>
      <c r="AE957" s="421"/>
      <c r="AF957" s="421">
        <v>91243</v>
      </c>
      <c r="AG957" s="420" t="s">
        <v>5009</v>
      </c>
      <c r="AH957" s="421" t="s">
        <v>4102</v>
      </c>
      <c r="AI957" s="420" t="s">
        <v>846</v>
      </c>
      <c r="AJ957" s="413" t="str">
        <f t="shared" si="60"/>
        <v>4590016398_006</v>
      </c>
      <c r="AK957" s="423"/>
      <c r="AL957" s="413"/>
      <c r="AM957" s="221"/>
      <c r="AN957" s="424"/>
      <c r="AO957" s="423"/>
      <c r="AP957" s="413"/>
      <c r="AQ957" s="222"/>
      <c r="AR957" s="424"/>
      <c r="AS957" s="614">
        <f ca="1">表格1_6[[#This Row],[total amount]]/表格1_6[[#This Row],[PO$]]</f>
        <v>0</v>
      </c>
      <c r="AT957" s="223">
        <f ca="1">表格1_6[[#This Row],[invoice amount]]+表格1_6[[#This Row],[invoice amount2]]</f>
        <v>0</v>
      </c>
      <c r="AU957" s="224"/>
      <c r="AV957" s="423"/>
      <c r="AW957" s="423" t="e">
        <f ca="1">VLOOKUP(表格1_6[[#This Row],[TI tool ID2]],工作表1!A:A,1,FALSE)</f>
        <v>#N/A</v>
      </c>
      <c r="AX957" s="425" t="e">
        <f ca="1">VLOOKUP(表格1_6[[#This Row],[PO+ITEM]],工作表1!B:E,2,FALSE)</f>
        <v>#N/A</v>
      </c>
      <c r="AY957" s="425" t="e">
        <f ca="1">VLOOKUP(表格1_6[[#This Row],[PO+ITEM]],工作表1!B:E,3,FALSE)</f>
        <v>#N/A</v>
      </c>
      <c r="AZ957" s="423" t="e">
        <f ca="1">VLOOKUP(表格1_6[[#This Row],[PO+ITEM]],工作表1!B:E,4,FALSE)</f>
        <v>#N/A</v>
      </c>
      <c r="BA957" s="425" t="e">
        <f ca="1">INDEX(工作表1!G:G, MATCH(表格1_6[[#This Row],[invoice number]]&amp;表格1_6[[#This Row],[invoice number2]],工作表1!G:G, 0))</f>
        <v>#N/A</v>
      </c>
      <c r="BB957" s="423" t="e">
        <f ca="1">VLOOKUP(表格1_6[[#This Row],[PO+ITEM]],工作表1!F:H,2,FALSE)</f>
        <v>#N/A</v>
      </c>
    </row>
    <row r="958" spans="1:54" s="429" customFormat="1">
      <c r="A958" s="413">
        <v>957</v>
      </c>
      <c r="B958" s="413" t="s">
        <v>3674</v>
      </c>
      <c r="C958" s="414" t="s">
        <v>16</v>
      </c>
      <c r="D958" s="414" t="s">
        <v>3648</v>
      </c>
      <c r="E958" s="414"/>
      <c r="F958" s="414"/>
      <c r="G958" s="414"/>
      <c r="H958" s="414"/>
      <c r="I958" s="414"/>
      <c r="J958" s="414"/>
      <c r="K958" s="414"/>
      <c r="L958" s="415" t="s">
        <v>5894</v>
      </c>
      <c r="M958" s="416" t="s">
        <v>2659</v>
      </c>
      <c r="N958" s="416"/>
      <c r="O958" s="421"/>
      <c r="P958" s="416">
        <v>4590016398</v>
      </c>
      <c r="Q958" s="418">
        <v>45367</v>
      </c>
      <c r="R958" s="419">
        <v>7</v>
      </c>
      <c r="S958" s="349">
        <v>469.48</v>
      </c>
      <c r="T958" s="420" t="s">
        <v>2156</v>
      </c>
      <c r="U958" s="414" t="s">
        <v>5884</v>
      </c>
      <c r="V958" s="414" t="s">
        <v>4469</v>
      </c>
      <c r="W958" s="417" t="s">
        <v>4470</v>
      </c>
      <c r="X958" s="417"/>
      <c r="Y958" s="421" t="s">
        <v>3652</v>
      </c>
      <c r="Z958" s="421" t="s">
        <v>3652</v>
      </c>
      <c r="AA958" s="416" t="s">
        <v>5890</v>
      </c>
      <c r="AB958" s="414" t="s">
        <v>5885</v>
      </c>
      <c r="AC958" s="421"/>
      <c r="AD958" s="421" t="s">
        <v>4083</v>
      </c>
      <c r="AE958" s="421"/>
      <c r="AF958" s="421">
        <v>91244</v>
      </c>
      <c r="AG958" s="420" t="s">
        <v>5011</v>
      </c>
      <c r="AH958" s="421" t="s">
        <v>4102</v>
      </c>
      <c r="AI958" s="420" t="s">
        <v>846</v>
      </c>
      <c r="AJ958" s="413" t="str">
        <f t="shared" si="60"/>
        <v>4590016398_007</v>
      </c>
      <c r="AK958" s="423"/>
      <c r="AL958" s="413"/>
      <c r="AM958" s="221"/>
      <c r="AN958" s="424"/>
      <c r="AO958" s="423"/>
      <c r="AP958" s="413"/>
      <c r="AQ958" s="222"/>
      <c r="AR958" s="424"/>
      <c r="AS958" s="614">
        <f ca="1">表格1_6[[#This Row],[total amount]]/表格1_6[[#This Row],[PO$]]</f>
        <v>0</v>
      </c>
      <c r="AT958" s="223">
        <f ca="1">表格1_6[[#This Row],[invoice amount]]+表格1_6[[#This Row],[invoice amount2]]</f>
        <v>0</v>
      </c>
      <c r="AU958" s="224"/>
      <c r="AV958" s="423"/>
      <c r="AW958" s="423" t="e">
        <f ca="1">VLOOKUP(表格1_6[[#This Row],[TI tool ID2]],工作表1!A:A,1,FALSE)</f>
        <v>#N/A</v>
      </c>
      <c r="AX958" s="425" t="e">
        <f ca="1">VLOOKUP(表格1_6[[#This Row],[PO+ITEM]],工作表1!B:E,2,FALSE)</f>
        <v>#N/A</v>
      </c>
      <c r="AY958" s="425" t="e">
        <f ca="1">VLOOKUP(表格1_6[[#This Row],[PO+ITEM]],工作表1!B:E,3,FALSE)</f>
        <v>#N/A</v>
      </c>
      <c r="AZ958" s="423" t="e">
        <f ca="1">VLOOKUP(表格1_6[[#This Row],[PO+ITEM]],工作表1!B:E,4,FALSE)</f>
        <v>#N/A</v>
      </c>
      <c r="BA958" s="425" t="e">
        <f ca="1">INDEX(工作表1!G:G, MATCH(表格1_6[[#This Row],[invoice number]]&amp;表格1_6[[#This Row],[invoice number2]],工作表1!G:G, 0))</f>
        <v>#N/A</v>
      </c>
      <c r="BB958" s="423" t="e">
        <f ca="1">VLOOKUP(表格1_6[[#This Row],[PO+ITEM]],工作表1!F:H,2,FALSE)</f>
        <v>#N/A</v>
      </c>
    </row>
    <row r="959" spans="1:54">
      <c r="A959" s="413">
        <v>958</v>
      </c>
      <c r="B959" s="413" t="s">
        <v>3674</v>
      </c>
      <c r="C959" s="414" t="s">
        <v>16</v>
      </c>
      <c r="D959" s="414" t="s">
        <v>3648</v>
      </c>
      <c r="E959" s="414"/>
      <c r="F959" s="414"/>
      <c r="G959" s="414"/>
      <c r="H959" s="414"/>
      <c r="I959" s="414"/>
      <c r="J959" s="414"/>
      <c r="K959" s="414"/>
      <c r="L959" s="415" t="s">
        <v>5895</v>
      </c>
      <c r="M959" s="416" t="s">
        <v>2659</v>
      </c>
      <c r="N959" s="416"/>
      <c r="O959" s="421"/>
      <c r="P959" s="416">
        <v>4590016398</v>
      </c>
      <c r="Q959" s="418">
        <v>45367</v>
      </c>
      <c r="R959" s="419">
        <v>8</v>
      </c>
      <c r="S959" s="349">
        <v>469.48</v>
      </c>
      <c r="T959" s="420" t="s">
        <v>2156</v>
      </c>
      <c r="U959" s="414" t="s">
        <v>5884</v>
      </c>
      <c r="V959" s="414" t="s">
        <v>4469</v>
      </c>
      <c r="W959" s="417" t="s">
        <v>4470</v>
      </c>
      <c r="X959" s="417"/>
      <c r="Y959" s="421" t="s">
        <v>3652</v>
      </c>
      <c r="Z959" s="421" t="s">
        <v>3652</v>
      </c>
      <c r="AA959" s="416" t="s">
        <v>5890</v>
      </c>
      <c r="AB959" s="414" t="s">
        <v>5885</v>
      </c>
      <c r="AC959" s="421"/>
      <c r="AD959" s="421" t="s">
        <v>4083</v>
      </c>
      <c r="AE959" s="421"/>
      <c r="AF959" s="421">
        <v>90057</v>
      </c>
      <c r="AG959" s="420" t="s">
        <v>4479</v>
      </c>
      <c r="AH959" s="421" t="s">
        <v>4102</v>
      </c>
      <c r="AI959" s="420" t="s">
        <v>846</v>
      </c>
      <c r="AJ959" s="413" t="str">
        <f t="shared" si="60"/>
        <v>4590016398_008</v>
      </c>
      <c r="AK959" s="425" t="s">
        <v>5896</v>
      </c>
      <c r="AL959" s="424">
        <v>45562</v>
      </c>
      <c r="AM959" s="221">
        <v>469.48</v>
      </c>
      <c r="AN959" s="424"/>
      <c r="AO959" s="423"/>
      <c r="AP959" s="413"/>
      <c r="AQ959" s="222"/>
      <c r="AR959" s="424"/>
      <c r="AS959" s="614">
        <f ca="1">表格1_6[[#This Row],[total amount]]/表格1_6[[#This Row],[PO$]]</f>
        <v>1</v>
      </c>
      <c r="AT959" s="223">
        <f ca="1">表格1_6[[#This Row],[invoice amount]]+表格1_6[[#This Row],[invoice amount2]]</f>
        <v>469.48</v>
      </c>
      <c r="AU959" s="224" t="s">
        <v>3752</v>
      </c>
      <c r="AV959" s="423"/>
      <c r="AW959" s="423" t="e">
        <f ca="1">VLOOKUP(表格1_6[[#This Row],[TI tool ID2]],工作表1!A:A,1,FALSE)</f>
        <v>#N/A</v>
      </c>
      <c r="AX959" s="425" t="str">
        <f ca="1">VLOOKUP(表格1_6[[#This Row],[PO+ITEM]],工作表1!B:E,2,FALSE)</f>
        <v>MICUINT202409070</v>
      </c>
      <c r="AY959" s="425">
        <f ca="1">VLOOKUP(表格1_6[[#This Row],[PO+ITEM]],工作表1!B:E,3,FALSE)</f>
        <v>45562</v>
      </c>
      <c r="AZ959" s="423" t="e">
        <f ca="1">VLOOKUP(表格1_6[[#This Row],[PO+ITEM]],工作表1!B:E,4,FALSE)</f>
        <v>#REF!</v>
      </c>
      <c r="BA959" s="425" t="e">
        <f ca="1">INDEX(工作表1!G:G, MATCH(表格1_6[[#This Row],[invoice number]]&amp;表格1_6[[#This Row],[invoice number2]],工作表1!G:G, 0))</f>
        <v>#N/A</v>
      </c>
      <c r="BB959" s="423" t="e">
        <f ca="1">VLOOKUP(表格1_6[[#This Row],[PO+ITEM]],工作表1!F:H,2,FALSE)</f>
        <v>#N/A</v>
      </c>
    </row>
    <row r="960" spans="1:54">
      <c r="A960" s="413">
        <v>959</v>
      </c>
      <c r="B960" s="413" t="s">
        <v>3674</v>
      </c>
      <c r="C960" s="414" t="s">
        <v>16</v>
      </c>
      <c r="D960" s="414" t="s">
        <v>3648</v>
      </c>
      <c r="E960" s="414"/>
      <c r="F960" s="414"/>
      <c r="G960" s="414"/>
      <c r="H960" s="414"/>
      <c r="I960" s="414"/>
      <c r="J960" s="414"/>
      <c r="K960" s="414"/>
      <c r="L960" s="415" t="s">
        <v>5897</v>
      </c>
      <c r="M960" s="416" t="s">
        <v>2659</v>
      </c>
      <c r="N960" s="416"/>
      <c r="O960" s="421"/>
      <c r="P960" s="416">
        <v>4590016398</v>
      </c>
      <c r="Q960" s="418">
        <v>45367</v>
      </c>
      <c r="R960" s="419">
        <v>9</v>
      </c>
      <c r="S960" s="349">
        <v>469.48</v>
      </c>
      <c r="T960" s="420" t="s">
        <v>2156</v>
      </c>
      <c r="U960" s="414" t="s">
        <v>5884</v>
      </c>
      <c r="V960" s="414" t="s">
        <v>4469</v>
      </c>
      <c r="W960" s="417" t="s">
        <v>4470</v>
      </c>
      <c r="X960" s="417"/>
      <c r="Y960" s="421" t="s">
        <v>3652</v>
      </c>
      <c r="Z960" s="421" t="s">
        <v>3652</v>
      </c>
      <c r="AA960" s="416" t="s">
        <v>5890</v>
      </c>
      <c r="AB960" s="414" t="s">
        <v>5885</v>
      </c>
      <c r="AC960" s="421"/>
      <c r="AD960" s="421" t="s">
        <v>4083</v>
      </c>
      <c r="AE960" s="421"/>
      <c r="AF960" s="421">
        <v>90058</v>
      </c>
      <c r="AG960" s="420" t="s">
        <v>2627</v>
      </c>
      <c r="AH960" s="421" t="s">
        <v>4102</v>
      </c>
      <c r="AI960" s="420" t="s">
        <v>846</v>
      </c>
      <c r="AJ960" s="413" t="str">
        <f t="shared" si="60"/>
        <v>4590016398_009</v>
      </c>
      <c r="AK960" s="425" t="s">
        <v>5898</v>
      </c>
      <c r="AL960" s="424">
        <v>45562</v>
      </c>
      <c r="AM960" s="221">
        <v>469.48</v>
      </c>
      <c r="AN960" s="424"/>
      <c r="AO960" s="423"/>
      <c r="AP960" s="413"/>
      <c r="AQ960" s="222"/>
      <c r="AR960" s="424"/>
      <c r="AS960" s="614">
        <f ca="1">表格1_6[[#This Row],[total amount]]/表格1_6[[#This Row],[PO$]]</f>
        <v>1</v>
      </c>
      <c r="AT960" s="223">
        <f ca="1">表格1_6[[#This Row],[invoice amount]]+表格1_6[[#This Row],[invoice amount2]]</f>
        <v>469.48</v>
      </c>
      <c r="AU960" s="224" t="s">
        <v>3752</v>
      </c>
      <c r="AV960" s="423"/>
      <c r="AW960" s="423" t="e">
        <f ca="1">VLOOKUP(表格1_6[[#This Row],[TI tool ID2]],工作表1!A:A,1,FALSE)</f>
        <v>#N/A</v>
      </c>
      <c r="AX960" s="425" t="str">
        <f ca="1">VLOOKUP(表格1_6[[#This Row],[PO+ITEM]],工作表1!B:E,2,FALSE)</f>
        <v>MICUINT202409071</v>
      </c>
      <c r="AY960" s="425">
        <f ca="1">VLOOKUP(表格1_6[[#This Row],[PO+ITEM]],工作表1!B:E,3,FALSE)</f>
        <v>45562</v>
      </c>
      <c r="AZ960" s="423" t="e">
        <f ca="1">VLOOKUP(表格1_6[[#This Row],[PO+ITEM]],工作表1!B:E,4,FALSE)</f>
        <v>#REF!</v>
      </c>
      <c r="BA960" s="425" t="e">
        <f ca="1">INDEX(工作表1!G:G, MATCH(表格1_6[[#This Row],[invoice number]]&amp;表格1_6[[#This Row],[invoice number2]],工作表1!G:G, 0))</f>
        <v>#N/A</v>
      </c>
      <c r="BB960" s="423" t="e">
        <f ca="1">VLOOKUP(表格1_6[[#This Row],[PO+ITEM]],工作表1!F:H,2,FALSE)</f>
        <v>#N/A</v>
      </c>
    </row>
    <row r="961" spans="1:54" s="429" customFormat="1">
      <c r="A961" s="413">
        <v>960</v>
      </c>
      <c r="B961" s="413" t="s">
        <v>3674</v>
      </c>
      <c r="C961" s="414" t="s">
        <v>16</v>
      </c>
      <c r="D961" s="414" t="s">
        <v>3648</v>
      </c>
      <c r="E961" s="414"/>
      <c r="F961" s="414"/>
      <c r="G961" s="414"/>
      <c r="H961" s="414"/>
      <c r="I961" s="414"/>
      <c r="J961" s="414"/>
      <c r="K961" s="414"/>
      <c r="L961" s="415" t="s">
        <v>5899</v>
      </c>
      <c r="M961" s="416" t="s">
        <v>2659</v>
      </c>
      <c r="N961" s="416"/>
      <c r="O961" s="421"/>
      <c r="P961" s="416">
        <v>4590016398</v>
      </c>
      <c r="Q961" s="418">
        <v>45367</v>
      </c>
      <c r="R961" s="419">
        <v>10</v>
      </c>
      <c r="S961" s="349">
        <v>469.48</v>
      </c>
      <c r="T961" s="420" t="s">
        <v>2156</v>
      </c>
      <c r="U961" s="414" t="s">
        <v>5884</v>
      </c>
      <c r="V961" s="414" t="s">
        <v>4469</v>
      </c>
      <c r="W961" s="417" t="s">
        <v>4470</v>
      </c>
      <c r="X961" s="417"/>
      <c r="Y961" s="421" t="s">
        <v>3652</v>
      </c>
      <c r="Z961" s="421" t="s">
        <v>3652</v>
      </c>
      <c r="AA961" s="416" t="s">
        <v>5890</v>
      </c>
      <c r="AB961" s="414" t="s">
        <v>5885</v>
      </c>
      <c r="AC961" s="421"/>
      <c r="AD961" s="421" t="s">
        <v>4083</v>
      </c>
      <c r="AE961" s="421"/>
      <c r="AF961" s="421">
        <v>90059</v>
      </c>
      <c r="AG961" s="420" t="s">
        <v>2587</v>
      </c>
      <c r="AH961" s="421" t="s">
        <v>4102</v>
      </c>
      <c r="AI961" s="420" t="s">
        <v>846</v>
      </c>
      <c r="AJ961" s="413" t="str">
        <f>P961&amp;"_0"&amp;R961</f>
        <v>4590016398_010</v>
      </c>
      <c r="AK961" s="425" t="s">
        <v>5900</v>
      </c>
      <c r="AL961" s="424">
        <v>45562</v>
      </c>
      <c r="AM961" s="221">
        <v>469.48</v>
      </c>
      <c r="AN961" s="424"/>
      <c r="AO961" s="423"/>
      <c r="AP961" s="413"/>
      <c r="AQ961" s="222"/>
      <c r="AR961" s="424"/>
      <c r="AS961" s="614">
        <f ca="1">表格1_6[[#This Row],[total amount]]/表格1_6[[#This Row],[PO$]]</f>
        <v>1</v>
      </c>
      <c r="AT961" s="223">
        <f ca="1">表格1_6[[#This Row],[invoice amount]]+表格1_6[[#This Row],[invoice amount2]]</f>
        <v>469.48</v>
      </c>
      <c r="AU961" s="224" t="s">
        <v>3752</v>
      </c>
      <c r="AV961" s="423"/>
      <c r="AW961" s="423" t="e">
        <f ca="1">VLOOKUP(表格1_6[[#This Row],[TI tool ID2]],工作表1!A:A,1,FALSE)</f>
        <v>#N/A</v>
      </c>
      <c r="AX961" s="425" t="str">
        <f ca="1">VLOOKUP(表格1_6[[#This Row],[PO+ITEM]],工作表1!B:E,2,FALSE)</f>
        <v>MICUINT202409072</v>
      </c>
      <c r="AY961" s="425">
        <f ca="1">VLOOKUP(表格1_6[[#This Row],[PO+ITEM]],工作表1!B:E,3,FALSE)</f>
        <v>45562</v>
      </c>
      <c r="AZ961" s="423" t="e">
        <f ca="1">VLOOKUP(表格1_6[[#This Row],[PO+ITEM]],工作表1!B:E,4,FALSE)</f>
        <v>#REF!</v>
      </c>
      <c r="BA961" s="425" t="e">
        <f ca="1">INDEX(工作表1!G:G, MATCH(表格1_6[[#This Row],[invoice number]]&amp;表格1_6[[#This Row],[invoice number2]],工作表1!G:G, 0))</f>
        <v>#N/A</v>
      </c>
      <c r="BB961" s="423" t="e">
        <f ca="1">VLOOKUP(表格1_6[[#This Row],[PO+ITEM]],工作表1!F:H,2,FALSE)</f>
        <v>#N/A</v>
      </c>
    </row>
    <row r="962" spans="1:54" s="429" customFormat="1">
      <c r="A962" s="413">
        <v>961</v>
      </c>
      <c r="B962" s="413" t="s">
        <v>3674</v>
      </c>
      <c r="C962" s="414" t="s">
        <v>16</v>
      </c>
      <c r="D962" s="414" t="s">
        <v>3648</v>
      </c>
      <c r="E962" s="414"/>
      <c r="F962" s="414"/>
      <c r="G962" s="414"/>
      <c r="H962" s="414"/>
      <c r="I962" s="414"/>
      <c r="J962" s="414"/>
      <c r="K962" s="414"/>
      <c r="L962" s="415" t="s">
        <v>5901</v>
      </c>
      <c r="M962" s="416" t="s">
        <v>2659</v>
      </c>
      <c r="N962" s="416"/>
      <c r="O962" s="421"/>
      <c r="P962" s="416">
        <v>4590016398</v>
      </c>
      <c r="Q962" s="418">
        <v>45367</v>
      </c>
      <c r="R962" s="419">
        <v>11</v>
      </c>
      <c r="S962" s="349">
        <v>469.48</v>
      </c>
      <c r="T962" s="420" t="s">
        <v>2156</v>
      </c>
      <c r="U962" s="414" t="s">
        <v>5884</v>
      </c>
      <c r="V962" s="414" t="s">
        <v>4469</v>
      </c>
      <c r="W962" s="417" t="s">
        <v>4470</v>
      </c>
      <c r="X962" s="417"/>
      <c r="Y962" s="421" t="s">
        <v>3652</v>
      </c>
      <c r="Z962" s="421" t="s">
        <v>3652</v>
      </c>
      <c r="AA962" s="416" t="s">
        <v>5890</v>
      </c>
      <c r="AB962" s="414" t="s">
        <v>5885</v>
      </c>
      <c r="AC962" s="421"/>
      <c r="AD962" s="421" t="s">
        <v>4083</v>
      </c>
      <c r="AE962" s="421"/>
      <c r="AF962" s="421">
        <v>90060</v>
      </c>
      <c r="AG962" s="420" t="s">
        <v>2594</v>
      </c>
      <c r="AH962" s="421" t="s">
        <v>4102</v>
      </c>
      <c r="AI962" s="420" t="s">
        <v>846</v>
      </c>
      <c r="AJ962" s="413" t="str">
        <f>P962&amp;"_0"&amp;R962</f>
        <v>4590016398_011</v>
      </c>
      <c r="AK962" s="425" t="s">
        <v>5902</v>
      </c>
      <c r="AL962" s="424">
        <v>45562</v>
      </c>
      <c r="AM962" s="221">
        <v>469.48</v>
      </c>
      <c r="AN962" s="424"/>
      <c r="AO962" s="423"/>
      <c r="AP962" s="413"/>
      <c r="AQ962" s="222"/>
      <c r="AR962" s="424"/>
      <c r="AS962" s="614">
        <f ca="1">表格1_6[[#This Row],[total amount]]/表格1_6[[#This Row],[PO$]]</f>
        <v>1</v>
      </c>
      <c r="AT962" s="223">
        <f ca="1">表格1_6[[#This Row],[invoice amount]]+表格1_6[[#This Row],[invoice amount2]]</f>
        <v>469.48</v>
      </c>
      <c r="AU962" s="224" t="s">
        <v>3752</v>
      </c>
      <c r="AV962" s="423"/>
      <c r="AW962" s="423" t="e">
        <f ca="1">VLOOKUP(表格1_6[[#This Row],[TI tool ID2]],工作表1!A:A,1,FALSE)</f>
        <v>#N/A</v>
      </c>
      <c r="AX962" s="425" t="str">
        <f ca="1">VLOOKUP(表格1_6[[#This Row],[PO+ITEM]],工作表1!B:E,2,FALSE)</f>
        <v>MICUINT202409073</v>
      </c>
      <c r="AY962" s="425">
        <f ca="1">VLOOKUP(表格1_6[[#This Row],[PO+ITEM]],工作表1!B:E,3,FALSE)</f>
        <v>45562</v>
      </c>
      <c r="AZ962" s="423" t="e">
        <f ca="1">VLOOKUP(表格1_6[[#This Row],[PO+ITEM]],工作表1!B:E,4,FALSE)</f>
        <v>#REF!</v>
      </c>
      <c r="BA962" s="425" t="e">
        <f ca="1">INDEX(工作表1!G:G, MATCH(表格1_6[[#This Row],[invoice number]]&amp;表格1_6[[#This Row],[invoice number2]],工作表1!G:G, 0))</f>
        <v>#N/A</v>
      </c>
      <c r="BB962" s="423" t="e">
        <f ca="1">VLOOKUP(表格1_6[[#This Row],[PO+ITEM]],工作表1!F:H,2,FALSE)</f>
        <v>#N/A</v>
      </c>
    </row>
    <row r="963" spans="1:54">
      <c r="A963" s="413">
        <v>962</v>
      </c>
      <c r="B963" s="413" t="s">
        <v>3674</v>
      </c>
      <c r="C963" s="414" t="s">
        <v>16</v>
      </c>
      <c r="D963" s="414" t="s">
        <v>3648</v>
      </c>
      <c r="E963" s="414"/>
      <c r="F963" s="414"/>
      <c r="G963" s="414"/>
      <c r="H963" s="414"/>
      <c r="I963" s="414"/>
      <c r="J963" s="414"/>
      <c r="K963" s="414"/>
      <c r="L963" s="415" t="s">
        <v>5903</v>
      </c>
      <c r="M963" s="416" t="s">
        <v>2659</v>
      </c>
      <c r="N963" s="416"/>
      <c r="O963" s="421"/>
      <c r="P963" s="416">
        <v>4590016398</v>
      </c>
      <c r="Q963" s="418">
        <v>45367</v>
      </c>
      <c r="R963" s="419">
        <v>12</v>
      </c>
      <c r="S963" s="349">
        <v>469.48</v>
      </c>
      <c r="T963" s="420" t="s">
        <v>2156</v>
      </c>
      <c r="U963" s="414" t="s">
        <v>5884</v>
      </c>
      <c r="V963" s="414" t="s">
        <v>4469</v>
      </c>
      <c r="W963" s="417" t="s">
        <v>4470</v>
      </c>
      <c r="X963" s="417"/>
      <c r="Y963" s="421" t="s">
        <v>3652</v>
      </c>
      <c r="Z963" s="421" t="s">
        <v>3652</v>
      </c>
      <c r="AA963" s="416" t="s">
        <v>5890</v>
      </c>
      <c r="AB963" s="414" t="s">
        <v>5885</v>
      </c>
      <c r="AC963" s="421"/>
      <c r="AD963" s="421" t="s">
        <v>4083</v>
      </c>
      <c r="AE963" s="421"/>
      <c r="AF963" s="421">
        <v>90061</v>
      </c>
      <c r="AG963" s="420" t="s">
        <v>2589</v>
      </c>
      <c r="AH963" s="421" t="s">
        <v>4102</v>
      </c>
      <c r="AI963" s="420" t="s">
        <v>846</v>
      </c>
      <c r="AJ963" s="413" t="str">
        <f>P963&amp;"_0"&amp;R963</f>
        <v>4590016398_012</v>
      </c>
      <c r="AK963" s="425" t="s">
        <v>5904</v>
      </c>
      <c r="AL963" s="424">
        <v>45562</v>
      </c>
      <c r="AM963" s="221">
        <v>469.48</v>
      </c>
      <c r="AN963" s="424"/>
      <c r="AO963" s="423"/>
      <c r="AP963" s="413"/>
      <c r="AQ963" s="222"/>
      <c r="AR963" s="424"/>
      <c r="AS963" s="614">
        <f ca="1">表格1_6[[#This Row],[total amount]]/表格1_6[[#This Row],[PO$]]</f>
        <v>1</v>
      </c>
      <c r="AT963" s="223">
        <f ca="1">表格1_6[[#This Row],[invoice amount]]+表格1_6[[#This Row],[invoice amount2]]</f>
        <v>469.48</v>
      </c>
      <c r="AU963" s="224" t="s">
        <v>3752</v>
      </c>
      <c r="AV963" s="423"/>
      <c r="AW963" s="423" t="e">
        <f ca="1">VLOOKUP(表格1_6[[#This Row],[TI tool ID2]],工作表1!A:A,1,FALSE)</f>
        <v>#N/A</v>
      </c>
      <c r="AX963" s="425" t="str">
        <f ca="1">VLOOKUP(表格1_6[[#This Row],[PO+ITEM]],工作表1!B:E,2,FALSE)</f>
        <v>MICUINT202409074</v>
      </c>
      <c r="AY963" s="425">
        <f ca="1">VLOOKUP(表格1_6[[#This Row],[PO+ITEM]],工作表1!B:E,3,FALSE)</f>
        <v>45562</v>
      </c>
      <c r="AZ963" s="423" t="e">
        <f ca="1">VLOOKUP(表格1_6[[#This Row],[PO+ITEM]],工作表1!B:E,4,FALSE)</f>
        <v>#REF!</v>
      </c>
      <c r="BA963" s="425" t="e">
        <f ca="1">INDEX(工作表1!G:G, MATCH(表格1_6[[#This Row],[invoice number]]&amp;表格1_6[[#This Row],[invoice number2]],工作表1!G:G, 0))</f>
        <v>#N/A</v>
      </c>
      <c r="BB963" s="423" t="e">
        <f ca="1">VLOOKUP(表格1_6[[#This Row],[PO+ITEM]],工作表1!F:H,2,FALSE)</f>
        <v>#N/A</v>
      </c>
    </row>
    <row r="964" spans="1:54" ht="14.45">
      <c r="A964" s="413">
        <v>963</v>
      </c>
      <c r="B964" s="413"/>
      <c r="C964" s="414" t="s">
        <v>10</v>
      </c>
      <c r="D964" s="414" t="s">
        <v>3648</v>
      </c>
      <c r="E964" s="414"/>
      <c r="F964" s="414"/>
      <c r="G964" s="414" t="s">
        <v>5905</v>
      </c>
      <c r="H964" s="414" t="s">
        <v>5905</v>
      </c>
      <c r="I964" s="414" t="s">
        <v>5905</v>
      </c>
      <c r="J964" s="414"/>
      <c r="K964" s="414"/>
      <c r="L964" s="415" t="s">
        <v>5906</v>
      </c>
      <c r="M964" s="416" t="s">
        <v>2888</v>
      </c>
      <c r="N964" s="416"/>
      <c r="O964" s="421" t="s">
        <v>5907</v>
      </c>
      <c r="P964" s="416">
        <v>4590006324</v>
      </c>
      <c r="Q964" s="418">
        <v>44838</v>
      </c>
      <c r="R964" s="426">
        <v>1</v>
      </c>
      <c r="S964" s="349">
        <v>120783</v>
      </c>
      <c r="T964" s="420" t="s">
        <v>2253</v>
      </c>
      <c r="U964" s="414" t="s">
        <v>5908</v>
      </c>
      <c r="V964" s="414" t="s">
        <v>3651</v>
      </c>
      <c r="W964" s="417" t="s">
        <v>3649</v>
      </c>
      <c r="X964" s="417"/>
      <c r="Y964" s="421" t="s">
        <v>3652</v>
      </c>
      <c r="Z964" s="421" t="s">
        <v>4145</v>
      </c>
      <c r="AA964" s="416" t="s">
        <v>5909</v>
      </c>
      <c r="AB964" s="414" t="s">
        <v>5910</v>
      </c>
      <c r="AC964" s="421" t="s">
        <v>5905</v>
      </c>
      <c r="AD964" s="421" t="s">
        <v>5905</v>
      </c>
      <c r="AE964" s="421"/>
      <c r="AF964" s="421"/>
      <c r="AG964" s="420"/>
      <c r="AH964" s="414" t="s">
        <v>10</v>
      </c>
      <c r="AI964" s="420"/>
      <c r="AJ964" s="413">
        <f t="shared" ref="AJ964:AJ995" si="61">P964</f>
        <v>4590006324</v>
      </c>
      <c r="AK964" s="423" t="s">
        <v>5911</v>
      </c>
      <c r="AL964" s="424">
        <v>45271</v>
      </c>
      <c r="AM964" s="221">
        <v>951.46</v>
      </c>
      <c r="AN964" s="424">
        <v>45503</v>
      </c>
      <c r="AO964" s="425" t="s">
        <v>5912</v>
      </c>
      <c r="AP964" s="424">
        <v>45548</v>
      </c>
      <c r="AQ964" s="273">
        <v>11907.31</v>
      </c>
      <c r="AR964" s="424"/>
      <c r="AS964" s="614">
        <f ca="1">表格1_6[[#This Row],[total amount]]/表格1_6[[#This Row],[PO$]]</f>
        <v>0.10646175372362005</v>
      </c>
      <c r="AT964" s="223">
        <f ca="1">表格1_6[[#This Row],[invoice amount]]+表格1_6[[#This Row],[invoice amount2]]</f>
        <v>12858.77</v>
      </c>
      <c r="AU964" s="224" t="s">
        <v>4371</v>
      </c>
      <c r="AV964" s="423" t="s">
        <v>5913</v>
      </c>
      <c r="AW964" s="423" t="e">
        <f ca="1">VLOOKUP(表格1_6[[#This Row],[TI tool ID2]],工作表1!A:A,1,FALSE)</f>
        <v>#N/A</v>
      </c>
      <c r="AX964" s="425" t="e">
        <f ca="1">VLOOKUP(表格1_6[[#This Row],[PO+ITEM]],工作表1!B:E,2,FALSE)</f>
        <v>#N/A</v>
      </c>
      <c r="AY964" s="425" t="e">
        <f ca="1">VLOOKUP(表格1_6[[#This Row],[PO+ITEM]],工作表1!B:E,3,FALSE)</f>
        <v>#N/A</v>
      </c>
      <c r="AZ964" s="423" t="e">
        <f ca="1">VLOOKUP(表格1_6[[#This Row],[PO+ITEM]],工作表1!B:E,4,FALSE)</f>
        <v>#N/A</v>
      </c>
      <c r="BA964" s="425" t="e">
        <f ca="1">INDEX(工作表1!G:G, MATCH(表格1_6[[#This Row],[invoice number]]&amp;表格1_6[[#This Row],[invoice number2]],工作表1!G:G, 0))</f>
        <v>#N/A</v>
      </c>
      <c r="BB964" s="423" t="e">
        <f ca="1">VLOOKUP(表格1_6[[#This Row],[PO+ITEM]],工作表1!F:H,2,FALSE)</f>
        <v>#N/A</v>
      </c>
    </row>
    <row r="965" spans="1:54" ht="14.45">
      <c r="A965" s="413">
        <v>964</v>
      </c>
      <c r="B965" s="413" t="s">
        <v>3674</v>
      </c>
      <c r="C965" s="414" t="s">
        <v>17</v>
      </c>
      <c r="D965" s="414" t="s">
        <v>3648</v>
      </c>
      <c r="E965" s="414"/>
      <c r="F965" s="414"/>
      <c r="G965" s="414" t="s">
        <v>2196</v>
      </c>
      <c r="H965" s="414"/>
      <c r="I965" s="414"/>
      <c r="J965" s="414"/>
      <c r="K965" s="414"/>
      <c r="L965" s="415" t="s">
        <v>5914</v>
      </c>
      <c r="M965" s="416" t="s">
        <v>4166</v>
      </c>
      <c r="N965" s="416"/>
      <c r="O965" s="421"/>
      <c r="P965" s="416">
        <v>4590017571</v>
      </c>
      <c r="Q965" s="418">
        <v>45413</v>
      </c>
      <c r="R965" s="334" t="s">
        <v>3907</v>
      </c>
      <c r="S965" s="458">
        <v>1995.28</v>
      </c>
      <c r="T965" s="420" t="s">
        <v>2156</v>
      </c>
      <c r="U965" s="414" t="s">
        <v>5915</v>
      </c>
      <c r="V965" s="414" t="s">
        <v>4031</v>
      </c>
      <c r="W965" s="415"/>
      <c r="X965" s="415"/>
      <c r="Y965" s="421" t="s">
        <v>3652</v>
      </c>
      <c r="Z965" s="421" t="s">
        <v>4145</v>
      </c>
      <c r="AA965" s="416" t="s">
        <v>5916</v>
      </c>
      <c r="AB965" s="414" t="s">
        <v>5917</v>
      </c>
      <c r="AC965" s="421"/>
      <c r="AD965" s="421"/>
      <c r="AE965" s="420"/>
      <c r="AF965" s="421" t="s">
        <v>5918</v>
      </c>
      <c r="AG965" s="420" t="s">
        <v>5877</v>
      </c>
      <c r="AH965" s="421" t="s">
        <v>4102</v>
      </c>
      <c r="AI965" s="420" t="s">
        <v>5878</v>
      </c>
      <c r="AJ965" s="413">
        <f t="shared" si="61"/>
        <v>4590017571</v>
      </c>
      <c r="AK965" s="425" t="s">
        <v>5919</v>
      </c>
      <c r="AL965" s="424">
        <v>45534</v>
      </c>
      <c r="AM965" s="221">
        <v>1995.28</v>
      </c>
      <c r="AN965" s="424" t="s">
        <v>65</v>
      </c>
      <c r="AO965" s="423"/>
      <c r="AP965" s="413"/>
      <c r="AQ965" s="222"/>
      <c r="AR965" s="424"/>
      <c r="AS965" s="614">
        <f ca="1">表格1_6[[#This Row],[total amount]]/表格1_6[[#This Row],[PO$]]</f>
        <v>1</v>
      </c>
      <c r="AT965" s="223">
        <f ca="1">表格1_6[[#This Row],[invoice amount]]+表格1_6[[#This Row],[invoice amount2]]</f>
        <v>1995.28</v>
      </c>
      <c r="AU965" s="224" t="s">
        <v>3752</v>
      </c>
      <c r="AV965" s="423"/>
      <c r="AW965" s="423" t="e">
        <f ca="1">VLOOKUP(表格1_6[[#This Row],[TI tool ID2]],工作表1!A:A,1,FALSE)</f>
        <v>#N/A</v>
      </c>
      <c r="AX965" s="425" t="e">
        <f ca="1">VLOOKUP(表格1_6[[#This Row],[PO+ITEM]],工作表1!B:E,2,FALSE)</f>
        <v>#N/A</v>
      </c>
      <c r="AY965" s="425" t="e">
        <f ca="1">VLOOKUP(表格1_6[[#This Row],[PO+ITEM]],工作表1!B:E,3,FALSE)</f>
        <v>#N/A</v>
      </c>
      <c r="AZ965" s="423" t="e">
        <f ca="1">VLOOKUP(表格1_6[[#This Row],[PO+ITEM]],工作表1!B:E,4,FALSE)</f>
        <v>#N/A</v>
      </c>
      <c r="BA965" s="425" t="e">
        <f ca="1">INDEX(工作表1!G:G, MATCH(表格1_6[[#This Row],[invoice number]]&amp;表格1_6[[#This Row],[invoice number2]],工作表1!G:G, 0))</f>
        <v>#N/A</v>
      </c>
      <c r="BB965" s="423" t="e">
        <f ca="1">VLOOKUP(表格1_6[[#This Row],[PO+ITEM]],工作表1!F:H,2,FALSE)</f>
        <v>#N/A</v>
      </c>
    </row>
    <row r="966" spans="1:54">
      <c r="A966" s="413">
        <v>965</v>
      </c>
      <c r="B966" s="413" t="s">
        <v>3674</v>
      </c>
      <c r="C966" s="414" t="s">
        <v>17</v>
      </c>
      <c r="D966" s="414" t="s">
        <v>3648</v>
      </c>
      <c r="E966" s="414"/>
      <c r="F966" s="414"/>
      <c r="G966" s="414" t="s">
        <v>2196</v>
      </c>
      <c r="H966" s="414"/>
      <c r="I966" s="414"/>
      <c r="J966" s="414"/>
      <c r="K966" s="414"/>
      <c r="L966" s="415" t="s">
        <v>5920</v>
      </c>
      <c r="M966" s="415" t="s">
        <v>2659</v>
      </c>
      <c r="N966" s="415"/>
      <c r="O966" s="415"/>
      <c r="P966" s="441">
        <v>4590017669</v>
      </c>
      <c r="Q966" s="418">
        <v>45416</v>
      </c>
      <c r="R966" s="334" t="s">
        <v>3907</v>
      </c>
      <c r="S966" s="458">
        <v>14732.62</v>
      </c>
      <c r="T966" s="420" t="s">
        <v>2156</v>
      </c>
      <c r="U966" s="414" t="s">
        <v>5921</v>
      </c>
      <c r="V966" s="414" t="s">
        <v>4031</v>
      </c>
      <c r="W966" s="415"/>
      <c r="X966" s="415"/>
      <c r="Y966" s="421" t="s">
        <v>3652</v>
      </c>
      <c r="Z966" s="421" t="s">
        <v>4145</v>
      </c>
      <c r="AA966" s="416" t="s">
        <v>5922</v>
      </c>
      <c r="AB966" s="414" t="s">
        <v>5923</v>
      </c>
      <c r="AC966" s="426"/>
      <c r="AD966" s="421"/>
      <c r="AE966" s="420"/>
      <c r="AF966" s="421" t="s">
        <v>5924</v>
      </c>
      <c r="AG966" s="420" t="s">
        <v>2621</v>
      </c>
      <c r="AH966" s="421" t="s">
        <v>3932</v>
      </c>
      <c r="AI966" s="420" t="s">
        <v>846</v>
      </c>
      <c r="AJ966" s="413">
        <f t="shared" si="61"/>
        <v>4590017669</v>
      </c>
      <c r="AK966" s="423"/>
      <c r="AL966" s="413"/>
      <c r="AM966" s="221"/>
      <c r="AN966" s="424"/>
      <c r="AO966" s="423"/>
      <c r="AP966" s="413"/>
      <c r="AQ966" s="222"/>
      <c r="AR966" s="424"/>
      <c r="AS966" s="614">
        <f ca="1">表格1_6[[#This Row],[total amount]]/表格1_6[[#This Row],[PO$]]</f>
        <v>0</v>
      </c>
      <c r="AT966" s="223">
        <f ca="1">表格1_6[[#This Row],[invoice amount]]+表格1_6[[#This Row],[invoice amount2]]</f>
        <v>0</v>
      </c>
      <c r="AU966" s="224"/>
      <c r="AV966" s="423"/>
      <c r="AW966" s="423" t="e">
        <f ca="1">VLOOKUP(表格1_6[[#This Row],[TI tool ID2]],工作表1!A:A,1,FALSE)</f>
        <v>#N/A</v>
      </c>
      <c r="AX966" s="425" t="e">
        <f ca="1">VLOOKUP(表格1_6[[#This Row],[PO+ITEM]],工作表1!B:E,2,FALSE)</f>
        <v>#N/A</v>
      </c>
      <c r="AY966" s="425" t="e">
        <f ca="1">VLOOKUP(表格1_6[[#This Row],[PO+ITEM]],工作表1!B:E,3,FALSE)</f>
        <v>#N/A</v>
      </c>
      <c r="AZ966" s="423" t="e">
        <f ca="1">VLOOKUP(表格1_6[[#This Row],[PO+ITEM]],工作表1!B:E,4,FALSE)</f>
        <v>#N/A</v>
      </c>
      <c r="BA966" s="425" t="e">
        <f ca="1">INDEX(工作表1!G:G, MATCH(表格1_6[[#This Row],[invoice number]]&amp;表格1_6[[#This Row],[invoice number2]],工作表1!G:G, 0))</f>
        <v>#N/A</v>
      </c>
      <c r="BB966" s="423" t="e">
        <f ca="1">VLOOKUP(表格1_6[[#This Row],[PO+ITEM]],工作表1!F:H,2,FALSE)</f>
        <v>#N/A</v>
      </c>
    </row>
    <row r="967" spans="1:54">
      <c r="A967" s="413">
        <v>966</v>
      </c>
      <c r="B967" s="413" t="s">
        <v>3674</v>
      </c>
      <c r="C967" s="414" t="s">
        <v>17</v>
      </c>
      <c r="D967" s="414" t="s">
        <v>3648</v>
      </c>
      <c r="E967" s="414"/>
      <c r="F967" s="414"/>
      <c r="G967" s="414" t="s">
        <v>2196</v>
      </c>
      <c r="H967" s="414"/>
      <c r="I967" s="414"/>
      <c r="J967" s="414"/>
      <c r="K967" s="414"/>
      <c r="L967" s="415" t="s">
        <v>5925</v>
      </c>
      <c r="M967" s="416" t="s">
        <v>2659</v>
      </c>
      <c r="N967" s="416"/>
      <c r="O967" s="421"/>
      <c r="P967" s="416">
        <v>4590017670</v>
      </c>
      <c r="Q967" s="418">
        <v>45416</v>
      </c>
      <c r="R967" s="334" t="s">
        <v>3907</v>
      </c>
      <c r="S967" s="458">
        <v>13787.28</v>
      </c>
      <c r="T967" s="420" t="s">
        <v>2156</v>
      </c>
      <c r="U967" s="414" t="s">
        <v>5926</v>
      </c>
      <c r="V967" s="414" t="s">
        <v>4031</v>
      </c>
      <c r="W967" s="415"/>
      <c r="X967" s="415"/>
      <c r="Y967" s="421" t="s">
        <v>3652</v>
      </c>
      <c r="Z967" s="421" t="s">
        <v>4145</v>
      </c>
      <c r="AA967" s="416" t="s">
        <v>5922</v>
      </c>
      <c r="AB967" s="414" t="s">
        <v>5927</v>
      </c>
      <c r="AC967" s="421"/>
      <c r="AD967" s="421"/>
      <c r="AE967" s="420"/>
      <c r="AF967" s="421" t="s">
        <v>5928</v>
      </c>
      <c r="AG967" s="420" t="s">
        <v>2673</v>
      </c>
      <c r="AH967" s="421" t="s">
        <v>3932</v>
      </c>
      <c r="AI967" s="420" t="s">
        <v>846</v>
      </c>
      <c r="AJ967" s="413">
        <f t="shared" si="61"/>
        <v>4590017670</v>
      </c>
      <c r="AK967" s="423"/>
      <c r="AL967" s="413"/>
      <c r="AM967" s="221"/>
      <c r="AN967" s="424"/>
      <c r="AO967" s="423"/>
      <c r="AP967" s="413"/>
      <c r="AQ967" s="222"/>
      <c r="AR967" s="424"/>
      <c r="AS967" s="614">
        <f ca="1">表格1_6[[#This Row],[total amount]]/表格1_6[[#This Row],[PO$]]</f>
        <v>0</v>
      </c>
      <c r="AT967" s="223">
        <f ca="1">表格1_6[[#This Row],[invoice amount]]+表格1_6[[#This Row],[invoice amount2]]</f>
        <v>0</v>
      </c>
      <c r="AU967" s="224"/>
      <c r="AV967" s="423"/>
      <c r="AW967" s="423" t="e">
        <f ca="1">VLOOKUP(表格1_6[[#This Row],[TI tool ID2]],工作表1!A:A,1,FALSE)</f>
        <v>#N/A</v>
      </c>
      <c r="AX967" s="425" t="e">
        <f ca="1">VLOOKUP(表格1_6[[#This Row],[PO+ITEM]],工作表1!B:E,2,FALSE)</f>
        <v>#N/A</v>
      </c>
      <c r="AY967" s="425" t="e">
        <f ca="1">VLOOKUP(表格1_6[[#This Row],[PO+ITEM]],工作表1!B:E,3,FALSE)</f>
        <v>#N/A</v>
      </c>
      <c r="AZ967" s="423" t="e">
        <f ca="1">VLOOKUP(表格1_6[[#This Row],[PO+ITEM]],工作表1!B:E,4,FALSE)</f>
        <v>#N/A</v>
      </c>
      <c r="BA967" s="425" t="e">
        <f ca="1">INDEX(工作表1!G:G, MATCH(表格1_6[[#This Row],[invoice number]]&amp;表格1_6[[#This Row],[invoice number2]],工作表1!G:G, 0))</f>
        <v>#N/A</v>
      </c>
      <c r="BB967" s="423" t="e">
        <f ca="1">VLOOKUP(表格1_6[[#This Row],[PO+ITEM]],工作表1!F:H,2,FALSE)</f>
        <v>#N/A</v>
      </c>
    </row>
    <row r="968" spans="1:54">
      <c r="A968" s="413">
        <v>967</v>
      </c>
      <c r="B968" s="413" t="s">
        <v>3674</v>
      </c>
      <c r="C968" s="414" t="s">
        <v>17</v>
      </c>
      <c r="D968" s="414" t="s">
        <v>3648</v>
      </c>
      <c r="E968" s="414"/>
      <c r="F968" s="414"/>
      <c r="G968" s="414" t="s">
        <v>2196</v>
      </c>
      <c r="H968" s="414"/>
      <c r="I968" s="414"/>
      <c r="J968" s="414"/>
      <c r="K968" s="414"/>
      <c r="L968" s="415" t="s">
        <v>5929</v>
      </c>
      <c r="M968" s="416" t="s">
        <v>2659</v>
      </c>
      <c r="N968" s="416"/>
      <c r="O968" s="421"/>
      <c r="P968" s="416">
        <v>4590017671</v>
      </c>
      <c r="Q968" s="418">
        <v>45416</v>
      </c>
      <c r="R968" s="334" t="s">
        <v>3907</v>
      </c>
      <c r="S968" s="458">
        <v>13138.32</v>
      </c>
      <c r="T968" s="420" t="s">
        <v>2156</v>
      </c>
      <c r="U968" s="414" t="s">
        <v>5930</v>
      </c>
      <c r="V968" s="414" t="s">
        <v>4031</v>
      </c>
      <c r="W968" s="415"/>
      <c r="X968" s="415"/>
      <c r="Y968" s="421" t="s">
        <v>3652</v>
      </c>
      <c r="Z968" s="421" t="s">
        <v>4145</v>
      </c>
      <c r="AA968" s="416" t="s">
        <v>5922</v>
      </c>
      <c r="AB968" s="414" t="s">
        <v>5931</v>
      </c>
      <c r="AC968" s="421"/>
      <c r="AD968" s="421"/>
      <c r="AE968" s="420"/>
      <c r="AF968" s="421" t="s">
        <v>5932</v>
      </c>
      <c r="AG968" s="420" t="s">
        <v>2689</v>
      </c>
      <c r="AH968" s="421" t="s">
        <v>3932</v>
      </c>
      <c r="AI968" s="420" t="s">
        <v>846</v>
      </c>
      <c r="AJ968" s="413">
        <f t="shared" si="61"/>
        <v>4590017671</v>
      </c>
      <c r="AK968" s="423"/>
      <c r="AL968" s="413"/>
      <c r="AM968" s="221"/>
      <c r="AN968" s="424"/>
      <c r="AO968" s="423"/>
      <c r="AP968" s="413"/>
      <c r="AQ968" s="222"/>
      <c r="AR968" s="424"/>
      <c r="AS968" s="614">
        <f ca="1">表格1_6[[#This Row],[total amount]]/表格1_6[[#This Row],[PO$]]</f>
        <v>0</v>
      </c>
      <c r="AT968" s="223">
        <f ca="1">表格1_6[[#This Row],[invoice amount]]+表格1_6[[#This Row],[invoice amount2]]</f>
        <v>0</v>
      </c>
      <c r="AU968" s="224"/>
      <c r="AV968" s="423"/>
      <c r="AW968" s="423" t="e">
        <f ca="1">VLOOKUP(表格1_6[[#This Row],[TI tool ID2]],工作表1!A:A,1,FALSE)</f>
        <v>#N/A</v>
      </c>
      <c r="AX968" s="425" t="e">
        <f ca="1">VLOOKUP(表格1_6[[#This Row],[PO+ITEM]],工作表1!B:E,2,FALSE)</f>
        <v>#N/A</v>
      </c>
      <c r="AY968" s="425" t="e">
        <f ca="1">VLOOKUP(表格1_6[[#This Row],[PO+ITEM]],工作表1!B:E,3,FALSE)</f>
        <v>#N/A</v>
      </c>
      <c r="AZ968" s="423" t="e">
        <f ca="1">VLOOKUP(表格1_6[[#This Row],[PO+ITEM]],工作表1!B:E,4,FALSE)</f>
        <v>#N/A</v>
      </c>
      <c r="BA968" s="425" t="e">
        <f ca="1">INDEX(工作表1!G:G, MATCH(表格1_6[[#This Row],[invoice number]]&amp;表格1_6[[#This Row],[invoice number2]],工作表1!G:G, 0))</f>
        <v>#N/A</v>
      </c>
      <c r="BB968" s="423" t="e">
        <f ca="1">VLOOKUP(表格1_6[[#This Row],[PO+ITEM]],工作表1!F:H,2,FALSE)</f>
        <v>#N/A</v>
      </c>
    </row>
    <row r="969" spans="1:54">
      <c r="A969" s="413">
        <v>968</v>
      </c>
      <c r="B969" s="413" t="s">
        <v>3674</v>
      </c>
      <c r="C969" s="414" t="s">
        <v>17</v>
      </c>
      <c r="D969" s="414" t="s">
        <v>3648</v>
      </c>
      <c r="E969" s="414"/>
      <c r="F969" s="414"/>
      <c r="G969" s="414" t="s">
        <v>2196</v>
      </c>
      <c r="H969" s="414"/>
      <c r="I969" s="414"/>
      <c r="J969" s="414"/>
      <c r="K969" s="414"/>
      <c r="L969" s="420" t="s">
        <v>5933</v>
      </c>
      <c r="M969" s="415" t="s">
        <v>2659</v>
      </c>
      <c r="N969" s="415"/>
      <c r="O969" s="415"/>
      <c r="P969" s="441">
        <v>4590017672</v>
      </c>
      <c r="Q969" s="418">
        <v>45416</v>
      </c>
      <c r="R969" s="334" t="s">
        <v>3907</v>
      </c>
      <c r="S969" s="458">
        <v>14478.73</v>
      </c>
      <c r="T969" s="420" t="s">
        <v>2156</v>
      </c>
      <c r="U969" s="414" t="s">
        <v>5934</v>
      </c>
      <c r="V969" s="414" t="s">
        <v>4031</v>
      </c>
      <c r="W969" s="415"/>
      <c r="X969" s="415"/>
      <c r="Y969" s="421" t="s">
        <v>3652</v>
      </c>
      <c r="Z969" s="421" t="s">
        <v>4145</v>
      </c>
      <c r="AA969" s="416" t="s">
        <v>5922</v>
      </c>
      <c r="AB969" s="414" t="s">
        <v>5935</v>
      </c>
      <c r="AC969" s="426"/>
      <c r="AD969" s="421"/>
      <c r="AE969" s="420"/>
      <c r="AF969" s="421" t="s">
        <v>5936</v>
      </c>
      <c r="AG969" s="420" t="s">
        <v>2606</v>
      </c>
      <c r="AH969" s="421" t="s">
        <v>3932</v>
      </c>
      <c r="AI969" s="420" t="s">
        <v>846</v>
      </c>
      <c r="AJ969" s="413">
        <f t="shared" si="61"/>
        <v>4590017672</v>
      </c>
      <c r="AK969" s="423"/>
      <c r="AL969" s="413"/>
      <c r="AM969" s="221"/>
      <c r="AN969" s="424"/>
      <c r="AO969" s="423"/>
      <c r="AP969" s="413"/>
      <c r="AQ969" s="222"/>
      <c r="AR969" s="424"/>
      <c r="AS969" s="614">
        <f ca="1">表格1_6[[#This Row],[total amount]]/表格1_6[[#This Row],[PO$]]</f>
        <v>0</v>
      </c>
      <c r="AT969" s="223">
        <f ca="1">表格1_6[[#This Row],[invoice amount]]+表格1_6[[#This Row],[invoice amount2]]</f>
        <v>0</v>
      </c>
      <c r="AU969" s="224"/>
      <c r="AV969" s="423"/>
      <c r="AW969" s="423" t="e">
        <f ca="1">VLOOKUP(表格1_6[[#This Row],[TI tool ID2]],工作表1!A:A,1,FALSE)</f>
        <v>#N/A</v>
      </c>
      <c r="AX969" s="425" t="e">
        <f ca="1">VLOOKUP(表格1_6[[#This Row],[PO+ITEM]],工作表1!B:E,2,FALSE)</f>
        <v>#N/A</v>
      </c>
      <c r="AY969" s="425" t="e">
        <f ca="1">VLOOKUP(表格1_6[[#This Row],[PO+ITEM]],工作表1!B:E,3,FALSE)</f>
        <v>#N/A</v>
      </c>
      <c r="AZ969" s="423" t="e">
        <f ca="1">VLOOKUP(表格1_6[[#This Row],[PO+ITEM]],工作表1!B:E,4,FALSE)</f>
        <v>#N/A</v>
      </c>
      <c r="BA969" s="425" t="e">
        <f ca="1">INDEX(工作表1!G:G, MATCH(表格1_6[[#This Row],[invoice number]]&amp;表格1_6[[#This Row],[invoice number2]],工作表1!G:G, 0))</f>
        <v>#N/A</v>
      </c>
      <c r="BB969" s="423" t="e">
        <f ca="1">VLOOKUP(表格1_6[[#This Row],[PO+ITEM]],工作表1!F:H,2,FALSE)</f>
        <v>#N/A</v>
      </c>
    </row>
    <row r="970" spans="1:54">
      <c r="A970" s="413">
        <v>969</v>
      </c>
      <c r="B970" s="413" t="s">
        <v>3674</v>
      </c>
      <c r="C970" s="414" t="s">
        <v>17</v>
      </c>
      <c r="D970" s="414" t="s">
        <v>3648</v>
      </c>
      <c r="E970" s="414"/>
      <c r="F970" s="414"/>
      <c r="G970" s="414" t="s">
        <v>2196</v>
      </c>
      <c r="H970" s="414"/>
      <c r="I970" s="414"/>
      <c r="J970" s="414"/>
      <c r="K970" s="414"/>
      <c r="L970" s="420" t="s">
        <v>5937</v>
      </c>
      <c r="M970" s="415" t="s">
        <v>2659</v>
      </c>
      <c r="N970" s="415"/>
      <c r="O970" s="415"/>
      <c r="P970" s="441">
        <v>4590017673</v>
      </c>
      <c r="Q970" s="418">
        <v>45416</v>
      </c>
      <c r="R970" s="334" t="s">
        <v>3907</v>
      </c>
      <c r="S970" s="458">
        <v>14892.97</v>
      </c>
      <c r="T970" s="420" t="s">
        <v>2156</v>
      </c>
      <c r="U970" s="414" t="s">
        <v>5938</v>
      </c>
      <c r="V970" s="414" t="s">
        <v>4031</v>
      </c>
      <c r="W970" s="415"/>
      <c r="X970" s="415"/>
      <c r="Y970" s="421" t="s">
        <v>3652</v>
      </c>
      <c r="Z970" s="421" t="s">
        <v>4145</v>
      </c>
      <c r="AA970" s="416" t="s">
        <v>5922</v>
      </c>
      <c r="AB970" s="414" t="s">
        <v>5939</v>
      </c>
      <c r="AC970" s="426"/>
      <c r="AD970" s="421"/>
      <c r="AE970" s="420"/>
      <c r="AF970" s="421" t="s">
        <v>5940</v>
      </c>
      <c r="AG970" s="420" t="s">
        <v>2669</v>
      </c>
      <c r="AH970" s="421" t="s">
        <v>3932</v>
      </c>
      <c r="AI970" s="420" t="s">
        <v>846</v>
      </c>
      <c r="AJ970" s="413">
        <f t="shared" si="61"/>
        <v>4590017673</v>
      </c>
      <c r="AK970" s="423"/>
      <c r="AL970" s="413"/>
      <c r="AM970" s="221"/>
      <c r="AN970" s="424"/>
      <c r="AO970" s="423"/>
      <c r="AP970" s="413"/>
      <c r="AQ970" s="222"/>
      <c r="AR970" s="424"/>
      <c r="AS970" s="614">
        <f ca="1">表格1_6[[#This Row],[total amount]]/表格1_6[[#This Row],[PO$]]</f>
        <v>0</v>
      </c>
      <c r="AT970" s="223">
        <f ca="1">表格1_6[[#This Row],[invoice amount]]+表格1_6[[#This Row],[invoice amount2]]</f>
        <v>0</v>
      </c>
      <c r="AU970" s="224"/>
      <c r="AV970" s="423"/>
      <c r="AW970" s="423" t="e">
        <f ca="1">VLOOKUP(表格1_6[[#This Row],[TI tool ID2]],工作表1!A:A,1,FALSE)</f>
        <v>#N/A</v>
      </c>
      <c r="AX970" s="425" t="e">
        <f ca="1">VLOOKUP(表格1_6[[#This Row],[PO+ITEM]],工作表1!B:E,2,FALSE)</f>
        <v>#N/A</v>
      </c>
      <c r="AY970" s="425" t="e">
        <f ca="1">VLOOKUP(表格1_6[[#This Row],[PO+ITEM]],工作表1!B:E,3,FALSE)</f>
        <v>#N/A</v>
      </c>
      <c r="AZ970" s="423" t="e">
        <f ca="1">VLOOKUP(表格1_6[[#This Row],[PO+ITEM]],工作表1!B:E,4,FALSE)</f>
        <v>#N/A</v>
      </c>
      <c r="BA970" s="425" t="e">
        <f ca="1">INDEX(工作表1!G:G, MATCH(表格1_6[[#This Row],[invoice number]]&amp;表格1_6[[#This Row],[invoice number2]],工作表1!G:G, 0))</f>
        <v>#N/A</v>
      </c>
      <c r="BB970" s="423" t="e">
        <f ca="1">VLOOKUP(表格1_6[[#This Row],[PO+ITEM]],工作表1!F:H,2,FALSE)</f>
        <v>#N/A</v>
      </c>
    </row>
    <row r="971" spans="1:54">
      <c r="A971" s="413">
        <v>970</v>
      </c>
      <c r="B971" s="413" t="s">
        <v>3674</v>
      </c>
      <c r="C971" s="414" t="s">
        <v>17</v>
      </c>
      <c r="D971" s="414" t="s">
        <v>3648</v>
      </c>
      <c r="E971" s="414"/>
      <c r="F971" s="414"/>
      <c r="G971" s="414" t="s">
        <v>2196</v>
      </c>
      <c r="H971" s="414" t="s">
        <v>2659</v>
      </c>
      <c r="I971" s="414"/>
      <c r="J971" s="414"/>
      <c r="K971" s="414"/>
      <c r="L971" s="415" t="s">
        <v>5941</v>
      </c>
      <c r="M971" s="416" t="s">
        <v>2659</v>
      </c>
      <c r="N971" s="416"/>
      <c r="O971" s="421"/>
      <c r="P971" s="416">
        <v>4590017674</v>
      </c>
      <c r="Q971" s="418">
        <v>45416</v>
      </c>
      <c r="R971" s="334" t="s">
        <v>3907</v>
      </c>
      <c r="S971" s="458">
        <v>19980.689999999999</v>
      </c>
      <c r="T971" s="420" t="s">
        <v>2156</v>
      </c>
      <c r="U971" s="414" t="s">
        <v>5942</v>
      </c>
      <c r="V971" s="414" t="s">
        <v>4031</v>
      </c>
      <c r="W971" s="415"/>
      <c r="X971" s="415"/>
      <c r="Y971" s="421" t="s">
        <v>3652</v>
      </c>
      <c r="Z971" s="421" t="s">
        <v>4145</v>
      </c>
      <c r="AA971" s="416" t="s">
        <v>5922</v>
      </c>
      <c r="AB971" s="414" t="s">
        <v>5943</v>
      </c>
      <c r="AC971" s="421"/>
      <c r="AD971" s="421"/>
      <c r="AE971" s="420"/>
      <c r="AF971" s="421" t="s">
        <v>5944</v>
      </c>
      <c r="AG971" s="420" t="s">
        <v>1043</v>
      </c>
      <c r="AH971" s="421" t="s">
        <v>4784</v>
      </c>
      <c r="AI971" s="420" t="s">
        <v>846</v>
      </c>
      <c r="AJ971" s="413">
        <f t="shared" si="61"/>
        <v>4590017674</v>
      </c>
      <c r="AK971" s="423"/>
      <c r="AL971" s="413"/>
      <c r="AM971" s="221"/>
      <c r="AN971" s="424"/>
      <c r="AO971" s="423"/>
      <c r="AP971" s="413"/>
      <c r="AQ971" s="222"/>
      <c r="AR971" s="424"/>
      <c r="AS971" s="614">
        <f ca="1">表格1_6[[#This Row],[total amount]]/表格1_6[[#This Row],[PO$]]</f>
        <v>0</v>
      </c>
      <c r="AT971" s="223">
        <f ca="1">表格1_6[[#This Row],[invoice amount]]+表格1_6[[#This Row],[invoice amount2]]</f>
        <v>0</v>
      </c>
      <c r="AU971" s="224"/>
      <c r="AV971" s="423"/>
      <c r="AW971" s="423" t="e">
        <f ca="1">VLOOKUP(表格1_6[[#This Row],[TI tool ID2]],工作表1!A:A,1,FALSE)</f>
        <v>#N/A</v>
      </c>
      <c r="AX971" s="425" t="e">
        <f ca="1">VLOOKUP(表格1_6[[#This Row],[PO+ITEM]],工作表1!B:E,2,FALSE)</f>
        <v>#N/A</v>
      </c>
      <c r="AY971" s="425" t="e">
        <f ca="1">VLOOKUP(表格1_6[[#This Row],[PO+ITEM]],工作表1!B:E,3,FALSE)</f>
        <v>#N/A</v>
      </c>
      <c r="AZ971" s="423" t="e">
        <f ca="1">VLOOKUP(表格1_6[[#This Row],[PO+ITEM]],工作表1!B:E,4,FALSE)</f>
        <v>#N/A</v>
      </c>
      <c r="BA971" s="425" t="e">
        <f ca="1">INDEX(工作表1!G:G, MATCH(表格1_6[[#This Row],[invoice number]]&amp;表格1_6[[#This Row],[invoice number2]],工作表1!G:G, 0))</f>
        <v>#N/A</v>
      </c>
      <c r="BB971" s="423" t="e">
        <f ca="1">VLOOKUP(表格1_6[[#This Row],[PO+ITEM]],工作表1!F:H,2,FALSE)</f>
        <v>#N/A</v>
      </c>
    </row>
    <row r="972" spans="1:54">
      <c r="A972" s="413">
        <v>971</v>
      </c>
      <c r="B972" s="413" t="s">
        <v>3674</v>
      </c>
      <c r="C972" s="414" t="s">
        <v>17</v>
      </c>
      <c r="D972" s="414" t="s">
        <v>3648</v>
      </c>
      <c r="E972" s="414"/>
      <c r="F972" s="414"/>
      <c r="G972" s="414" t="s">
        <v>2196</v>
      </c>
      <c r="H972" s="414"/>
      <c r="I972" s="414"/>
      <c r="J972" s="414"/>
      <c r="K972" s="414"/>
      <c r="L972" s="415" t="s">
        <v>5945</v>
      </c>
      <c r="M972" s="416" t="s">
        <v>2659</v>
      </c>
      <c r="N972" s="416"/>
      <c r="O972" s="421"/>
      <c r="P972" s="416">
        <v>4590017675</v>
      </c>
      <c r="Q972" s="418">
        <v>45416</v>
      </c>
      <c r="R972" s="334" t="s">
        <v>3907</v>
      </c>
      <c r="S972" s="458">
        <v>22928.11</v>
      </c>
      <c r="T972" s="420" t="s">
        <v>2156</v>
      </c>
      <c r="U972" s="414" t="s">
        <v>5946</v>
      </c>
      <c r="V972" s="414" t="s">
        <v>4031</v>
      </c>
      <c r="W972" s="415"/>
      <c r="X972" s="415"/>
      <c r="Y972" s="421" t="s">
        <v>3652</v>
      </c>
      <c r="Z972" s="421" t="s">
        <v>4145</v>
      </c>
      <c r="AA972" s="416" t="s">
        <v>5922</v>
      </c>
      <c r="AB972" s="414" t="s">
        <v>5947</v>
      </c>
      <c r="AC972" s="421"/>
      <c r="AD972" s="421"/>
      <c r="AE972" s="446"/>
      <c r="AF972" s="421" t="s">
        <v>5948</v>
      </c>
      <c r="AG972" s="420" t="s">
        <v>2645</v>
      </c>
      <c r="AH972" s="421" t="s">
        <v>4784</v>
      </c>
      <c r="AI972" s="420" t="s">
        <v>846</v>
      </c>
      <c r="AJ972" s="413">
        <f t="shared" si="61"/>
        <v>4590017675</v>
      </c>
      <c r="AK972" s="423"/>
      <c r="AL972" s="413"/>
      <c r="AM972" s="221"/>
      <c r="AN972" s="424"/>
      <c r="AO972" s="423"/>
      <c r="AP972" s="413"/>
      <c r="AQ972" s="222"/>
      <c r="AR972" s="424"/>
      <c r="AS972" s="614">
        <f ca="1">表格1_6[[#This Row],[total amount]]/表格1_6[[#This Row],[PO$]]</f>
        <v>0</v>
      </c>
      <c r="AT972" s="223">
        <f ca="1">表格1_6[[#This Row],[invoice amount]]+表格1_6[[#This Row],[invoice amount2]]</f>
        <v>0</v>
      </c>
      <c r="AU972" s="224"/>
      <c r="AV972" s="423"/>
      <c r="AW972" s="423" t="e">
        <f ca="1">VLOOKUP(表格1_6[[#This Row],[TI tool ID2]],工作表1!A:A,1,FALSE)</f>
        <v>#N/A</v>
      </c>
      <c r="AX972" s="425" t="e">
        <f ca="1">VLOOKUP(表格1_6[[#This Row],[PO+ITEM]],工作表1!B:E,2,FALSE)</f>
        <v>#N/A</v>
      </c>
      <c r="AY972" s="425" t="e">
        <f ca="1">VLOOKUP(表格1_6[[#This Row],[PO+ITEM]],工作表1!B:E,3,FALSE)</f>
        <v>#N/A</v>
      </c>
      <c r="AZ972" s="423" t="e">
        <f ca="1">VLOOKUP(表格1_6[[#This Row],[PO+ITEM]],工作表1!B:E,4,FALSE)</f>
        <v>#N/A</v>
      </c>
      <c r="BA972" s="425" t="e">
        <f ca="1">INDEX(工作表1!G:G, MATCH(表格1_6[[#This Row],[invoice number]]&amp;表格1_6[[#This Row],[invoice number2]],工作表1!G:G, 0))</f>
        <v>#N/A</v>
      </c>
      <c r="BB972" s="423" t="e">
        <f ca="1">VLOOKUP(表格1_6[[#This Row],[PO+ITEM]],工作表1!F:H,2,FALSE)</f>
        <v>#N/A</v>
      </c>
    </row>
    <row r="973" spans="1:54">
      <c r="A973" s="413">
        <v>972</v>
      </c>
      <c r="B973" s="413" t="s">
        <v>3674</v>
      </c>
      <c r="C973" s="414" t="s">
        <v>17</v>
      </c>
      <c r="D973" s="414" t="s">
        <v>3648</v>
      </c>
      <c r="E973" s="414"/>
      <c r="F973" s="414"/>
      <c r="G973" s="414" t="s">
        <v>2196</v>
      </c>
      <c r="H973" s="414"/>
      <c r="I973" s="414"/>
      <c r="J973" s="414"/>
      <c r="K973" s="414"/>
      <c r="L973" s="415" t="s">
        <v>5949</v>
      </c>
      <c r="M973" s="416" t="s">
        <v>2659</v>
      </c>
      <c r="N973" s="416"/>
      <c r="O973" s="421"/>
      <c r="P973" s="416">
        <v>4590017677</v>
      </c>
      <c r="Q973" s="418">
        <v>45416</v>
      </c>
      <c r="R973" s="334" t="s">
        <v>3907</v>
      </c>
      <c r="S973" s="459">
        <v>19332.759999999998</v>
      </c>
      <c r="T973" s="420" t="s">
        <v>2156</v>
      </c>
      <c r="U973" s="414" t="s">
        <v>5950</v>
      </c>
      <c r="V973" s="414" t="s">
        <v>4031</v>
      </c>
      <c r="W973" s="415"/>
      <c r="X973" s="415"/>
      <c r="Y973" s="421" t="s">
        <v>3652</v>
      </c>
      <c r="Z973" s="421" t="s">
        <v>4145</v>
      </c>
      <c r="AA973" s="416" t="s">
        <v>5922</v>
      </c>
      <c r="AB973" s="414" t="s">
        <v>5951</v>
      </c>
      <c r="AC973" s="421"/>
      <c r="AD973" s="421"/>
      <c r="AE973" s="421"/>
      <c r="AF973" s="421" t="s">
        <v>5952</v>
      </c>
      <c r="AG973" s="420" t="s">
        <v>1045</v>
      </c>
      <c r="AH973" s="421" t="s">
        <v>4784</v>
      </c>
      <c r="AI973" s="420" t="s">
        <v>846</v>
      </c>
      <c r="AJ973" s="413">
        <f t="shared" si="61"/>
        <v>4590017677</v>
      </c>
      <c r="AK973" s="423"/>
      <c r="AL973" s="413"/>
      <c r="AM973" s="221"/>
      <c r="AN973" s="424"/>
      <c r="AO973" s="423"/>
      <c r="AP973" s="413"/>
      <c r="AQ973" s="222"/>
      <c r="AR973" s="424"/>
      <c r="AS973" s="614">
        <f ca="1">表格1_6[[#This Row],[total amount]]/表格1_6[[#This Row],[PO$]]</f>
        <v>0</v>
      </c>
      <c r="AT973" s="223">
        <f ca="1">表格1_6[[#This Row],[invoice amount]]+表格1_6[[#This Row],[invoice amount2]]</f>
        <v>0</v>
      </c>
      <c r="AU973" s="224"/>
      <c r="AV973" s="423"/>
      <c r="AW973" s="423" t="e">
        <f ca="1">VLOOKUP(表格1_6[[#This Row],[TI tool ID2]],工作表1!A:A,1,FALSE)</f>
        <v>#N/A</v>
      </c>
      <c r="AX973" s="425" t="e">
        <f ca="1">VLOOKUP(表格1_6[[#This Row],[PO+ITEM]],工作表1!B:E,2,FALSE)</f>
        <v>#N/A</v>
      </c>
      <c r="AY973" s="425" t="e">
        <f ca="1">VLOOKUP(表格1_6[[#This Row],[PO+ITEM]],工作表1!B:E,3,FALSE)</f>
        <v>#N/A</v>
      </c>
      <c r="AZ973" s="423" t="e">
        <f ca="1">VLOOKUP(表格1_6[[#This Row],[PO+ITEM]],工作表1!B:E,4,FALSE)</f>
        <v>#N/A</v>
      </c>
      <c r="BA973" s="425" t="e">
        <f ca="1">INDEX(工作表1!G:G, MATCH(表格1_6[[#This Row],[invoice number]]&amp;表格1_6[[#This Row],[invoice number2]],工作表1!G:G, 0))</f>
        <v>#N/A</v>
      </c>
      <c r="BB973" s="423" t="e">
        <f ca="1">VLOOKUP(表格1_6[[#This Row],[PO+ITEM]],工作表1!F:H,2,FALSE)</f>
        <v>#N/A</v>
      </c>
    </row>
    <row r="974" spans="1:54" ht="14.45">
      <c r="A974" s="413">
        <v>973</v>
      </c>
      <c r="B974" s="413" t="s">
        <v>3674</v>
      </c>
      <c r="C974" s="414" t="s">
        <v>17</v>
      </c>
      <c r="D974" s="414" t="s">
        <v>3648</v>
      </c>
      <c r="E974" s="414"/>
      <c r="F974" s="414"/>
      <c r="G974" s="414" t="s">
        <v>2196</v>
      </c>
      <c r="H974" s="414"/>
      <c r="I974" s="414"/>
      <c r="J974" s="414"/>
      <c r="K974" s="414"/>
      <c r="L974" s="415" t="s">
        <v>5953</v>
      </c>
      <c r="M974" s="416" t="s">
        <v>4129</v>
      </c>
      <c r="N974" s="416"/>
      <c r="O974" s="421"/>
      <c r="P974" s="416">
        <v>4590017678</v>
      </c>
      <c r="Q974" s="418">
        <v>45416</v>
      </c>
      <c r="R974" s="334" t="s">
        <v>3907</v>
      </c>
      <c r="S974" s="349">
        <v>2871.85</v>
      </c>
      <c r="T974" s="420" t="s">
        <v>2156</v>
      </c>
      <c r="U974" s="414" t="s">
        <v>5954</v>
      </c>
      <c r="V974" s="414" t="s">
        <v>4031</v>
      </c>
      <c r="W974" s="417"/>
      <c r="X974" s="417"/>
      <c r="Y974" s="421" t="s">
        <v>3652</v>
      </c>
      <c r="Z974" s="421" t="s">
        <v>4145</v>
      </c>
      <c r="AA974" s="416" t="s">
        <v>5955</v>
      </c>
      <c r="AB974" s="414" t="s">
        <v>5956</v>
      </c>
      <c r="AC974" s="421"/>
      <c r="AD974" s="421"/>
      <c r="AE974" s="421"/>
      <c r="AF974" s="421" t="s">
        <v>5957</v>
      </c>
      <c r="AG974" s="420" t="s">
        <v>3273</v>
      </c>
      <c r="AH974" s="421" t="s">
        <v>3828</v>
      </c>
      <c r="AI974" s="420" t="s">
        <v>3666</v>
      </c>
      <c r="AJ974" s="413">
        <f t="shared" si="61"/>
        <v>4590017678</v>
      </c>
      <c r="AK974" s="425" t="s">
        <v>5958</v>
      </c>
      <c r="AL974" s="424">
        <v>45534</v>
      </c>
      <c r="AM974" s="221">
        <v>2871.85</v>
      </c>
      <c r="AN974" s="424" t="s">
        <v>3805</v>
      </c>
      <c r="AO974" s="423"/>
      <c r="AP974" s="413"/>
      <c r="AQ974" s="222"/>
      <c r="AR974" s="424"/>
      <c r="AS974" s="614">
        <f ca="1">表格1_6[[#This Row],[total amount]]/表格1_6[[#This Row],[PO$]]</f>
        <v>1</v>
      </c>
      <c r="AT974" s="223">
        <f ca="1">表格1_6[[#This Row],[invoice amount]]+表格1_6[[#This Row],[invoice amount2]]</f>
        <v>2871.85</v>
      </c>
      <c r="AU974" s="224" t="s">
        <v>3752</v>
      </c>
      <c r="AV974" s="423"/>
      <c r="AW974" s="423" t="e">
        <f ca="1">VLOOKUP(表格1_6[[#This Row],[TI tool ID2]],工作表1!A:A,1,FALSE)</f>
        <v>#N/A</v>
      </c>
      <c r="AX974" s="425" t="e">
        <f ca="1">VLOOKUP(表格1_6[[#This Row],[PO+ITEM]],工作表1!B:E,2,FALSE)</f>
        <v>#N/A</v>
      </c>
      <c r="AY974" s="425" t="e">
        <f ca="1">VLOOKUP(表格1_6[[#This Row],[PO+ITEM]],工作表1!B:E,3,FALSE)</f>
        <v>#N/A</v>
      </c>
      <c r="AZ974" s="423" t="e">
        <f ca="1">VLOOKUP(表格1_6[[#This Row],[PO+ITEM]],工作表1!B:E,4,FALSE)</f>
        <v>#N/A</v>
      </c>
      <c r="BA974" s="425" t="e">
        <f ca="1">INDEX(工作表1!G:G, MATCH(表格1_6[[#This Row],[invoice number]]&amp;表格1_6[[#This Row],[invoice number2]],工作表1!G:G, 0))</f>
        <v>#N/A</v>
      </c>
      <c r="BB974" s="423" t="e">
        <f ca="1">VLOOKUP(表格1_6[[#This Row],[PO+ITEM]],工作表1!F:H,2,FALSE)</f>
        <v>#N/A</v>
      </c>
    </row>
    <row r="975" spans="1:54" ht="14.45">
      <c r="A975" s="413">
        <v>974</v>
      </c>
      <c r="B975" s="413" t="s">
        <v>3674</v>
      </c>
      <c r="C975" s="414" t="s">
        <v>17</v>
      </c>
      <c r="D975" s="414" t="s">
        <v>3648</v>
      </c>
      <c r="E975" s="414"/>
      <c r="F975" s="414"/>
      <c r="G975" s="414" t="s">
        <v>2196</v>
      </c>
      <c r="H975" s="414"/>
      <c r="I975" s="414"/>
      <c r="J975" s="414"/>
      <c r="K975" s="414"/>
      <c r="L975" s="415" t="s">
        <v>5959</v>
      </c>
      <c r="M975" s="416" t="s">
        <v>2888</v>
      </c>
      <c r="N975" s="416"/>
      <c r="O975" s="421"/>
      <c r="P975" s="416">
        <v>4590017803</v>
      </c>
      <c r="Q975" s="418">
        <v>45421</v>
      </c>
      <c r="R975" s="426">
        <v>1</v>
      </c>
      <c r="S975" s="450">
        <v>2534.5100000000002</v>
      </c>
      <c r="T975" s="414" t="s">
        <v>2156</v>
      </c>
      <c r="U975" s="414" t="s">
        <v>5960</v>
      </c>
      <c r="V975" s="414" t="s">
        <v>4031</v>
      </c>
      <c r="W975" s="417"/>
      <c r="X975" s="417"/>
      <c r="Y975" s="421" t="s">
        <v>3652</v>
      </c>
      <c r="Z975" s="421"/>
      <c r="AA975" s="416" t="s">
        <v>5961</v>
      </c>
      <c r="AB975" s="414" t="s">
        <v>5962</v>
      </c>
      <c r="AC975" s="421" t="s">
        <v>3161</v>
      </c>
      <c r="AD975" s="421"/>
      <c r="AE975" s="421"/>
      <c r="AF975" s="421" t="s">
        <v>5963</v>
      </c>
      <c r="AG975" s="420" t="s">
        <v>3161</v>
      </c>
      <c r="AH975" s="421" t="s">
        <v>3828</v>
      </c>
      <c r="AI975" s="420" t="s">
        <v>3666</v>
      </c>
      <c r="AJ975" s="413">
        <f t="shared" si="61"/>
        <v>4590017803</v>
      </c>
      <c r="AK975" s="420" t="s">
        <v>5964</v>
      </c>
      <c r="AL975" s="424">
        <v>45506</v>
      </c>
      <c r="AM975" s="447">
        <v>2534.5100000000002</v>
      </c>
      <c r="AN975" s="424">
        <v>45565</v>
      </c>
      <c r="AO975" s="423"/>
      <c r="AP975" s="424"/>
      <c r="AQ975" s="448"/>
      <c r="AR975" s="424"/>
      <c r="AS975" s="614">
        <f ca="1">表格1_6[[#This Row],[total amount]]/表格1_6[[#This Row],[PO$]]</f>
        <v>1</v>
      </c>
      <c r="AT975" s="223">
        <f ca="1">表格1_6[[#This Row],[invoice amount]]+表格1_6[[#This Row],[invoice amount2]]</f>
        <v>2534.5100000000002</v>
      </c>
      <c r="AU975" s="224" t="s">
        <v>3725</v>
      </c>
      <c r="AV975" s="423"/>
      <c r="AW975" s="423" t="e">
        <f ca="1">VLOOKUP(表格1_6[[#This Row],[TI tool ID2]],工作表1!A:A,1,FALSE)</f>
        <v>#N/A</v>
      </c>
      <c r="AX975" s="425" t="e">
        <f ca="1">VLOOKUP(表格1_6[[#This Row],[PO+ITEM]],工作表1!B:E,2,FALSE)</f>
        <v>#N/A</v>
      </c>
      <c r="AY975" s="425" t="e">
        <f ca="1">VLOOKUP(表格1_6[[#This Row],[PO+ITEM]],工作表1!B:E,3,FALSE)</f>
        <v>#N/A</v>
      </c>
      <c r="AZ975" s="423" t="e">
        <f ca="1">VLOOKUP(表格1_6[[#This Row],[PO+ITEM]],工作表1!B:E,4,FALSE)</f>
        <v>#N/A</v>
      </c>
      <c r="BA975" s="425" t="e">
        <f ca="1">INDEX(工作表1!G:G, MATCH(表格1_6[[#This Row],[invoice number]]&amp;表格1_6[[#This Row],[invoice number2]],工作表1!G:G, 0))</f>
        <v>#N/A</v>
      </c>
      <c r="BB975" s="423" t="e">
        <f ca="1">VLOOKUP(表格1_6[[#This Row],[PO+ITEM]],工作表1!F:H,2,FALSE)</f>
        <v>#N/A</v>
      </c>
    </row>
    <row r="976" spans="1:54" ht="14.45">
      <c r="A976" s="413">
        <v>975</v>
      </c>
      <c r="B976" s="413" t="s">
        <v>3674</v>
      </c>
      <c r="C976" s="414" t="s">
        <v>17</v>
      </c>
      <c r="D976" s="414" t="s">
        <v>3648</v>
      </c>
      <c r="E976" s="414"/>
      <c r="F976" s="414"/>
      <c r="G976" s="414" t="s">
        <v>2196</v>
      </c>
      <c r="H976" s="414"/>
      <c r="I976" s="414"/>
      <c r="J976" s="414"/>
      <c r="K976" s="414"/>
      <c r="L976" s="415" t="s">
        <v>5965</v>
      </c>
      <c r="M976" s="416" t="s">
        <v>3762</v>
      </c>
      <c r="N976" s="416"/>
      <c r="O976" s="421"/>
      <c r="P976" s="416">
        <v>4590017867</v>
      </c>
      <c r="Q976" s="418">
        <v>45423</v>
      </c>
      <c r="R976" s="426">
        <v>1</v>
      </c>
      <c r="S976" s="460">
        <v>1343.43</v>
      </c>
      <c r="T976" s="414" t="s">
        <v>2156</v>
      </c>
      <c r="U976" s="414" t="s">
        <v>5966</v>
      </c>
      <c r="V976" s="414" t="s">
        <v>4031</v>
      </c>
      <c r="W976" s="417"/>
      <c r="X976" s="417"/>
      <c r="Y976" s="421" t="s">
        <v>3652</v>
      </c>
      <c r="Z976" s="421"/>
      <c r="AA976" s="416" t="s">
        <v>5967</v>
      </c>
      <c r="AB976" s="414" t="s">
        <v>5968</v>
      </c>
      <c r="AC976" s="421" t="s">
        <v>5717</v>
      </c>
      <c r="AD976" s="421"/>
      <c r="AE976" s="421"/>
      <c r="AF976" s="421" t="s">
        <v>5969</v>
      </c>
      <c r="AG976" s="420" t="s">
        <v>5717</v>
      </c>
      <c r="AH976" s="421" t="s">
        <v>3918</v>
      </c>
      <c r="AI976" s="420" t="s">
        <v>5970</v>
      </c>
      <c r="AJ976" s="413">
        <f t="shared" si="61"/>
        <v>4590017867</v>
      </c>
      <c r="AK976" s="425" t="s">
        <v>5971</v>
      </c>
      <c r="AL976" s="424">
        <v>45534</v>
      </c>
      <c r="AM976" s="221">
        <v>1343.43</v>
      </c>
      <c r="AN976" s="424" t="s">
        <v>3805</v>
      </c>
      <c r="AO976" s="423"/>
      <c r="AP976" s="413"/>
      <c r="AQ976" s="448"/>
      <c r="AR976" s="424"/>
      <c r="AS976" s="614">
        <f ca="1">表格1_6[[#This Row],[total amount]]/表格1_6[[#This Row],[PO$]]</f>
        <v>1</v>
      </c>
      <c r="AT976" s="223">
        <f ca="1">表格1_6[[#This Row],[invoice amount]]+表格1_6[[#This Row],[invoice amount2]]</f>
        <v>1343.43</v>
      </c>
      <c r="AU976" s="224" t="s">
        <v>3752</v>
      </c>
      <c r="AV976" s="423"/>
      <c r="AW976" s="423" t="e">
        <f ca="1">VLOOKUP(表格1_6[[#This Row],[TI tool ID2]],工作表1!A:A,1,FALSE)</f>
        <v>#N/A</v>
      </c>
      <c r="AX976" s="425" t="e">
        <f ca="1">VLOOKUP(表格1_6[[#This Row],[PO+ITEM]],工作表1!B:E,2,FALSE)</f>
        <v>#N/A</v>
      </c>
      <c r="AY976" s="425" t="e">
        <f ca="1">VLOOKUP(表格1_6[[#This Row],[PO+ITEM]],工作表1!B:E,3,FALSE)</f>
        <v>#N/A</v>
      </c>
      <c r="AZ976" s="423" t="e">
        <f ca="1">VLOOKUP(表格1_6[[#This Row],[PO+ITEM]],工作表1!B:E,4,FALSE)</f>
        <v>#N/A</v>
      </c>
      <c r="BA976" s="425" t="e">
        <f ca="1">INDEX(工作表1!G:G, MATCH(表格1_6[[#This Row],[invoice number]]&amp;表格1_6[[#This Row],[invoice number2]],工作表1!G:G, 0))</f>
        <v>#N/A</v>
      </c>
      <c r="BB976" s="423" t="e">
        <f ca="1">VLOOKUP(表格1_6[[#This Row],[PO+ITEM]],工作表1!F:H,2,FALSE)</f>
        <v>#N/A</v>
      </c>
    </row>
    <row r="977" spans="1:54" ht="14.45">
      <c r="A977" s="413">
        <v>976</v>
      </c>
      <c r="B977" s="413" t="s">
        <v>3674</v>
      </c>
      <c r="C977" s="414" t="s">
        <v>17</v>
      </c>
      <c r="D977" s="414" t="s">
        <v>3648</v>
      </c>
      <c r="E977" s="414"/>
      <c r="F977" s="414"/>
      <c r="G977" s="414" t="s">
        <v>2196</v>
      </c>
      <c r="H977" s="414"/>
      <c r="I977" s="414"/>
      <c r="J977" s="414"/>
      <c r="K977" s="414"/>
      <c r="L977" s="415" t="s">
        <v>5972</v>
      </c>
      <c r="M977" s="416" t="s">
        <v>4105</v>
      </c>
      <c r="N977" s="416"/>
      <c r="O977" s="421"/>
      <c r="P977" s="416">
        <v>4590017868</v>
      </c>
      <c r="Q977" s="418">
        <v>45423</v>
      </c>
      <c r="R977" s="426">
        <v>1</v>
      </c>
      <c r="S977" s="460">
        <v>2276.75</v>
      </c>
      <c r="T977" s="414" t="s">
        <v>2156</v>
      </c>
      <c r="U977" s="414" t="s">
        <v>5973</v>
      </c>
      <c r="V977" s="414" t="s">
        <v>4031</v>
      </c>
      <c r="W977" s="417"/>
      <c r="X977" s="417"/>
      <c r="Y977" s="421" t="s">
        <v>3652</v>
      </c>
      <c r="Z977" s="421"/>
      <c r="AA977" s="416" t="s">
        <v>5974</v>
      </c>
      <c r="AB977" s="414" t="s">
        <v>5975</v>
      </c>
      <c r="AC977" s="421" t="s">
        <v>2815</v>
      </c>
      <c r="AD977" s="421"/>
      <c r="AE977" s="421"/>
      <c r="AF977" s="421" t="s">
        <v>5976</v>
      </c>
      <c r="AG977" s="420" t="s">
        <v>2815</v>
      </c>
      <c r="AH977" s="421" t="s">
        <v>4109</v>
      </c>
      <c r="AI977" s="420" t="s">
        <v>5977</v>
      </c>
      <c r="AJ977" s="413">
        <f t="shared" si="61"/>
        <v>4590017868</v>
      </c>
      <c r="AK977" s="425" t="s">
        <v>5978</v>
      </c>
      <c r="AL977" s="424">
        <v>45534</v>
      </c>
      <c r="AM977" s="221">
        <v>2276.75</v>
      </c>
      <c r="AN977" s="424" t="s">
        <v>3805</v>
      </c>
      <c r="AO977" s="423"/>
      <c r="AP977" s="413"/>
      <c r="AR977" s="424"/>
      <c r="AS977" s="614">
        <f ca="1">表格1_6[[#This Row],[total amount]]/表格1_6[[#This Row],[PO$]]</f>
        <v>1</v>
      </c>
      <c r="AT977" s="223">
        <f ca="1">表格1_6[[#This Row],[invoice amount]]+表格1_6[[#This Row],[invoice amount2]]</f>
        <v>2276.75</v>
      </c>
      <c r="AU977" s="224" t="s">
        <v>3752</v>
      </c>
      <c r="AV977" s="423"/>
      <c r="AW977" s="423" t="e">
        <f ca="1">VLOOKUP(表格1_6[[#This Row],[TI tool ID2]],工作表1!A:A,1,FALSE)</f>
        <v>#N/A</v>
      </c>
      <c r="AX977" s="425" t="e">
        <f ca="1">VLOOKUP(表格1_6[[#This Row],[PO+ITEM]],工作表1!B:E,2,FALSE)</f>
        <v>#N/A</v>
      </c>
      <c r="AY977" s="425" t="e">
        <f ca="1">VLOOKUP(表格1_6[[#This Row],[PO+ITEM]],工作表1!B:E,3,FALSE)</f>
        <v>#N/A</v>
      </c>
      <c r="AZ977" s="423" t="e">
        <f ca="1">VLOOKUP(表格1_6[[#This Row],[PO+ITEM]],工作表1!B:E,4,FALSE)</f>
        <v>#N/A</v>
      </c>
      <c r="BA977" s="425" t="e">
        <f ca="1">INDEX(工作表1!G:G, MATCH(表格1_6[[#This Row],[invoice number]]&amp;表格1_6[[#This Row],[invoice number2]],工作表1!G:G, 0))</f>
        <v>#N/A</v>
      </c>
      <c r="BB977" s="423" t="e">
        <f ca="1">VLOOKUP(表格1_6[[#This Row],[PO+ITEM]],工作表1!F:H,2,FALSE)</f>
        <v>#N/A</v>
      </c>
    </row>
    <row r="978" spans="1:54" ht="14.45">
      <c r="A978" s="413">
        <v>977</v>
      </c>
      <c r="B978" s="413" t="s">
        <v>3674</v>
      </c>
      <c r="C978" s="414" t="s">
        <v>17</v>
      </c>
      <c r="D978" s="414" t="s">
        <v>3648</v>
      </c>
      <c r="E978" s="414"/>
      <c r="F978" s="414"/>
      <c r="G978" s="414" t="s">
        <v>2196</v>
      </c>
      <c r="H978" s="414"/>
      <c r="I978" s="414"/>
      <c r="J978" s="414"/>
      <c r="K978" s="414"/>
      <c r="L978" s="415" t="s">
        <v>5979</v>
      </c>
      <c r="M978" s="416" t="s">
        <v>4105</v>
      </c>
      <c r="N978" s="416"/>
      <c r="O978" s="421"/>
      <c r="P978" s="416">
        <v>4590017870</v>
      </c>
      <c r="Q978" s="418">
        <v>45423</v>
      </c>
      <c r="R978" s="426">
        <v>1</v>
      </c>
      <c r="S978" s="460">
        <v>1668.65</v>
      </c>
      <c r="T978" s="414" t="s">
        <v>2156</v>
      </c>
      <c r="U978" s="414" t="s">
        <v>5980</v>
      </c>
      <c r="V978" s="414" t="s">
        <v>4031</v>
      </c>
      <c r="W978" s="417"/>
      <c r="X978" s="417"/>
      <c r="Y978" s="421" t="s">
        <v>3652</v>
      </c>
      <c r="Z978" s="421"/>
      <c r="AA978" s="416" t="s">
        <v>5974</v>
      </c>
      <c r="AB978" s="414" t="s">
        <v>5981</v>
      </c>
      <c r="AC978" s="421" t="s">
        <v>2813</v>
      </c>
      <c r="AD978" s="421"/>
      <c r="AE978" s="421"/>
      <c r="AF978" s="421" t="s">
        <v>5982</v>
      </c>
      <c r="AG978" s="420" t="s">
        <v>2813</v>
      </c>
      <c r="AH978" s="421" t="s">
        <v>4109</v>
      </c>
      <c r="AI978" s="420" t="s">
        <v>5977</v>
      </c>
      <c r="AJ978" s="413">
        <f t="shared" si="61"/>
        <v>4590017870</v>
      </c>
      <c r="AK978" s="425" t="s">
        <v>5983</v>
      </c>
      <c r="AL978" s="424">
        <v>45534</v>
      </c>
      <c r="AM978" s="221">
        <v>1668.65</v>
      </c>
      <c r="AN978" s="424" t="s">
        <v>3805</v>
      </c>
      <c r="AO978" s="423"/>
      <c r="AP978" s="413"/>
      <c r="AR978" s="424"/>
      <c r="AS978" s="614">
        <f ca="1">表格1_6[[#This Row],[total amount]]/表格1_6[[#This Row],[PO$]]</f>
        <v>1</v>
      </c>
      <c r="AT978" s="223">
        <f ca="1">表格1_6[[#This Row],[invoice amount]]+表格1_6[[#This Row],[invoice amount2]]</f>
        <v>1668.65</v>
      </c>
      <c r="AU978" s="224" t="s">
        <v>3752</v>
      </c>
      <c r="AV978" s="423"/>
      <c r="AW978" s="423" t="e">
        <f ca="1">VLOOKUP(表格1_6[[#This Row],[TI tool ID2]],工作表1!A:A,1,FALSE)</f>
        <v>#N/A</v>
      </c>
      <c r="AX978" s="425" t="e">
        <f ca="1">VLOOKUP(表格1_6[[#This Row],[PO+ITEM]],工作表1!B:E,2,FALSE)</f>
        <v>#N/A</v>
      </c>
      <c r="AY978" s="425" t="e">
        <f ca="1">VLOOKUP(表格1_6[[#This Row],[PO+ITEM]],工作表1!B:E,3,FALSE)</f>
        <v>#N/A</v>
      </c>
      <c r="AZ978" s="423" t="e">
        <f ca="1">VLOOKUP(表格1_6[[#This Row],[PO+ITEM]],工作表1!B:E,4,FALSE)</f>
        <v>#N/A</v>
      </c>
      <c r="BA978" s="425" t="e">
        <f ca="1">INDEX(工作表1!G:G, MATCH(表格1_6[[#This Row],[invoice number]]&amp;表格1_6[[#This Row],[invoice number2]],工作表1!G:G, 0))</f>
        <v>#N/A</v>
      </c>
      <c r="BB978" s="423" t="e">
        <f ca="1">VLOOKUP(表格1_6[[#This Row],[PO+ITEM]],工作表1!F:H,2,FALSE)</f>
        <v>#N/A</v>
      </c>
    </row>
    <row r="979" spans="1:54" ht="14.45">
      <c r="A979" s="413">
        <v>978</v>
      </c>
      <c r="B979" s="413" t="s">
        <v>3674</v>
      </c>
      <c r="C979" s="414" t="s">
        <v>17</v>
      </c>
      <c r="D979" s="414" t="s">
        <v>3648</v>
      </c>
      <c r="E979" s="414"/>
      <c r="F979" s="414"/>
      <c r="G979" s="414" t="s">
        <v>2196</v>
      </c>
      <c r="H979" s="414"/>
      <c r="I979" s="414"/>
      <c r="J979" s="414"/>
      <c r="K979" s="414"/>
      <c r="L979" s="415" t="s">
        <v>5984</v>
      </c>
      <c r="M979" s="416" t="s">
        <v>4105</v>
      </c>
      <c r="N979" s="416"/>
      <c r="O979" s="421"/>
      <c r="P979" s="416">
        <v>4590017871</v>
      </c>
      <c r="Q979" s="418">
        <v>45423</v>
      </c>
      <c r="R979" s="426">
        <v>1</v>
      </c>
      <c r="S979" s="450">
        <v>6007.41</v>
      </c>
      <c r="T979" s="414" t="s">
        <v>2156</v>
      </c>
      <c r="U979" s="414" t="s">
        <v>5985</v>
      </c>
      <c r="V979" s="414" t="s">
        <v>4031</v>
      </c>
      <c r="W979" s="417"/>
      <c r="X979" s="417"/>
      <c r="Y979" s="421" t="s">
        <v>3652</v>
      </c>
      <c r="Z979" s="421"/>
      <c r="AA979" s="416" t="s">
        <v>5974</v>
      </c>
      <c r="AB979" s="414" t="s">
        <v>5986</v>
      </c>
      <c r="AC979" s="421" t="s">
        <v>3201</v>
      </c>
      <c r="AD979" s="421"/>
      <c r="AE979" s="421"/>
      <c r="AF979" s="421" t="s">
        <v>5987</v>
      </c>
      <c r="AG979" s="420" t="s">
        <v>3201</v>
      </c>
      <c r="AH979" s="421" t="s">
        <v>4109</v>
      </c>
      <c r="AI979" s="420" t="s">
        <v>4560</v>
      </c>
      <c r="AJ979" s="413">
        <f t="shared" si="61"/>
        <v>4590017871</v>
      </c>
      <c r="AK979" s="425" t="s">
        <v>5988</v>
      </c>
      <c r="AL979" s="424">
        <v>45534</v>
      </c>
      <c r="AM979" s="221">
        <v>6007.41</v>
      </c>
      <c r="AN979" s="424" t="s">
        <v>3805</v>
      </c>
      <c r="AO979" s="423"/>
      <c r="AP979" s="413"/>
      <c r="AR979" s="424"/>
      <c r="AS979" s="614">
        <f ca="1">表格1_6[[#This Row],[total amount]]/表格1_6[[#This Row],[PO$]]</f>
        <v>1</v>
      </c>
      <c r="AT979" s="223">
        <f ca="1">表格1_6[[#This Row],[invoice amount]]+表格1_6[[#This Row],[invoice amount2]]</f>
        <v>6007.41</v>
      </c>
      <c r="AU979" s="224" t="s">
        <v>3752</v>
      </c>
      <c r="AV979" s="423"/>
      <c r="AW979" s="423" t="e">
        <f ca="1">VLOOKUP(表格1_6[[#This Row],[TI tool ID2]],工作表1!A:A,1,FALSE)</f>
        <v>#N/A</v>
      </c>
      <c r="AX979" s="425" t="e">
        <f ca="1">VLOOKUP(表格1_6[[#This Row],[PO+ITEM]],工作表1!B:E,2,FALSE)</f>
        <v>#N/A</v>
      </c>
      <c r="AY979" s="425" t="e">
        <f ca="1">VLOOKUP(表格1_6[[#This Row],[PO+ITEM]],工作表1!B:E,3,FALSE)</f>
        <v>#N/A</v>
      </c>
      <c r="AZ979" s="423" t="e">
        <f ca="1">VLOOKUP(表格1_6[[#This Row],[PO+ITEM]],工作表1!B:E,4,FALSE)</f>
        <v>#N/A</v>
      </c>
      <c r="BA979" s="425" t="e">
        <f ca="1">INDEX(工作表1!G:G, MATCH(表格1_6[[#This Row],[invoice number]]&amp;表格1_6[[#This Row],[invoice number2]],工作表1!G:G, 0))</f>
        <v>#N/A</v>
      </c>
      <c r="BB979" s="423" t="e">
        <f ca="1">VLOOKUP(表格1_6[[#This Row],[PO+ITEM]],工作表1!F:H,2,FALSE)</f>
        <v>#N/A</v>
      </c>
    </row>
    <row r="980" spans="1:54" ht="14.45">
      <c r="A980" s="413">
        <v>979</v>
      </c>
      <c r="B980" s="413" t="s">
        <v>3674</v>
      </c>
      <c r="C980" s="414" t="s">
        <v>17</v>
      </c>
      <c r="D980" s="414" t="s">
        <v>3648</v>
      </c>
      <c r="E980" s="414"/>
      <c r="F980" s="414"/>
      <c r="G980" s="414" t="s">
        <v>2196</v>
      </c>
      <c r="H980" s="414"/>
      <c r="I980" s="414"/>
      <c r="J980" s="414"/>
      <c r="K980" s="414"/>
      <c r="L980" s="415" t="s">
        <v>5989</v>
      </c>
      <c r="M980" s="416" t="s">
        <v>3762</v>
      </c>
      <c r="N980" s="416"/>
      <c r="O980" s="421"/>
      <c r="P980" s="416">
        <v>4590017873</v>
      </c>
      <c r="Q980" s="418">
        <v>45423</v>
      </c>
      <c r="R980" s="426">
        <v>1</v>
      </c>
      <c r="S980" s="460">
        <v>2970</v>
      </c>
      <c r="T980" s="414" t="s">
        <v>2156</v>
      </c>
      <c r="U980" s="414" t="s">
        <v>5990</v>
      </c>
      <c r="V980" s="414" t="s">
        <v>4031</v>
      </c>
      <c r="W980" s="417"/>
      <c r="X980" s="417"/>
      <c r="Y980" s="421" t="s">
        <v>3652</v>
      </c>
      <c r="Z980" s="421"/>
      <c r="AA980" s="416" t="s">
        <v>5991</v>
      </c>
      <c r="AB980" s="414" t="s">
        <v>5992</v>
      </c>
      <c r="AC980" s="421" t="s">
        <v>5789</v>
      </c>
      <c r="AD980" s="421"/>
      <c r="AE980" s="421"/>
      <c r="AF980" s="421" t="s">
        <v>5993</v>
      </c>
      <c r="AG980" s="420" t="s">
        <v>5789</v>
      </c>
      <c r="AH980" s="421" t="s">
        <v>3918</v>
      </c>
      <c r="AI980" s="420" t="s">
        <v>5970</v>
      </c>
      <c r="AJ980" s="413">
        <f t="shared" si="61"/>
        <v>4590017873</v>
      </c>
      <c r="AK980" s="425" t="s">
        <v>5994</v>
      </c>
      <c r="AL980" s="424">
        <v>45534</v>
      </c>
      <c r="AM980" s="221">
        <v>2970</v>
      </c>
      <c r="AN980" s="424" t="s">
        <v>3805</v>
      </c>
      <c r="AO980" s="423"/>
      <c r="AP980" s="413"/>
      <c r="AR980" s="424"/>
      <c r="AS980" s="614">
        <f ca="1">表格1_6[[#This Row],[total amount]]/表格1_6[[#This Row],[PO$]]</f>
        <v>1</v>
      </c>
      <c r="AT980" s="223">
        <f ca="1">表格1_6[[#This Row],[invoice amount]]+表格1_6[[#This Row],[invoice amount2]]</f>
        <v>2970</v>
      </c>
      <c r="AU980" s="224" t="s">
        <v>3752</v>
      </c>
      <c r="AV980" s="423"/>
      <c r="AW980" s="423" t="e">
        <f ca="1">VLOOKUP(表格1_6[[#This Row],[TI tool ID2]],工作表1!A:A,1,FALSE)</f>
        <v>#N/A</v>
      </c>
      <c r="AX980" s="425" t="e">
        <f ca="1">VLOOKUP(表格1_6[[#This Row],[PO+ITEM]],工作表1!B:E,2,FALSE)</f>
        <v>#N/A</v>
      </c>
      <c r="AY980" s="425" t="e">
        <f ca="1">VLOOKUP(表格1_6[[#This Row],[PO+ITEM]],工作表1!B:E,3,FALSE)</f>
        <v>#N/A</v>
      </c>
      <c r="AZ980" s="423" t="e">
        <f ca="1">VLOOKUP(表格1_6[[#This Row],[PO+ITEM]],工作表1!B:E,4,FALSE)</f>
        <v>#N/A</v>
      </c>
      <c r="BA980" s="425" t="e">
        <f ca="1">INDEX(工作表1!G:G, MATCH(表格1_6[[#This Row],[invoice number]]&amp;表格1_6[[#This Row],[invoice number2]],工作表1!G:G, 0))</f>
        <v>#N/A</v>
      </c>
      <c r="BB980" s="423" t="e">
        <f ca="1">VLOOKUP(表格1_6[[#This Row],[PO+ITEM]],工作表1!F:H,2,FALSE)</f>
        <v>#N/A</v>
      </c>
    </row>
    <row r="981" spans="1:54" ht="14.45">
      <c r="A981" s="413">
        <v>980</v>
      </c>
      <c r="B981" s="413" t="s">
        <v>3674</v>
      </c>
      <c r="C981" s="414" t="s">
        <v>17</v>
      </c>
      <c r="D981" s="414" t="s">
        <v>3648</v>
      </c>
      <c r="E981" s="414"/>
      <c r="F981" s="414"/>
      <c r="G981" s="414" t="s">
        <v>2196</v>
      </c>
      <c r="H981" s="414"/>
      <c r="I981" s="414"/>
      <c r="J981" s="414"/>
      <c r="K981" s="414"/>
      <c r="L981" s="415" t="s">
        <v>5995</v>
      </c>
      <c r="M981" s="416" t="s">
        <v>3762</v>
      </c>
      <c r="N981" s="416"/>
      <c r="O981" s="421"/>
      <c r="P981" s="416">
        <v>4590017876</v>
      </c>
      <c r="Q981" s="418">
        <v>45423</v>
      </c>
      <c r="R981" s="426">
        <v>1</v>
      </c>
      <c r="S981" s="460">
        <v>2970</v>
      </c>
      <c r="T981" s="414" t="s">
        <v>2156</v>
      </c>
      <c r="U981" s="414" t="s">
        <v>5996</v>
      </c>
      <c r="V981" s="414" t="s">
        <v>4031</v>
      </c>
      <c r="W981" s="417"/>
      <c r="X981" s="417"/>
      <c r="Y981" s="421" t="s">
        <v>3652</v>
      </c>
      <c r="Z981" s="421"/>
      <c r="AA981" s="416" t="s">
        <v>5991</v>
      </c>
      <c r="AB981" s="414" t="s">
        <v>5997</v>
      </c>
      <c r="AC981" s="421" t="s">
        <v>5794</v>
      </c>
      <c r="AD981" s="421"/>
      <c r="AE981" s="421"/>
      <c r="AF981" s="421" t="s">
        <v>5998</v>
      </c>
      <c r="AG981" s="420" t="s">
        <v>5794</v>
      </c>
      <c r="AH981" s="421" t="s">
        <v>3918</v>
      </c>
      <c r="AI981" s="420" t="s">
        <v>5970</v>
      </c>
      <c r="AJ981" s="413">
        <f t="shared" si="61"/>
        <v>4590017876</v>
      </c>
      <c r="AK981" s="425" t="s">
        <v>5999</v>
      </c>
      <c r="AL981" s="424">
        <v>45534</v>
      </c>
      <c r="AM981" s="221">
        <v>2970</v>
      </c>
      <c r="AN981" s="424" t="s">
        <v>3805</v>
      </c>
      <c r="AO981" s="423"/>
      <c r="AP981" s="413"/>
      <c r="AR981" s="424"/>
      <c r="AS981" s="614">
        <f ca="1">表格1_6[[#This Row],[total amount]]/表格1_6[[#This Row],[PO$]]</f>
        <v>1</v>
      </c>
      <c r="AT981" s="223">
        <f ca="1">表格1_6[[#This Row],[invoice amount]]+表格1_6[[#This Row],[invoice amount2]]</f>
        <v>2970</v>
      </c>
      <c r="AU981" s="224" t="s">
        <v>3752</v>
      </c>
      <c r="AV981" s="423"/>
      <c r="AW981" s="423" t="e">
        <f ca="1">VLOOKUP(表格1_6[[#This Row],[TI tool ID2]],工作表1!A:A,1,FALSE)</f>
        <v>#N/A</v>
      </c>
      <c r="AX981" s="425" t="e">
        <f ca="1">VLOOKUP(表格1_6[[#This Row],[PO+ITEM]],工作表1!B:E,2,FALSE)</f>
        <v>#N/A</v>
      </c>
      <c r="AY981" s="425" t="e">
        <f ca="1">VLOOKUP(表格1_6[[#This Row],[PO+ITEM]],工作表1!B:E,3,FALSE)</f>
        <v>#N/A</v>
      </c>
      <c r="AZ981" s="423" t="e">
        <f ca="1">VLOOKUP(表格1_6[[#This Row],[PO+ITEM]],工作表1!B:E,4,FALSE)</f>
        <v>#N/A</v>
      </c>
      <c r="BA981" s="425" t="e">
        <f ca="1">INDEX(工作表1!G:G, MATCH(表格1_6[[#This Row],[invoice number]]&amp;表格1_6[[#This Row],[invoice number2]],工作表1!G:G, 0))</f>
        <v>#N/A</v>
      </c>
      <c r="BB981" s="423" t="e">
        <f ca="1">VLOOKUP(表格1_6[[#This Row],[PO+ITEM]],工作表1!F:H,2,FALSE)</f>
        <v>#N/A</v>
      </c>
    </row>
    <row r="982" spans="1:54" ht="14.45">
      <c r="A982" s="413">
        <v>981</v>
      </c>
      <c r="B982" s="413" t="s">
        <v>3674</v>
      </c>
      <c r="C982" s="414" t="s">
        <v>17</v>
      </c>
      <c r="D982" s="414" t="s">
        <v>3648</v>
      </c>
      <c r="E982" s="414"/>
      <c r="F982" s="414"/>
      <c r="G982" s="414" t="s">
        <v>2196</v>
      </c>
      <c r="H982" s="414"/>
      <c r="I982" s="414"/>
      <c r="J982" s="414"/>
      <c r="K982" s="414"/>
      <c r="L982" s="415" t="s">
        <v>6000</v>
      </c>
      <c r="M982" s="416" t="s">
        <v>3762</v>
      </c>
      <c r="N982" s="416"/>
      <c r="O982" s="421"/>
      <c r="P982" s="416">
        <v>4590017877</v>
      </c>
      <c r="Q982" s="418">
        <v>45423</v>
      </c>
      <c r="R982" s="426">
        <v>1</v>
      </c>
      <c r="S982" s="460">
        <v>2970</v>
      </c>
      <c r="T982" s="414" t="s">
        <v>2156</v>
      </c>
      <c r="U982" s="414" t="s">
        <v>6001</v>
      </c>
      <c r="V982" s="414" t="s">
        <v>4031</v>
      </c>
      <c r="W982" s="417"/>
      <c r="X982" s="417"/>
      <c r="Y982" s="421" t="s">
        <v>3652</v>
      </c>
      <c r="Z982" s="421"/>
      <c r="AA982" s="416" t="s">
        <v>5991</v>
      </c>
      <c r="AB982" s="414" t="s">
        <v>6002</v>
      </c>
      <c r="AC982" s="421" t="s">
        <v>5797</v>
      </c>
      <c r="AD982" s="421"/>
      <c r="AE982" s="421"/>
      <c r="AF982" s="421" t="s">
        <v>6003</v>
      </c>
      <c r="AG982" s="420" t="s">
        <v>5797</v>
      </c>
      <c r="AH982" s="421" t="s">
        <v>3918</v>
      </c>
      <c r="AI982" s="420" t="s">
        <v>5970</v>
      </c>
      <c r="AJ982" s="413">
        <f t="shared" si="61"/>
        <v>4590017877</v>
      </c>
      <c r="AK982" s="420" t="s">
        <v>6004</v>
      </c>
      <c r="AL982" s="424">
        <v>45464</v>
      </c>
      <c r="AM982" s="451">
        <v>2970</v>
      </c>
      <c r="AN982" s="424">
        <v>45580</v>
      </c>
      <c r="AO982" s="423"/>
      <c r="AP982" s="424"/>
      <c r="AR982" s="424"/>
      <c r="AS982" s="614">
        <f ca="1">表格1_6[[#This Row],[total amount]]/表格1_6[[#This Row],[PO$]]</f>
        <v>1</v>
      </c>
      <c r="AT982" s="223">
        <f ca="1">表格1_6[[#This Row],[invoice amount]]+表格1_6[[#This Row],[invoice amount2]]</f>
        <v>2970</v>
      </c>
      <c r="AU982" s="224" t="s">
        <v>3725</v>
      </c>
      <c r="AV982" s="423"/>
      <c r="AW982" s="423" t="e">
        <f ca="1">VLOOKUP(表格1_6[[#This Row],[TI tool ID2]],工作表1!A:A,1,FALSE)</f>
        <v>#N/A</v>
      </c>
      <c r="AX982" s="425" t="e">
        <f ca="1">VLOOKUP(表格1_6[[#This Row],[PO+ITEM]],工作表1!B:E,2,FALSE)</f>
        <v>#N/A</v>
      </c>
      <c r="AY982" s="425" t="e">
        <f ca="1">VLOOKUP(表格1_6[[#This Row],[PO+ITEM]],工作表1!B:E,3,FALSE)</f>
        <v>#N/A</v>
      </c>
      <c r="AZ982" s="423" t="e">
        <f ca="1">VLOOKUP(表格1_6[[#This Row],[PO+ITEM]],工作表1!B:E,4,FALSE)</f>
        <v>#N/A</v>
      </c>
      <c r="BA982" s="425" t="str">
        <f ca="1">INDEX(工作表1!G:G, MATCH(表格1_6[[#This Row],[invoice number]]&amp;表格1_6[[#This Row],[invoice number2]],工作表1!G:G, 0))</f>
        <v>MICUINT202406026</v>
      </c>
      <c r="BB982" s="423" t="str">
        <f ca="1">VLOOKUP(表格1_6[[#This Row],[PO+ITEM]],工作表1!F:H,2,FALSE)</f>
        <v>MICUINT202406026</v>
      </c>
    </row>
    <row r="983" spans="1:54" ht="14.45">
      <c r="A983" s="413">
        <v>982</v>
      </c>
      <c r="B983" s="413" t="s">
        <v>3674</v>
      </c>
      <c r="C983" s="414" t="s">
        <v>17</v>
      </c>
      <c r="D983" s="414" t="s">
        <v>3648</v>
      </c>
      <c r="E983" s="414"/>
      <c r="F983" s="414"/>
      <c r="G983" s="414" t="s">
        <v>2196</v>
      </c>
      <c r="H983" s="414"/>
      <c r="I983" s="414"/>
      <c r="J983" s="414"/>
      <c r="K983" s="414"/>
      <c r="L983" s="415" t="s">
        <v>6005</v>
      </c>
      <c r="M983" s="416" t="s">
        <v>3762</v>
      </c>
      <c r="N983" s="416"/>
      <c r="O983" s="421"/>
      <c r="P983" s="416">
        <v>4590017881</v>
      </c>
      <c r="Q983" s="418">
        <v>45423</v>
      </c>
      <c r="R983" s="426">
        <v>1</v>
      </c>
      <c r="S983" s="460">
        <v>5138.3</v>
      </c>
      <c r="T983" s="414" t="s">
        <v>2156</v>
      </c>
      <c r="U983" s="414" t="s">
        <v>6006</v>
      </c>
      <c r="V983" s="414" t="s">
        <v>4031</v>
      </c>
      <c r="W983" s="417"/>
      <c r="X983" s="417"/>
      <c r="Y983" s="421" t="s">
        <v>3652</v>
      </c>
      <c r="Z983" s="421"/>
      <c r="AA983" s="416" t="s">
        <v>5991</v>
      </c>
      <c r="AB983" s="414" t="s">
        <v>6007</v>
      </c>
      <c r="AC983" s="421" t="s">
        <v>3555</v>
      </c>
      <c r="AD983" s="421"/>
      <c r="AE983" s="421"/>
      <c r="AF983" s="421" t="s">
        <v>6008</v>
      </c>
      <c r="AG983" s="420" t="s">
        <v>3555</v>
      </c>
      <c r="AH983" s="421" t="s">
        <v>3918</v>
      </c>
      <c r="AI983" s="420" t="s">
        <v>6009</v>
      </c>
      <c r="AJ983" s="413">
        <f t="shared" si="61"/>
        <v>4590017881</v>
      </c>
      <c r="AK983" s="425" t="s">
        <v>6010</v>
      </c>
      <c r="AL983" s="424">
        <v>45534</v>
      </c>
      <c r="AM983" s="221">
        <v>5138.3</v>
      </c>
      <c r="AN983" s="424" t="s">
        <v>3805</v>
      </c>
      <c r="AO983" s="423"/>
      <c r="AP983" s="413"/>
      <c r="AR983" s="424"/>
      <c r="AS983" s="614">
        <f ca="1">表格1_6[[#This Row],[total amount]]/表格1_6[[#This Row],[PO$]]</f>
        <v>1</v>
      </c>
      <c r="AT983" s="223">
        <f ca="1">表格1_6[[#This Row],[invoice amount]]+表格1_6[[#This Row],[invoice amount2]]</f>
        <v>5138.3</v>
      </c>
      <c r="AU983" s="224" t="s">
        <v>3752</v>
      </c>
      <c r="AV983" s="423"/>
      <c r="AW983" s="423" t="e">
        <f ca="1">VLOOKUP(表格1_6[[#This Row],[TI tool ID2]],工作表1!A:A,1,FALSE)</f>
        <v>#N/A</v>
      </c>
      <c r="AX983" s="425" t="e">
        <f ca="1">VLOOKUP(表格1_6[[#This Row],[PO+ITEM]],工作表1!B:E,2,FALSE)</f>
        <v>#N/A</v>
      </c>
      <c r="AY983" s="425" t="e">
        <f ca="1">VLOOKUP(表格1_6[[#This Row],[PO+ITEM]],工作表1!B:E,3,FALSE)</f>
        <v>#N/A</v>
      </c>
      <c r="AZ983" s="423" t="e">
        <f ca="1">VLOOKUP(表格1_6[[#This Row],[PO+ITEM]],工作表1!B:E,4,FALSE)</f>
        <v>#N/A</v>
      </c>
      <c r="BA983" s="425" t="e">
        <f ca="1">INDEX(工作表1!G:G, MATCH(表格1_6[[#This Row],[invoice number]]&amp;表格1_6[[#This Row],[invoice number2]],工作表1!G:G, 0))</f>
        <v>#N/A</v>
      </c>
      <c r="BB983" s="423" t="e">
        <f ca="1">VLOOKUP(表格1_6[[#This Row],[PO+ITEM]],工作表1!F:H,2,FALSE)</f>
        <v>#N/A</v>
      </c>
    </row>
    <row r="984" spans="1:54" ht="14.45">
      <c r="A984" s="413">
        <v>983</v>
      </c>
      <c r="B984" s="413" t="s">
        <v>3674</v>
      </c>
      <c r="C984" s="414" t="s">
        <v>17</v>
      </c>
      <c r="D984" s="414" t="s">
        <v>3648</v>
      </c>
      <c r="E984" s="414"/>
      <c r="F984" s="414"/>
      <c r="G984" s="414" t="s">
        <v>2196</v>
      </c>
      <c r="H984" s="414"/>
      <c r="I984" s="414"/>
      <c r="J984" s="414"/>
      <c r="K984" s="414"/>
      <c r="L984" s="415" t="s">
        <v>6011</v>
      </c>
      <c r="M984" s="416" t="s">
        <v>2798</v>
      </c>
      <c r="N984" s="416"/>
      <c r="O984" s="421"/>
      <c r="P984" s="416">
        <v>4590017882</v>
      </c>
      <c r="Q984" s="418">
        <v>45423</v>
      </c>
      <c r="R984" s="426">
        <v>1</v>
      </c>
      <c r="S984" s="460">
        <v>18138.669999999998</v>
      </c>
      <c r="T984" s="414" t="s">
        <v>2156</v>
      </c>
      <c r="U984" s="414" t="s">
        <v>6012</v>
      </c>
      <c r="V984" s="414" t="s">
        <v>4031</v>
      </c>
      <c r="W984" s="417"/>
      <c r="X984" s="417"/>
      <c r="Y984" s="421" t="s">
        <v>3652</v>
      </c>
      <c r="Z984" s="421"/>
      <c r="AA984" s="416" t="s">
        <v>6013</v>
      </c>
      <c r="AB984" s="414"/>
      <c r="AC984" s="421" t="s">
        <v>2604</v>
      </c>
      <c r="AD984" s="421"/>
      <c r="AE984" s="421"/>
      <c r="AF984" s="421" t="s">
        <v>6014</v>
      </c>
      <c r="AG984" s="420" t="s">
        <v>2604</v>
      </c>
      <c r="AH984" s="421" t="s">
        <v>3932</v>
      </c>
      <c r="AI984" s="420" t="s">
        <v>846</v>
      </c>
      <c r="AJ984" s="413">
        <f t="shared" si="61"/>
        <v>4590017882</v>
      </c>
      <c r="AK984" s="420"/>
      <c r="AL984" s="413"/>
      <c r="AM984" s="449"/>
      <c r="AN984" s="424"/>
      <c r="AO984" s="423"/>
      <c r="AP984" s="413"/>
      <c r="AR984" s="424"/>
      <c r="AS984" s="614">
        <f ca="1">表格1_6[[#This Row],[total amount]]/表格1_6[[#This Row],[PO$]]</f>
        <v>0</v>
      </c>
      <c r="AT984" s="223">
        <f ca="1">表格1_6[[#This Row],[invoice amount]]+表格1_6[[#This Row],[invoice amount2]]</f>
        <v>0</v>
      </c>
      <c r="AV984" s="423"/>
      <c r="AW984" s="423" t="e">
        <f ca="1">VLOOKUP(表格1_6[[#This Row],[TI tool ID2]],工作表1!A:A,1,FALSE)</f>
        <v>#N/A</v>
      </c>
      <c r="AX984" s="425" t="e">
        <f ca="1">VLOOKUP(表格1_6[[#This Row],[PO+ITEM]],工作表1!B:E,2,FALSE)</f>
        <v>#N/A</v>
      </c>
      <c r="AY984" s="425" t="e">
        <f ca="1">VLOOKUP(表格1_6[[#This Row],[PO+ITEM]],工作表1!B:E,3,FALSE)</f>
        <v>#N/A</v>
      </c>
      <c r="AZ984" s="423" t="e">
        <f ca="1">VLOOKUP(表格1_6[[#This Row],[PO+ITEM]],工作表1!B:E,4,FALSE)</f>
        <v>#N/A</v>
      </c>
      <c r="BA984" s="425" t="e">
        <f ca="1">INDEX(工作表1!G:G, MATCH(表格1_6[[#This Row],[invoice number]]&amp;表格1_6[[#This Row],[invoice number2]],工作表1!G:G, 0))</f>
        <v>#N/A</v>
      </c>
      <c r="BB984" s="423" t="e">
        <f ca="1">VLOOKUP(表格1_6[[#This Row],[PO+ITEM]],工作表1!F:H,2,FALSE)</f>
        <v>#N/A</v>
      </c>
    </row>
    <row r="985" spans="1:54" ht="14.45">
      <c r="A985" s="413">
        <v>984</v>
      </c>
      <c r="B985" s="413" t="s">
        <v>3674</v>
      </c>
      <c r="C985" s="414" t="s">
        <v>17</v>
      </c>
      <c r="D985" s="414" t="s">
        <v>3648</v>
      </c>
      <c r="E985" s="414"/>
      <c r="F985" s="414"/>
      <c r="G985" s="414" t="s">
        <v>2196</v>
      </c>
      <c r="H985" s="414"/>
      <c r="I985" s="414"/>
      <c r="J985" s="414"/>
      <c r="K985" s="414"/>
      <c r="L985" s="415" t="s">
        <v>6015</v>
      </c>
      <c r="M985" s="416" t="s">
        <v>2798</v>
      </c>
      <c r="N985" s="416"/>
      <c r="O985" s="421"/>
      <c r="P985" s="416">
        <v>4590017883</v>
      </c>
      <c r="Q985" s="418">
        <v>45423</v>
      </c>
      <c r="R985" s="426">
        <v>1</v>
      </c>
      <c r="S985" s="460">
        <v>14940.24</v>
      </c>
      <c r="T985" s="414" t="s">
        <v>2156</v>
      </c>
      <c r="U985" s="414" t="s">
        <v>6016</v>
      </c>
      <c r="V985" s="414" t="s">
        <v>4031</v>
      </c>
      <c r="W985" s="417"/>
      <c r="X985" s="417"/>
      <c r="Y985" s="421" t="s">
        <v>3652</v>
      </c>
      <c r="Z985" s="421"/>
      <c r="AA985" s="416" t="s">
        <v>6013</v>
      </c>
      <c r="AB985" s="414" t="s">
        <v>6017</v>
      </c>
      <c r="AC985" s="421" t="s">
        <v>2683</v>
      </c>
      <c r="AD985" s="421"/>
      <c r="AE985" s="421"/>
      <c r="AF985" s="421" t="s">
        <v>6018</v>
      </c>
      <c r="AG985" s="420" t="s">
        <v>2683</v>
      </c>
      <c r="AH985" s="421" t="s">
        <v>3932</v>
      </c>
      <c r="AI985" s="420" t="s">
        <v>846</v>
      </c>
      <c r="AJ985" s="413">
        <f t="shared" si="61"/>
        <v>4590017883</v>
      </c>
      <c r="AK985" s="420"/>
      <c r="AL985" s="413"/>
      <c r="AM985" s="449"/>
      <c r="AN985" s="424"/>
      <c r="AO985" s="423"/>
      <c r="AP985" s="413"/>
      <c r="AR985" s="424"/>
      <c r="AS985" s="614">
        <f ca="1">表格1_6[[#This Row],[total amount]]/表格1_6[[#This Row],[PO$]]</f>
        <v>0</v>
      </c>
      <c r="AT985" s="223">
        <f ca="1">表格1_6[[#This Row],[invoice amount]]+表格1_6[[#This Row],[invoice amount2]]</f>
        <v>0</v>
      </c>
      <c r="AV985" s="423"/>
      <c r="AW985" s="423" t="e">
        <f ca="1">VLOOKUP(表格1_6[[#This Row],[TI tool ID2]],工作表1!A:A,1,FALSE)</f>
        <v>#N/A</v>
      </c>
      <c r="AX985" s="425" t="e">
        <f ca="1">VLOOKUP(表格1_6[[#This Row],[PO+ITEM]],工作表1!B:E,2,FALSE)</f>
        <v>#N/A</v>
      </c>
      <c r="AY985" s="425" t="e">
        <f ca="1">VLOOKUP(表格1_6[[#This Row],[PO+ITEM]],工作表1!B:E,3,FALSE)</f>
        <v>#N/A</v>
      </c>
      <c r="AZ985" s="423" t="e">
        <f ca="1">VLOOKUP(表格1_6[[#This Row],[PO+ITEM]],工作表1!B:E,4,FALSE)</f>
        <v>#N/A</v>
      </c>
      <c r="BA985" s="425" t="e">
        <f ca="1">INDEX(工作表1!G:G, MATCH(表格1_6[[#This Row],[invoice number]]&amp;表格1_6[[#This Row],[invoice number2]],工作表1!G:G, 0))</f>
        <v>#N/A</v>
      </c>
      <c r="BB985" s="423" t="e">
        <f ca="1">VLOOKUP(表格1_6[[#This Row],[PO+ITEM]],工作表1!F:H,2,FALSE)</f>
        <v>#N/A</v>
      </c>
    </row>
    <row r="986" spans="1:54" ht="14.45">
      <c r="A986" s="413">
        <v>985</v>
      </c>
      <c r="B986" s="413" t="s">
        <v>3674</v>
      </c>
      <c r="C986" s="414" t="s">
        <v>17</v>
      </c>
      <c r="D986" s="414" t="s">
        <v>3648</v>
      </c>
      <c r="E986" s="414"/>
      <c r="F986" s="414"/>
      <c r="G986" s="414" t="s">
        <v>2196</v>
      </c>
      <c r="H986" s="414"/>
      <c r="I986" s="414"/>
      <c r="J986" s="414"/>
      <c r="K986" s="414"/>
      <c r="L986" s="415" t="s">
        <v>6019</v>
      </c>
      <c r="M986" s="416" t="s">
        <v>2798</v>
      </c>
      <c r="N986" s="416"/>
      <c r="O986" s="421"/>
      <c r="P986" s="416">
        <v>4590017884</v>
      </c>
      <c r="Q986" s="418">
        <v>45423</v>
      </c>
      <c r="R986" s="426">
        <v>1</v>
      </c>
      <c r="S986" s="460">
        <v>16167.57</v>
      </c>
      <c r="T986" s="414" t="s">
        <v>2156</v>
      </c>
      <c r="U986" s="414" t="s">
        <v>6020</v>
      </c>
      <c r="V986" s="414" t="s">
        <v>4031</v>
      </c>
      <c r="W986" s="417"/>
      <c r="X986" s="417"/>
      <c r="Y986" s="421" t="s">
        <v>3652</v>
      </c>
      <c r="Z986" s="421"/>
      <c r="AA986" s="416" t="s">
        <v>6013</v>
      </c>
      <c r="AB986" s="414" t="s">
        <v>6021</v>
      </c>
      <c r="AC986" s="421" t="s">
        <v>2667</v>
      </c>
      <c r="AD986" s="421"/>
      <c r="AE986" s="421"/>
      <c r="AF986" s="421" t="s">
        <v>6022</v>
      </c>
      <c r="AG986" s="420" t="s">
        <v>2667</v>
      </c>
      <c r="AH986" s="421" t="s">
        <v>3932</v>
      </c>
      <c r="AI986" s="420" t="s">
        <v>846</v>
      </c>
      <c r="AJ986" s="413">
        <f t="shared" si="61"/>
        <v>4590017884</v>
      </c>
      <c r="AK986" s="420"/>
      <c r="AL986" s="413"/>
      <c r="AM986" s="449"/>
      <c r="AN986" s="424"/>
      <c r="AO986" s="423"/>
      <c r="AP986" s="413"/>
      <c r="AR986" s="424"/>
      <c r="AS986" s="614">
        <f ca="1">表格1_6[[#This Row],[total amount]]/表格1_6[[#This Row],[PO$]]</f>
        <v>0</v>
      </c>
      <c r="AT986" s="223">
        <f ca="1">表格1_6[[#This Row],[invoice amount]]+表格1_6[[#This Row],[invoice amount2]]</f>
        <v>0</v>
      </c>
      <c r="AV986" s="423"/>
      <c r="AW986" s="423" t="e">
        <f ca="1">VLOOKUP(表格1_6[[#This Row],[TI tool ID2]],工作表1!A:A,1,FALSE)</f>
        <v>#N/A</v>
      </c>
      <c r="AX986" s="425" t="e">
        <f ca="1">VLOOKUP(表格1_6[[#This Row],[PO+ITEM]],工作表1!B:E,2,FALSE)</f>
        <v>#N/A</v>
      </c>
      <c r="AY986" s="425" t="e">
        <f ca="1">VLOOKUP(表格1_6[[#This Row],[PO+ITEM]],工作表1!B:E,3,FALSE)</f>
        <v>#N/A</v>
      </c>
      <c r="AZ986" s="423" t="e">
        <f ca="1">VLOOKUP(表格1_6[[#This Row],[PO+ITEM]],工作表1!B:E,4,FALSE)</f>
        <v>#N/A</v>
      </c>
      <c r="BA986" s="425" t="e">
        <f ca="1">INDEX(工作表1!G:G, MATCH(表格1_6[[#This Row],[invoice number]]&amp;表格1_6[[#This Row],[invoice number2]],工作表1!G:G, 0))</f>
        <v>#N/A</v>
      </c>
      <c r="BB986" s="423" t="e">
        <f ca="1">VLOOKUP(表格1_6[[#This Row],[PO+ITEM]],工作表1!F:H,2,FALSE)</f>
        <v>#N/A</v>
      </c>
    </row>
    <row r="987" spans="1:54" ht="14.45">
      <c r="A987" s="413">
        <v>986</v>
      </c>
      <c r="B987" s="413" t="s">
        <v>3674</v>
      </c>
      <c r="C987" s="414" t="s">
        <v>17</v>
      </c>
      <c r="D987" s="414" t="s">
        <v>3648</v>
      </c>
      <c r="E987" s="414"/>
      <c r="F987" s="414"/>
      <c r="G987" s="414" t="s">
        <v>2196</v>
      </c>
      <c r="H987" s="414"/>
      <c r="I987" s="414"/>
      <c r="J987" s="414"/>
      <c r="K987" s="414"/>
      <c r="L987" s="415" t="s">
        <v>6023</v>
      </c>
      <c r="M987" s="416" t="s">
        <v>3762</v>
      </c>
      <c r="N987" s="416"/>
      <c r="O987" s="421"/>
      <c r="P987" s="416">
        <v>4590018008</v>
      </c>
      <c r="Q987" s="418">
        <v>45428</v>
      </c>
      <c r="R987" s="426">
        <v>1</v>
      </c>
      <c r="S987" s="460">
        <v>11251.93</v>
      </c>
      <c r="T987" s="414" t="s">
        <v>2156</v>
      </c>
      <c r="U987" s="414" t="s">
        <v>6024</v>
      </c>
      <c r="V987" s="414" t="s">
        <v>4031</v>
      </c>
      <c r="W987" s="417"/>
      <c r="X987" s="417"/>
      <c r="Y987" s="421" t="s">
        <v>3652</v>
      </c>
      <c r="Z987" s="421"/>
      <c r="AA987" s="416" t="s">
        <v>6025</v>
      </c>
      <c r="AB987" s="414" t="s">
        <v>6026</v>
      </c>
      <c r="AC987" s="421" t="s">
        <v>5307</v>
      </c>
      <c r="AD987" s="421"/>
      <c r="AE987" s="421"/>
      <c r="AF987" s="421" t="s">
        <v>6027</v>
      </c>
      <c r="AG987" s="420" t="s">
        <v>5307</v>
      </c>
      <c r="AH987" s="421" t="s">
        <v>3918</v>
      </c>
      <c r="AI987" s="420" t="s">
        <v>3719</v>
      </c>
      <c r="AJ987" s="413">
        <f t="shared" si="61"/>
        <v>4590018008</v>
      </c>
      <c r="AK987" s="425" t="s">
        <v>6028</v>
      </c>
      <c r="AL987" s="424">
        <v>45534</v>
      </c>
      <c r="AM987" s="221">
        <v>11251.93</v>
      </c>
      <c r="AN987" s="424">
        <v>45565</v>
      </c>
      <c r="AO987" s="423"/>
      <c r="AP987" s="413"/>
      <c r="AR987" s="424"/>
      <c r="AS987" s="614">
        <f ca="1">表格1_6[[#This Row],[total amount]]/表格1_6[[#This Row],[PO$]]</f>
        <v>1</v>
      </c>
      <c r="AT987" s="223">
        <f ca="1">表格1_6[[#This Row],[invoice amount]]+表格1_6[[#This Row],[invoice amount2]]</f>
        <v>11251.93</v>
      </c>
      <c r="AU987" s="224" t="s">
        <v>3725</v>
      </c>
      <c r="AV987" s="423"/>
      <c r="AW987" s="423" t="e">
        <f ca="1">VLOOKUP(表格1_6[[#This Row],[TI tool ID2]],工作表1!A:A,1,FALSE)</f>
        <v>#N/A</v>
      </c>
      <c r="AX987" s="425" t="e">
        <f ca="1">VLOOKUP(表格1_6[[#This Row],[PO+ITEM]],工作表1!B:E,2,FALSE)</f>
        <v>#N/A</v>
      </c>
      <c r="AY987" s="425" t="e">
        <f ca="1">VLOOKUP(表格1_6[[#This Row],[PO+ITEM]],工作表1!B:E,3,FALSE)</f>
        <v>#N/A</v>
      </c>
      <c r="AZ987" s="423" t="e">
        <f ca="1">VLOOKUP(表格1_6[[#This Row],[PO+ITEM]],工作表1!B:E,4,FALSE)</f>
        <v>#N/A</v>
      </c>
      <c r="BA987" s="425" t="e">
        <f ca="1">INDEX(工作表1!G:G, MATCH(表格1_6[[#This Row],[invoice number]]&amp;表格1_6[[#This Row],[invoice number2]],工作表1!G:G, 0))</f>
        <v>#N/A</v>
      </c>
      <c r="BB987" s="423" t="e">
        <f ca="1">VLOOKUP(表格1_6[[#This Row],[PO+ITEM]],工作表1!F:H,2,FALSE)</f>
        <v>#N/A</v>
      </c>
    </row>
    <row r="988" spans="1:54" ht="14.45">
      <c r="A988" s="413">
        <v>987</v>
      </c>
      <c r="B988" s="413" t="s">
        <v>3674</v>
      </c>
      <c r="C988" s="414" t="s">
        <v>17</v>
      </c>
      <c r="D988" s="414" t="s">
        <v>3648</v>
      </c>
      <c r="E988" s="414"/>
      <c r="F988" s="414"/>
      <c r="G988" s="414" t="s">
        <v>2196</v>
      </c>
      <c r="H988" s="414"/>
      <c r="I988" s="414"/>
      <c r="J988" s="414"/>
      <c r="K988" s="414"/>
      <c r="L988" s="415" t="s">
        <v>6029</v>
      </c>
      <c r="M988" s="416" t="s">
        <v>2798</v>
      </c>
      <c r="N988" s="416"/>
      <c r="O988" s="421"/>
      <c r="P988" s="416">
        <v>4590018009</v>
      </c>
      <c r="Q988" s="418">
        <v>45428</v>
      </c>
      <c r="R988" s="426">
        <v>1</v>
      </c>
      <c r="S988" s="460">
        <v>2127.4</v>
      </c>
      <c r="T988" s="414" t="s">
        <v>6030</v>
      </c>
      <c r="U988" s="414" t="s">
        <v>6031</v>
      </c>
      <c r="V988" s="414" t="s">
        <v>4031</v>
      </c>
      <c r="W988" s="417"/>
      <c r="X988" s="417"/>
      <c r="Y988" s="421" t="s">
        <v>3652</v>
      </c>
      <c r="Z988" s="421"/>
      <c r="AA988" s="416" t="s">
        <v>6032</v>
      </c>
      <c r="AB988" s="414" t="s">
        <v>6033</v>
      </c>
      <c r="AC988" s="421" t="s">
        <v>2602</v>
      </c>
      <c r="AD988" s="421"/>
      <c r="AE988" s="421"/>
      <c r="AF988" s="421" t="s">
        <v>6034</v>
      </c>
      <c r="AG988" s="420" t="s">
        <v>2602</v>
      </c>
      <c r="AH988" s="421" t="s">
        <v>3681</v>
      </c>
      <c r="AI988" s="420" t="s">
        <v>846</v>
      </c>
      <c r="AJ988" s="413">
        <f t="shared" si="61"/>
        <v>4590018009</v>
      </c>
      <c r="AK988" s="420"/>
      <c r="AL988" s="413"/>
      <c r="AM988" s="449"/>
      <c r="AN988" s="424"/>
      <c r="AO988" s="423"/>
      <c r="AP988" s="413"/>
      <c r="AR988" s="424"/>
      <c r="AS988" s="614">
        <f ca="1">表格1_6[[#This Row],[total amount]]/表格1_6[[#This Row],[PO$]]</f>
        <v>0</v>
      </c>
      <c r="AT988" s="223">
        <f ca="1">表格1_6[[#This Row],[invoice amount]]+表格1_6[[#This Row],[invoice amount2]]</f>
        <v>0</v>
      </c>
      <c r="AV988" s="423"/>
      <c r="AW988" s="423" t="e">
        <f ca="1">VLOOKUP(表格1_6[[#This Row],[TI tool ID2]],工作表1!A:A,1,FALSE)</f>
        <v>#N/A</v>
      </c>
      <c r="AX988" s="425" t="e">
        <f ca="1">VLOOKUP(表格1_6[[#This Row],[PO+ITEM]],工作表1!B:E,2,FALSE)</f>
        <v>#N/A</v>
      </c>
      <c r="AY988" s="425" t="e">
        <f ca="1">VLOOKUP(表格1_6[[#This Row],[PO+ITEM]],工作表1!B:E,3,FALSE)</f>
        <v>#N/A</v>
      </c>
      <c r="AZ988" s="423" t="e">
        <f ca="1">VLOOKUP(表格1_6[[#This Row],[PO+ITEM]],工作表1!B:E,4,FALSE)</f>
        <v>#N/A</v>
      </c>
      <c r="BA988" s="425" t="e">
        <f ca="1">INDEX(工作表1!G:G, MATCH(表格1_6[[#This Row],[invoice number]]&amp;表格1_6[[#This Row],[invoice number2]],工作表1!G:G, 0))</f>
        <v>#N/A</v>
      </c>
      <c r="BB988" s="423" t="e">
        <f ca="1">VLOOKUP(表格1_6[[#This Row],[PO+ITEM]],工作表1!F:H,2,FALSE)</f>
        <v>#N/A</v>
      </c>
    </row>
    <row r="989" spans="1:54" ht="14.45">
      <c r="A989" s="413">
        <v>988</v>
      </c>
      <c r="B989" s="413" t="s">
        <v>3674</v>
      </c>
      <c r="C989" s="414" t="s">
        <v>17</v>
      </c>
      <c r="D989" s="414" t="s">
        <v>3648</v>
      </c>
      <c r="E989" s="414"/>
      <c r="F989" s="414"/>
      <c r="G989" s="414" t="s">
        <v>2196</v>
      </c>
      <c r="H989" s="414"/>
      <c r="I989" s="414"/>
      <c r="J989" s="414"/>
      <c r="K989" s="414"/>
      <c r="L989" s="415" t="s">
        <v>6035</v>
      </c>
      <c r="M989" s="416" t="s">
        <v>2798</v>
      </c>
      <c r="N989" s="416"/>
      <c r="O989" s="421"/>
      <c r="P989" s="416">
        <v>4590018010</v>
      </c>
      <c r="Q989" s="418">
        <v>45428</v>
      </c>
      <c r="R989" s="426">
        <v>1</v>
      </c>
      <c r="S989" s="460">
        <v>9247.07</v>
      </c>
      <c r="T989" s="414" t="s">
        <v>2156</v>
      </c>
      <c r="U989" s="414" t="s">
        <v>6036</v>
      </c>
      <c r="V989" s="414" t="s">
        <v>4031</v>
      </c>
      <c r="W989" s="417"/>
      <c r="X989" s="417"/>
      <c r="Y989" s="421" t="s">
        <v>3652</v>
      </c>
      <c r="Z989" s="421"/>
      <c r="AA989" s="416" t="s">
        <v>6032</v>
      </c>
      <c r="AB989" s="414" t="s">
        <v>6037</v>
      </c>
      <c r="AC989" s="421" t="s">
        <v>2634</v>
      </c>
      <c r="AD989" s="421"/>
      <c r="AE989" s="421"/>
      <c r="AF989" s="421" t="s">
        <v>6038</v>
      </c>
      <c r="AG989" s="420" t="s">
        <v>2634</v>
      </c>
      <c r="AH989" s="421" t="s">
        <v>3681</v>
      </c>
      <c r="AI989" s="420" t="s">
        <v>846</v>
      </c>
      <c r="AJ989" s="413">
        <f t="shared" si="61"/>
        <v>4590018010</v>
      </c>
      <c r="AK989" s="420"/>
      <c r="AL989" s="413"/>
      <c r="AM989" s="449"/>
      <c r="AN989" s="424"/>
      <c r="AO989" s="423"/>
      <c r="AP989" s="413"/>
      <c r="AR989" s="424"/>
      <c r="AS989" s="614">
        <f ca="1">表格1_6[[#This Row],[total amount]]/表格1_6[[#This Row],[PO$]]</f>
        <v>0</v>
      </c>
      <c r="AT989" s="223">
        <f ca="1">表格1_6[[#This Row],[invoice amount]]+表格1_6[[#This Row],[invoice amount2]]</f>
        <v>0</v>
      </c>
      <c r="AV989" s="423"/>
      <c r="AW989" s="423" t="e">
        <f ca="1">VLOOKUP(表格1_6[[#This Row],[TI tool ID2]],工作表1!A:A,1,FALSE)</f>
        <v>#N/A</v>
      </c>
      <c r="AX989" s="425" t="e">
        <f ca="1">VLOOKUP(表格1_6[[#This Row],[PO+ITEM]],工作表1!B:E,2,FALSE)</f>
        <v>#N/A</v>
      </c>
      <c r="AY989" s="425" t="e">
        <f ca="1">VLOOKUP(表格1_6[[#This Row],[PO+ITEM]],工作表1!B:E,3,FALSE)</f>
        <v>#N/A</v>
      </c>
      <c r="AZ989" s="423" t="e">
        <f ca="1">VLOOKUP(表格1_6[[#This Row],[PO+ITEM]],工作表1!B:E,4,FALSE)</f>
        <v>#N/A</v>
      </c>
      <c r="BA989" s="425" t="e">
        <f ca="1">INDEX(工作表1!G:G, MATCH(表格1_6[[#This Row],[invoice number]]&amp;表格1_6[[#This Row],[invoice number2]],工作表1!G:G, 0))</f>
        <v>#N/A</v>
      </c>
      <c r="BB989" s="423" t="e">
        <f ca="1">VLOOKUP(表格1_6[[#This Row],[PO+ITEM]],工作表1!F:H,2,FALSE)</f>
        <v>#N/A</v>
      </c>
    </row>
    <row r="990" spans="1:54" ht="14.45">
      <c r="A990" s="413">
        <v>989</v>
      </c>
      <c r="B990" s="413" t="s">
        <v>3674</v>
      </c>
      <c r="C990" s="414" t="s">
        <v>17</v>
      </c>
      <c r="D990" s="414" t="s">
        <v>3648</v>
      </c>
      <c r="E990" s="414"/>
      <c r="F990" s="414"/>
      <c r="G990" s="414" t="s">
        <v>2196</v>
      </c>
      <c r="H990" s="414"/>
      <c r="I990" s="414"/>
      <c r="J990" s="414"/>
      <c r="K990" s="414"/>
      <c r="L990" s="415" t="s">
        <v>6039</v>
      </c>
      <c r="M990" s="416" t="s">
        <v>2798</v>
      </c>
      <c r="N990" s="416"/>
      <c r="O990" s="421"/>
      <c r="P990" s="416">
        <v>4590018239</v>
      </c>
      <c r="Q990" s="418">
        <v>45436</v>
      </c>
      <c r="R990" s="334" t="s">
        <v>3907</v>
      </c>
      <c r="S990" s="460">
        <v>17748.93</v>
      </c>
      <c r="T990" s="414" t="s">
        <v>2156</v>
      </c>
      <c r="U990" s="414" t="s">
        <v>6040</v>
      </c>
      <c r="V990" s="414" t="s">
        <v>4031</v>
      </c>
      <c r="W990" s="417"/>
      <c r="X990" s="417"/>
      <c r="Y990" s="421" t="s">
        <v>3652</v>
      </c>
      <c r="Z990" s="421"/>
      <c r="AA990" s="416" t="s">
        <v>6041</v>
      </c>
      <c r="AB990" s="414" t="s">
        <v>6042</v>
      </c>
      <c r="AC990" s="421" t="s">
        <v>2578</v>
      </c>
      <c r="AD990" s="421"/>
      <c r="AE990" s="421"/>
      <c r="AF990" s="421" t="s">
        <v>6043</v>
      </c>
      <c r="AG990" s="420" t="s">
        <v>2578</v>
      </c>
      <c r="AH990" s="421" t="s">
        <v>3711</v>
      </c>
      <c r="AI990" s="420" t="s">
        <v>846</v>
      </c>
      <c r="AJ990" s="413">
        <f t="shared" si="61"/>
        <v>4590018239</v>
      </c>
      <c r="AK990" s="420"/>
      <c r="AL990" s="413"/>
      <c r="AM990" s="449"/>
      <c r="AN990" s="424"/>
      <c r="AO990" s="423"/>
      <c r="AP990" s="413"/>
      <c r="AR990" s="424"/>
      <c r="AS990" s="614">
        <f ca="1">表格1_6[[#This Row],[total amount]]/表格1_6[[#This Row],[PO$]]</f>
        <v>0</v>
      </c>
      <c r="AT990" s="223">
        <f ca="1">表格1_6[[#This Row],[invoice amount]]+表格1_6[[#This Row],[invoice amount2]]</f>
        <v>0</v>
      </c>
      <c r="AV990" s="423"/>
      <c r="AW990" s="423" t="e">
        <f ca="1">VLOOKUP(表格1_6[[#This Row],[TI tool ID2]],工作表1!A:A,1,FALSE)</f>
        <v>#N/A</v>
      </c>
      <c r="AX990" s="425" t="e">
        <f ca="1">VLOOKUP(表格1_6[[#This Row],[PO+ITEM]],工作表1!B:E,2,FALSE)</f>
        <v>#N/A</v>
      </c>
      <c r="AY990" s="425" t="e">
        <f ca="1">VLOOKUP(表格1_6[[#This Row],[PO+ITEM]],工作表1!B:E,3,FALSE)</f>
        <v>#N/A</v>
      </c>
      <c r="AZ990" s="423" t="e">
        <f ca="1">VLOOKUP(表格1_6[[#This Row],[PO+ITEM]],工作表1!B:E,4,FALSE)</f>
        <v>#N/A</v>
      </c>
      <c r="BA990" s="425" t="e">
        <f ca="1">INDEX(工作表1!G:G, MATCH(表格1_6[[#This Row],[invoice number]]&amp;表格1_6[[#This Row],[invoice number2]],工作表1!G:G, 0))</f>
        <v>#N/A</v>
      </c>
      <c r="BB990" s="423" t="e">
        <f ca="1">VLOOKUP(表格1_6[[#This Row],[PO+ITEM]],工作表1!F:H,2,FALSE)</f>
        <v>#N/A</v>
      </c>
    </row>
    <row r="991" spans="1:54" ht="14.45">
      <c r="A991" s="413">
        <v>990</v>
      </c>
      <c r="B991" s="413" t="s">
        <v>3674</v>
      </c>
      <c r="C991" s="414" t="s">
        <v>17</v>
      </c>
      <c r="D991" s="414" t="s">
        <v>3648</v>
      </c>
      <c r="E991" s="414"/>
      <c r="F991" s="414"/>
      <c r="G991" s="414" t="s">
        <v>2196</v>
      </c>
      <c r="H991" s="414"/>
      <c r="I991" s="414"/>
      <c r="J991" s="414"/>
      <c r="K991" s="414"/>
      <c r="L991" s="415" t="s">
        <v>6044</v>
      </c>
      <c r="M991" s="416" t="s">
        <v>2798</v>
      </c>
      <c r="N991" s="416"/>
      <c r="O991" s="421"/>
      <c r="P991" s="416">
        <v>4590018240</v>
      </c>
      <c r="Q991" s="418">
        <v>45436</v>
      </c>
      <c r="R991" s="334" t="s">
        <v>3907</v>
      </c>
      <c r="S991" s="460">
        <v>12684.62</v>
      </c>
      <c r="T991" s="414" t="s">
        <v>2156</v>
      </c>
      <c r="U991" s="414" t="s">
        <v>6045</v>
      </c>
      <c r="V991" s="414" t="s">
        <v>4031</v>
      </c>
      <c r="W991" s="417"/>
      <c r="X991" s="417"/>
      <c r="Y991" s="421" t="s">
        <v>3652</v>
      </c>
      <c r="Z991" s="421"/>
      <c r="AA991" s="416" t="s">
        <v>6046</v>
      </c>
      <c r="AB991" s="414" t="s">
        <v>6047</v>
      </c>
      <c r="AC991" s="421" t="s">
        <v>1041</v>
      </c>
      <c r="AD991" s="421"/>
      <c r="AE991" s="421"/>
      <c r="AF991" s="421" t="s">
        <v>6048</v>
      </c>
      <c r="AG991" s="420" t="s">
        <v>1041</v>
      </c>
      <c r="AH991" s="421" t="s">
        <v>4784</v>
      </c>
      <c r="AI991" s="420" t="s">
        <v>846</v>
      </c>
      <c r="AJ991" s="413">
        <f t="shared" si="61"/>
        <v>4590018240</v>
      </c>
      <c r="AK991" s="420"/>
      <c r="AL991" s="413"/>
      <c r="AM991" s="449"/>
      <c r="AN991" s="424"/>
      <c r="AO991" s="423"/>
      <c r="AP991" s="413"/>
      <c r="AR991" s="424"/>
      <c r="AS991" s="614">
        <f ca="1">表格1_6[[#This Row],[total amount]]/表格1_6[[#This Row],[PO$]]</f>
        <v>0</v>
      </c>
      <c r="AT991" s="223">
        <f ca="1">表格1_6[[#This Row],[invoice amount]]+表格1_6[[#This Row],[invoice amount2]]</f>
        <v>0</v>
      </c>
      <c r="AV991" s="423"/>
      <c r="AW991" s="423" t="e">
        <f ca="1">VLOOKUP(表格1_6[[#This Row],[TI tool ID2]],工作表1!A:A,1,FALSE)</f>
        <v>#N/A</v>
      </c>
      <c r="AX991" s="425" t="e">
        <f ca="1">VLOOKUP(表格1_6[[#This Row],[PO+ITEM]],工作表1!B:E,2,FALSE)</f>
        <v>#N/A</v>
      </c>
      <c r="AY991" s="425" t="e">
        <f ca="1">VLOOKUP(表格1_6[[#This Row],[PO+ITEM]],工作表1!B:E,3,FALSE)</f>
        <v>#N/A</v>
      </c>
      <c r="AZ991" s="423" t="e">
        <f ca="1">VLOOKUP(表格1_6[[#This Row],[PO+ITEM]],工作表1!B:E,4,FALSE)</f>
        <v>#N/A</v>
      </c>
      <c r="BA991" s="425" t="e">
        <f ca="1">INDEX(工作表1!G:G, MATCH(表格1_6[[#This Row],[invoice number]]&amp;表格1_6[[#This Row],[invoice number2]],工作表1!G:G, 0))</f>
        <v>#N/A</v>
      </c>
      <c r="BB991" s="423" t="e">
        <f ca="1">VLOOKUP(表格1_6[[#This Row],[PO+ITEM]],工作表1!F:H,2,FALSE)</f>
        <v>#N/A</v>
      </c>
    </row>
    <row r="992" spans="1:54" ht="14.45">
      <c r="A992" s="413">
        <v>991</v>
      </c>
      <c r="B992" s="413" t="s">
        <v>3674</v>
      </c>
      <c r="C992" s="414" t="s">
        <v>17</v>
      </c>
      <c r="D992" s="414" t="s">
        <v>3648</v>
      </c>
      <c r="E992" s="414"/>
      <c r="F992" s="414"/>
      <c r="G992" s="414" t="s">
        <v>2196</v>
      </c>
      <c r="H992" s="414"/>
      <c r="I992" s="414"/>
      <c r="J992" s="414"/>
      <c r="K992" s="414"/>
      <c r="L992" s="415" t="s">
        <v>6049</v>
      </c>
      <c r="M992" s="416" t="s">
        <v>2798</v>
      </c>
      <c r="N992" s="416"/>
      <c r="O992" s="421"/>
      <c r="P992" s="416">
        <v>4590018241</v>
      </c>
      <c r="Q992" s="418">
        <v>45436</v>
      </c>
      <c r="R992" s="334" t="s">
        <v>3907</v>
      </c>
      <c r="S992" s="460">
        <v>14373.36</v>
      </c>
      <c r="T992" s="414" t="s">
        <v>2156</v>
      </c>
      <c r="U992" s="414" t="s">
        <v>6050</v>
      </c>
      <c r="V992" s="414" t="s">
        <v>4031</v>
      </c>
      <c r="W992" s="417"/>
      <c r="X992" s="417"/>
      <c r="Y992" s="421" t="s">
        <v>3652</v>
      </c>
      <c r="Z992" s="421"/>
      <c r="AA992" s="416" t="s">
        <v>6051</v>
      </c>
      <c r="AB992" s="414" t="s">
        <v>6052</v>
      </c>
      <c r="AC992" s="421" t="s">
        <v>2580</v>
      </c>
      <c r="AD992" s="421"/>
      <c r="AE992" s="421"/>
      <c r="AF992" s="421" t="s">
        <v>6053</v>
      </c>
      <c r="AG992" s="420" t="s">
        <v>2580</v>
      </c>
      <c r="AH992" s="421" t="s">
        <v>3665</v>
      </c>
      <c r="AI992" s="420" t="s">
        <v>846</v>
      </c>
      <c r="AJ992" s="413">
        <f t="shared" si="61"/>
        <v>4590018241</v>
      </c>
      <c r="AK992" s="420"/>
      <c r="AL992" s="413"/>
      <c r="AM992" s="449"/>
      <c r="AN992" s="424"/>
      <c r="AO992" s="423"/>
      <c r="AP992" s="413"/>
      <c r="AR992" s="424"/>
      <c r="AS992" s="614">
        <f ca="1">表格1_6[[#This Row],[total amount]]/表格1_6[[#This Row],[PO$]]</f>
        <v>0</v>
      </c>
      <c r="AT992" s="223">
        <f ca="1">表格1_6[[#This Row],[invoice amount]]+表格1_6[[#This Row],[invoice amount2]]</f>
        <v>0</v>
      </c>
      <c r="AV992" s="423"/>
      <c r="AW992" s="423" t="e">
        <f ca="1">VLOOKUP(表格1_6[[#This Row],[TI tool ID2]],工作表1!A:A,1,FALSE)</f>
        <v>#N/A</v>
      </c>
      <c r="AX992" s="425" t="e">
        <f ca="1">VLOOKUP(表格1_6[[#This Row],[PO+ITEM]],工作表1!B:E,2,FALSE)</f>
        <v>#N/A</v>
      </c>
      <c r="AY992" s="425" t="e">
        <f ca="1">VLOOKUP(表格1_6[[#This Row],[PO+ITEM]],工作表1!B:E,3,FALSE)</f>
        <v>#N/A</v>
      </c>
      <c r="AZ992" s="423" t="e">
        <f ca="1">VLOOKUP(表格1_6[[#This Row],[PO+ITEM]],工作表1!B:E,4,FALSE)</f>
        <v>#N/A</v>
      </c>
      <c r="BA992" s="425" t="e">
        <f ca="1">INDEX(工作表1!G:G, MATCH(表格1_6[[#This Row],[invoice number]]&amp;表格1_6[[#This Row],[invoice number2]],工作表1!G:G, 0))</f>
        <v>#N/A</v>
      </c>
      <c r="BB992" s="423" t="e">
        <f ca="1">VLOOKUP(表格1_6[[#This Row],[PO+ITEM]],工作表1!F:H,2,FALSE)</f>
        <v>#N/A</v>
      </c>
    </row>
    <row r="993" spans="1:54" ht="14.45">
      <c r="A993" s="413">
        <v>992</v>
      </c>
      <c r="B993" s="413" t="s">
        <v>3674</v>
      </c>
      <c r="C993" s="414" t="s">
        <v>17</v>
      </c>
      <c r="D993" s="414" t="s">
        <v>3648</v>
      </c>
      <c r="E993" s="414"/>
      <c r="F993" s="414"/>
      <c r="G993" s="414" t="s">
        <v>2196</v>
      </c>
      <c r="H993" s="414"/>
      <c r="I993" s="414"/>
      <c r="J993" s="414"/>
      <c r="K993" s="414"/>
      <c r="L993" s="415" t="s">
        <v>6054</v>
      </c>
      <c r="M993" s="416" t="s">
        <v>4105</v>
      </c>
      <c r="N993" s="416"/>
      <c r="O993" s="421"/>
      <c r="P993" s="416">
        <v>4590018242</v>
      </c>
      <c r="Q993" s="418">
        <v>45436</v>
      </c>
      <c r="R993" s="334" t="s">
        <v>3907</v>
      </c>
      <c r="S993" s="460">
        <v>1222.02</v>
      </c>
      <c r="T993" s="414" t="s">
        <v>2156</v>
      </c>
      <c r="U993" s="414" t="s">
        <v>6055</v>
      </c>
      <c r="V993" s="414" t="s">
        <v>4031</v>
      </c>
      <c r="W993" s="417"/>
      <c r="X993" s="417"/>
      <c r="Y993" s="421" t="s">
        <v>3652</v>
      </c>
      <c r="Z993" s="421"/>
      <c r="AA993" s="416" t="s">
        <v>6056</v>
      </c>
      <c r="AB993" s="414" t="s">
        <v>6057</v>
      </c>
      <c r="AC993" s="421" t="s">
        <v>3143</v>
      </c>
      <c r="AD993" s="421"/>
      <c r="AE993" s="421"/>
      <c r="AF993" s="421" t="s">
        <v>6058</v>
      </c>
      <c r="AG993" s="420" t="s">
        <v>3143</v>
      </c>
      <c r="AH993" s="421" t="s">
        <v>4784</v>
      </c>
      <c r="AI993" s="420" t="s">
        <v>4309</v>
      </c>
      <c r="AJ993" s="413">
        <f t="shared" si="61"/>
        <v>4590018242</v>
      </c>
      <c r="AK993" s="425" t="s">
        <v>6059</v>
      </c>
      <c r="AL993" s="424">
        <v>45534</v>
      </c>
      <c r="AM993" s="221">
        <v>1222.02</v>
      </c>
      <c r="AN993" s="424" t="s">
        <v>3805</v>
      </c>
      <c r="AO993" s="423"/>
      <c r="AP993" s="413"/>
      <c r="AR993" s="424"/>
      <c r="AS993" s="614">
        <f ca="1">表格1_6[[#This Row],[total amount]]/表格1_6[[#This Row],[PO$]]</f>
        <v>1</v>
      </c>
      <c r="AT993" s="223">
        <f ca="1">表格1_6[[#This Row],[invoice amount]]+表格1_6[[#This Row],[invoice amount2]]</f>
        <v>1222.02</v>
      </c>
      <c r="AU993" s="224" t="s">
        <v>3752</v>
      </c>
      <c r="AV993" s="423"/>
      <c r="AW993" s="423" t="e">
        <f ca="1">VLOOKUP(表格1_6[[#This Row],[TI tool ID2]],工作表1!A:A,1,FALSE)</f>
        <v>#N/A</v>
      </c>
      <c r="AX993" s="425" t="e">
        <f ca="1">VLOOKUP(表格1_6[[#This Row],[PO+ITEM]],工作表1!B:E,2,FALSE)</f>
        <v>#N/A</v>
      </c>
      <c r="AY993" s="425" t="e">
        <f ca="1">VLOOKUP(表格1_6[[#This Row],[PO+ITEM]],工作表1!B:E,3,FALSE)</f>
        <v>#N/A</v>
      </c>
      <c r="AZ993" s="423" t="e">
        <f ca="1">VLOOKUP(表格1_6[[#This Row],[PO+ITEM]],工作表1!B:E,4,FALSE)</f>
        <v>#N/A</v>
      </c>
      <c r="BA993" s="425" t="e">
        <f ca="1">INDEX(工作表1!G:G, MATCH(表格1_6[[#This Row],[invoice number]]&amp;表格1_6[[#This Row],[invoice number2]],工作表1!G:G, 0))</f>
        <v>#N/A</v>
      </c>
      <c r="BB993" s="423" t="e">
        <f ca="1">VLOOKUP(表格1_6[[#This Row],[PO+ITEM]],工作表1!F:H,2,FALSE)</f>
        <v>#N/A</v>
      </c>
    </row>
    <row r="994" spans="1:54" ht="14.45">
      <c r="A994" s="413">
        <v>993</v>
      </c>
      <c r="B994" s="413" t="s">
        <v>3674</v>
      </c>
      <c r="C994" s="414" t="s">
        <v>17</v>
      </c>
      <c r="D994" s="414" t="s">
        <v>3648</v>
      </c>
      <c r="E994" s="414"/>
      <c r="F994" s="414"/>
      <c r="G994" s="414" t="s">
        <v>2196</v>
      </c>
      <c r="H994" s="414"/>
      <c r="I994" s="414"/>
      <c r="J994" s="414"/>
      <c r="K994" s="414"/>
      <c r="L994" s="415" t="s">
        <v>6060</v>
      </c>
      <c r="M994" s="416" t="s">
        <v>4105</v>
      </c>
      <c r="N994" s="416"/>
      <c r="O994" s="421"/>
      <c r="P994" s="416">
        <v>4590018243</v>
      </c>
      <c r="Q994" s="418">
        <v>45436</v>
      </c>
      <c r="R994" s="334" t="s">
        <v>3907</v>
      </c>
      <c r="S994" s="460">
        <v>1222.02</v>
      </c>
      <c r="T994" s="414" t="s">
        <v>2156</v>
      </c>
      <c r="U994" s="414" t="s">
        <v>6061</v>
      </c>
      <c r="V994" s="414" t="s">
        <v>4031</v>
      </c>
      <c r="W994" s="417"/>
      <c r="X994" s="417"/>
      <c r="Y994" s="421" t="s">
        <v>3652</v>
      </c>
      <c r="Z994" s="421"/>
      <c r="AA994" s="416" t="s">
        <v>6056</v>
      </c>
      <c r="AB994" s="414" t="s">
        <v>6062</v>
      </c>
      <c r="AC994" s="421" t="s">
        <v>3142</v>
      </c>
      <c r="AD994" s="421"/>
      <c r="AE994" s="421"/>
      <c r="AF994" s="421" t="s">
        <v>6063</v>
      </c>
      <c r="AG994" s="420" t="s">
        <v>3142</v>
      </c>
      <c r="AH994" s="421" t="s">
        <v>4784</v>
      </c>
      <c r="AI994" s="420" t="s">
        <v>4309</v>
      </c>
      <c r="AJ994" s="413">
        <f t="shared" si="61"/>
        <v>4590018243</v>
      </c>
      <c r="AK994" s="425" t="s">
        <v>6064</v>
      </c>
      <c r="AL994" s="424">
        <v>45534</v>
      </c>
      <c r="AM994" s="221">
        <v>1222.02</v>
      </c>
      <c r="AN994" s="424" t="s">
        <v>3805</v>
      </c>
      <c r="AO994" s="423"/>
      <c r="AP994" s="413"/>
      <c r="AR994" s="424"/>
      <c r="AS994" s="614">
        <f ca="1">表格1_6[[#This Row],[total amount]]/表格1_6[[#This Row],[PO$]]</f>
        <v>1</v>
      </c>
      <c r="AT994" s="223">
        <f ca="1">表格1_6[[#This Row],[invoice amount]]+表格1_6[[#This Row],[invoice amount2]]</f>
        <v>1222.02</v>
      </c>
      <c r="AU994" s="224" t="s">
        <v>3752</v>
      </c>
      <c r="AV994" s="423"/>
      <c r="AW994" s="423" t="e">
        <f ca="1">VLOOKUP(表格1_6[[#This Row],[TI tool ID2]],工作表1!A:A,1,FALSE)</f>
        <v>#N/A</v>
      </c>
      <c r="AX994" s="425" t="e">
        <f ca="1">VLOOKUP(表格1_6[[#This Row],[PO+ITEM]],工作表1!B:E,2,FALSE)</f>
        <v>#N/A</v>
      </c>
      <c r="AY994" s="425" t="e">
        <f ca="1">VLOOKUP(表格1_6[[#This Row],[PO+ITEM]],工作表1!B:E,3,FALSE)</f>
        <v>#N/A</v>
      </c>
      <c r="AZ994" s="423" t="e">
        <f ca="1">VLOOKUP(表格1_6[[#This Row],[PO+ITEM]],工作表1!B:E,4,FALSE)</f>
        <v>#N/A</v>
      </c>
      <c r="BA994" s="425" t="e">
        <f ca="1">INDEX(工作表1!G:G, MATCH(表格1_6[[#This Row],[invoice number]]&amp;表格1_6[[#This Row],[invoice number2]],工作表1!G:G, 0))</f>
        <v>#N/A</v>
      </c>
      <c r="BB994" s="423" t="e">
        <f ca="1">VLOOKUP(表格1_6[[#This Row],[PO+ITEM]],工作表1!F:H,2,FALSE)</f>
        <v>#N/A</v>
      </c>
    </row>
    <row r="995" spans="1:54" ht="14.45">
      <c r="A995" s="413">
        <v>994</v>
      </c>
      <c r="B995" s="413" t="s">
        <v>3674</v>
      </c>
      <c r="C995" s="414" t="s">
        <v>17</v>
      </c>
      <c r="D995" s="414" t="s">
        <v>3648</v>
      </c>
      <c r="E995" s="414"/>
      <c r="F995" s="414"/>
      <c r="G995" s="414" t="s">
        <v>2196</v>
      </c>
      <c r="H995" s="414"/>
      <c r="I995" s="414"/>
      <c r="J995" s="414"/>
      <c r="K995" s="414"/>
      <c r="L995" s="415" t="s">
        <v>6065</v>
      </c>
      <c r="M995" s="416" t="s">
        <v>4129</v>
      </c>
      <c r="N995" s="416"/>
      <c r="O995" s="421"/>
      <c r="P995" s="416">
        <v>4590018245</v>
      </c>
      <c r="Q995" s="418">
        <v>45436</v>
      </c>
      <c r="R995" s="334" t="s">
        <v>3907</v>
      </c>
      <c r="S995" s="460">
        <v>4743.1000000000004</v>
      </c>
      <c r="T995" s="414" t="s">
        <v>2156</v>
      </c>
      <c r="U995" s="414" t="s">
        <v>6066</v>
      </c>
      <c r="V995" s="414" t="s">
        <v>4031</v>
      </c>
      <c r="W995" s="417"/>
      <c r="X995" s="417"/>
      <c r="Y995" s="421" t="s">
        <v>3652</v>
      </c>
      <c r="Z995" s="421"/>
      <c r="AA995" s="416" t="s">
        <v>6041</v>
      </c>
      <c r="AB995" s="414" t="s">
        <v>6067</v>
      </c>
      <c r="AC995" s="421" t="s">
        <v>4649</v>
      </c>
      <c r="AD995" s="421"/>
      <c r="AE995" s="421"/>
      <c r="AF995" s="421" t="s">
        <v>6068</v>
      </c>
      <c r="AG995" s="420" t="s">
        <v>4649</v>
      </c>
      <c r="AH995" s="421" t="s">
        <v>3711</v>
      </c>
      <c r="AI995" s="420" t="s">
        <v>3719</v>
      </c>
      <c r="AJ995" s="413">
        <f t="shared" si="61"/>
        <v>4590018245</v>
      </c>
      <c r="AK995" s="425" t="s">
        <v>6069</v>
      </c>
      <c r="AL995" s="424">
        <v>45534</v>
      </c>
      <c r="AM995" s="221">
        <v>4743.1000000000004</v>
      </c>
      <c r="AN995" s="424" t="s">
        <v>3805</v>
      </c>
      <c r="AO995" s="423"/>
      <c r="AP995" s="413"/>
      <c r="AR995" s="424"/>
      <c r="AS995" s="614">
        <f ca="1">表格1_6[[#This Row],[total amount]]/表格1_6[[#This Row],[PO$]]</f>
        <v>1</v>
      </c>
      <c r="AT995" s="223">
        <f ca="1">表格1_6[[#This Row],[invoice amount]]+表格1_6[[#This Row],[invoice amount2]]</f>
        <v>4743.1000000000004</v>
      </c>
      <c r="AU995" s="224" t="s">
        <v>3752</v>
      </c>
      <c r="AV995" s="423"/>
      <c r="AW995" s="423" t="e">
        <f ca="1">VLOOKUP(表格1_6[[#This Row],[TI tool ID2]],工作表1!A:A,1,FALSE)</f>
        <v>#N/A</v>
      </c>
      <c r="AX995" s="425" t="e">
        <f ca="1">VLOOKUP(表格1_6[[#This Row],[PO+ITEM]],工作表1!B:E,2,FALSE)</f>
        <v>#N/A</v>
      </c>
      <c r="AY995" s="425" t="e">
        <f ca="1">VLOOKUP(表格1_6[[#This Row],[PO+ITEM]],工作表1!B:E,3,FALSE)</f>
        <v>#N/A</v>
      </c>
      <c r="AZ995" s="423" t="e">
        <f ca="1">VLOOKUP(表格1_6[[#This Row],[PO+ITEM]],工作表1!B:E,4,FALSE)</f>
        <v>#N/A</v>
      </c>
      <c r="BA995" s="425" t="e">
        <f ca="1">INDEX(工作表1!G:G, MATCH(表格1_6[[#This Row],[invoice number]]&amp;表格1_6[[#This Row],[invoice number2]],工作表1!G:G, 0))</f>
        <v>#N/A</v>
      </c>
      <c r="BB995" s="423" t="e">
        <f ca="1">VLOOKUP(表格1_6[[#This Row],[PO+ITEM]],工作表1!F:H,2,FALSE)</f>
        <v>#N/A</v>
      </c>
    </row>
    <row r="996" spans="1:54" ht="14.45">
      <c r="A996" s="413">
        <v>995</v>
      </c>
      <c r="B996" s="413" t="s">
        <v>3674</v>
      </c>
      <c r="C996" s="414" t="s">
        <v>17</v>
      </c>
      <c r="D996" s="414" t="s">
        <v>3648</v>
      </c>
      <c r="E996" s="414"/>
      <c r="F996" s="414"/>
      <c r="G996" s="414" t="s">
        <v>2196</v>
      </c>
      <c r="H996" s="414"/>
      <c r="I996" s="414"/>
      <c r="J996" s="414"/>
      <c r="K996" s="414"/>
      <c r="L996" s="415" t="s">
        <v>6070</v>
      </c>
      <c r="M996" s="416" t="s">
        <v>2798</v>
      </c>
      <c r="N996" s="416"/>
      <c r="O996" s="421"/>
      <c r="P996" s="416">
        <v>4590018251</v>
      </c>
      <c r="Q996" s="418">
        <v>45436</v>
      </c>
      <c r="R996" s="334" t="s">
        <v>3907</v>
      </c>
      <c r="S996" s="460">
        <v>8350.98</v>
      </c>
      <c r="T996" s="414" t="s">
        <v>2156</v>
      </c>
      <c r="U996" s="414" t="s">
        <v>6071</v>
      </c>
      <c r="V996" s="414" t="s">
        <v>4031</v>
      </c>
      <c r="W996" s="417"/>
      <c r="X996" s="417"/>
      <c r="Y996" s="421" t="s">
        <v>3652</v>
      </c>
      <c r="Z996" s="421"/>
      <c r="AA996" s="416" t="s">
        <v>6041</v>
      </c>
      <c r="AB996" s="414" t="s">
        <v>6072</v>
      </c>
      <c r="AC996" s="421" t="s">
        <v>2583</v>
      </c>
      <c r="AD996" s="421"/>
      <c r="AE996" s="421"/>
      <c r="AF996" s="421" t="s">
        <v>6073</v>
      </c>
      <c r="AG996" s="420" t="s">
        <v>2583</v>
      </c>
      <c r="AH996" s="421" t="s">
        <v>3711</v>
      </c>
      <c r="AI996" s="420" t="s">
        <v>846</v>
      </c>
      <c r="AJ996" s="413">
        <f t="shared" ref="AJ996:AJ1027" si="62">P996</f>
        <v>4590018251</v>
      </c>
      <c r="AK996" s="420"/>
      <c r="AL996" s="413"/>
      <c r="AM996" s="449"/>
      <c r="AN996" s="424"/>
      <c r="AO996" s="423"/>
      <c r="AP996" s="413"/>
      <c r="AR996" s="424"/>
      <c r="AS996" s="614">
        <f ca="1">表格1_6[[#This Row],[total amount]]/表格1_6[[#This Row],[PO$]]</f>
        <v>0</v>
      </c>
      <c r="AT996" s="223">
        <f ca="1">表格1_6[[#This Row],[invoice amount]]+表格1_6[[#This Row],[invoice amount2]]</f>
        <v>0</v>
      </c>
      <c r="AV996" s="423"/>
      <c r="AW996" s="423" t="e">
        <f ca="1">VLOOKUP(表格1_6[[#This Row],[TI tool ID2]],工作表1!A:A,1,FALSE)</f>
        <v>#N/A</v>
      </c>
      <c r="AX996" s="425" t="e">
        <f ca="1">VLOOKUP(表格1_6[[#This Row],[PO+ITEM]],工作表1!B:E,2,FALSE)</f>
        <v>#N/A</v>
      </c>
      <c r="AY996" s="425" t="e">
        <f ca="1">VLOOKUP(表格1_6[[#This Row],[PO+ITEM]],工作表1!B:E,3,FALSE)</f>
        <v>#N/A</v>
      </c>
      <c r="AZ996" s="423" t="e">
        <f ca="1">VLOOKUP(表格1_6[[#This Row],[PO+ITEM]],工作表1!B:E,4,FALSE)</f>
        <v>#N/A</v>
      </c>
      <c r="BA996" s="425" t="e">
        <f ca="1">INDEX(工作表1!G:G, MATCH(表格1_6[[#This Row],[invoice number]]&amp;表格1_6[[#This Row],[invoice number2]],工作表1!G:G, 0))</f>
        <v>#N/A</v>
      </c>
      <c r="BB996" s="423" t="e">
        <f ca="1">VLOOKUP(表格1_6[[#This Row],[PO+ITEM]],工作表1!F:H,2,FALSE)</f>
        <v>#N/A</v>
      </c>
    </row>
    <row r="997" spans="1:54">
      <c r="A997" s="413">
        <v>996</v>
      </c>
      <c r="B997" s="413" t="s">
        <v>3674</v>
      </c>
      <c r="C997" s="414" t="s">
        <v>17</v>
      </c>
      <c r="D997" s="414" t="s">
        <v>3648</v>
      </c>
      <c r="E997" s="414"/>
      <c r="F997" s="414"/>
      <c r="G997" s="414" t="s">
        <v>2196</v>
      </c>
      <c r="H997" s="414"/>
      <c r="I997" s="414"/>
      <c r="J997" s="414"/>
      <c r="K997" s="414"/>
      <c r="L997" s="416" t="s">
        <v>6074</v>
      </c>
      <c r="M997" s="416" t="s">
        <v>4105</v>
      </c>
      <c r="N997" s="416"/>
      <c r="O997" s="421"/>
      <c r="P997" s="416">
        <v>4590018441</v>
      </c>
      <c r="Q997" s="418">
        <v>45444</v>
      </c>
      <c r="R997" s="426">
        <v>1</v>
      </c>
      <c r="S997" s="461">
        <v>6807.01</v>
      </c>
      <c r="T997" s="420" t="s">
        <v>2156</v>
      </c>
      <c r="U997" s="414" t="s">
        <v>6075</v>
      </c>
      <c r="V997" s="414" t="s">
        <v>4031</v>
      </c>
      <c r="W997" s="417" t="s">
        <v>6076</v>
      </c>
      <c r="X997" s="417"/>
      <c r="Y997" s="421" t="s">
        <v>3652</v>
      </c>
      <c r="Z997" s="421"/>
      <c r="AA997" s="416" t="s">
        <v>6077</v>
      </c>
      <c r="AB997" s="414" t="s">
        <v>6078</v>
      </c>
      <c r="AC997" s="421" t="s">
        <v>3568</v>
      </c>
      <c r="AD997" s="421"/>
      <c r="AE997" s="421"/>
      <c r="AF997" s="421" t="s">
        <v>6079</v>
      </c>
      <c r="AG997" s="420" t="s">
        <v>3568</v>
      </c>
      <c r="AH997" s="421" t="s">
        <v>3911</v>
      </c>
      <c r="AI997" s="420" t="s">
        <v>56</v>
      </c>
      <c r="AJ997" s="413">
        <f t="shared" si="62"/>
        <v>4590018441</v>
      </c>
      <c r="AK997" s="420"/>
      <c r="AL997" s="413"/>
      <c r="AM997" s="449"/>
      <c r="AN997" s="424"/>
      <c r="AO997" s="423"/>
      <c r="AP997" s="413"/>
      <c r="AR997" s="424"/>
      <c r="AS997" s="614">
        <f ca="1">表格1_6[[#This Row],[total amount]]/表格1_6[[#This Row],[PO$]]</f>
        <v>0</v>
      </c>
      <c r="AT997" s="318">
        <f ca="1">表格1_6[[#This Row],[invoice amount]]+表格1_6[[#This Row],[invoice amount2]]</f>
        <v>0</v>
      </c>
      <c r="AV997" s="423"/>
      <c r="AW997" s="423" t="str">
        <f ca="1">VLOOKUP(表格1_6[[#This Row],[TI tool ID2]],工作表1!A:A,1,FALSE)</f>
        <v>KSHMU1</v>
      </c>
      <c r="AX997" s="425" t="e">
        <f ca="1">VLOOKUP(表格1_6[[#This Row],[PO+ITEM]],工作表1!B:E,2,FALSE)</f>
        <v>#N/A</v>
      </c>
      <c r="AY997" s="425" t="e">
        <f ca="1">VLOOKUP(表格1_6[[#This Row],[PO+ITEM]],工作表1!B:E,3,FALSE)</f>
        <v>#N/A</v>
      </c>
      <c r="AZ997" s="423" t="e">
        <f ca="1">VLOOKUP(表格1_6[[#This Row],[PO+ITEM]],工作表1!B:E,4,FALSE)</f>
        <v>#N/A</v>
      </c>
      <c r="BA997" s="425" t="e">
        <f ca="1">INDEX(工作表1!G:G, MATCH(表格1_6[[#This Row],[invoice number]]&amp;表格1_6[[#This Row],[invoice number2]],工作表1!G:G, 0))</f>
        <v>#N/A</v>
      </c>
      <c r="BB997" s="423" t="e">
        <f ca="1">VLOOKUP(表格1_6[[#This Row],[PO+ITEM]],工作表1!F:H,2,FALSE)</f>
        <v>#N/A</v>
      </c>
    </row>
    <row r="998" spans="1:54" ht="14.45">
      <c r="A998" s="413">
        <v>997</v>
      </c>
      <c r="B998" s="413" t="s">
        <v>3674</v>
      </c>
      <c r="C998" s="414" t="s">
        <v>17</v>
      </c>
      <c r="D998" s="414" t="s">
        <v>3648</v>
      </c>
      <c r="E998" s="414"/>
      <c r="F998" s="414"/>
      <c r="G998" s="414" t="s">
        <v>2196</v>
      </c>
      <c r="H998" s="414"/>
      <c r="I998" s="414"/>
      <c r="J998" s="414"/>
      <c r="K998" s="414"/>
      <c r="L998" s="416" t="s">
        <v>6080</v>
      </c>
      <c r="M998" s="416" t="s">
        <v>4129</v>
      </c>
      <c r="N998" s="416"/>
      <c r="O998" s="421"/>
      <c r="P998" s="416">
        <v>4590018491</v>
      </c>
      <c r="Q998" s="418">
        <v>45447</v>
      </c>
      <c r="R998" s="426">
        <v>1</v>
      </c>
      <c r="S998" s="461">
        <v>6337.67</v>
      </c>
      <c r="T998" s="420" t="s">
        <v>2156</v>
      </c>
      <c r="U998" s="414" t="s">
        <v>6081</v>
      </c>
      <c r="V998" s="414" t="s">
        <v>4031</v>
      </c>
      <c r="W998" s="417" t="s">
        <v>6076</v>
      </c>
      <c r="X998" s="417"/>
      <c r="Y998" s="421" t="s">
        <v>3652</v>
      </c>
      <c r="Z998" s="421"/>
      <c r="AA998" s="416" t="s">
        <v>6082</v>
      </c>
      <c r="AB998" s="414" t="s">
        <v>6083</v>
      </c>
      <c r="AC998" s="421" t="s">
        <v>4652</v>
      </c>
      <c r="AD998" s="421"/>
      <c r="AE998" s="421"/>
      <c r="AF998" s="421" t="s">
        <v>6084</v>
      </c>
      <c r="AG998" s="420" t="s">
        <v>4652</v>
      </c>
      <c r="AH998" s="421" t="s">
        <v>3711</v>
      </c>
      <c r="AI998" s="420" t="s">
        <v>3719</v>
      </c>
      <c r="AJ998" s="413">
        <f t="shared" si="62"/>
        <v>4590018491</v>
      </c>
      <c r="AK998" s="425" t="s">
        <v>6085</v>
      </c>
      <c r="AL998" s="424">
        <v>45534</v>
      </c>
      <c r="AM998" s="221">
        <v>6337.67</v>
      </c>
      <c r="AN998" s="424" t="s">
        <v>3805</v>
      </c>
      <c r="AO998" s="423"/>
      <c r="AP998" s="413"/>
      <c r="AR998" s="424"/>
      <c r="AS998" s="614">
        <f ca="1">表格1_6[[#This Row],[total amount]]/表格1_6[[#This Row],[PO$]]</f>
        <v>1</v>
      </c>
      <c r="AT998" s="318">
        <f ca="1">表格1_6[[#This Row],[invoice amount]]+表格1_6[[#This Row],[invoice amount2]]</f>
        <v>6337.67</v>
      </c>
      <c r="AU998" s="224" t="s">
        <v>3752</v>
      </c>
      <c r="AV998" s="423"/>
      <c r="AW998" s="423" t="e">
        <f ca="1">VLOOKUP(表格1_6[[#This Row],[TI tool ID2]],工作表1!A:A,1,FALSE)</f>
        <v>#N/A</v>
      </c>
      <c r="AX998" s="425" t="e">
        <f ca="1">VLOOKUP(表格1_6[[#This Row],[PO+ITEM]],工作表1!B:E,2,FALSE)</f>
        <v>#N/A</v>
      </c>
      <c r="AY998" s="425" t="e">
        <f ca="1">VLOOKUP(表格1_6[[#This Row],[PO+ITEM]],工作表1!B:E,3,FALSE)</f>
        <v>#N/A</v>
      </c>
      <c r="AZ998" s="423" t="e">
        <f ca="1">VLOOKUP(表格1_6[[#This Row],[PO+ITEM]],工作表1!B:E,4,FALSE)</f>
        <v>#N/A</v>
      </c>
      <c r="BA998" s="425" t="e">
        <f ca="1">INDEX(工作表1!G:G, MATCH(表格1_6[[#This Row],[invoice number]]&amp;表格1_6[[#This Row],[invoice number2]],工作表1!G:G, 0))</f>
        <v>#N/A</v>
      </c>
      <c r="BB998" s="423" t="e">
        <f ca="1">VLOOKUP(表格1_6[[#This Row],[PO+ITEM]],工作表1!F:H,2,FALSE)</f>
        <v>#N/A</v>
      </c>
    </row>
    <row r="999" spans="1:54" ht="14.45">
      <c r="A999" s="413">
        <v>998</v>
      </c>
      <c r="B999" s="413" t="s">
        <v>3674</v>
      </c>
      <c r="C999" s="414" t="s">
        <v>17</v>
      </c>
      <c r="D999" s="414" t="s">
        <v>3648</v>
      </c>
      <c r="E999" s="414"/>
      <c r="F999" s="414"/>
      <c r="G999" s="414" t="s">
        <v>2196</v>
      </c>
      <c r="H999" s="414"/>
      <c r="I999" s="414"/>
      <c r="J999" s="414"/>
      <c r="K999" s="414"/>
      <c r="L999" s="416" t="s">
        <v>6086</v>
      </c>
      <c r="M999" s="416" t="s">
        <v>4129</v>
      </c>
      <c r="N999" s="416"/>
      <c r="O999" s="421"/>
      <c r="P999" s="416">
        <v>4590018584</v>
      </c>
      <c r="Q999" s="418">
        <v>45449</v>
      </c>
      <c r="R999" s="426">
        <v>1</v>
      </c>
      <c r="S999" s="461">
        <v>3935.05</v>
      </c>
      <c r="T999" s="420" t="s">
        <v>2156</v>
      </c>
      <c r="U999" s="414" t="s">
        <v>6087</v>
      </c>
      <c r="V999" s="414" t="s">
        <v>4031</v>
      </c>
      <c r="W999" s="417" t="s">
        <v>6076</v>
      </c>
      <c r="X999" s="417"/>
      <c r="Y999" s="421" t="s">
        <v>3652</v>
      </c>
      <c r="Z999" s="421"/>
      <c r="AA999" s="416" t="s">
        <v>6082</v>
      </c>
      <c r="AB999" s="414" t="s">
        <v>6088</v>
      </c>
      <c r="AC999" s="421" t="s">
        <v>4641</v>
      </c>
      <c r="AD999" s="421"/>
      <c r="AE999" s="421"/>
      <c r="AF999" s="421" t="s">
        <v>6089</v>
      </c>
      <c r="AG999" s="420" t="s">
        <v>4641</v>
      </c>
      <c r="AH999" s="421" t="s">
        <v>3828</v>
      </c>
      <c r="AI999" s="420" t="s">
        <v>3719</v>
      </c>
      <c r="AJ999" s="413">
        <f t="shared" si="62"/>
        <v>4590018584</v>
      </c>
      <c r="AK999" s="420" t="s">
        <v>6090</v>
      </c>
      <c r="AL999" s="424">
        <v>45506</v>
      </c>
      <c r="AM999" s="456">
        <v>3935.05</v>
      </c>
      <c r="AN999" s="424" t="s">
        <v>3805</v>
      </c>
      <c r="AO999" s="423"/>
      <c r="AP999" s="424"/>
      <c r="AR999" s="424"/>
      <c r="AS999" s="614">
        <f ca="1">表格1_6[[#This Row],[total amount]]/表格1_6[[#This Row],[PO$]]</f>
        <v>1</v>
      </c>
      <c r="AT999" s="318">
        <f ca="1">表格1_6[[#This Row],[invoice amount]]+表格1_6[[#This Row],[invoice amount2]]</f>
        <v>3935.05</v>
      </c>
      <c r="AU999" s="224" t="s">
        <v>3752</v>
      </c>
      <c r="AV999" s="423"/>
      <c r="AW999" s="423" t="e">
        <f ca="1">VLOOKUP(表格1_6[[#This Row],[TI tool ID2]],工作表1!A:A,1,FALSE)</f>
        <v>#N/A</v>
      </c>
      <c r="AX999" s="425" t="e">
        <f ca="1">VLOOKUP(表格1_6[[#This Row],[PO+ITEM]],工作表1!B:E,2,FALSE)</f>
        <v>#N/A</v>
      </c>
      <c r="AY999" s="425" t="e">
        <f ca="1">VLOOKUP(表格1_6[[#This Row],[PO+ITEM]],工作表1!B:E,3,FALSE)</f>
        <v>#N/A</v>
      </c>
      <c r="AZ999" s="423" t="e">
        <f ca="1">VLOOKUP(表格1_6[[#This Row],[PO+ITEM]],工作表1!B:E,4,FALSE)</f>
        <v>#N/A</v>
      </c>
      <c r="BA999" s="425" t="e">
        <f ca="1">INDEX(工作表1!G:G, MATCH(表格1_6[[#This Row],[invoice number]]&amp;表格1_6[[#This Row],[invoice number2]],工作表1!G:G, 0))</f>
        <v>#N/A</v>
      </c>
      <c r="BB999" s="423" t="e">
        <f ca="1">VLOOKUP(表格1_6[[#This Row],[PO+ITEM]],工作表1!F:H,2,FALSE)</f>
        <v>#N/A</v>
      </c>
    </row>
    <row r="1000" spans="1:54" ht="14.45">
      <c r="A1000" s="413">
        <v>999</v>
      </c>
      <c r="B1000" s="413" t="s">
        <v>3674</v>
      </c>
      <c r="C1000" s="414" t="s">
        <v>17</v>
      </c>
      <c r="D1000" s="414" t="s">
        <v>3648</v>
      </c>
      <c r="E1000" s="414"/>
      <c r="F1000" s="414"/>
      <c r="G1000" s="414" t="s">
        <v>2196</v>
      </c>
      <c r="H1000" s="414"/>
      <c r="I1000" s="414"/>
      <c r="J1000" s="414"/>
      <c r="K1000" s="414"/>
      <c r="L1000" s="416" t="s">
        <v>6091</v>
      </c>
      <c r="M1000" s="416" t="s">
        <v>4129</v>
      </c>
      <c r="N1000" s="416"/>
      <c r="O1000" s="421"/>
      <c r="P1000" s="416">
        <v>4590018586</v>
      </c>
      <c r="Q1000" s="418">
        <v>45449</v>
      </c>
      <c r="R1000" s="426">
        <v>1</v>
      </c>
      <c r="S1000" s="461">
        <v>3935.05</v>
      </c>
      <c r="T1000" s="420" t="s">
        <v>2156</v>
      </c>
      <c r="U1000" s="414" t="s">
        <v>6092</v>
      </c>
      <c r="V1000" s="414" t="s">
        <v>4031</v>
      </c>
      <c r="W1000" s="417" t="s">
        <v>6076</v>
      </c>
      <c r="X1000" s="417"/>
      <c r="Y1000" s="421" t="s">
        <v>3652</v>
      </c>
      <c r="Z1000" s="421"/>
      <c r="AA1000" s="416" t="s">
        <v>6082</v>
      </c>
      <c r="AB1000" s="414" t="s">
        <v>6093</v>
      </c>
      <c r="AC1000" s="421" t="s">
        <v>4638</v>
      </c>
      <c r="AD1000" s="421"/>
      <c r="AE1000" s="421"/>
      <c r="AF1000" s="421" t="s">
        <v>6094</v>
      </c>
      <c r="AG1000" s="420" t="s">
        <v>4638</v>
      </c>
      <c r="AH1000" s="421" t="s">
        <v>3828</v>
      </c>
      <c r="AI1000" s="420" t="s">
        <v>3719</v>
      </c>
      <c r="AJ1000" s="413">
        <f t="shared" si="62"/>
        <v>4590018586</v>
      </c>
      <c r="AK1000" s="420" t="s">
        <v>6095</v>
      </c>
      <c r="AL1000" s="424">
        <v>45506</v>
      </c>
      <c r="AM1000" s="456">
        <v>3935.05</v>
      </c>
      <c r="AN1000" s="424" t="s">
        <v>3805</v>
      </c>
      <c r="AO1000" s="423"/>
      <c r="AP1000" s="424"/>
      <c r="AR1000" s="424"/>
      <c r="AS1000" s="614">
        <f ca="1">表格1_6[[#This Row],[total amount]]/表格1_6[[#This Row],[PO$]]</f>
        <v>1</v>
      </c>
      <c r="AT1000" s="318">
        <f ca="1">表格1_6[[#This Row],[invoice amount]]+表格1_6[[#This Row],[invoice amount2]]</f>
        <v>3935.05</v>
      </c>
      <c r="AU1000" s="224" t="s">
        <v>3752</v>
      </c>
      <c r="AV1000" s="423"/>
      <c r="AW1000" s="423" t="e">
        <f ca="1">VLOOKUP(表格1_6[[#This Row],[TI tool ID2]],工作表1!A:A,1,FALSE)</f>
        <v>#N/A</v>
      </c>
      <c r="AX1000" s="425" t="e">
        <f ca="1">VLOOKUP(表格1_6[[#This Row],[PO+ITEM]],工作表1!B:E,2,FALSE)</f>
        <v>#N/A</v>
      </c>
      <c r="AY1000" s="425" t="e">
        <f ca="1">VLOOKUP(表格1_6[[#This Row],[PO+ITEM]],工作表1!B:E,3,FALSE)</f>
        <v>#N/A</v>
      </c>
      <c r="AZ1000" s="423" t="e">
        <f ca="1">VLOOKUP(表格1_6[[#This Row],[PO+ITEM]],工作表1!B:E,4,FALSE)</f>
        <v>#N/A</v>
      </c>
      <c r="BA1000" s="425" t="e">
        <f ca="1">INDEX(工作表1!G:G, MATCH(表格1_6[[#This Row],[invoice number]]&amp;表格1_6[[#This Row],[invoice number2]],工作表1!G:G, 0))</f>
        <v>#N/A</v>
      </c>
      <c r="BB1000" s="423" t="e">
        <f ca="1">VLOOKUP(表格1_6[[#This Row],[PO+ITEM]],工作表1!F:H,2,FALSE)</f>
        <v>#N/A</v>
      </c>
    </row>
    <row r="1001" spans="1:54" ht="14.45">
      <c r="A1001" s="413">
        <v>1000</v>
      </c>
      <c r="B1001" s="413" t="s">
        <v>3674</v>
      </c>
      <c r="C1001" s="414" t="s">
        <v>17</v>
      </c>
      <c r="D1001" s="414" t="s">
        <v>3648</v>
      </c>
      <c r="E1001" s="414"/>
      <c r="F1001" s="414"/>
      <c r="G1001" s="414" t="s">
        <v>2196</v>
      </c>
      <c r="H1001" s="414"/>
      <c r="I1001" s="414"/>
      <c r="J1001" s="414"/>
      <c r="K1001" s="414"/>
      <c r="L1001" s="416" t="s">
        <v>6096</v>
      </c>
      <c r="M1001" s="416" t="s">
        <v>4129</v>
      </c>
      <c r="N1001" s="416"/>
      <c r="O1001" s="421"/>
      <c r="P1001" s="416">
        <v>4590018587</v>
      </c>
      <c r="Q1001" s="418">
        <v>45449</v>
      </c>
      <c r="R1001" s="426">
        <v>1</v>
      </c>
      <c r="S1001" s="461">
        <v>7870.09</v>
      </c>
      <c r="T1001" s="420" t="s">
        <v>2156</v>
      </c>
      <c r="U1001" s="414" t="s">
        <v>6097</v>
      </c>
      <c r="V1001" s="414" t="s">
        <v>4031</v>
      </c>
      <c r="W1001" s="417" t="s">
        <v>6076</v>
      </c>
      <c r="X1001" s="417"/>
      <c r="Y1001" s="421" t="s">
        <v>3652</v>
      </c>
      <c r="Z1001" s="421"/>
      <c r="AA1001" s="416" t="s">
        <v>6082</v>
      </c>
      <c r="AB1001" s="414" t="s">
        <v>6098</v>
      </c>
      <c r="AC1001" s="421" t="s">
        <v>3827</v>
      </c>
      <c r="AD1001" s="421"/>
      <c r="AE1001" s="421"/>
      <c r="AF1001" s="421" t="s">
        <v>6099</v>
      </c>
      <c r="AG1001" s="420" t="s">
        <v>3827</v>
      </c>
      <c r="AH1001" s="421" t="s">
        <v>3828</v>
      </c>
      <c r="AI1001" s="420" t="s">
        <v>3719</v>
      </c>
      <c r="AJ1001" s="413">
        <f t="shared" si="62"/>
        <v>4590018587</v>
      </c>
      <c r="AK1001" s="425" t="s">
        <v>6100</v>
      </c>
      <c r="AL1001" s="424">
        <v>45534</v>
      </c>
      <c r="AM1001" s="221">
        <v>7870.09</v>
      </c>
      <c r="AN1001" s="424" t="s">
        <v>3805</v>
      </c>
      <c r="AO1001" s="423"/>
      <c r="AP1001" s="413"/>
      <c r="AR1001" s="424"/>
      <c r="AS1001" s="614">
        <f ca="1">表格1_6[[#This Row],[total amount]]/表格1_6[[#This Row],[PO$]]</f>
        <v>1</v>
      </c>
      <c r="AT1001" s="318">
        <f ca="1">表格1_6[[#This Row],[invoice amount]]+表格1_6[[#This Row],[invoice amount2]]</f>
        <v>7870.09</v>
      </c>
      <c r="AU1001" s="224" t="s">
        <v>3752</v>
      </c>
      <c r="AV1001" s="423"/>
      <c r="AW1001" s="423" t="e">
        <f ca="1">VLOOKUP(表格1_6[[#This Row],[TI tool ID2]],工作表1!A:A,1,FALSE)</f>
        <v>#N/A</v>
      </c>
      <c r="AX1001" s="425" t="e">
        <f ca="1">VLOOKUP(表格1_6[[#This Row],[PO+ITEM]],工作表1!B:E,2,FALSE)</f>
        <v>#N/A</v>
      </c>
      <c r="AY1001" s="425" t="e">
        <f ca="1">VLOOKUP(表格1_6[[#This Row],[PO+ITEM]],工作表1!B:E,3,FALSE)</f>
        <v>#N/A</v>
      </c>
      <c r="AZ1001" s="423" t="e">
        <f ca="1">VLOOKUP(表格1_6[[#This Row],[PO+ITEM]],工作表1!B:E,4,FALSE)</f>
        <v>#N/A</v>
      </c>
      <c r="BA1001" s="425" t="e">
        <f ca="1">INDEX(工作表1!G:G, MATCH(表格1_6[[#This Row],[invoice number]]&amp;表格1_6[[#This Row],[invoice number2]],工作表1!G:G, 0))</f>
        <v>#N/A</v>
      </c>
      <c r="BB1001" s="423" t="e">
        <f ca="1">VLOOKUP(表格1_6[[#This Row],[PO+ITEM]],工作表1!F:H,2,FALSE)</f>
        <v>#N/A</v>
      </c>
    </row>
    <row r="1002" spans="1:54">
      <c r="A1002" s="413">
        <v>1001</v>
      </c>
      <c r="B1002" s="413" t="s">
        <v>3674</v>
      </c>
      <c r="C1002" s="414" t="s">
        <v>17</v>
      </c>
      <c r="D1002" s="414" t="s">
        <v>3648</v>
      </c>
      <c r="E1002" s="414"/>
      <c r="F1002" s="414"/>
      <c r="G1002" s="414" t="s">
        <v>2196</v>
      </c>
      <c r="H1002" s="414"/>
      <c r="I1002" s="414"/>
      <c r="J1002" s="414"/>
      <c r="K1002" s="414"/>
      <c r="L1002" s="416" t="s">
        <v>6101</v>
      </c>
      <c r="M1002" s="416" t="s">
        <v>3559</v>
      </c>
      <c r="N1002" s="416"/>
      <c r="O1002" s="421"/>
      <c r="P1002" s="416">
        <v>4590018614</v>
      </c>
      <c r="Q1002" s="418">
        <v>45449</v>
      </c>
      <c r="R1002" s="426">
        <v>1</v>
      </c>
      <c r="S1002" s="461">
        <v>2659.5</v>
      </c>
      <c r="T1002" s="420" t="s">
        <v>2156</v>
      </c>
      <c r="U1002" s="414" t="s">
        <v>6102</v>
      </c>
      <c r="V1002" s="414" t="s">
        <v>4031</v>
      </c>
      <c r="W1002" s="417" t="s">
        <v>6076</v>
      </c>
      <c r="X1002" s="417"/>
      <c r="Y1002" s="421" t="s">
        <v>3652</v>
      </c>
      <c r="Z1002" s="421"/>
      <c r="AA1002" s="416" t="s">
        <v>6103</v>
      </c>
      <c r="AB1002" s="414" t="s">
        <v>6104</v>
      </c>
      <c r="AC1002" s="421" t="s">
        <v>2630</v>
      </c>
      <c r="AD1002" s="421"/>
      <c r="AE1002" s="421"/>
      <c r="AF1002" s="421" t="s">
        <v>6105</v>
      </c>
      <c r="AG1002" s="420" t="s">
        <v>2630</v>
      </c>
      <c r="AH1002" s="421" t="s">
        <v>2369</v>
      </c>
      <c r="AI1002" s="420" t="s">
        <v>846</v>
      </c>
      <c r="AJ1002" s="413">
        <f t="shared" si="62"/>
        <v>4590018614</v>
      </c>
      <c r="AK1002" s="420"/>
      <c r="AL1002" s="413"/>
      <c r="AM1002" s="449"/>
      <c r="AN1002" s="424"/>
      <c r="AO1002" s="423"/>
      <c r="AP1002" s="413"/>
      <c r="AR1002" s="424"/>
      <c r="AS1002" s="614">
        <f ca="1">表格1_6[[#This Row],[total amount]]/表格1_6[[#This Row],[PO$]]</f>
        <v>0</v>
      </c>
      <c r="AT1002" s="318">
        <f ca="1">表格1_6[[#This Row],[invoice amount]]+表格1_6[[#This Row],[invoice amount2]]</f>
        <v>0</v>
      </c>
      <c r="AV1002" s="423"/>
      <c r="AW1002" s="423" t="e">
        <f ca="1">VLOOKUP(表格1_6[[#This Row],[TI tool ID2]],工作表1!A:A,1,FALSE)</f>
        <v>#N/A</v>
      </c>
      <c r="AX1002" s="425" t="e">
        <f ca="1">VLOOKUP(表格1_6[[#This Row],[PO+ITEM]],工作表1!B:E,2,FALSE)</f>
        <v>#N/A</v>
      </c>
      <c r="AY1002" s="425" t="e">
        <f ca="1">VLOOKUP(表格1_6[[#This Row],[PO+ITEM]],工作表1!B:E,3,FALSE)</f>
        <v>#N/A</v>
      </c>
      <c r="AZ1002" s="423" t="e">
        <f ca="1">VLOOKUP(表格1_6[[#This Row],[PO+ITEM]],工作表1!B:E,4,FALSE)</f>
        <v>#N/A</v>
      </c>
      <c r="BA1002" s="425" t="e">
        <f ca="1">INDEX(工作表1!G:G, MATCH(表格1_6[[#This Row],[invoice number]]&amp;表格1_6[[#This Row],[invoice number2]],工作表1!G:G, 0))</f>
        <v>#N/A</v>
      </c>
      <c r="BB1002" s="423" t="e">
        <f ca="1">VLOOKUP(表格1_6[[#This Row],[PO+ITEM]],工作表1!F:H,2,FALSE)</f>
        <v>#N/A</v>
      </c>
    </row>
    <row r="1003" spans="1:54" ht="14.45">
      <c r="A1003" s="413">
        <v>1002</v>
      </c>
      <c r="B1003" s="413" t="s">
        <v>3674</v>
      </c>
      <c r="C1003" s="414" t="s">
        <v>17</v>
      </c>
      <c r="D1003" s="414" t="s">
        <v>3648</v>
      </c>
      <c r="E1003" s="414"/>
      <c r="F1003" s="414"/>
      <c r="G1003" s="414" t="s">
        <v>2196</v>
      </c>
      <c r="H1003" s="414"/>
      <c r="I1003" s="414"/>
      <c r="J1003" s="414"/>
      <c r="K1003" s="414"/>
      <c r="L1003" s="416" t="s">
        <v>6106</v>
      </c>
      <c r="M1003" s="416" t="s">
        <v>4129</v>
      </c>
      <c r="N1003" s="416"/>
      <c r="O1003" s="421"/>
      <c r="P1003" s="416">
        <v>4590018616</v>
      </c>
      <c r="Q1003" s="418">
        <v>45449</v>
      </c>
      <c r="R1003" s="426">
        <v>1</v>
      </c>
      <c r="S1003" s="461">
        <v>2871.85</v>
      </c>
      <c r="T1003" s="420" t="s">
        <v>2156</v>
      </c>
      <c r="U1003" s="414" t="s">
        <v>6107</v>
      </c>
      <c r="V1003" s="414" t="s">
        <v>4031</v>
      </c>
      <c r="W1003" s="417" t="s">
        <v>6076</v>
      </c>
      <c r="X1003" s="417"/>
      <c r="Y1003" s="421" t="s">
        <v>3652</v>
      </c>
      <c r="Z1003" s="421"/>
      <c r="AA1003" s="416" t="s">
        <v>6082</v>
      </c>
      <c r="AB1003" s="414" t="s">
        <v>6108</v>
      </c>
      <c r="AC1003" s="421" t="s">
        <v>3471</v>
      </c>
      <c r="AD1003" s="421"/>
      <c r="AE1003" s="421"/>
      <c r="AF1003" s="421" t="s">
        <v>6109</v>
      </c>
      <c r="AG1003" s="420" t="s">
        <v>3471</v>
      </c>
      <c r="AH1003" s="421" t="s">
        <v>3828</v>
      </c>
      <c r="AI1003" s="420" t="s">
        <v>3666</v>
      </c>
      <c r="AJ1003" s="413">
        <f t="shared" si="62"/>
        <v>4590018616</v>
      </c>
      <c r="AK1003" s="420" t="s">
        <v>6110</v>
      </c>
      <c r="AL1003" s="424">
        <v>45506</v>
      </c>
      <c r="AM1003" s="456">
        <v>2871.85</v>
      </c>
      <c r="AN1003" s="424" t="s">
        <v>3805</v>
      </c>
      <c r="AO1003" s="423"/>
      <c r="AP1003" s="424"/>
      <c r="AR1003" s="424"/>
      <c r="AS1003" s="614">
        <f ca="1">表格1_6[[#This Row],[total amount]]/表格1_6[[#This Row],[PO$]]</f>
        <v>1</v>
      </c>
      <c r="AT1003" s="318">
        <f ca="1">表格1_6[[#This Row],[invoice amount]]+表格1_6[[#This Row],[invoice amount2]]</f>
        <v>2871.85</v>
      </c>
      <c r="AU1003" s="224" t="s">
        <v>3752</v>
      </c>
      <c r="AV1003" s="423"/>
      <c r="AW1003" s="423" t="e">
        <f ca="1">VLOOKUP(表格1_6[[#This Row],[TI tool ID2]],工作表1!A:A,1,FALSE)</f>
        <v>#N/A</v>
      </c>
      <c r="AX1003" s="425" t="e">
        <f ca="1">VLOOKUP(表格1_6[[#This Row],[PO+ITEM]],工作表1!B:E,2,FALSE)</f>
        <v>#N/A</v>
      </c>
      <c r="AY1003" s="425" t="e">
        <f ca="1">VLOOKUP(表格1_6[[#This Row],[PO+ITEM]],工作表1!B:E,3,FALSE)</f>
        <v>#N/A</v>
      </c>
      <c r="AZ1003" s="423" t="e">
        <f ca="1">VLOOKUP(表格1_6[[#This Row],[PO+ITEM]],工作表1!B:E,4,FALSE)</f>
        <v>#N/A</v>
      </c>
      <c r="BA1003" s="425" t="e">
        <f ca="1">INDEX(工作表1!G:G, MATCH(表格1_6[[#This Row],[invoice number]]&amp;表格1_6[[#This Row],[invoice number2]],工作表1!G:G, 0))</f>
        <v>#N/A</v>
      </c>
      <c r="BB1003" s="423" t="e">
        <f ca="1">VLOOKUP(表格1_6[[#This Row],[PO+ITEM]],工作表1!F:H,2,FALSE)</f>
        <v>#N/A</v>
      </c>
    </row>
    <row r="1004" spans="1:54" ht="14.45">
      <c r="A1004" s="413">
        <v>1003</v>
      </c>
      <c r="B1004" s="413" t="s">
        <v>3674</v>
      </c>
      <c r="C1004" s="414" t="s">
        <v>17</v>
      </c>
      <c r="D1004" s="414" t="s">
        <v>3648</v>
      </c>
      <c r="E1004" s="414"/>
      <c r="F1004" s="414"/>
      <c r="G1004" s="414" t="s">
        <v>2196</v>
      </c>
      <c r="H1004" s="414"/>
      <c r="I1004" s="414"/>
      <c r="J1004" s="414"/>
      <c r="K1004" s="414"/>
      <c r="L1004" s="416" t="s">
        <v>6111</v>
      </c>
      <c r="M1004" s="416" t="s">
        <v>4129</v>
      </c>
      <c r="N1004" s="416"/>
      <c r="O1004" s="421"/>
      <c r="P1004" s="416">
        <v>4590018617</v>
      </c>
      <c r="Q1004" s="418">
        <v>45449</v>
      </c>
      <c r="R1004" s="426">
        <v>1</v>
      </c>
      <c r="S1004" s="461">
        <v>2871.85</v>
      </c>
      <c r="T1004" s="420" t="s">
        <v>2156</v>
      </c>
      <c r="U1004" s="414" t="s">
        <v>6112</v>
      </c>
      <c r="V1004" s="414" t="s">
        <v>4031</v>
      </c>
      <c r="W1004" s="417" t="s">
        <v>6076</v>
      </c>
      <c r="X1004" s="417"/>
      <c r="Y1004" s="421" t="s">
        <v>3652</v>
      </c>
      <c r="Z1004" s="421"/>
      <c r="AA1004" s="416" t="s">
        <v>6082</v>
      </c>
      <c r="AB1004" s="414" t="s">
        <v>6113</v>
      </c>
      <c r="AC1004" s="421" t="s">
        <v>3490</v>
      </c>
      <c r="AD1004" s="421"/>
      <c r="AE1004" s="421"/>
      <c r="AF1004" s="421" t="s">
        <v>6114</v>
      </c>
      <c r="AG1004" s="420" t="s">
        <v>3490</v>
      </c>
      <c r="AH1004" s="421" t="s">
        <v>3828</v>
      </c>
      <c r="AI1004" s="420" t="s">
        <v>3666</v>
      </c>
      <c r="AJ1004" s="413">
        <f t="shared" si="62"/>
        <v>4590018617</v>
      </c>
      <c r="AK1004" s="420" t="s">
        <v>6115</v>
      </c>
      <c r="AL1004" s="424">
        <v>45513</v>
      </c>
      <c r="AM1004" s="457">
        <v>2871.85</v>
      </c>
      <c r="AN1004" s="424"/>
      <c r="AO1004" s="423"/>
      <c r="AP1004" s="413"/>
      <c r="AR1004" s="424"/>
      <c r="AS1004" s="614">
        <f ca="1">表格1_6[[#This Row],[total amount]]/表格1_6[[#This Row],[PO$]]</f>
        <v>1</v>
      </c>
      <c r="AT1004" s="318">
        <f ca="1">表格1_6[[#This Row],[invoice amount]]+表格1_6[[#This Row],[invoice amount2]]</f>
        <v>2871.85</v>
      </c>
      <c r="AU1004" s="224" t="s">
        <v>3752</v>
      </c>
      <c r="AV1004" s="423"/>
      <c r="AW1004" s="423" t="e">
        <f ca="1">VLOOKUP(表格1_6[[#This Row],[TI tool ID2]],工作表1!A:A,1,FALSE)</f>
        <v>#N/A</v>
      </c>
      <c r="AX1004" s="425" t="e">
        <f ca="1">VLOOKUP(表格1_6[[#This Row],[PO+ITEM]],工作表1!B:E,2,FALSE)</f>
        <v>#N/A</v>
      </c>
      <c r="AY1004" s="424" t="e">
        <f ca="1">VLOOKUP(表格1_6[[#This Row],[PO+ITEM]],工作表1!B:E,3,FALSE)</f>
        <v>#N/A</v>
      </c>
      <c r="AZ1004" s="423" t="e">
        <f ca="1">VLOOKUP(表格1_6[[#This Row],[PO+ITEM]],工作表1!B:E,4,FALSE)</f>
        <v>#N/A</v>
      </c>
      <c r="BA1004" s="425" t="e">
        <f ca="1">INDEX(工作表1!G:G, MATCH(表格1_6[[#This Row],[invoice number]]&amp;表格1_6[[#This Row],[invoice number2]],工作表1!G:G, 0))</f>
        <v>#N/A</v>
      </c>
      <c r="BB1004" s="423" t="e">
        <f ca="1">VLOOKUP(表格1_6[[#This Row],[PO+ITEM]],工作表1!F:H,2,FALSE)</f>
        <v>#N/A</v>
      </c>
    </row>
    <row r="1005" spans="1:54" ht="14.45">
      <c r="A1005" s="413">
        <v>1004</v>
      </c>
      <c r="B1005" s="413" t="s">
        <v>3674</v>
      </c>
      <c r="C1005" s="414" t="s">
        <v>17</v>
      </c>
      <c r="D1005" s="414" t="s">
        <v>3648</v>
      </c>
      <c r="E1005" s="414"/>
      <c r="F1005" s="414"/>
      <c r="G1005" s="414" t="s">
        <v>2196</v>
      </c>
      <c r="H1005" s="414"/>
      <c r="I1005" s="414"/>
      <c r="J1005" s="414"/>
      <c r="K1005" s="414"/>
      <c r="L1005" s="416" t="s">
        <v>6116</v>
      </c>
      <c r="M1005" s="416" t="s">
        <v>4129</v>
      </c>
      <c r="N1005" s="416"/>
      <c r="O1005" s="421"/>
      <c r="P1005" s="416">
        <v>4590018618</v>
      </c>
      <c r="Q1005" s="418">
        <v>45449</v>
      </c>
      <c r="R1005" s="426">
        <v>1</v>
      </c>
      <c r="S1005" s="461">
        <v>7870.09</v>
      </c>
      <c r="T1005" s="420" t="s">
        <v>2156</v>
      </c>
      <c r="U1005" s="414" t="s">
        <v>6117</v>
      </c>
      <c r="V1005" s="414" t="s">
        <v>4031</v>
      </c>
      <c r="W1005" s="417" t="s">
        <v>6076</v>
      </c>
      <c r="X1005" s="417"/>
      <c r="Y1005" s="421" t="s">
        <v>3652</v>
      </c>
      <c r="Z1005" s="421"/>
      <c r="AA1005" s="416" t="s">
        <v>6082</v>
      </c>
      <c r="AB1005" s="414" t="s">
        <v>6118</v>
      </c>
      <c r="AC1005" s="421" t="s">
        <v>2917</v>
      </c>
      <c r="AD1005" s="421"/>
      <c r="AE1005" s="421"/>
      <c r="AF1005" s="421" t="s">
        <v>6119</v>
      </c>
      <c r="AG1005" s="420" t="s">
        <v>2917</v>
      </c>
      <c r="AH1005" s="421" t="s">
        <v>3828</v>
      </c>
      <c r="AI1005" s="420" t="s">
        <v>6120</v>
      </c>
      <c r="AJ1005" s="413">
        <f t="shared" si="62"/>
        <v>4590018618</v>
      </c>
      <c r="AK1005" s="425" t="s">
        <v>6121</v>
      </c>
      <c r="AL1005" s="424">
        <v>45534</v>
      </c>
      <c r="AM1005" s="221">
        <v>7870.09</v>
      </c>
      <c r="AN1005" s="424" t="s">
        <v>3805</v>
      </c>
      <c r="AO1005" s="423"/>
      <c r="AP1005" s="413"/>
      <c r="AR1005" s="424"/>
      <c r="AS1005" s="614">
        <f ca="1">表格1_6[[#This Row],[total amount]]/表格1_6[[#This Row],[PO$]]</f>
        <v>1</v>
      </c>
      <c r="AT1005" s="318">
        <f ca="1">表格1_6[[#This Row],[invoice amount]]+表格1_6[[#This Row],[invoice amount2]]</f>
        <v>7870.09</v>
      </c>
      <c r="AU1005" s="224" t="s">
        <v>3752</v>
      </c>
      <c r="AV1005" s="423"/>
      <c r="AW1005" s="423" t="e">
        <f ca="1">VLOOKUP(表格1_6[[#This Row],[TI tool ID2]],工作表1!A:A,1,FALSE)</f>
        <v>#N/A</v>
      </c>
      <c r="AX1005" s="425" t="e">
        <f ca="1">VLOOKUP(表格1_6[[#This Row],[PO+ITEM]],工作表1!B:E,2,FALSE)</f>
        <v>#N/A</v>
      </c>
      <c r="AY1005" s="425" t="e">
        <f ca="1">VLOOKUP(表格1_6[[#This Row],[PO+ITEM]],工作表1!B:E,3,FALSE)</f>
        <v>#N/A</v>
      </c>
      <c r="AZ1005" s="423" t="e">
        <f ca="1">VLOOKUP(表格1_6[[#This Row],[PO+ITEM]],工作表1!B:E,4,FALSE)</f>
        <v>#N/A</v>
      </c>
      <c r="BA1005" s="425" t="e">
        <f ca="1">INDEX(工作表1!G:G, MATCH(表格1_6[[#This Row],[invoice number]]&amp;表格1_6[[#This Row],[invoice number2]],工作表1!G:G, 0))</f>
        <v>#N/A</v>
      </c>
      <c r="BB1005" s="423" t="e">
        <f ca="1">VLOOKUP(表格1_6[[#This Row],[PO+ITEM]],工作表1!F:H,2,FALSE)</f>
        <v>#N/A</v>
      </c>
    </row>
    <row r="1006" spans="1:54" ht="14.45">
      <c r="A1006" s="413">
        <v>1005</v>
      </c>
      <c r="B1006" s="413" t="s">
        <v>3674</v>
      </c>
      <c r="C1006" s="414" t="s">
        <v>17</v>
      </c>
      <c r="D1006" s="414" t="s">
        <v>3648</v>
      </c>
      <c r="E1006" s="414"/>
      <c r="F1006" s="414"/>
      <c r="G1006" s="414" t="s">
        <v>2196</v>
      </c>
      <c r="H1006" s="414"/>
      <c r="I1006" s="414"/>
      <c r="J1006" s="414"/>
      <c r="K1006" s="414"/>
      <c r="L1006" s="416" t="s">
        <v>6122</v>
      </c>
      <c r="M1006" s="416" t="s">
        <v>4129</v>
      </c>
      <c r="N1006" s="416"/>
      <c r="O1006" s="421"/>
      <c r="P1006" s="416">
        <v>4590018619</v>
      </c>
      <c r="Q1006" s="418">
        <v>45449</v>
      </c>
      <c r="R1006" s="426">
        <v>1</v>
      </c>
      <c r="S1006" s="461">
        <v>2871.85</v>
      </c>
      <c r="T1006" s="420" t="s">
        <v>2156</v>
      </c>
      <c r="U1006" s="414" t="s">
        <v>6123</v>
      </c>
      <c r="V1006" s="414" t="s">
        <v>4031</v>
      </c>
      <c r="W1006" s="417" t="s">
        <v>6076</v>
      </c>
      <c r="X1006" s="417"/>
      <c r="Y1006" s="421" t="s">
        <v>3652</v>
      </c>
      <c r="Z1006" s="421"/>
      <c r="AA1006" s="416" t="s">
        <v>6082</v>
      </c>
      <c r="AB1006" s="414" t="s">
        <v>6124</v>
      </c>
      <c r="AC1006" s="421" t="s">
        <v>3152</v>
      </c>
      <c r="AD1006" s="421"/>
      <c r="AE1006" s="421"/>
      <c r="AF1006" s="421" t="s">
        <v>6125</v>
      </c>
      <c r="AG1006" s="420" t="s">
        <v>3152</v>
      </c>
      <c r="AH1006" s="421" t="s">
        <v>3828</v>
      </c>
      <c r="AI1006" s="420" t="s">
        <v>3666</v>
      </c>
      <c r="AJ1006" s="413">
        <f t="shared" si="62"/>
        <v>4590018619</v>
      </c>
      <c r="AK1006" s="420" t="s">
        <v>6126</v>
      </c>
      <c r="AL1006" s="424">
        <v>45506</v>
      </c>
      <c r="AM1006" s="456">
        <v>2871.85</v>
      </c>
      <c r="AN1006" s="424" t="s">
        <v>3805</v>
      </c>
      <c r="AO1006" s="423"/>
      <c r="AP1006" s="424"/>
      <c r="AR1006" s="424"/>
      <c r="AS1006" s="614">
        <f ca="1">表格1_6[[#This Row],[total amount]]/表格1_6[[#This Row],[PO$]]</f>
        <v>1</v>
      </c>
      <c r="AT1006" s="318">
        <f ca="1">表格1_6[[#This Row],[invoice amount]]+表格1_6[[#This Row],[invoice amount2]]</f>
        <v>2871.85</v>
      </c>
      <c r="AU1006" s="224" t="s">
        <v>3752</v>
      </c>
      <c r="AV1006" s="423"/>
      <c r="AW1006" s="423" t="e">
        <f ca="1">VLOOKUP(表格1_6[[#This Row],[TI tool ID2]],工作表1!A:A,1,FALSE)</f>
        <v>#N/A</v>
      </c>
      <c r="AX1006" s="425" t="e">
        <f ca="1">VLOOKUP(表格1_6[[#This Row],[PO+ITEM]],工作表1!B:E,2,FALSE)</f>
        <v>#N/A</v>
      </c>
      <c r="AY1006" s="425" t="e">
        <f ca="1">VLOOKUP(表格1_6[[#This Row],[PO+ITEM]],工作表1!B:E,3,FALSE)</f>
        <v>#N/A</v>
      </c>
      <c r="AZ1006" s="423" t="e">
        <f ca="1">VLOOKUP(表格1_6[[#This Row],[PO+ITEM]],工作表1!B:E,4,FALSE)</f>
        <v>#N/A</v>
      </c>
      <c r="BA1006" s="425" t="e">
        <f ca="1">INDEX(工作表1!G:G, MATCH(表格1_6[[#This Row],[invoice number]]&amp;表格1_6[[#This Row],[invoice number2]],工作表1!G:G, 0))</f>
        <v>#N/A</v>
      </c>
      <c r="BB1006" s="423" t="e">
        <f ca="1">VLOOKUP(表格1_6[[#This Row],[PO+ITEM]],工作表1!F:H,2,FALSE)</f>
        <v>#N/A</v>
      </c>
    </row>
    <row r="1007" spans="1:54" ht="14.45">
      <c r="A1007" s="413">
        <v>1006</v>
      </c>
      <c r="B1007" s="413" t="s">
        <v>3674</v>
      </c>
      <c r="C1007" s="414" t="s">
        <v>17</v>
      </c>
      <c r="D1007" s="414" t="s">
        <v>3648</v>
      </c>
      <c r="E1007" s="414"/>
      <c r="F1007" s="414"/>
      <c r="G1007" s="414" t="s">
        <v>2196</v>
      </c>
      <c r="H1007" s="414"/>
      <c r="I1007" s="414"/>
      <c r="J1007" s="414"/>
      <c r="K1007" s="414"/>
      <c r="L1007" s="416" t="s">
        <v>6127</v>
      </c>
      <c r="M1007" s="416" t="s">
        <v>4129</v>
      </c>
      <c r="N1007" s="416"/>
      <c r="O1007" s="421"/>
      <c r="P1007" s="416">
        <v>4590018620</v>
      </c>
      <c r="Q1007" s="418">
        <v>45449</v>
      </c>
      <c r="R1007" s="426">
        <v>1</v>
      </c>
      <c r="S1007" s="461">
        <v>2871.85</v>
      </c>
      <c r="T1007" s="420" t="s">
        <v>2156</v>
      </c>
      <c r="U1007" s="414" t="s">
        <v>6128</v>
      </c>
      <c r="V1007" s="414" t="s">
        <v>4031</v>
      </c>
      <c r="W1007" s="417" t="s">
        <v>6076</v>
      </c>
      <c r="X1007" s="417"/>
      <c r="Y1007" s="421" t="s">
        <v>3652</v>
      </c>
      <c r="Z1007" s="421"/>
      <c r="AA1007" s="416" t="s">
        <v>6082</v>
      </c>
      <c r="AB1007" s="414" t="s">
        <v>6129</v>
      </c>
      <c r="AC1007" s="421" t="s">
        <v>3476</v>
      </c>
      <c r="AD1007" s="421"/>
      <c r="AE1007" s="421"/>
      <c r="AF1007" s="421" t="s">
        <v>6130</v>
      </c>
      <c r="AG1007" s="420" t="s">
        <v>3476</v>
      </c>
      <c r="AH1007" s="421" t="s">
        <v>3828</v>
      </c>
      <c r="AI1007" s="420" t="s">
        <v>3666</v>
      </c>
      <c r="AJ1007" s="413">
        <f t="shared" si="62"/>
        <v>4590018620</v>
      </c>
      <c r="AK1007" s="420" t="s">
        <v>6131</v>
      </c>
      <c r="AL1007" s="424">
        <v>45513</v>
      </c>
      <c r="AM1007" s="457">
        <v>2871.85</v>
      </c>
      <c r="AN1007" s="424"/>
      <c r="AO1007" s="423"/>
      <c r="AP1007" s="413"/>
      <c r="AR1007" s="424"/>
      <c r="AS1007" s="614">
        <f ca="1">表格1_6[[#This Row],[total amount]]/表格1_6[[#This Row],[PO$]]</f>
        <v>1</v>
      </c>
      <c r="AT1007" s="318">
        <f ca="1">表格1_6[[#This Row],[invoice amount]]+表格1_6[[#This Row],[invoice amount2]]</f>
        <v>2871.85</v>
      </c>
      <c r="AU1007" s="224" t="s">
        <v>3752</v>
      </c>
      <c r="AV1007" s="423"/>
      <c r="AW1007" s="423" t="e">
        <f ca="1">VLOOKUP(表格1_6[[#This Row],[TI tool ID2]],工作表1!A:A,1,FALSE)</f>
        <v>#N/A</v>
      </c>
      <c r="AX1007" s="425" t="e">
        <f ca="1">VLOOKUP(表格1_6[[#This Row],[PO+ITEM]],工作表1!B:E,2,FALSE)</f>
        <v>#N/A</v>
      </c>
      <c r="AY1007" s="424" t="e">
        <f ca="1">VLOOKUP(表格1_6[[#This Row],[PO+ITEM]],工作表1!B:E,3,FALSE)</f>
        <v>#N/A</v>
      </c>
      <c r="AZ1007" s="423" t="e">
        <f ca="1">VLOOKUP(表格1_6[[#This Row],[PO+ITEM]],工作表1!B:E,4,FALSE)</f>
        <v>#N/A</v>
      </c>
      <c r="BA1007" s="425" t="e">
        <f ca="1">INDEX(工作表1!G:G, MATCH(表格1_6[[#This Row],[invoice number]]&amp;表格1_6[[#This Row],[invoice number2]],工作表1!G:G, 0))</f>
        <v>#N/A</v>
      </c>
      <c r="BB1007" s="423" t="e">
        <f ca="1">VLOOKUP(表格1_6[[#This Row],[PO+ITEM]],工作表1!F:H,2,FALSE)</f>
        <v>#N/A</v>
      </c>
    </row>
    <row r="1008" spans="1:54" ht="14.45">
      <c r="A1008" s="413">
        <v>1007</v>
      </c>
      <c r="B1008" s="413" t="s">
        <v>3674</v>
      </c>
      <c r="C1008" s="414" t="s">
        <v>17</v>
      </c>
      <c r="D1008" s="414" t="s">
        <v>3648</v>
      </c>
      <c r="E1008" s="414"/>
      <c r="F1008" s="414"/>
      <c r="G1008" s="414" t="s">
        <v>2196</v>
      </c>
      <c r="H1008" s="414"/>
      <c r="I1008" s="414"/>
      <c r="J1008" s="414"/>
      <c r="K1008" s="414"/>
      <c r="L1008" s="416" t="s">
        <v>6132</v>
      </c>
      <c r="M1008" s="416" t="s">
        <v>4129</v>
      </c>
      <c r="N1008" s="416"/>
      <c r="O1008" s="421"/>
      <c r="P1008" s="416">
        <v>4590018621</v>
      </c>
      <c r="Q1008" s="418">
        <v>45449</v>
      </c>
      <c r="R1008" s="426">
        <v>1</v>
      </c>
      <c r="S1008" s="461">
        <v>4999.25</v>
      </c>
      <c r="T1008" s="420" t="s">
        <v>2156</v>
      </c>
      <c r="U1008" s="414" t="s">
        <v>6133</v>
      </c>
      <c r="V1008" s="414" t="s">
        <v>4031</v>
      </c>
      <c r="W1008" s="417" t="s">
        <v>6076</v>
      </c>
      <c r="X1008" s="417"/>
      <c r="Y1008" s="421" t="s">
        <v>3652</v>
      </c>
      <c r="Z1008" s="421"/>
      <c r="AA1008" s="416" t="s">
        <v>6082</v>
      </c>
      <c r="AB1008" s="414" t="s">
        <v>6134</v>
      </c>
      <c r="AC1008" s="421" t="s">
        <v>2921</v>
      </c>
      <c r="AD1008" s="421"/>
      <c r="AE1008" s="421"/>
      <c r="AF1008" s="421" t="s">
        <v>6135</v>
      </c>
      <c r="AG1008" s="420" t="s">
        <v>2921</v>
      </c>
      <c r="AH1008" s="421" t="s">
        <v>3828</v>
      </c>
      <c r="AI1008" s="420" t="s">
        <v>6120</v>
      </c>
      <c r="AJ1008" s="413">
        <f t="shared" si="62"/>
        <v>4590018621</v>
      </c>
      <c r="AK1008" s="420" t="s">
        <v>6136</v>
      </c>
      <c r="AL1008" s="424">
        <v>45513</v>
      </c>
      <c r="AM1008" s="457">
        <v>4999.25</v>
      </c>
      <c r="AN1008" s="424"/>
      <c r="AO1008" s="423"/>
      <c r="AP1008" s="413"/>
      <c r="AR1008" s="424"/>
      <c r="AS1008" s="614">
        <f ca="1">表格1_6[[#This Row],[total amount]]/表格1_6[[#This Row],[PO$]]</f>
        <v>1</v>
      </c>
      <c r="AT1008" s="318">
        <f ca="1">表格1_6[[#This Row],[invoice amount]]+表格1_6[[#This Row],[invoice amount2]]</f>
        <v>4999.25</v>
      </c>
      <c r="AU1008" s="224" t="s">
        <v>3752</v>
      </c>
      <c r="AV1008" s="423"/>
      <c r="AW1008" s="423" t="e">
        <f ca="1">VLOOKUP(表格1_6[[#This Row],[TI tool ID2]],工作表1!A:A,1,FALSE)</f>
        <v>#N/A</v>
      </c>
      <c r="AX1008" s="425" t="e">
        <f ca="1">VLOOKUP(表格1_6[[#This Row],[PO+ITEM]],工作表1!B:E,2,FALSE)</f>
        <v>#N/A</v>
      </c>
      <c r="AY1008" s="424" t="e">
        <f ca="1">VLOOKUP(表格1_6[[#This Row],[PO+ITEM]],工作表1!B:E,3,FALSE)</f>
        <v>#N/A</v>
      </c>
      <c r="AZ1008" s="423" t="e">
        <f ca="1">VLOOKUP(表格1_6[[#This Row],[PO+ITEM]],工作表1!B:E,4,FALSE)</f>
        <v>#N/A</v>
      </c>
      <c r="BA1008" s="425" t="e">
        <f ca="1">INDEX(工作表1!G:G, MATCH(表格1_6[[#This Row],[invoice number]]&amp;表格1_6[[#This Row],[invoice number2]],工作表1!G:G, 0))</f>
        <v>#N/A</v>
      </c>
      <c r="BB1008" s="423" t="e">
        <f ca="1">VLOOKUP(表格1_6[[#This Row],[PO+ITEM]],工作表1!F:H,2,FALSE)</f>
        <v>#N/A</v>
      </c>
    </row>
    <row r="1009" spans="1:54" ht="14.45">
      <c r="A1009" s="413">
        <v>1008</v>
      </c>
      <c r="B1009" s="413" t="s">
        <v>3674</v>
      </c>
      <c r="C1009" s="414" t="s">
        <v>17</v>
      </c>
      <c r="D1009" s="414" t="s">
        <v>3648</v>
      </c>
      <c r="E1009" s="414"/>
      <c r="F1009" s="414"/>
      <c r="G1009" s="414" t="s">
        <v>2196</v>
      </c>
      <c r="H1009" s="414"/>
      <c r="I1009" s="414"/>
      <c r="J1009" s="414"/>
      <c r="K1009" s="414"/>
      <c r="L1009" s="416" t="s">
        <v>6137</v>
      </c>
      <c r="M1009" s="416" t="s">
        <v>4129</v>
      </c>
      <c r="N1009" s="416"/>
      <c r="O1009" s="421"/>
      <c r="P1009" s="416">
        <v>4590018622</v>
      </c>
      <c r="Q1009" s="418">
        <v>45449</v>
      </c>
      <c r="R1009" s="426">
        <v>1</v>
      </c>
      <c r="S1009" s="461">
        <v>11612.59</v>
      </c>
      <c r="T1009" s="420" t="s">
        <v>2156</v>
      </c>
      <c r="U1009" s="414" t="s">
        <v>6138</v>
      </c>
      <c r="V1009" s="414" t="s">
        <v>4031</v>
      </c>
      <c r="W1009" s="417" t="s">
        <v>6076</v>
      </c>
      <c r="X1009" s="417"/>
      <c r="Y1009" s="421" t="s">
        <v>3652</v>
      </c>
      <c r="Z1009" s="421"/>
      <c r="AA1009" s="416" t="s">
        <v>6082</v>
      </c>
      <c r="AB1009" s="414" t="s">
        <v>6139</v>
      </c>
      <c r="AC1009" s="421" t="s">
        <v>2919</v>
      </c>
      <c r="AD1009" s="421"/>
      <c r="AE1009" s="421"/>
      <c r="AF1009" s="421" t="s">
        <v>6140</v>
      </c>
      <c r="AG1009" s="420" t="s">
        <v>2919</v>
      </c>
      <c r="AH1009" s="421" t="s">
        <v>3828</v>
      </c>
      <c r="AI1009" s="420" t="s">
        <v>6120</v>
      </c>
      <c r="AJ1009" s="413">
        <f t="shared" si="62"/>
        <v>4590018622</v>
      </c>
      <c r="AK1009" s="425" t="s">
        <v>6141</v>
      </c>
      <c r="AL1009" s="424">
        <v>45534</v>
      </c>
      <c r="AM1009" s="221">
        <v>11612.59</v>
      </c>
      <c r="AN1009" s="424" t="s">
        <v>3805</v>
      </c>
      <c r="AO1009" s="423"/>
      <c r="AP1009" s="413"/>
      <c r="AR1009" s="424"/>
      <c r="AS1009" s="614">
        <f ca="1">表格1_6[[#This Row],[total amount]]/表格1_6[[#This Row],[PO$]]</f>
        <v>1</v>
      </c>
      <c r="AT1009" s="318">
        <f ca="1">表格1_6[[#This Row],[invoice amount]]+表格1_6[[#This Row],[invoice amount2]]</f>
        <v>11612.59</v>
      </c>
      <c r="AU1009" s="224" t="s">
        <v>3752</v>
      </c>
      <c r="AV1009" s="423"/>
      <c r="AW1009" s="423" t="e">
        <f ca="1">VLOOKUP(表格1_6[[#This Row],[TI tool ID2]],工作表1!A:A,1,FALSE)</f>
        <v>#N/A</v>
      </c>
      <c r="AX1009" s="425" t="e">
        <f ca="1">VLOOKUP(表格1_6[[#This Row],[PO+ITEM]],工作表1!B:E,2,FALSE)</f>
        <v>#N/A</v>
      </c>
      <c r="AY1009" s="425" t="e">
        <f ca="1">VLOOKUP(表格1_6[[#This Row],[PO+ITEM]],工作表1!B:E,3,FALSE)</f>
        <v>#N/A</v>
      </c>
      <c r="AZ1009" s="423" t="e">
        <f ca="1">VLOOKUP(表格1_6[[#This Row],[PO+ITEM]],工作表1!B:E,4,FALSE)</f>
        <v>#N/A</v>
      </c>
      <c r="BA1009" s="425" t="e">
        <f ca="1">INDEX(工作表1!G:G, MATCH(表格1_6[[#This Row],[invoice number]]&amp;表格1_6[[#This Row],[invoice number2]],工作表1!G:G, 0))</f>
        <v>#N/A</v>
      </c>
      <c r="BB1009" s="423" t="e">
        <f ca="1">VLOOKUP(表格1_6[[#This Row],[PO+ITEM]],工作表1!F:H,2,FALSE)</f>
        <v>#N/A</v>
      </c>
    </row>
    <row r="1010" spans="1:54">
      <c r="A1010" s="413">
        <v>1009</v>
      </c>
      <c r="B1010" s="413" t="s">
        <v>3674</v>
      </c>
      <c r="C1010" s="414" t="s">
        <v>17</v>
      </c>
      <c r="D1010" s="414" t="s">
        <v>3648</v>
      </c>
      <c r="E1010" s="414"/>
      <c r="F1010" s="414"/>
      <c r="G1010" s="414" t="s">
        <v>2196</v>
      </c>
      <c r="H1010" s="414"/>
      <c r="I1010" s="414"/>
      <c r="J1010" s="414"/>
      <c r="K1010" s="414"/>
      <c r="L1010" s="416" t="s">
        <v>6142</v>
      </c>
      <c r="M1010" s="416" t="s">
        <v>2888</v>
      </c>
      <c r="N1010" s="416"/>
      <c r="O1010" s="421"/>
      <c r="P1010" s="416">
        <v>4590018623</v>
      </c>
      <c r="Q1010" s="418">
        <v>45449</v>
      </c>
      <c r="R1010" s="426">
        <v>1</v>
      </c>
      <c r="S1010" s="461">
        <v>1055</v>
      </c>
      <c r="T1010" s="420" t="s">
        <v>2156</v>
      </c>
      <c r="U1010" s="414" t="s">
        <v>6143</v>
      </c>
      <c r="V1010" s="414" t="s">
        <v>4031</v>
      </c>
      <c r="W1010" s="417" t="s">
        <v>6076</v>
      </c>
      <c r="X1010" s="417"/>
      <c r="Y1010" s="421" t="s">
        <v>3652</v>
      </c>
      <c r="Z1010" s="421"/>
      <c r="AA1010" s="416" t="s">
        <v>6103</v>
      </c>
      <c r="AB1010" s="414" t="s">
        <v>6144</v>
      </c>
      <c r="AC1010" s="421" t="s">
        <v>6145</v>
      </c>
      <c r="AD1010" s="421"/>
      <c r="AE1010" s="421"/>
      <c r="AF1010" s="421" t="s">
        <v>6146</v>
      </c>
      <c r="AG1010" s="420" t="s">
        <v>6145</v>
      </c>
      <c r="AH1010" s="421" t="s">
        <v>2369</v>
      </c>
      <c r="AI1010" s="420" t="s">
        <v>47</v>
      </c>
      <c r="AJ1010" s="413">
        <f t="shared" si="62"/>
        <v>4590018623</v>
      </c>
      <c r="AK1010" s="425" t="s">
        <v>6147</v>
      </c>
      <c r="AL1010" s="424">
        <v>45555</v>
      </c>
      <c r="AM1010" s="221">
        <v>1055</v>
      </c>
      <c r="AN1010" s="424"/>
      <c r="AO1010" s="423"/>
      <c r="AP1010" s="413"/>
      <c r="AR1010" s="424"/>
      <c r="AS1010" s="614">
        <f ca="1">表格1_6[[#This Row],[total amount]]/表格1_6[[#This Row],[PO$]]</f>
        <v>1</v>
      </c>
      <c r="AT1010" s="318">
        <f ca="1">表格1_6[[#This Row],[invoice amount]]+表格1_6[[#This Row],[invoice amount2]]</f>
        <v>1055</v>
      </c>
      <c r="AU1010" s="224" t="s">
        <v>3752</v>
      </c>
      <c r="AV1010" s="423"/>
      <c r="AW1010" s="423" t="e">
        <f ca="1">VLOOKUP(表格1_6[[#This Row],[TI tool ID2]],工作表1!A:A,1,FALSE)</f>
        <v>#N/A</v>
      </c>
      <c r="AX1010" s="425" t="e">
        <f ca="1">VLOOKUP(表格1_6[[#This Row],[PO+ITEM]],工作表1!B:E,2,FALSE)</f>
        <v>#N/A</v>
      </c>
      <c r="AY1010" s="425" t="e">
        <f ca="1">VLOOKUP(表格1_6[[#This Row],[PO+ITEM]],工作表1!B:E,3,FALSE)</f>
        <v>#N/A</v>
      </c>
      <c r="AZ1010" s="423" t="e">
        <f ca="1">VLOOKUP(表格1_6[[#This Row],[PO+ITEM]],工作表1!B:E,4,FALSE)</f>
        <v>#N/A</v>
      </c>
      <c r="BA1010" s="425" t="e">
        <f ca="1">INDEX(工作表1!G:G, MATCH(表格1_6[[#This Row],[invoice number]]&amp;表格1_6[[#This Row],[invoice number2]],工作表1!G:G, 0))</f>
        <v>#N/A</v>
      </c>
      <c r="BB1010" s="423" t="e">
        <f ca="1">VLOOKUP(表格1_6[[#This Row],[PO+ITEM]],工作表1!F:H,2,FALSE)</f>
        <v>#N/A</v>
      </c>
    </row>
    <row r="1011" spans="1:54">
      <c r="A1011" s="413">
        <v>1010</v>
      </c>
      <c r="B1011" s="413" t="s">
        <v>3674</v>
      </c>
      <c r="C1011" s="414" t="s">
        <v>17</v>
      </c>
      <c r="D1011" s="414" t="s">
        <v>3648</v>
      </c>
      <c r="E1011" s="414"/>
      <c r="F1011" s="414"/>
      <c r="G1011" s="414" t="s">
        <v>2196</v>
      </c>
      <c r="H1011" s="414"/>
      <c r="I1011" s="414"/>
      <c r="J1011" s="414"/>
      <c r="K1011" s="414"/>
      <c r="L1011" s="416" t="s">
        <v>6148</v>
      </c>
      <c r="M1011" s="416" t="s">
        <v>2888</v>
      </c>
      <c r="N1011" s="416"/>
      <c r="O1011" s="421"/>
      <c r="P1011" s="416">
        <v>4590018624</v>
      </c>
      <c r="Q1011" s="418">
        <v>45449</v>
      </c>
      <c r="R1011" s="426">
        <v>1</v>
      </c>
      <c r="S1011" s="461">
        <v>1055</v>
      </c>
      <c r="T1011" s="420" t="s">
        <v>2156</v>
      </c>
      <c r="U1011" s="414" t="s">
        <v>6149</v>
      </c>
      <c r="V1011" s="414" t="s">
        <v>4031</v>
      </c>
      <c r="W1011" s="417" t="s">
        <v>6076</v>
      </c>
      <c r="X1011" s="417"/>
      <c r="Y1011" s="421" t="s">
        <v>3652</v>
      </c>
      <c r="Z1011" s="421"/>
      <c r="AA1011" s="416" t="s">
        <v>6103</v>
      </c>
      <c r="AB1011" s="414" t="s">
        <v>6150</v>
      </c>
      <c r="AC1011" s="421" t="s">
        <v>6151</v>
      </c>
      <c r="AD1011" s="421"/>
      <c r="AE1011" s="421"/>
      <c r="AF1011" s="421" t="s">
        <v>6152</v>
      </c>
      <c r="AG1011" s="420" t="s">
        <v>6151</v>
      </c>
      <c r="AH1011" s="421" t="s">
        <v>2369</v>
      </c>
      <c r="AI1011" s="420" t="s">
        <v>47</v>
      </c>
      <c r="AJ1011" s="413">
        <f t="shared" si="62"/>
        <v>4590018624</v>
      </c>
      <c r="AK1011" s="425" t="s">
        <v>6153</v>
      </c>
      <c r="AL1011" s="424">
        <v>45555</v>
      </c>
      <c r="AM1011" s="221">
        <v>1055</v>
      </c>
      <c r="AN1011" s="424"/>
      <c r="AO1011" s="423"/>
      <c r="AP1011" s="413"/>
      <c r="AR1011" s="424"/>
      <c r="AS1011" s="614">
        <f ca="1">表格1_6[[#This Row],[total amount]]/表格1_6[[#This Row],[PO$]]</f>
        <v>1</v>
      </c>
      <c r="AT1011" s="318">
        <f ca="1">表格1_6[[#This Row],[invoice amount]]+表格1_6[[#This Row],[invoice amount2]]</f>
        <v>1055</v>
      </c>
      <c r="AU1011" s="224" t="s">
        <v>3752</v>
      </c>
      <c r="AV1011" s="423"/>
      <c r="AW1011" s="423" t="e">
        <f ca="1">VLOOKUP(表格1_6[[#This Row],[TI tool ID2]],工作表1!A:A,1,FALSE)</f>
        <v>#N/A</v>
      </c>
      <c r="AX1011" s="425" t="e">
        <f ca="1">VLOOKUP(表格1_6[[#This Row],[PO+ITEM]],工作表1!B:E,2,FALSE)</f>
        <v>#N/A</v>
      </c>
      <c r="AY1011" s="425" t="e">
        <f ca="1">VLOOKUP(表格1_6[[#This Row],[PO+ITEM]],工作表1!B:E,3,FALSE)</f>
        <v>#N/A</v>
      </c>
      <c r="AZ1011" s="423" t="e">
        <f ca="1">VLOOKUP(表格1_6[[#This Row],[PO+ITEM]],工作表1!B:E,4,FALSE)</f>
        <v>#N/A</v>
      </c>
      <c r="BA1011" s="425" t="e">
        <f ca="1">INDEX(工作表1!G:G, MATCH(表格1_6[[#This Row],[invoice number]]&amp;表格1_6[[#This Row],[invoice number2]],工作表1!G:G, 0))</f>
        <v>#N/A</v>
      </c>
      <c r="BB1011" s="423" t="e">
        <f ca="1">VLOOKUP(表格1_6[[#This Row],[PO+ITEM]],工作表1!F:H,2,FALSE)</f>
        <v>#N/A</v>
      </c>
    </row>
    <row r="1012" spans="1:54" ht="14.45">
      <c r="A1012" s="413">
        <v>1011</v>
      </c>
      <c r="B1012" s="413" t="s">
        <v>3674</v>
      </c>
      <c r="C1012" s="414" t="s">
        <v>17</v>
      </c>
      <c r="D1012" s="414" t="s">
        <v>3648</v>
      </c>
      <c r="E1012" s="414"/>
      <c r="F1012" s="414"/>
      <c r="G1012" s="414" t="s">
        <v>2196</v>
      </c>
      <c r="H1012" s="414"/>
      <c r="I1012" s="414"/>
      <c r="J1012" s="414"/>
      <c r="K1012" s="414"/>
      <c r="L1012" s="416" t="s">
        <v>6154</v>
      </c>
      <c r="M1012" s="416" t="s">
        <v>4129</v>
      </c>
      <c r="N1012" s="416"/>
      <c r="O1012" s="421"/>
      <c r="P1012" s="416">
        <v>4590018646</v>
      </c>
      <c r="Q1012" s="418">
        <v>45450</v>
      </c>
      <c r="R1012" s="426">
        <v>1</v>
      </c>
      <c r="S1012" s="461">
        <v>2014.8</v>
      </c>
      <c r="T1012" s="420" t="s">
        <v>2156</v>
      </c>
      <c r="U1012" s="414" t="s">
        <v>6155</v>
      </c>
      <c r="V1012" s="414" t="s">
        <v>4031</v>
      </c>
      <c r="W1012" s="417" t="s">
        <v>6076</v>
      </c>
      <c r="X1012" s="417"/>
      <c r="Y1012" s="421" t="s">
        <v>3652</v>
      </c>
      <c r="Z1012" s="421"/>
      <c r="AA1012" s="416" t="s">
        <v>6082</v>
      </c>
      <c r="AB1012" s="414" t="s">
        <v>6156</v>
      </c>
      <c r="AC1012" s="421" t="s">
        <v>2915</v>
      </c>
      <c r="AD1012" s="421"/>
      <c r="AE1012" s="421"/>
      <c r="AF1012" s="421" t="s">
        <v>6157</v>
      </c>
      <c r="AG1012" s="420" t="s">
        <v>2915</v>
      </c>
      <c r="AH1012" s="421" t="s">
        <v>3828</v>
      </c>
      <c r="AI1012" s="420" t="s">
        <v>6120</v>
      </c>
      <c r="AJ1012" s="413">
        <f t="shared" si="62"/>
        <v>4590018646</v>
      </c>
      <c r="AK1012" s="425" t="s">
        <v>6158</v>
      </c>
      <c r="AL1012" s="424">
        <v>45534</v>
      </c>
      <c r="AM1012" s="221">
        <v>2014.8</v>
      </c>
      <c r="AN1012" s="424" t="s">
        <v>3805</v>
      </c>
      <c r="AO1012" s="423"/>
      <c r="AP1012" s="413"/>
      <c r="AR1012" s="424"/>
      <c r="AS1012" s="614">
        <f ca="1">表格1_6[[#This Row],[total amount]]/表格1_6[[#This Row],[PO$]]</f>
        <v>1</v>
      </c>
      <c r="AT1012" s="318">
        <f ca="1">表格1_6[[#This Row],[invoice amount]]+表格1_6[[#This Row],[invoice amount2]]</f>
        <v>2014.8</v>
      </c>
      <c r="AU1012" s="224" t="s">
        <v>3752</v>
      </c>
      <c r="AV1012" s="423"/>
      <c r="AW1012" s="423" t="e">
        <f ca="1">VLOOKUP(表格1_6[[#This Row],[TI tool ID2]],工作表1!A:A,1,FALSE)</f>
        <v>#N/A</v>
      </c>
      <c r="AX1012" s="425" t="e">
        <f ca="1">VLOOKUP(表格1_6[[#This Row],[PO+ITEM]],工作表1!B:E,2,FALSE)</f>
        <v>#N/A</v>
      </c>
      <c r="AY1012" s="425" t="e">
        <f ca="1">VLOOKUP(表格1_6[[#This Row],[PO+ITEM]],工作表1!B:E,3,FALSE)</f>
        <v>#N/A</v>
      </c>
      <c r="AZ1012" s="423" t="e">
        <f ca="1">VLOOKUP(表格1_6[[#This Row],[PO+ITEM]],工作表1!B:E,4,FALSE)</f>
        <v>#N/A</v>
      </c>
      <c r="BA1012" s="425" t="e">
        <f ca="1">INDEX(工作表1!G:G, MATCH(表格1_6[[#This Row],[invoice number]]&amp;表格1_6[[#This Row],[invoice number2]],工作表1!G:G, 0))</f>
        <v>#N/A</v>
      </c>
      <c r="BB1012" s="423" t="e">
        <f ca="1">VLOOKUP(表格1_6[[#This Row],[PO+ITEM]],工作表1!F:H,2,FALSE)</f>
        <v>#N/A</v>
      </c>
    </row>
    <row r="1013" spans="1:54" ht="14.45">
      <c r="A1013" s="413">
        <v>1012</v>
      </c>
      <c r="B1013" s="413" t="s">
        <v>3674</v>
      </c>
      <c r="C1013" s="414" t="s">
        <v>17</v>
      </c>
      <c r="D1013" s="414" t="s">
        <v>3648</v>
      </c>
      <c r="E1013" s="414"/>
      <c r="F1013" s="414"/>
      <c r="G1013" s="414" t="s">
        <v>2196</v>
      </c>
      <c r="H1013" s="414"/>
      <c r="I1013" s="414"/>
      <c r="J1013" s="414"/>
      <c r="K1013" s="414"/>
      <c r="L1013" s="416" t="s">
        <v>6159</v>
      </c>
      <c r="M1013" s="416" t="s">
        <v>4129</v>
      </c>
      <c r="N1013" s="416"/>
      <c r="O1013" s="421"/>
      <c r="P1013" s="416">
        <v>4590018667</v>
      </c>
      <c r="Q1013" s="418">
        <v>45451</v>
      </c>
      <c r="R1013" s="426">
        <v>1</v>
      </c>
      <c r="S1013" s="461">
        <v>3403.95</v>
      </c>
      <c r="T1013" s="420" t="s">
        <v>2156</v>
      </c>
      <c r="U1013" s="414" t="s">
        <v>6160</v>
      </c>
      <c r="V1013" s="414" t="s">
        <v>4031</v>
      </c>
      <c r="W1013" s="417" t="s">
        <v>6076</v>
      </c>
      <c r="X1013" s="417"/>
      <c r="Y1013" s="421" t="s">
        <v>3652</v>
      </c>
      <c r="Z1013" s="421"/>
      <c r="AA1013" s="416" t="s">
        <v>6082</v>
      </c>
      <c r="AB1013" s="414" t="s">
        <v>6161</v>
      </c>
      <c r="AC1013" s="421" t="s">
        <v>4655</v>
      </c>
      <c r="AD1013" s="421"/>
      <c r="AE1013" s="421"/>
      <c r="AF1013" s="421" t="s">
        <v>6162</v>
      </c>
      <c r="AG1013" s="420" t="s">
        <v>4655</v>
      </c>
      <c r="AH1013" s="421" t="s">
        <v>3711</v>
      </c>
      <c r="AI1013" s="420" t="s">
        <v>3719</v>
      </c>
      <c r="AJ1013" s="413">
        <f t="shared" si="62"/>
        <v>4590018667</v>
      </c>
      <c r="AK1013" s="425" t="s">
        <v>6163</v>
      </c>
      <c r="AL1013" s="424">
        <v>45534</v>
      </c>
      <c r="AM1013" s="221">
        <v>3403.95</v>
      </c>
      <c r="AN1013" s="424" t="s">
        <v>3805</v>
      </c>
      <c r="AO1013" s="423"/>
      <c r="AP1013" s="413"/>
      <c r="AR1013" s="424"/>
      <c r="AS1013" s="614">
        <f ca="1">表格1_6[[#This Row],[total amount]]/表格1_6[[#This Row],[PO$]]</f>
        <v>1</v>
      </c>
      <c r="AT1013" s="318">
        <f ca="1">表格1_6[[#This Row],[invoice amount]]+表格1_6[[#This Row],[invoice amount2]]</f>
        <v>3403.95</v>
      </c>
      <c r="AU1013" s="224" t="s">
        <v>3752</v>
      </c>
      <c r="AV1013" s="423"/>
      <c r="AW1013" s="423" t="e">
        <f ca="1">VLOOKUP(表格1_6[[#This Row],[TI tool ID2]],工作表1!A:A,1,FALSE)</f>
        <v>#N/A</v>
      </c>
      <c r="AX1013" s="425" t="e">
        <f ca="1">VLOOKUP(表格1_6[[#This Row],[PO+ITEM]],工作表1!B:E,2,FALSE)</f>
        <v>#N/A</v>
      </c>
      <c r="AY1013" s="425" t="e">
        <f ca="1">VLOOKUP(表格1_6[[#This Row],[PO+ITEM]],工作表1!B:E,3,FALSE)</f>
        <v>#N/A</v>
      </c>
      <c r="AZ1013" s="423" t="e">
        <f ca="1">VLOOKUP(表格1_6[[#This Row],[PO+ITEM]],工作表1!B:E,4,FALSE)</f>
        <v>#N/A</v>
      </c>
      <c r="BA1013" s="425" t="e">
        <f ca="1">INDEX(工作表1!G:G, MATCH(表格1_6[[#This Row],[invoice number]]&amp;表格1_6[[#This Row],[invoice number2]],工作表1!G:G, 0))</f>
        <v>#N/A</v>
      </c>
      <c r="BB1013" s="423" t="e">
        <f ca="1">VLOOKUP(表格1_6[[#This Row],[PO+ITEM]],工作表1!F:H,2,FALSE)</f>
        <v>#N/A</v>
      </c>
    </row>
    <row r="1014" spans="1:54" ht="14.45">
      <c r="A1014" s="413">
        <v>1013</v>
      </c>
      <c r="B1014" s="413" t="s">
        <v>3674</v>
      </c>
      <c r="C1014" s="414" t="s">
        <v>17</v>
      </c>
      <c r="D1014" s="414" t="s">
        <v>3648</v>
      </c>
      <c r="E1014" s="414"/>
      <c r="F1014" s="414"/>
      <c r="G1014" s="414" t="s">
        <v>2196</v>
      </c>
      <c r="H1014" s="414"/>
      <c r="I1014" s="414"/>
      <c r="J1014" s="414"/>
      <c r="K1014" s="414"/>
      <c r="L1014" s="416" t="s">
        <v>6164</v>
      </c>
      <c r="M1014" s="416" t="s">
        <v>4129</v>
      </c>
      <c r="N1014" s="416"/>
      <c r="O1014" s="421"/>
      <c r="P1014" s="416">
        <v>4590018668</v>
      </c>
      <c r="Q1014" s="418">
        <v>45451</v>
      </c>
      <c r="R1014" s="426">
        <v>1</v>
      </c>
      <c r="S1014" s="461">
        <v>3403.95</v>
      </c>
      <c r="T1014" s="420" t="s">
        <v>2156</v>
      </c>
      <c r="U1014" s="414" t="s">
        <v>6165</v>
      </c>
      <c r="V1014" s="414" t="s">
        <v>4031</v>
      </c>
      <c r="W1014" s="417" t="s">
        <v>6076</v>
      </c>
      <c r="X1014" s="417"/>
      <c r="Y1014" s="421" t="s">
        <v>3652</v>
      </c>
      <c r="Z1014" s="421"/>
      <c r="AA1014" s="416" t="s">
        <v>6082</v>
      </c>
      <c r="AB1014" s="414" t="s">
        <v>6166</v>
      </c>
      <c r="AC1014" s="421" t="s">
        <v>4684</v>
      </c>
      <c r="AD1014" s="421"/>
      <c r="AE1014" s="421"/>
      <c r="AF1014" s="421" t="s">
        <v>6167</v>
      </c>
      <c r="AG1014" s="420" t="s">
        <v>4684</v>
      </c>
      <c r="AH1014" s="421" t="s">
        <v>3711</v>
      </c>
      <c r="AI1014" s="420" t="s">
        <v>3719</v>
      </c>
      <c r="AJ1014" s="413">
        <f t="shared" si="62"/>
        <v>4590018668</v>
      </c>
      <c r="AK1014" s="425" t="s">
        <v>6168</v>
      </c>
      <c r="AL1014" s="424">
        <v>45534</v>
      </c>
      <c r="AM1014" s="221">
        <v>3403.95</v>
      </c>
      <c r="AN1014" s="424" t="s">
        <v>3805</v>
      </c>
      <c r="AO1014" s="423"/>
      <c r="AP1014" s="413"/>
      <c r="AR1014" s="424"/>
      <c r="AS1014" s="614">
        <f ca="1">表格1_6[[#This Row],[total amount]]/表格1_6[[#This Row],[PO$]]</f>
        <v>1</v>
      </c>
      <c r="AT1014" s="318">
        <f ca="1">表格1_6[[#This Row],[invoice amount]]+表格1_6[[#This Row],[invoice amount2]]</f>
        <v>3403.95</v>
      </c>
      <c r="AU1014" s="224" t="s">
        <v>3752</v>
      </c>
      <c r="AV1014" s="423"/>
      <c r="AW1014" s="423" t="e">
        <f ca="1">VLOOKUP(表格1_6[[#This Row],[TI tool ID2]],工作表1!A:A,1,FALSE)</f>
        <v>#N/A</v>
      </c>
      <c r="AX1014" s="425" t="e">
        <f ca="1">VLOOKUP(表格1_6[[#This Row],[PO+ITEM]],工作表1!B:E,2,FALSE)</f>
        <v>#N/A</v>
      </c>
      <c r="AY1014" s="425" t="e">
        <f ca="1">VLOOKUP(表格1_6[[#This Row],[PO+ITEM]],工作表1!B:E,3,FALSE)</f>
        <v>#N/A</v>
      </c>
      <c r="AZ1014" s="423" t="e">
        <f ca="1">VLOOKUP(表格1_6[[#This Row],[PO+ITEM]],工作表1!B:E,4,FALSE)</f>
        <v>#N/A</v>
      </c>
      <c r="BA1014" s="425" t="e">
        <f ca="1">INDEX(工作表1!G:G, MATCH(表格1_6[[#This Row],[invoice number]]&amp;表格1_6[[#This Row],[invoice number2]],工作表1!G:G, 0))</f>
        <v>#N/A</v>
      </c>
      <c r="BB1014" s="423" t="e">
        <f ca="1">VLOOKUP(表格1_6[[#This Row],[PO+ITEM]],工作表1!F:H,2,FALSE)</f>
        <v>#N/A</v>
      </c>
    </row>
    <row r="1015" spans="1:54" ht="14.45">
      <c r="A1015" s="413">
        <v>1014</v>
      </c>
      <c r="B1015" s="413"/>
      <c r="C1015" s="414" t="s">
        <v>17</v>
      </c>
      <c r="D1015" s="414" t="s">
        <v>3648</v>
      </c>
      <c r="E1015" s="414"/>
      <c r="F1015" s="414"/>
      <c r="G1015" s="414" t="s">
        <v>2196</v>
      </c>
      <c r="H1015" s="414"/>
      <c r="I1015" s="414"/>
      <c r="J1015" s="414"/>
      <c r="K1015" s="414"/>
      <c r="L1015" s="416" t="s">
        <v>6169</v>
      </c>
      <c r="M1015" s="416" t="s">
        <v>2888</v>
      </c>
      <c r="N1015" s="416"/>
      <c r="O1015" s="421"/>
      <c r="P1015" s="416">
        <v>4590019324</v>
      </c>
      <c r="Q1015" s="418">
        <v>45470</v>
      </c>
      <c r="R1015" s="334" t="s">
        <v>3907</v>
      </c>
      <c r="S1015" s="461">
        <v>5492</v>
      </c>
      <c r="T1015" s="420" t="s">
        <v>2156</v>
      </c>
      <c r="U1015" s="414" t="s">
        <v>6170</v>
      </c>
      <c r="V1015" s="414" t="s">
        <v>3714</v>
      </c>
      <c r="W1015" s="417"/>
      <c r="X1015" s="417"/>
      <c r="Y1015" s="421" t="s">
        <v>3652</v>
      </c>
      <c r="Z1015" s="421"/>
      <c r="AA1015" s="416" t="s">
        <v>6171</v>
      </c>
      <c r="AB1015" s="414" t="s">
        <v>6172</v>
      </c>
      <c r="AC1015" s="421"/>
      <c r="AD1015" s="421"/>
      <c r="AE1015" s="421"/>
      <c r="AF1015" s="421"/>
      <c r="AG1015" s="420" t="s">
        <v>4678</v>
      </c>
      <c r="AH1015" s="421" t="s">
        <v>3711</v>
      </c>
      <c r="AI1015" s="420" t="s">
        <v>3719</v>
      </c>
      <c r="AJ1015" s="413">
        <f t="shared" si="62"/>
        <v>4590019324</v>
      </c>
      <c r="AK1015" s="425" t="s">
        <v>6173</v>
      </c>
      <c r="AL1015" s="424">
        <v>45534</v>
      </c>
      <c r="AM1015" s="221">
        <v>5492</v>
      </c>
      <c r="AN1015" s="424" t="s">
        <v>3805</v>
      </c>
      <c r="AO1015" s="423"/>
      <c r="AP1015" s="413"/>
      <c r="AR1015" s="424"/>
      <c r="AS1015" s="614">
        <f ca="1">表格1_6[[#This Row],[total amount]]/表格1_6[[#This Row],[PO$]]</f>
        <v>1</v>
      </c>
      <c r="AT1015" s="318">
        <f ca="1">表格1_6[[#This Row],[invoice amount]]+表格1_6[[#This Row],[invoice amount2]]</f>
        <v>5492</v>
      </c>
      <c r="AU1015" s="224" t="s">
        <v>3752</v>
      </c>
      <c r="AV1015" s="423"/>
      <c r="AW1015" s="423" t="e">
        <f ca="1">VLOOKUP(表格1_6[[#This Row],[TI tool ID2]],工作表1!A:A,1,FALSE)</f>
        <v>#N/A</v>
      </c>
      <c r="AX1015" s="425" t="e">
        <f ca="1">VLOOKUP(表格1_6[[#This Row],[PO+ITEM]],工作表1!B:E,2,FALSE)</f>
        <v>#N/A</v>
      </c>
      <c r="AY1015" s="425" t="e">
        <f ca="1">VLOOKUP(表格1_6[[#This Row],[PO+ITEM]],工作表1!B:E,3,FALSE)</f>
        <v>#N/A</v>
      </c>
      <c r="AZ1015" s="423" t="e">
        <f ca="1">VLOOKUP(表格1_6[[#This Row],[PO+ITEM]],工作表1!B:E,4,FALSE)</f>
        <v>#N/A</v>
      </c>
      <c r="BA1015" s="425" t="e">
        <f ca="1">INDEX(工作表1!G:G, MATCH(表格1_6[[#This Row],[invoice number]]&amp;表格1_6[[#This Row],[invoice number2]],工作表1!G:G, 0))</f>
        <v>#N/A</v>
      </c>
      <c r="BB1015" s="423" t="e">
        <f ca="1">VLOOKUP(表格1_6[[#This Row],[PO+ITEM]],工作表1!F:H,2,FALSE)</f>
        <v>#N/A</v>
      </c>
    </row>
    <row r="1016" spans="1:54" ht="14.45">
      <c r="A1016" s="413">
        <v>1015</v>
      </c>
      <c r="B1016" s="413" t="s">
        <v>3674</v>
      </c>
      <c r="C1016" s="414" t="s">
        <v>17</v>
      </c>
      <c r="D1016" s="414" t="s">
        <v>3648</v>
      </c>
      <c r="E1016" s="414"/>
      <c r="F1016" s="414"/>
      <c r="G1016" s="414" t="s">
        <v>2196</v>
      </c>
      <c r="H1016" s="414"/>
      <c r="I1016" s="414"/>
      <c r="J1016" s="414"/>
      <c r="K1016" s="414"/>
      <c r="L1016" s="415" t="s">
        <v>6174</v>
      </c>
      <c r="M1016" s="416" t="s">
        <v>4129</v>
      </c>
      <c r="N1016" s="416"/>
      <c r="O1016" s="421"/>
      <c r="P1016" s="416">
        <v>4590020406</v>
      </c>
      <c r="Q1016" s="418">
        <v>45503</v>
      </c>
      <c r="R1016" s="334" t="s">
        <v>3907</v>
      </c>
      <c r="S1016" s="461">
        <v>2871.85</v>
      </c>
      <c r="T1016" s="420" t="s">
        <v>2156</v>
      </c>
      <c r="U1016" s="414" t="s">
        <v>6175</v>
      </c>
      <c r="V1016" s="414" t="s">
        <v>4031</v>
      </c>
      <c r="W1016" s="417" t="s">
        <v>6076</v>
      </c>
      <c r="X1016" s="417"/>
      <c r="Y1016" s="421" t="s">
        <v>3652</v>
      </c>
      <c r="Z1016" s="421"/>
      <c r="AA1016" s="416" t="s">
        <v>6176</v>
      </c>
      <c r="AB1016" s="414" t="s">
        <v>6177</v>
      </c>
      <c r="AC1016" s="421"/>
      <c r="AD1016" s="421"/>
      <c r="AE1016" s="421"/>
      <c r="AF1016" s="421" t="s">
        <v>6178</v>
      </c>
      <c r="AG1016" s="420" t="s">
        <v>3286</v>
      </c>
      <c r="AH1016" s="421" t="s">
        <v>3711</v>
      </c>
      <c r="AI1016" s="420" t="s">
        <v>3666</v>
      </c>
      <c r="AJ1016" s="413">
        <f t="shared" si="62"/>
        <v>4590020406</v>
      </c>
      <c r="AK1016" s="425" t="s">
        <v>6179</v>
      </c>
      <c r="AL1016" s="424">
        <v>45534</v>
      </c>
      <c r="AM1016" s="221">
        <v>2871.85</v>
      </c>
      <c r="AN1016" s="424" t="s">
        <v>3805</v>
      </c>
      <c r="AO1016" s="423"/>
      <c r="AP1016" s="413"/>
      <c r="AR1016" s="424"/>
      <c r="AS1016" s="614">
        <f ca="1">表格1_6[[#This Row],[total amount]]/表格1_6[[#This Row],[PO$]]</f>
        <v>1</v>
      </c>
      <c r="AT1016" s="318">
        <f ca="1">表格1_6[[#This Row],[invoice amount]]+表格1_6[[#This Row],[invoice amount2]]</f>
        <v>2871.85</v>
      </c>
      <c r="AU1016" s="224" t="s">
        <v>3752</v>
      </c>
      <c r="AV1016" s="423"/>
      <c r="AW1016" s="423" t="e">
        <f ca="1">VLOOKUP(表格1_6[[#This Row],[TI tool ID2]],工作表1!A:A,1,FALSE)</f>
        <v>#N/A</v>
      </c>
      <c r="AX1016" s="425" t="e">
        <f ca="1">VLOOKUP(表格1_6[[#This Row],[PO+ITEM]],工作表1!B:E,2,FALSE)</f>
        <v>#N/A</v>
      </c>
      <c r="AY1016" s="425" t="e">
        <f ca="1">VLOOKUP(表格1_6[[#This Row],[PO+ITEM]],工作表1!B:E,3,FALSE)</f>
        <v>#N/A</v>
      </c>
      <c r="AZ1016" s="423" t="e">
        <f ca="1">VLOOKUP(表格1_6[[#This Row],[PO+ITEM]],工作表1!B:E,4,FALSE)</f>
        <v>#N/A</v>
      </c>
      <c r="BA1016" s="425" t="e">
        <f ca="1">INDEX(工作表1!G:G, MATCH(表格1_6[[#This Row],[invoice number]]&amp;表格1_6[[#This Row],[invoice number2]],工作表1!G:G, 0))</f>
        <v>#N/A</v>
      </c>
      <c r="BB1016" s="423" t="e">
        <f ca="1">VLOOKUP(表格1_6[[#This Row],[PO+ITEM]],工作表1!F:H,2,FALSE)</f>
        <v>#N/A</v>
      </c>
    </row>
    <row r="1017" spans="1:54" ht="14.45">
      <c r="A1017" s="413">
        <v>1016</v>
      </c>
      <c r="B1017" s="413" t="s">
        <v>3674</v>
      </c>
      <c r="C1017" s="414" t="s">
        <v>17</v>
      </c>
      <c r="D1017" s="414" t="s">
        <v>3648</v>
      </c>
      <c r="E1017" s="414"/>
      <c r="F1017" s="414"/>
      <c r="G1017" s="414" t="s">
        <v>2196</v>
      </c>
      <c r="H1017" s="414"/>
      <c r="I1017" s="414"/>
      <c r="J1017" s="414"/>
      <c r="K1017" s="414"/>
      <c r="L1017" s="415" t="s">
        <v>6180</v>
      </c>
      <c r="M1017" s="416" t="s">
        <v>4129</v>
      </c>
      <c r="N1017" s="416"/>
      <c r="O1017" s="421"/>
      <c r="P1017" s="416">
        <v>4590020408</v>
      </c>
      <c r="Q1017" s="418">
        <v>45503</v>
      </c>
      <c r="R1017" s="334" t="s">
        <v>3907</v>
      </c>
      <c r="S1017" s="461">
        <v>2871.85</v>
      </c>
      <c r="T1017" s="420" t="s">
        <v>2156</v>
      </c>
      <c r="U1017" s="414" t="s">
        <v>6181</v>
      </c>
      <c r="V1017" s="414" t="s">
        <v>4031</v>
      </c>
      <c r="W1017" s="417" t="s">
        <v>6076</v>
      </c>
      <c r="X1017" s="417"/>
      <c r="Y1017" s="421" t="s">
        <v>3652</v>
      </c>
      <c r="Z1017" s="421"/>
      <c r="AA1017" s="416" t="s">
        <v>6176</v>
      </c>
      <c r="AB1017" s="414" t="s">
        <v>6182</v>
      </c>
      <c r="AC1017" s="421"/>
      <c r="AD1017" s="421"/>
      <c r="AE1017" s="421"/>
      <c r="AF1017" s="421" t="s">
        <v>6183</v>
      </c>
      <c r="AG1017" s="420" t="s">
        <v>3445</v>
      </c>
      <c r="AH1017" s="421" t="s">
        <v>3711</v>
      </c>
      <c r="AI1017" s="420" t="s">
        <v>3666</v>
      </c>
      <c r="AJ1017" s="413">
        <f t="shared" si="62"/>
        <v>4590020408</v>
      </c>
      <c r="AK1017" s="420" t="s">
        <v>6184</v>
      </c>
      <c r="AL1017" s="424">
        <v>45506</v>
      </c>
      <c r="AM1017" s="456">
        <v>2871.85</v>
      </c>
      <c r="AN1017" s="424" t="s">
        <v>3805</v>
      </c>
      <c r="AO1017" s="423"/>
      <c r="AP1017" s="424"/>
      <c r="AR1017" s="424"/>
      <c r="AS1017" s="614">
        <f ca="1">表格1_6[[#This Row],[total amount]]/表格1_6[[#This Row],[PO$]]</f>
        <v>1</v>
      </c>
      <c r="AT1017" s="318">
        <f ca="1">表格1_6[[#This Row],[invoice amount]]+表格1_6[[#This Row],[invoice amount2]]</f>
        <v>2871.85</v>
      </c>
      <c r="AU1017" s="224" t="s">
        <v>3752</v>
      </c>
      <c r="AV1017" s="423"/>
      <c r="AW1017" s="423" t="e">
        <f ca="1">VLOOKUP(表格1_6[[#This Row],[TI tool ID2]],工作表1!A:A,1,FALSE)</f>
        <v>#N/A</v>
      </c>
      <c r="AX1017" s="425" t="e">
        <f ca="1">VLOOKUP(表格1_6[[#This Row],[PO+ITEM]],工作表1!B:E,2,FALSE)</f>
        <v>#N/A</v>
      </c>
      <c r="AY1017" s="425" t="e">
        <f ca="1">VLOOKUP(表格1_6[[#This Row],[PO+ITEM]],工作表1!B:E,3,FALSE)</f>
        <v>#N/A</v>
      </c>
      <c r="AZ1017" s="423" t="e">
        <f ca="1">VLOOKUP(表格1_6[[#This Row],[PO+ITEM]],工作表1!B:E,4,FALSE)</f>
        <v>#N/A</v>
      </c>
      <c r="BA1017" s="425" t="e">
        <f ca="1">INDEX(工作表1!G:G, MATCH(表格1_6[[#This Row],[invoice number]]&amp;表格1_6[[#This Row],[invoice number2]],工作表1!G:G, 0))</f>
        <v>#N/A</v>
      </c>
      <c r="BB1017" s="423" t="e">
        <f ca="1">VLOOKUP(表格1_6[[#This Row],[PO+ITEM]],工作表1!F:H,2,FALSE)</f>
        <v>#N/A</v>
      </c>
    </row>
    <row r="1018" spans="1:54" ht="14.45">
      <c r="A1018" s="413">
        <v>1017</v>
      </c>
      <c r="B1018" s="413" t="s">
        <v>3674</v>
      </c>
      <c r="C1018" s="414" t="s">
        <v>17</v>
      </c>
      <c r="D1018" s="414" t="s">
        <v>3648</v>
      </c>
      <c r="E1018" s="414"/>
      <c r="F1018" s="414"/>
      <c r="G1018" s="414" t="s">
        <v>2196</v>
      </c>
      <c r="H1018" s="414"/>
      <c r="I1018" s="414"/>
      <c r="J1018" s="414"/>
      <c r="K1018" s="414"/>
      <c r="L1018" s="415" t="s">
        <v>6185</v>
      </c>
      <c r="M1018" s="416" t="s">
        <v>4129</v>
      </c>
      <c r="N1018" s="416"/>
      <c r="O1018" s="421"/>
      <c r="P1018" s="416">
        <v>4590020409</v>
      </c>
      <c r="Q1018" s="418">
        <v>45503</v>
      </c>
      <c r="R1018" s="334" t="s">
        <v>3907</v>
      </c>
      <c r="S1018" s="461">
        <v>2871.85</v>
      </c>
      <c r="T1018" s="420" t="s">
        <v>2156</v>
      </c>
      <c r="U1018" s="414" t="s">
        <v>6186</v>
      </c>
      <c r="V1018" s="414" t="s">
        <v>4031</v>
      </c>
      <c r="W1018" s="417" t="s">
        <v>6076</v>
      </c>
      <c r="X1018" s="417"/>
      <c r="Y1018" s="421" t="s">
        <v>3652</v>
      </c>
      <c r="Z1018" s="421"/>
      <c r="AA1018" s="416" t="s">
        <v>6176</v>
      </c>
      <c r="AB1018" s="414" t="s">
        <v>6187</v>
      </c>
      <c r="AC1018" s="421"/>
      <c r="AD1018" s="421"/>
      <c r="AE1018" s="421"/>
      <c r="AF1018" s="421" t="s">
        <v>6188</v>
      </c>
      <c r="AG1018" s="420" t="s">
        <v>3256</v>
      </c>
      <c r="AH1018" s="421" t="s">
        <v>3711</v>
      </c>
      <c r="AI1018" s="420" t="s">
        <v>3666</v>
      </c>
      <c r="AJ1018" s="413">
        <f t="shared" si="62"/>
        <v>4590020409</v>
      </c>
      <c r="AK1018" s="420" t="s">
        <v>6189</v>
      </c>
      <c r="AL1018" s="424">
        <v>45506</v>
      </c>
      <c r="AM1018" s="456">
        <v>2871.85</v>
      </c>
      <c r="AN1018" s="424" t="s">
        <v>3805</v>
      </c>
      <c r="AO1018" s="423"/>
      <c r="AP1018" s="424"/>
      <c r="AR1018" s="424"/>
      <c r="AS1018" s="614">
        <f ca="1">表格1_6[[#This Row],[total amount]]/表格1_6[[#This Row],[PO$]]</f>
        <v>1</v>
      </c>
      <c r="AT1018" s="318">
        <f ca="1">表格1_6[[#This Row],[invoice amount]]+表格1_6[[#This Row],[invoice amount2]]</f>
        <v>2871.85</v>
      </c>
      <c r="AU1018" s="224" t="s">
        <v>3752</v>
      </c>
      <c r="AV1018" s="423"/>
      <c r="AW1018" s="423" t="e">
        <f ca="1">VLOOKUP(表格1_6[[#This Row],[TI tool ID2]],工作表1!A:A,1,FALSE)</f>
        <v>#N/A</v>
      </c>
      <c r="AX1018" s="425" t="e">
        <f ca="1">VLOOKUP(表格1_6[[#This Row],[PO+ITEM]],工作表1!B:E,2,FALSE)</f>
        <v>#N/A</v>
      </c>
      <c r="AY1018" s="425" t="e">
        <f ca="1">VLOOKUP(表格1_6[[#This Row],[PO+ITEM]],工作表1!B:E,3,FALSE)</f>
        <v>#N/A</v>
      </c>
      <c r="AZ1018" s="423" t="e">
        <f ca="1">VLOOKUP(表格1_6[[#This Row],[PO+ITEM]],工作表1!B:E,4,FALSE)</f>
        <v>#N/A</v>
      </c>
      <c r="BA1018" s="425" t="e">
        <f ca="1">INDEX(工作表1!G:G, MATCH(表格1_6[[#This Row],[invoice number]]&amp;表格1_6[[#This Row],[invoice number2]],工作表1!G:G, 0))</f>
        <v>#N/A</v>
      </c>
      <c r="BB1018" s="423" t="e">
        <f ca="1">VLOOKUP(表格1_6[[#This Row],[PO+ITEM]],工作表1!F:H,2,FALSE)</f>
        <v>#N/A</v>
      </c>
    </row>
    <row r="1019" spans="1:54" ht="14.45">
      <c r="A1019" s="413">
        <v>1018</v>
      </c>
      <c r="B1019" s="413" t="s">
        <v>3674</v>
      </c>
      <c r="C1019" s="414" t="s">
        <v>17</v>
      </c>
      <c r="D1019" s="414" t="s">
        <v>3648</v>
      </c>
      <c r="E1019" s="414"/>
      <c r="F1019" s="414"/>
      <c r="G1019" s="414" t="s">
        <v>2196</v>
      </c>
      <c r="H1019" s="414"/>
      <c r="I1019" s="414"/>
      <c r="J1019" s="414"/>
      <c r="K1019" s="414"/>
      <c r="L1019" s="415" t="s">
        <v>6190</v>
      </c>
      <c r="M1019" s="416" t="s">
        <v>4129</v>
      </c>
      <c r="N1019" s="416"/>
      <c r="O1019" s="421"/>
      <c r="P1019" s="416">
        <v>4590020436</v>
      </c>
      <c r="Q1019" s="418">
        <v>45503</v>
      </c>
      <c r="R1019" s="334" t="s">
        <v>3907</v>
      </c>
      <c r="S1019" s="461">
        <v>4721.99</v>
      </c>
      <c r="T1019" s="420" t="s">
        <v>2156</v>
      </c>
      <c r="U1019" s="414" t="s">
        <v>6191</v>
      </c>
      <c r="V1019" s="414" t="s">
        <v>4031</v>
      </c>
      <c r="W1019" s="417" t="s">
        <v>6076</v>
      </c>
      <c r="X1019" s="417"/>
      <c r="Y1019" s="421" t="s">
        <v>3652</v>
      </c>
      <c r="Z1019" s="421"/>
      <c r="AA1019" s="416" t="s">
        <v>6176</v>
      </c>
      <c r="AB1019" s="414" t="s">
        <v>6192</v>
      </c>
      <c r="AC1019" s="421"/>
      <c r="AD1019" s="421"/>
      <c r="AE1019" s="421"/>
      <c r="AF1019" s="421" t="s">
        <v>6193</v>
      </c>
      <c r="AG1019" s="420" t="s">
        <v>3326</v>
      </c>
      <c r="AH1019" s="421" t="s">
        <v>3665</v>
      </c>
      <c r="AI1019" s="420" t="s">
        <v>3666</v>
      </c>
      <c r="AJ1019" s="413">
        <f t="shared" si="62"/>
        <v>4590020436</v>
      </c>
      <c r="AK1019" s="420" t="s">
        <v>6194</v>
      </c>
      <c r="AL1019" s="424">
        <v>45506</v>
      </c>
      <c r="AM1019" s="456">
        <v>4721.99</v>
      </c>
      <c r="AN1019" s="424">
        <v>45565</v>
      </c>
      <c r="AO1019" s="423"/>
      <c r="AP1019" s="424"/>
      <c r="AR1019" s="424"/>
      <c r="AS1019" s="614">
        <f ca="1">表格1_6[[#This Row],[total amount]]/表格1_6[[#This Row],[PO$]]</f>
        <v>1</v>
      </c>
      <c r="AT1019" s="318">
        <f ca="1">表格1_6[[#This Row],[invoice amount]]+表格1_6[[#This Row],[invoice amount2]]</f>
        <v>4721.99</v>
      </c>
      <c r="AU1019" s="224" t="s">
        <v>3725</v>
      </c>
      <c r="AV1019" s="423"/>
      <c r="AW1019" s="423" t="e">
        <f ca="1">VLOOKUP(表格1_6[[#This Row],[TI tool ID2]],工作表1!A:A,1,FALSE)</f>
        <v>#N/A</v>
      </c>
      <c r="AX1019" s="425" t="e">
        <f ca="1">VLOOKUP(表格1_6[[#This Row],[PO+ITEM]],工作表1!B:E,2,FALSE)</f>
        <v>#N/A</v>
      </c>
      <c r="AY1019" s="425" t="e">
        <f ca="1">VLOOKUP(表格1_6[[#This Row],[PO+ITEM]],工作表1!B:E,3,FALSE)</f>
        <v>#N/A</v>
      </c>
      <c r="AZ1019" s="423" t="e">
        <f ca="1">VLOOKUP(表格1_6[[#This Row],[PO+ITEM]],工作表1!B:E,4,FALSE)</f>
        <v>#N/A</v>
      </c>
      <c r="BA1019" s="425" t="e">
        <f ca="1">INDEX(工作表1!G:G, MATCH(表格1_6[[#This Row],[invoice number]]&amp;表格1_6[[#This Row],[invoice number2]],工作表1!G:G, 0))</f>
        <v>#N/A</v>
      </c>
      <c r="BB1019" s="423" t="e">
        <f ca="1">VLOOKUP(表格1_6[[#This Row],[PO+ITEM]],工作表1!F:H,2,FALSE)</f>
        <v>#N/A</v>
      </c>
    </row>
    <row r="1020" spans="1:54" ht="14.45">
      <c r="A1020" s="413">
        <v>1019</v>
      </c>
      <c r="B1020" s="413" t="s">
        <v>3674</v>
      </c>
      <c r="C1020" s="414" t="s">
        <v>17</v>
      </c>
      <c r="D1020" s="414" t="s">
        <v>3648</v>
      </c>
      <c r="E1020" s="414"/>
      <c r="F1020" s="414"/>
      <c r="G1020" s="414" t="s">
        <v>2196</v>
      </c>
      <c r="H1020" s="414"/>
      <c r="I1020" s="414"/>
      <c r="J1020" s="414"/>
      <c r="K1020" s="414"/>
      <c r="L1020" s="415" t="s">
        <v>6195</v>
      </c>
      <c r="M1020" s="416" t="s">
        <v>4129</v>
      </c>
      <c r="N1020" s="416"/>
      <c r="O1020" s="421"/>
      <c r="P1020" s="416">
        <v>4590020407</v>
      </c>
      <c r="Q1020" s="418">
        <v>45503</v>
      </c>
      <c r="R1020" s="334" t="s">
        <v>3907</v>
      </c>
      <c r="S1020" s="461">
        <v>2871.85</v>
      </c>
      <c r="T1020" s="420" t="s">
        <v>2156</v>
      </c>
      <c r="U1020" s="414" t="s">
        <v>6196</v>
      </c>
      <c r="V1020" s="414" t="s">
        <v>4031</v>
      </c>
      <c r="W1020" s="417" t="s">
        <v>6076</v>
      </c>
      <c r="X1020" s="417"/>
      <c r="Y1020" s="421" t="s">
        <v>3652</v>
      </c>
      <c r="Z1020" s="421"/>
      <c r="AA1020" s="416" t="s">
        <v>6176</v>
      </c>
      <c r="AB1020" s="414" t="s">
        <v>6197</v>
      </c>
      <c r="AC1020" s="421"/>
      <c r="AD1020" s="421"/>
      <c r="AE1020" s="421"/>
      <c r="AF1020" s="421" t="s">
        <v>6198</v>
      </c>
      <c r="AG1020" s="420" t="s">
        <v>3242</v>
      </c>
      <c r="AH1020" s="421" t="s">
        <v>3711</v>
      </c>
      <c r="AI1020" s="420" t="s">
        <v>3666</v>
      </c>
      <c r="AJ1020" s="413">
        <f t="shared" si="62"/>
        <v>4590020407</v>
      </c>
      <c r="AK1020" s="420" t="s">
        <v>6199</v>
      </c>
      <c r="AL1020" s="424">
        <v>45506</v>
      </c>
      <c r="AM1020" s="456">
        <v>2871.85</v>
      </c>
      <c r="AN1020" s="424" t="s">
        <v>3805</v>
      </c>
      <c r="AO1020" s="423"/>
      <c r="AP1020" s="424"/>
      <c r="AR1020" s="424"/>
      <c r="AS1020" s="614">
        <f ca="1">表格1_6[[#This Row],[total amount]]/表格1_6[[#This Row],[PO$]]</f>
        <v>1</v>
      </c>
      <c r="AT1020" s="318">
        <f ca="1">表格1_6[[#This Row],[invoice amount]]+表格1_6[[#This Row],[invoice amount2]]</f>
        <v>2871.85</v>
      </c>
      <c r="AU1020" s="224" t="s">
        <v>3752</v>
      </c>
      <c r="AV1020" s="423"/>
      <c r="AW1020" s="423" t="e">
        <f ca="1">VLOOKUP(表格1_6[[#This Row],[TI tool ID2]],工作表1!A:A,1,FALSE)</f>
        <v>#N/A</v>
      </c>
      <c r="AX1020" s="425" t="e">
        <f ca="1">VLOOKUP(表格1_6[[#This Row],[PO+ITEM]],工作表1!B:E,2,FALSE)</f>
        <v>#N/A</v>
      </c>
      <c r="AY1020" s="425" t="e">
        <f ca="1">VLOOKUP(表格1_6[[#This Row],[PO+ITEM]],工作表1!B:E,3,FALSE)</f>
        <v>#N/A</v>
      </c>
      <c r="AZ1020" s="423" t="e">
        <f ca="1">VLOOKUP(表格1_6[[#This Row],[PO+ITEM]],工作表1!B:E,4,FALSE)</f>
        <v>#N/A</v>
      </c>
      <c r="BA1020" s="425" t="e">
        <f ca="1">INDEX(工作表1!G:G, MATCH(表格1_6[[#This Row],[invoice number]]&amp;表格1_6[[#This Row],[invoice number2]],工作表1!G:G, 0))</f>
        <v>#N/A</v>
      </c>
      <c r="BB1020" s="423" t="e">
        <f ca="1">VLOOKUP(表格1_6[[#This Row],[PO+ITEM]],工作表1!F:H,2,FALSE)</f>
        <v>#N/A</v>
      </c>
    </row>
    <row r="1021" spans="1:54" ht="14.45">
      <c r="A1021" s="413">
        <v>1020</v>
      </c>
      <c r="B1021" s="413" t="s">
        <v>3674</v>
      </c>
      <c r="C1021" s="414" t="s">
        <v>17</v>
      </c>
      <c r="D1021" s="414" t="s">
        <v>3648</v>
      </c>
      <c r="E1021" s="414"/>
      <c r="F1021" s="414"/>
      <c r="G1021" s="414" t="s">
        <v>2196</v>
      </c>
      <c r="H1021" s="414"/>
      <c r="I1021" s="414"/>
      <c r="J1021" s="414"/>
      <c r="K1021" s="414"/>
      <c r="L1021" s="415" t="s">
        <v>6200</v>
      </c>
      <c r="M1021" s="416" t="s">
        <v>4129</v>
      </c>
      <c r="N1021" s="416"/>
      <c r="O1021" s="421"/>
      <c r="P1021" s="416">
        <v>4590020410</v>
      </c>
      <c r="Q1021" s="418">
        <v>45503</v>
      </c>
      <c r="R1021" s="334" t="s">
        <v>3907</v>
      </c>
      <c r="S1021" s="461">
        <v>2871.85</v>
      </c>
      <c r="T1021" s="420" t="s">
        <v>2156</v>
      </c>
      <c r="U1021" s="414" t="s">
        <v>6201</v>
      </c>
      <c r="V1021" s="414" t="s">
        <v>4031</v>
      </c>
      <c r="W1021" s="417" t="s">
        <v>6076</v>
      </c>
      <c r="X1021" s="417"/>
      <c r="Y1021" s="421" t="s">
        <v>3652</v>
      </c>
      <c r="Z1021" s="421"/>
      <c r="AA1021" s="416" t="s">
        <v>6176</v>
      </c>
      <c r="AB1021" s="414" t="s">
        <v>6202</v>
      </c>
      <c r="AC1021" s="421"/>
      <c r="AD1021" s="421"/>
      <c r="AE1021" s="421"/>
      <c r="AF1021" s="421" t="s">
        <v>6203</v>
      </c>
      <c r="AG1021" s="420" t="s">
        <v>3173</v>
      </c>
      <c r="AH1021" s="421" t="s">
        <v>3711</v>
      </c>
      <c r="AI1021" s="420" t="s">
        <v>3666</v>
      </c>
      <c r="AJ1021" s="413">
        <f t="shared" si="62"/>
        <v>4590020410</v>
      </c>
      <c r="AK1021" s="420" t="s">
        <v>6204</v>
      </c>
      <c r="AL1021" s="424">
        <v>45506</v>
      </c>
      <c r="AM1021" s="451">
        <v>2871.85</v>
      </c>
      <c r="AN1021" s="424" t="s">
        <v>3805</v>
      </c>
      <c r="AO1021" s="423"/>
      <c r="AP1021" s="424"/>
      <c r="AR1021" s="424"/>
      <c r="AS1021" s="614">
        <f ca="1">表格1_6[[#This Row],[total amount]]/表格1_6[[#This Row],[PO$]]</f>
        <v>1</v>
      </c>
      <c r="AT1021" s="318">
        <f ca="1">表格1_6[[#This Row],[invoice amount]]+表格1_6[[#This Row],[invoice amount2]]</f>
        <v>2871.85</v>
      </c>
      <c r="AU1021" s="224" t="s">
        <v>3752</v>
      </c>
      <c r="AV1021" s="423"/>
      <c r="AW1021" s="423" t="e">
        <f ca="1">VLOOKUP(表格1_6[[#This Row],[TI tool ID2]],工作表1!A:A,1,FALSE)</f>
        <v>#N/A</v>
      </c>
      <c r="AX1021" s="425" t="e">
        <f ca="1">VLOOKUP(表格1_6[[#This Row],[PO+ITEM]],工作表1!B:E,2,FALSE)</f>
        <v>#N/A</v>
      </c>
      <c r="AY1021" s="425" t="e">
        <f ca="1">VLOOKUP(表格1_6[[#This Row],[PO+ITEM]],工作表1!B:E,3,FALSE)</f>
        <v>#N/A</v>
      </c>
      <c r="AZ1021" s="423" t="e">
        <f ca="1">VLOOKUP(表格1_6[[#This Row],[PO+ITEM]],工作表1!B:E,4,FALSE)</f>
        <v>#N/A</v>
      </c>
      <c r="BA1021" s="425" t="e">
        <f ca="1">INDEX(工作表1!G:G, MATCH(表格1_6[[#This Row],[invoice number]]&amp;表格1_6[[#This Row],[invoice number2]],工作表1!G:G, 0))</f>
        <v>#N/A</v>
      </c>
      <c r="BB1021" s="423" t="e">
        <f ca="1">VLOOKUP(表格1_6[[#This Row],[PO+ITEM]],工作表1!F:H,2,FALSE)</f>
        <v>#N/A</v>
      </c>
    </row>
    <row r="1022" spans="1:54" ht="14.45">
      <c r="A1022" s="413">
        <v>1021</v>
      </c>
      <c r="B1022" s="413" t="s">
        <v>3674</v>
      </c>
      <c r="C1022" s="414" t="s">
        <v>17</v>
      </c>
      <c r="D1022" s="414" t="s">
        <v>3648</v>
      </c>
      <c r="E1022" s="414"/>
      <c r="F1022" s="414"/>
      <c r="G1022" s="414" t="s">
        <v>2196</v>
      </c>
      <c r="H1022" s="414"/>
      <c r="I1022" s="414"/>
      <c r="J1022" s="414"/>
      <c r="K1022" s="414"/>
      <c r="L1022" s="415" t="s">
        <v>6205</v>
      </c>
      <c r="M1022" s="416" t="s">
        <v>4129</v>
      </c>
      <c r="N1022" s="416"/>
      <c r="O1022" s="421"/>
      <c r="P1022" s="416">
        <v>4590020415</v>
      </c>
      <c r="Q1022" s="418">
        <v>45503</v>
      </c>
      <c r="R1022" s="334" t="s">
        <v>3907</v>
      </c>
      <c r="S1022" s="461">
        <v>2871.85</v>
      </c>
      <c r="T1022" s="420" t="s">
        <v>2156</v>
      </c>
      <c r="U1022" s="414" t="s">
        <v>6206</v>
      </c>
      <c r="V1022" s="414" t="s">
        <v>4031</v>
      </c>
      <c r="W1022" s="417" t="s">
        <v>6076</v>
      </c>
      <c r="X1022" s="417"/>
      <c r="Y1022" s="421" t="s">
        <v>3652</v>
      </c>
      <c r="Z1022" s="421"/>
      <c r="AA1022" s="416" t="s">
        <v>6176</v>
      </c>
      <c r="AB1022" s="414" t="s">
        <v>6207</v>
      </c>
      <c r="AC1022" s="421"/>
      <c r="AD1022" s="421"/>
      <c r="AE1022" s="421"/>
      <c r="AF1022" s="421" t="s">
        <v>6208</v>
      </c>
      <c r="AG1022" s="420" t="s">
        <v>3175</v>
      </c>
      <c r="AH1022" s="421" t="s">
        <v>3711</v>
      </c>
      <c r="AI1022" s="420" t="s">
        <v>3666</v>
      </c>
      <c r="AJ1022" s="413">
        <f t="shared" si="62"/>
        <v>4590020415</v>
      </c>
      <c r="AK1022" s="420" t="s">
        <v>6209</v>
      </c>
      <c r="AL1022" s="424">
        <v>45506</v>
      </c>
      <c r="AM1022" s="451">
        <v>2871.85</v>
      </c>
      <c r="AN1022" s="424" t="s">
        <v>3805</v>
      </c>
      <c r="AO1022" s="423"/>
      <c r="AP1022" s="424"/>
      <c r="AR1022" s="424"/>
      <c r="AS1022" s="614">
        <f ca="1">表格1_6[[#This Row],[total amount]]/表格1_6[[#This Row],[PO$]]</f>
        <v>1</v>
      </c>
      <c r="AT1022" s="318">
        <f ca="1">表格1_6[[#This Row],[invoice amount]]+表格1_6[[#This Row],[invoice amount2]]</f>
        <v>2871.85</v>
      </c>
      <c r="AU1022" s="224" t="s">
        <v>3752</v>
      </c>
      <c r="AV1022" s="423"/>
      <c r="AW1022" s="423" t="e">
        <f ca="1">VLOOKUP(表格1_6[[#This Row],[TI tool ID2]],工作表1!A:A,1,FALSE)</f>
        <v>#N/A</v>
      </c>
      <c r="AX1022" s="425" t="e">
        <f ca="1">VLOOKUP(表格1_6[[#This Row],[PO+ITEM]],工作表1!B:E,2,FALSE)</f>
        <v>#N/A</v>
      </c>
      <c r="AY1022" s="425" t="e">
        <f ca="1">VLOOKUP(表格1_6[[#This Row],[PO+ITEM]],工作表1!B:E,3,FALSE)</f>
        <v>#N/A</v>
      </c>
      <c r="AZ1022" s="423" t="e">
        <f ca="1">VLOOKUP(表格1_6[[#This Row],[PO+ITEM]],工作表1!B:E,4,FALSE)</f>
        <v>#N/A</v>
      </c>
      <c r="BA1022" s="425" t="e">
        <f ca="1">INDEX(工作表1!G:G, MATCH(表格1_6[[#This Row],[invoice number]]&amp;表格1_6[[#This Row],[invoice number2]],工作表1!G:G, 0))</f>
        <v>#N/A</v>
      </c>
      <c r="BB1022" s="423" t="e">
        <f ca="1">VLOOKUP(表格1_6[[#This Row],[PO+ITEM]],工作表1!F:H,2,FALSE)</f>
        <v>#N/A</v>
      </c>
    </row>
    <row r="1023" spans="1:54" ht="14.45">
      <c r="A1023" s="413">
        <v>1022</v>
      </c>
      <c r="B1023" s="413" t="s">
        <v>3674</v>
      </c>
      <c r="C1023" s="414" t="s">
        <v>17</v>
      </c>
      <c r="D1023" s="414" t="s">
        <v>3648</v>
      </c>
      <c r="E1023" s="414"/>
      <c r="F1023" s="414"/>
      <c r="G1023" s="414" t="s">
        <v>2196</v>
      </c>
      <c r="H1023" s="414"/>
      <c r="I1023" s="414"/>
      <c r="J1023" s="414"/>
      <c r="K1023" s="414"/>
      <c r="L1023" s="415" t="s">
        <v>6210</v>
      </c>
      <c r="M1023" s="416" t="s">
        <v>4129</v>
      </c>
      <c r="N1023" s="416"/>
      <c r="O1023" s="421"/>
      <c r="P1023" s="416">
        <v>4590020416</v>
      </c>
      <c r="Q1023" s="418">
        <v>45503</v>
      </c>
      <c r="R1023" s="334" t="s">
        <v>3907</v>
      </c>
      <c r="S1023" s="461">
        <v>2871.85</v>
      </c>
      <c r="T1023" s="420" t="s">
        <v>2156</v>
      </c>
      <c r="U1023" s="414" t="s">
        <v>6211</v>
      </c>
      <c r="V1023" s="414" t="s">
        <v>4031</v>
      </c>
      <c r="W1023" s="417" t="s">
        <v>6076</v>
      </c>
      <c r="X1023" s="417"/>
      <c r="Y1023" s="421" t="s">
        <v>3652</v>
      </c>
      <c r="Z1023" s="421"/>
      <c r="AA1023" s="416" t="s">
        <v>6176</v>
      </c>
      <c r="AB1023" s="414" t="s">
        <v>6212</v>
      </c>
      <c r="AC1023" s="421"/>
      <c r="AD1023" s="421"/>
      <c r="AE1023" s="421"/>
      <c r="AF1023" s="421" t="s">
        <v>6213</v>
      </c>
      <c r="AG1023" s="420" t="s">
        <v>3268</v>
      </c>
      <c r="AH1023" s="421" t="s">
        <v>3711</v>
      </c>
      <c r="AI1023" s="420" t="s">
        <v>3666</v>
      </c>
      <c r="AJ1023" s="413">
        <f t="shared" si="62"/>
        <v>4590020416</v>
      </c>
      <c r="AK1023" s="420" t="s">
        <v>6214</v>
      </c>
      <c r="AL1023" s="424">
        <v>45506</v>
      </c>
      <c r="AM1023" s="451">
        <v>2871.85</v>
      </c>
      <c r="AN1023" s="424" t="s">
        <v>3805</v>
      </c>
      <c r="AO1023" s="423"/>
      <c r="AP1023" s="424"/>
      <c r="AR1023" s="424"/>
      <c r="AS1023" s="614">
        <f ca="1">表格1_6[[#This Row],[total amount]]/表格1_6[[#This Row],[PO$]]</f>
        <v>1</v>
      </c>
      <c r="AT1023" s="318">
        <f ca="1">表格1_6[[#This Row],[invoice amount]]+表格1_6[[#This Row],[invoice amount2]]</f>
        <v>2871.85</v>
      </c>
      <c r="AU1023" s="224" t="s">
        <v>3752</v>
      </c>
      <c r="AV1023" s="423"/>
      <c r="AW1023" s="423" t="e">
        <f ca="1">VLOOKUP(表格1_6[[#This Row],[TI tool ID2]],工作表1!A:A,1,FALSE)</f>
        <v>#N/A</v>
      </c>
      <c r="AX1023" s="425" t="e">
        <f ca="1">VLOOKUP(表格1_6[[#This Row],[PO+ITEM]],工作表1!B:E,2,FALSE)</f>
        <v>#N/A</v>
      </c>
      <c r="AY1023" s="425" t="e">
        <f ca="1">VLOOKUP(表格1_6[[#This Row],[PO+ITEM]],工作表1!B:E,3,FALSE)</f>
        <v>#N/A</v>
      </c>
      <c r="AZ1023" s="423" t="e">
        <f ca="1">VLOOKUP(表格1_6[[#This Row],[PO+ITEM]],工作表1!B:E,4,FALSE)</f>
        <v>#N/A</v>
      </c>
      <c r="BA1023" s="425" t="e">
        <f ca="1">INDEX(工作表1!G:G, MATCH(表格1_6[[#This Row],[invoice number]]&amp;表格1_6[[#This Row],[invoice number2]],工作表1!G:G, 0))</f>
        <v>#N/A</v>
      </c>
      <c r="BB1023" s="423" t="e">
        <f ca="1">VLOOKUP(表格1_6[[#This Row],[PO+ITEM]],工作表1!F:H,2,FALSE)</f>
        <v>#N/A</v>
      </c>
    </row>
    <row r="1024" spans="1:54" ht="14.45">
      <c r="A1024" s="413">
        <v>1023</v>
      </c>
      <c r="B1024" s="413" t="s">
        <v>3674</v>
      </c>
      <c r="C1024" s="414" t="s">
        <v>17</v>
      </c>
      <c r="D1024" s="414" t="s">
        <v>3648</v>
      </c>
      <c r="E1024" s="414"/>
      <c r="F1024" s="414"/>
      <c r="G1024" s="414" t="s">
        <v>2196</v>
      </c>
      <c r="H1024" s="414"/>
      <c r="I1024" s="414"/>
      <c r="J1024" s="414"/>
      <c r="K1024" s="414"/>
      <c r="L1024" s="415" t="s">
        <v>6215</v>
      </c>
      <c r="M1024" s="416" t="s">
        <v>4129</v>
      </c>
      <c r="N1024" s="416"/>
      <c r="O1024" s="421"/>
      <c r="P1024" s="416">
        <v>4590020437</v>
      </c>
      <c r="Q1024" s="418">
        <v>45503</v>
      </c>
      <c r="R1024" s="334" t="s">
        <v>3907</v>
      </c>
      <c r="S1024" s="461">
        <v>4721.99</v>
      </c>
      <c r="T1024" s="420" t="s">
        <v>2156</v>
      </c>
      <c r="U1024" s="414" t="s">
        <v>6216</v>
      </c>
      <c r="V1024" s="414" t="s">
        <v>4031</v>
      </c>
      <c r="W1024" s="417" t="s">
        <v>6076</v>
      </c>
      <c r="X1024" s="417"/>
      <c r="Y1024" s="421" t="s">
        <v>3652</v>
      </c>
      <c r="Z1024" s="421"/>
      <c r="AA1024" s="416" t="s">
        <v>6176</v>
      </c>
      <c r="AB1024" s="414" t="s">
        <v>6217</v>
      </c>
      <c r="AC1024" s="421"/>
      <c r="AD1024" s="421"/>
      <c r="AE1024" s="421"/>
      <c r="AF1024" s="421" t="s">
        <v>6218</v>
      </c>
      <c r="AG1024" s="420" t="s">
        <v>3197</v>
      </c>
      <c r="AH1024" s="421" t="s">
        <v>3665</v>
      </c>
      <c r="AI1024" s="420"/>
      <c r="AJ1024" s="413">
        <f t="shared" si="62"/>
        <v>4590020437</v>
      </c>
      <c r="AK1024" s="420"/>
      <c r="AL1024" s="413"/>
      <c r="AM1024" s="449"/>
      <c r="AN1024" s="424"/>
      <c r="AO1024" s="423"/>
      <c r="AP1024" s="413"/>
      <c r="AR1024" s="424"/>
      <c r="AS1024" s="614">
        <f ca="1">表格1_6[[#This Row],[total amount]]/表格1_6[[#This Row],[PO$]]</f>
        <v>0</v>
      </c>
      <c r="AT1024" s="318">
        <f ca="1">表格1_6[[#This Row],[invoice amount]]+表格1_6[[#This Row],[invoice amount2]]</f>
        <v>0</v>
      </c>
      <c r="AV1024" s="423"/>
      <c r="AW1024" s="423" t="e">
        <f ca="1">VLOOKUP(表格1_6[[#This Row],[TI tool ID2]],工作表1!A:A,1,FALSE)</f>
        <v>#N/A</v>
      </c>
      <c r="AX1024" s="425" t="e">
        <f ca="1">VLOOKUP(表格1_6[[#This Row],[PO+ITEM]],工作表1!B:E,2,FALSE)</f>
        <v>#N/A</v>
      </c>
      <c r="AY1024" s="425" t="e">
        <f ca="1">VLOOKUP(表格1_6[[#This Row],[PO+ITEM]],工作表1!B:E,3,FALSE)</f>
        <v>#N/A</v>
      </c>
      <c r="AZ1024" s="423" t="e">
        <f ca="1">VLOOKUP(表格1_6[[#This Row],[PO+ITEM]],工作表1!B:E,4,FALSE)</f>
        <v>#N/A</v>
      </c>
      <c r="BA1024" s="425" t="e">
        <f ca="1">INDEX(工作表1!G:G, MATCH(表格1_6[[#This Row],[invoice number]]&amp;表格1_6[[#This Row],[invoice number2]],工作表1!G:G, 0))</f>
        <v>#N/A</v>
      </c>
      <c r="BB1024" s="423" t="e">
        <f ca="1">VLOOKUP(表格1_6[[#This Row],[PO+ITEM]],工作表1!F:H,2,FALSE)</f>
        <v>#N/A</v>
      </c>
    </row>
    <row r="1025" spans="1:54" ht="14.45">
      <c r="A1025" s="413">
        <v>1024</v>
      </c>
      <c r="B1025" s="413" t="s">
        <v>3674</v>
      </c>
      <c r="C1025" s="414" t="s">
        <v>17</v>
      </c>
      <c r="D1025" s="414" t="s">
        <v>3648</v>
      </c>
      <c r="E1025" s="414"/>
      <c r="F1025" s="414"/>
      <c r="G1025" s="414" t="s">
        <v>2196</v>
      </c>
      <c r="H1025" s="414"/>
      <c r="I1025" s="414"/>
      <c r="J1025" s="414"/>
      <c r="K1025" s="414"/>
      <c r="L1025" s="415" t="s">
        <v>6219</v>
      </c>
      <c r="M1025" s="416" t="s">
        <v>4129</v>
      </c>
      <c r="N1025" s="416"/>
      <c r="O1025" s="421"/>
      <c r="P1025" s="416">
        <v>4590020440</v>
      </c>
      <c r="Q1025" s="418">
        <v>45503</v>
      </c>
      <c r="R1025" s="334" t="s">
        <v>3907</v>
      </c>
      <c r="S1025" s="461">
        <v>4721.99</v>
      </c>
      <c r="T1025" s="420" t="s">
        <v>2156</v>
      </c>
      <c r="U1025" s="414" t="s">
        <v>6220</v>
      </c>
      <c r="V1025" s="414" t="s">
        <v>4031</v>
      </c>
      <c r="W1025" s="417" t="s">
        <v>6076</v>
      </c>
      <c r="X1025" s="417"/>
      <c r="Y1025" s="421" t="s">
        <v>3652</v>
      </c>
      <c r="Z1025" s="421"/>
      <c r="AA1025" s="416" t="s">
        <v>6176</v>
      </c>
      <c r="AB1025" s="414" t="s">
        <v>6221</v>
      </c>
      <c r="AC1025" s="421"/>
      <c r="AD1025" s="421"/>
      <c r="AE1025" s="421"/>
      <c r="AF1025" s="421" t="s">
        <v>6222</v>
      </c>
      <c r="AG1025" s="420" t="s">
        <v>3295</v>
      </c>
      <c r="AH1025" s="421" t="s">
        <v>3665</v>
      </c>
      <c r="AI1025" s="420" t="s">
        <v>3666</v>
      </c>
      <c r="AJ1025" s="413">
        <f t="shared" si="62"/>
        <v>4590020440</v>
      </c>
      <c r="AK1025" s="420" t="s">
        <v>6223</v>
      </c>
      <c r="AL1025" s="424">
        <v>45506</v>
      </c>
      <c r="AM1025" s="451">
        <v>4721.99</v>
      </c>
      <c r="AN1025" s="424">
        <v>45565</v>
      </c>
      <c r="AO1025" s="423"/>
      <c r="AP1025" s="424"/>
      <c r="AR1025" s="424"/>
      <c r="AS1025" s="614">
        <f ca="1">表格1_6[[#This Row],[total amount]]/表格1_6[[#This Row],[PO$]]</f>
        <v>1</v>
      </c>
      <c r="AT1025" s="318">
        <f ca="1">表格1_6[[#This Row],[invoice amount]]+表格1_6[[#This Row],[invoice amount2]]</f>
        <v>4721.99</v>
      </c>
      <c r="AU1025" s="224" t="s">
        <v>3725</v>
      </c>
      <c r="AV1025" s="423"/>
      <c r="AW1025" s="423" t="e">
        <f ca="1">VLOOKUP(表格1_6[[#This Row],[TI tool ID2]],工作表1!A:A,1,FALSE)</f>
        <v>#N/A</v>
      </c>
      <c r="AX1025" s="425" t="e">
        <f ca="1">VLOOKUP(表格1_6[[#This Row],[PO+ITEM]],工作表1!B:E,2,FALSE)</f>
        <v>#N/A</v>
      </c>
      <c r="AY1025" s="425" t="e">
        <f ca="1">VLOOKUP(表格1_6[[#This Row],[PO+ITEM]],工作表1!B:E,3,FALSE)</f>
        <v>#N/A</v>
      </c>
      <c r="AZ1025" s="423" t="e">
        <f ca="1">VLOOKUP(表格1_6[[#This Row],[PO+ITEM]],工作表1!B:E,4,FALSE)</f>
        <v>#N/A</v>
      </c>
      <c r="BA1025" s="425" t="e">
        <f ca="1">INDEX(工作表1!G:G, MATCH(表格1_6[[#This Row],[invoice number]]&amp;表格1_6[[#This Row],[invoice number2]],工作表1!G:G, 0))</f>
        <v>#N/A</v>
      </c>
      <c r="BB1025" s="423" t="e">
        <f ca="1">VLOOKUP(表格1_6[[#This Row],[PO+ITEM]],工作表1!F:H,2,FALSE)</f>
        <v>#N/A</v>
      </c>
    </row>
    <row r="1026" spans="1:54" ht="14.45">
      <c r="A1026" s="413">
        <v>1025</v>
      </c>
      <c r="B1026" s="413" t="s">
        <v>3674</v>
      </c>
      <c r="C1026" s="414" t="s">
        <v>17</v>
      </c>
      <c r="D1026" s="414" t="s">
        <v>3648</v>
      </c>
      <c r="E1026" s="414"/>
      <c r="F1026" s="414"/>
      <c r="G1026" s="414" t="s">
        <v>2196</v>
      </c>
      <c r="H1026" s="414"/>
      <c r="I1026" s="414"/>
      <c r="J1026" s="414"/>
      <c r="K1026" s="414"/>
      <c r="L1026" s="415" t="s">
        <v>6224</v>
      </c>
      <c r="M1026" s="416" t="s">
        <v>4129</v>
      </c>
      <c r="N1026" s="416"/>
      <c r="O1026" s="421"/>
      <c r="P1026" s="416">
        <v>4590020442</v>
      </c>
      <c r="Q1026" s="418">
        <v>45503</v>
      </c>
      <c r="R1026" s="334" t="s">
        <v>3907</v>
      </c>
      <c r="S1026" s="461">
        <v>4721.99</v>
      </c>
      <c r="T1026" s="420" t="s">
        <v>2156</v>
      </c>
      <c r="U1026" s="414" t="s">
        <v>6225</v>
      </c>
      <c r="V1026" s="414" t="s">
        <v>4031</v>
      </c>
      <c r="W1026" s="417" t="s">
        <v>6076</v>
      </c>
      <c r="X1026" s="417"/>
      <c r="Y1026" s="421" t="s">
        <v>3652</v>
      </c>
      <c r="Z1026" s="421"/>
      <c r="AA1026" s="416" t="s">
        <v>6176</v>
      </c>
      <c r="AB1026" s="414" t="s">
        <v>6226</v>
      </c>
      <c r="AC1026" s="421"/>
      <c r="AD1026" s="421"/>
      <c r="AE1026" s="421"/>
      <c r="AF1026" s="421" t="s">
        <v>6227</v>
      </c>
      <c r="AG1026" s="420" t="s">
        <v>3440</v>
      </c>
      <c r="AH1026" s="421" t="s">
        <v>3665</v>
      </c>
      <c r="AI1026" s="420" t="s">
        <v>3666</v>
      </c>
      <c r="AJ1026" s="413">
        <f t="shared" si="62"/>
        <v>4590020442</v>
      </c>
      <c r="AK1026" s="420" t="s">
        <v>6228</v>
      </c>
      <c r="AL1026" s="424">
        <v>45506</v>
      </c>
      <c r="AM1026" s="451">
        <v>4721.99</v>
      </c>
      <c r="AN1026" s="424">
        <v>45565</v>
      </c>
      <c r="AO1026" s="423"/>
      <c r="AP1026" s="424"/>
      <c r="AR1026" s="424"/>
      <c r="AS1026" s="614">
        <f ca="1">表格1_6[[#This Row],[total amount]]/表格1_6[[#This Row],[PO$]]</f>
        <v>1</v>
      </c>
      <c r="AT1026" s="318">
        <f ca="1">表格1_6[[#This Row],[invoice amount]]+表格1_6[[#This Row],[invoice amount2]]</f>
        <v>4721.99</v>
      </c>
      <c r="AU1026" s="224" t="s">
        <v>3725</v>
      </c>
      <c r="AV1026" s="423"/>
      <c r="AW1026" s="423" t="e">
        <f ca="1">VLOOKUP(表格1_6[[#This Row],[TI tool ID2]],工作表1!A:A,1,FALSE)</f>
        <v>#N/A</v>
      </c>
      <c r="AX1026" s="425" t="e">
        <f ca="1">VLOOKUP(表格1_6[[#This Row],[PO+ITEM]],工作表1!B:E,2,FALSE)</f>
        <v>#N/A</v>
      </c>
      <c r="AY1026" s="425" t="e">
        <f ca="1">VLOOKUP(表格1_6[[#This Row],[PO+ITEM]],工作表1!B:E,3,FALSE)</f>
        <v>#N/A</v>
      </c>
      <c r="AZ1026" s="423" t="e">
        <f ca="1">VLOOKUP(表格1_6[[#This Row],[PO+ITEM]],工作表1!B:E,4,FALSE)</f>
        <v>#N/A</v>
      </c>
      <c r="BA1026" s="425" t="e">
        <f ca="1">INDEX(工作表1!G:G, MATCH(表格1_6[[#This Row],[invoice number]]&amp;表格1_6[[#This Row],[invoice number2]],工作表1!G:G, 0))</f>
        <v>#N/A</v>
      </c>
      <c r="BB1026" s="423" t="e">
        <f ca="1">VLOOKUP(表格1_6[[#This Row],[PO+ITEM]],工作表1!F:H,2,FALSE)</f>
        <v>#N/A</v>
      </c>
    </row>
    <row r="1027" spans="1:54" ht="14.45">
      <c r="A1027" s="413">
        <v>1026</v>
      </c>
      <c r="B1027" s="413" t="s">
        <v>3674</v>
      </c>
      <c r="C1027" s="414" t="s">
        <v>17</v>
      </c>
      <c r="D1027" s="414" t="s">
        <v>3648</v>
      </c>
      <c r="E1027" s="414"/>
      <c r="F1027" s="414"/>
      <c r="G1027" s="414" t="s">
        <v>2196</v>
      </c>
      <c r="H1027" s="414"/>
      <c r="I1027" s="414"/>
      <c r="J1027" s="414"/>
      <c r="K1027" s="414"/>
      <c r="L1027" s="415" t="s">
        <v>6229</v>
      </c>
      <c r="M1027" s="416" t="s">
        <v>4129</v>
      </c>
      <c r="N1027" s="416"/>
      <c r="O1027" s="421"/>
      <c r="P1027" s="416">
        <v>4590020443</v>
      </c>
      <c r="Q1027" s="418">
        <v>45503</v>
      </c>
      <c r="R1027" s="334" t="s">
        <v>3907</v>
      </c>
      <c r="S1027" s="461">
        <v>4721.99</v>
      </c>
      <c r="T1027" s="420" t="s">
        <v>2156</v>
      </c>
      <c r="U1027" s="414" t="s">
        <v>6230</v>
      </c>
      <c r="V1027" s="414" t="s">
        <v>4031</v>
      </c>
      <c r="W1027" s="417" t="s">
        <v>6076</v>
      </c>
      <c r="X1027" s="417"/>
      <c r="Y1027" s="421" t="s">
        <v>3652</v>
      </c>
      <c r="Z1027" s="421"/>
      <c r="AA1027" s="416" t="s">
        <v>6176</v>
      </c>
      <c r="AB1027" s="414" t="s">
        <v>6231</v>
      </c>
      <c r="AC1027" s="421"/>
      <c r="AD1027" s="421"/>
      <c r="AE1027" s="421"/>
      <c r="AF1027" s="421" t="s">
        <v>6232</v>
      </c>
      <c r="AG1027" s="420" t="s">
        <v>3405</v>
      </c>
      <c r="AH1027" s="421" t="s">
        <v>3665</v>
      </c>
      <c r="AI1027" s="420" t="s">
        <v>3666</v>
      </c>
      <c r="AJ1027" s="413">
        <f t="shared" si="62"/>
        <v>4590020443</v>
      </c>
      <c r="AK1027" s="420" t="s">
        <v>6233</v>
      </c>
      <c r="AL1027" s="424">
        <v>45506</v>
      </c>
      <c r="AM1027" s="451">
        <v>4721.99</v>
      </c>
      <c r="AN1027" s="424">
        <v>45565</v>
      </c>
      <c r="AO1027" s="423"/>
      <c r="AP1027" s="424"/>
      <c r="AR1027" s="424"/>
      <c r="AS1027" s="614">
        <f ca="1">表格1_6[[#This Row],[total amount]]/表格1_6[[#This Row],[PO$]]</f>
        <v>1</v>
      </c>
      <c r="AT1027" s="318">
        <f ca="1">表格1_6[[#This Row],[invoice amount]]+表格1_6[[#This Row],[invoice amount2]]</f>
        <v>4721.99</v>
      </c>
      <c r="AU1027" s="224" t="s">
        <v>3725</v>
      </c>
      <c r="AV1027" s="423"/>
      <c r="AW1027" s="423" t="e">
        <f ca="1">VLOOKUP(表格1_6[[#This Row],[TI tool ID2]],工作表1!A:A,1,FALSE)</f>
        <v>#N/A</v>
      </c>
      <c r="AX1027" s="425" t="e">
        <f ca="1">VLOOKUP(表格1_6[[#This Row],[PO+ITEM]],工作表1!B:E,2,FALSE)</f>
        <v>#N/A</v>
      </c>
      <c r="AY1027" s="425" t="e">
        <f ca="1">VLOOKUP(表格1_6[[#This Row],[PO+ITEM]],工作表1!B:E,3,FALSE)</f>
        <v>#N/A</v>
      </c>
      <c r="AZ1027" s="423" t="e">
        <f ca="1">VLOOKUP(表格1_6[[#This Row],[PO+ITEM]],工作表1!B:E,4,FALSE)</f>
        <v>#N/A</v>
      </c>
      <c r="BA1027" s="425" t="e">
        <f ca="1">INDEX(工作表1!G:G, MATCH(表格1_6[[#This Row],[invoice number]]&amp;表格1_6[[#This Row],[invoice number2]],工作表1!G:G, 0))</f>
        <v>#N/A</v>
      </c>
      <c r="BB1027" s="423" t="e">
        <f ca="1">VLOOKUP(表格1_6[[#This Row],[PO+ITEM]],工作表1!F:H,2,FALSE)</f>
        <v>#N/A</v>
      </c>
    </row>
    <row r="1028" spans="1:54" ht="14.45">
      <c r="A1028" s="413">
        <v>1027</v>
      </c>
      <c r="B1028" s="413" t="s">
        <v>3674</v>
      </c>
      <c r="C1028" s="414" t="s">
        <v>17</v>
      </c>
      <c r="D1028" s="414" t="s">
        <v>3648</v>
      </c>
      <c r="E1028" s="414"/>
      <c r="F1028" s="414"/>
      <c r="G1028" s="414" t="s">
        <v>2196</v>
      </c>
      <c r="H1028" s="414"/>
      <c r="I1028" s="414"/>
      <c r="J1028" s="414"/>
      <c r="K1028" s="414"/>
      <c r="L1028" s="415" t="s">
        <v>6234</v>
      </c>
      <c r="M1028" s="416" t="s">
        <v>4129</v>
      </c>
      <c r="N1028" s="416"/>
      <c r="O1028" s="421"/>
      <c r="P1028" s="416">
        <v>4590020445</v>
      </c>
      <c r="Q1028" s="418">
        <v>45503</v>
      </c>
      <c r="R1028" s="334" t="s">
        <v>3907</v>
      </c>
      <c r="S1028" s="461">
        <v>5962.19</v>
      </c>
      <c r="T1028" s="420" t="s">
        <v>2156</v>
      </c>
      <c r="U1028" s="414" t="s">
        <v>6235</v>
      </c>
      <c r="V1028" s="414" t="s">
        <v>4031</v>
      </c>
      <c r="W1028" s="417" t="s">
        <v>6076</v>
      </c>
      <c r="X1028" s="417"/>
      <c r="Y1028" s="421" t="s">
        <v>3652</v>
      </c>
      <c r="Z1028" s="421"/>
      <c r="AA1028" s="416" t="s">
        <v>6176</v>
      </c>
      <c r="AB1028" s="414" t="s">
        <v>6236</v>
      </c>
      <c r="AC1028" s="421"/>
      <c r="AD1028" s="421"/>
      <c r="AE1028" s="421"/>
      <c r="AF1028" s="421" t="s">
        <v>6237</v>
      </c>
      <c r="AG1028" s="420" t="s">
        <v>3204</v>
      </c>
      <c r="AH1028" s="421" t="s">
        <v>3665</v>
      </c>
      <c r="AI1028" s="420" t="s">
        <v>3666</v>
      </c>
      <c r="AJ1028" s="413">
        <f t="shared" ref="AJ1028:AJ1039" si="63">P1028</f>
        <v>4590020445</v>
      </c>
      <c r="AK1028" s="420" t="s">
        <v>6238</v>
      </c>
      <c r="AL1028" s="424">
        <v>45506</v>
      </c>
      <c r="AM1028" s="451">
        <v>5962.19</v>
      </c>
      <c r="AN1028" s="424">
        <v>45565</v>
      </c>
      <c r="AO1028" s="423"/>
      <c r="AP1028" s="424"/>
      <c r="AR1028" s="424"/>
      <c r="AS1028" s="614">
        <f ca="1">表格1_6[[#This Row],[total amount]]/表格1_6[[#This Row],[PO$]]</f>
        <v>1</v>
      </c>
      <c r="AT1028" s="318">
        <f ca="1">表格1_6[[#This Row],[invoice amount]]+表格1_6[[#This Row],[invoice amount2]]</f>
        <v>5962.19</v>
      </c>
      <c r="AU1028" s="224" t="s">
        <v>3725</v>
      </c>
      <c r="AV1028" s="423"/>
      <c r="AW1028" s="423" t="e">
        <f ca="1">VLOOKUP(表格1_6[[#This Row],[TI tool ID2]],工作表1!A:A,1,FALSE)</f>
        <v>#N/A</v>
      </c>
      <c r="AX1028" s="425" t="e">
        <f ca="1">VLOOKUP(表格1_6[[#This Row],[PO+ITEM]],工作表1!B:E,2,FALSE)</f>
        <v>#N/A</v>
      </c>
      <c r="AY1028" s="425" t="e">
        <f ca="1">VLOOKUP(表格1_6[[#This Row],[PO+ITEM]],工作表1!B:E,3,FALSE)</f>
        <v>#N/A</v>
      </c>
      <c r="AZ1028" s="423" t="e">
        <f ca="1">VLOOKUP(表格1_6[[#This Row],[PO+ITEM]],工作表1!B:E,4,FALSE)</f>
        <v>#N/A</v>
      </c>
      <c r="BA1028" s="425" t="e">
        <f ca="1">INDEX(工作表1!G:G, MATCH(表格1_6[[#This Row],[invoice number]]&amp;表格1_6[[#This Row],[invoice number2]],工作表1!G:G, 0))</f>
        <v>#N/A</v>
      </c>
      <c r="BB1028" s="423" t="e">
        <f ca="1">VLOOKUP(表格1_6[[#This Row],[PO+ITEM]],工作表1!F:H,2,FALSE)</f>
        <v>#N/A</v>
      </c>
    </row>
    <row r="1029" spans="1:54" ht="14.45">
      <c r="A1029" s="413">
        <v>1028</v>
      </c>
      <c r="B1029" s="413" t="s">
        <v>3674</v>
      </c>
      <c r="C1029" s="414" t="s">
        <v>17</v>
      </c>
      <c r="D1029" s="414" t="s">
        <v>3648</v>
      </c>
      <c r="E1029" s="414"/>
      <c r="F1029" s="414"/>
      <c r="G1029" s="414" t="s">
        <v>2196</v>
      </c>
      <c r="H1029" s="414"/>
      <c r="I1029" s="414"/>
      <c r="J1029" s="414"/>
      <c r="K1029" s="414"/>
      <c r="L1029" s="415" t="s">
        <v>6239</v>
      </c>
      <c r="M1029" s="416" t="s">
        <v>4129</v>
      </c>
      <c r="N1029" s="416"/>
      <c r="O1029" s="421"/>
      <c r="P1029" s="416">
        <v>4590020448</v>
      </c>
      <c r="Q1029" s="418">
        <v>45503</v>
      </c>
      <c r="R1029" s="334" t="s">
        <v>3907</v>
      </c>
      <c r="S1029" s="461">
        <v>4721.99</v>
      </c>
      <c r="T1029" s="420" t="s">
        <v>2156</v>
      </c>
      <c r="U1029" s="414" t="s">
        <v>6240</v>
      </c>
      <c r="V1029" s="414" t="s">
        <v>4031</v>
      </c>
      <c r="W1029" s="417" t="s">
        <v>6076</v>
      </c>
      <c r="X1029" s="417"/>
      <c r="Y1029" s="421" t="s">
        <v>3652</v>
      </c>
      <c r="Z1029" s="421"/>
      <c r="AA1029" s="416" t="s">
        <v>6176</v>
      </c>
      <c r="AB1029" s="414" t="s">
        <v>6241</v>
      </c>
      <c r="AC1029" s="421"/>
      <c r="AD1029" s="421"/>
      <c r="AE1029" s="421"/>
      <c r="AF1029" s="421" t="s">
        <v>6242</v>
      </c>
      <c r="AG1029" s="420" t="s">
        <v>3193</v>
      </c>
      <c r="AH1029" s="421" t="s">
        <v>3665</v>
      </c>
      <c r="AI1029" s="420" t="s">
        <v>3666</v>
      </c>
      <c r="AJ1029" s="413">
        <f t="shared" si="63"/>
        <v>4590020448</v>
      </c>
      <c r="AK1029" s="420" t="s">
        <v>6243</v>
      </c>
      <c r="AL1029" s="424">
        <v>45506</v>
      </c>
      <c r="AM1029" s="451">
        <v>4721.99</v>
      </c>
      <c r="AN1029" s="424">
        <v>45565</v>
      </c>
      <c r="AO1029" s="423"/>
      <c r="AP1029" s="424"/>
      <c r="AR1029" s="424"/>
      <c r="AS1029" s="614">
        <f ca="1">表格1_6[[#This Row],[total amount]]/表格1_6[[#This Row],[PO$]]</f>
        <v>1</v>
      </c>
      <c r="AT1029" s="318">
        <f ca="1">表格1_6[[#This Row],[invoice amount]]+表格1_6[[#This Row],[invoice amount2]]</f>
        <v>4721.99</v>
      </c>
      <c r="AU1029" s="224" t="s">
        <v>3725</v>
      </c>
      <c r="AV1029" s="423"/>
      <c r="AW1029" s="423" t="e">
        <f ca="1">VLOOKUP(表格1_6[[#This Row],[TI tool ID2]],工作表1!A:A,1,FALSE)</f>
        <v>#N/A</v>
      </c>
      <c r="AX1029" s="425" t="e">
        <f ca="1">VLOOKUP(表格1_6[[#This Row],[PO+ITEM]],工作表1!B:E,2,FALSE)</f>
        <v>#N/A</v>
      </c>
      <c r="AY1029" s="425" t="e">
        <f ca="1">VLOOKUP(表格1_6[[#This Row],[PO+ITEM]],工作表1!B:E,3,FALSE)</f>
        <v>#N/A</v>
      </c>
      <c r="AZ1029" s="423" t="e">
        <f ca="1">VLOOKUP(表格1_6[[#This Row],[PO+ITEM]],工作表1!B:E,4,FALSE)</f>
        <v>#N/A</v>
      </c>
      <c r="BA1029" s="425" t="e">
        <f ca="1">INDEX(工作表1!G:G, MATCH(表格1_6[[#This Row],[invoice number]]&amp;表格1_6[[#This Row],[invoice number2]],工作表1!G:G, 0))</f>
        <v>#N/A</v>
      </c>
      <c r="BB1029" s="423" t="e">
        <f ca="1">VLOOKUP(表格1_6[[#This Row],[PO+ITEM]],工作表1!F:H,2,FALSE)</f>
        <v>#N/A</v>
      </c>
    </row>
    <row r="1030" spans="1:54" ht="14.45">
      <c r="A1030" s="413">
        <v>1029</v>
      </c>
      <c r="B1030" s="413" t="s">
        <v>3674</v>
      </c>
      <c r="C1030" s="414" t="s">
        <v>17</v>
      </c>
      <c r="D1030" s="414" t="s">
        <v>3648</v>
      </c>
      <c r="E1030" s="414"/>
      <c r="F1030" s="414"/>
      <c r="G1030" s="414" t="s">
        <v>2196</v>
      </c>
      <c r="H1030" s="414"/>
      <c r="I1030" s="414"/>
      <c r="J1030" s="414"/>
      <c r="K1030" s="414"/>
      <c r="L1030" s="415" t="s">
        <v>6244</v>
      </c>
      <c r="M1030" s="416" t="s">
        <v>4129</v>
      </c>
      <c r="N1030" s="416"/>
      <c r="O1030" s="421"/>
      <c r="P1030" s="416">
        <v>4590020449</v>
      </c>
      <c r="Q1030" s="418">
        <v>45503</v>
      </c>
      <c r="R1030" s="334" t="s">
        <v>3907</v>
      </c>
      <c r="S1030" s="461">
        <v>4721.99</v>
      </c>
      <c r="T1030" s="420" t="s">
        <v>2156</v>
      </c>
      <c r="U1030" s="414" t="s">
        <v>6245</v>
      </c>
      <c r="V1030" s="414" t="s">
        <v>4031</v>
      </c>
      <c r="W1030" s="417" t="s">
        <v>6076</v>
      </c>
      <c r="X1030" s="417"/>
      <c r="Y1030" s="421" t="s">
        <v>3652</v>
      </c>
      <c r="Z1030" s="421"/>
      <c r="AA1030" s="416" t="s">
        <v>6176</v>
      </c>
      <c r="AB1030" s="414" t="s">
        <v>6246</v>
      </c>
      <c r="AC1030" s="421"/>
      <c r="AD1030" s="421"/>
      <c r="AE1030" s="421"/>
      <c r="AF1030" s="421" t="s">
        <v>6247</v>
      </c>
      <c r="AG1030" s="420" t="s">
        <v>3363</v>
      </c>
      <c r="AH1030" s="421" t="s">
        <v>3665</v>
      </c>
      <c r="AI1030" s="420" t="s">
        <v>3666</v>
      </c>
      <c r="AJ1030" s="413">
        <f t="shared" si="63"/>
        <v>4590020449</v>
      </c>
      <c r="AK1030" s="420" t="s">
        <v>6248</v>
      </c>
      <c r="AL1030" s="424">
        <v>45506</v>
      </c>
      <c r="AM1030" s="451">
        <v>4721.99</v>
      </c>
      <c r="AN1030" s="424">
        <v>45565</v>
      </c>
      <c r="AO1030" s="423"/>
      <c r="AP1030" s="424"/>
      <c r="AR1030" s="424"/>
      <c r="AS1030" s="614">
        <f ca="1">表格1_6[[#This Row],[total amount]]/表格1_6[[#This Row],[PO$]]</f>
        <v>1</v>
      </c>
      <c r="AT1030" s="318">
        <f ca="1">表格1_6[[#This Row],[invoice amount]]+表格1_6[[#This Row],[invoice amount2]]</f>
        <v>4721.99</v>
      </c>
      <c r="AU1030" s="224" t="s">
        <v>3725</v>
      </c>
      <c r="AV1030" s="423"/>
      <c r="AW1030" s="423" t="e">
        <f ca="1">VLOOKUP(表格1_6[[#This Row],[TI tool ID2]],工作表1!A:A,1,FALSE)</f>
        <v>#N/A</v>
      </c>
      <c r="AX1030" s="425" t="e">
        <f ca="1">VLOOKUP(表格1_6[[#This Row],[PO+ITEM]],工作表1!B:E,2,FALSE)</f>
        <v>#N/A</v>
      </c>
      <c r="AY1030" s="425" t="e">
        <f ca="1">VLOOKUP(表格1_6[[#This Row],[PO+ITEM]],工作表1!B:E,3,FALSE)</f>
        <v>#N/A</v>
      </c>
      <c r="AZ1030" s="423" t="e">
        <f ca="1">VLOOKUP(表格1_6[[#This Row],[PO+ITEM]],工作表1!B:E,4,FALSE)</f>
        <v>#N/A</v>
      </c>
      <c r="BA1030" s="425" t="e">
        <f ca="1">INDEX(工作表1!G:G, MATCH(表格1_6[[#This Row],[invoice number]]&amp;表格1_6[[#This Row],[invoice number2]],工作表1!G:G, 0))</f>
        <v>#N/A</v>
      </c>
      <c r="BB1030" s="423" t="e">
        <f ca="1">VLOOKUP(表格1_6[[#This Row],[PO+ITEM]],工作表1!F:H,2,FALSE)</f>
        <v>#N/A</v>
      </c>
    </row>
    <row r="1031" spans="1:54" ht="14.45">
      <c r="A1031" s="413">
        <v>1030</v>
      </c>
      <c r="B1031" s="413" t="s">
        <v>3674</v>
      </c>
      <c r="C1031" s="414" t="s">
        <v>17</v>
      </c>
      <c r="D1031" s="414" t="s">
        <v>3648</v>
      </c>
      <c r="E1031" s="414"/>
      <c r="F1031" s="414"/>
      <c r="G1031" s="414" t="s">
        <v>2196</v>
      </c>
      <c r="H1031" s="414"/>
      <c r="I1031" s="414"/>
      <c r="J1031" s="414"/>
      <c r="K1031" s="414"/>
      <c r="L1031" s="415" t="s">
        <v>6249</v>
      </c>
      <c r="M1031" s="416" t="s">
        <v>4105</v>
      </c>
      <c r="N1031" s="416"/>
      <c r="O1031" s="421"/>
      <c r="P1031" s="416">
        <v>4590020450</v>
      </c>
      <c r="Q1031" s="418">
        <v>45503</v>
      </c>
      <c r="R1031" s="334" t="s">
        <v>3907</v>
      </c>
      <c r="S1031" s="461">
        <v>7107.86</v>
      </c>
      <c r="T1031" s="420" t="s">
        <v>2156</v>
      </c>
      <c r="U1031" s="414" t="s">
        <v>6250</v>
      </c>
      <c r="V1031" s="414" t="s">
        <v>4031</v>
      </c>
      <c r="W1031" s="417" t="s">
        <v>6076</v>
      </c>
      <c r="X1031" s="417"/>
      <c r="Y1031" s="421" t="s">
        <v>3652</v>
      </c>
      <c r="Z1031" s="421"/>
      <c r="AA1031" s="416" t="s">
        <v>6176</v>
      </c>
      <c r="AB1031" s="414" t="s">
        <v>6251</v>
      </c>
      <c r="AC1031" s="421"/>
      <c r="AD1031" s="421"/>
      <c r="AE1031" s="421"/>
      <c r="AF1031" s="421" t="s">
        <v>6252</v>
      </c>
      <c r="AG1031" s="420" t="s">
        <v>3396</v>
      </c>
      <c r="AH1031" s="421" t="s">
        <v>4109</v>
      </c>
      <c r="AI1031" s="420" t="s">
        <v>3666</v>
      </c>
      <c r="AJ1031" s="413">
        <f t="shared" si="63"/>
        <v>4590020450</v>
      </c>
      <c r="AK1031" s="420" t="s">
        <v>6253</v>
      </c>
      <c r="AL1031" s="424">
        <v>45506</v>
      </c>
      <c r="AM1031" s="451">
        <v>7107.86</v>
      </c>
      <c r="AN1031" s="424" t="s">
        <v>3805</v>
      </c>
      <c r="AO1031" s="423"/>
      <c r="AP1031" s="424"/>
      <c r="AR1031" s="424"/>
      <c r="AS1031" s="614">
        <f ca="1">表格1_6[[#This Row],[total amount]]/表格1_6[[#This Row],[PO$]]</f>
        <v>1</v>
      </c>
      <c r="AT1031" s="318">
        <f ca="1">表格1_6[[#This Row],[invoice amount]]+表格1_6[[#This Row],[invoice amount2]]</f>
        <v>7107.86</v>
      </c>
      <c r="AU1031" s="224" t="s">
        <v>3752</v>
      </c>
      <c r="AV1031" s="423"/>
      <c r="AW1031" s="423" t="e">
        <f ca="1">VLOOKUP(表格1_6[[#This Row],[TI tool ID2]],工作表1!A:A,1,FALSE)</f>
        <v>#N/A</v>
      </c>
      <c r="AX1031" s="425" t="e">
        <f ca="1">VLOOKUP(表格1_6[[#This Row],[PO+ITEM]],工作表1!B:E,2,FALSE)</f>
        <v>#N/A</v>
      </c>
      <c r="AY1031" s="425" t="e">
        <f ca="1">VLOOKUP(表格1_6[[#This Row],[PO+ITEM]],工作表1!B:E,3,FALSE)</f>
        <v>#N/A</v>
      </c>
      <c r="AZ1031" s="423" t="e">
        <f ca="1">VLOOKUP(表格1_6[[#This Row],[PO+ITEM]],工作表1!B:E,4,FALSE)</f>
        <v>#N/A</v>
      </c>
      <c r="BA1031" s="425" t="e">
        <f ca="1">INDEX(工作表1!G:G, MATCH(表格1_6[[#This Row],[invoice number]]&amp;表格1_6[[#This Row],[invoice number2]],工作表1!G:G, 0))</f>
        <v>#N/A</v>
      </c>
      <c r="BB1031" s="423" t="e">
        <f ca="1">VLOOKUP(表格1_6[[#This Row],[PO+ITEM]],工作表1!F:H,2,FALSE)</f>
        <v>#N/A</v>
      </c>
    </row>
    <row r="1032" spans="1:54" ht="14.45">
      <c r="A1032" s="413">
        <v>1031</v>
      </c>
      <c r="B1032" s="413" t="s">
        <v>3674</v>
      </c>
      <c r="C1032" s="414" t="s">
        <v>17</v>
      </c>
      <c r="D1032" s="414" t="s">
        <v>3648</v>
      </c>
      <c r="E1032" s="414"/>
      <c r="F1032" s="414"/>
      <c r="G1032" s="414" t="s">
        <v>2196</v>
      </c>
      <c r="H1032" s="414"/>
      <c r="I1032" s="414"/>
      <c r="J1032" s="414"/>
      <c r="K1032" s="414"/>
      <c r="L1032" s="415" t="s">
        <v>6254</v>
      </c>
      <c r="M1032" s="416" t="s">
        <v>4105</v>
      </c>
      <c r="N1032" s="416"/>
      <c r="O1032" s="421"/>
      <c r="P1032" s="416">
        <v>4590020451</v>
      </c>
      <c r="Q1032" s="418">
        <v>45503</v>
      </c>
      <c r="R1032" s="334" t="s">
        <v>3907</v>
      </c>
      <c r="S1032" s="461">
        <v>6574.76</v>
      </c>
      <c r="T1032" s="420" t="s">
        <v>2156</v>
      </c>
      <c r="U1032" s="414" t="s">
        <v>6255</v>
      </c>
      <c r="V1032" s="414" t="s">
        <v>4031</v>
      </c>
      <c r="W1032" s="417" t="s">
        <v>6076</v>
      </c>
      <c r="X1032" s="417"/>
      <c r="Y1032" s="421" t="s">
        <v>3652</v>
      </c>
      <c r="Z1032" s="421"/>
      <c r="AA1032" s="416" t="s">
        <v>6176</v>
      </c>
      <c r="AB1032" s="414" t="s">
        <v>6256</v>
      </c>
      <c r="AC1032" s="421"/>
      <c r="AD1032" s="421"/>
      <c r="AE1032" s="421"/>
      <c r="AF1032" s="421" t="s">
        <v>6257</v>
      </c>
      <c r="AG1032" s="420" t="s">
        <v>3346</v>
      </c>
      <c r="AH1032" s="421" t="s">
        <v>4109</v>
      </c>
      <c r="AI1032" s="420" t="s">
        <v>3666</v>
      </c>
      <c r="AJ1032" s="413">
        <f t="shared" si="63"/>
        <v>4590020451</v>
      </c>
      <c r="AK1032" s="420" t="s">
        <v>6258</v>
      </c>
      <c r="AL1032" s="424">
        <v>45506</v>
      </c>
      <c r="AM1032" s="451">
        <v>6574.76</v>
      </c>
      <c r="AN1032" s="424" t="s">
        <v>3805</v>
      </c>
      <c r="AO1032" s="423"/>
      <c r="AP1032" s="424"/>
      <c r="AR1032" s="424"/>
      <c r="AS1032" s="614">
        <f ca="1">表格1_6[[#This Row],[total amount]]/表格1_6[[#This Row],[PO$]]</f>
        <v>1</v>
      </c>
      <c r="AT1032" s="318">
        <f ca="1">表格1_6[[#This Row],[invoice amount]]+表格1_6[[#This Row],[invoice amount2]]</f>
        <v>6574.76</v>
      </c>
      <c r="AU1032" s="224" t="s">
        <v>3752</v>
      </c>
      <c r="AV1032" s="423"/>
      <c r="AW1032" s="423" t="e">
        <f ca="1">VLOOKUP(表格1_6[[#This Row],[TI tool ID2]],工作表1!A:A,1,FALSE)</f>
        <v>#N/A</v>
      </c>
      <c r="AX1032" s="425" t="e">
        <f ca="1">VLOOKUP(表格1_6[[#This Row],[PO+ITEM]],工作表1!B:E,2,FALSE)</f>
        <v>#N/A</v>
      </c>
      <c r="AY1032" s="425" t="e">
        <f ca="1">VLOOKUP(表格1_6[[#This Row],[PO+ITEM]],工作表1!B:E,3,FALSE)</f>
        <v>#N/A</v>
      </c>
      <c r="AZ1032" s="423" t="e">
        <f ca="1">VLOOKUP(表格1_6[[#This Row],[PO+ITEM]],工作表1!B:E,4,FALSE)</f>
        <v>#N/A</v>
      </c>
      <c r="BA1032" s="425" t="e">
        <f ca="1">INDEX(工作表1!G:G, MATCH(表格1_6[[#This Row],[invoice number]]&amp;表格1_6[[#This Row],[invoice number2]],工作表1!G:G, 0))</f>
        <v>#N/A</v>
      </c>
      <c r="BB1032" s="423" t="e">
        <f ca="1">VLOOKUP(表格1_6[[#This Row],[PO+ITEM]],工作表1!F:H,2,FALSE)</f>
        <v>#N/A</v>
      </c>
    </row>
    <row r="1033" spans="1:54" ht="14.45">
      <c r="A1033" s="413">
        <v>1032</v>
      </c>
      <c r="B1033" s="413" t="s">
        <v>3674</v>
      </c>
      <c r="C1033" s="414" t="s">
        <v>17</v>
      </c>
      <c r="D1033" s="414" t="s">
        <v>3648</v>
      </c>
      <c r="E1033" s="414"/>
      <c r="F1033" s="414"/>
      <c r="G1033" s="414" t="s">
        <v>2196</v>
      </c>
      <c r="H1033" s="414"/>
      <c r="I1033" s="414"/>
      <c r="J1033" s="414"/>
      <c r="K1033" s="414"/>
      <c r="L1033" s="415" t="s">
        <v>6259</v>
      </c>
      <c r="M1033" s="416" t="s">
        <v>4105</v>
      </c>
      <c r="N1033" s="416"/>
      <c r="O1033" s="421"/>
      <c r="P1033" s="416">
        <v>4590020452</v>
      </c>
      <c r="Q1033" s="418">
        <v>45503</v>
      </c>
      <c r="R1033" s="334" t="s">
        <v>3907</v>
      </c>
      <c r="S1033" s="461">
        <v>4980.46</v>
      </c>
      <c r="T1033" s="420" t="s">
        <v>2156</v>
      </c>
      <c r="U1033" s="414" t="s">
        <v>6260</v>
      </c>
      <c r="V1033" s="414" t="s">
        <v>4031</v>
      </c>
      <c r="W1033" s="417" t="s">
        <v>6076</v>
      </c>
      <c r="X1033" s="417"/>
      <c r="Y1033" s="421" t="s">
        <v>3652</v>
      </c>
      <c r="Z1033" s="421"/>
      <c r="AA1033" s="416" t="s">
        <v>6176</v>
      </c>
      <c r="AB1033" s="414" t="s">
        <v>6261</v>
      </c>
      <c r="AC1033" s="421"/>
      <c r="AD1033" s="421"/>
      <c r="AE1033" s="421"/>
      <c r="AF1033" s="421" t="s">
        <v>6262</v>
      </c>
      <c r="AG1033" s="420" t="s">
        <v>3370</v>
      </c>
      <c r="AH1033" s="421" t="s">
        <v>4109</v>
      </c>
      <c r="AI1033" s="420" t="s">
        <v>3666</v>
      </c>
      <c r="AJ1033" s="413">
        <f t="shared" si="63"/>
        <v>4590020452</v>
      </c>
      <c r="AK1033" s="420" t="s">
        <v>6263</v>
      </c>
      <c r="AL1033" s="424">
        <v>45506</v>
      </c>
      <c r="AM1033" s="451">
        <v>4980.46</v>
      </c>
      <c r="AN1033" s="424" t="s">
        <v>3805</v>
      </c>
      <c r="AO1033" s="423"/>
      <c r="AP1033" s="424"/>
      <c r="AR1033" s="424"/>
      <c r="AS1033" s="614">
        <f ca="1">表格1_6[[#This Row],[total amount]]/表格1_6[[#This Row],[PO$]]</f>
        <v>1</v>
      </c>
      <c r="AT1033" s="318">
        <f ca="1">表格1_6[[#This Row],[invoice amount]]+表格1_6[[#This Row],[invoice amount2]]</f>
        <v>4980.46</v>
      </c>
      <c r="AU1033" s="224" t="s">
        <v>3752</v>
      </c>
      <c r="AV1033" s="423"/>
      <c r="AW1033" s="423" t="e">
        <f ca="1">VLOOKUP(表格1_6[[#This Row],[TI tool ID2]],工作表1!A:A,1,FALSE)</f>
        <v>#N/A</v>
      </c>
      <c r="AX1033" s="425" t="e">
        <f ca="1">VLOOKUP(表格1_6[[#This Row],[PO+ITEM]],工作表1!B:E,2,FALSE)</f>
        <v>#N/A</v>
      </c>
      <c r="AY1033" s="425" t="e">
        <f ca="1">VLOOKUP(表格1_6[[#This Row],[PO+ITEM]],工作表1!B:E,3,FALSE)</f>
        <v>#N/A</v>
      </c>
      <c r="AZ1033" s="423" t="e">
        <f ca="1">VLOOKUP(表格1_6[[#This Row],[PO+ITEM]],工作表1!B:E,4,FALSE)</f>
        <v>#N/A</v>
      </c>
      <c r="BA1033" s="425" t="e">
        <f ca="1">INDEX(工作表1!G:G, MATCH(表格1_6[[#This Row],[invoice number]]&amp;表格1_6[[#This Row],[invoice number2]],工作表1!G:G, 0))</f>
        <v>#N/A</v>
      </c>
      <c r="BB1033" s="423" t="e">
        <f ca="1">VLOOKUP(表格1_6[[#This Row],[PO+ITEM]],工作表1!F:H,2,FALSE)</f>
        <v>#N/A</v>
      </c>
    </row>
    <row r="1034" spans="1:54" ht="14.45">
      <c r="A1034" s="413">
        <v>1033</v>
      </c>
      <c r="B1034" s="413" t="s">
        <v>3674</v>
      </c>
      <c r="C1034" s="414" t="s">
        <v>17</v>
      </c>
      <c r="D1034" s="414" t="s">
        <v>3648</v>
      </c>
      <c r="E1034" s="414"/>
      <c r="F1034" s="414"/>
      <c r="G1034" s="414" t="s">
        <v>2196</v>
      </c>
      <c r="H1034" s="414"/>
      <c r="I1034" s="414"/>
      <c r="J1034" s="414"/>
      <c r="K1034" s="414"/>
      <c r="L1034" s="415" t="s">
        <v>6264</v>
      </c>
      <c r="M1034" s="416" t="s">
        <v>4105</v>
      </c>
      <c r="N1034" s="416"/>
      <c r="O1034" s="421"/>
      <c r="P1034" s="416">
        <v>4590020453</v>
      </c>
      <c r="Q1034" s="418">
        <v>45503</v>
      </c>
      <c r="R1034" s="334" t="s">
        <v>3907</v>
      </c>
      <c r="S1034" s="461">
        <v>7107.86</v>
      </c>
      <c r="T1034" s="420" t="s">
        <v>2156</v>
      </c>
      <c r="U1034" s="414" t="s">
        <v>6265</v>
      </c>
      <c r="V1034" s="414" t="s">
        <v>4031</v>
      </c>
      <c r="W1034" s="417" t="s">
        <v>6076</v>
      </c>
      <c r="X1034" s="417"/>
      <c r="Y1034" s="421" t="s">
        <v>3652</v>
      </c>
      <c r="Z1034" s="421"/>
      <c r="AA1034" s="416" t="s">
        <v>6176</v>
      </c>
      <c r="AB1034" s="414" t="s">
        <v>6266</v>
      </c>
      <c r="AC1034" s="421"/>
      <c r="AD1034" s="421"/>
      <c r="AE1034" s="421"/>
      <c r="AF1034" s="421" t="s">
        <v>6267</v>
      </c>
      <c r="AG1034" s="420" t="s">
        <v>3348</v>
      </c>
      <c r="AH1034" s="421" t="s">
        <v>4109</v>
      </c>
      <c r="AI1034" s="420" t="s">
        <v>3666</v>
      </c>
      <c r="AJ1034" s="413">
        <f t="shared" si="63"/>
        <v>4590020453</v>
      </c>
      <c r="AK1034" s="420" t="s">
        <v>6268</v>
      </c>
      <c r="AL1034" s="424">
        <v>45506</v>
      </c>
      <c r="AM1034" s="451">
        <v>7107.86</v>
      </c>
      <c r="AN1034" s="424" t="s">
        <v>3805</v>
      </c>
      <c r="AO1034" s="423"/>
      <c r="AP1034" s="424"/>
      <c r="AR1034" s="424"/>
      <c r="AS1034" s="614">
        <f ca="1">表格1_6[[#This Row],[total amount]]/表格1_6[[#This Row],[PO$]]</f>
        <v>1</v>
      </c>
      <c r="AT1034" s="318">
        <f ca="1">表格1_6[[#This Row],[invoice amount]]+表格1_6[[#This Row],[invoice amount2]]</f>
        <v>7107.86</v>
      </c>
      <c r="AU1034" s="224" t="s">
        <v>3752</v>
      </c>
      <c r="AV1034" s="423"/>
      <c r="AW1034" s="423" t="e">
        <f ca="1">VLOOKUP(表格1_6[[#This Row],[TI tool ID2]],工作表1!A:A,1,FALSE)</f>
        <v>#N/A</v>
      </c>
      <c r="AX1034" s="425" t="e">
        <f ca="1">VLOOKUP(表格1_6[[#This Row],[PO+ITEM]],工作表1!B:E,2,FALSE)</f>
        <v>#N/A</v>
      </c>
      <c r="AY1034" s="425" t="e">
        <f ca="1">VLOOKUP(表格1_6[[#This Row],[PO+ITEM]],工作表1!B:E,3,FALSE)</f>
        <v>#N/A</v>
      </c>
      <c r="AZ1034" s="423" t="e">
        <f ca="1">VLOOKUP(表格1_6[[#This Row],[PO+ITEM]],工作表1!B:E,4,FALSE)</f>
        <v>#N/A</v>
      </c>
      <c r="BA1034" s="425" t="e">
        <f ca="1">INDEX(工作表1!G:G, MATCH(表格1_6[[#This Row],[invoice number]]&amp;表格1_6[[#This Row],[invoice number2]],工作表1!G:G, 0))</f>
        <v>#N/A</v>
      </c>
      <c r="BB1034" s="423" t="e">
        <f ca="1">VLOOKUP(表格1_6[[#This Row],[PO+ITEM]],工作表1!F:H,2,FALSE)</f>
        <v>#N/A</v>
      </c>
    </row>
    <row r="1035" spans="1:54" ht="14.45">
      <c r="A1035" s="413">
        <v>1034</v>
      </c>
      <c r="B1035" s="413" t="s">
        <v>3674</v>
      </c>
      <c r="C1035" s="414" t="s">
        <v>17</v>
      </c>
      <c r="D1035" s="414" t="s">
        <v>3648</v>
      </c>
      <c r="E1035" s="414"/>
      <c r="F1035" s="414"/>
      <c r="G1035" s="414" t="s">
        <v>2196</v>
      </c>
      <c r="H1035" s="414"/>
      <c r="I1035" s="414"/>
      <c r="J1035" s="414"/>
      <c r="K1035" s="414"/>
      <c r="L1035" s="415" t="s">
        <v>6269</v>
      </c>
      <c r="M1035" s="416" t="s">
        <v>4105</v>
      </c>
      <c r="N1035" s="416"/>
      <c r="O1035" s="421"/>
      <c r="P1035" s="416">
        <v>4590020454</v>
      </c>
      <c r="Q1035" s="418">
        <v>45503</v>
      </c>
      <c r="R1035" s="334" t="s">
        <v>3907</v>
      </c>
      <c r="S1035" s="461">
        <v>5511.56</v>
      </c>
      <c r="T1035" s="420" t="s">
        <v>2156</v>
      </c>
      <c r="U1035" s="414" t="s">
        <v>6270</v>
      </c>
      <c r="V1035" s="414" t="s">
        <v>4031</v>
      </c>
      <c r="W1035" s="417" t="s">
        <v>6076</v>
      </c>
      <c r="X1035" s="417"/>
      <c r="Y1035" s="421" t="s">
        <v>3652</v>
      </c>
      <c r="Z1035" s="421"/>
      <c r="AA1035" s="416" t="s">
        <v>6176</v>
      </c>
      <c r="AB1035" s="414" t="s">
        <v>6271</v>
      </c>
      <c r="AC1035" s="421"/>
      <c r="AD1035" s="421"/>
      <c r="AE1035" s="421"/>
      <c r="AF1035" s="421" t="s">
        <v>6272</v>
      </c>
      <c r="AG1035" s="420" t="s">
        <v>3374</v>
      </c>
      <c r="AH1035" s="421" t="s">
        <v>4109</v>
      </c>
      <c r="AI1035" s="420" t="s">
        <v>3666</v>
      </c>
      <c r="AJ1035" s="413">
        <f t="shared" si="63"/>
        <v>4590020454</v>
      </c>
      <c r="AK1035" s="425" t="s">
        <v>6273</v>
      </c>
      <c r="AL1035" s="424">
        <v>45555</v>
      </c>
      <c r="AM1035" s="221">
        <v>5511.56</v>
      </c>
      <c r="AN1035" s="424"/>
      <c r="AO1035" s="423"/>
      <c r="AP1035" s="413"/>
      <c r="AR1035" s="424"/>
      <c r="AS1035" s="614">
        <f ca="1">表格1_6[[#This Row],[total amount]]/表格1_6[[#This Row],[PO$]]</f>
        <v>1</v>
      </c>
      <c r="AT1035" s="318">
        <f ca="1">表格1_6[[#This Row],[invoice amount]]+表格1_6[[#This Row],[invoice amount2]]</f>
        <v>5511.56</v>
      </c>
      <c r="AU1035" s="224" t="s">
        <v>3752</v>
      </c>
      <c r="AV1035" s="423"/>
      <c r="AW1035" s="423" t="e">
        <f ca="1">VLOOKUP(表格1_6[[#This Row],[TI tool ID2]],工作表1!A:A,1,FALSE)</f>
        <v>#N/A</v>
      </c>
      <c r="AX1035" s="425" t="e">
        <f ca="1">VLOOKUP(表格1_6[[#This Row],[PO+ITEM]],工作表1!B:E,2,FALSE)</f>
        <v>#N/A</v>
      </c>
      <c r="AY1035" s="425" t="e">
        <f ca="1">VLOOKUP(表格1_6[[#This Row],[PO+ITEM]],工作表1!B:E,3,FALSE)</f>
        <v>#N/A</v>
      </c>
      <c r="AZ1035" s="423" t="e">
        <f ca="1">VLOOKUP(表格1_6[[#This Row],[PO+ITEM]],工作表1!B:E,4,FALSE)</f>
        <v>#N/A</v>
      </c>
      <c r="BA1035" s="425" t="e">
        <f ca="1">INDEX(工作表1!G:G, MATCH(表格1_6[[#This Row],[invoice number]]&amp;表格1_6[[#This Row],[invoice number2]],工作表1!G:G, 0))</f>
        <v>#N/A</v>
      </c>
      <c r="BB1035" s="423" t="e">
        <f ca="1">VLOOKUP(表格1_6[[#This Row],[PO+ITEM]],工作表1!F:H,2,FALSE)</f>
        <v>#N/A</v>
      </c>
    </row>
    <row r="1036" spans="1:54" ht="14.45">
      <c r="A1036" s="413">
        <v>1035</v>
      </c>
      <c r="B1036" s="413" t="s">
        <v>3674</v>
      </c>
      <c r="C1036" s="414" t="s">
        <v>17</v>
      </c>
      <c r="D1036" s="414" t="s">
        <v>3648</v>
      </c>
      <c r="E1036" s="414"/>
      <c r="F1036" s="414"/>
      <c r="G1036" s="414" t="s">
        <v>2196</v>
      </c>
      <c r="H1036" s="414"/>
      <c r="I1036" s="414"/>
      <c r="J1036" s="414"/>
      <c r="K1036" s="414"/>
      <c r="L1036" s="415" t="s">
        <v>6274</v>
      </c>
      <c r="M1036" s="416" t="s">
        <v>4129</v>
      </c>
      <c r="N1036" s="416"/>
      <c r="O1036" s="421"/>
      <c r="P1036" s="416">
        <v>4590020456</v>
      </c>
      <c r="Q1036" s="418">
        <v>45503</v>
      </c>
      <c r="R1036" s="334" t="s">
        <v>3907</v>
      </c>
      <c r="S1036" s="461">
        <v>10407.370000000001</v>
      </c>
      <c r="T1036" s="420" t="s">
        <v>2156</v>
      </c>
      <c r="U1036" s="414" t="s">
        <v>6275</v>
      </c>
      <c r="V1036" s="414" t="s">
        <v>4031</v>
      </c>
      <c r="W1036" s="417" t="s">
        <v>6076</v>
      </c>
      <c r="X1036" s="417"/>
      <c r="Y1036" s="421"/>
      <c r="Z1036" s="421"/>
      <c r="AA1036" s="416" t="s">
        <v>6176</v>
      </c>
      <c r="AB1036" s="414" t="s">
        <v>6276</v>
      </c>
      <c r="AC1036" s="421"/>
      <c r="AD1036" s="421"/>
      <c r="AE1036" s="421"/>
      <c r="AF1036" s="421" t="s">
        <v>6277</v>
      </c>
      <c r="AG1036" s="420" t="s">
        <v>3170</v>
      </c>
      <c r="AH1036" s="421" t="s">
        <v>3711</v>
      </c>
      <c r="AI1036" s="420" t="s">
        <v>3666</v>
      </c>
      <c r="AJ1036" s="413">
        <f t="shared" si="63"/>
        <v>4590020456</v>
      </c>
      <c r="AK1036" s="420" t="s">
        <v>6278</v>
      </c>
      <c r="AL1036" s="424">
        <v>45506</v>
      </c>
      <c r="AM1036" s="451">
        <v>10407.370000000001</v>
      </c>
      <c r="AN1036" s="424" t="s">
        <v>3805</v>
      </c>
      <c r="AO1036" s="423"/>
      <c r="AP1036" s="424"/>
      <c r="AR1036" s="424"/>
      <c r="AS1036" s="614">
        <f ca="1">表格1_6[[#This Row],[total amount]]/表格1_6[[#This Row],[PO$]]</f>
        <v>1</v>
      </c>
      <c r="AT1036" s="318">
        <f ca="1">表格1_6[[#This Row],[invoice amount]]+表格1_6[[#This Row],[invoice amount2]]</f>
        <v>10407.370000000001</v>
      </c>
      <c r="AU1036" s="224" t="s">
        <v>3752</v>
      </c>
      <c r="AV1036" s="423"/>
      <c r="AW1036" s="423" t="e">
        <f ca="1">VLOOKUP(表格1_6[[#This Row],[TI tool ID2]],工作表1!A:A,1,FALSE)</f>
        <v>#N/A</v>
      </c>
      <c r="AX1036" s="425" t="e">
        <f ca="1">VLOOKUP(表格1_6[[#This Row],[PO+ITEM]],工作表1!B:E,2,FALSE)</f>
        <v>#N/A</v>
      </c>
      <c r="AY1036" s="425" t="e">
        <f ca="1">VLOOKUP(表格1_6[[#This Row],[PO+ITEM]],工作表1!B:E,3,FALSE)</f>
        <v>#N/A</v>
      </c>
      <c r="AZ1036" s="423" t="e">
        <f ca="1">VLOOKUP(表格1_6[[#This Row],[PO+ITEM]],工作表1!B:E,4,FALSE)</f>
        <v>#N/A</v>
      </c>
      <c r="BA1036" s="425" t="e">
        <f ca="1">INDEX(工作表1!G:G, MATCH(表格1_6[[#This Row],[invoice number]]&amp;表格1_6[[#This Row],[invoice number2]],工作表1!G:G, 0))</f>
        <v>#N/A</v>
      </c>
      <c r="BB1036" s="423" t="e">
        <f ca="1">VLOOKUP(表格1_6[[#This Row],[PO+ITEM]],工作表1!F:H,2,FALSE)</f>
        <v>#N/A</v>
      </c>
    </row>
    <row r="1037" spans="1:54" ht="14.45">
      <c r="A1037" s="413">
        <v>1036</v>
      </c>
      <c r="B1037" s="413" t="s">
        <v>3674</v>
      </c>
      <c r="C1037" s="414" t="s">
        <v>17</v>
      </c>
      <c r="D1037" s="414" t="s">
        <v>3648</v>
      </c>
      <c r="E1037" s="414"/>
      <c r="F1037" s="414"/>
      <c r="G1037" s="414" t="s">
        <v>2196</v>
      </c>
      <c r="H1037" s="414"/>
      <c r="I1037" s="414"/>
      <c r="J1037" s="414"/>
      <c r="K1037" s="414"/>
      <c r="L1037" s="415" t="s">
        <v>6279</v>
      </c>
      <c r="M1037" s="416" t="s">
        <v>4129</v>
      </c>
      <c r="N1037" s="416"/>
      <c r="O1037" s="421"/>
      <c r="P1037" s="416">
        <v>4590020457</v>
      </c>
      <c r="Q1037" s="418">
        <v>45503</v>
      </c>
      <c r="R1037" s="334" t="s">
        <v>3907</v>
      </c>
      <c r="S1037" s="461">
        <v>4468.1499999999996</v>
      </c>
      <c r="T1037" s="420" t="s">
        <v>2156</v>
      </c>
      <c r="U1037" s="414" t="s">
        <v>6280</v>
      </c>
      <c r="V1037" s="414" t="s">
        <v>4031</v>
      </c>
      <c r="W1037" s="417" t="s">
        <v>6076</v>
      </c>
      <c r="X1037" s="417"/>
      <c r="Y1037" s="421" t="s">
        <v>3652</v>
      </c>
      <c r="Z1037" s="421"/>
      <c r="AA1037" s="416" t="s">
        <v>6176</v>
      </c>
      <c r="AB1037" s="414" t="s">
        <v>6281</v>
      </c>
      <c r="AC1037" s="421"/>
      <c r="AD1037" s="421"/>
      <c r="AE1037" s="421"/>
      <c r="AF1037" s="421" t="s">
        <v>6282</v>
      </c>
      <c r="AG1037" s="420" t="s">
        <v>4660</v>
      </c>
      <c r="AH1037" s="421" t="s">
        <v>3711</v>
      </c>
      <c r="AI1037" s="420" t="s">
        <v>3719</v>
      </c>
      <c r="AJ1037" s="413">
        <f t="shared" si="63"/>
        <v>4590020457</v>
      </c>
      <c r="AK1037" s="420" t="s">
        <v>6283</v>
      </c>
      <c r="AL1037" s="424">
        <v>45506</v>
      </c>
      <c r="AM1037" s="451">
        <v>4468.1499999999996</v>
      </c>
      <c r="AN1037" s="424" t="s">
        <v>3805</v>
      </c>
      <c r="AO1037" s="423"/>
      <c r="AP1037" s="424"/>
      <c r="AR1037" s="424"/>
      <c r="AS1037" s="614">
        <f ca="1">表格1_6[[#This Row],[total amount]]/表格1_6[[#This Row],[PO$]]</f>
        <v>1</v>
      </c>
      <c r="AT1037" s="318">
        <f ca="1">表格1_6[[#This Row],[invoice amount]]+表格1_6[[#This Row],[invoice amount2]]</f>
        <v>4468.1499999999996</v>
      </c>
      <c r="AU1037" s="224" t="s">
        <v>3752</v>
      </c>
      <c r="AV1037" s="423"/>
      <c r="AW1037" s="423" t="e">
        <f ca="1">VLOOKUP(表格1_6[[#This Row],[TI tool ID2]],工作表1!A:A,1,FALSE)</f>
        <v>#N/A</v>
      </c>
      <c r="AX1037" s="425" t="e">
        <f ca="1">VLOOKUP(表格1_6[[#This Row],[PO+ITEM]],工作表1!B:E,2,FALSE)</f>
        <v>#N/A</v>
      </c>
      <c r="AY1037" s="425" t="e">
        <f ca="1">VLOOKUP(表格1_6[[#This Row],[PO+ITEM]],工作表1!B:E,3,FALSE)</f>
        <v>#N/A</v>
      </c>
      <c r="AZ1037" s="423" t="e">
        <f ca="1">VLOOKUP(表格1_6[[#This Row],[PO+ITEM]],工作表1!B:E,4,FALSE)</f>
        <v>#N/A</v>
      </c>
      <c r="BA1037" s="425" t="e">
        <f ca="1">INDEX(工作表1!G:G, MATCH(表格1_6[[#This Row],[invoice number]]&amp;表格1_6[[#This Row],[invoice number2]],工作表1!G:G, 0))</f>
        <v>#N/A</v>
      </c>
      <c r="BB1037" s="423" t="e">
        <f ca="1">VLOOKUP(表格1_6[[#This Row],[PO+ITEM]],工作表1!F:H,2,FALSE)</f>
        <v>#N/A</v>
      </c>
    </row>
    <row r="1038" spans="1:54">
      <c r="A1038" s="413">
        <v>1037</v>
      </c>
      <c r="B1038" s="413" t="s">
        <v>3674</v>
      </c>
      <c r="C1038" s="414" t="s">
        <v>17</v>
      </c>
      <c r="D1038" s="414" t="s">
        <v>3648</v>
      </c>
      <c r="E1038" s="414"/>
      <c r="F1038" s="414"/>
      <c r="G1038" s="414" t="s">
        <v>2196</v>
      </c>
      <c r="H1038" s="414"/>
      <c r="I1038" s="414"/>
      <c r="J1038" s="414"/>
      <c r="K1038" s="414"/>
      <c r="L1038" s="415" t="s">
        <v>6284</v>
      </c>
      <c r="M1038" s="416" t="s">
        <v>4105</v>
      </c>
      <c r="N1038" s="416"/>
      <c r="O1038" s="421"/>
      <c r="P1038" s="416">
        <v>4590020455</v>
      </c>
      <c r="Q1038" s="418">
        <v>45503</v>
      </c>
      <c r="R1038" s="334" t="s">
        <v>3907</v>
      </c>
      <c r="S1038" s="546">
        <v>7638.96</v>
      </c>
      <c r="T1038" s="420" t="s">
        <v>2156</v>
      </c>
      <c r="U1038" s="414" t="s">
        <v>6285</v>
      </c>
      <c r="V1038" s="414" t="s">
        <v>4031</v>
      </c>
      <c r="W1038" s="417" t="s">
        <v>6076</v>
      </c>
      <c r="X1038" s="417"/>
      <c r="Y1038" s="421" t="s">
        <v>3652</v>
      </c>
      <c r="Z1038" s="421"/>
      <c r="AA1038" s="416" t="s">
        <v>6176</v>
      </c>
      <c r="AB1038" s="414" t="s">
        <v>6286</v>
      </c>
      <c r="AC1038" s="421"/>
      <c r="AD1038" s="421"/>
      <c r="AE1038" s="421"/>
      <c r="AF1038" s="421">
        <v>90519</v>
      </c>
      <c r="AG1038" s="420" t="s">
        <v>3359</v>
      </c>
      <c r="AH1038" s="421" t="s">
        <v>4014</v>
      </c>
      <c r="AI1038" s="420" t="s">
        <v>3666</v>
      </c>
      <c r="AJ1038" s="413">
        <f t="shared" si="63"/>
        <v>4590020455</v>
      </c>
      <c r="AK1038" s="425" t="s">
        <v>6287</v>
      </c>
      <c r="AL1038" s="424">
        <v>45520</v>
      </c>
      <c r="AM1038" s="221">
        <v>7638.96</v>
      </c>
      <c r="AN1038" s="424" t="s">
        <v>3805</v>
      </c>
      <c r="AO1038" s="423"/>
      <c r="AP1038" s="413"/>
      <c r="AR1038" s="424"/>
      <c r="AS1038" s="614">
        <f ca="1">表格1_6[[#This Row],[total amount]]/表格1_6[[#This Row],[PO$]]</f>
        <v>1</v>
      </c>
      <c r="AT1038" s="318">
        <f ca="1">表格1_6[[#This Row],[invoice amount]]+表格1_6[[#This Row],[invoice amount2]]</f>
        <v>7638.96</v>
      </c>
      <c r="AU1038" s="224" t="s">
        <v>3701</v>
      </c>
      <c r="AV1038" s="423" t="s">
        <v>6288</v>
      </c>
      <c r="AW1038" s="423" t="e">
        <f ca="1">VLOOKUP(表格1_6[[#This Row],[TI tool ID2]],工作表1!A:A,1,FALSE)</f>
        <v>#N/A</v>
      </c>
      <c r="AX1038" s="425" t="e">
        <f ca="1">VLOOKUP(表格1_6[[#This Row],[PO+ITEM]],工作表1!B:E,2,FALSE)</f>
        <v>#N/A</v>
      </c>
      <c r="AY1038" s="425" t="e">
        <f ca="1">VLOOKUP(表格1_6[[#This Row],[PO+ITEM]],工作表1!B:E,3,FALSE)</f>
        <v>#N/A</v>
      </c>
      <c r="AZ1038" s="423" t="e">
        <f ca="1">VLOOKUP(表格1_6[[#This Row],[PO+ITEM]],工作表1!B:E,4,FALSE)</f>
        <v>#N/A</v>
      </c>
      <c r="BA1038" s="425" t="e">
        <f ca="1">INDEX(工作表1!G:G, MATCH(表格1_6[[#This Row],[invoice number]]&amp;表格1_6[[#This Row],[invoice number2]],工作表1!G:G, 0))</f>
        <v>#N/A</v>
      </c>
      <c r="BB1038" s="423" t="e">
        <f ca="1">VLOOKUP(表格1_6[[#This Row],[PO+ITEM]],工作表1!F:H,2,FALSE)</f>
        <v>#N/A</v>
      </c>
    </row>
    <row r="1039" spans="1:54" ht="14.45">
      <c r="A1039" s="413">
        <v>1038</v>
      </c>
      <c r="B1039" s="413" t="s">
        <v>3674</v>
      </c>
      <c r="C1039" s="414" t="s">
        <v>17</v>
      </c>
      <c r="D1039" s="414" t="s">
        <v>3648</v>
      </c>
      <c r="E1039" s="414"/>
      <c r="F1039" s="414"/>
      <c r="G1039" s="414" t="s">
        <v>2196</v>
      </c>
      <c r="H1039" s="414"/>
      <c r="I1039" s="414"/>
      <c r="J1039" s="414"/>
      <c r="K1039" s="414"/>
      <c r="L1039" s="415" t="s">
        <v>6289</v>
      </c>
      <c r="M1039" s="416" t="s">
        <v>4129</v>
      </c>
      <c r="N1039" s="416"/>
      <c r="O1039" s="421"/>
      <c r="P1039" s="416">
        <v>4590020459</v>
      </c>
      <c r="Q1039" s="418">
        <v>45503</v>
      </c>
      <c r="R1039" s="334" t="s">
        <v>3907</v>
      </c>
      <c r="S1039" s="461">
        <v>4721.99</v>
      </c>
      <c r="T1039" s="420" t="s">
        <v>2156</v>
      </c>
      <c r="U1039" s="414" t="s">
        <v>6290</v>
      </c>
      <c r="V1039" s="414" t="s">
        <v>4031</v>
      </c>
      <c r="W1039" s="417" t="s">
        <v>6076</v>
      </c>
      <c r="X1039" s="417"/>
      <c r="Y1039" s="421" t="s">
        <v>3652</v>
      </c>
      <c r="Z1039" s="421"/>
      <c r="AA1039" s="416" t="s">
        <v>6176</v>
      </c>
      <c r="AB1039" s="414" t="s">
        <v>6291</v>
      </c>
      <c r="AC1039" s="421"/>
      <c r="AD1039" s="421"/>
      <c r="AE1039" s="421"/>
      <c r="AF1039" s="421">
        <v>90615</v>
      </c>
      <c r="AG1039" s="420" t="s">
        <v>3307</v>
      </c>
      <c r="AH1039" s="421" t="s">
        <v>4823</v>
      </c>
      <c r="AI1039" s="420" t="s">
        <v>3666</v>
      </c>
      <c r="AJ1039" s="413">
        <f t="shared" si="63"/>
        <v>4590020459</v>
      </c>
      <c r="AK1039" s="420" t="s">
        <v>6292</v>
      </c>
      <c r="AL1039" s="424">
        <v>45506</v>
      </c>
      <c r="AM1039" s="451">
        <v>4721.99</v>
      </c>
      <c r="AN1039" s="424">
        <v>45565</v>
      </c>
      <c r="AO1039" s="423"/>
      <c r="AP1039" s="424"/>
      <c r="AR1039" s="424"/>
      <c r="AS1039" s="614">
        <f ca="1">表格1_6[[#This Row],[total amount]]/表格1_6[[#This Row],[PO$]]</f>
        <v>1</v>
      </c>
      <c r="AT1039" s="318">
        <f ca="1">表格1_6[[#This Row],[invoice amount]]+表格1_6[[#This Row],[invoice amount2]]</f>
        <v>4721.99</v>
      </c>
      <c r="AU1039" s="224" t="s">
        <v>3725</v>
      </c>
      <c r="AV1039" s="423"/>
      <c r="AW1039" s="423" t="e">
        <f ca="1">VLOOKUP(表格1_6[[#This Row],[TI tool ID2]],工作表1!A:A,1,FALSE)</f>
        <v>#N/A</v>
      </c>
      <c r="AX1039" s="425" t="e">
        <f ca="1">VLOOKUP(表格1_6[[#This Row],[PO+ITEM]],工作表1!B:E,2,FALSE)</f>
        <v>#N/A</v>
      </c>
      <c r="AY1039" s="425" t="e">
        <f ca="1">VLOOKUP(表格1_6[[#This Row],[PO+ITEM]],工作表1!B:E,3,FALSE)</f>
        <v>#N/A</v>
      </c>
      <c r="AZ1039" s="423" t="e">
        <f ca="1">VLOOKUP(表格1_6[[#This Row],[PO+ITEM]],工作表1!B:E,4,FALSE)</f>
        <v>#N/A</v>
      </c>
      <c r="BA1039" s="425" t="e">
        <f ca="1">INDEX(工作表1!G:G, MATCH(表格1_6[[#This Row],[invoice number]]&amp;表格1_6[[#This Row],[invoice number2]],工作表1!G:G, 0))</f>
        <v>#N/A</v>
      </c>
      <c r="BB1039" s="423" t="e">
        <f ca="1">VLOOKUP(表格1_6[[#This Row],[PO+ITEM]],工作表1!F:H,2,FALSE)</f>
        <v>#N/A</v>
      </c>
    </row>
    <row r="1040" spans="1:54" ht="14.45">
      <c r="A1040" s="413">
        <v>1039</v>
      </c>
      <c r="B1040" s="413" t="s">
        <v>3674</v>
      </c>
      <c r="C1040" s="414" t="s">
        <v>17</v>
      </c>
      <c r="D1040" s="414" t="s">
        <v>3648</v>
      </c>
      <c r="E1040" s="414"/>
      <c r="F1040" s="414"/>
      <c r="G1040" s="414" t="s">
        <v>2196</v>
      </c>
      <c r="H1040" s="414"/>
      <c r="I1040" s="414"/>
      <c r="J1040" s="414"/>
      <c r="K1040" s="414"/>
      <c r="L1040" s="415" t="s">
        <v>6293</v>
      </c>
      <c r="M1040" s="416" t="s">
        <v>4129</v>
      </c>
      <c r="N1040" s="416"/>
      <c r="O1040" s="421"/>
      <c r="P1040" s="416">
        <v>4590020460</v>
      </c>
      <c r="Q1040" s="418">
        <v>45503</v>
      </c>
      <c r="R1040" s="334" t="s">
        <v>3907</v>
      </c>
      <c r="S1040" s="461">
        <v>6339.4</v>
      </c>
      <c r="T1040" s="420" t="s">
        <v>2156</v>
      </c>
      <c r="U1040" s="414" t="s">
        <v>6294</v>
      </c>
      <c r="V1040" s="414" t="s">
        <v>4031</v>
      </c>
      <c r="W1040" s="417" t="s">
        <v>6076</v>
      </c>
      <c r="X1040" s="417"/>
      <c r="Y1040" s="421" t="s">
        <v>3652</v>
      </c>
      <c r="Z1040" s="421"/>
      <c r="AA1040" s="416" t="s">
        <v>6176</v>
      </c>
      <c r="AB1040" s="414" t="s">
        <v>6295</v>
      </c>
      <c r="AC1040" s="421"/>
      <c r="AD1040" s="421"/>
      <c r="AE1040" s="421"/>
      <c r="AF1040" s="421">
        <v>90672</v>
      </c>
      <c r="AG1040" s="420" t="s">
        <v>4663</v>
      </c>
      <c r="AH1040" s="421" t="s">
        <v>4823</v>
      </c>
      <c r="AI1040" s="420" t="s">
        <v>3719</v>
      </c>
      <c r="AJ1040" s="413">
        <f>P1040</f>
        <v>4590020460</v>
      </c>
      <c r="AK1040" s="420" t="s">
        <v>6296</v>
      </c>
      <c r="AL1040" s="424">
        <v>45506</v>
      </c>
      <c r="AM1040" s="451">
        <v>6339.4</v>
      </c>
      <c r="AN1040" s="424" t="s">
        <v>3805</v>
      </c>
      <c r="AO1040" s="423"/>
      <c r="AP1040" s="424"/>
      <c r="AR1040" s="424"/>
      <c r="AS1040" s="614">
        <f ca="1">表格1_6[[#This Row],[total amount]]/表格1_6[[#This Row],[PO$]]</f>
        <v>1</v>
      </c>
      <c r="AT1040" s="318">
        <f ca="1">表格1_6[[#This Row],[invoice amount]]+表格1_6[[#This Row],[invoice amount2]]</f>
        <v>6339.4</v>
      </c>
      <c r="AU1040" s="224" t="s">
        <v>3752</v>
      </c>
      <c r="AV1040" s="423"/>
      <c r="AW1040" s="423" t="e">
        <f ca="1">VLOOKUP(表格1_6[[#This Row],[TI tool ID2]],工作表1!A:A,1,FALSE)</f>
        <v>#N/A</v>
      </c>
      <c r="AX1040" s="425" t="e">
        <f ca="1">VLOOKUP(表格1_6[[#This Row],[PO+ITEM]],工作表1!B:E,2,FALSE)</f>
        <v>#N/A</v>
      </c>
      <c r="AY1040" s="425" t="e">
        <f ca="1">VLOOKUP(表格1_6[[#This Row],[PO+ITEM]],工作表1!B:E,3,FALSE)</f>
        <v>#N/A</v>
      </c>
      <c r="AZ1040" s="423" t="e">
        <f ca="1">VLOOKUP(表格1_6[[#This Row],[PO+ITEM]],工作表1!B:E,4,FALSE)</f>
        <v>#N/A</v>
      </c>
      <c r="BA1040" s="425" t="e">
        <f ca="1">INDEX(工作表1!G:G, MATCH(表格1_6[[#This Row],[invoice number]]&amp;表格1_6[[#This Row],[invoice number2]],工作表1!G:G, 0))</f>
        <v>#N/A</v>
      </c>
      <c r="BB1040" s="423" t="e">
        <f ca="1">VLOOKUP(表格1_6[[#This Row],[PO+ITEM]],工作表1!F:H,2,FALSE)</f>
        <v>#N/A</v>
      </c>
    </row>
    <row r="1041" spans="1:54" s="429" customFormat="1" ht="14.45">
      <c r="A1041" s="413">
        <v>1040</v>
      </c>
      <c r="B1041" s="566" t="s">
        <v>3765</v>
      </c>
      <c r="C1041" s="509" t="s">
        <v>16</v>
      </c>
      <c r="D1041" s="509" t="s">
        <v>3648</v>
      </c>
      <c r="E1041" s="509"/>
      <c r="F1041" s="509"/>
      <c r="G1041" s="509"/>
      <c r="H1041" s="509"/>
      <c r="I1041" s="509"/>
      <c r="J1041" s="509"/>
      <c r="K1041" s="509"/>
      <c r="L1041" s="524" t="s">
        <v>6297</v>
      </c>
      <c r="M1041" s="510" t="s">
        <v>6298</v>
      </c>
      <c r="N1041" s="510"/>
      <c r="O1041" s="514"/>
      <c r="P1041" s="510">
        <v>4590009054</v>
      </c>
      <c r="Q1041" s="512">
        <v>44945</v>
      </c>
      <c r="R1041" s="517" t="s">
        <v>3907</v>
      </c>
      <c r="S1041" s="537"/>
      <c r="T1041" s="513" t="s">
        <v>6299</v>
      </c>
      <c r="U1041" s="509"/>
      <c r="V1041" s="528"/>
      <c r="W1041" s="511"/>
      <c r="X1041" s="511"/>
      <c r="Y1041" s="514"/>
      <c r="Z1041" s="514"/>
      <c r="AA1041" s="510"/>
      <c r="AB1041" s="509"/>
      <c r="AC1041" s="514"/>
      <c r="AD1041" s="514"/>
      <c r="AE1041" s="514"/>
      <c r="AF1041" s="514"/>
      <c r="AG1041" s="513"/>
      <c r="AH1041" s="514"/>
      <c r="AI1041" s="513"/>
      <c r="AJ1041" s="514"/>
      <c r="AK1041" s="513"/>
      <c r="AL1041" s="516"/>
      <c r="AM1041" s="529"/>
      <c r="AN1041" s="520"/>
      <c r="AO1041" s="518"/>
      <c r="AP1041" s="516"/>
      <c r="AQ1041" s="520"/>
      <c r="AR1041" s="520"/>
      <c r="AS1041" s="615"/>
      <c r="AT1041" s="530">
        <f ca="1">表格1_6[[#This Row],[invoice amount]]+表格1_6[[#This Row],[invoice amount2]]</f>
        <v>0</v>
      </c>
      <c r="AU1041" s="566" t="s">
        <v>3765</v>
      </c>
      <c r="AV1041" s="518"/>
      <c r="AW1041" s="522" t="e">
        <f ca="1">VLOOKUP(表格1_6[[#This Row],[TI tool ID2]],工作表1!A:A,1,FALSE)</f>
        <v>#N/A</v>
      </c>
      <c r="AX1041" s="523" t="e">
        <f ca="1">VLOOKUP(表格1_6[[#This Row],[PO+ITEM]],工作表1!B:E,2,FALSE)</f>
        <v>#N/A</v>
      </c>
      <c r="AY1041" s="523" t="e">
        <f ca="1">VLOOKUP(表格1_6[[#This Row],[PO+ITEM]],工作表1!B:E,3,FALSE)</f>
        <v>#N/A</v>
      </c>
      <c r="AZ1041" s="522" t="e">
        <f ca="1">VLOOKUP(表格1_6[[#This Row],[PO+ITEM]],工作表1!B:E,4,FALSE)</f>
        <v>#N/A</v>
      </c>
      <c r="BA1041" s="425" t="e">
        <f ca="1">INDEX(工作表1!G:G, MATCH(表格1_6[[#This Row],[invoice number]]&amp;表格1_6[[#This Row],[invoice number2]],工作表1!G:G, 0))</f>
        <v>#N/A</v>
      </c>
      <c r="BB1041" s="522" t="e">
        <f ca="1">VLOOKUP(表格1_6[[#This Row],[PO+ITEM]],工作表1!F:H,2,FALSE)</f>
        <v>#N/A</v>
      </c>
    </row>
    <row r="1042" spans="1:54" ht="14.45">
      <c r="A1042" s="413">
        <v>1041</v>
      </c>
      <c r="B1042" s="413" t="s">
        <v>3674</v>
      </c>
      <c r="C1042" s="209" t="s">
        <v>17</v>
      </c>
      <c r="D1042" s="209" t="s">
        <v>3648</v>
      </c>
      <c r="E1042" s="209"/>
      <c r="F1042" s="209"/>
      <c r="G1042" s="209" t="s">
        <v>2196</v>
      </c>
      <c r="H1042" s="209"/>
      <c r="I1042" s="209"/>
      <c r="J1042" s="209"/>
      <c r="K1042" s="209"/>
      <c r="L1042" s="210" t="s">
        <v>6300</v>
      </c>
      <c r="M1042" s="212" t="s">
        <v>6298</v>
      </c>
      <c r="N1042" s="212"/>
      <c r="O1042" s="218"/>
      <c r="P1042" s="212">
        <v>4590020627</v>
      </c>
      <c r="Q1042" s="214">
        <v>45505</v>
      </c>
      <c r="R1042" s="334" t="s">
        <v>3907</v>
      </c>
      <c r="S1042" s="461">
        <v>3225.49</v>
      </c>
      <c r="T1042" s="217" t="s">
        <v>2156</v>
      </c>
      <c r="U1042" s="414" t="s">
        <v>6301</v>
      </c>
      <c r="V1042" s="414" t="s">
        <v>4031</v>
      </c>
      <c r="W1042" s="213"/>
      <c r="X1042" s="213"/>
      <c r="Y1042" s="218" t="s">
        <v>3652</v>
      </c>
      <c r="Z1042" s="218"/>
      <c r="AA1042" s="212" t="s">
        <v>6302</v>
      </c>
      <c r="AB1042" s="209" t="s">
        <v>6303</v>
      </c>
      <c r="AC1042" s="218"/>
      <c r="AD1042" s="218"/>
      <c r="AE1042" s="218"/>
      <c r="AF1042" s="218">
        <v>90420</v>
      </c>
      <c r="AG1042" s="217" t="s">
        <v>3730</v>
      </c>
      <c r="AH1042" s="218" t="s">
        <v>3718</v>
      </c>
      <c r="AI1042" s="217" t="s">
        <v>3719</v>
      </c>
      <c r="AJ1042" s="413">
        <v>4590020627</v>
      </c>
      <c r="AK1042" s="425" t="s">
        <v>6304</v>
      </c>
      <c r="AL1042" s="424">
        <v>45520</v>
      </c>
      <c r="AM1042" s="221">
        <v>3225.49</v>
      </c>
      <c r="AN1042" s="424" t="s">
        <v>3805</v>
      </c>
      <c r="AO1042" s="208"/>
      <c r="AP1042" s="220"/>
      <c r="AR1042" s="227"/>
      <c r="AS1042" s="614">
        <f ca="1">表格1_6[[#This Row],[total amount]]/表格1_6[[#This Row],[PO$]]</f>
        <v>1</v>
      </c>
      <c r="AT1042" s="318">
        <f ca="1">表格1_6[[#This Row],[invoice amount]]+表格1_6[[#This Row],[invoice amount2]]</f>
        <v>3225.49</v>
      </c>
      <c r="AU1042" s="224" t="s">
        <v>3701</v>
      </c>
      <c r="AV1042" s="208"/>
      <c r="AW1042" s="423" t="e">
        <f ca="1">VLOOKUP(表格1_6[[#This Row],[TI tool ID2]],工作表1!A:A,1,FALSE)</f>
        <v>#N/A</v>
      </c>
      <c r="AX1042" s="341" t="e">
        <f ca="1">VLOOKUP(表格1_6[[#This Row],[PO+ITEM]],工作表1!B:E,2,FALSE)</f>
        <v>#N/A</v>
      </c>
      <c r="AY1042" s="341" t="e">
        <f ca="1">VLOOKUP(表格1_6[[#This Row],[PO+ITEM]],工作表1!B:E,3,FALSE)</f>
        <v>#N/A</v>
      </c>
      <c r="AZ1042" s="208" t="e">
        <f ca="1">VLOOKUP(表格1_6[[#This Row],[PO+ITEM]],工作表1!B:E,4,FALSE)</f>
        <v>#N/A</v>
      </c>
      <c r="BA1042" s="425" t="e">
        <f ca="1">INDEX(工作表1!G:G, MATCH(表格1_6[[#This Row],[invoice number]]&amp;表格1_6[[#This Row],[invoice number2]],工作表1!G:G, 0))</f>
        <v>#N/A</v>
      </c>
      <c r="BB1042" s="208" t="e">
        <f ca="1">VLOOKUP(表格1_6[[#This Row],[PO+ITEM]],工作表1!F:H,2,FALSE)</f>
        <v>#N/A</v>
      </c>
    </row>
    <row r="1043" spans="1:54" ht="14.45">
      <c r="A1043" s="413">
        <v>1042</v>
      </c>
      <c r="B1043" s="413" t="s">
        <v>3674</v>
      </c>
      <c r="C1043" s="209" t="s">
        <v>17</v>
      </c>
      <c r="D1043" s="209" t="s">
        <v>3648</v>
      </c>
      <c r="E1043" s="209"/>
      <c r="F1043" s="209"/>
      <c r="G1043" s="209" t="s">
        <v>2196</v>
      </c>
      <c r="H1043" s="209"/>
      <c r="I1043" s="209"/>
      <c r="J1043" s="209"/>
      <c r="K1043" s="209"/>
      <c r="L1043" s="210" t="s">
        <v>6305</v>
      </c>
      <c r="M1043" s="212" t="s">
        <v>3547</v>
      </c>
      <c r="N1043" s="212"/>
      <c r="O1043" s="218"/>
      <c r="P1043" s="212">
        <v>4590020628</v>
      </c>
      <c r="Q1043" s="214">
        <v>45505</v>
      </c>
      <c r="R1043" s="334" t="s">
        <v>3907</v>
      </c>
      <c r="S1043" s="461">
        <v>3225.49</v>
      </c>
      <c r="T1043" s="217" t="s">
        <v>2156</v>
      </c>
      <c r="U1043" s="414" t="s">
        <v>6306</v>
      </c>
      <c r="V1043" s="414" t="s">
        <v>4031</v>
      </c>
      <c r="W1043" s="213"/>
      <c r="X1043" s="213"/>
      <c r="Y1043" s="218" t="s">
        <v>3652</v>
      </c>
      <c r="Z1043" s="218"/>
      <c r="AA1043" s="212" t="s">
        <v>6302</v>
      </c>
      <c r="AB1043" s="209" t="s">
        <v>6307</v>
      </c>
      <c r="AC1043" s="218"/>
      <c r="AD1043" s="218"/>
      <c r="AE1043" s="218"/>
      <c r="AF1043" s="218">
        <v>90419</v>
      </c>
      <c r="AG1043" s="217" t="s">
        <v>3733</v>
      </c>
      <c r="AH1043" s="218" t="s">
        <v>3718</v>
      </c>
      <c r="AI1043" s="217" t="s">
        <v>3719</v>
      </c>
      <c r="AJ1043" s="413">
        <v>4590020628</v>
      </c>
      <c r="AK1043" s="425" t="s">
        <v>6308</v>
      </c>
      <c r="AL1043" s="424">
        <v>45520</v>
      </c>
      <c r="AM1043" s="221">
        <v>3225.49</v>
      </c>
      <c r="AN1043" s="424" t="s">
        <v>3805</v>
      </c>
      <c r="AO1043" s="208"/>
      <c r="AP1043" s="220"/>
      <c r="AR1043" s="227"/>
      <c r="AS1043" s="614">
        <f ca="1">表格1_6[[#This Row],[total amount]]/表格1_6[[#This Row],[PO$]]</f>
        <v>1</v>
      </c>
      <c r="AT1043" s="318">
        <f ca="1">表格1_6[[#This Row],[invoice amount]]+表格1_6[[#This Row],[invoice amount2]]</f>
        <v>3225.49</v>
      </c>
      <c r="AU1043" s="224" t="s">
        <v>3701</v>
      </c>
      <c r="AV1043" s="208"/>
      <c r="AW1043" s="423" t="e">
        <f ca="1">VLOOKUP(表格1_6[[#This Row],[TI tool ID2]],工作表1!A:A,1,FALSE)</f>
        <v>#N/A</v>
      </c>
      <c r="AX1043" s="341" t="e">
        <f ca="1">VLOOKUP(表格1_6[[#This Row],[PO+ITEM]],工作表1!B:E,2,FALSE)</f>
        <v>#N/A</v>
      </c>
      <c r="AY1043" s="341" t="e">
        <f ca="1">VLOOKUP(表格1_6[[#This Row],[PO+ITEM]],工作表1!B:E,3,FALSE)</f>
        <v>#N/A</v>
      </c>
      <c r="AZ1043" s="208" t="e">
        <f ca="1">VLOOKUP(表格1_6[[#This Row],[PO+ITEM]],工作表1!B:E,4,FALSE)</f>
        <v>#N/A</v>
      </c>
      <c r="BA1043" s="425" t="e">
        <f ca="1">INDEX(工作表1!G:G, MATCH(表格1_6[[#This Row],[invoice number]]&amp;表格1_6[[#This Row],[invoice number2]],工作表1!G:G, 0))</f>
        <v>#N/A</v>
      </c>
      <c r="BB1043" s="208" t="e">
        <f ca="1">VLOOKUP(表格1_6[[#This Row],[PO+ITEM]],工作表1!F:H,2,FALSE)</f>
        <v>#N/A</v>
      </c>
    </row>
    <row r="1044" spans="1:54" ht="14.45">
      <c r="A1044" s="413">
        <v>1043</v>
      </c>
      <c r="B1044" s="220" t="s">
        <v>3674</v>
      </c>
      <c r="C1044" s="209" t="s">
        <v>17</v>
      </c>
      <c r="D1044" s="209" t="s">
        <v>3648</v>
      </c>
      <c r="E1044" s="209"/>
      <c r="F1044" s="209"/>
      <c r="G1044" s="209" t="s">
        <v>2196</v>
      </c>
      <c r="H1044" s="209"/>
      <c r="I1044" s="209"/>
      <c r="J1044" s="209"/>
      <c r="K1044" s="209"/>
      <c r="L1044" s="210" t="s">
        <v>6309</v>
      </c>
      <c r="M1044" s="212"/>
      <c r="N1044" s="212"/>
      <c r="O1044" s="218"/>
      <c r="P1044" s="212">
        <v>4590020683</v>
      </c>
      <c r="Q1044" s="214">
        <v>45506</v>
      </c>
      <c r="R1044" s="334" t="s">
        <v>3907</v>
      </c>
      <c r="S1044" s="461">
        <v>63403.16</v>
      </c>
      <c r="T1044" s="217" t="s">
        <v>2156</v>
      </c>
      <c r="U1044" s="414" t="s">
        <v>6310</v>
      </c>
      <c r="V1044" s="414" t="s">
        <v>6311</v>
      </c>
      <c r="W1044" s="213"/>
      <c r="X1044" s="213"/>
      <c r="Y1044" s="218" t="s">
        <v>3652</v>
      </c>
      <c r="Z1044" s="218"/>
      <c r="AA1044" s="212" t="s">
        <v>6312</v>
      </c>
      <c r="AB1044" s="209" t="s">
        <v>6313</v>
      </c>
      <c r="AC1044" s="218"/>
      <c r="AD1044" s="218"/>
      <c r="AE1044" s="218"/>
      <c r="AF1044" s="421" t="s">
        <v>6314</v>
      </c>
      <c r="AG1044" s="217" t="s">
        <v>6315</v>
      </c>
      <c r="AH1044" s="218" t="s">
        <v>3681</v>
      </c>
      <c r="AI1044" s="217" t="s">
        <v>846</v>
      </c>
      <c r="AJ1044" s="413">
        <v>4590020683</v>
      </c>
      <c r="AK1044" s="217"/>
      <c r="AL1044" s="220"/>
      <c r="AM1044" s="449"/>
      <c r="AN1044" s="227"/>
      <c r="AO1044" s="208"/>
      <c r="AP1044" s="220"/>
      <c r="AR1044" s="227"/>
      <c r="AS1044" s="614">
        <f ca="1">表格1_6[[#This Row],[total amount]]/表格1_6[[#This Row],[PO$]]</f>
        <v>0</v>
      </c>
      <c r="AT1044" s="318">
        <f ca="1">表格1_6[[#This Row],[invoice amount]]+表格1_6[[#This Row],[invoice amount2]]</f>
        <v>0</v>
      </c>
      <c r="AV1044" s="208"/>
      <c r="AW1044" s="423" t="e">
        <f ca="1">VLOOKUP(表格1_6[[#This Row],[TI tool ID2]],工作表1!A:A,1,FALSE)</f>
        <v>#N/A</v>
      </c>
      <c r="AX1044" s="341" t="e">
        <f ca="1">VLOOKUP(表格1_6[[#This Row],[PO+ITEM]],工作表1!B:E,2,FALSE)</f>
        <v>#N/A</v>
      </c>
      <c r="AY1044" s="341" t="e">
        <f ca="1">VLOOKUP(表格1_6[[#This Row],[PO+ITEM]],工作表1!B:E,3,FALSE)</f>
        <v>#N/A</v>
      </c>
      <c r="AZ1044" s="208" t="e">
        <f ca="1">VLOOKUP(表格1_6[[#This Row],[PO+ITEM]],工作表1!B:E,4,FALSE)</f>
        <v>#N/A</v>
      </c>
      <c r="BA1044" s="425" t="e">
        <f ca="1">INDEX(工作表1!G:G, MATCH(表格1_6[[#This Row],[invoice number]]&amp;表格1_6[[#This Row],[invoice number2]],工作表1!G:G, 0))</f>
        <v>#N/A</v>
      </c>
      <c r="BB1044" s="208" t="e">
        <f ca="1">VLOOKUP(表格1_6[[#This Row],[PO+ITEM]],工作表1!F:H,2,FALSE)</f>
        <v>#N/A</v>
      </c>
    </row>
    <row r="1045" spans="1:54" ht="14.45">
      <c r="A1045" s="413">
        <v>1044</v>
      </c>
      <c r="B1045" s="220" t="s">
        <v>3659</v>
      </c>
      <c r="C1045" s="209" t="s">
        <v>16</v>
      </c>
      <c r="D1045" s="209" t="s">
        <v>3648</v>
      </c>
      <c r="E1045" s="209"/>
      <c r="F1045" s="209"/>
      <c r="G1045" s="209"/>
      <c r="H1045" s="209"/>
      <c r="I1045" s="209"/>
      <c r="J1045" s="209"/>
      <c r="K1045" s="209"/>
      <c r="L1045" s="210" t="s">
        <v>6316</v>
      </c>
      <c r="M1045" s="212" t="s">
        <v>4129</v>
      </c>
      <c r="N1045" s="212"/>
      <c r="O1045" s="218"/>
      <c r="P1045" s="212">
        <v>4590006256</v>
      </c>
      <c r="Q1045" s="214">
        <v>44836</v>
      </c>
      <c r="R1045" s="334" t="s">
        <v>3907</v>
      </c>
      <c r="S1045" s="461">
        <v>2459.56</v>
      </c>
      <c r="T1045" s="217" t="s">
        <v>2253</v>
      </c>
      <c r="U1045" s="209" t="s">
        <v>6317</v>
      </c>
      <c r="V1045" s="414" t="s">
        <v>3662</v>
      </c>
      <c r="W1045" s="213" t="s">
        <v>3663</v>
      </c>
      <c r="X1045" s="213"/>
      <c r="Y1045" s="218" t="s">
        <v>3652</v>
      </c>
      <c r="Z1045" s="218"/>
      <c r="AA1045" s="212"/>
      <c r="AB1045" s="209"/>
      <c r="AC1045" s="218"/>
      <c r="AD1045" s="218"/>
      <c r="AE1045" s="218"/>
      <c r="AF1045" s="421" t="s">
        <v>6318</v>
      </c>
      <c r="AG1045" s="217" t="s">
        <v>3258</v>
      </c>
      <c r="AH1045" s="218" t="s">
        <v>3828</v>
      </c>
      <c r="AI1045" s="217" t="s">
        <v>3666</v>
      </c>
      <c r="AJ1045" s="218" t="s">
        <v>6319</v>
      </c>
      <c r="AK1045" s="217"/>
      <c r="AL1045" s="220"/>
      <c r="AM1045" s="449"/>
      <c r="AN1045" s="227"/>
      <c r="AO1045" s="208"/>
      <c r="AP1045" s="220"/>
      <c r="AR1045" s="227"/>
      <c r="AS1045" s="614">
        <f ca="1">表格1_6[[#This Row],[total amount]]/表格1_6[[#This Row],[PO$]]</f>
        <v>0</v>
      </c>
      <c r="AT1045" s="318">
        <f ca="1">表格1_6[[#This Row],[invoice amount]]+表格1_6[[#This Row],[invoice amount2]]</f>
        <v>0</v>
      </c>
      <c r="AV1045" s="208"/>
      <c r="AW1045" s="208" t="e">
        <f ca="1">VLOOKUP(表格1_6[[#This Row],[TI tool ID2]],工作表1!A:A,1,FALSE)</f>
        <v>#N/A</v>
      </c>
      <c r="AX1045" s="341" t="e">
        <f ca="1">VLOOKUP(表格1_6[[#This Row],[PO+ITEM]],工作表1!B:E,2,FALSE)</f>
        <v>#N/A</v>
      </c>
      <c r="AY1045" s="341" t="e">
        <f ca="1">VLOOKUP(表格1_6[[#This Row],[PO+ITEM]],工作表1!B:E,3,FALSE)</f>
        <v>#N/A</v>
      </c>
      <c r="AZ1045" s="208" t="e">
        <f ca="1">VLOOKUP(表格1_6[[#This Row],[PO+ITEM]],工作表1!B:E,4,FALSE)</f>
        <v>#N/A</v>
      </c>
      <c r="BA1045" s="425" t="e">
        <f ca="1">INDEX(工作表1!G:G, MATCH(表格1_6[[#This Row],[invoice number]]&amp;表格1_6[[#This Row],[invoice number2]],工作表1!G:G, 0))</f>
        <v>#N/A</v>
      </c>
      <c r="BB1045" s="208" t="e">
        <f ca="1">VLOOKUP(表格1_6[[#This Row],[PO+ITEM]],工作表1!F:H,2,FALSE)</f>
        <v>#N/A</v>
      </c>
    </row>
    <row r="1046" spans="1:54" ht="14.45">
      <c r="A1046" s="413">
        <v>1045</v>
      </c>
      <c r="B1046" s="220" t="s">
        <v>3659</v>
      </c>
      <c r="C1046" s="209" t="s">
        <v>16</v>
      </c>
      <c r="D1046" s="209" t="s">
        <v>3648</v>
      </c>
      <c r="E1046" s="209"/>
      <c r="F1046" s="209"/>
      <c r="G1046" s="209"/>
      <c r="H1046" s="209"/>
      <c r="I1046" s="209"/>
      <c r="J1046" s="209"/>
      <c r="K1046" s="209"/>
      <c r="L1046" s="210" t="s">
        <v>6320</v>
      </c>
      <c r="M1046" s="212" t="s">
        <v>4129</v>
      </c>
      <c r="N1046" s="212"/>
      <c r="O1046" s="218"/>
      <c r="P1046" s="212">
        <v>4590006256</v>
      </c>
      <c r="Q1046" s="214">
        <v>44836</v>
      </c>
      <c r="R1046" s="334" t="s">
        <v>6321</v>
      </c>
      <c r="S1046" s="461">
        <v>1240.69</v>
      </c>
      <c r="T1046" s="217" t="s">
        <v>2253</v>
      </c>
      <c r="U1046" s="209" t="s">
        <v>6317</v>
      </c>
      <c r="V1046" s="414" t="s">
        <v>3662</v>
      </c>
      <c r="W1046" s="213" t="s">
        <v>3663</v>
      </c>
      <c r="X1046" s="213"/>
      <c r="Y1046" s="218" t="s">
        <v>3652</v>
      </c>
      <c r="Z1046" s="218"/>
      <c r="AA1046" s="212"/>
      <c r="AB1046" s="209"/>
      <c r="AC1046" s="218"/>
      <c r="AD1046" s="218"/>
      <c r="AE1046" s="218"/>
      <c r="AF1046" s="421" t="s">
        <v>6322</v>
      </c>
      <c r="AG1046" s="217" t="s">
        <v>6323</v>
      </c>
      <c r="AH1046" s="218" t="s">
        <v>3828</v>
      </c>
      <c r="AI1046" s="217" t="s">
        <v>4599</v>
      </c>
      <c r="AJ1046" s="218" t="s">
        <v>6324</v>
      </c>
      <c r="AK1046" s="217"/>
      <c r="AL1046" s="220"/>
      <c r="AM1046" s="449"/>
      <c r="AN1046" s="227"/>
      <c r="AO1046" s="208"/>
      <c r="AP1046" s="220"/>
      <c r="AR1046" s="227"/>
      <c r="AS1046" s="614">
        <f ca="1">表格1_6[[#This Row],[total amount]]/表格1_6[[#This Row],[PO$]]</f>
        <v>0</v>
      </c>
      <c r="AT1046" s="318">
        <f ca="1">表格1_6[[#This Row],[invoice amount]]+表格1_6[[#This Row],[invoice amount2]]</f>
        <v>0</v>
      </c>
      <c r="AV1046" s="208"/>
      <c r="AW1046" s="208" t="e">
        <f ca="1">VLOOKUP(表格1_6[[#This Row],[TI tool ID2]],工作表1!A:A,1,FALSE)</f>
        <v>#N/A</v>
      </c>
      <c r="AX1046" s="341" t="e">
        <f ca="1">VLOOKUP(表格1_6[[#This Row],[PO+ITEM]],工作表1!B:E,2,FALSE)</f>
        <v>#N/A</v>
      </c>
      <c r="AY1046" s="341" t="e">
        <f ca="1">VLOOKUP(表格1_6[[#This Row],[PO+ITEM]],工作表1!B:E,3,FALSE)</f>
        <v>#N/A</v>
      </c>
      <c r="AZ1046" s="208" t="e">
        <f ca="1">VLOOKUP(表格1_6[[#This Row],[PO+ITEM]],工作表1!B:E,4,FALSE)</f>
        <v>#N/A</v>
      </c>
      <c r="BA1046" s="425" t="e">
        <f ca="1">INDEX(工作表1!G:G, MATCH(表格1_6[[#This Row],[invoice number]]&amp;表格1_6[[#This Row],[invoice number2]],工作表1!G:G, 0))</f>
        <v>#N/A</v>
      </c>
      <c r="BB1046" s="208" t="e">
        <f ca="1">VLOOKUP(表格1_6[[#This Row],[PO+ITEM]],工作表1!F:H,2,FALSE)</f>
        <v>#N/A</v>
      </c>
    </row>
    <row r="1047" spans="1:54" ht="14.45">
      <c r="A1047" s="413">
        <v>1046</v>
      </c>
      <c r="B1047" s="220" t="s">
        <v>3659</v>
      </c>
      <c r="C1047" s="209" t="s">
        <v>16</v>
      </c>
      <c r="D1047" s="209" t="s">
        <v>3648</v>
      </c>
      <c r="E1047" s="209"/>
      <c r="F1047" s="209"/>
      <c r="G1047" s="209"/>
      <c r="H1047" s="209"/>
      <c r="I1047" s="209"/>
      <c r="J1047" s="209"/>
      <c r="K1047" s="209"/>
      <c r="L1047" s="210" t="s">
        <v>6325</v>
      </c>
      <c r="M1047" s="212" t="s">
        <v>4129</v>
      </c>
      <c r="N1047" s="212"/>
      <c r="O1047" s="218"/>
      <c r="P1047" s="212">
        <v>4590006256</v>
      </c>
      <c r="Q1047" s="214">
        <v>44836</v>
      </c>
      <c r="R1047" s="334" t="s">
        <v>6326</v>
      </c>
      <c r="S1047" s="461">
        <v>1240.69</v>
      </c>
      <c r="T1047" s="217" t="s">
        <v>2253</v>
      </c>
      <c r="U1047" s="209" t="s">
        <v>6317</v>
      </c>
      <c r="V1047" s="414" t="s">
        <v>3662</v>
      </c>
      <c r="W1047" s="213" t="s">
        <v>3663</v>
      </c>
      <c r="X1047" s="213"/>
      <c r="Y1047" s="218" t="s">
        <v>3652</v>
      </c>
      <c r="Z1047" s="218"/>
      <c r="AA1047" s="212"/>
      <c r="AB1047" s="209"/>
      <c r="AC1047" s="218"/>
      <c r="AD1047" s="218"/>
      <c r="AE1047" s="218"/>
      <c r="AF1047" s="421" t="s">
        <v>6327</v>
      </c>
      <c r="AG1047" s="217" t="s">
        <v>3303</v>
      </c>
      <c r="AH1047" s="218" t="s">
        <v>3828</v>
      </c>
      <c r="AI1047" s="217" t="s">
        <v>3666</v>
      </c>
      <c r="AJ1047" s="218" t="s">
        <v>6328</v>
      </c>
      <c r="AK1047" s="217"/>
      <c r="AL1047" s="220"/>
      <c r="AM1047" s="449"/>
      <c r="AN1047" s="227"/>
      <c r="AO1047" s="208"/>
      <c r="AP1047" s="220"/>
      <c r="AR1047" s="227"/>
      <c r="AS1047" s="614">
        <f ca="1">表格1_6[[#This Row],[total amount]]/表格1_6[[#This Row],[PO$]]</f>
        <v>0</v>
      </c>
      <c r="AT1047" s="318">
        <f ca="1">表格1_6[[#This Row],[invoice amount]]+表格1_6[[#This Row],[invoice amount2]]</f>
        <v>0</v>
      </c>
      <c r="AV1047" s="208"/>
      <c r="AW1047" s="208" t="e">
        <f ca="1">VLOOKUP(表格1_6[[#This Row],[TI tool ID2]],工作表1!A:A,1,FALSE)</f>
        <v>#N/A</v>
      </c>
      <c r="AX1047" s="341" t="e">
        <f ca="1">VLOOKUP(表格1_6[[#This Row],[PO+ITEM]],工作表1!B:E,2,FALSE)</f>
        <v>#N/A</v>
      </c>
      <c r="AY1047" s="341" t="e">
        <f ca="1">VLOOKUP(表格1_6[[#This Row],[PO+ITEM]],工作表1!B:E,3,FALSE)</f>
        <v>#N/A</v>
      </c>
      <c r="AZ1047" s="208" t="e">
        <f ca="1">VLOOKUP(表格1_6[[#This Row],[PO+ITEM]],工作表1!B:E,4,FALSE)</f>
        <v>#N/A</v>
      </c>
      <c r="BA1047" s="425" t="e">
        <f ca="1">INDEX(工作表1!G:G, MATCH(表格1_6[[#This Row],[invoice number]]&amp;表格1_6[[#This Row],[invoice number2]],工作表1!G:G, 0))</f>
        <v>#N/A</v>
      </c>
      <c r="BB1047" s="208" t="e">
        <f ca="1">VLOOKUP(表格1_6[[#This Row],[PO+ITEM]],工作表1!F:H,2,FALSE)</f>
        <v>#N/A</v>
      </c>
    </row>
    <row r="1048" spans="1:54" ht="14.45">
      <c r="A1048" s="413">
        <v>1047</v>
      </c>
      <c r="B1048" s="220" t="s">
        <v>3659</v>
      </c>
      <c r="C1048" s="209" t="s">
        <v>16</v>
      </c>
      <c r="D1048" s="209" t="s">
        <v>3648</v>
      </c>
      <c r="E1048" s="209"/>
      <c r="F1048" s="209"/>
      <c r="G1048" s="209"/>
      <c r="H1048" s="209"/>
      <c r="I1048" s="209"/>
      <c r="J1048" s="209"/>
      <c r="K1048" s="209"/>
      <c r="L1048" s="210" t="s">
        <v>6329</v>
      </c>
      <c r="M1048" s="212" t="s">
        <v>4129</v>
      </c>
      <c r="N1048" s="212"/>
      <c r="O1048" s="218"/>
      <c r="P1048" s="212">
        <v>4590006256</v>
      </c>
      <c r="Q1048" s="214">
        <v>44836</v>
      </c>
      <c r="R1048" s="334" t="s">
        <v>6330</v>
      </c>
      <c r="S1048" s="461">
        <v>1240.69</v>
      </c>
      <c r="T1048" s="217" t="s">
        <v>2253</v>
      </c>
      <c r="U1048" s="209" t="s">
        <v>6317</v>
      </c>
      <c r="V1048" s="414" t="s">
        <v>3662</v>
      </c>
      <c r="W1048" s="213" t="s">
        <v>3663</v>
      </c>
      <c r="X1048" s="213"/>
      <c r="Y1048" s="218" t="s">
        <v>3652</v>
      </c>
      <c r="Z1048" s="218"/>
      <c r="AA1048" s="212"/>
      <c r="AB1048" s="209"/>
      <c r="AC1048" s="218"/>
      <c r="AD1048" s="218"/>
      <c r="AE1048" s="218"/>
      <c r="AF1048" s="421" t="s">
        <v>6331</v>
      </c>
      <c r="AG1048" s="217" t="s">
        <v>3305</v>
      </c>
      <c r="AH1048" s="218" t="s">
        <v>3828</v>
      </c>
      <c r="AI1048" s="217" t="s">
        <v>3666</v>
      </c>
      <c r="AJ1048" s="218" t="s">
        <v>6332</v>
      </c>
      <c r="AK1048" s="217"/>
      <c r="AL1048" s="220"/>
      <c r="AM1048" s="449"/>
      <c r="AN1048" s="227"/>
      <c r="AO1048" s="208"/>
      <c r="AP1048" s="220"/>
      <c r="AR1048" s="227"/>
      <c r="AS1048" s="614">
        <f ca="1">表格1_6[[#This Row],[total amount]]/表格1_6[[#This Row],[PO$]]</f>
        <v>0</v>
      </c>
      <c r="AT1048" s="318">
        <f ca="1">表格1_6[[#This Row],[invoice amount]]+表格1_6[[#This Row],[invoice amount2]]</f>
        <v>0</v>
      </c>
      <c r="AV1048" s="208"/>
      <c r="AW1048" s="208" t="e">
        <f ca="1">VLOOKUP(表格1_6[[#This Row],[TI tool ID2]],工作表1!A:A,1,FALSE)</f>
        <v>#N/A</v>
      </c>
      <c r="AX1048" s="341" t="e">
        <f ca="1">VLOOKUP(表格1_6[[#This Row],[PO+ITEM]],工作表1!B:E,2,FALSE)</f>
        <v>#N/A</v>
      </c>
      <c r="AY1048" s="341" t="e">
        <f ca="1">VLOOKUP(表格1_6[[#This Row],[PO+ITEM]],工作表1!B:E,3,FALSE)</f>
        <v>#N/A</v>
      </c>
      <c r="AZ1048" s="208" t="e">
        <f ca="1">VLOOKUP(表格1_6[[#This Row],[PO+ITEM]],工作表1!B:E,4,FALSE)</f>
        <v>#N/A</v>
      </c>
      <c r="BA1048" s="425" t="e">
        <f ca="1">INDEX(工作表1!G:G, MATCH(表格1_6[[#This Row],[invoice number]]&amp;表格1_6[[#This Row],[invoice number2]],工作表1!G:G, 0))</f>
        <v>#N/A</v>
      </c>
      <c r="BB1048" s="208" t="e">
        <f ca="1">VLOOKUP(表格1_6[[#This Row],[PO+ITEM]],工作表1!F:H,2,FALSE)</f>
        <v>#N/A</v>
      </c>
    </row>
    <row r="1049" spans="1:54" ht="14.45">
      <c r="A1049" s="413">
        <v>1048</v>
      </c>
      <c r="B1049" s="220" t="s">
        <v>3659</v>
      </c>
      <c r="C1049" s="209" t="s">
        <v>16</v>
      </c>
      <c r="D1049" s="209" t="s">
        <v>3648</v>
      </c>
      <c r="E1049" s="209"/>
      <c r="F1049" s="209"/>
      <c r="G1049" s="209"/>
      <c r="H1049" s="209"/>
      <c r="I1049" s="209"/>
      <c r="J1049" s="209"/>
      <c r="K1049" s="209"/>
      <c r="L1049" s="210" t="s">
        <v>6333</v>
      </c>
      <c r="M1049" s="212" t="s">
        <v>4129</v>
      </c>
      <c r="N1049" s="212"/>
      <c r="O1049" s="218"/>
      <c r="P1049" s="212">
        <v>4590006256</v>
      </c>
      <c r="Q1049" s="214">
        <v>44836</v>
      </c>
      <c r="R1049" s="334" t="s">
        <v>6334</v>
      </c>
      <c r="S1049" s="461">
        <v>4526.0600000000004</v>
      </c>
      <c r="T1049" s="217" t="s">
        <v>2253</v>
      </c>
      <c r="U1049" s="209" t="s">
        <v>6317</v>
      </c>
      <c r="V1049" s="414" t="s">
        <v>3662</v>
      </c>
      <c r="W1049" s="213" t="s">
        <v>3663</v>
      </c>
      <c r="X1049" s="213"/>
      <c r="Y1049" s="218" t="s">
        <v>3652</v>
      </c>
      <c r="Z1049" s="218"/>
      <c r="AA1049" s="212"/>
      <c r="AB1049" s="209"/>
      <c r="AC1049" s="218"/>
      <c r="AD1049" s="218"/>
      <c r="AE1049" s="218"/>
      <c r="AF1049" s="421" t="s">
        <v>6335</v>
      </c>
      <c r="AG1049" s="217" t="s">
        <v>5839</v>
      </c>
      <c r="AH1049" s="218" t="s">
        <v>3828</v>
      </c>
      <c r="AI1049" s="217" t="s">
        <v>3719</v>
      </c>
      <c r="AJ1049" s="218" t="s">
        <v>6336</v>
      </c>
      <c r="AK1049" s="217"/>
      <c r="AL1049" s="220"/>
      <c r="AM1049" s="449"/>
      <c r="AN1049" s="227"/>
      <c r="AO1049" s="208"/>
      <c r="AP1049" s="220"/>
      <c r="AR1049" s="227"/>
      <c r="AS1049" s="614">
        <f ca="1">表格1_6[[#This Row],[total amount]]/表格1_6[[#This Row],[PO$]]</f>
        <v>0</v>
      </c>
      <c r="AT1049" s="318">
        <f ca="1">表格1_6[[#This Row],[invoice amount]]+表格1_6[[#This Row],[invoice amount2]]</f>
        <v>0</v>
      </c>
      <c r="AV1049" s="208"/>
      <c r="AW1049" s="208" t="e">
        <f ca="1">VLOOKUP(表格1_6[[#This Row],[TI tool ID2]],工作表1!A:A,1,FALSE)</f>
        <v>#N/A</v>
      </c>
      <c r="AX1049" s="341" t="e">
        <f ca="1">VLOOKUP(表格1_6[[#This Row],[PO+ITEM]],工作表1!B:E,2,FALSE)</f>
        <v>#N/A</v>
      </c>
      <c r="AY1049" s="341" t="e">
        <f ca="1">VLOOKUP(表格1_6[[#This Row],[PO+ITEM]],工作表1!B:E,3,FALSE)</f>
        <v>#N/A</v>
      </c>
      <c r="AZ1049" s="208" t="e">
        <f ca="1">VLOOKUP(表格1_6[[#This Row],[PO+ITEM]],工作表1!B:E,4,FALSE)</f>
        <v>#N/A</v>
      </c>
      <c r="BA1049" s="425" t="e">
        <f ca="1">INDEX(工作表1!G:G, MATCH(表格1_6[[#This Row],[invoice number]]&amp;表格1_6[[#This Row],[invoice number2]],工作表1!G:G, 0))</f>
        <v>#N/A</v>
      </c>
      <c r="BB1049" s="208" t="e">
        <f ca="1">VLOOKUP(表格1_6[[#This Row],[PO+ITEM]],工作表1!F:H,2,FALSE)</f>
        <v>#N/A</v>
      </c>
    </row>
    <row r="1050" spans="1:54" ht="14.45">
      <c r="A1050" s="413">
        <v>1049</v>
      </c>
      <c r="B1050" s="220" t="s">
        <v>3659</v>
      </c>
      <c r="C1050" s="209" t="s">
        <v>16</v>
      </c>
      <c r="D1050" s="209" t="s">
        <v>3648</v>
      </c>
      <c r="E1050" s="209"/>
      <c r="F1050" s="209"/>
      <c r="G1050" s="209"/>
      <c r="H1050" s="209"/>
      <c r="I1050" s="209"/>
      <c r="J1050" s="209"/>
      <c r="K1050" s="209"/>
      <c r="L1050" s="210" t="s">
        <v>6337</v>
      </c>
      <c r="M1050" s="212" t="s">
        <v>4129</v>
      </c>
      <c r="N1050" s="212"/>
      <c r="O1050" s="218"/>
      <c r="P1050" s="212">
        <v>4590006256</v>
      </c>
      <c r="Q1050" s="214">
        <v>44836</v>
      </c>
      <c r="R1050" s="334" t="s">
        <v>6338</v>
      </c>
      <c r="S1050" s="461">
        <v>3713.47</v>
      </c>
      <c r="T1050" s="217" t="s">
        <v>2253</v>
      </c>
      <c r="U1050" s="209" t="s">
        <v>6317</v>
      </c>
      <c r="V1050" s="414" t="s">
        <v>3662</v>
      </c>
      <c r="W1050" s="213" t="s">
        <v>3663</v>
      </c>
      <c r="X1050" s="213"/>
      <c r="Y1050" s="218" t="s">
        <v>3652</v>
      </c>
      <c r="Z1050" s="218"/>
      <c r="AA1050" s="212"/>
      <c r="AB1050" s="209"/>
      <c r="AC1050" s="218"/>
      <c r="AD1050" s="218"/>
      <c r="AE1050" s="218"/>
      <c r="AF1050" s="421" t="s">
        <v>6339</v>
      </c>
      <c r="AG1050" s="217" t="s">
        <v>5828</v>
      </c>
      <c r="AH1050" s="218" t="s">
        <v>3828</v>
      </c>
      <c r="AI1050" s="217" t="s">
        <v>3719</v>
      </c>
      <c r="AJ1050" s="218" t="s">
        <v>6340</v>
      </c>
      <c r="AK1050" s="217"/>
      <c r="AL1050" s="220"/>
      <c r="AM1050" s="449"/>
      <c r="AN1050" s="227"/>
      <c r="AO1050" s="208"/>
      <c r="AP1050" s="220"/>
      <c r="AR1050" s="227"/>
      <c r="AS1050" s="614">
        <f ca="1">表格1_6[[#This Row],[total amount]]/表格1_6[[#This Row],[PO$]]</f>
        <v>0</v>
      </c>
      <c r="AT1050" s="318">
        <f ca="1">表格1_6[[#This Row],[invoice amount]]+表格1_6[[#This Row],[invoice amount2]]</f>
        <v>0</v>
      </c>
      <c r="AV1050" s="208"/>
      <c r="AW1050" s="208" t="e">
        <f ca="1">VLOOKUP(表格1_6[[#This Row],[TI tool ID2]],工作表1!A:A,1,FALSE)</f>
        <v>#N/A</v>
      </c>
      <c r="AX1050" s="341" t="e">
        <f ca="1">VLOOKUP(表格1_6[[#This Row],[PO+ITEM]],工作表1!B:E,2,FALSE)</f>
        <v>#N/A</v>
      </c>
      <c r="AY1050" s="341" t="e">
        <f ca="1">VLOOKUP(表格1_6[[#This Row],[PO+ITEM]],工作表1!B:E,3,FALSE)</f>
        <v>#N/A</v>
      </c>
      <c r="AZ1050" s="208" t="e">
        <f ca="1">VLOOKUP(表格1_6[[#This Row],[PO+ITEM]],工作表1!B:E,4,FALSE)</f>
        <v>#N/A</v>
      </c>
      <c r="BA1050" s="425" t="e">
        <f ca="1">INDEX(工作表1!G:G, MATCH(表格1_6[[#This Row],[invoice number]]&amp;表格1_6[[#This Row],[invoice number2]],工作表1!G:G, 0))</f>
        <v>#N/A</v>
      </c>
      <c r="BB1050" s="208" t="e">
        <f ca="1">VLOOKUP(表格1_6[[#This Row],[PO+ITEM]],工作表1!F:H,2,FALSE)</f>
        <v>#N/A</v>
      </c>
    </row>
    <row r="1051" spans="1:54" ht="14.45">
      <c r="A1051" s="413">
        <v>1050</v>
      </c>
      <c r="B1051" s="220" t="s">
        <v>3659</v>
      </c>
      <c r="C1051" s="209" t="s">
        <v>16</v>
      </c>
      <c r="D1051" s="209" t="s">
        <v>3648</v>
      </c>
      <c r="E1051" s="209"/>
      <c r="F1051" s="209"/>
      <c r="G1051" s="209"/>
      <c r="H1051" s="209"/>
      <c r="I1051" s="209"/>
      <c r="J1051" s="209"/>
      <c r="K1051" s="209"/>
      <c r="L1051" s="210" t="s">
        <v>6341</v>
      </c>
      <c r="M1051" s="212" t="s">
        <v>4129</v>
      </c>
      <c r="N1051" s="212"/>
      <c r="O1051" s="218"/>
      <c r="P1051" s="212">
        <v>4590006256</v>
      </c>
      <c r="Q1051" s="214">
        <v>44836</v>
      </c>
      <c r="R1051" s="334" t="s">
        <v>6342</v>
      </c>
      <c r="S1051" s="461">
        <v>1240.69</v>
      </c>
      <c r="T1051" s="217" t="s">
        <v>2253</v>
      </c>
      <c r="U1051" s="209" t="s">
        <v>6317</v>
      </c>
      <c r="V1051" s="414" t="s">
        <v>3662</v>
      </c>
      <c r="W1051" s="213" t="s">
        <v>3663</v>
      </c>
      <c r="X1051" s="213"/>
      <c r="Y1051" s="218" t="s">
        <v>3652</v>
      </c>
      <c r="Z1051" s="218"/>
      <c r="AA1051" s="212"/>
      <c r="AB1051" s="209"/>
      <c r="AC1051" s="218"/>
      <c r="AD1051" s="218"/>
      <c r="AE1051" s="218"/>
      <c r="AF1051" s="421" t="s">
        <v>6343</v>
      </c>
      <c r="AG1051" s="217" t="s">
        <v>3530</v>
      </c>
      <c r="AH1051" s="218" t="s">
        <v>3828</v>
      </c>
      <c r="AI1051" s="217" t="s">
        <v>4444</v>
      </c>
      <c r="AJ1051" s="218" t="s">
        <v>6344</v>
      </c>
      <c r="AK1051" s="217"/>
      <c r="AL1051" s="220"/>
      <c r="AM1051" s="449"/>
      <c r="AN1051" s="227"/>
      <c r="AO1051" s="208"/>
      <c r="AP1051" s="220"/>
      <c r="AR1051" s="227"/>
      <c r="AS1051" s="614">
        <f ca="1">表格1_6[[#This Row],[total amount]]/表格1_6[[#This Row],[PO$]]</f>
        <v>0</v>
      </c>
      <c r="AT1051" s="318">
        <f ca="1">表格1_6[[#This Row],[invoice amount]]+表格1_6[[#This Row],[invoice amount2]]</f>
        <v>0</v>
      </c>
      <c r="AV1051" s="208"/>
      <c r="AW1051" s="208" t="e">
        <f ca="1">VLOOKUP(表格1_6[[#This Row],[TI tool ID2]],工作表1!A:A,1,FALSE)</f>
        <v>#N/A</v>
      </c>
      <c r="AX1051" s="341" t="e">
        <f ca="1">VLOOKUP(表格1_6[[#This Row],[PO+ITEM]],工作表1!B:E,2,FALSE)</f>
        <v>#N/A</v>
      </c>
      <c r="AY1051" s="341" t="e">
        <f ca="1">VLOOKUP(表格1_6[[#This Row],[PO+ITEM]],工作表1!B:E,3,FALSE)</f>
        <v>#N/A</v>
      </c>
      <c r="AZ1051" s="208" t="e">
        <f ca="1">VLOOKUP(表格1_6[[#This Row],[PO+ITEM]],工作表1!B:E,4,FALSE)</f>
        <v>#N/A</v>
      </c>
      <c r="BA1051" s="425" t="e">
        <f ca="1">INDEX(工作表1!G:G, MATCH(表格1_6[[#This Row],[invoice number]]&amp;表格1_6[[#This Row],[invoice number2]],工作表1!G:G, 0))</f>
        <v>#N/A</v>
      </c>
      <c r="BB1051" s="208" t="e">
        <f ca="1">VLOOKUP(表格1_6[[#This Row],[PO+ITEM]],工作表1!F:H,2,FALSE)</f>
        <v>#N/A</v>
      </c>
    </row>
    <row r="1052" spans="1:54" ht="14.45">
      <c r="A1052" s="413">
        <v>1051</v>
      </c>
      <c r="B1052" s="220" t="s">
        <v>3659</v>
      </c>
      <c r="C1052" s="209" t="s">
        <v>16</v>
      </c>
      <c r="D1052" s="209" t="s">
        <v>3648</v>
      </c>
      <c r="E1052" s="209"/>
      <c r="F1052" s="209"/>
      <c r="G1052" s="209"/>
      <c r="H1052" s="209"/>
      <c r="I1052" s="209"/>
      <c r="J1052" s="209"/>
      <c r="K1052" s="209"/>
      <c r="L1052" s="210" t="s">
        <v>6345</v>
      </c>
      <c r="M1052" s="212" t="s">
        <v>4129</v>
      </c>
      <c r="N1052" s="212"/>
      <c r="O1052" s="218"/>
      <c r="P1052" s="212">
        <v>4590006256</v>
      </c>
      <c r="Q1052" s="214">
        <v>44836</v>
      </c>
      <c r="R1052" s="334" t="s">
        <v>6346</v>
      </c>
      <c r="S1052" s="461">
        <v>1240.69</v>
      </c>
      <c r="T1052" s="217" t="s">
        <v>2253</v>
      </c>
      <c r="U1052" s="209" t="s">
        <v>6317</v>
      </c>
      <c r="V1052" s="414" t="s">
        <v>3662</v>
      </c>
      <c r="W1052" s="213" t="s">
        <v>3663</v>
      </c>
      <c r="X1052" s="213"/>
      <c r="Y1052" s="218" t="s">
        <v>3652</v>
      </c>
      <c r="Z1052" s="218"/>
      <c r="AA1052" s="212"/>
      <c r="AB1052" s="209"/>
      <c r="AC1052" s="218"/>
      <c r="AD1052" s="218"/>
      <c r="AE1052" s="218"/>
      <c r="AF1052" s="421" t="s">
        <v>6347</v>
      </c>
      <c r="AG1052" s="217" t="s">
        <v>3277</v>
      </c>
      <c r="AH1052" s="218" t="s">
        <v>3828</v>
      </c>
      <c r="AI1052" s="217" t="s">
        <v>3666</v>
      </c>
      <c r="AJ1052" s="218" t="s">
        <v>6348</v>
      </c>
      <c r="AK1052" s="217"/>
      <c r="AL1052" s="220"/>
      <c r="AM1052" s="449"/>
      <c r="AN1052" s="227"/>
      <c r="AO1052" s="208"/>
      <c r="AP1052" s="220"/>
      <c r="AR1052" s="227"/>
      <c r="AS1052" s="614">
        <f ca="1">表格1_6[[#This Row],[total amount]]/表格1_6[[#This Row],[PO$]]</f>
        <v>0</v>
      </c>
      <c r="AT1052" s="318">
        <f ca="1">表格1_6[[#This Row],[invoice amount]]+表格1_6[[#This Row],[invoice amount2]]</f>
        <v>0</v>
      </c>
      <c r="AV1052" s="208"/>
      <c r="AW1052" s="208" t="e">
        <f ca="1">VLOOKUP(表格1_6[[#This Row],[TI tool ID2]],工作表1!A:A,1,FALSE)</f>
        <v>#N/A</v>
      </c>
      <c r="AX1052" s="341" t="e">
        <f ca="1">VLOOKUP(表格1_6[[#This Row],[PO+ITEM]],工作表1!B:E,2,FALSE)</f>
        <v>#N/A</v>
      </c>
      <c r="AY1052" s="341" t="e">
        <f ca="1">VLOOKUP(表格1_6[[#This Row],[PO+ITEM]],工作表1!B:E,3,FALSE)</f>
        <v>#N/A</v>
      </c>
      <c r="AZ1052" s="208" t="e">
        <f ca="1">VLOOKUP(表格1_6[[#This Row],[PO+ITEM]],工作表1!B:E,4,FALSE)</f>
        <v>#N/A</v>
      </c>
      <c r="BA1052" s="425" t="e">
        <f ca="1">INDEX(工作表1!G:G, MATCH(表格1_6[[#This Row],[invoice number]]&amp;表格1_6[[#This Row],[invoice number2]],工作表1!G:G, 0))</f>
        <v>#N/A</v>
      </c>
      <c r="BB1052" s="208" t="e">
        <f ca="1">VLOOKUP(表格1_6[[#This Row],[PO+ITEM]],工作表1!F:H,2,FALSE)</f>
        <v>#N/A</v>
      </c>
    </row>
    <row r="1053" spans="1:54" ht="14.45">
      <c r="A1053" s="413">
        <v>1052</v>
      </c>
      <c r="B1053" s="220" t="s">
        <v>3659</v>
      </c>
      <c r="C1053" s="209" t="s">
        <v>16</v>
      </c>
      <c r="D1053" s="209" t="s">
        <v>3648</v>
      </c>
      <c r="E1053" s="209"/>
      <c r="F1053" s="209"/>
      <c r="G1053" s="209"/>
      <c r="H1053" s="209"/>
      <c r="I1053" s="209"/>
      <c r="J1053" s="209"/>
      <c r="K1053" s="209"/>
      <c r="L1053" s="210" t="s">
        <v>6349</v>
      </c>
      <c r="M1053" s="212" t="s">
        <v>4129</v>
      </c>
      <c r="N1053" s="212"/>
      <c r="O1053" s="218"/>
      <c r="P1053" s="212">
        <v>4590006256</v>
      </c>
      <c r="Q1053" s="214">
        <v>44836</v>
      </c>
      <c r="R1053" s="334" t="s">
        <v>6350</v>
      </c>
      <c r="S1053" s="461">
        <v>1240.69</v>
      </c>
      <c r="T1053" s="217" t="s">
        <v>2253</v>
      </c>
      <c r="U1053" s="209" t="s">
        <v>6317</v>
      </c>
      <c r="V1053" s="414" t="s">
        <v>3662</v>
      </c>
      <c r="W1053" s="213" t="s">
        <v>3663</v>
      </c>
      <c r="X1053" s="213"/>
      <c r="Y1053" s="218" t="s">
        <v>3652</v>
      </c>
      <c r="Z1053" s="218"/>
      <c r="AA1053" s="212"/>
      <c r="AB1053" s="209"/>
      <c r="AC1053" s="218"/>
      <c r="AD1053" s="218"/>
      <c r="AE1053" s="218"/>
      <c r="AF1053" s="421" t="s">
        <v>6351</v>
      </c>
      <c r="AG1053" s="217" t="s">
        <v>3279</v>
      </c>
      <c r="AH1053" s="218" t="s">
        <v>3828</v>
      </c>
      <c r="AI1053" s="217" t="s">
        <v>3666</v>
      </c>
      <c r="AJ1053" s="218" t="s">
        <v>6352</v>
      </c>
      <c r="AK1053" s="217"/>
      <c r="AL1053" s="220"/>
      <c r="AM1053" s="449"/>
      <c r="AN1053" s="227"/>
      <c r="AO1053" s="208"/>
      <c r="AP1053" s="220"/>
      <c r="AR1053" s="227"/>
      <c r="AS1053" s="614">
        <f ca="1">表格1_6[[#This Row],[total amount]]/表格1_6[[#This Row],[PO$]]</f>
        <v>0</v>
      </c>
      <c r="AT1053" s="318">
        <f ca="1">表格1_6[[#This Row],[invoice amount]]+表格1_6[[#This Row],[invoice amount2]]</f>
        <v>0</v>
      </c>
      <c r="AV1053" s="208"/>
      <c r="AW1053" s="208" t="e">
        <f ca="1">VLOOKUP(表格1_6[[#This Row],[TI tool ID2]],工作表1!A:A,1,FALSE)</f>
        <v>#N/A</v>
      </c>
      <c r="AX1053" s="341" t="e">
        <f ca="1">VLOOKUP(表格1_6[[#This Row],[PO+ITEM]],工作表1!B:E,2,FALSE)</f>
        <v>#N/A</v>
      </c>
      <c r="AY1053" s="341" t="e">
        <f ca="1">VLOOKUP(表格1_6[[#This Row],[PO+ITEM]],工作表1!B:E,3,FALSE)</f>
        <v>#N/A</v>
      </c>
      <c r="AZ1053" s="208" t="e">
        <f ca="1">VLOOKUP(表格1_6[[#This Row],[PO+ITEM]],工作表1!B:E,4,FALSE)</f>
        <v>#N/A</v>
      </c>
      <c r="BA1053" s="425" t="e">
        <f ca="1">INDEX(工作表1!G:G, MATCH(表格1_6[[#This Row],[invoice number]]&amp;表格1_6[[#This Row],[invoice number2]],工作表1!G:G, 0))</f>
        <v>#N/A</v>
      </c>
      <c r="BB1053" s="208" t="e">
        <f ca="1">VLOOKUP(表格1_6[[#This Row],[PO+ITEM]],工作表1!F:H,2,FALSE)</f>
        <v>#N/A</v>
      </c>
    </row>
    <row r="1054" spans="1:54" ht="14.45">
      <c r="A1054" s="413">
        <v>1053</v>
      </c>
      <c r="B1054" s="220" t="s">
        <v>3659</v>
      </c>
      <c r="C1054" s="209" t="s">
        <v>16</v>
      </c>
      <c r="D1054" s="209" t="s">
        <v>3648</v>
      </c>
      <c r="E1054" s="209"/>
      <c r="F1054" s="209"/>
      <c r="G1054" s="209"/>
      <c r="H1054" s="209"/>
      <c r="I1054" s="209"/>
      <c r="J1054" s="209"/>
      <c r="K1054" s="209"/>
      <c r="L1054" s="210" t="s">
        <v>6353</v>
      </c>
      <c r="M1054" s="212" t="s">
        <v>4129</v>
      </c>
      <c r="N1054" s="212"/>
      <c r="O1054" s="218"/>
      <c r="P1054" s="212">
        <v>4590006256</v>
      </c>
      <c r="Q1054" s="214">
        <v>44836</v>
      </c>
      <c r="R1054" s="334" t="s">
        <v>6354</v>
      </c>
      <c r="S1054" s="461">
        <v>1240.69</v>
      </c>
      <c r="T1054" s="217" t="s">
        <v>2253</v>
      </c>
      <c r="U1054" s="209" t="s">
        <v>6317</v>
      </c>
      <c r="V1054" s="414" t="s">
        <v>3662</v>
      </c>
      <c r="W1054" s="213" t="s">
        <v>3663</v>
      </c>
      <c r="X1054" s="213"/>
      <c r="Y1054" s="218" t="s">
        <v>3652</v>
      </c>
      <c r="Z1054" s="218"/>
      <c r="AA1054" s="212"/>
      <c r="AB1054" s="209"/>
      <c r="AC1054" s="218"/>
      <c r="AD1054" s="218"/>
      <c r="AE1054" s="218"/>
      <c r="AF1054" s="421" t="s">
        <v>6355</v>
      </c>
      <c r="AG1054" s="217" t="s">
        <v>3313</v>
      </c>
      <c r="AH1054" s="218" t="s">
        <v>3828</v>
      </c>
      <c r="AI1054" s="217" t="s">
        <v>3666</v>
      </c>
      <c r="AJ1054" s="218" t="s">
        <v>6356</v>
      </c>
      <c r="AK1054" s="217"/>
      <c r="AL1054" s="220"/>
      <c r="AM1054" s="449"/>
      <c r="AN1054" s="227"/>
      <c r="AO1054" s="208"/>
      <c r="AP1054" s="220"/>
      <c r="AR1054" s="227"/>
      <c r="AS1054" s="614">
        <f ca="1">表格1_6[[#This Row],[total amount]]/表格1_6[[#This Row],[PO$]]</f>
        <v>0</v>
      </c>
      <c r="AT1054" s="318">
        <f ca="1">表格1_6[[#This Row],[invoice amount]]+表格1_6[[#This Row],[invoice amount2]]</f>
        <v>0</v>
      </c>
      <c r="AV1054" s="208"/>
      <c r="AW1054" s="208" t="e">
        <f ca="1">VLOOKUP(表格1_6[[#This Row],[TI tool ID2]],工作表1!A:A,1,FALSE)</f>
        <v>#N/A</v>
      </c>
      <c r="AX1054" s="341" t="e">
        <f ca="1">VLOOKUP(表格1_6[[#This Row],[PO+ITEM]],工作表1!B:E,2,FALSE)</f>
        <v>#N/A</v>
      </c>
      <c r="AY1054" s="341" t="e">
        <f ca="1">VLOOKUP(表格1_6[[#This Row],[PO+ITEM]],工作表1!B:E,3,FALSE)</f>
        <v>#N/A</v>
      </c>
      <c r="AZ1054" s="208" t="e">
        <f ca="1">VLOOKUP(表格1_6[[#This Row],[PO+ITEM]],工作表1!B:E,4,FALSE)</f>
        <v>#N/A</v>
      </c>
      <c r="BA1054" s="425" t="e">
        <f ca="1">INDEX(工作表1!G:G, MATCH(表格1_6[[#This Row],[invoice number]]&amp;表格1_6[[#This Row],[invoice number2]],工作表1!G:G, 0))</f>
        <v>#N/A</v>
      </c>
      <c r="BB1054" s="208" t="e">
        <f ca="1">VLOOKUP(表格1_6[[#This Row],[PO+ITEM]],工作表1!F:H,2,FALSE)</f>
        <v>#N/A</v>
      </c>
    </row>
    <row r="1055" spans="1:54" ht="14.45">
      <c r="A1055" s="413">
        <v>1054</v>
      </c>
      <c r="B1055" s="220" t="s">
        <v>3659</v>
      </c>
      <c r="C1055" s="209" t="s">
        <v>16</v>
      </c>
      <c r="D1055" s="209" t="s">
        <v>3648</v>
      </c>
      <c r="E1055" s="209"/>
      <c r="F1055" s="209"/>
      <c r="G1055" s="209"/>
      <c r="H1055" s="209"/>
      <c r="I1055" s="209"/>
      <c r="J1055" s="209"/>
      <c r="K1055" s="209"/>
      <c r="L1055" s="210" t="s">
        <v>6357</v>
      </c>
      <c r="M1055" s="212" t="s">
        <v>4129</v>
      </c>
      <c r="N1055" s="212"/>
      <c r="O1055" s="218"/>
      <c r="P1055" s="212">
        <v>4590006256</v>
      </c>
      <c r="Q1055" s="214">
        <v>44836</v>
      </c>
      <c r="R1055" s="334" t="s">
        <v>6358</v>
      </c>
      <c r="S1055" s="461">
        <v>2459.56</v>
      </c>
      <c r="T1055" s="217" t="s">
        <v>2253</v>
      </c>
      <c r="U1055" s="209" t="s">
        <v>6317</v>
      </c>
      <c r="V1055" s="414" t="s">
        <v>3662</v>
      </c>
      <c r="W1055" s="213" t="s">
        <v>3663</v>
      </c>
      <c r="X1055" s="213"/>
      <c r="Y1055" s="218" t="s">
        <v>3652</v>
      </c>
      <c r="Z1055" s="218"/>
      <c r="AA1055" s="212"/>
      <c r="AB1055" s="209"/>
      <c r="AC1055" s="218"/>
      <c r="AD1055" s="218"/>
      <c r="AE1055" s="218"/>
      <c r="AF1055" s="421" t="s">
        <v>6359</v>
      </c>
      <c r="AG1055" s="217" t="s">
        <v>3260</v>
      </c>
      <c r="AH1055" s="218" t="s">
        <v>3828</v>
      </c>
      <c r="AI1055" s="217" t="s">
        <v>3666</v>
      </c>
      <c r="AJ1055" s="218" t="s">
        <v>6360</v>
      </c>
      <c r="AK1055" s="217"/>
      <c r="AL1055" s="220"/>
      <c r="AM1055" s="449"/>
      <c r="AN1055" s="227"/>
      <c r="AO1055" s="208"/>
      <c r="AP1055" s="220"/>
      <c r="AR1055" s="227"/>
      <c r="AS1055" s="614">
        <f ca="1">表格1_6[[#This Row],[total amount]]/表格1_6[[#This Row],[PO$]]</f>
        <v>0</v>
      </c>
      <c r="AT1055" s="318">
        <f ca="1">表格1_6[[#This Row],[invoice amount]]+表格1_6[[#This Row],[invoice amount2]]</f>
        <v>0</v>
      </c>
      <c r="AV1055" s="208"/>
      <c r="AW1055" s="208" t="e">
        <f ca="1">VLOOKUP(表格1_6[[#This Row],[TI tool ID2]],工作表1!A:A,1,FALSE)</f>
        <v>#N/A</v>
      </c>
      <c r="AX1055" s="341" t="e">
        <f ca="1">VLOOKUP(表格1_6[[#This Row],[PO+ITEM]],工作表1!B:E,2,FALSE)</f>
        <v>#N/A</v>
      </c>
      <c r="AY1055" s="341" t="e">
        <f ca="1">VLOOKUP(表格1_6[[#This Row],[PO+ITEM]],工作表1!B:E,3,FALSE)</f>
        <v>#N/A</v>
      </c>
      <c r="AZ1055" s="208" t="e">
        <f ca="1">VLOOKUP(表格1_6[[#This Row],[PO+ITEM]],工作表1!B:E,4,FALSE)</f>
        <v>#N/A</v>
      </c>
      <c r="BA1055" s="425" t="e">
        <f ca="1">INDEX(工作表1!G:G, MATCH(表格1_6[[#This Row],[invoice number]]&amp;表格1_6[[#This Row],[invoice number2]],工作表1!G:G, 0))</f>
        <v>#N/A</v>
      </c>
      <c r="BB1055" s="208" t="e">
        <f ca="1">VLOOKUP(表格1_6[[#This Row],[PO+ITEM]],工作表1!F:H,2,FALSE)</f>
        <v>#N/A</v>
      </c>
    </row>
    <row r="1056" spans="1:54" ht="14.45">
      <c r="A1056" s="413">
        <v>1055</v>
      </c>
      <c r="B1056" s="220" t="s">
        <v>3659</v>
      </c>
      <c r="C1056" s="209" t="s">
        <v>16</v>
      </c>
      <c r="D1056" s="209" t="s">
        <v>3648</v>
      </c>
      <c r="E1056" s="209"/>
      <c r="F1056" s="209"/>
      <c r="G1056" s="209"/>
      <c r="H1056" s="209"/>
      <c r="I1056" s="209"/>
      <c r="J1056" s="209"/>
      <c r="K1056" s="209"/>
      <c r="L1056" s="210" t="s">
        <v>6361</v>
      </c>
      <c r="M1056" s="212" t="s">
        <v>4129</v>
      </c>
      <c r="N1056" s="212"/>
      <c r="O1056" s="218"/>
      <c r="P1056" s="212">
        <v>4590006256</v>
      </c>
      <c r="Q1056" s="214">
        <v>44836</v>
      </c>
      <c r="R1056" s="334" t="s">
        <v>6362</v>
      </c>
      <c r="S1056" s="461">
        <v>2459.56</v>
      </c>
      <c r="T1056" s="217" t="s">
        <v>2253</v>
      </c>
      <c r="U1056" s="209" t="s">
        <v>6317</v>
      </c>
      <c r="V1056" s="414" t="s">
        <v>3662</v>
      </c>
      <c r="W1056" s="213" t="s">
        <v>3663</v>
      </c>
      <c r="X1056" s="213"/>
      <c r="Y1056" s="218" t="s">
        <v>3652</v>
      </c>
      <c r="Z1056" s="218"/>
      <c r="AA1056" s="212"/>
      <c r="AB1056" s="209"/>
      <c r="AC1056" s="218"/>
      <c r="AD1056" s="218"/>
      <c r="AE1056" s="218"/>
      <c r="AF1056" s="421" t="s">
        <v>6363</v>
      </c>
      <c r="AG1056" s="217" t="s">
        <v>3262</v>
      </c>
      <c r="AH1056" s="218" t="s">
        <v>3828</v>
      </c>
      <c r="AI1056" s="217" t="s">
        <v>3666</v>
      </c>
      <c r="AJ1056" s="218" t="s">
        <v>6364</v>
      </c>
      <c r="AK1056" s="217"/>
      <c r="AL1056" s="220"/>
      <c r="AM1056" s="449"/>
      <c r="AN1056" s="227"/>
      <c r="AO1056" s="208"/>
      <c r="AP1056" s="220"/>
      <c r="AR1056" s="227"/>
      <c r="AS1056" s="614">
        <f ca="1">表格1_6[[#This Row],[total amount]]/表格1_6[[#This Row],[PO$]]</f>
        <v>0</v>
      </c>
      <c r="AT1056" s="318">
        <f ca="1">表格1_6[[#This Row],[invoice amount]]+表格1_6[[#This Row],[invoice amount2]]</f>
        <v>0</v>
      </c>
      <c r="AV1056" s="208"/>
      <c r="AW1056" s="208" t="e">
        <f ca="1">VLOOKUP(表格1_6[[#This Row],[TI tool ID2]],工作表1!A:A,1,FALSE)</f>
        <v>#N/A</v>
      </c>
      <c r="AX1056" s="341" t="e">
        <f ca="1">VLOOKUP(表格1_6[[#This Row],[PO+ITEM]],工作表1!B:E,2,FALSE)</f>
        <v>#N/A</v>
      </c>
      <c r="AY1056" s="341" t="e">
        <f ca="1">VLOOKUP(表格1_6[[#This Row],[PO+ITEM]],工作表1!B:E,3,FALSE)</f>
        <v>#N/A</v>
      </c>
      <c r="AZ1056" s="208" t="e">
        <f ca="1">VLOOKUP(表格1_6[[#This Row],[PO+ITEM]],工作表1!B:E,4,FALSE)</f>
        <v>#N/A</v>
      </c>
      <c r="BA1056" s="425" t="e">
        <f ca="1">INDEX(工作表1!G:G, MATCH(表格1_6[[#This Row],[invoice number]]&amp;表格1_6[[#This Row],[invoice number2]],工作表1!G:G, 0))</f>
        <v>#N/A</v>
      </c>
      <c r="BB1056" s="208" t="e">
        <f ca="1">VLOOKUP(表格1_6[[#This Row],[PO+ITEM]],工作表1!F:H,2,FALSE)</f>
        <v>#N/A</v>
      </c>
    </row>
    <row r="1057" spans="1:54" ht="14.45">
      <c r="A1057" s="413">
        <v>1056</v>
      </c>
      <c r="B1057" s="220" t="s">
        <v>3659</v>
      </c>
      <c r="C1057" s="209" t="s">
        <v>16</v>
      </c>
      <c r="D1057" s="209" t="s">
        <v>3648</v>
      </c>
      <c r="E1057" s="209"/>
      <c r="F1057" s="209"/>
      <c r="G1057" s="209"/>
      <c r="H1057" s="209"/>
      <c r="I1057" s="209"/>
      <c r="J1057" s="209"/>
      <c r="K1057" s="209"/>
      <c r="L1057" s="210" t="s">
        <v>6365</v>
      </c>
      <c r="M1057" s="212" t="s">
        <v>4129</v>
      </c>
      <c r="N1057" s="212"/>
      <c r="O1057" s="218"/>
      <c r="P1057" s="212">
        <v>4590006256</v>
      </c>
      <c r="Q1057" s="214">
        <v>44836</v>
      </c>
      <c r="R1057" s="334" t="s">
        <v>6366</v>
      </c>
      <c r="S1057" s="461">
        <v>2459.56</v>
      </c>
      <c r="T1057" s="217" t="s">
        <v>2253</v>
      </c>
      <c r="U1057" s="209" t="s">
        <v>6317</v>
      </c>
      <c r="V1057" s="414" t="s">
        <v>3662</v>
      </c>
      <c r="W1057" s="213" t="s">
        <v>3663</v>
      </c>
      <c r="X1057" s="213"/>
      <c r="Y1057" s="218" t="s">
        <v>3652</v>
      </c>
      <c r="Z1057" s="218"/>
      <c r="AA1057" s="212"/>
      <c r="AB1057" s="209"/>
      <c r="AC1057" s="218"/>
      <c r="AD1057" s="218"/>
      <c r="AE1057" s="218"/>
      <c r="AF1057" s="421" t="s">
        <v>6367</v>
      </c>
      <c r="AG1057" s="217" t="s">
        <v>3264</v>
      </c>
      <c r="AH1057" s="218" t="s">
        <v>3828</v>
      </c>
      <c r="AI1057" s="217" t="s">
        <v>3666</v>
      </c>
      <c r="AJ1057" s="218" t="s">
        <v>6368</v>
      </c>
      <c r="AK1057" s="217"/>
      <c r="AL1057" s="220"/>
      <c r="AM1057" s="449"/>
      <c r="AN1057" s="227"/>
      <c r="AO1057" s="208"/>
      <c r="AP1057" s="220"/>
      <c r="AR1057" s="227"/>
      <c r="AS1057" s="614">
        <f ca="1">表格1_6[[#This Row],[total amount]]/表格1_6[[#This Row],[PO$]]</f>
        <v>0</v>
      </c>
      <c r="AT1057" s="318">
        <f ca="1">表格1_6[[#This Row],[invoice amount]]+表格1_6[[#This Row],[invoice amount2]]</f>
        <v>0</v>
      </c>
      <c r="AV1057" s="208"/>
      <c r="AW1057" s="208" t="e">
        <f ca="1">VLOOKUP(表格1_6[[#This Row],[TI tool ID2]],工作表1!A:A,1,FALSE)</f>
        <v>#N/A</v>
      </c>
      <c r="AX1057" s="341" t="e">
        <f ca="1">VLOOKUP(表格1_6[[#This Row],[PO+ITEM]],工作表1!B:E,2,FALSE)</f>
        <v>#N/A</v>
      </c>
      <c r="AY1057" s="341" t="e">
        <f ca="1">VLOOKUP(表格1_6[[#This Row],[PO+ITEM]],工作表1!B:E,3,FALSE)</f>
        <v>#N/A</v>
      </c>
      <c r="AZ1057" s="208" t="e">
        <f ca="1">VLOOKUP(表格1_6[[#This Row],[PO+ITEM]],工作表1!B:E,4,FALSE)</f>
        <v>#N/A</v>
      </c>
      <c r="BA1057" s="425" t="e">
        <f ca="1">INDEX(工作表1!G:G, MATCH(表格1_6[[#This Row],[invoice number]]&amp;表格1_6[[#This Row],[invoice number2]],工作表1!G:G, 0))</f>
        <v>#N/A</v>
      </c>
      <c r="BB1057" s="208" t="e">
        <f ca="1">VLOOKUP(表格1_6[[#This Row],[PO+ITEM]],工作表1!F:H,2,FALSE)</f>
        <v>#N/A</v>
      </c>
    </row>
    <row r="1058" spans="1:54" ht="14.45">
      <c r="A1058" s="413">
        <v>1057</v>
      </c>
      <c r="B1058" s="220" t="s">
        <v>3659</v>
      </c>
      <c r="C1058" s="209" t="s">
        <v>16</v>
      </c>
      <c r="D1058" s="209" t="s">
        <v>3648</v>
      </c>
      <c r="E1058" s="209"/>
      <c r="F1058" s="209"/>
      <c r="G1058" s="209"/>
      <c r="H1058" s="209"/>
      <c r="I1058" s="209"/>
      <c r="J1058" s="209"/>
      <c r="K1058" s="209"/>
      <c r="L1058" s="210" t="s">
        <v>6369</v>
      </c>
      <c r="M1058" s="212" t="s">
        <v>4129</v>
      </c>
      <c r="N1058" s="212"/>
      <c r="O1058" s="218"/>
      <c r="P1058" s="212">
        <v>4590006256</v>
      </c>
      <c r="Q1058" s="214">
        <v>44836</v>
      </c>
      <c r="R1058" s="334" t="s">
        <v>6370</v>
      </c>
      <c r="S1058" s="461">
        <v>1240.69</v>
      </c>
      <c r="T1058" s="217" t="s">
        <v>2253</v>
      </c>
      <c r="U1058" s="209" t="s">
        <v>6317</v>
      </c>
      <c r="V1058" s="414" t="s">
        <v>3662</v>
      </c>
      <c r="W1058" s="213" t="s">
        <v>3663</v>
      </c>
      <c r="X1058" s="213"/>
      <c r="Y1058" s="218" t="s">
        <v>3652</v>
      </c>
      <c r="Z1058" s="218"/>
      <c r="AA1058" s="212"/>
      <c r="AB1058" s="209"/>
      <c r="AC1058" s="218"/>
      <c r="AD1058" s="218"/>
      <c r="AE1058" s="218"/>
      <c r="AF1058" s="421" t="s">
        <v>6371</v>
      </c>
      <c r="AG1058" s="217" t="s">
        <v>3524</v>
      </c>
      <c r="AH1058" s="218" t="s">
        <v>3828</v>
      </c>
      <c r="AI1058" s="217" t="s">
        <v>4444</v>
      </c>
      <c r="AJ1058" s="218" t="s">
        <v>6372</v>
      </c>
      <c r="AK1058" s="217"/>
      <c r="AL1058" s="220"/>
      <c r="AM1058" s="449"/>
      <c r="AN1058" s="227"/>
      <c r="AO1058" s="208"/>
      <c r="AP1058" s="220"/>
      <c r="AR1058" s="227"/>
      <c r="AS1058" s="614">
        <f ca="1">表格1_6[[#This Row],[total amount]]/表格1_6[[#This Row],[PO$]]</f>
        <v>0</v>
      </c>
      <c r="AT1058" s="318">
        <f ca="1">表格1_6[[#This Row],[invoice amount]]+表格1_6[[#This Row],[invoice amount2]]</f>
        <v>0</v>
      </c>
      <c r="AV1058" s="208"/>
      <c r="AW1058" s="208" t="e">
        <f ca="1">VLOOKUP(表格1_6[[#This Row],[TI tool ID2]],工作表1!A:A,1,FALSE)</f>
        <v>#N/A</v>
      </c>
      <c r="AX1058" s="341" t="e">
        <f ca="1">VLOOKUP(表格1_6[[#This Row],[PO+ITEM]],工作表1!B:E,2,FALSE)</f>
        <v>#N/A</v>
      </c>
      <c r="AY1058" s="341" t="e">
        <f ca="1">VLOOKUP(表格1_6[[#This Row],[PO+ITEM]],工作表1!B:E,3,FALSE)</f>
        <v>#N/A</v>
      </c>
      <c r="AZ1058" s="208" t="e">
        <f ca="1">VLOOKUP(表格1_6[[#This Row],[PO+ITEM]],工作表1!B:E,4,FALSE)</f>
        <v>#N/A</v>
      </c>
      <c r="BA1058" s="425" t="e">
        <f ca="1">INDEX(工作表1!G:G, MATCH(表格1_6[[#This Row],[invoice number]]&amp;表格1_6[[#This Row],[invoice number2]],工作表1!G:G, 0))</f>
        <v>#N/A</v>
      </c>
      <c r="BB1058" s="208" t="e">
        <f ca="1">VLOOKUP(表格1_6[[#This Row],[PO+ITEM]],工作表1!F:H,2,FALSE)</f>
        <v>#N/A</v>
      </c>
    </row>
    <row r="1059" spans="1:54" ht="14.45">
      <c r="A1059" s="413">
        <v>1058</v>
      </c>
      <c r="B1059" s="220" t="s">
        <v>3659</v>
      </c>
      <c r="C1059" s="209" t="s">
        <v>16</v>
      </c>
      <c r="D1059" s="209" t="s">
        <v>3648</v>
      </c>
      <c r="E1059" s="209"/>
      <c r="F1059" s="209"/>
      <c r="G1059" s="209"/>
      <c r="H1059" s="209"/>
      <c r="I1059" s="209"/>
      <c r="J1059" s="209"/>
      <c r="K1059" s="209"/>
      <c r="L1059" s="210" t="s">
        <v>6373</v>
      </c>
      <c r="M1059" s="212" t="s">
        <v>4129</v>
      </c>
      <c r="N1059" s="212"/>
      <c r="O1059" s="218"/>
      <c r="P1059" s="212">
        <v>4590006256</v>
      </c>
      <c r="Q1059" s="214">
        <v>44836</v>
      </c>
      <c r="R1059" s="334" t="s">
        <v>6374</v>
      </c>
      <c r="S1059" s="461">
        <v>1240.69</v>
      </c>
      <c r="T1059" s="217" t="s">
        <v>2253</v>
      </c>
      <c r="U1059" s="209" t="s">
        <v>6317</v>
      </c>
      <c r="V1059" s="414" t="s">
        <v>3662</v>
      </c>
      <c r="W1059" s="213" t="s">
        <v>3663</v>
      </c>
      <c r="X1059" s="213"/>
      <c r="Y1059" s="218" t="s">
        <v>3652</v>
      </c>
      <c r="Z1059" s="218"/>
      <c r="AA1059" s="212"/>
      <c r="AB1059" s="209"/>
      <c r="AC1059" s="218"/>
      <c r="AD1059" s="218"/>
      <c r="AE1059" s="218"/>
      <c r="AF1059" s="421" t="s">
        <v>6375</v>
      </c>
      <c r="AG1059" s="217" t="s">
        <v>3526</v>
      </c>
      <c r="AH1059" s="218" t="s">
        <v>3828</v>
      </c>
      <c r="AI1059" s="217" t="s">
        <v>4444</v>
      </c>
      <c r="AJ1059" s="218" t="s">
        <v>6376</v>
      </c>
      <c r="AK1059" s="217"/>
      <c r="AL1059" s="220"/>
      <c r="AM1059" s="449"/>
      <c r="AN1059" s="227"/>
      <c r="AO1059" s="208"/>
      <c r="AP1059" s="220"/>
      <c r="AR1059" s="227"/>
      <c r="AS1059" s="614">
        <f ca="1">表格1_6[[#This Row],[total amount]]/表格1_6[[#This Row],[PO$]]</f>
        <v>0</v>
      </c>
      <c r="AT1059" s="318">
        <f ca="1">表格1_6[[#This Row],[invoice amount]]+表格1_6[[#This Row],[invoice amount2]]</f>
        <v>0</v>
      </c>
      <c r="AV1059" s="208"/>
      <c r="AW1059" s="208" t="e">
        <f ca="1">VLOOKUP(表格1_6[[#This Row],[TI tool ID2]],工作表1!A:A,1,FALSE)</f>
        <v>#N/A</v>
      </c>
      <c r="AX1059" s="341" t="e">
        <f ca="1">VLOOKUP(表格1_6[[#This Row],[PO+ITEM]],工作表1!B:E,2,FALSE)</f>
        <v>#N/A</v>
      </c>
      <c r="AY1059" s="341" t="e">
        <f ca="1">VLOOKUP(表格1_6[[#This Row],[PO+ITEM]],工作表1!B:E,3,FALSE)</f>
        <v>#N/A</v>
      </c>
      <c r="AZ1059" s="208" t="e">
        <f ca="1">VLOOKUP(表格1_6[[#This Row],[PO+ITEM]],工作表1!B:E,4,FALSE)</f>
        <v>#N/A</v>
      </c>
      <c r="BA1059" s="425" t="e">
        <f ca="1">INDEX(工作表1!G:G, MATCH(表格1_6[[#This Row],[invoice number]]&amp;表格1_6[[#This Row],[invoice number2]],工作表1!G:G, 0))</f>
        <v>#N/A</v>
      </c>
      <c r="BB1059" s="208" t="e">
        <f ca="1">VLOOKUP(表格1_6[[#This Row],[PO+ITEM]],工作表1!F:H,2,FALSE)</f>
        <v>#N/A</v>
      </c>
    </row>
    <row r="1060" spans="1:54" ht="14.45">
      <c r="A1060" s="413">
        <v>1059</v>
      </c>
      <c r="B1060" s="220" t="s">
        <v>3659</v>
      </c>
      <c r="C1060" s="209" t="s">
        <v>16</v>
      </c>
      <c r="D1060" s="209" t="s">
        <v>3648</v>
      </c>
      <c r="E1060" s="209"/>
      <c r="F1060" s="209"/>
      <c r="G1060" s="209"/>
      <c r="H1060" s="209"/>
      <c r="I1060" s="209"/>
      <c r="J1060" s="209"/>
      <c r="K1060" s="209"/>
      <c r="L1060" s="210" t="s">
        <v>6377</v>
      </c>
      <c r="M1060" s="212" t="s">
        <v>4129</v>
      </c>
      <c r="N1060" s="212"/>
      <c r="O1060" s="218"/>
      <c r="P1060" s="212">
        <v>4590006256</v>
      </c>
      <c r="Q1060" s="214">
        <v>44836</v>
      </c>
      <c r="R1060" s="334" t="s">
        <v>6378</v>
      </c>
      <c r="S1060" s="461">
        <v>1240.69</v>
      </c>
      <c r="T1060" s="217" t="s">
        <v>2253</v>
      </c>
      <c r="U1060" s="209" t="s">
        <v>6317</v>
      </c>
      <c r="V1060" s="414" t="s">
        <v>3662</v>
      </c>
      <c r="W1060" s="213" t="s">
        <v>3663</v>
      </c>
      <c r="X1060" s="213"/>
      <c r="Y1060" s="218" t="s">
        <v>3652</v>
      </c>
      <c r="Z1060" s="218"/>
      <c r="AA1060" s="212"/>
      <c r="AB1060" s="209"/>
      <c r="AC1060" s="218"/>
      <c r="AD1060" s="218"/>
      <c r="AE1060" s="218"/>
      <c r="AF1060" s="421" t="s">
        <v>6379</v>
      </c>
      <c r="AG1060" s="217" t="s">
        <v>3528</v>
      </c>
      <c r="AH1060" s="218" t="s">
        <v>3828</v>
      </c>
      <c r="AI1060" s="217" t="s">
        <v>4444</v>
      </c>
      <c r="AJ1060" s="218" t="s">
        <v>6380</v>
      </c>
      <c r="AK1060" s="217"/>
      <c r="AL1060" s="220"/>
      <c r="AM1060" s="449"/>
      <c r="AN1060" s="227"/>
      <c r="AO1060" s="208"/>
      <c r="AP1060" s="220"/>
      <c r="AR1060" s="227"/>
      <c r="AS1060" s="614">
        <f ca="1">表格1_6[[#This Row],[total amount]]/表格1_6[[#This Row],[PO$]]</f>
        <v>0</v>
      </c>
      <c r="AT1060" s="318">
        <f ca="1">表格1_6[[#This Row],[invoice amount]]+表格1_6[[#This Row],[invoice amount2]]</f>
        <v>0</v>
      </c>
      <c r="AV1060" s="208"/>
      <c r="AW1060" s="208" t="e">
        <f ca="1">VLOOKUP(表格1_6[[#This Row],[TI tool ID2]],工作表1!A:A,1,FALSE)</f>
        <v>#N/A</v>
      </c>
      <c r="AX1060" s="341" t="e">
        <f ca="1">VLOOKUP(表格1_6[[#This Row],[PO+ITEM]],工作表1!B:E,2,FALSE)</f>
        <v>#N/A</v>
      </c>
      <c r="AY1060" s="341" t="e">
        <f ca="1">VLOOKUP(表格1_6[[#This Row],[PO+ITEM]],工作表1!B:E,3,FALSE)</f>
        <v>#N/A</v>
      </c>
      <c r="AZ1060" s="208" t="e">
        <f ca="1">VLOOKUP(表格1_6[[#This Row],[PO+ITEM]],工作表1!B:E,4,FALSE)</f>
        <v>#N/A</v>
      </c>
      <c r="BA1060" s="425" t="e">
        <f ca="1">INDEX(工作表1!G:G, MATCH(表格1_6[[#This Row],[invoice number]]&amp;表格1_6[[#This Row],[invoice number2]],工作表1!G:G, 0))</f>
        <v>#N/A</v>
      </c>
      <c r="BB1060" s="208" t="e">
        <f ca="1">VLOOKUP(表格1_6[[#This Row],[PO+ITEM]],工作表1!F:H,2,FALSE)</f>
        <v>#N/A</v>
      </c>
    </row>
    <row r="1061" spans="1:54" ht="14.45">
      <c r="A1061" s="413">
        <v>1060</v>
      </c>
      <c r="B1061" s="220" t="s">
        <v>3659</v>
      </c>
      <c r="C1061" s="209" t="s">
        <v>16</v>
      </c>
      <c r="D1061" s="209" t="s">
        <v>3648</v>
      </c>
      <c r="E1061" s="209"/>
      <c r="F1061" s="209"/>
      <c r="G1061" s="209"/>
      <c r="H1061" s="209"/>
      <c r="I1061" s="209"/>
      <c r="J1061" s="209"/>
      <c r="K1061" s="209"/>
      <c r="L1061" s="210" t="s">
        <v>6381</v>
      </c>
      <c r="M1061" s="212" t="s">
        <v>4129</v>
      </c>
      <c r="N1061" s="212"/>
      <c r="O1061" s="218"/>
      <c r="P1061" s="212">
        <v>4590006256</v>
      </c>
      <c r="Q1061" s="214">
        <v>44836</v>
      </c>
      <c r="R1061" s="334" t="s">
        <v>6382</v>
      </c>
      <c r="S1061" s="461">
        <v>1240.69</v>
      </c>
      <c r="T1061" s="217" t="s">
        <v>2253</v>
      </c>
      <c r="U1061" s="209" t="s">
        <v>6317</v>
      </c>
      <c r="V1061" s="414" t="s">
        <v>3662</v>
      </c>
      <c r="W1061" s="213" t="s">
        <v>3663</v>
      </c>
      <c r="X1061" s="213"/>
      <c r="Y1061" s="218" t="s">
        <v>3652</v>
      </c>
      <c r="Z1061" s="218"/>
      <c r="AA1061" s="212"/>
      <c r="AB1061" s="209"/>
      <c r="AC1061" s="218"/>
      <c r="AD1061" s="218"/>
      <c r="AE1061" s="218"/>
      <c r="AF1061" s="421" t="s">
        <v>6383</v>
      </c>
      <c r="AG1061" s="217" t="s">
        <v>3299</v>
      </c>
      <c r="AH1061" s="218" t="s">
        <v>3828</v>
      </c>
      <c r="AI1061" s="217" t="s">
        <v>3666</v>
      </c>
      <c r="AJ1061" s="218" t="s">
        <v>6384</v>
      </c>
      <c r="AK1061" s="217"/>
      <c r="AL1061" s="220"/>
      <c r="AM1061" s="449"/>
      <c r="AN1061" s="227"/>
      <c r="AO1061" s="208"/>
      <c r="AP1061" s="220"/>
      <c r="AR1061" s="227"/>
      <c r="AS1061" s="614">
        <f ca="1">表格1_6[[#This Row],[total amount]]/表格1_6[[#This Row],[PO$]]</f>
        <v>0</v>
      </c>
      <c r="AT1061" s="318">
        <f ca="1">表格1_6[[#This Row],[invoice amount]]+表格1_6[[#This Row],[invoice amount2]]</f>
        <v>0</v>
      </c>
      <c r="AV1061" s="208"/>
      <c r="AW1061" s="208" t="e">
        <f ca="1">VLOOKUP(表格1_6[[#This Row],[TI tool ID2]],工作表1!A:A,1,FALSE)</f>
        <v>#N/A</v>
      </c>
      <c r="AX1061" s="341" t="e">
        <f ca="1">VLOOKUP(表格1_6[[#This Row],[PO+ITEM]],工作表1!B:E,2,FALSE)</f>
        <v>#N/A</v>
      </c>
      <c r="AY1061" s="341" t="e">
        <f ca="1">VLOOKUP(表格1_6[[#This Row],[PO+ITEM]],工作表1!B:E,3,FALSE)</f>
        <v>#N/A</v>
      </c>
      <c r="AZ1061" s="208" t="e">
        <f ca="1">VLOOKUP(表格1_6[[#This Row],[PO+ITEM]],工作表1!B:E,4,FALSE)</f>
        <v>#N/A</v>
      </c>
      <c r="BA1061" s="425" t="e">
        <f ca="1">INDEX(工作表1!G:G, MATCH(表格1_6[[#This Row],[invoice number]]&amp;表格1_6[[#This Row],[invoice number2]],工作表1!G:G, 0))</f>
        <v>#N/A</v>
      </c>
      <c r="BB1061" s="208" t="e">
        <f ca="1">VLOOKUP(表格1_6[[#This Row],[PO+ITEM]],工作表1!F:H,2,FALSE)</f>
        <v>#N/A</v>
      </c>
    </row>
    <row r="1062" spans="1:54" ht="14.45">
      <c r="A1062" s="413">
        <v>1061</v>
      </c>
      <c r="B1062" s="220" t="s">
        <v>3659</v>
      </c>
      <c r="C1062" s="209" t="s">
        <v>16</v>
      </c>
      <c r="D1062" s="209" t="s">
        <v>3648</v>
      </c>
      <c r="E1062" s="209"/>
      <c r="F1062" s="209"/>
      <c r="G1062" s="209"/>
      <c r="H1062" s="209"/>
      <c r="I1062" s="209"/>
      <c r="J1062" s="209"/>
      <c r="K1062" s="209"/>
      <c r="L1062" s="210" t="s">
        <v>6385</v>
      </c>
      <c r="M1062" s="212" t="s">
        <v>4129</v>
      </c>
      <c r="N1062" s="212"/>
      <c r="O1062" s="218"/>
      <c r="P1062" s="212">
        <v>4590006256</v>
      </c>
      <c r="Q1062" s="214">
        <v>44836</v>
      </c>
      <c r="R1062" s="334" t="s">
        <v>6386</v>
      </c>
      <c r="S1062" s="461">
        <v>1240.69</v>
      </c>
      <c r="T1062" s="217" t="s">
        <v>2253</v>
      </c>
      <c r="U1062" s="209" t="s">
        <v>6317</v>
      </c>
      <c r="V1062" s="414" t="s">
        <v>3662</v>
      </c>
      <c r="W1062" s="213" t="s">
        <v>3663</v>
      </c>
      <c r="X1062" s="213"/>
      <c r="Y1062" s="218" t="s">
        <v>3652</v>
      </c>
      <c r="Z1062" s="218"/>
      <c r="AA1062" s="212"/>
      <c r="AB1062" s="209"/>
      <c r="AC1062" s="218"/>
      <c r="AD1062" s="218"/>
      <c r="AE1062" s="218"/>
      <c r="AF1062" s="421" t="s">
        <v>6387</v>
      </c>
      <c r="AG1062" s="217" t="s">
        <v>6388</v>
      </c>
      <c r="AH1062" s="218" t="s">
        <v>3828</v>
      </c>
      <c r="AI1062" s="217" t="s">
        <v>4599</v>
      </c>
      <c r="AJ1062" s="218" t="s">
        <v>6389</v>
      </c>
      <c r="AK1062" s="217"/>
      <c r="AL1062" s="220"/>
      <c r="AM1062" s="449"/>
      <c r="AN1062" s="227"/>
      <c r="AO1062" s="208"/>
      <c r="AP1062" s="220"/>
      <c r="AR1062" s="227"/>
      <c r="AS1062" s="614">
        <f ca="1">表格1_6[[#This Row],[total amount]]/表格1_6[[#This Row],[PO$]]</f>
        <v>0</v>
      </c>
      <c r="AT1062" s="318">
        <f ca="1">表格1_6[[#This Row],[invoice amount]]+表格1_6[[#This Row],[invoice amount2]]</f>
        <v>0</v>
      </c>
      <c r="AV1062" s="208"/>
      <c r="AW1062" s="208" t="e">
        <f ca="1">VLOOKUP(表格1_6[[#This Row],[TI tool ID2]],工作表1!A:A,1,FALSE)</f>
        <v>#N/A</v>
      </c>
      <c r="AX1062" s="341" t="e">
        <f ca="1">VLOOKUP(表格1_6[[#This Row],[PO+ITEM]],工作表1!B:E,2,FALSE)</f>
        <v>#N/A</v>
      </c>
      <c r="AY1062" s="341" t="e">
        <f ca="1">VLOOKUP(表格1_6[[#This Row],[PO+ITEM]],工作表1!B:E,3,FALSE)</f>
        <v>#N/A</v>
      </c>
      <c r="AZ1062" s="208" t="e">
        <f ca="1">VLOOKUP(表格1_6[[#This Row],[PO+ITEM]],工作表1!B:E,4,FALSE)</f>
        <v>#N/A</v>
      </c>
      <c r="BA1062" s="425" t="e">
        <f ca="1">INDEX(工作表1!G:G, MATCH(表格1_6[[#This Row],[invoice number]]&amp;表格1_6[[#This Row],[invoice number2]],工作表1!G:G, 0))</f>
        <v>#N/A</v>
      </c>
      <c r="BB1062" s="208" t="e">
        <f ca="1">VLOOKUP(表格1_6[[#This Row],[PO+ITEM]],工作表1!F:H,2,FALSE)</f>
        <v>#N/A</v>
      </c>
    </row>
    <row r="1063" spans="1:54" s="429" customFormat="1" ht="14.45">
      <c r="A1063" s="413">
        <v>1062</v>
      </c>
      <c r="B1063" s="566" t="s">
        <v>3765</v>
      </c>
      <c r="C1063" s="532" t="s">
        <v>16</v>
      </c>
      <c r="D1063" s="532" t="s">
        <v>3648</v>
      </c>
      <c r="E1063" s="532"/>
      <c r="F1063" s="532"/>
      <c r="G1063" s="532"/>
      <c r="H1063" s="532"/>
      <c r="I1063" s="532"/>
      <c r="J1063" s="532"/>
      <c r="K1063" s="532"/>
      <c r="L1063" s="533" t="s">
        <v>6390</v>
      </c>
      <c r="M1063" s="534" t="s">
        <v>4129</v>
      </c>
      <c r="N1063" s="534"/>
      <c r="O1063" s="535"/>
      <c r="P1063" s="534">
        <v>4590006256</v>
      </c>
      <c r="Q1063" s="592">
        <v>44836</v>
      </c>
      <c r="R1063" s="536" t="s">
        <v>6391</v>
      </c>
      <c r="S1063" s="537"/>
      <c r="T1063" s="538" t="s">
        <v>2253</v>
      </c>
      <c r="U1063" s="532"/>
      <c r="V1063" s="509"/>
      <c r="W1063" s="539"/>
      <c r="X1063" s="539"/>
      <c r="Y1063" s="535" t="s">
        <v>6392</v>
      </c>
      <c r="Z1063" s="535"/>
      <c r="AA1063" s="534"/>
      <c r="AB1063" s="532"/>
      <c r="AC1063" s="535"/>
      <c r="AD1063" s="535"/>
      <c r="AE1063" s="535"/>
      <c r="AF1063" s="535"/>
      <c r="AG1063" s="538"/>
      <c r="AH1063" s="535"/>
      <c r="AI1063" s="538"/>
      <c r="AJ1063" s="540"/>
      <c r="AK1063" s="538"/>
      <c r="AL1063" s="531"/>
      <c r="AM1063" s="529"/>
      <c r="AN1063" s="541"/>
      <c r="AO1063" s="542"/>
      <c r="AP1063" s="531"/>
      <c r="AQ1063" s="520"/>
      <c r="AR1063" s="541"/>
      <c r="AS1063" s="615"/>
      <c r="AT1063" s="530">
        <f ca="1">表格1_6[[#This Row],[invoice amount]]+表格1_6[[#This Row],[invoice amount2]]</f>
        <v>0</v>
      </c>
      <c r="AU1063" s="566" t="s">
        <v>3765</v>
      </c>
      <c r="AV1063" s="542"/>
      <c r="AW1063" s="542" t="e">
        <f ca="1">VLOOKUP(表格1_6[[#This Row],[TI tool ID2]],工作表1!A:A,1,FALSE)</f>
        <v>#N/A</v>
      </c>
      <c r="AX1063" s="574" t="e">
        <f ca="1">VLOOKUP(表格1_6[[#This Row],[PO+ITEM]],工作表1!B:E,2,FALSE)</f>
        <v>#N/A</v>
      </c>
      <c r="AY1063" s="574" t="e">
        <f ca="1">VLOOKUP(表格1_6[[#This Row],[PO+ITEM]],工作表1!B:E,3,FALSE)</f>
        <v>#N/A</v>
      </c>
      <c r="AZ1063" s="542" t="e">
        <f ca="1">VLOOKUP(表格1_6[[#This Row],[PO+ITEM]],工作表1!B:E,4,FALSE)</f>
        <v>#N/A</v>
      </c>
      <c r="BA1063" s="425" t="e">
        <f ca="1">INDEX(工作表1!G:G, MATCH(表格1_6[[#This Row],[invoice number]]&amp;表格1_6[[#This Row],[invoice number2]],工作表1!G:G, 0))</f>
        <v>#N/A</v>
      </c>
      <c r="BB1063" s="542" t="e">
        <f ca="1">VLOOKUP(表格1_6[[#This Row],[PO+ITEM]],工作表1!F:H,2,FALSE)</f>
        <v>#N/A</v>
      </c>
    </row>
    <row r="1064" spans="1:54" s="429" customFormat="1" ht="14.45">
      <c r="A1064" s="413">
        <v>1063</v>
      </c>
      <c r="B1064" s="566" t="s">
        <v>3765</v>
      </c>
      <c r="C1064" s="532" t="s">
        <v>16</v>
      </c>
      <c r="D1064" s="532" t="s">
        <v>3648</v>
      </c>
      <c r="E1064" s="532"/>
      <c r="F1064" s="532"/>
      <c r="G1064" s="532"/>
      <c r="H1064" s="532"/>
      <c r="I1064" s="532"/>
      <c r="J1064" s="532"/>
      <c r="K1064" s="532"/>
      <c r="L1064" s="533" t="s">
        <v>6393</v>
      </c>
      <c r="M1064" s="534" t="s">
        <v>4129</v>
      </c>
      <c r="N1064" s="534"/>
      <c r="O1064" s="535"/>
      <c r="P1064" s="534">
        <v>4590006256</v>
      </c>
      <c r="Q1064" s="592">
        <v>44836</v>
      </c>
      <c r="R1064" s="536" t="s">
        <v>6394</v>
      </c>
      <c r="S1064" s="537"/>
      <c r="T1064" s="538" t="s">
        <v>2253</v>
      </c>
      <c r="U1064" s="532"/>
      <c r="V1064" s="509"/>
      <c r="W1064" s="539"/>
      <c r="X1064" s="539"/>
      <c r="Y1064" s="535" t="s">
        <v>6392</v>
      </c>
      <c r="Z1064" s="535"/>
      <c r="AA1064" s="534"/>
      <c r="AB1064" s="532"/>
      <c r="AC1064" s="535"/>
      <c r="AD1064" s="535"/>
      <c r="AE1064" s="535"/>
      <c r="AF1064" s="535"/>
      <c r="AG1064" s="538"/>
      <c r="AH1064" s="535"/>
      <c r="AI1064" s="538"/>
      <c r="AJ1064" s="540"/>
      <c r="AK1064" s="538"/>
      <c r="AL1064" s="531"/>
      <c r="AM1064" s="529"/>
      <c r="AN1064" s="541"/>
      <c r="AO1064" s="542"/>
      <c r="AP1064" s="531"/>
      <c r="AQ1064" s="520"/>
      <c r="AR1064" s="541"/>
      <c r="AS1064" s="615"/>
      <c r="AT1064" s="530">
        <f ca="1">表格1_6[[#This Row],[invoice amount]]+表格1_6[[#This Row],[invoice amount2]]</f>
        <v>0</v>
      </c>
      <c r="AU1064" s="566" t="s">
        <v>3765</v>
      </c>
      <c r="AV1064" s="542"/>
      <c r="AW1064" s="542" t="e">
        <f ca="1">VLOOKUP(表格1_6[[#This Row],[TI tool ID2]],工作表1!A:A,1,FALSE)</f>
        <v>#N/A</v>
      </c>
      <c r="AX1064" s="574" t="e">
        <f ca="1">VLOOKUP(表格1_6[[#This Row],[PO+ITEM]],工作表1!B:E,2,FALSE)</f>
        <v>#N/A</v>
      </c>
      <c r="AY1064" s="574" t="e">
        <f ca="1">VLOOKUP(表格1_6[[#This Row],[PO+ITEM]],工作表1!B:E,3,FALSE)</f>
        <v>#N/A</v>
      </c>
      <c r="AZ1064" s="542" t="e">
        <f ca="1">VLOOKUP(表格1_6[[#This Row],[PO+ITEM]],工作表1!B:E,4,FALSE)</f>
        <v>#N/A</v>
      </c>
      <c r="BA1064" s="425" t="e">
        <f ca="1">INDEX(工作表1!G:G, MATCH(表格1_6[[#This Row],[invoice number]]&amp;表格1_6[[#This Row],[invoice number2]],工作表1!G:G, 0))</f>
        <v>#N/A</v>
      </c>
      <c r="BB1064" s="542" t="e">
        <f ca="1">VLOOKUP(表格1_6[[#This Row],[PO+ITEM]],工作表1!F:H,2,FALSE)</f>
        <v>#N/A</v>
      </c>
    </row>
    <row r="1065" spans="1:54" s="429" customFormat="1" ht="14.45">
      <c r="A1065" s="413">
        <v>1064</v>
      </c>
      <c r="B1065" s="566" t="s">
        <v>3765</v>
      </c>
      <c r="C1065" s="532" t="s">
        <v>16</v>
      </c>
      <c r="D1065" s="532" t="s">
        <v>3648</v>
      </c>
      <c r="E1065" s="532"/>
      <c r="F1065" s="532"/>
      <c r="G1065" s="532"/>
      <c r="H1065" s="532"/>
      <c r="I1065" s="532"/>
      <c r="J1065" s="532"/>
      <c r="K1065" s="532"/>
      <c r="L1065" s="533" t="s">
        <v>6395</v>
      </c>
      <c r="M1065" s="534" t="s">
        <v>4129</v>
      </c>
      <c r="N1065" s="534"/>
      <c r="O1065" s="535"/>
      <c r="P1065" s="534">
        <v>4590006256</v>
      </c>
      <c r="Q1065" s="592">
        <v>44836</v>
      </c>
      <c r="R1065" s="536" t="s">
        <v>6396</v>
      </c>
      <c r="S1065" s="537"/>
      <c r="T1065" s="538" t="s">
        <v>2253</v>
      </c>
      <c r="U1065" s="532"/>
      <c r="V1065" s="509"/>
      <c r="W1065" s="539"/>
      <c r="X1065" s="539"/>
      <c r="Y1065" s="535" t="s">
        <v>6392</v>
      </c>
      <c r="Z1065" s="535"/>
      <c r="AA1065" s="534"/>
      <c r="AB1065" s="532"/>
      <c r="AC1065" s="535"/>
      <c r="AD1065" s="535"/>
      <c r="AE1065" s="535"/>
      <c r="AF1065" s="535"/>
      <c r="AG1065" s="538"/>
      <c r="AH1065" s="535"/>
      <c r="AI1065" s="538"/>
      <c r="AJ1065" s="540"/>
      <c r="AK1065" s="538"/>
      <c r="AL1065" s="531"/>
      <c r="AM1065" s="529"/>
      <c r="AN1065" s="541"/>
      <c r="AO1065" s="542"/>
      <c r="AP1065" s="531"/>
      <c r="AQ1065" s="520"/>
      <c r="AR1065" s="541"/>
      <c r="AS1065" s="615"/>
      <c r="AT1065" s="530">
        <f ca="1">表格1_6[[#This Row],[invoice amount]]+表格1_6[[#This Row],[invoice amount2]]</f>
        <v>0</v>
      </c>
      <c r="AU1065" s="566" t="s">
        <v>3765</v>
      </c>
      <c r="AV1065" s="542"/>
      <c r="AW1065" s="542" t="e">
        <f ca="1">VLOOKUP(表格1_6[[#This Row],[TI tool ID2]],工作表1!A:A,1,FALSE)</f>
        <v>#N/A</v>
      </c>
      <c r="AX1065" s="574" t="e">
        <f ca="1">VLOOKUP(表格1_6[[#This Row],[PO+ITEM]],工作表1!B:E,2,FALSE)</f>
        <v>#N/A</v>
      </c>
      <c r="AY1065" s="574" t="e">
        <f ca="1">VLOOKUP(表格1_6[[#This Row],[PO+ITEM]],工作表1!B:E,3,FALSE)</f>
        <v>#N/A</v>
      </c>
      <c r="AZ1065" s="542" t="e">
        <f ca="1">VLOOKUP(表格1_6[[#This Row],[PO+ITEM]],工作表1!B:E,4,FALSE)</f>
        <v>#N/A</v>
      </c>
      <c r="BA1065" s="425" t="e">
        <f ca="1">INDEX(工作表1!G:G, MATCH(表格1_6[[#This Row],[invoice number]]&amp;表格1_6[[#This Row],[invoice number2]],工作表1!G:G, 0))</f>
        <v>#N/A</v>
      </c>
      <c r="BB1065" s="542" t="e">
        <f ca="1">VLOOKUP(表格1_6[[#This Row],[PO+ITEM]],工作表1!F:H,2,FALSE)</f>
        <v>#N/A</v>
      </c>
    </row>
    <row r="1066" spans="1:54" ht="14.45">
      <c r="A1066" s="413">
        <v>1065</v>
      </c>
      <c r="B1066" s="220" t="s">
        <v>3659</v>
      </c>
      <c r="C1066" s="209" t="s">
        <v>16</v>
      </c>
      <c r="D1066" s="209" t="s">
        <v>3648</v>
      </c>
      <c r="E1066" s="209"/>
      <c r="F1066" s="209"/>
      <c r="G1066" s="209"/>
      <c r="H1066" s="209"/>
      <c r="I1066" s="209"/>
      <c r="J1066" s="209"/>
      <c r="K1066" s="209"/>
      <c r="L1066" s="210" t="s">
        <v>6397</v>
      </c>
      <c r="M1066" s="212" t="s">
        <v>4129</v>
      </c>
      <c r="N1066" s="212"/>
      <c r="O1066" s="218"/>
      <c r="P1066" s="212">
        <v>4590006256</v>
      </c>
      <c r="Q1066" s="214">
        <v>44836</v>
      </c>
      <c r="R1066" s="334" t="s">
        <v>6398</v>
      </c>
      <c r="S1066" s="461">
        <v>3704.62</v>
      </c>
      <c r="T1066" s="217" t="s">
        <v>2253</v>
      </c>
      <c r="U1066" s="209" t="s">
        <v>6317</v>
      </c>
      <c r="V1066" s="414" t="s">
        <v>3662</v>
      </c>
      <c r="W1066" s="213" t="s">
        <v>3663</v>
      </c>
      <c r="X1066" s="213"/>
      <c r="Y1066" s="218" t="s">
        <v>3652</v>
      </c>
      <c r="Z1066" s="218"/>
      <c r="AA1066" s="212"/>
      <c r="AB1066" s="209"/>
      <c r="AC1066" s="218"/>
      <c r="AD1066" s="218"/>
      <c r="AE1066" s="218"/>
      <c r="AF1066" s="421" t="s">
        <v>6399</v>
      </c>
      <c r="AG1066" s="217" t="s">
        <v>2987</v>
      </c>
      <c r="AH1066" s="218" t="s">
        <v>3828</v>
      </c>
      <c r="AI1066" s="217" t="s">
        <v>6120</v>
      </c>
      <c r="AJ1066" s="218" t="s">
        <v>6400</v>
      </c>
      <c r="AK1066" s="217"/>
      <c r="AL1066" s="220"/>
      <c r="AM1066" s="449"/>
      <c r="AN1066" s="227"/>
      <c r="AO1066" s="208"/>
      <c r="AP1066" s="220"/>
      <c r="AR1066" s="227"/>
      <c r="AS1066" s="614">
        <f ca="1">表格1_6[[#This Row],[total amount]]/表格1_6[[#This Row],[PO$]]</f>
        <v>0</v>
      </c>
      <c r="AT1066" s="318">
        <f ca="1">表格1_6[[#This Row],[invoice amount]]+表格1_6[[#This Row],[invoice amount2]]</f>
        <v>0</v>
      </c>
      <c r="AV1066" s="208"/>
      <c r="AW1066" s="208" t="e">
        <f ca="1">VLOOKUP(表格1_6[[#This Row],[TI tool ID2]],工作表1!A:A,1,FALSE)</f>
        <v>#N/A</v>
      </c>
      <c r="AX1066" s="341" t="e">
        <f ca="1">VLOOKUP(表格1_6[[#This Row],[PO+ITEM]],工作表1!B:E,2,FALSE)</f>
        <v>#N/A</v>
      </c>
      <c r="AY1066" s="341" t="e">
        <f ca="1">VLOOKUP(表格1_6[[#This Row],[PO+ITEM]],工作表1!B:E,3,FALSE)</f>
        <v>#N/A</v>
      </c>
      <c r="AZ1066" s="208" t="e">
        <f ca="1">VLOOKUP(表格1_6[[#This Row],[PO+ITEM]],工作表1!B:E,4,FALSE)</f>
        <v>#N/A</v>
      </c>
      <c r="BA1066" s="425" t="e">
        <f ca="1">INDEX(工作表1!G:G, MATCH(表格1_6[[#This Row],[invoice number]]&amp;表格1_6[[#This Row],[invoice number2]],工作表1!G:G, 0))</f>
        <v>#N/A</v>
      </c>
      <c r="BB1066" s="208" t="e">
        <f ca="1">VLOOKUP(表格1_6[[#This Row],[PO+ITEM]],工作表1!F:H,2,FALSE)</f>
        <v>#N/A</v>
      </c>
    </row>
    <row r="1067" spans="1:54" ht="14.45">
      <c r="A1067" s="413">
        <v>1066</v>
      </c>
      <c r="B1067" s="220" t="s">
        <v>3659</v>
      </c>
      <c r="C1067" s="209" t="s">
        <v>16</v>
      </c>
      <c r="D1067" s="209" t="s">
        <v>3648</v>
      </c>
      <c r="E1067" s="209"/>
      <c r="F1067" s="209"/>
      <c r="G1067" s="209"/>
      <c r="H1067" s="209"/>
      <c r="I1067" s="209"/>
      <c r="J1067" s="209"/>
      <c r="K1067" s="209"/>
      <c r="L1067" s="210" t="s">
        <v>6401</v>
      </c>
      <c r="M1067" s="212" t="s">
        <v>4129</v>
      </c>
      <c r="N1067" s="212"/>
      <c r="O1067" s="218"/>
      <c r="P1067" s="212">
        <v>4590006256</v>
      </c>
      <c r="Q1067" s="214">
        <v>44836</v>
      </c>
      <c r="R1067" s="334" t="s">
        <v>6402</v>
      </c>
      <c r="S1067" s="461">
        <v>3704.62</v>
      </c>
      <c r="T1067" s="217" t="s">
        <v>2253</v>
      </c>
      <c r="U1067" s="209" t="s">
        <v>6317</v>
      </c>
      <c r="V1067" s="414" t="s">
        <v>3662</v>
      </c>
      <c r="W1067" s="213" t="s">
        <v>3663</v>
      </c>
      <c r="X1067" s="213"/>
      <c r="Y1067" s="218" t="s">
        <v>3652</v>
      </c>
      <c r="Z1067" s="218"/>
      <c r="AA1067" s="212"/>
      <c r="AB1067" s="209"/>
      <c r="AC1067" s="218"/>
      <c r="AD1067" s="218"/>
      <c r="AE1067" s="218"/>
      <c r="AF1067" s="421" t="s">
        <v>6403</v>
      </c>
      <c r="AG1067" s="217" t="s">
        <v>2989</v>
      </c>
      <c r="AH1067" s="218" t="s">
        <v>3828</v>
      </c>
      <c r="AI1067" s="217" t="s">
        <v>6120</v>
      </c>
      <c r="AJ1067" s="218" t="s">
        <v>6404</v>
      </c>
      <c r="AK1067" s="217"/>
      <c r="AL1067" s="220"/>
      <c r="AM1067" s="449"/>
      <c r="AN1067" s="227"/>
      <c r="AO1067" s="208"/>
      <c r="AP1067" s="220"/>
      <c r="AR1067" s="227"/>
      <c r="AS1067" s="614">
        <f ca="1">表格1_6[[#This Row],[total amount]]/表格1_6[[#This Row],[PO$]]</f>
        <v>0</v>
      </c>
      <c r="AT1067" s="318">
        <f ca="1">表格1_6[[#This Row],[invoice amount]]+表格1_6[[#This Row],[invoice amount2]]</f>
        <v>0</v>
      </c>
      <c r="AV1067" s="208"/>
      <c r="AW1067" s="208" t="e">
        <f ca="1">VLOOKUP(表格1_6[[#This Row],[TI tool ID2]],工作表1!A:A,1,FALSE)</f>
        <v>#N/A</v>
      </c>
      <c r="AX1067" s="341" t="e">
        <f ca="1">VLOOKUP(表格1_6[[#This Row],[PO+ITEM]],工作表1!B:E,2,FALSE)</f>
        <v>#N/A</v>
      </c>
      <c r="AY1067" s="341" t="e">
        <f ca="1">VLOOKUP(表格1_6[[#This Row],[PO+ITEM]],工作表1!B:E,3,FALSE)</f>
        <v>#N/A</v>
      </c>
      <c r="AZ1067" s="208" t="e">
        <f ca="1">VLOOKUP(表格1_6[[#This Row],[PO+ITEM]],工作表1!B:E,4,FALSE)</f>
        <v>#N/A</v>
      </c>
      <c r="BA1067" s="425" t="e">
        <f ca="1">INDEX(工作表1!G:G, MATCH(表格1_6[[#This Row],[invoice number]]&amp;表格1_6[[#This Row],[invoice number2]],工作表1!G:G, 0))</f>
        <v>#N/A</v>
      </c>
      <c r="BB1067" s="208" t="e">
        <f ca="1">VLOOKUP(表格1_6[[#This Row],[PO+ITEM]],工作表1!F:H,2,FALSE)</f>
        <v>#N/A</v>
      </c>
    </row>
    <row r="1068" spans="1:54" ht="14.45">
      <c r="A1068" s="413">
        <v>1067</v>
      </c>
      <c r="B1068" s="220" t="s">
        <v>3659</v>
      </c>
      <c r="C1068" s="209" t="s">
        <v>16</v>
      </c>
      <c r="D1068" s="209" t="s">
        <v>3648</v>
      </c>
      <c r="E1068" s="209"/>
      <c r="F1068" s="209"/>
      <c r="G1068" s="209"/>
      <c r="H1068" s="209"/>
      <c r="I1068" s="209"/>
      <c r="J1068" s="209"/>
      <c r="K1068" s="209"/>
      <c r="L1068" s="210" t="s">
        <v>6405</v>
      </c>
      <c r="M1068" s="212" t="s">
        <v>4129</v>
      </c>
      <c r="N1068" s="212"/>
      <c r="O1068" s="218"/>
      <c r="P1068" s="212">
        <v>4590006256</v>
      </c>
      <c r="Q1068" s="214">
        <v>44836</v>
      </c>
      <c r="R1068" s="334" t="s">
        <v>6406</v>
      </c>
      <c r="S1068" s="461">
        <v>3704.62</v>
      </c>
      <c r="T1068" s="217" t="s">
        <v>2253</v>
      </c>
      <c r="U1068" s="209" t="s">
        <v>6317</v>
      </c>
      <c r="V1068" s="414" t="s">
        <v>3662</v>
      </c>
      <c r="W1068" s="213" t="s">
        <v>3663</v>
      </c>
      <c r="X1068" s="213"/>
      <c r="Y1068" s="218" t="s">
        <v>3652</v>
      </c>
      <c r="Z1068" s="218"/>
      <c r="AA1068" s="212"/>
      <c r="AB1068" s="209"/>
      <c r="AC1068" s="218"/>
      <c r="AD1068" s="218"/>
      <c r="AE1068" s="218"/>
      <c r="AF1068" s="421" t="s">
        <v>6407</v>
      </c>
      <c r="AG1068" s="217" t="s">
        <v>2991</v>
      </c>
      <c r="AH1068" s="218" t="s">
        <v>3828</v>
      </c>
      <c r="AI1068" s="217" t="s">
        <v>6120</v>
      </c>
      <c r="AJ1068" s="218" t="s">
        <v>6408</v>
      </c>
      <c r="AK1068" s="217"/>
      <c r="AL1068" s="220"/>
      <c r="AM1068" s="449"/>
      <c r="AN1068" s="227"/>
      <c r="AO1068" s="208"/>
      <c r="AP1068" s="220"/>
      <c r="AR1068" s="227"/>
      <c r="AS1068" s="614">
        <f ca="1">表格1_6[[#This Row],[total amount]]/表格1_6[[#This Row],[PO$]]</f>
        <v>0</v>
      </c>
      <c r="AT1068" s="318">
        <f ca="1">表格1_6[[#This Row],[invoice amount]]+表格1_6[[#This Row],[invoice amount2]]</f>
        <v>0</v>
      </c>
      <c r="AV1068" s="208"/>
      <c r="AW1068" s="208" t="e">
        <f ca="1">VLOOKUP(表格1_6[[#This Row],[TI tool ID2]],工作表1!A:A,1,FALSE)</f>
        <v>#N/A</v>
      </c>
      <c r="AX1068" s="341" t="e">
        <f ca="1">VLOOKUP(表格1_6[[#This Row],[PO+ITEM]],工作表1!B:E,2,FALSE)</f>
        <v>#N/A</v>
      </c>
      <c r="AY1068" s="341" t="e">
        <f ca="1">VLOOKUP(表格1_6[[#This Row],[PO+ITEM]],工作表1!B:E,3,FALSE)</f>
        <v>#N/A</v>
      </c>
      <c r="AZ1068" s="208" t="e">
        <f ca="1">VLOOKUP(表格1_6[[#This Row],[PO+ITEM]],工作表1!B:E,4,FALSE)</f>
        <v>#N/A</v>
      </c>
      <c r="BA1068" s="425" t="e">
        <f ca="1">INDEX(工作表1!G:G, MATCH(表格1_6[[#This Row],[invoice number]]&amp;表格1_6[[#This Row],[invoice number2]],工作表1!G:G, 0))</f>
        <v>#N/A</v>
      </c>
      <c r="BB1068" s="208" t="e">
        <f ca="1">VLOOKUP(表格1_6[[#This Row],[PO+ITEM]],工作表1!F:H,2,FALSE)</f>
        <v>#N/A</v>
      </c>
    </row>
    <row r="1069" spans="1:54" ht="14.45">
      <c r="A1069" s="413">
        <v>1068</v>
      </c>
      <c r="B1069" s="220" t="s">
        <v>3659</v>
      </c>
      <c r="C1069" s="209" t="s">
        <v>16</v>
      </c>
      <c r="D1069" s="209" t="s">
        <v>3648</v>
      </c>
      <c r="E1069" s="209"/>
      <c r="F1069" s="209"/>
      <c r="G1069" s="209"/>
      <c r="H1069" s="209"/>
      <c r="I1069" s="209"/>
      <c r="J1069" s="209"/>
      <c r="K1069" s="209"/>
      <c r="L1069" s="210" t="s">
        <v>6409</v>
      </c>
      <c r="M1069" s="212" t="s">
        <v>4129</v>
      </c>
      <c r="N1069" s="212"/>
      <c r="O1069" s="218"/>
      <c r="P1069" s="212">
        <v>4590006256</v>
      </c>
      <c r="Q1069" s="214">
        <v>44836</v>
      </c>
      <c r="R1069" s="334" t="s">
        <v>6410</v>
      </c>
      <c r="S1069" s="461">
        <v>3298.32</v>
      </c>
      <c r="T1069" s="217" t="s">
        <v>2253</v>
      </c>
      <c r="U1069" s="209" t="s">
        <v>6317</v>
      </c>
      <c r="V1069" s="414" t="s">
        <v>3662</v>
      </c>
      <c r="W1069" s="213" t="s">
        <v>3663</v>
      </c>
      <c r="X1069" s="213"/>
      <c r="Y1069" s="218" t="s">
        <v>3652</v>
      </c>
      <c r="Z1069" s="218"/>
      <c r="AA1069" s="212"/>
      <c r="AB1069" s="209"/>
      <c r="AC1069" s="218"/>
      <c r="AD1069" s="218"/>
      <c r="AE1069" s="218"/>
      <c r="AF1069" s="421" t="s">
        <v>6411</v>
      </c>
      <c r="AG1069" s="217" t="s">
        <v>2981</v>
      </c>
      <c r="AH1069" s="218" t="s">
        <v>3828</v>
      </c>
      <c r="AI1069" s="217" t="s">
        <v>6120</v>
      </c>
      <c r="AJ1069" s="218" t="s">
        <v>6412</v>
      </c>
      <c r="AK1069" s="217"/>
      <c r="AL1069" s="220"/>
      <c r="AM1069" s="449"/>
      <c r="AN1069" s="227"/>
      <c r="AO1069" s="208"/>
      <c r="AP1069" s="220"/>
      <c r="AR1069" s="227"/>
      <c r="AS1069" s="614">
        <f ca="1">表格1_6[[#This Row],[total amount]]/表格1_6[[#This Row],[PO$]]</f>
        <v>0</v>
      </c>
      <c r="AT1069" s="318">
        <f ca="1">表格1_6[[#This Row],[invoice amount]]+表格1_6[[#This Row],[invoice amount2]]</f>
        <v>0</v>
      </c>
      <c r="AV1069" s="208"/>
      <c r="AW1069" s="208" t="e">
        <f ca="1">VLOOKUP(表格1_6[[#This Row],[TI tool ID2]],工作表1!A:A,1,FALSE)</f>
        <v>#N/A</v>
      </c>
      <c r="AX1069" s="341" t="e">
        <f ca="1">VLOOKUP(表格1_6[[#This Row],[PO+ITEM]],工作表1!B:E,2,FALSE)</f>
        <v>#N/A</v>
      </c>
      <c r="AY1069" s="341" t="e">
        <f ca="1">VLOOKUP(表格1_6[[#This Row],[PO+ITEM]],工作表1!B:E,3,FALSE)</f>
        <v>#N/A</v>
      </c>
      <c r="AZ1069" s="208" t="e">
        <f ca="1">VLOOKUP(表格1_6[[#This Row],[PO+ITEM]],工作表1!B:E,4,FALSE)</f>
        <v>#N/A</v>
      </c>
      <c r="BA1069" s="425" t="e">
        <f ca="1">INDEX(工作表1!G:G, MATCH(表格1_6[[#This Row],[invoice number]]&amp;表格1_6[[#This Row],[invoice number2]],工作表1!G:G, 0))</f>
        <v>#N/A</v>
      </c>
      <c r="BB1069" s="208" t="e">
        <f ca="1">VLOOKUP(表格1_6[[#This Row],[PO+ITEM]],工作表1!F:H,2,FALSE)</f>
        <v>#N/A</v>
      </c>
    </row>
    <row r="1070" spans="1:54" ht="14.45">
      <c r="A1070" s="413">
        <v>1069</v>
      </c>
      <c r="B1070" s="220" t="s">
        <v>3659</v>
      </c>
      <c r="C1070" s="209" t="s">
        <v>16</v>
      </c>
      <c r="D1070" s="209" t="s">
        <v>3648</v>
      </c>
      <c r="E1070" s="209"/>
      <c r="F1070" s="209"/>
      <c r="G1070" s="209"/>
      <c r="H1070" s="209"/>
      <c r="I1070" s="209"/>
      <c r="J1070" s="209"/>
      <c r="K1070" s="209"/>
      <c r="L1070" s="210" t="s">
        <v>6413</v>
      </c>
      <c r="M1070" s="212" t="s">
        <v>4129</v>
      </c>
      <c r="N1070" s="212"/>
      <c r="O1070" s="218"/>
      <c r="P1070" s="212">
        <v>4590006256</v>
      </c>
      <c r="Q1070" s="214">
        <v>44836</v>
      </c>
      <c r="R1070" s="334" t="s">
        <v>6414</v>
      </c>
      <c r="S1070" s="461">
        <v>3298.32</v>
      </c>
      <c r="T1070" s="217" t="s">
        <v>2253</v>
      </c>
      <c r="U1070" s="209" t="s">
        <v>6317</v>
      </c>
      <c r="V1070" s="414" t="s">
        <v>3662</v>
      </c>
      <c r="W1070" s="213" t="s">
        <v>3663</v>
      </c>
      <c r="X1070" s="213"/>
      <c r="Y1070" s="218" t="s">
        <v>3652</v>
      </c>
      <c r="Z1070" s="218"/>
      <c r="AA1070" s="212"/>
      <c r="AB1070" s="209"/>
      <c r="AC1070" s="218"/>
      <c r="AD1070" s="218"/>
      <c r="AE1070" s="218"/>
      <c r="AF1070" s="421" t="s">
        <v>6415</v>
      </c>
      <c r="AG1070" s="217" t="s">
        <v>2983</v>
      </c>
      <c r="AH1070" s="218" t="s">
        <v>3828</v>
      </c>
      <c r="AI1070" s="217" t="s">
        <v>6120</v>
      </c>
      <c r="AJ1070" s="218" t="s">
        <v>6416</v>
      </c>
      <c r="AK1070" s="217"/>
      <c r="AL1070" s="220"/>
      <c r="AM1070" s="449"/>
      <c r="AN1070" s="227"/>
      <c r="AO1070" s="208"/>
      <c r="AP1070" s="220"/>
      <c r="AR1070" s="227"/>
      <c r="AS1070" s="614">
        <f ca="1">表格1_6[[#This Row],[total amount]]/表格1_6[[#This Row],[PO$]]</f>
        <v>0</v>
      </c>
      <c r="AT1070" s="318">
        <f ca="1">表格1_6[[#This Row],[invoice amount]]+表格1_6[[#This Row],[invoice amount2]]</f>
        <v>0</v>
      </c>
      <c r="AV1070" s="208"/>
      <c r="AW1070" s="208" t="e">
        <f ca="1">VLOOKUP(表格1_6[[#This Row],[TI tool ID2]],工作表1!A:A,1,FALSE)</f>
        <v>#N/A</v>
      </c>
      <c r="AX1070" s="341" t="e">
        <f ca="1">VLOOKUP(表格1_6[[#This Row],[PO+ITEM]],工作表1!B:E,2,FALSE)</f>
        <v>#N/A</v>
      </c>
      <c r="AY1070" s="341" t="e">
        <f ca="1">VLOOKUP(表格1_6[[#This Row],[PO+ITEM]],工作表1!B:E,3,FALSE)</f>
        <v>#N/A</v>
      </c>
      <c r="AZ1070" s="208" t="e">
        <f ca="1">VLOOKUP(表格1_6[[#This Row],[PO+ITEM]],工作表1!B:E,4,FALSE)</f>
        <v>#N/A</v>
      </c>
      <c r="BA1070" s="425" t="e">
        <f ca="1">INDEX(工作表1!G:G, MATCH(表格1_6[[#This Row],[invoice number]]&amp;表格1_6[[#This Row],[invoice number2]],工作表1!G:G, 0))</f>
        <v>#N/A</v>
      </c>
      <c r="BB1070" s="208" t="e">
        <f ca="1">VLOOKUP(表格1_6[[#This Row],[PO+ITEM]],工作表1!F:H,2,FALSE)</f>
        <v>#N/A</v>
      </c>
    </row>
    <row r="1071" spans="1:54" ht="14.45">
      <c r="A1071" s="413">
        <v>1070</v>
      </c>
      <c r="B1071" s="220" t="s">
        <v>3659</v>
      </c>
      <c r="C1071" s="209" t="s">
        <v>16</v>
      </c>
      <c r="D1071" s="209" t="s">
        <v>3648</v>
      </c>
      <c r="E1071" s="209"/>
      <c r="F1071" s="209"/>
      <c r="G1071" s="209"/>
      <c r="H1071" s="209"/>
      <c r="I1071" s="209"/>
      <c r="J1071" s="209"/>
      <c r="K1071" s="209"/>
      <c r="L1071" s="210" t="s">
        <v>6417</v>
      </c>
      <c r="M1071" s="212" t="s">
        <v>4129</v>
      </c>
      <c r="N1071" s="212"/>
      <c r="O1071" s="218"/>
      <c r="P1071" s="212">
        <v>4590006256</v>
      </c>
      <c r="Q1071" s="214">
        <v>44836</v>
      </c>
      <c r="R1071" s="334" t="s">
        <v>6418</v>
      </c>
      <c r="S1071" s="461">
        <v>3704.62</v>
      </c>
      <c r="T1071" s="217" t="s">
        <v>2253</v>
      </c>
      <c r="U1071" s="209" t="s">
        <v>6317</v>
      </c>
      <c r="V1071" s="414" t="s">
        <v>3662</v>
      </c>
      <c r="W1071" s="213" t="s">
        <v>3663</v>
      </c>
      <c r="X1071" s="213"/>
      <c r="Y1071" s="218" t="s">
        <v>3652</v>
      </c>
      <c r="Z1071" s="218"/>
      <c r="AA1071" s="212"/>
      <c r="AB1071" s="209"/>
      <c r="AC1071" s="218"/>
      <c r="AD1071" s="218"/>
      <c r="AE1071" s="218"/>
      <c r="AF1071" s="421" t="s">
        <v>6419</v>
      </c>
      <c r="AG1071" s="217" t="s">
        <v>2993</v>
      </c>
      <c r="AH1071" s="218" t="s">
        <v>3828</v>
      </c>
      <c r="AI1071" s="217" t="s">
        <v>6120</v>
      </c>
      <c r="AJ1071" s="218" t="s">
        <v>6420</v>
      </c>
      <c r="AK1071" s="217"/>
      <c r="AL1071" s="220"/>
      <c r="AM1071" s="449"/>
      <c r="AN1071" s="227"/>
      <c r="AO1071" s="208"/>
      <c r="AP1071" s="220"/>
      <c r="AR1071" s="227"/>
      <c r="AS1071" s="614">
        <f ca="1">表格1_6[[#This Row],[total amount]]/表格1_6[[#This Row],[PO$]]</f>
        <v>0</v>
      </c>
      <c r="AT1071" s="318">
        <f ca="1">表格1_6[[#This Row],[invoice amount]]+表格1_6[[#This Row],[invoice amount2]]</f>
        <v>0</v>
      </c>
      <c r="AV1071" s="208"/>
      <c r="AW1071" s="208" t="e">
        <f ca="1">VLOOKUP(表格1_6[[#This Row],[TI tool ID2]],工作表1!A:A,1,FALSE)</f>
        <v>#N/A</v>
      </c>
      <c r="AX1071" s="341" t="e">
        <f ca="1">VLOOKUP(表格1_6[[#This Row],[PO+ITEM]],工作表1!B:E,2,FALSE)</f>
        <v>#N/A</v>
      </c>
      <c r="AY1071" s="341" t="e">
        <f ca="1">VLOOKUP(表格1_6[[#This Row],[PO+ITEM]],工作表1!B:E,3,FALSE)</f>
        <v>#N/A</v>
      </c>
      <c r="AZ1071" s="208" t="e">
        <f ca="1">VLOOKUP(表格1_6[[#This Row],[PO+ITEM]],工作表1!B:E,4,FALSE)</f>
        <v>#N/A</v>
      </c>
      <c r="BA1071" s="425" t="e">
        <f ca="1">INDEX(工作表1!G:G, MATCH(表格1_6[[#This Row],[invoice number]]&amp;表格1_6[[#This Row],[invoice number2]],工作表1!G:G, 0))</f>
        <v>#N/A</v>
      </c>
      <c r="BB1071" s="208" t="e">
        <f ca="1">VLOOKUP(表格1_6[[#This Row],[PO+ITEM]],工作表1!F:H,2,FALSE)</f>
        <v>#N/A</v>
      </c>
    </row>
    <row r="1072" spans="1:54" ht="14.45">
      <c r="A1072" s="413">
        <v>1071</v>
      </c>
      <c r="B1072" s="220" t="s">
        <v>3659</v>
      </c>
      <c r="C1072" s="209" t="s">
        <v>16</v>
      </c>
      <c r="D1072" s="209" t="s">
        <v>3648</v>
      </c>
      <c r="E1072" s="209"/>
      <c r="F1072" s="209"/>
      <c r="G1072" s="209"/>
      <c r="H1072" s="209"/>
      <c r="I1072" s="209"/>
      <c r="J1072" s="209"/>
      <c r="K1072" s="209"/>
      <c r="L1072" s="210" t="s">
        <v>6421</v>
      </c>
      <c r="M1072" s="212" t="s">
        <v>4129</v>
      </c>
      <c r="N1072" s="212"/>
      <c r="O1072" s="218"/>
      <c r="P1072" s="212">
        <v>4590006256</v>
      </c>
      <c r="Q1072" s="214">
        <v>44836</v>
      </c>
      <c r="R1072" s="334" t="s">
        <v>6422</v>
      </c>
      <c r="S1072" s="461">
        <v>3298.32</v>
      </c>
      <c r="T1072" s="217" t="s">
        <v>2253</v>
      </c>
      <c r="U1072" s="209" t="s">
        <v>6317</v>
      </c>
      <c r="V1072" s="414" t="s">
        <v>3662</v>
      </c>
      <c r="W1072" s="213" t="s">
        <v>3663</v>
      </c>
      <c r="X1072" s="213"/>
      <c r="Y1072" s="218" t="s">
        <v>3652</v>
      </c>
      <c r="Z1072" s="218"/>
      <c r="AA1072" s="212"/>
      <c r="AB1072" s="209"/>
      <c r="AC1072" s="218"/>
      <c r="AD1072" s="218"/>
      <c r="AE1072" s="218"/>
      <c r="AF1072" s="421" t="s">
        <v>6423</v>
      </c>
      <c r="AG1072" s="217" t="s">
        <v>2985</v>
      </c>
      <c r="AH1072" s="218" t="s">
        <v>3828</v>
      </c>
      <c r="AI1072" s="217" t="s">
        <v>6120</v>
      </c>
      <c r="AJ1072" s="218" t="s">
        <v>6424</v>
      </c>
      <c r="AK1072" s="217"/>
      <c r="AL1072" s="220"/>
      <c r="AM1072" s="449"/>
      <c r="AN1072" s="227"/>
      <c r="AO1072" s="208"/>
      <c r="AP1072" s="220"/>
      <c r="AR1072" s="227"/>
      <c r="AS1072" s="614">
        <f ca="1">表格1_6[[#This Row],[total amount]]/表格1_6[[#This Row],[PO$]]</f>
        <v>0</v>
      </c>
      <c r="AT1072" s="318">
        <f ca="1">表格1_6[[#This Row],[invoice amount]]+表格1_6[[#This Row],[invoice amount2]]</f>
        <v>0</v>
      </c>
      <c r="AV1072" s="208"/>
      <c r="AW1072" s="208" t="e">
        <f ca="1">VLOOKUP(表格1_6[[#This Row],[TI tool ID2]],工作表1!A:A,1,FALSE)</f>
        <v>#N/A</v>
      </c>
      <c r="AX1072" s="341" t="e">
        <f ca="1">VLOOKUP(表格1_6[[#This Row],[PO+ITEM]],工作表1!B:E,2,FALSE)</f>
        <v>#N/A</v>
      </c>
      <c r="AY1072" s="341" t="e">
        <f ca="1">VLOOKUP(表格1_6[[#This Row],[PO+ITEM]],工作表1!B:E,3,FALSE)</f>
        <v>#N/A</v>
      </c>
      <c r="AZ1072" s="208" t="e">
        <f ca="1">VLOOKUP(表格1_6[[#This Row],[PO+ITEM]],工作表1!B:E,4,FALSE)</f>
        <v>#N/A</v>
      </c>
      <c r="BA1072" s="425" t="e">
        <f ca="1">INDEX(工作表1!G:G, MATCH(表格1_6[[#This Row],[invoice number]]&amp;表格1_6[[#This Row],[invoice number2]],工作表1!G:G, 0))</f>
        <v>#N/A</v>
      </c>
      <c r="BB1072" s="208" t="e">
        <f ca="1">VLOOKUP(表格1_6[[#This Row],[PO+ITEM]],工作表1!F:H,2,FALSE)</f>
        <v>#N/A</v>
      </c>
    </row>
    <row r="1073" spans="1:54" ht="14.45">
      <c r="A1073" s="413">
        <v>1072</v>
      </c>
      <c r="B1073" s="220" t="s">
        <v>3659</v>
      </c>
      <c r="C1073" s="209" t="s">
        <v>16</v>
      </c>
      <c r="D1073" s="209" t="s">
        <v>3648</v>
      </c>
      <c r="E1073" s="209"/>
      <c r="F1073" s="209"/>
      <c r="G1073" s="209"/>
      <c r="H1073" s="209"/>
      <c r="I1073" s="209"/>
      <c r="J1073" s="209"/>
      <c r="K1073" s="209"/>
      <c r="L1073" s="210" t="s">
        <v>6425</v>
      </c>
      <c r="M1073" s="212" t="s">
        <v>4129</v>
      </c>
      <c r="N1073" s="212"/>
      <c r="O1073" s="218"/>
      <c r="P1073" s="212">
        <v>4590006256</v>
      </c>
      <c r="Q1073" s="214">
        <v>44836</v>
      </c>
      <c r="R1073" s="334" t="s">
        <v>6426</v>
      </c>
      <c r="S1073" s="461">
        <v>834.4</v>
      </c>
      <c r="T1073" s="217" t="s">
        <v>2253</v>
      </c>
      <c r="U1073" s="209" t="s">
        <v>6317</v>
      </c>
      <c r="V1073" s="414" t="s">
        <v>3662</v>
      </c>
      <c r="W1073" s="213" t="s">
        <v>3663</v>
      </c>
      <c r="X1073" s="213"/>
      <c r="Y1073" s="218" t="s">
        <v>3652</v>
      </c>
      <c r="Z1073" s="218"/>
      <c r="AA1073" s="212"/>
      <c r="AB1073" s="209"/>
      <c r="AC1073" s="218"/>
      <c r="AD1073" s="218"/>
      <c r="AE1073" s="218"/>
      <c r="AF1073" s="421" t="s">
        <v>6427</v>
      </c>
      <c r="AG1073" s="217" t="s">
        <v>6428</v>
      </c>
      <c r="AH1073" s="218" t="s">
        <v>3828</v>
      </c>
      <c r="AI1073" s="217" t="s">
        <v>846</v>
      </c>
      <c r="AJ1073" s="218" t="s">
        <v>6429</v>
      </c>
      <c r="AK1073" s="217"/>
      <c r="AL1073" s="220"/>
      <c r="AM1073" s="449"/>
      <c r="AN1073" s="227"/>
      <c r="AO1073" s="208"/>
      <c r="AP1073" s="220"/>
      <c r="AR1073" s="227"/>
      <c r="AS1073" s="614">
        <f ca="1">表格1_6[[#This Row],[total amount]]/表格1_6[[#This Row],[PO$]]</f>
        <v>0</v>
      </c>
      <c r="AT1073" s="318">
        <f ca="1">表格1_6[[#This Row],[invoice amount]]+表格1_6[[#This Row],[invoice amount2]]</f>
        <v>0</v>
      </c>
      <c r="AV1073" s="208"/>
      <c r="AW1073" s="208" t="e">
        <f ca="1">VLOOKUP(表格1_6[[#This Row],[TI tool ID2]],工作表1!A:A,1,FALSE)</f>
        <v>#N/A</v>
      </c>
      <c r="AX1073" s="341" t="e">
        <f ca="1">VLOOKUP(表格1_6[[#This Row],[PO+ITEM]],工作表1!B:E,2,FALSE)</f>
        <v>#N/A</v>
      </c>
      <c r="AY1073" s="341" t="e">
        <f ca="1">VLOOKUP(表格1_6[[#This Row],[PO+ITEM]],工作表1!B:E,3,FALSE)</f>
        <v>#N/A</v>
      </c>
      <c r="AZ1073" s="208" t="e">
        <f ca="1">VLOOKUP(表格1_6[[#This Row],[PO+ITEM]],工作表1!B:E,4,FALSE)</f>
        <v>#N/A</v>
      </c>
      <c r="BA1073" s="425" t="e">
        <f ca="1">INDEX(工作表1!G:G, MATCH(表格1_6[[#This Row],[invoice number]]&amp;表格1_6[[#This Row],[invoice number2]],工作表1!G:G, 0))</f>
        <v>#N/A</v>
      </c>
      <c r="BB1073" s="208" t="e">
        <f ca="1">VLOOKUP(表格1_6[[#This Row],[PO+ITEM]],工作表1!F:H,2,FALSE)</f>
        <v>#N/A</v>
      </c>
    </row>
    <row r="1074" spans="1:54" ht="14.45">
      <c r="A1074" s="413">
        <v>1073</v>
      </c>
      <c r="B1074" s="220" t="s">
        <v>3659</v>
      </c>
      <c r="C1074" s="209" t="s">
        <v>16</v>
      </c>
      <c r="D1074" s="209" t="s">
        <v>3648</v>
      </c>
      <c r="E1074" s="209"/>
      <c r="F1074" s="209"/>
      <c r="G1074" s="209"/>
      <c r="H1074" s="209"/>
      <c r="I1074" s="209"/>
      <c r="J1074" s="209"/>
      <c r="K1074" s="209"/>
      <c r="L1074" s="210" t="s">
        <v>6430</v>
      </c>
      <c r="M1074" s="212" t="s">
        <v>4129</v>
      </c>
      <c r="N1074" s="212"/>
      <c r="O1074" s="218"/>
      <c r="P1074" s="212">
        <v>4590006256</v>
      </c>
      <c r="Q1074" s="214">
        <v>44836</v>
      </c>
      <c r="R1074" s="334" t="s">
        <v>6431</v>
      </c>
      <c r="S1074" s="461">
        <v>1240.69</v>
      </c>
      <c r="T1074" s="217" t="s">
        <v>2253</v>
      </c>
      <c r="U1074" s="209" t="s">
        <v>6317</v>
      </c>
      <c r="V1074" s="414" t="s">
        <v>3662</v>
      </c>
      <c r="W1074" s="213" t="s">
        <v>3663</v>
      </c>
      <c r="X1074" s="213"/>
      <c r="Y1074" s="218" t="s">
        <v>3652</v>
      </c>
      <c r="Z1074" s="218"/>
      <c r="AA1074" s="212"/>
      <c r="AB1074" s="209"/>
      <c r="AC1074" s="218"/>
      <c r="AD1074" s="218"/>
      <c r="AE1074" s="218"/>
      <c r="AF1074" s="421" t="s">
        <v>6432</v>
      </c>
      <c r="AG1074" s="217" t="s">
        <v>6433</v>
      </c>
      <c r="AH1074" s="218" t="s">
        <v>3828</v>
      </c>
      <c r="AI1074" s="217" t="s">
        <v>846</v>
      </c>
      <c r="AJ1074" s="218" t="s">
        <v>6434</v>
      </c>
      <c r="AK1074" s="217"/>
      <c r="AL1074" s="220"/>
      <c r="AM1074" s="449"/>
      <c r="AN1074" s="227"/>
      <c r="AO1074" s="208"/>
      <c r="AP1074" s="220"/>
      <c r="AR1074" s="227"/>
      <c r="AS1074" s="614">
        <f ca="1">表格1_6[[#This Row],[total amount]]/表格1_6[[#This Row],[PO$]]</f>
        <v>0</v>
      </c>
      <c r="AT1074" s="318">
        <f ca="1">表格1_6[[#This Row],[invoice amount]]+表格1_6[[#This Row],[invoice amount2]]</f>
        <v>0</v>
      </c>
      <c r="AV1074" s="208"/>
      <c r="AW1074" s="208" t="e">
        <f ca="1">VLOOKUP(表格1_6[[#This Row],[TI tool ID2]],工作表1!A:A,1,FALSE)</f>
        <v>#N/A</v>
      </c>
      <c r="AX1074" s="341" t="e">
        <f ca="1">VLOOKUP(表格1_6[[#This Row],[PO+ITEM]],工作表1!B:E,2,FALSE)</f>
        <v>#N/A</v>
      </c>
      <c r="AY1074" s="341" t="e">
        <f ca="1">VLOOKUP(表格1_6[[#This Row],[PO+ITEM]],工作表1!B:E,3,FALSE)</f>
        <v>#N/A</v>
      </c>
      <c r="AZ1074" s="208" t="e">
        <f ca="1">VLOOKUP(表格1_6[[#This Row],[PO+ITEM]],工作表1!B:E,4,FALSE)</f>
        <v>#N/A</v>
      </c>
      <c r="BA1074" s="425" t="e">
        <f ca="1">INDEX(工作表1!G:G, MATCH(表格1_6[[#This Row],[invoice number]]&amp;表格1_6[[#This Row],[invoice number2]],工作表1!G:G, 0))</f>
        <v>#N/A</v>
      </c>
      <c r="BB1074" s="208" t="e">
        <f ca="1">VLOOKUP(表格1_6[[#This Row],[PO+ITEM]],工作表1!F:H,2,FALSE)</f>
        <v>#N/A</v>
      </c>
    </row>
    <row r="1075" spans="1:54" ht="14.45">
      <c r="A1075" s="413">
        <v>1074</v>
      </c>
      <c r="B1075" s="220" t="s">
        <v>3659</v>
      </c>
      <c r="C1075" s="209" t="s">
        <v>16</v>
      </c>
      <c r="D1075" s="209" t="s">
        <v>3648</v>
      </c>
      <c r="E1075" s="209"/>
      <c r="F1075" s="209"/>
      <c r="G1075" s="209"/>
      <c r="H1075" s="209"/>
      <c r="I1075" s="209"/>
      <c r="J1075" s="209"/>
      <c r="K1075" s="209"/>
      <c r="L1075" s="210" t="s">
        <v>6435</v>
      </c>
      <c r="M1075" s="212" t="s">
        <v>4129</v>
      </c>
      <c r="N1075" s="212"/>
      <c r="O1075" s="218"/>
      <c r="P1075" s="212">
        <v>4590006256</v>
      </c>
      <c r="Q1075" s="214">
        <v>44836</v>
      </c>
      <c r="R1075" s="334" t="s">
        <v>6436</v>
      </c>
      <c r="S1075" s="461">
        <v>1240.69</v>
      </c>
      <c r="T1075" s="217" t="s">
        <v>2253</v>
      </c>
      <c r="U1075" s="209" t="s">
        <v>6317</v>
      </c>
      <c r="V1075" s="414" t="s">
        <v>3662</v>
      </c>
      <c r="W1075" s="213" t="s">
        <v>3663</v>
      </c>
      <c r="X1075" s="213"/>
      <c r="Y1075" s="218" t="s">
        <v>3652</v>
      </c>
      <c r="Z1075" s="218"/>
      <c r="AA1075" s="212"/>
      <c r="AB1075" s="209"/>
      <c r="AC1075" s="218"/>
      <c r="AD1075" s="218"/>
      <c r="AE1075" s="218"/>
      <c r="AF1075" s="421" t="s">
        <v>6437</v>
      </c>
      <c r="AG1075" s="217" t="s">
        <v>3311</v>
      </c>
      <c r="AH1075" s="218" t="s">
        <v>3828</v>
      </c>
      <c r="AI1075" s="217" t="s">
        <v>3666</v>
      </c>
      <c r="AJ1075" s="218" t="s">
        <v>6438</v>
      </c>
      <c r="AK1075" s="217"/>
      <c r="AL1075" s="220"/>
      <c r="AM1075" s="449"/>
      <c r="AN1075" s="227"/>
      <c r="AO1075" s="208"/>
      <c r="AP1075" s="220"/>
      <c r="AR1075" s="227"/>
      <c r="AS1075" s="614">
        <f ca="1">表格1_6[[#This Row],[total amount]]/表格1_6[[#This Row],[PO$]]</f>
        <v>0</v>
      </c>
      <c r="AT1075" s="318">
        <f ca="1">表格1_6[[#This Row],[invoice amount]]+表格1_6[[#This Row],[invoice amount2]]</f>
        <v>0</v>
      </c>
      <c r="AV1075" s="208"/>
      <c r="AW1075" s="208" t="e">
        <f ca="1">VLOOKUP(表格1_6[[#This Row],[TI tool ID2]],工作表1!A:A,1,FALSE)</f>
        <v>#N/A</v>
      </c>
      <c r="AX1075" s="341" t="e">
        <f ca="1">VLOOKUP(表格1_6[[#This Row],[PO+ITEM]],工作表1!B:E,2,FALSE)</f>
        <v>#N/A</v>
      </c>
      <c r="AY1075" s="341" t="e">
        <f ca="1">VLOOKUP(表格1_6[[#This Row],[PO+ITEM]],工作表1!B:E,3,FALSE)</f>
        <v>#N/A</v>
      </c>
      <c r="AZ1075" s="208" t="e">
        <f ca="1">VLOOKUP(表格1_6[[#This Row],[PO+ITEM]],工作表1!B:E,4,FALSE)</f>
        <v>#N/A</v>
      </c>
      <c r="BA1075" s="425" t="e">
        <f ca="1">INDEX(工作表1!G:G, MATCH(表格1_6[[#This Row],[invoice number]]&amp;表格1_6[[#This Row],[invoice number2]],工作表1!G:G, 0))</f>
        <v>#N/A</v>
      </c>
      <c r="BB1075" s="208" t="e">
        <f ca="1">VLOOKUP(表格1_6[[#This Row],[PO+ITEM]],工作表1!F:H,2,FALSE)</f>
        <v>#N/A</v>
      </c>
    </row>
    <row r="1076" spans="1:54" ht="14.45">
      <c r="A1076" s="413">
        <v>1075</v>
      </c>
      <c r="B1076" s="220" t="s">
        <v>3659</v>
      </c>
      <c r="C1076" s="209" t="s">
        <v>16</v>
      </c>
      <c r="D1076" s="209" t="s">
        <v>3648</v>
      </c>
      <c r="E1076" s="209"/>
      <c r="F1076" s="209"/>
      <c r="G1076" s="209"/>
      <c r="H1076" s="209"/>
      <c r="I1076" s="209"/>
      <c r="J1076" s="209"/>
      <c r="K1076" s="209"/>
      <c r="L1076" s="210" t="s">
        <v>6439</v>
      </c>
      <c r="M1076" s="212" t="s">
        <v>4129</v>
      </c>
      <c r="N1076" s="212"/>
      <c r="O1076" s="218"/>
      <c r="P1076" s="212">
        <v>4590006256</v>
      </c>
      <c r="Q1076" s="214">
        <v>44836</v>
      </c>
      <c r="R1076" s="334" t="s">
        <v>6440</v>
      </c>
      <c r="S1076" s="461">
        <v>2459.56</v>
      </c>
      <c r="T1076" s="217" t="s">
        <v>2253</v>
      </c>
      <c r="U1076" s="209" t="s">
        <v>6317</v>
      </c>
      <c r="V1076" s="414" t="s">
        <v>3662</v>
      </c>
      <c r="W1076" s="213" t="s">
        <v>3663</v>
      </c>
      <c r="X1076" s="213"/>
      <c r="Y1076" s="218" t="s">
        <v>3652</v>
      </c>
      <c r="Z1076" s="218"/>
      <c r="AA1076" s="212"/>
      <c r="AB1076" s="209"/>
      <c r="AC1076" s="218"/>
      <c r="AD1076" s="218"/>
      <c r="AE1076" s="218"/>
      <c r="AF1076" s="421" t="s">
        <v>6441</v>
      </c>
      <c r="AG1076" s="217" t="s">
        <v>3266</v>
      </c>
      <c r="AH1076" s="218" t="s">
        <v>3828</v>
      </c>
      <c r="AI1076" s="217" t="s">
        <v>3666</v>
      </c>
      <c r="AJ1076" s="218" t="s">
        <v>6442</v>
      </c>
      <c r="AK1076" s="217"/>
      <c r="AL1076" s="220"/>
      <c r="AM1076" s="449"/>
      <c r="AN1076" s="227"/>
      <c r="AO1076" s="208"/>
      <c r="AP1076" s="220"/>
      <c r="AR1076" s="227"/>
      <c r="AS1076" s="614">
        <f ca="1">表格1_6[[#This Row],[total amount]]/表格1_6[[#This Row],[PO$]]</f>
        <v>0</v>
      </c>
      <c r="AT1076" s="318">
        <f ca="1">表格1_6[[#This Row],[invoice amount]]+表格1_6[[#This Row],[invoice amount2]]</f>
        <v>0</v>
      </c>
      <c r="AV1076" s="208"/>
      <c r="AW1076" s="208" t="e">
        <f ca="1">VLOOKUP(表格1_6[[#This Row],[TI tool ID2]],工作表1!A:A,1,FALSE)</f>
        <v>#N/A</v>
      </c>
      <c r="AX1076" s="341" t="e">
        <f ca="1">VLOOKUP(表格1_6[[#This Row],[PO+ITEM]],工作表1!B:E,2,FALSE)</f>
        <v>#N/A</v>
      </c>
      <c r="AY1076" s="341" t="e">
        <f ca="1">VLOOKUP(表格1_6[[#This Row],[PO+ITEM]],工作表1!B:E,3,FALSE)</f>
        <v>#N/A</v>
      </c>
      <c r="AZ1076" s="208" t="e">
        <f ca="1">VLOOKUP(表格1_6[[#This Row],[PO+ITEM]],工作表1!B:E,4,FALSE)</f>
        <v>#N/A</v>
      </c>
      <c r="BA1076" s="425" t="e">
        <f ca="1">INDEX(工作表1!G:G, MATCH(表格1_6[[#This Row],[invoice number]]&amp;表格1_6[[#This Row],[invoice number2]],工作表1!G:G, 0))</f>
        <v>#N/A</v>
      </c>
      <c r="BB1076" s="208" t="e">
        <f ca="1">VLOOKUP(表格1_6[[#This Row],[PO+ITEM]],工作表1!F:H,2,FALSE)</f>
        <v>#N/A</v>
      </c>
    </row>
    <row r="1077" spans="1:54" ht="14.45">
      <c r="A1077" s="413">
        <v>1076</v>
      </c>
      <c r="B1077" s="413" t="s">
        <v>3674</v>
      </c>
      <c r="C1077" s="209" t="s">
        <v>17</v>
      </c>
      <c r="D1077" s="209" t="s">
        <v>3648</v>
      </c>
      <c r="E1077" s="209"/>
      <c r="F1077" s="209"/>
      <c r="G1077" s="209" t="s">
        <v>2196</v>
      </c>
      <c r="H1077" s="209"/>
      <c r="I1077" s="218"/>
      <c r="J1077" s="218"/>
      <c r="K1077" s="218"/>
      <c r="L1077" s="212" t="s">
        <v>6443</v>
      </c>
      <c r="M1077" s="212" t="s">
        <v>4072</v>
      </c>
      <c r="N1077" s="212"/>
      <c r="O1077" s="218"/>
      <c r="P1077" s="212">
        <v>4590022409</v>
      </c>
      <c r="Q1077" s="214">
        <v>45546</v>
      </c>
      <c r="R1077" s="426">
        <v>1</v>
      </c>
      <c r="S1077" s="575">
        <v>3294.06</v>
      </c>
      <c r="T1077" s="217" t="s">
        <v>2156</v>
      </c>
      <c r="U1077" s="209" t="s">
        <v>6444</v>
      </c>
      <c r="V1077" s="414" t="s">
        <v>4031</v>
      </c>
      <c r="W1077" s="213" t="s">
        <v>6076</v>
      </c>
      <c r="X1077" s="213"/>
      <c r="Y1077" s="218" t="s">
        <v>3652</v>
      </c>
      <c r="Z1077" s="218"/>
      <c r="AA1077" s="212" t="s">
        <v>6302</v>
      </c>
      <c r="AB1077" s="209" t="s">
        <v>6445</v>
      </c>
      <c r="AC1077" s="218"/>
      <c r="AD1077" s="218"/>
      <c r="AE1077" s="218"/>
      <c r="AF1077" s="421" t="s">
        <v>6446</v>
      </c>
      <c r="AG1077" s="217" t="s">
        <v>3769</v>
      </c>
      <c r="AH1077" s="218" t="s">
        <v>3770</v>
      </c>
      <c r="AI1077" s="217" t="s">
        <v>3719</v>
      </c>
      <c r="AJ1077" s="413">
        <f>P1077</f>
        <v>4590022409</v>
      </c>
      <c r="AK1077" s="425" t="s">
        <v>6447</v>
      </c>
      <c r="AL1077" s="424">
        <v>45548</v>
      </c>
      <c r="AM1077" s="273">
        <v>3294.06</v>
      </c>
      <c r="AN1077" s="227"/>
      <c r="AO1077" s="208"/>
      <c r="AP1077" s="220"/>
      <c r="AR1077" s="227"/>
      <c r="AS1077" s="614">
        <f ca="1">表格1_6[[#This Row],[total amount]]/表格1_6[[#This Row],[PO$]]</f>
        <v>1</v>
      </c>
      <c r="AT1077" s="318">
        <f ca="1">表格1_6[[#This Row],[invoice amount]]+表格1_6[[#This Row],[invoice amount2]]</f>
        <v>3294.06</v>
      </c>
      <c r="AU1077" s="300" t="s">
        <v>3701</v>
      </c>
      <c r="AV1077" s="208"/>
      <c r="AW1077" s="208" t="e">
        <f ca="1">VLOOKUP(表格1_6[[#This Row],[TI tool ID2]],工作表1!A:A,1,FALSE)</f>
        <v>#N/A</v>
      </c>
      <c r="AX1077" s="341" t="e">
        <f ca="1">VLOOKUP(表格1_6[[#This Row],[PO+ITEM]],工作表1!B:E,2,FALSE)</f>
        <v>#N/A</v>
      </c>
      <c r="AY1077" s="341" t="e">
        <f ca="1">VLOOKUP(表格1_6[[#This Row],[PO+ITEM]],工作表1!B:E,3,FALSE)</f>
        <v>#N/A</v>
      </c>
      <c r="AZ1077" s="208" t="e">
        <f ca="1">VLOOKUP(表格1_6[[#This Row],[PO+ITEM]],工作表1!B:E,4,FALSE)</f>
        <v>#N/A</v>
      </c>
      <c r="BA1077" s="425" t="e">
        <f ca="1">INDEX(工作表1!G:G, MATCH(表格1_6[[#This Row],[invoice number]]&amp;表格1_6[[#This Row],[invoice number2]],工作表1!G:G, 0))</f>
        <v>#N/A</v>
      </c>
      <c r="BB1077" s="208" t="e">
        <f ca="1">VLOOKUP(表格1_6[[#This Row],[PO+ITEM]],工作表1!F:H,2,FALSE)</f>
        <v>#N/A</v>
      </c>
    </row>
    <row r="1078" spans="1:54" ht="14.45">
      <c r="A1078" s="413">
        <v>1077</v>
      </c>
      <c r="B1078" s="413" t="s">
        <v>3674</v>
      </c>
      <c r="C1078" s="209" t="s">
        <v>17</v>
      </c>
      <c r="D1078" s="209" t="s">
        <v>3648</v>
      </c>
      <c r="E1078" s="209"/>
      <c r="F1078" s="209"/>
      <c r="G1078" s="209" t="s">
        <v>2196</v>
      </c>
      <c r="H1078" s="209"/>
      <c r="I1078" s="218"/>
      <c r="J1078" s="218"/>
      <c r="K1078" s="218"/>
      <c r="L1078" s="212" t="s">
        <v>6448</v>
      </c>
      <c r="M1078" s="212" t="s">
        <v>4072</v>
      </c>
      <c r="N1078" s="212"/>
      <c r="O1078" s="218"/>
      <c r="P1078" s="212">
        <v>4590022410</v>
      </c>
      <c r="Q1078" s="214">
        <v>45546</v>
      </c>
      <c r="R1078" s="426">
        <v>1</v>
      </c>
      <c r="S1078" s="575">
        <v>3294.06</v>
      </c>
      <c r="T1078" s="217" t="s">
        <v>2156</v>
      </c>
      <c r="U1078" s="209" t="s">
        <v>6449</v>
      </c>
      <c r="V1078" s="414" t="s">
        <v>4031</v>
      </c>
      <c r="W1078" s="213" t="s">
        <v>6076</v>
      </c>
      <c r="X1078" s="213"/>
      <c r="Y1078" s="218" t="s">
        <v>3652</v>
      </c>
      <c r="Z1078" s="218"/>
      <c r="AA1078" s="212" t="s">
        <v>6302</v>
      </c>
      <c r="AB1078" s="209" t="s">
        <v>6450</v>
      </c>
      <c r="AC1078" s="218"/>
      <c r="AD1078" s="218"/>
      <c r="AE1078" s="218"/>
      <c r="AF1078" s="421" t="s">
        <v>6451</v>
      </c>
      <c r="AG1078" s="217" t="s">
        <v>3783</v>
      </c>
      <c r="AH1078" s="218" t="s">
        <v>3770</v>
      </c>
      <c r="AI1078" s="217" t="s">
        <v>3719</v>
      </c>
      <c r="AJ1078" s="413">
        <f>P1078</f>
        <v>4590022410</v>
      </c>
      <c r="AK1078" s="425" t="s">
        <v>6452</v>
      </c>
      <c r="AL1078" s="424">
        <v>45548</v>
      </c>
      <c r="AM1078" s="273">
        <v>3294.06</v>
      </c>
      <c r="AN1078" s="227"/>
      <c r="AO1078" s="208"/>
      <c r="AP1078" s="220"/>
      <c r="AR1078" s="227"/>
      <c r="AS1078" s="614">
        <f ca="1">表格1_6[[#This Row],[total amount]]/表格1_6[[#This Row],[PO$]]</f>
        <v>1</v>
      </c>
      <c r="AT1078" s="318">
        <f ca="1">表格1_6[[#This Row],[invoice amount]]+表格1_6[[#This Row],[invoice amount2]]</f>
        <v>3294.06</v>
      </c>
      <c r="AU1078" s="300" t="s">
        <v>3701</v>
      </c>
      <c r="AV1078" s="208"/>
      <c r="AW1078" s="208" t="e">
        <f ca="1">VLOOKUP(表格1_6[[#This Row],[TI tool ID2]],工作表1!A:A,1,FALSE)</f>
        <v>#N/A</v>
      </c>
      <c r="AX1078" s="341" t="e">
        <f ca="1">VLOOKUP(表格1_6[[#This Row],[PO+ITEM]],工作表1!B:E,2,FALSE)</f>
        <v>#N/A</v>
      </c>
      <c r="AY1078" s="341" t="e">
        <f ca="1">VLOOKUP(表格1_6[[#This Row],[PO+ITEM]],工作表1!B:E,3,FALSE)</f>
        <v>#N/A</v>
      </c>
      <c r="AZ1078" s="208" t="e">
        <f ca="1">VLOOKUP(表格1_6[[#This Row],[PO+ITEM]],工作表1!B:E,4,FALSE)</f>
        <v>#N/A</v>
      </c>
      <c r="BA1078" s="425" t="e">
        <f ca="1">INDEX(工作表1!G:G, MATCH(表格1_6[[#This Row],[invoice number]]&amp;表格1_6[[#This Row],[invoice number2]],工作表1!G:G, 0))</f>
        <v>#N/A</v>
      </c>
      <c r="BB1078" s="208" t="e">
        <f ca="1">VLOOKUP(表格1_6[[#This Row],[PO+ITEM]],工作表1!F:H,2,FALSE)</f>
        <v>#N/A</v>
      </c>
    </row>
    <row r="1079" spans="1:54" ht="14.45">
      <c r="A1079" s="413">
        <v>1078</v>
      </c>
      <c r="B1079" s="413" t="s">
        <v>3674</v>
      </c>
      <c r="C1079" s="209" t="s">
        <v>17</v>
      </c>
      <c r="D1079" s="209" t="s">
        <v>3648</v>
      </c>
      <c r="E1079" s="209"/>
      <c r="F1079" s="209"/>
      <c r="G1079" s="209" t="s">
        <v>2196</v>
      </c>
      <c r="H1079" s="209"/>
      <c r="I1079" s="218"/>
      <c r="J1079" s="218"/>
      <c r="K1079" s="218"/>
      <c r="L1079" s="212" t="s">
        <v>6453</v>
      </c>
      <c r="M1079" s="212" t="s">
        <v>4072</v>
      </c>
      <c r="N1079" s="212"/>
      <c r="O1079" s="218"/>
      <c r="P1079" s="212">
        <v>4590022411</v>
      </c>
      <c r="Q1079" s="214">
        <v>45546</v>
      </c>
      <c r="R1079" s="426">
        <v>1</v>
      </c>
      <c r="S1079" s="575">
        <v>3294.06</v>
      </c>
      <c r="T1079" s="217" t="s">
        <v>2156</v>
      </c>
      <c r="U1079" s="209" t="s">
        <v>6454</v>
      </c>
      <c r="V1079" s="414" t="s">
        <v>4031</v>
      </c>
      <c r="W1079" s="213" t="s">
        <v>6076</v>
      </c>
      <c r="X1079" s="213"/>
      <c r="Y1079" s="218" t="s">
        <v>3652</v>
      </c>
      <c r="Z1079" s="218"/>
      <c r="AA1079" s="212" t="s">
        <v>6302</v>
      </c>
      <c r="AB1079" s="209" t="s">
        <v>6455</v>
      </c>
      <c r="AC1079" s="218"/>
      <c r="AD1079" s="218"/>
      <c r="AE1079" s="218"/>
      <c r="AF1079" s="421" t="s">
        <v>6456</v>
      </c>
      <c r="AG1079" s="217" t="s">
        <v>4402</v>
      </c>
      <c r="AH1079" s="218" t="s">
        <v>3770</v>
      </c>
      <c r="AI1079" s="217" t="s">
        <v>3719</v>
      </c>
      <c r="AJ1079" s="413">
        <f>P1079</f>
        <v>4590022411</v>
      </c>
      <c r="AK1079" s="425" t="s">
        <v>6457</v>
      </c>
      <c r="AL1079" s="424">
        <v>45548</v>
      </c>
      <c r="AM1079" s="273">
        <v>3294.06</v>
      </c>
      <c r="AN1079" s="227"/>
      <c r="AO1079" s="208"/>
      <c r="AP1079" s="220"/>
      <c r="AR1079" s="227"/>
      <c r="AS1079" s="614">
        <f ca="1">表格1_6[[#This Row],[total amount]]/表格1_6[[#This Row],[PO$]]</f>
        <v>1</v>
      </c>
      <c r="AT1079" s="318">
        <f ca="1">表格1_6[[#This Row],[invoice amount]]+表格1_6[[#This Row],[invoice amount2]]</f>
        <v>3294.06</v>
      </c>
      <c r="AU1079" s="300" t="s">
        <v>3701</v>
      </c>
      <c r="AV1079" s="208"/>
      <c r="AW1079" s="208" t="e">
        <f ca="1">VLOOKUP(表格1_6[[#This Row],[TI tool ID2]],工作表1!A:A,1,FALSE)</f>
        <v>#N/A</v>
      </c>
      <c r="AX1079" s="341" t="e">
        <f ca="1">VLOOKUP(表格1_6[[#This Row],[PO+ITEM]],工作表1!B:E,2,FALSE)</f>
        <v>#N/A</v>
      </c>
      <c r="AY1079" s="341" t="e">
        <f ca="1">VLOOKUP(表格1_6[[#This Row],[PO+ITEM]],工作表1!B:E,3,FALSE)</f>
        <v>#N/A</v>
      </c>
      <c r="AZ1079" s="208" t="e">
        <f ca="1">VLOOKUP(表格1_6[[#This Row],[PO+ITEM]],工作表1!B:E,4,FALSE)</f>
        <v>#N/A</v>
      </c>
      <c r="BA1079" s="425" t="e">
        <f ca="1">INDEX(工作表1!G:G, MATCH(表格1_6[[#This Row],[invoice number]]&amp;表格1_6[[#This Row],[invoice number2]],工作表1!G:G, 0))</f>
        <v>#N/A</v>
      </c>
      <c r="BB1079" s="208" t="e">
        <f ca="1">VLOOKUP(表格1_6[[#This Row],[PO+ITEM]],工作表1!F:H,2,FALSE)</f>
        <v>#N/A</v>
      </c>
    </row>
    <row r="1080" spans="1:54" ht="14.45">
      <c r="A1080" s="413">
        <v>1079</v>
      </c>
      <c r="B1080" s="413" t="s">
        <v>3674</v>
      </c>
      <c r="C1080" s="209" t="s">
        <v>17</v>
      </c>
      <c r="D1080" s="209" t="s">
        <v>3648</v>
      </c>
      <c r="E1080" s="209"/>
      <c r="F1080" s="209"/>
      <c r="G1080" s="209" t="s">
        <v>2196</v>
      </c>
      <c r="H1080" s="209"/>
      <c r="I1080" s="218"/>
      <c r="J1080" s="218"/>
      <c r="K1080" s="218"/>
      <c r="L1080" s="212" t="s">
        <v>6458</v>
      </c>
      <c r="M1080" s="212" t="s">
        <v>4072</v>
      </c>
      <c r="N1080" s="212"/>
      <c r="O1080" s="218"/>
      <c r="P1080" s="212">
        <v>4590022412</v>
      </c>
      <c r="Q1080" s="214">
        <v>45546</v>
      </c>
      <c r="R1080" s="426">
        <v>1</v>
      </c>
      <c r="S1080" s="575">
        <v>6587.12</v>
      </c>
      <c r="T1080" s="217" t="s">
        <v>2156</v>
      </c>
      <c r="U1080" s="209" t="s">
        <v>6459</v>
      </c>
      <c r="V1080" s="414" t="s">
        <v>4031</v>
      </c>
      <c r="W1080" s="213" t="s">
        <v>6076</v>
      </c>
      <c r="X1080" s="213"/>
      <c r="Y1080" s="218" t="s">
        <v>3652</v>
      </c>
      <c r="Z1080" s="218"/>
      <c r="AA1080" s="212" t="s">
        <v>6302</v>
      </c>
      <c r="AB1080" s="209" t="s">
        <v>6460</v>
      </c>
      <c r="AC1080" s="218"/>
      <c r="AD1080" s="218"/>
      <c r="AE1080" s="218"/>
      <c r="AF1080" s="421" t="s">
        <v>6461</v>
      </c>
      <c r="AG1080" s="217" t="s">
        <v>3808</v>
      </c>
      <c r="AH1080" s="218" t="s">
        <v>3770</v>
      </c>
      <c r="AI1080" s="217" t="s">
        <v>3719</v>
      </c>
      <c r="AJ1080" s="413">
        <f>P1080</f>
        <v>4590022412</v>
      </c>
      <c r="AK1080" s="425" t="s">
        <v>6462</v>
      </c>
      <c r="AL1080" s="424">
        <v>45548</v>
      </c>
      <c r="AM1080" s="273">
        <v>6587.12</v>
      </c>
      <c r="AN1080" s="227"/>
      <c r="AO1080" s="208"/>
      <c r="AP1080" s="220"/>
      <c r="AR1080" s="227"/>
      <c r="AS1080" s="614">
        <f ca="1">表格1_6[[#This Row],[total amount]]/表格1_6[[#This Row],[PO$]]</f>
        <v>1</v>
      </c>
      <c r="AT1080" s="318">
        <f ca="1">表格1_6[[#This Row],[invoice amount]]+表格1_6[[#This Row],[invoice amount2]]</f>
        <v>6587.12</v>
      </c>
      <c r="AU1080" s="300" t="s">
        <v>3701</v>
      </c>
      <c r="AV1080" s="208"/>
      <c r="AW1080" s="208" t="e">
        <f ca="1">VLOOKUP(表格1_6[[#This Row],[TI tool ID2]],工作表1!A:A,1,FALSE)</f>
        <v>#N/A</v>
      </c>
      <c r="AX1080" s="341" t="e">
        <f ca="1">VLOOKUP(表格1_6[[#This Row],[PO+ITEM]],工作表1!B:E,2,FALSE)</f>
        <v>#N/A</v>
      </c>
      <c r="AY1080" s="341" t="e">
        <f ca="1">VLOOKUP(表格1_6[[#This Row],[PO+ITEM]],工作表1!B:E,3,FALSE)</f>
        <v>#N/A</v>
      </c>
      <c r="AZ1080" s="208" t="e">
        <f ca="1">VLOOKUP(表格1_6[[#This Row],[PO+ITEM]],工作表1!B:E,4,FALSE)</f>
        <v>#N/A</v>
      </c>
      <c r="BA1080" s="425" t="e">
        <f ca="1">INDEX(工作表1!G:G, MATCH(表格1_6[[#This Row],[invoice number]]&amp;表格1_6[[#This Row],[invoice number2]],工作表1!G:G, 0))</f>
        <v>#N/A</v>
      </c>
      <c r="BB1080" s="208" t="e">
        <f ca="1">VLOOKUP(表格1_6[[#This Row],[PO+ITEM]],工作表1!F:H,2,FALSE)</f>
        <v>#N/A</v>
      </c>
    </row>
    <row r="1081" spans="1:54" ht="15" customHeight="1">
      <c r="A1081" s="413">
        <v>1080</v>
      </c>
      <c r="B1081" s="220" t="s">
        <v>3659</v>
      </c>
      <c r="C1081" s="209" t="s">
        <v>17</v>
      </c>
      <c r="D1081" s="209" t="s">
        <v>3648</v>
      </c>
      <c r="E1081" s="209"/>
      <c r="F1081" s="209"/>
      <c r="G1081" s="209"/>
      <c r="H1081" s="209"/>
      <c r="I1081" s="209"/>
      <c r="J1081" s="218"/>
      <c r="K1081" s="218"/>
      <c r="L1081" s="210" t="s">
        <v>6463</v>
      </c>
      <c r="M1081" s="212" t="s">
        <v>3547</v>
      </c>
      <c r="N1081" s="212"/>
      <c r="O1081" s="218"/>
      <c r="P1081" s="212">
        <v>4590022581</v>
      </c>
      <c r="Q1081" s="214">
        <v>45548</v>
      </c>
      <c r="R1081" s="334" t="s">
        <v>3907</v>
      </c>
      <c r="S1081" s="461">
        <v>30113</v>
      </c>
      <c r="T1081" s="217" t="s">
        <v>2156</v>
      </c>
      <c r="U1081" s="414"/>
      <c r="V1081" s="414"/>
      <c r="W1081" s="213"/>
      <c r="X1081" s="213"/>
      <c r="Y1081" s="218" t="s">
        <v>3652</v>
      </c>
      <c r="Z1081" s="218" t="s">
        <v>3652</v>
      </c>
      <c r="AA1081" s="212" t="s">
        <v>6302</v>
      </c>
      <c r="AB1081" s="209" t="s">
        <v>6464</v>
      </c>
      <c r="AC1081" s="218"/>
      <c r="AD1081" s="218"/>
      <c r="AE1081" s="218"/>
      <c r="AF1081" s="421" t="s">
        <v>6465</v>
      </c>
      <c r="AG1081" s="217" t="s">
        <v>6466</v>
      </c>
      <c r="AH1081" s="218" t="s">
        <v>6467</v>
      </c>
      <c r="AI1081" s="217"/>
      <c r="AJ1081" s="218">
        <v>4590022581</v>
      </c>
      <c r="AK1081" s="217"/>
      <c r="AL1081" s="220"/>
      <c r="AM1081" s="449"/>
      <c r="AN1081" s="227"/>
      <c r="AO1081" s="208"/>
      <c r="AP1081" s="220"/>
      <c r="AR1081" s="227"/>
      <c r="AS1081" s="614">
        <f ca="1">表格1_6[[#This Row],[total amount]]/表格1_6[[#This Row],[PO$]]</f>
        <v>0</v>
      </c>
      <c r="AT1081" s="318">
        <f ca="1">表格1_6[[#This Row],[invoice amount]]+表格1_6[[#This Row],[invoice amount2]]</f>
        <v>0</v>
      </c>
      <c r="AV1081" s="208"/>
      <c r="AW1081" s="208" t="e">
        <f ca="1">VLOOKUP(表格1_6[[#This Row],[TI tool ID2]],工作表1!A:A,1,FALSE)</f>
        <v>#N/A</v>
      </c>
      <c r="AX1081" s="341" t="e">
        <f ca="1">VLOOKUP(表格1_6[[#This Row],[PO+ITEM]],工作表1!B:E,2,FALSE)</f>
        <v>#N/A</v>
      </c>
      <c r="AY1081" s="341" t="e">
        <f ca="1">VLOOKUP(表格1_6[[#This Row],[PO+ITEM]],工作表1!B:E,3,FALSE)</f>
        <v>#N/A</v>
      </c>
      <c r="AZ1081" s="208" t="e">
        <f ca="1">VLOOKUP(表格1_6[[#This Row],[PO+ITEM]],工作表1!B:E,4,FALSE)</f>
        <v>#N/A</v>
      </c>
      <c r="BA1081" s="425" t="e">
        <f ca="1">INDEX(工作表1!G:G, MATCH(表格1_6[[#This Row],[invoice number]]&amp;表格1_6[[#This Row],[invoice number2]],工作表1!G:G, 0))</f>
        <v>#N/A</v>
      </c>
      <c r="BB1081" s="208" t="e">
        <f ca="1">VLOOKUP(表格1_6[[#This Row],[PO+ITEM]],工作表1!F:H,2,FALSE)</f>
        <v>#N/A</v>
      </c>
    </row>
    <row r="1082" spans="1:54" ht="15" customHeight="1">
      <c r="A1082" s="413">
        <v>1081</v>
      </c>
      <c r="B1082" s="220" t="s">
        <v>3659</v>
      </c>
      <c r="C1082" s="209" t="s">
        <v>17</v>
      </c>
      <c r="D1082" s="209" t="s">
        <v>3648</v>
      </c>
      <c r="E1082" s="209"/>
      <c r="F1082" s="209"/>
      <c r="G1082" s="209"/>
      <c r="H1082" s="209"/>
      <c r="I1082" s="209"/>
      <c r="J1082" s="218"/>
      <c r="K1082" s="218"/>
      <c r="L1082" s="210" t="s">
        <v>6468</v>
      </c>
      <c r="M1082" s="212" t="s">
        <v>4072</v>
      </c>
      <c r="N1082" s="212"/>
      <c r="O1082" s="218"/>
      <c r="P1082" s="212">
        <v>4590022697</v>
      </c>
      <c r="Q1082" s="214">
        <v>45552</v>
      </c>
      <c r="R1082" s="334" t="s">
        <v>3907</v>
      </c>
      <c r="S1082" s="461">
        <v>33774</v>
      </c>
      <c r="T1082" s="217" t="s">
        <v>2156</v>
      </c>
      <c r="U1082" s="209" t="s">
        <v>6469</v>
      </c>
      <c r="V1082" s="414"/>
      <c r="W1082" s="213"/>
      <c r="X1082" s="213"/>
      <c r="Y1082" s="218" t="s">
        <v>3652</v>
      </c>
      <c r="Z1082" s="218" t="s">
        <v>3652</v>
      </c>
      <c r="AA1082" s="212" t="s">
        <v>6302</v>
      </c>
      <c r="AB1082" s="209" t="s">
        <v>6470</v>
      </c>
      <c r="AC1082" s="218"/>
      <c r="AD1082" s="218"/>
      <c r="AE1082" s="218"/>
      <c r="AF1082" s="421" t="s">
        <v>6471</v>
      </c>
      <c r="AG1082" s="217" t="s">
        <v>6472</v>
      </c>
      <c r="AH1082" s="218" t="s">
        <v>3770</v>
      </c>
      <c r="AI1082" s="217"/>
      <c r="AJ1082" s="218">
        <v>4590022697</v>
      </c>
      <c r="AK1082" s="217"/>
      <c r="AL1082" s="220"/>
      <c r="AM1082" s="449"/>
      <c r="AN1082" s="227"/>
      <c r="AO1082" s="208"/>
      <c r="AP1082" s="220"/>
      <c r="AR1082" s="227"/>
      <c r="AS1082" s="614">
        <f ca="1">表格1_6[[#This Row],[total amount]]/表格1_6[[#This Row],[PO$]]</f>
        <v>0</v>
      </c>
      <c r="AT1082" s="318">
        <f ca="1">表格1_6[[#This Row],[invoice amount]]+表格1_6[[#This Row],[invoice amount2]]</f>
        <v>0</v>
      </c>
      <c r="AV1082" s="208"/>
      <c r="AW1082" s="208" t="e">
        <f ca="1">VLOOKUP(表格1_6[[#This Row],[TI tool ID2]],工作表1!A:A,1,FALSE)</f>
        <v>#N/A</v>
      </c>
      <c r="AX1082" s="341" t="e">
        <f ca="1">VLOOKUP(表格1_6[[#This Row],[PO+ITEM]],工作表1!B:E,2,FALSE)</f>
        <v>#N/A</v>
      </c>
      <c r="AY1082" s="341" t="e">
        <f ca="1">VLOOKUP(表格1_6[[#This Row],[PO+ITEM]],工作表1!B:E,3,FALSE)</f>
        <v>#N/A</v>
      </c>
      <c r="AZ1082" s="208" t="e">
        <f ca="1">VLOOKUP(表格1_6[[#This Row],[PO+ITEM]],工作表1!B:E,4,FALSE)</f>
        <v>#N/A</v>
      </c>
      <c r="BA1082" s="425" t="e">
        <f ca="1">INDEX(工作表1!G:G, MATCH(表格1_6[[#This Row],[invoice number]]&amp;表格1_6[[#This Row],[invoice number2]],工作表1!G:G, 0))</f>
        <v>#N/A</v>
      </c>
      <c r="BB1082" s="208" t="e">
        <f ca="1">VLOOKUP(表格1_6[[#This Row],[PO+ITEM]],工作表1!F:H,2,FALSE)</f>
        <v>#N/A</v>
      </c>
    </row>
    <row r="1083" spans="1:54" ht="15" customHeight="1">
      <c r="A1083" s="413">
        <v>1082</v>
      </c>
      <c r="B1083" s="220" t="s">
        <v>3659</v>
      </c>
      <c r="C1083" s="209" t="s">
        <v>17</v>
      </c>
      <c r="D1083" s="209" t="s">
        <v>3648</v>
      </c>
      <c r="E1083" s="209"/>
      <c r="F1083" s="209"/>
      <c r="G1083" s="209"/>
      <c r="H1083" s="209"/>
      <c r="I1083" s="209"/>
      <c r="J1083" s="218"/>
      <c r="K1083" s="218"/>
      <c r="L1083" s="210" t="s">
        <v>6473</v>
      </c>
      <c r="M1083" s="212" t="s">
        <v>4072</v>
      </c>
      <c r="N1083" s="212"/>
      <c r="O1083" s="218"/>
      <c r="P1083" s="212">
        <v>4590022698</v>
      </c>
      <c r="Q1083" s="214">
        <v>45552</v>
      </c>
      <c r="R1083" s="334" t="s">
        <v>3907</v>
      </c>
      <c r="S1083" s="461">
        <v>33774</v>
      </c>
      <c r="T1083" s="217" t="s">
        <v>2156</v>
      </c>
      <c r="U1083" s="209" t="s">
        <v>6474</v>
      </c>
      <c r="V1083" s="414"/>
      <c r="W1083" s="213"/>
      <c r="X1083" s="213"/>
      <c r="Y1083" s="218" t="s">
        <v>3652</v>
      </c>
      <c r="Z1083" s="218" t="s">
        <v>3652</v>
      </c>
      <c r="AA1083" s="212" t="s">
        <v>6302</v>
      </c>
      <c r="AB1083" s="209" t="s">
        <v>6470</v>
      </c>
      <c r="AC1083" s="218"/>
      <c r="AD1083" s="218"/>
      <c r="AE1083" s="218"/>
      <c r="AF1083" s="421" t="s">
        <v>6475</v>
      </c>
      <c r="AG1083" s="217" t="s">
        <v>6476</v>
      </c>
      <c r="AH1083" s="218" t="s">
        <v>3770</v>
      </c>
      <c r="AI1083" s="217"/>
      <c r="AJ1083" s="218">
        <v>4590022698</v>
      </c>
      <c r="AK1083" s="217"/>
      <c r="AL1083" s="220"/>
      <c r="AM1083" s="449"/>
      <c r="AN1083" s="227"/>
      <c r="AO1083" s="208"/>
      <c r="AP1083" s="220"/>
      <c r="AR1083" s="227"/>
      <c r="AS1083" s="614">
        <f ca="1">表格1_6[[#This Row],[total amount]]/表格1_6[[#This Row],[PO$]]</f>
        <v>0</v>
      </c>
      <c r="AT1083" s="318">
        <f ca="1">表格1_6[[#This Row],[invoice amount]]+表格1_6[[#This Row],[invoice amount2]]</f>
        <v>0</v>
      </c>
      <c r="AV1083" s="208"/>
      <c r="AW1083" s="208" t="e">
        <f ca="1">VLOOKUP(表格1_6[[#This Row],[TI tool ID2]],工作表1!A:A,1,FALSE)</f>
        <v>#N/A</v>
      </c>
      <c r="AX1083" s="341" t="e">
        <f ca="1">VLOOKUP(表格1_6[[#This Row],[PO+ITEM]],工作表1!B:E,2,FALSE)</f>
        <v>#N/A</v>
      </c>
      <c r="AY1083" s="341" t="e">
        <f ca="1">VLOOKUP(表格1_6[[#This Row],[PO+ITEM]],工作表1!B:E,3,FALSE)</f>
        <v>#N/A</v>
      </c>
      <c r="AZ1083" s="208" t="e">
        <f ca="1">VLOOKUP(表格1_6[[#This Row],[PO+ITEM]],工作表1!B:E,4,FALSE)</f>
        <v>#N/A</v>
      </c>
      <c r="BA1083" s="425" t="e">
        <f ca="1">INDEX(工作表1!G:G, MATCH(表格1_6[[#This Row],[invoice number]]&amp;表格1_6[[#This Row],[invoice number2]],工作表1!G:G, 0))</f>
        <v>#N/A</v>
      </c>
      <c r="BB1083" s="208" t="e">
        <f ca="1">VLOOKUP(表格1_6[[#This Row],[PO+ITEM]],工作表1!F:H,2,FALSE)</f>
        <v>#N/A</v>
      </c>
    </row>
    <row r="1084" spans="1:54" ht="15" customHeight="1">
      <c r="A1084" s="413">
        <v>1083</v>
      </c>
      <c r="B1084" s="220" t="s">
        <v>3659</v>
      </c>
      <c r="C1084" s="209" t="s">
        <v>17</v>
      </c>
      <c r="D1084" s="209" t="s">
        <v>3648</v>
      </c>
      <c r="E1084" s="209"/>
      <c r="F1084" s="209"/>
      <c r="G1084" s="209"/>
      <c r="H1084" s="209"/>
      <c r="I1084" s="209"/>
      <c r="J1084" s="218"/>
      <c r="K1084" s="218"/>
      <c r="L1084" s="210" t="s">
        <v>6477</v>
      </c>
      <c r="M1084" s="212" t="s">
        <v>4072</v>
      </c>
      <c r="N1084" s="212"/>
      <c r="O1084" s="218"/>
      <c r="P1084" s="212">
        <v>4590022699</v>
      </c>
      <c r="Q1084" s="214">
        <v>45552</v>
      </c>
      <c r="R1084" s="334" t="s">
        <v>3907</v>
      </c>
      <c r="S1084" s="461">
        <v>33774</v>
      </c>
      <c r="T1084" s="217" t="s">
        <v>2156</v>
      </c>
      <c r="U1084" s="209" t="s">
        <v>6478</v>
      </c>
      <c r="V1084" s="414"/>
      <c r="W1084" s="213"/>
      <c r="X1084" s="213"/>
      <c r="Y1084" s="218" t="s">
        <v>3652</v>
      </c>
      <c r="Z1084" s="218" t="s">
        <v>3652</v>
      </c>
      <c r="AA1084" s="212" t="s">
        <v>6302</v>
      </c>
      <c r="AB1084" s="209" t="s">
        <v>6470</v>
      </c>
      <c r="AC1084" s="218"/>
      <c r="AD1084" s="218"/>
      <c r="AE1084" s="218"/>
      <c r="AF1084" s="421" t="s">
        <v>6479</v>
      </c>
      <c r="AG1084" s="217" t="s">
        <v>6480</v>
      </c>
      <c r="AH1084" s="218" t="s">
        <v>3770</v>
      </c>
      <c r="AI1084" s="217"/>
      <c r="AJ1084" s="218">
        <v>4590022699</v>
      </c>
      <c r="AK1084" s="217"/>
      <c r="AL1084" s="220"/>
      <c r="AM1084" s="449"/>
      <c r="AN1084" s="227"/>
      <c r="AO1084" s="208"/>
      <c r="AP1084" s="220"/>
      <c r="AR1084" s="227"/>
      <c r="AS1084" s="614">
        <f ca="1">表格1_6[[#This Row],[total amount]]/表格1_6[[#This Row],[PO$]]</f>
        <v>0</v>
      </c>
      <c r="AT1084" s="318">
        <f ca="1">表格1_6[[#This Row],[invoice amount]]+表格1_6[[#This Row],[invoice amount2]]</f>
        <v>0</v>
      </c>
      <c r="AV1084" s="208"/>
      <c r="AW1084" s="208" t="e">
        <f ca="1">VLOOKUP(表格1_6[[#This Row],[TI tool ID2]],工作表1!A:A,1,FALSE)</f>
        <v>#N/A</v>
      </c>
      <c r="AX1084" s="341" t="e">
        <f ca="1">VLOOKUP(表格1_6[[#This Row],[PO+ITEM]],工作表1!B:E,2,FALSE)</f>
        <v>#N/A</v>
      </c>
      <c r="AY1084" s="341" t="e">
        <f ca="1">VLOOKUP(表格1_6[[#This Row],[PO+ITEM]],工作表1!B:E,3,FALSE)</f>
        <v>#N/A</v>
      </c>
      <c r="AZ1084" s="208" t="e">
        <f ca="1">VLOOKUP(表格1_6[[#This Row],[PO+ITEM]],工作表1!B:E,4,FALSE)</f>
        <v>#N/A</v>
      </c>
      <c r="BA1084" s="425" t="e">
        <f ca="1">INDEX(工作表1!G:G, MATCH(表格1_6[[#This Row],[invoice number]]&amp;表格1_6[[#This Row],[invoice number2]],工作表1!G:G, 0))</f>
        <v>#N/A</v>
      </c>
      <c r="BB1084" s="208" t="e">
        <f ca="1">VLOOKUP(表格1_6[[#This Row],[PO+ITEM]],工作表1!F:H,2,FALSE)</f>
        <v>#N/A</v>
      </c>
    </row>
    <row r="1085" spans="1:54" ht="15" customHeight="1">
      <c r="A1085" s="413">
        <v>1084</v>
      </c>
      <c r="B1085" s="220" t="s">
        <v>3659</v>
      </c>
      <c r="C1085" s="209" t="s">
        <v>17</v>
      </c>
      <c r="D1085" s="209" t="s">
        <v>3648</v>
      </c>
      <c r="E1085" s="209"/>
      <c r="F1085" s="209"/>
      <c r="G1085" s="209"/>
      <c r="H1085" s="209"/>
      <c r="I1085" s="209"/>
      <c r="J1085" s="218"/>
      <c r="K1085" s="218"/>
      <c r="L1085" s="210" t="s">
        <v>6481</v>
      </c>
      <c r="M1085" s="212" t="s">
        <v>4072</v>
      </c>
      <c r="N1085" s="212"/>
      <c r="O1085" s="218"/>
      <c r="P1085" s="212">
        <v>4590022700</v>
      </c>
      <c r="Q1085" s="214">
        <v>45552</v>
      </c>
      <c r="R1085" s="334" t="s">
        <v>3907</v>
      </c>
      <c r="S1085" s="461">
        <v>33774</v>
      </c>
      <c r="T1085" s="217" t="s">
        <v>2156</v>
      </c>
      <c r="U1085" s="209" t="s">
        <v>6482</v>
      </c>
      <c r="V1085" s="414"/>
      <c r="W1085" s="213"/>
      <c r="X1085" s="213"/>
      <c r="Y1085" s="218" t="s">
        <v>3652</v>
      </c>
      <c r="Z1085" s="218" t="s">
        <v>3652</v>
      </c>
      <c r="AA1085" s="212" t="s">
        <v>6302</v>
      </c>
      <c r="AB1085" s="209" t="s">
        <v>6470</v>
      </c>
      <c r="AC1085" s="218"/>
      <c r="AD1085" s="218"/>
      <c r="AE1085" s="218"/>
      <c r="AF1085" s="421" t="s">
        <v>6483</v>
      </c>
      <c r="AG1085" s="217" t="s">
        <v>6484</v>
      </c>
      <c r="AH1085" s="218" t="s">
        <v>3770</v>
      </c>
      <c r="AI1085" s="217"/>
      <c r="AJ1085" s="218">
        <v>4590022700</v>
      </c>
      <c r="AK1085" s="217"/>
      <c r="AL1085" s="220"/>
      <c r="AM1085" s="449"/>
      <c r="AN1085" s="227"/>
      <c r="AO1085" s="208"/>
      <c r="AP1085" s="220"/>
      <c r="AR1085" s="227"/>
      <c r="AS1085" s="614">
        <f ca="1">表格1_6[[#This Row],[total amount]]/表格1_6[[#This Row],[PO$]]</f>
        <v>0</v>
      </c>
      <c r="AT1085" s="318">
        <f ca="1">表格1_6[[#This Row],[invoice amount]]+表格1_6[[#This Row],[invoice amount2]]</f>
        <v>0</v>
      </c>
      <c r="AV1085" s="208"/>
      <c r="AW1085" s="208" t="e">
        <f ca="1">VLOOKUP(表格1_6[[#This Row],[TI tool ID2]],工作表1!A:A,1,FALSE)</f>
        <v>#N/A</v>
      </c>
      <c r="AX1085" s="341" t="e">
        <f ca="1">VLOOKUP(表格1_6[[#This Row],[PO+ITEM]],工作表1!B:E,2,FALSE)</f>
        <v>#N/A</v>
      </c>
      <c r="AY1085" s="341" t="e">
        <f ca="1">VLOOKUP(表格1_6[[#This Row],[PO+ITEM]],工作表1!B:E,3,FALSE)</f>
        <v>#N/A</v>
      </c>
      <c r="AZ1085" s="208" t="e">
        <f ca="1">VLOOKUP(表格1_6[[#This Row],[PO+ITEM]],工作表1!B:E,4,FALSE)</f>
        <v>#N/A</v>
      </c>
      <c r="BA1085" s="425" t="e">
        <f ca="1">INDEX(工作表1!G:G, MATCH(表格1_6[[#This Row],[invoice number]]&amp;表格1_6[[#This Row],[invoice number2]],工作表1!G:G, 0))</f>
        <v>#N/A</v>
      </c>
      <c r="BB1085" s="208" t="e">
        <f ca="1">VLOOKUP(表格1_6[[#This Row],[PO+ITEM]],工作表1!F:H,2,FALSE)</f>
        <v>#N/A</v>
      </c>
    </row>
    <row r="1086" spans="1:54" ht="15" customHeight="1">
      <c r="A1086" s="413">
        <v>1085</v>
      </c>
      <c r="B1086" s="220" t="s">
        <v>3659</v>
      </c>
      <c r="C1086" s="209" t="s">
        <v>16</v>
      </c>
      <c r="D1086" s="209" t="s">
        <v>3648</v>
      </c>
      <c r="E1086" s="209"/>
      <c r="F1086" s="209"/>
      <c r="G1086" s="209"/>
      <c r="H1086" s="209"/>
      <c r="I1086" s="209"/>
      <c r="J1086" s="218"/>
      <c r="K1086" s="218"/>
      <c r="L1086" s="210" t="s">
        <v>6485</v>
      </c>
      <c r="M1086" s="212" t="s">
        <v>4072</v>
      </c>
      <c r="N1086" s="212"/>
      <c r="O1086" s="218"/>
      <c r="P1086" s="212">
        <v>4590022701</v>
      </c>
      <c r="Q1086" s="214">
        <v>45552</v>
      </c>
      <c r="R1086" s="334" t="s">
        <v>3907</v>
      </c>
      <c r="S1086" s="461">
        <v>7342.24</v>
      </c>
      <c r="T1086" s="217" t="s">
        <v>2156</v>
      </c>
      <c r="U1086" s="209" t="s">
        <v>6486</v>
      </c>
      <c r="V1086" s="414"/>
      <c r="W1086" s="213"/>
      <c r="X1086" s="213"/>
      <c r="Y1086" s="218" t="s">
        <v>3652</v>
      </c>
      <c r="Z1086" s="218" t="s">
        <v>3652</v>
      </c>
      <c r="AA1086" s="212" t="s">
        <v>6302</v>
      </c>
      <c r="AB1086" s="209" t="s">
        <v>6487</v>
      </c>
      <c r="AC1086" s="218"/>
      <c r="AD1086" s="218"/>
      <c r="AE1086" s="218"/>
      <c r="AF1086" s="421" t="s">
        <v>6471</v>
      </c>
      <c r="AG1086" s="217" t="s">
        <v>6472</v>
      </c>
      <c r="AH1086" s="218" t="s">
        <v>3770</v>
      </c>
      <c r="AI1086" s="217"/>
      <c r="AJ1086" s="218">
        <v>4590022701</v>
      </c>
      <c r="AK1086" s="217"/>
      <c r="AL1086" s="220"/>
      <c r="AM1086" s="449"/>
      <c r="AN1086" s="227"/>
      <c r="AO1086" s="208"/>
      <c r="AP1086" s="220"/>
      <c r="AR1086" s="227"/>
      <c r="AS1086" s="614">
        <f ca="1">表格1_6[[#This Row],[total amount]]/表格1_6[[#This Row],[PO$]]</f>
        <v>0</v>
      </c>
      <c r="AT1086" s="318">
        <f ca="1">表格1_6[[#This Row],[invoice amount]]+表格1_6[[#This Row],[invoice amount2]]</f>
        <v>0</v>
      </c>
      <c r="AV1086" s="208"/>
      <c r="AW1086" s="208" t="e">
        <f ca="1">VLOOKUP(表格1_6[[#This Row],[TI tool ID2]],工作表1!A:A,1,FALSE)</f>
        <v>#N/A</v>
      </c>
      <c r="AX1086" s="341" t="e">
        <f ca="1">VLOOKUP(表格1_6[[#This Row],[PO+ITEM]],工作表1!B:E,2,FALSE)</f>
        <v>#N/A</v>
      </c>
      <c r="AY1086" s="341" t="e">
        <f ca="1">VLOOKUP(表格1_6[[#This Row],[PO+ITEM]],工作表1!B:E,3,FALSE)</f>
        <v>#N/A</v>
      </c>
      <c r="AZ1086" s="208" t="e">
        <f ca="1">VLOOKUP(表格1_6[[#This Row],[PO+ITEM]],工作表1!B:E,4,FALSE)</f>
        <v>#N/A</v>
      </c>
      <c r="BA1086" s="425" t="e">
        <f ca="1">INDEX(工作表1!G:G, MATCH(表格1_6[[#This Row],[invoice number]]&amp;表格1_6[[#This Row],[invoice number2]],工作表1!G:G, 0))</f>
        <v>#N/A</v>
      </c>
      <c r="BB1086" s="208" t="e">
        <f ca="1">VLOOKUP(表格1_6[[#This Row],[PO+ITEM]],工作表1!F:H,2,FALSE)</f>
        <v>#N/A</v>
      </c>
    </row>
    <row r="1087" spans="1:54" ht="15" customHeight="1">
      <c r="A1087" s="413">
        <v>1086</v>
      </c>
      <c r="B1087" s="220" t="s">
        <v>3659</v>
      </c>
      <c r="C1087" s="209" t="s">
        <v>16</v>
      </c>
      <c r="D1087" s="209" t="s">
        <v>3648</v>
      </c>
      <c r="E1087" s="209"/>
      <c r="F1087" s="209"/>
      <c r="G1087" s="209"/>
      <c r="H1087" s="209"/>
      <c r="I1087" s="209"/>
      <c r="J1087" s="218"/>
      <c r="K1087" s="218"/>
      <c r="L1087" s="210" t="s">
        <v>6488</v>
      </c>
      <c r="M1087" s="212" t="s">
        <v>4072</v>
      </c>
      <c r="N1087" s="212"/>
      <c r="O1087" s="218"/>
      <c r="P1087" s="212">
        <v>4590022702</v>
      </c>
      <c r="Q1087" s="214">
        <v>45552</v>
      </c>
      <c r="R1087" s="334" t="s">
        <v>3907</v>
      </c>
      <c r="S1087" s="461">
        <v>7342.24</v>
      </c>
      <c r="T1087" s="217" t="s">
        <v>2156</v>
      </c>
      <c r="U1087" s="209" t="s">
        <v>6489</v>
      </c>
      <c r="V1087" s="414"/>
      <c r="W1087" s="213"/>
      <c r="X1087" s="213"/>
      <c r="Y1087" s="218" t="s">
        <v>3652</v>
      </c>
      <c r="Z1087" s="218" t="s">
        <v>3652</v>
      </c>
      <c r="AA1087" s="212" t="s">
        <v>6302</v>
      </c>
      <c r="AB1087" s="209" t="s">
        <v>6487</v>
      </c>
      <c r="AC1087" s="218"/>
      <c r="AD1087" s="218"/>
      <c r="AE1087" s="218"/>
      <c r="AF1087" s="421" t="s">
        <v>6475</v>
      </c>
      <c r="AG1087" s="217" t="s">
        <v>6476</v>
      </c>
      <c r="AH1087" s="218" t="s">
        <v>3770</v>
      </c>
      <c r="AI1087" s="217"/>
      <c r="AJ1087" s="218">
        <v>4590022702</v>
      </c>
      <c r="AK1087" s="217"/>
      <c r="AL1087" s="220"/>
      <c r="AM1087" s="449"/>
      <c r="AN1087" s="227"/>
      <c r="AO1087" s="208"/>
      <c r="AP1087" s="220"/>
      <c r="AR1087" s="227"/>
      <c r="AS1087" s="614">
        <f ca="1">表格1_6[[#This Row],[total amount]]/表格1_6[[#This Row],[PO$]]</f>
        <v>0</v>
      </c>
      <c r="AT1087" s="318">
        <f ca="1">表格1_6[[#This Row],[invoice amount]]+表格1_6[[#This Row],[invoice amount2]]</f>
        <v>0</v>
      </c>
      <c r="AV1087" s="208"/>
      <c r="AW1087" s="208" t="e">
        <f ca="1">VLOOKUP(表格1_6[[#This Row],[TI tool ID2]],工作表1!A:A,1,FALSE)</f>
        <v>#N/A</v>
      </c>
      <c r="AX1087" s="341" t="e">
        <f ca="1">VLOOKUP(表格1_6[[#This Row],[PO+ITEM]],工作表1!B:E,2,FALSE)</f>
        <v>#N/A</v>
      </c>
      <c r="AY1087" s="341" t="e">
        <f ca="1">VLOOKUP(表格1_6[[#This Row],[PO+ITEM]],工作表1!B:E,3,FALSE)</f>
        <v>#N/A</v>
      </c>
      <c r="AZ1087" s="208" t="e">
        <f ca="1">VLOOKUP(表格1_6[[#This Row],[PO+ITEM]],工作表1!B:E,4,FALSE)</f>
        <v>#N/A</v>
      </c>
      <c r="BA1087" s="425" t="e">
        <f ca="1">INDEX(工作表1!G:G, MATCH(表格1_6[[#This Row],[invoice number]]&amp;表格1_6[[#This Row],[invoice number2]],工作表1!G:G, 0))</f>
        <v>#N/A</v>
      </c>
      <c r="BB1087" s="208" t="e">
        <f ca="1">VLOOKUP(表格1_6[[#This Row],[PO+ITEM]],工作表1!F:H,2,FALSE)</f>
        <v>#N/A</v>
      </c>
    </row>
    <row r="1088" spans="1:54" ht="15" customHeight="1">
      <c r="A1088" s="413">
        <v>1087</v>
      </c>
      <c r="B1088" s="220" t="s">
        <v>3659</v>
      </c>
      <c r="C1088" s="209" t="s">
        <v>16</v>
      </c>
      <c r="D1088" s="209" t="s">
        <v>3648</v>
      </c>
      <c r="E1088" s="209"/>
      <c r="F1088" s="209"/>
      <c r="G1088" s="209"/>
      <c r="H1088" s="209"/>
      <c r="I1088" s="209"/>
      <c r="J1088" s="218"/>
      <c r="K1088" s="218"/>
      <c r="L1088" s="210" t="s">
        <v>6490</v>
      </c>
      <c r="M1088" s="212" t="s">
        <v>4072</v>
      </c>
      <c r="N1088" s="212"/>
      <c r="O1088" s="218"/>
      <c r="P1088" s="212">
        <v>4590022703</v>
      </c>
      <c r="Q1088" s="214">
        <v>45552</v>
      </c>
      <c r="R1088" s="334" t="s">
        <v>3907</v>
      </c>
      <c r="S1088" s="461">
        <v>7342.24</v>
      </c>
      <c r="T1088" s="217" t="s">
        <v>2156</v>
      </c>
      <c r="U1088" s="209" t="s">
        <v>6491</v>
      </c>
      <c r="V1088" s="414"/>
      <c r="W1088" s="213"/>
      <c r="X1088" s="213"/>
      <c r="Y1088" s="218" t="s">
        <v>3652</v>
      </c>
      <c r="Z1088" s="218" t="s">
        <v>3652</v>
      </c>
      <c r="AA1088" s="212" t="s">
        <v>6302</v>
      </c>
      <c r="AB1088" s="209" t="s">
        <v>6487</v>
      </c>
      <c r="AC1088" s="218"/>
      <c r="AD1088" s="218"/>
      <c r="AE1088" s="218"/>
      <c r="AF1088" s="421" t="s">
        <v>6479</v>
      </c>
      <c r="AG1088" s="217" t="s">
        <v>6480</v>
      </c>
      <c r="AH1088" s="218" t="s">
        <v>3770</v>
      </c>
      <c r="AI1088" s="217"/>
      <c r="AJ1088" s="218">
        <v>4590022703</v>
      </c>
      <c r="AK1088" s="217"/>
      <c r="AL1088" s="220"/>
      <c r="AM1088" s="449"/>
      <c r="AN1088" s="227"/>
      <c r="AO1088" s="208"/>
      <c r="AP1088" s="220"/>
      <c r="AR1088" s="227"/>
      <c r="AS1088" s="614">
        <f ca="1">表格1_6[[#This Row],[total amount]]/表格1_6[[#This Row],[PO$]]</f>
        <v>0</v>
      </c>
      <c r="AT1088" s="318">
        <f ca="1">表格1_6[[#This Row],[invoice amount]]+表格1_6[[#This Row],[invoice amount2]]</f>
        <v>0</v>
      </c>
      <c r="AV1088" s="208"/>
      <c r="AW1088" s="208" t="e">
        <f ca="1">VLOOKUP(表格1_6[[#This Row],[TI tool ID2]],工作表1!A:A,1,FALSE)</f>
        <v>#N/A</v>
      </c>
      <c r="AX1088" s="341" t="e">
        <f ca="1">VLOOKUP(表格1_6[[#This Row],[PO+ITEM]],工作表1!B:E,2,FALSE)</f>
        <v>#N/A</v>
      </c>
      <c r="AY1088" s="341" t="e">
        <f ca="1">VLOOKUP(表格1_6[[#This Row],[PO+ITEM]],工作表1!B:E,3,FALSE)</f>
        <v>#N/A</v>
      </c>
      <c r="AZ1088" s="208" t="e">
        <f ca="1">VLOOKUP(表格1_6[[#This Row],[PO+ITEM]],工作表1!B:E,4,FALSE)</f>
        <v>#N/A</v>
      </c>
      <c r="BA1088" s="425" t="e">
        <f ca="1">INDEX(工作表1!G:G, MATCH(表格1_6[[#This Row],[invoice number]]&amp;表格1_6[[#This Row],[invoice number2]],工作表1!G:G, 0))</f>
        <v>#N/A</v>
      </c>
      <c r="BB1088" s="208" t="e">
        <f ca="1">VLOOKUP(表格1_6[[#This Row],[PO+ITEM]],工作表1!F:H,2,FALSE)</f>
        <v>#N/A</v>
      </c>
    </row>
    <row r="1089" spans="1:54" ht="15" customHeight="1">
      <c r="A1089" s="413">
        <v>1088</v>
      </c>
      <c r="B1089" s="220" t="s">
        <v>3659</v>
      </c>
      <c r="C1089" s="209" t="s">
        <v>16</v>
      </c>
      <c r="D1089" s="209" t="s">
        <v>3648</v>
      </c>
      <c r="E1089" s="209"/>
      <c r="F1089" s="209"/>
      <c r="G1089" s="209"/>
      <c r="H1089" s="209"/>
      <c r="I1089" s="209"/>
      <c r="J1089" s="218"/>
      <c r="K1089" s="218"/>
      <c r="L1089" s="210" t="s">
        <v>6492</v>
      </c>
      <c r="M1089" s="212" t="s">
        <v>4072</v>
      </c>
      <c r="N1089" s="212"/>
      <c r="O1089" s="218"/>
      <c r="P1089" s="212">
        <v>4590022704</v>
      </c>
      <c r="Q1089" s="214">
        <v>45552</v>
      </c>
      <c r="R1089" s="334" t="s">
        <v>3907</v>
      </c>
      <c r="S1089" s="461">
        <v>7342.24</v>
      </c>
      <c r="T1089" s="217" t="s">
        <v>2156</v>
      </c>
      <c r="U1089" s="209" t="s">
        <v>6493</v>
      </c>
      <c r="V1089" s="414"/>
      <c r="W1089" s="213"/>
      <c r="X1089" s="213"/>
      <c r="Y1089" s="218" t="s">
        <v>3652</v>
      </c>
      <c r="Z1089" s="218" t="s">
        <v>3652</v>
      </c>
      <c r="AA1089" s="212" t="s">
        <v>6302</v>
      </c>
      <c r="AB1089" s="209" t="s">
        <v>6487</v>
      </c>
      <c r="AC1089" s="218"/>
      <c r="AD1089" s="218"/>
      <c r="AE1089" s="218"/>
      <c r="AF1089" s="421" t="s">
        <v>6483</v>
      </c>
      <c r="AG1089" s="217" t="s">
        <v>6484</v>
      </c>
      <c r="AH1089" s="218" t="s">
        <v>3770</v>
      </c>
      <c r="AI1089" s="217"/>
      <c r="AJ1089" s="218">
        <v>4590022704</v>
      </c>
      <c r="AK1089" s="217"/>
      <c r="AL1089" s="220"/>
      <c r="AM1089" s="449"/>
      <c r="AN1089" s="227"/>
      <c r="AO1089" s="208"/>
      <c r="AP1089" s="220"/>
      <c r="AR1089" s="227"/>
      <c r="AS1089" s="614">
        <f ca="1">表格1_6[[#This Row],[total amount]]/表格1_6[[#This Row],[PO$]]</f>
        <v>0</v>
      </c>
      <c r="AT1089" s="318">
        <f ca="1">表格1_6[[#This Row],[invoice amount]]+表格1_6[[#This Row],[invoice amount2]]</f>
        <v>0</v>
      </c>
      <c r="AV1089" s="208"/>
      <c r="AW1089" s="208" t="e">
        <f ca="1">VLOOKUP(表格1_6[[#This Row],[TI tool ID2]],工作表1!A:A,1,FALSE)</f>
        <v>#N/A</v>
      </c>
      <c r="AX1089" s="341" t="e">
        <f ca="1">VLOOKUP(表格1_6[[#This Row],[PO+ITEM]],工作表1!B:E,2,FALSE)</f>
        <v>#N/A</v>
      </c>
      <c r="AY1089" s="341" t="e">
        <f ca="1">VLOOKUP(表格1_6[[#This Row],[PO+ITEM]],工作表1!B:E,3,FALSE)</f>
        <v>#N/A</v>
      </c>
      <c r="AZ1089" s="208" t="e">
        <f ca="1">VLOOKUP(表格1_6[[#This Row],[PO+ITEM]],工作表1!B:E,4,FALSE)</f>
        <v>#N/A</v>
      </c>
      <c r="BA1089" s="425" t="e">
        <f ca="1">INDEX(工作表1!G:G, MATCH(表格1_6[[#This Row],[invoice number]]&amp;表格1_6[[#This Row],[invoice number2]],工作表1!G:G, 0))</f>
        <v>#N/A</v>
      </c>
      <c r="BB1089" s="208" t="e">
        <f ca="1">VLOOKUP(表格1_6[[#This Row],[PO+ITEM]],工作表1!F:H,2,FALSE)</f>
        <v>#N/A</v>
      </c>
    </row>
    <row r="1090" spans="1:54" ht="15" customHeight="1">
      <c r="A1090" s="413">
        <v>1089</v>
      </c>
      <c r="B1090" s="220" t="s">
        <v>3659</v>
      </c>
      <c r="C1090" s="209" t="s">
        <v>17</v>
      </c>
      <c r="D1090" s="209" t="s">
        <v>3648</v>
      </c>
      <c r="E1090" s="209"/>
      <c r="F1090" s="209"/>
      <c r="G1090" s="209"/>
      <c r="H1090" s="209"/>
      <c r="I1090" s="209"/>
      <c r="J1090" s="218"/>
      <c r="K1090" s="218"/>
      <c r="L1090" s="210" t="s">
        <v>6494</v>
      </c>
      <c r="M1090" s="212" t="s">
        <v>4072</v>
      </c>
      <c r="N1090" s="212"/>
      <c r="O1090" s="218"/>
      <c r="P1090" s="212">
        <v>4590022705</v>
      </c>
      <c r="Q1090" s="214">
        <v>45552</v>
      </c>
      <c r="R1090" s="334" t="s">
        <v>3907</v>
      </c>
      <c r="S1090" s="461">
        <v>30632.880000000001</v>
      </c>
      <c r="T1090" s="217" t="s">
        <v>2156</v>
      </c>
      <c r="U1090" s="209" t="s">
        <v>6495</v>
      </c>
      <c r="V1090" s="414"/>
      <c r="W1090" s="213"/>
      <c r="X1090" s="213"/>
      <c r="Y1090" s="218" t="s">
        <v>3652</v>
      </c>
      <c r="Z1090" s="218" t="s">
        <v>3652</v>
      </c>
      <c r="AA1090" s="212" t="s">
        <v>6302</v>
      </c>
      <c r="AB1090" s="209" t="s">
        <v>6496</v>
      </c>
      <c r="AC1090" s="218"/>
      <c r="AD1090" s="218"/>
      <c r="AE1090" s="218"/>
      <c r="AF1090" s="421" t="s">
        <v>6497</v>
      </c>
      <c r="AG1090" s="217" t="s">
        <v>6498</v>
      </c>
      <c r="AH1090" s="218" t="s">
        <v>3770</v>
      </c>
      <c r="AI1090" s="217"/>
      <c r="AJ1090" s="218">
        <v>4590022705</v>
      </c>
      <c r="AK1090" s="217"/>
      <c r="AL1090" s="220"/>
      <c r="AM1090" s="449"/>
      <c r="AN1090" s="227"/>
      <c r="AO1090" s="208"/>
      <c r="AP1090" s="220"/>
      <c r="AR1090" s="227"/>
      <c r="AS1090" s="614">
        <f ca="1">表格1_6[[#This Row],[total amount]]/表格1_6[[#This Row],[PO$]]</f>
        <v>0</v>
      </c>
      <c r="AT1090" s="318">
        <f ca="1">表格1_6[[#This Row],[invoice amount]]+表格1_6[[#This Row],[invoice amount2]]</f>
        <v>0</v>
      </c>
      <c r="AV1090" s="208"/>
      <c r="AW1090" s="208" t="e">
        <f ca="1">VLOOKUP(表格1_6[[#This Row],[TI tool ID2]],工作表1!A:A,1,FALSE)</f>
        <v>#N/A</v>
      </c>
      <c r="AX1090" s="341" t="e">
        <f ca="1">VLOOKUP(表格1_6[[#This Row],[PO+ITEM]],工作表1!B:E,2,FALSE)</f>
        <v>#N/A</v>
      </c>
      <c r="AY1090" s="341" t="e">
        <f ca="1">VLOOKUP(表格1_6[[#This Row],[PO+ITEM]],工作表1!B:E,3,FALSE)</f>
        <v>#N/A</v>
      </c>
      <c r="AZ1090" s="208" t="e">
        <f ca="1">VLOOKUP(表格1_6[[#This Row],[PO+ITEM]],工作表1!B:E,4,FALSE)</f>
        <v>#N/A</v>
      </c>
      <c r="BA1090" s="425" t="e">
        <f ca="1">INDEX(工作表1!G:G, MATCH(表格1_6[[#This Row],[invoice number]]&amp;表格1_6[[#This Row],[invoice number2]],工作表1!G:G, 0))</f>
        <v>#N/A</v>
      </c>
      <c r="BB1090" s="208" t="e">
        <f ca="1">VLOOKUP(表格1_6[[#This Row],[PO+ITEM]],工作表1!F:H,2,FALSE)</f>
        <v>#N/A</v>
      </c>
    </row>
    <row r="1091" spans="1:54" ht="15" customHeight="1">
      <c r="A1091" s="413">
        <v>1090</v>
      </c>
      <c r="B1091" s="220" t="s">
        <v>3659</v>
      </c>
      <c r="C1091" s="209" t="s">
        <v>17</v>
      </c>
      <c r="D1091" s="209" t="s">
        <v>3648</v>
      </c>
      <c r="E1091" s="209"/>
      <c r="F1091" s="209"/>
      <c r="G1091" s="209"/>
      <c r="H1091" s="209"/>
      <c r="I1091" s="209"/>
      <c r="J1091" s="218"/>
      <c r="K1091" s="218"/>
      <c r="L1091" s="210" t="s">
        <v>6499</v>
      </c>
      <c r="M1091" s="212" t="s">
        <v>4072</v>
      </c>
      <c r="N1091" s="212"/>
      <c r="O1091" s="218"/>
      <c r="P1091" s="212">
        <v>4590022706</v>
      </c>
      <c r="Q1091" s="214">
        <v>45552</v>
      </c>
      <c r="R1091" s="334" t="s">
        <v>3907</v>
      </c>
      <c r="S1091" s="461">
        <v>30632.880000000001</v>
      </c>
      <c r="T1091" s="217" t="s">
        <v>2156</v>
      </c>
      <c r="U1091" s="209" t="s">
        <v>6500</v>
      </c>
      <c r="V1091" s="414"/>
      <c r="W1091" s="213"/>
      <c r="X1091" s="213"/>
      <c r="Y1091" s="218" t="s">
        <v>3652</v>
      </c>
      <c r="Z1091" s="218" t="s">
        <v>3652</v>
      </c>
      <c r="AA1091" s="212" t="s">
        <v>6302</v>
      </c>
      <c r="AB1091" s="209" t="s">
        <v>6496</v>
      </c>
      <c r="AC1091" s="218"/>
      <c r="AD1091" s="218"/>
      <c r="AE1091" s="218"/>
      <c r="AF1091" s="421" t="s">
        <v>6501</v>
      </c>
      <c r="AG1091" s="217" t="s">
        <v>6502</v>
      </c>
      <c r="AH1091" s="218" t="s">
        <v>3770</v>
      </c>
      <c r="AI1091" s="217"/>
      <c r="AJ1091" s="218">
        <v>4590022706</v>
      </c>
      <c r="AK1091" s="217"/>
      <c r="AL1091" s="220"/>
      <c r="AM1091" s="449"/>
      <c r="AN1091" s="227"/>
      <c r="AO1091" s="208"/>
      <c r="AP1091" s="220"/>
      <c r="AR1091" s="227"/>
      <c r="AS1091" s="614">
        <f ca="1">表格1_6[[#This Row],[total amount]]/表格1_6[[#This Row],[PO$]]</f>
        <v>0</v>
      </c>
      <c r="AT1091" s="318">
        <f ca="1">表格1_6[[#This Row],[invoice amount]]+表格1_6[[#This Row],[invoice amount2]]</f>
        <v>0</v>
      </c>
      <c r="AV1091" s="208"/>
      <c r="AW1091" s="208" t="e">
        <f ca="1">VLOOKUP(表格1_6[[#This Row],[TI tool ID2]],工作表1!A:A,1,FALSE)</f>
        <v>#N/A</v>
      </c>
      <c r="AX1091" s="341" t="e">
        <f ca="1">VLOOKUP(表格1_6[[#This Row],[PO+ITEM]],工作表1!B:E,2,FALSE)</f>
        <v>#N/A</v>
      </c>
      <c r="AY1091" s="341" t="e">
        <f ca="1">VLOOKUP(表格1_6[[#This Row],[PO+ITEM]],工作表1!B:E,3,FALSE)</f>
        <v>#N/A</v>
      </c>
      <c r="AZ1091" s="208" t="e">
        <f ca="1">VLOOKUP(表格1_6[[#This Row],[PO+ITEM]],工作表1!B:E,4,FALSE)</f>
        <v>#N/A</v>
      </c>
      <c r="BA1091" s="425" t="e">
        <f ca="1">INDEX(工作表1!G:G, MATCH(表格1_6[[#This Row],[invoice number]]&amp;表格1_6[[#This Row],[invoice number2]],工作表1!G:G, 0))</f>
        <v>#N/A</v>
      </c>
      <c r="BB1091" s="208" t="e">
        <f ca="1">VLOOKUP(表格1_6[[#This Row],[PO+ITEM]],工作表1!F:H,2,FALSE)</f>
        <v>#N/A</v>
      </c>
    </row>
    <row r="1092" spans="1:54" ht="15" customHeight="1">
      <c r="A1092" s="413">
        <v>1091</v>
      </c>
      <c r="B1092" s="220" t="s">
        <v>3659</v>
      </c>
      <c r="C1092" s="209" t="s">
        <v>16</v>
      </c>
      <c r="D1092" s="209" t="s">
        <v>3648</v>
      </c>
      <c r="E1092" s="209"/>
      <c r="F1092" s="209"/>
      <c r="G1092" s="209"/>
      <c r="H1092" s="209"/>
      <c r="I1092" s="209"/>
      <c r="J1092" s="218"/>
      <c r="K1092" s="218"/>
      <c r="L1092" s="210" t="s">
        <v>6503</v>
      </c>
      <c r="M1092" s="212" t="s">
        <v>4072</v>
      </c>
      <c r="N1092" s="212"/>
      <c r="O1092" s="218"/>
      <c r="P1092" s="212">
        <v>4590022707</v>
      </c>
      <c r="Q1092" s="214">
        <v>45552</v>
      </c>
      <c r="R1092" s="334" t="s">
        <v>3907</v>
      </c>
      <c r="S1092" s="461">
        <v>15503.81</v>
      </c>
      <c r="T1092" s="217" t="s">
        <v>2156</v>
      </c>
      <c r="U1092" s="209" t="s">
        <v>6504</v>
      </c>
      <c r="V1092" s="414"/>
      <c r="W1092" s="213"/>
      <c r="X1092" s="213"/>
      <c r="Y1092" s="218" t="s">
        <v>3652</v>
      </c>
      <c r="Z1092" s="218" t="s">
        <v>3652</v>
      </c>
      <c r="AA1092" s="212" t="s">
        <v>6302</v>
      </c>
      <c r="AB1092" s="209" t="s">
        <v>6505</v>
      </c>
      <c r="AC1092" s="218"/>
      <c r="AD1092" s="218"/>
      <c r="AE1092" s="218"/>
      <c r="AF1092" s="421" t="s">
        <v>6497</v>
      </c>
      <c r="AG1092" s="217" t="s">
        <v>6498</v>
      </c>
      <c r="AH1092" s="218" t="s">
        <v>3770</v>
      </c>
      <c r="AI1092" s="217"/>
      <c r="AJ1092" s="218">
        <v>4590022707</v>
      </c>
      <c r="AK1092" s="217"/>
      <c r="AL1092" s="220"/>
      <c r="AM1092" s="449"/>
      <c r="AN1092" s="227"/>
      <c r="AO1092" s="208"/>
      <c r="AP1092" s="220"/>
      <c r="AR1092" s="227"/>
      <c r="AS1092" s="614">
        <f ca="1">表格1_6[[#This Row],[total amount]]/表格1_6[[#This Row],[PO$]]</f>
        <v>0</v>
      </c>
      <c r="AT1092" s="318">
        <f ca="1">表格1_6[[#This Row],[invoice amount]]+表格1_6[[#This Row],[invoice amount2]]</f>
        <v>0</v>
      </c>
      <c r="AV1092" s="208"/>
      <c r="AW1092" s="208" t="e">
        <f ca="1">VLOOKUP(表格1_6[[#This Row],[TI tool ID2]],工作表1!A:A,1,FALSE)</f>
        <v>#N/A</v>
      </c>
      <c r="AX1092" s="341" t="e">
        <f ca="1">VLOOKUP(表格1_6[[#This Row],[PO+ITEM]],工作表1!B:E,2,FALSE)</f>
        <v>#N/A</v>
      </c>
      <c r="AY1092" s="341" t="e">
        <f ca="1">VLOOKUP(表格1_6[[#This Row],[PO+ITEM]],工作表1!B:E,3,FALSE)</f>
        <v>#N/A</v>
      </c>
      <c r="AZ1092" s="208" t="e">
        <f ca="1">VLOOKUP(表格1_6[[#This Row],[PO+ITEM]],工作表1!B:E,4,FALSE)</f>
        <v>#N/A</v>
      </c>
      <c r="BA1092" s="425" t="e">
        <f ca="1">INDEX(工作表1!G:G, MATCH(表格1_6[[#This Row],[invoice number]]&amp;表格1_6[[#This Row],[invoice number2]],工作表1!G:G, 0))</f>
        <v>#N/A</v>
      </c>
      <c r="BB1092" s="208" t="e">
        <f ca="1">VLOOKUP(表格1_6[[#This Row],[PO+ITEM]],工作表1!F:H,2,FALSE)</f>
        <v>#N/A</v>
      </c>
    </row>
    <row r="1093" spans="1:54" ht="15" customHeight="1">
      <c r="A1093" s="413">
        <v>1092</v>
      </c>
      <c r="B1093" s="220" t="s">
        <v>3659</v>
      </c>
      <c r="C1093" s="209" t="s">
        <v>16</v>
      </c>
      <c r="D1093" s="209" t="s">
        <v>3648</v>
      </c>
      <c r="E1093" s="209"/>
      <c r="F1093" s="209"/>
      <c r="G1093" s="209"/>
      <c r="H1093" s="209"/>
      <c r="I1093" s="209"/>
      <c r="J1093" s="218"/>
      <c r="K1093" s="218"/>
      <c r="L1093" s="210" t="s">
        <v>6506</v>
      </c>
      <c r="M1093" s="212" t="s">
        <v>4072</v>
      </c>
      <c r="N1093" s="212"/>
      <c r="O1093" s="218"/>
      <c r="P1093" s="212">
        <v>4590022708</v>
      </c>
      <c r="Q1093" s="214">
        <v>45552</v>
      </c>
      <c r="R1093" s="334" t="s">
        <v>3907</v>
      </c>
      <c r="S1093" s="461">
        <v>15503.81</v>
      </c>
      <c r="T1093" s="217" t="s">
        <v>2156</v>
      </c>
      <c r="U1093" s="209" t="s">
        <v>6507</v>
      </c>
      <c r="V1093" s="414"/>
      <c r="W1093" s="213"/>
      <c r="X1093" s="213"/>
      <c r="Y1093" s="218" t="s">
        <v>3652</v>
      </c>
      <c r="Z1093" s="218" t="s">
        <v>3652</v>
      </c>
      <c r="AA1093" s="212" t="s">
        <v>6302</v>
      </c>
      <c r="AB1093" s="209" t="s">
        <v>6505</v>
      </c>
      <c r="AC1093" s="218"/>
      <c r="AD1093" s="218"/>
      <c r="AE1093" s="218"/>
      <c r="AF1093" s="421" t="s">
        <v>6501</v>
      </c>
      <c r="AG1093" s="217" t="s">
        <v>6502</v>
      </c>
      <c r="AH1093" s="218" t="s">
        <v>3770</v>
      </c>
      <c r="AI1093" s="217"/>
      <c r="AJ1093" s="218">
        <v>4590022708</v>
      </c>
      <c r="AK1093" s="217"/>
      <c r="AL1093" s="220"/>
      <c r="AM1093" s="449"/>
      <c r="AN1093" s="227"/>
      <c r="AO1093" s="208"/>
      <c r="AP1093" s="220"/>
      <c r="AR1093" s="227"/>
      <c r="AS1093" s="614">
        <f ca="1">表格1_6[[#This Row],[total amount]]/表格1_6[[#This Row],[PO$]]</f>
        <v>0</v>
      </c>
      <c r="AT1093" s="318">
        <f ca="1">表格1_6[[#This Row],[invoice amount]]+表格1_6[[#This Row],[invoice amount2]]</f>
        <v>0</v>
      </c>
      <c r="AV1093" s="208"/>
      <c r="AW1093" s="208" t="e">
        <f ca="1">VLOOKUP(表格1_6[[#This Row],[TI tool ID2]],工作表1!A:A,1,FALSE)</f>
        <v>#N/A</v>
      </c>
      <c r="AX1093" s="341" t="e">
        <f ca="1">VLOOKUP(表格1_6[[#This Row],[PO+ITEM]],工作表1!B:E,2,FALSE)</f>
        <v>#N/A</v>
      </c>
      <c r="AY1093" s="341" t="e">
        <f ca="1">VLOOKUP(表格1_6[[#This Row],[PO+ITEM]],工作表1!B:E,3,FALSE)</f>
        <v>#N/A</v>
      </c>
      <c r="AZ1093" s="208" t="e">
        <f ca="1">VLOOKUP(表格1_6[[#This Row],[PO+ITEM]],工作表1!B:E,4,FALSE)</f>
        <v>#N/A</v>
      </c>
      <c r="BA1093" s="425" t="e">
        <f ca="1">INDEX(工作表1!G:G, MATCH(表格1_6[[#This Row],[invoice number]]&amp;表格1_6[[#This Row],[invoice number2]],工作表1!G:G, 0))</f>
        <v>#N/A</v>
      </c>
      <c r="BB1093" s="208" t="e">
        <f ca="1">VLOOKUP(表格1_6[[#This Row],[PO+ITEM]],工作表1!F:H,2,FALSE)</f>
        <v>#N/A</v>
      </c>
    </row>
    <row r="1094" spans="1:54" ht="15" customHeight="1">
      <c r="A1094" s="413">
        <v>1093</v>
      </c>
      <c r="B1094" s="220" t="s">
        <v>3659</v>
      </c>
      <c r="C1094" s="209" t="s">
        <v>17</v>
      </c>
      <c r="D1094" s="209" t="s">
        <v>3648</v>
      </c>
      <c r="E1094" s="209"/>
      <c r="F1094" s="209"/>
      <c r="G1094" s="209"/>
      <c r="H1094" s="209"/>
      <c r="I1094" s="209"/>
      <c r="J1094" s="218"/>
      <c r="K1094" s="218"/>
      <c r="L1094" s="210" t="s">
        <v>6508</v>
      </c>
      <c r="M1094" s="212" t="s">
        <v>4072</v>
      </c>
      <c r="N1094" s="212"/>
      <c r="O1094" s="218"/>
      <c r="P1094" s="212">
        <v>4590022709</v>
      </c>
      <c r="Q1094" s="214">
        <v>45552</v>
      </c>
      <c r="R1094" s="334" t="s">
        <v>3907</v>
      </c>
      <c r="S1094" s="461">
        <v>58048.08</v>
      </c>
      <c r="T1094" s="217" t="s">
        <v>2156</v>
      </c>
      <c r="U1094" s="209" t="s">
        <v>6509</v>
      </c>
      <c r="V1094" s="414"/>
      <c r="W1094" s="213"/>
      <c r="X1094" s="213"/>
      <c r="Y1094" s="218" t="s">
        <v>3652</v>
      </c>
      <c r="Z1094" s="218" t="s">
        <v>3652</v>
      </c>
      <c r="AA1094" s="212" t="s">
        <v>6302</v>
      </c>
      <c r="AB1094" s="209" t="s">
        <v>6510</v>
      </c>
      <c r="AC1094" s="218"/>
      <c r="AD1094" s="218"/>
      <c r="AE1094" s="218"/>
      <c r="AF1094" s="421" t="s">
        <v>6511</v>
      </c>
      <c r="AG1094" s="217" t="s">
        <v>4932</v>
      </c>
      <c r="AH1094" s="218" t="s">
        <v>3770</v>
      </c>
      <c r="AI1094" s="217"/>
      <c r="AJ1094" s="218">
        <v>4590022709</v>
      </c>
      <c r="AK1094" s="217"/>
      <c r="AL1094" s="220"/>
      <c r="AM1094" s="449"/>
      <c r="AN1094" s="227"/>
      <c r="AO1094" s="208"/>
      <c r="AP1094" s="220"/>
      <c r="AR1094" s="227"/>
      <c r="AS1094" s="614">
        <f ca="1">表格1_6[[#This Row],[total amount]]/表格1_6[[#This Row],[PO$]]</f>
        <v>0</v>
      </c>
      <c r="AT1094" s="318">
        <f ca="1">表格1_6[[#This Row],[invoice amount]]+表格1_6[[#This Row],[invoice amount2]]</f>
        <v>0</v>
      </c>
      <c r="AV1094" s="208"/>
      <c r="AW1094" s="208" t="e">
        <f ca="1">VLOOKUP(表格1_6[[#This Row],[TI tool ID2]],工作表1!A:A,1,FALSE)</f>
        <v>#N/A</v>
      </c>
      <c r="AX1094" s="341" t="e">
        <f ca="1">VLOOKUP(表格1_6[[#This Row],[PO+ITEM]],工作表1!B:E,2,FALSE)</f>
        <v>#N/A</v>
      </c>
      <c r="AY1094" s="341" t="e">
        <f ca="1">VLOOKUP(表格1_6[[#This Row],[PO+ITEM]],工作表1!B:E,3,FALSE)</f>
        <v>#N/A</v>
      </c>
      <c r="AZ1094" s="208" t="e">
        <f ca="1">VLOOKUP(表格1_6[[#This Row],[PO+ITEM]],工作表1!B:E,4,FALSE)</f>
        <v>#N/A</v>
      </c>
      <c r="BA1094" s="425" t="e">
        <f ca="1">INDEX(工作表1!G:G, MATCH(表格1_6[[#This Row],[invoice number]]&amp;表格1_6[[#This Row],[invoice number2]],工作表1!G:G, 0))</f>
        <v>#N/A</v>
      </c>
      <c r="BB1094" s="208" t="e">
        <f ca="1">VLOOKUP(表格1_6[[#This Row],[PO+ITEM]],工作表1!F:H,2,FALSE)</f>
        <v>#N/A</v>
      </c>
    </row>
    <row r="1095" spans="1:54" ht="15" customHeight="1">
      <c r="A1095" s="413">
        <v>1094</v>
      </c>
      <c r="B1095" s="220" t="s">
        <v>3659</v>
      </c>
      <c r="C1095" s="209" t="s">
        <v>16</v>
      </c>
      <c r="D1095" s="209" t="s">
        <v>3648</v>
      </c>
      <c r="E1095" s="209"/>
      <c r="F1095" s="209"/>
      <c r="G1095" s="209"/>
      <c r="H1095" s="209"/>
      <c r="I1095" s="209"/>
      <c r="J1095" s="218"/>
      <c r="K1095" s="218"/>
      <c r="L1095" s="210" t="s">
        <v>6512</v>
      </c>
      <c r="M1095" s="212" t="s">
        <v>4072</v>
      </c>
      <c r="N1095" s="212"/>
      <c r="O1095" s="218"/>
      <c r="P1095" s="212">
        <v>4590022710</v>
      </c>
      <c r="Q1095" s="214">
        <v>45552</v>
      </c>
      <c r="R1095" s="334" t="s">
        <v>3907</v>
      </c>
      <c r="S1095" s="461">
        <v>31282.16</v>
      </c>
      <c r="T1095" s="217" t="s">
        <v>2156</v>
      </c>
      <c r="U1095" s="209" t="s">
        <v>6513</v>
      </c>
      <c r="V1095" s="414"/>
      <c r="W1095" s="213"/>
      <c r="X1095" s="213"/>
      <c r="Y1095" s="218" t="s">
        <v>3652</v>
      </c>
      <c r="Z1095" s="218" t="s">
        <v>3652</v>
      </c>
      <c r="AA1095" s="212" t="s">
        <v>6302</v>
      </c>
      <c r="AB1095" s="209" t="s">
        <v>6514</v>
      </c>
      <c r="AC1095" s="218"/>
      <c r="AD1095" s="218"/>
      <c r="AE1095" s="218"/>
      <c r="AF1095" s="421" t="s">
        <v>6511</v>
      </c>
      <c r="AG1095" s="217" t="s">
        <v>4932</v>
      </c>
      <c r="AH1095" s="218" t="s">
        <v>3770</v>
      </c>
      <c r="AI1095" s="217"/>
      <c r="AJ1095" s="218">
        <v>4590022710</v>
      </c>
      <c r="AK1095" s="217"/>
      <c r="AL1095" s="220"/>
      <c r="AM1095" s="449"/>
      <c r="AN1095" s="227"/>
      <c r="AO1095" s="208"/>
      <c r="AP1095" s="220"/>
      <c r="AR1095" s="227"/>
      <c r="AS1095" s="614">
        <f ca="1">表格1_6[[#This Row],[total amount]]/表格1_6[[#This Row],[PO$]]</f>
        <v>0</v>
      </c>
      <c r="AT1095" s="318">
        <f ca="1">表格1_6[[#This Row],[invoice amount]]+表格1_6[[#This Row],[invoice amount2]]</f>
        <v>0</v>
      </c>
      <c r="AV1095" s="208"/>
      <c r="AW1095" s="208" t="e">
        <f ca="1">VLOOKUP(表格1_6[[#This Row],[TI tool ID2]],工作表1!A:A,1,FALSE)</f>
        <v>#N/A</v>
      </c>
      <c r="AX1095" s="341" t="e">
        <f ca="1">VLOOKUP(表格1_6[[#This Row],[PO+ITEM]],工作表1!B:E,2,FALSE)</f>
        <v>#N/A</v>
      </c>
      <c r="AY1095" s="341" t="e">
        <f ca="1">VLOOKUP(表格1_6[[#This Row],[PO+ITEM]],工作表1!B:E,3,FALSE)</f>
        <v>#N/A</v>
      </c>
      <c r="AZ1095" s="208" t="e">
        <f ca="1">VLOOKUP(表格1_6[[#This Row],[PO+ITEM]],工作表1!B:E,4,FALSE)</f>
        <v>#N/A</v>
      </c>
      <c r="BA1095" s="425" t="e">
        <f ca="1">INDEX(工作表1!G:G, MATCH(表格1_6[[#This Row],[invoice number]]&amp;表格1_6[[#This Row],[invoice number2]],工作表1!G:G, 0))</f>
        <v>#N/A</v>
      </c>
      <c r="BB1095" s="208" t="e">
        <f ca="1">VLOOKUP(表格1_6[[#This Row],[PO+ITEM]],工作表1!F:H,2,FALSE)</f>
        <v>#N/A</v>
      </c>
    </row>
    <row r="1096" spans="1:54" ht="15" customHeight="1">
      <c r="A1096" s="413">
        <v>1095</v>
      </c>
      <c r="B1096" s="220" t="s">
        <v>3659</v>
      </c>
      <c r="C1096" s="209" t="s">
        <v>17</v>
      </c>
      <c r="D1096" s="209" t="s">
        <v>3648</v>
      </c>
      <c r="E1096" s="209"/>
      <c r="F1096" s="209"/>
      <c r="G1096" s="209"/>
      <c r="H1096" s="209"/>
      <c r="I1096" s="209"/>
      <c r="J1096" s="218"/>
      <c r="K1096" s="218"/>
      <c r="L1096" s="210" t="s">
        <v>6515</v>
      </c>
      <c r="M1096" s="212" t="s">
        <v>4072</v>
      </c>
      <c r="N1096" s="212"/>
      <c r="O1096" s="218"/>
      <c r="P1096" s="212">
        <v>4590022711</v>
      </c>
      <c r="Q1096" s="214">
        <v>45552</v>
      </c>
      <c r="R1096" s="334" t="s">
        <v>3907</v>
      </c>
      <c r="S1096" s="461">
        <v>321792.5</v>
      </c>
      <c r="T1096" s="217" t="s">
        <v>2156</v>
      </c>
      <c r="U1096" s="209" t="s">
        <v>6516</v>
      </c>
      <c r="V1096" s="414"/>
      <c r="W1096" s="213"/>
      <c r="X1096" s="213"/>
      <c r="Y1096" s="218" t="s">
        <v>3652</v>
      </c>
      <c r="Z1096" s="218" t="s">
        <v>3652</v>
      </c>
      <c r="AA1096" s="212" t="s">
        <v>6302</v>
      </c>
      <c r="AB1096" s="209" t="s">
        <v>6517</v>
      </c>
      <c r="AC1096" s="218"/>
      <c r="AD1096" s="218"/>
      <c r="AE1096" s="218"/>
      <c r="AF1096" s="421" t="s">
        <v>6518</v>
      </c>
      <c r="AG1096" s="217" t="s">
        <v>6519</v>
      </c>
      <c r="AH1096" s="218" t="s">
        <v>3770</v>
      </c>
      <c r="AI1096" s="217"/>
      <c r="AJ1096" s="218">
        <v>4590022711</v>
      </c>
      <c r="AK1096" s="217"/>
      <c r="AL1096" s="220"/>
      <c r="AM1096" s="449"/>
      <c r="AN1096" s="227"/>
      <c r="AO1096" s="208"/>
      <c r="AP1096" s="220"/>
      <c r="AR1096" s="227"/>
      <c r="AS1096" s="614">
        <f ca="1">表格1_6[[#This Row],[total amount]]/表格1_6[[#This Row],[PO$]]</f>
        <v>0</v>
      </c>
      <c r="AT1096" s="318">
        <f ca="1">表格1_6[[#This Row],[invoice amount]]+表格1_6[[#This Row],[invoice amount2]]</f>
        <v>0</v>
      </c>
      <c r="AV1096" s="208"/>
      <c r="AW1096" s="208" t="e">
        <f ca="1">VLOOKUP(表格1_6[[#This Row],[TI tool ID2]],工作表1!A:A,1,FALSE)</f>
        <v>#N/A</v>
      </c>
      <c r="AX1096" s="341" t="e">
        <f ca="1">VLOOKUP(表格1_6[[#This Row],[PO+ITEM]],工作表1!B:E,2,FALSE)</f>
        <v>#N/A</v>
      </c>
      <c r="AY1096" s="341" t="e">
        <f ca="1">VLOOKUP(表格1_6[[#This Row],[PO+ITEM]],工作表1!B:E,3,FALSE)</f>
        <v>#N/A</v>
      </c>
      <c r="AZ1096" s="208" t="e">
        <f ca="1">VLOOKUP(表格1_6[[#This Row],[PO+ITEM]],工作表1!B:E,4,FALSE)</f>
        <v>#N/A</v>
      </c>
      <c r="BA1096" s="425" t="e">
        <f ca="1">INDEX(工作表1!G:G, MATCH(表格1_6[[#This Row],[invoice number]]&amp;表格1_6[[#This Row],[invoice number2]],工作表1!G:G, 0))</f>
        <v>#N/A</v>
      </c>
      <c r="BB1096" s="208" t="e">
        <f ca="1">VLOOKUP(表格1_6[[#This Row],[PO+ITEM]],工作表1!F:H,2,FALSE)</f>
        <v>#N/A</v>
      </c>
    </row>
    <row r="1097" spans="1:54" ht="15" customHeight="1">
      <c r="A1097" s="413">
        <v>1096</v>
      </c>
      <c r="B1097" s="220" t="s">
        <v>3659</v>
      </c>
      <c r="C1097" s="209" t="s">
        <v>17</v>
      </c>
      <c r="D1097" s="209" t="s">
        <v>3648</v>
      </c>
      <c r="E1097" s="209"/>
      <c r="F1097" s="209"/>
      <c r="G1097" s="209"/>
      <c r="H1097" s="209"/>
      <c r="I1097" s="209"/>
      <c r="J1097" s="218"/>
      <c r="K1097" s="218"/>
      <c r="L1097" s="210" t="s">
        <v>6520</v>
      </c>
      <c r="M1097" s="212" t="s">
        <v>4072</v>
      </c>
      <c r="N1097" s="212"/>
      <c r="O1097" s="218"/>
      <c r="P1097" s="212">
        <v>4590022712</v>
      </c>
      <c r="Q1097" s="214">
        <v>45552</v>
      </c>
      <c r="R1097" s="334" t="s">
        <v>3907</v>
      </c>
      <c r="S1097" s="461">
        <v>321792.5</v>
      </c>
      <c r="T1097" s="217" t="s">
        <v>2156</v>
      </c>
      <c r="U1097" s="209" t="s">
        <v>6521</v>
      </c>
      <c r="V1097" s="414"/>
      <c r="W1097" s="213"/>
      <c r="X1097" s="213"/>
      <c r="Y1097" s="218" t="s">
        <v>3652</v>
      </c>
      <c r="Z1097" s="218" t="s">
        <v>3652</v>
      </c>
      <c r="AA1097" s="212" t="s">
        <v>6302</v>
      </c>
      <c r="AB1097" s="209" t="s">
        <v>6517</v>
      </c>
      <c r="AC1097" s="218"/>
      <c r="AD1097" s="218"/>
      <c r="AE1097" s="218"/>
      <c r="AF1097" s="421" t="s">
        <v>6522</v>
      </c>
      <c r="AG1097" s="217" t="s">
        <v>6523</v>
      </c>
      <c r="AH1097" s="218" t="s">
        <v>3770</v>
      </c>
      <c r="AI1097" s="217"/>
      <c r="AJ1097" s="218">
        <v>4590022712</v>
      </c>
      <c r="AK1097" s="217"/>
      <c r="AL1097" s="220"/>
      <c r="AM1097" s="449"/>
      <c r="AN1097" s="227"/>
      <c r="AO1097" s="208"/>
      <c r="AP1097" s="220"/>
      <c r="AR1097" s="227"/>
      <c r="AS1097" s="614">
        <f ca="1">表格1_6[[#This Row],[total amount]]/表格1_6[[#This Row],[PO$]]</f>
        <v>0</v>
      </c>
      <c r="AT1097" s="318">
        <f ca="1">表格1_6[[#This Row],[invoice amount]]+表格1_6[[#This Row],[invoice amount2]]</f>
        <v>0</v>
      </c>
      <c r="AV1097" s="208"/>
      <c r="AW1097" s="208" t="e">
        <f ca="1">VLOOKUP(表格1_6[[#This Row],[TI tool ID2]],工作表1!A:A,1,FALSE)</f>
        <v>#N/A</v>
      </c>
      <c r="AX1097" s="341" t="e">
        <f ca="1">VLOOKUP(表格1_6[[#This Row],[PO+ITEM]],工作表1!B:E,2,FALSE)</f>
        <v>#N/A</v>
      </c>
      <c r="AY1097" s="341" t="e">
        <f ca="1">VLOOKUP(表格1_6[[#This Row],[PO+ITEM]],工作表1!B:E,3,FALSE)</f>
        <v>#N/A</v>
      </c>
      <c r="AZ1097" s="208" t="e">
        <f ca="1">VLOOKUP(表格1_6[[#This Row],[PO+ITEM]],工作表1!B:E,4,FALSE)</f>
        <v>#N/A</v>
      </c>
      <c r="BA1097" s="425" t="e">
        <f ca="1">INDEX(工作表1!G:G, MATCH(表格1_6[[#This Row],[invoice number]]&amp;表格1_6[[#This Row],[invoice number2]],工作表1!G:G, 0))</f>
        <v>#N/A</v>
      </c>
      <c r="BB1097" s="208" t="e">
        <f ca="1">VLOOKUP(表格1_6[[#This Row],[PO+ITEM]],工作表1!F:H,2,FALSE)</f>
        <v>#N/A</v>
      </c>
    </row>
    <row r="1098" spans="1:54" ht="15" customHeight="1">
      <c r="A1098" s="413">
        <v>1097</v>
      </c>
      <c r="B1098" s="220" t="s">
        <v>3659</v>
      </c>
      <c r="C1098" s="209" t="s">
        <v>17</v>
      </c>
      <c r="D1098" s="209" t="s">
        <v>3648</v>
      </c>
      <c r="E1098" s="209"/>
      <c r="F1098" s="209"/>
      <c r="G1098" s="209"/>
      <c r="H1098" s="209"/>
      <c r="I1098" s="209"/>
      <c r="J1098" s="218"/>
      <c r="K1098" s="218"/>
      <c r="L1098" s="210" t="s">
        <v>6524</v>
      </c>
      <c r="M1098" s="212" t="s">
        <v>4072</v>
      </c>
      <c r="N1098" s="212"/>
      <c r="O1098" s="218"/>
      <c r="P1098" s="212">
        <v>4590022713</v>
      </c>
      <c r="Q1098" s="214">
        <v>45552</v>
      </c>
      <c r="R1098" s="334" t="s">
        <v>3907</v>
      </c>
      <c r="S1098" s="461">
        <v>321792.5</v>
      </c>
      <c r="T1098" s="217" t="s">
        <v>2156</v>
      </c>
      <c r="U1098" s="209" t="s">
        <v>6525</v>
      </c>
      <c r="V1098" s="414"/>
      <c r="W1098" s="213"/>
      <c r="X1098" s="213"/>
      <c r="Y1098" s="218" t="s">
        <v>3652</v>
      </c>
      <c r="Z1098" s="218" t="s">
        <v>3652</v>
      </c>
      <c r="AA1098" s="212" t="s">
        <v>6302</v>
      </c>
      <c r="AB1098" s="209" t="s">
        <v>6517</v>
      </c>
      <c r="AC1098" s="218"/>
      <c r="AD1098" s="218"/>
      <c r="AE1098" s="218"/>
      <c r="AF1098" s="421" t="s">
        <v>6526</v>
      </c>
      <c r="AG1098" s="217" t="s">
        <v>6527</v>
      </c>
      <c r="AH1098" s="218" t="s">
        <v>3770</v>
      </c>
      <c r="AI1098" s="217"/>
      <c r="AJ1098" s="218">
        <v>4590022713</v>
      </c>
      <c r="AK1098" s="217"/>
      <c r="AL1098" s="220"/>
      <c r="AM1098" s="449"/>
      <c r="AN1098" s="227"/>
      <c r="AO1098" s="208"/>
      <c r="AP1098" s="220"/>
      <c r="AR1098" s="227"/>
      <c r="AS1098" s="614">
        <f ca="1">表格1_6[[#This Row],[total amount]]/表格1_6[[#This Row],[PO$]]</f>
        <v>0</v>
      </c>
      <c r="AT1098" s="318">
        <f ca="1">表格1_6[[#This Row],[invoice amount]]+表格1_6[[#This Row],[invoice amount2]]</f>
        <v>0</v>
      </c>
      <c r="AV1098" s="208"/>
      <c r="AW1098" s="208" t="e">
        <f ca="1">VLOOKUP(表格1_6[[#This Row],[TI tool ID2]],工作表1!A:A,1,FALSE)</f>
        <v>#N/A</v>
      </c>
      <c r="AX1098" s="341" t="e">
        <f ca="1">VLOOKUP(表格1_6[[#This Row],[PO+ITEM]],工作表1!B:E,2,FALSE)</f>
        <v>#N/A</v>
      </c>
      <c r="AY1098" s="341" t="e">
        <f ca="1">VLOOKUP(表格1_6[[#This Row],[PO+ITEM]],工作表1!B:E,3,FALSE)</f>
        <v>#N/A</v>
      </c>
      <c r="AZ1098" s="208" t="e">
        <f ca="1">VLOOKUP(表格1_6[[#This Row],[PO+ITEM]],工作表1!B:E,4,FALSE)</f>
        <v>#N/A</v>
      </c>
      <c r="BA1098" s="425" t="e">
        <f ca="1">INDEX(工作表1!G:G, MATCH(表格1_6[[#This Row],[invoice number]]&amp;表格1_6[[#This Row],[invoice number2]],工作表1!G:G, 0))</f>
        <v>#N/A</v>
      </c>
      <c r="BB1098" s="208" t="e">
        <f ca="1">VLOOKUP(表格1_6[[#This Row],[PO+ITEM]],工作表1!F:H,2,FALSE)</f>
        <v>#N/A</v>
      </c>
    </row>
    <row r="1099" spans="1:54" ht="15" customHeight="1">
      <c r="A1099" s="413">
        <v>1098</v>
      </c>
      <c r="B1099" s="220" t="s">
        <v>3659</v>
      </c>
      <c r="C1099" s="209" t="s">
        <v>17</v>
      </c>
      <c r="D1099" s="209" t="s">
        <v>3648</v>
      </c>
      <c r="E1099" s="209"/>
      <c r="F1099" s="209"/>
      <c r="G1099" s="209"/>
      <c r="H1099" s="209"/>
      <c r="I1099" s="209"/>
      <c r="J1099" s="218"/>
      <c r="K1099" s="218"/>
      <c r="L1099" s="210" t="s">
        <v>6528</v>
      </c>
      <c r="M1099" s="212" t="s">
        <v>4072</v>
      </c>
      <c r="N1099" s="212"/>
      <c r="O1099" s="218"/>
      <c r="P1099" s="212">
        <v>4590022714</v>
      </c>
      <c r="Q1099" s="214">
        <v>45552</v>
      </c>
      <c r="R1099" s="334" t="s">
        <v>3907</v>
      </c>
      <c r="S1099" s="461">
        <v>321792.5</v>
      </c>
      <c r="T1099" s="217" t="s">
        <v>2156</v>
      </c>
      <c r="U1099" s="209" t="s">
        <v>6529</v>
      </c>
      <c r="V1099" s="414"/>
      <c r="W1099" s="213"/>
      <c r="X1099" s="213"/>
      <c r="Y1099" s="218" t="s">
        <v>3652</v>
      </c>
      <c r="Z1099" s="218" t="s">
        <v>3652</v>
      </c>
      <c r="AA1099" s="212" t="s">
        <v>6302</v>
      </c>
      <c r="AB1099" s="209" t="s">
        <v>6517</v>
      </c>
      <c r="AC1099" s="218"/>
      <c r="AD1099" s="218"/>
      <c r="AE1099" s="218"/>
      <c r="AF1099" s="421" t="s">
        <v>6530</v>
      </c>
      <c r="AG1099" s="217" t="s">
        <v>6531</v>
      </c>
      <c r="AH1099" s="218" t="s">
        <v>3770</v>
      </c>
      <c r="AI1099" s="217"/>
      <c r="AJ1099" s="218">
        <v>4590022714</v>
      </c>
      <c r="AK1099" s="217"/>
      <c r="AL1099" s="220"/>
      <c r="AM1099" s="449"/>
      <c r="AN1099" s="227"/>
      <c r="AO1099" s="208"/>
      <c r="AP1099" s="220"/>
      <c r="AR1099" s="227"/>
      <c r="AS1099" s="614">
        <f ca="1">表格1_6[[#This Row],[total amount]]/表格1_6[[#This Row],[PO$]]</f>
        <v>0</v>
      </c>
      <c r="AT1099" s="318">
        <f ca="1">表格1_6[[#This Row],[invoice amount]]+表格1_6[[#This Row],[invoice amount2]]</f>
        <v>0</v>
      </c>
      <c r="AV1099" s="208"/>
      <c r="AW1099" s="208" t="e">
        <f ca="1">VLOOKUP(表格1_6[[#This Row],[TI tool ID2]],工作表1!A:A,1,FALSE)</f>
        <v>#N/A</v>
      </c>
      <c r="AX1099" s="341" t="e">
        <f ca="1">VLOOKUP(表格1_6[[#This Row],[PO+ITEM]],工作表1!B:E,2,FALSE)</f>
        <v>#N/A</v>
      </c>
      <c r="AY1099" s="341" t="e">
        <f ca="1">VLOOKUP(表格1_6[[#This Row],[PO+ITEM]],工作表1!B:E,3,FALSE)</f>
        <v>#N/A</v>
      </c>
      <c r="AZ1099" s="208" t="e">
        <f ca="1">VLOOKUP(表格1_6[[#This Row],[PO+ITEM]],工作表1!B:E,4,FALSE)</f>
        <v>#N/A</v>
      </c>
      <c r="BA1099" s="425" t="e">
        <f ca="1">INDEX(工作表1!G:G, MATCH(表格1_6[[#This Row],[invoice number]]&amp;表格1_6[[#This Row],[invoice number2]],工作表1!G:G, 0))</f>
        <v>#N/A</v>
      </c>
      <c r="BB1099" s="208" t="e">
        <f ca="1">VLOOKUP(表格1_6[[#This Row],[PO+ITEM]],工作表1!F:H,2,FALSE)</f>
        <v>#N/A</v>
      </c>
    </row>
    <row r="1100" spans="1:54" ht="15" customHeight="1">
      <c r="A1100" s="413">
        <v>1099</v>
      </c>
      <c r="B1100" s="220" t="s">
        <v>3659</v>
      </c>
      <c r="C1100" s="209" t="s">
        <v>17</v>
      </c>
      <c r="D1100" s="209" t="s">
        <v>3648</v>
      </c>
      <c r="E1100" s="209"/>
      <c r="F1100" s="209"/>
      <c r="G1100" s="209"/>
      <c r="H1100" s="209"/>
      <c r="I1100" s="209"/>
      <c r="J1100" s="218"/>
      <c r="K1100" s="218"/>
      <c r="L1100" s="210" t="s">
        <v>6532</v>
      </c>
      <c r="M1100" s="212" t="s">
        <v>4072</v>
      </c>
      <c r="N1100" s="212"/>
      <c r="O1100" s="218"/>
      <c r="P1100" s="212">
        <v>4590022715</v>
      </c>
      <c r="Q1100" s="214">
        <v>45552</v>
      </c>
      <c r="R1100" s="334" t="s">
        <v>3907</v>
      </c>
      <c r="S1100" s="461">
        <v>321792.5</v>
      </c>
      <c r="T1100" s="217" t="s">
        <v>2156</v>
      </c>
      <c r="U1100" s="209" t="s">
        <v>6533</v>
      </c>
      <c r="V1100" s="414"/>
      <c r="W1100" s="213"/>
      <c r="X1100" s="213"/>
      <c r="Y1100" s="218" t="s">
        <v>3652</v>
      </c>
      <c r="Z1100" s="218" t="s">
        <v>3652</v>
      </c>
      <c r="AA1100" s="212" t="s">
        <v>6302</v>
      </c>
      <c r="AB1100" s="209" t="s">
        <v>6517</v>
      </c>
      <c r="AC1100" s="218"/>
      <c r="AD1100" s="218"/>
      <c r="AE1100" s="218"/>
      <c r="AF1100" s="421" t="s">
        <v>6534</v>
      </c>
      <c r="AG1100" s="217" t="s">
        <v>6535</v>
      </c>
      <c r="AH1100" s="218" t="s">
        <v>3770</v>
      </c>
      <c r="AI1100" s="217"/>
      <c r="AJ1100" s="218">
        <v>4590022715</v>
      </c>
      <c r="AK1100" s="217"/>
      <c r="AL1100" s="220"/>
      <c r="AM1100" s="449"/>
      <c r="AN1100" s="227"/>
      <c r="AO1100" s="208"/>
      <c r="AP1100" s="220"/>
      <c r="AR1100" s="227"/>
      <c r="AS1100" s="614">
        <f ca="1">表格1_6[[#This Row],[total amount]]/表格1_6[[#This Row],[PO$]]</f>
        <v>0</v>
      </c>
      <c r="AT1100" s="318">
        <f ca="1">表格1_6[[#This Row],[invoice amount]]+表格1_6[[#This Row],[invoice amount2]]</f>
        <v>0</v>
      </c>
      <c r="AV1100" s="208"/>
      <c r="AW1100" s="208" t="e">
        <f ca="1">VLOOKUP(表格1_6[[#This Row],[TI tool ID2]],工作表1!A:A,1,FALSE)</f>
        <v>#N/A</v>
      </c>
      <c r="AX1100" s="341" t="e">
        <f ca="1">VLOOKUP(表格1_6[[#This Row],[PO+ITEM]],工作表1!B:E,2,FALSE)</f>
        <v>#N/A</v>
      </c>
      <c r="AY1100" s="341" t="e">
        <f ca="1">VLOOKUP(表格1_6[[#This Row],[PO+ITEM]],工作表1!B:E,3,FALSE)</f>
        <v>#N/A</v>
      </c>
      <c r="AZ1100" s="208" t="e">
        <f ca="1">VLOOKUP(表格1_6[[#This Row],[PO+ITEM]],工作表1!B:E,4,FALSE)</f>
        <v>#N/A</v>
      </c>
      <c r="BA1100" s="425" t="e">
        <f ca="1">INDEX(工作表1!G:G, MATCH(表格1_6[[#This Row],[invoice number]]&amp;表格1_6[[#This Row],[invoice number2]],工作表1!G:G, 0))</f>
        <v>#N/A</v>
      </c>
      <c r="BB1100" s="208" t="e">
        <f ca="1">VLOOKUP(表格1_6[[#This Row],[PO+ITEM]],工作表1!F:H,2,FALSE)</f>
        <v>#N/A</v>
      </c>
    </row>
    <row r="1101" spans="1:54" ht="15" customHeight="1">
      <c r="A1101" s="413">
        <v>1100</v>
      </c>
      <c r="B1101" s="220" t="s">
        <v>3659</v>
      </c>
      <c r="C1101" s="209" t="s">
        <v>17</v>
      </c>
      <c r="D1101" s="209" t="s">
        <v>3648</v>
      </c>
      <c r="E1101" s="209"/>
      <c r="F1101" s="209"/>
      <c r="G1101" s="209"/>
      <c r="H1101" s="209"/>
      <c r="I1101" s="209"/>
      <c r="J1101" s="218"/>
      <c r="K1101" s="218"/>
      <c r="L1101" s="210" t="s">
        <v>6536</v>
      </c>
      <c r="M1101" s="212" t="s">
        <v>4072</v>
      </c>
      <c r="N1101" s="212"/>
      <c r="O1101" s="218"/>
      <c r="P1101" s="212">
        <v>4590022716</v>
      </c>
      <c r="Q1101" s="214">
        <v>45552</v>
      </c>
      <c r="R1101" s="334" t="s">
        <v>3907</v>
      </c>
      <c r="S1101" s="461">
        <v>321792.5</v>
      </c>
      <c r="T1101" s="217" t="s">
        <v>2156</v>
      </c>
      <c r="U1101" s="209" t="s">
        <v>6537</v>
      </c>
      <c r="V1101" s="414"/>
      <c r="W1101" s="213"/>
      <c r="X1101" s="213"/>
      <c r="Y1101" s="218" t="s">
        <v>3652</v>
      </c>
      <c r="Z1101" s="218" t="s">
        <v>3652</v>
      </c>
      <c r="AA1101" s="212" t="s">
        <v>6302</v>
      </c>
      <c r="AB1101" s="209" t="s">
        <v>6517</v>
      </c>
      <c r="AC1101" s="218"/>
      <c r="AD1101" s="218"/>
      <c r="AE1101" s="218"/>
      <c r="AF1101" s="421" t="s">
        <v>6538</v>
      </c>
      <c r="AG1101" s="217" t="s">
        <v>6539</v>
      </c>
      <c r="AH1101" s="218" t="s">
        <v>3770</v>
      </c>
      <c r="AI1101" s="217"/>
      <c r="AJ1101" s="218">
        <v>4590022716</v>
      </c>
      <c r="AK1101" s="217"/>
      <c r="AL1101" s="220"/>
      <c r="AM1101" s="449"/>
      <c r="AN1101" s="227"/>
      <c r="AO1101" s="208"/>
      <c r="AP1101" s="220"/>
      <c r="AR1101" s="227"/>
      <c r="AS1101" s="614">
        <f ca="1">表格1_6[[#This Row],[total amount]]/表格1_6[[#This Row],[PO$]]</f>
        <v>0</v>
      </c>
      <c r="AT1101" s="318">
        <f ca="1">表格1_6[[#This Row],[invoice amount]]+表格1_6[[#This Row],[invoice amount2]]</f>
        <v>0</v>
      </c>
      <c r="AV1101" s="208"/>
      <c r="AW1101" s="208" t="e">
        <f ca="1">VLOOKUP(表格1_6[[#This Row],[TI tool ID2]],工作表1!A:A,1,FALSE)</f>
        <v>#N/A</v>
      </c>
      <c r="AX1101" s="341" t="e">
        <f ca="1">VLOOKUP(表格1_6[[#This Row],[PO+ITEM]],工作表1!B:E,2,FALSE)</f>
        <v>#N/A</v>
      </c>
      <c r="AY1101" s="341" t="e">
        <f ca="1">VLOOKUP(表格1_6[[#This Row],[PO+ITEM]],工作表1!B:E,3,FALSE)</f>
        <v>#N/A</v>
      </c>
      <c r="AZ1101" s="208" t="e">
        <f ca="1">VLOOKUP(表格1_6[[#This Row],[PO+ITEM]],工作表1!B:E,4,FALSE)</f>
        <v>#N/A</v>
      </c>
      <c r="BA1101" s="425" t="e">
        <f ca="1">INDEX(工作表1!G:G, MATCH(表格1_6[[#This Row],[invoice number]]&amp;表格1_6[[#This Row],[invoice number2]],工作表1!G:G, 0))</f>
        <v>#N/A</v>
      </c>
      <c r="BB1101" s="208" t="e">
        <f ca="1">VLOOKUP(表格1_6[[#This Row],[PO+ITEM]],工作表1!F:H,2,FALSE)</f>
        <v>#N/A</v>
      </c>
    </row>
    <row r="1102" spans="1:54" ht="15" customHeight="1">
      <c r="A1102" s="413">
        <v>1101</v>
      </c>
      <c r="B1102" s="220" t="s">
        <v>3659</v>
      </c>
      <c r="C1102" s="209" t="s">
        <v>17</v>
      </c>
      <c r="D1102" s="209" t="s">
        <v>3648</v>
      </c>
      <c r="E1102" s="209"/>
      <c r="F1102" s="209"/>
      <c r="G1102" s="209"/>
      <c r="H1102" s="209"/>
      <c r="I1102" s="209"/>
      <c r="J1102" s="218"/>
      <c r="K1102" s="218"/>
      <c r="L1102" s="210" t="s">
        <v>6540</v>
      </c>
      <c r="M1102" s="212" t="s">
        <v>4072</v>
      </c>
      <c r="N1102" s="212"/>
      <c r="O1102" s="218"/>
      <c r="P1102" s="212">
        <v>4590022717</v>
      </c>
      <c r="Q1102" s="214">
        <v>45552</v>
      </c>
      <c r="R1102" s="334" t="s">
        <v>3907</v>
      </c>
      <c r="S1102" s="461">
        <v>321792.5</v>
      </c>
      <c r="T1102" s="217" t="s">
        <v>2156</v>
      </c>
      <c r="U1102" s="209" t="s">
        <v>6541</v>
      </c>
      <c r="V1102" s="414"/>
      <c r="W1102" s="213"/>
      <c r="X1102" s="213"/>
      <c r="Y1102" s="218" t="s">
        <v>3652</v>
      </c>
      <c r="Z1102" s="218" t="s">
        <v>3652</v>
      </c>
      <c r="AA1102" s="212" t="s">
        <v>6302</v>
      </c>
      <c r="AB1102" s="209" t="s">
        <v>6517</v>
      </c>
      <c r="AC1102" s="218"/>
      <c r="AD1102" s="218"/>
      <c r="AE1102" s="218"/>
      <c r="AF1102" s="421" t="s">
        <v>6542</v>
      </c>
      <c r="AG1102" s="217" t="s">
        <v>6543</v>
      </c>
      <c r="AH1102" s="218" t="s">
        <v>3770</v>
      </c>
      <c r="AI1102" s="217"/>
      <c r="AJ1102" s="218">
        <v>4590022717</v>
      </c>
      <c r="AK1102" s="217"/>
      <c r="AL1102" s="220"/>
      <c r="AM1102" s="449"/>
      <c r="AN1102" s="227"/>
      <c r="AO1102" s="208"/>
      <c r="AP1102" s="220"/>
      <c r="AR1102" s="227"/>
      <c r="AS1102" s="614">
        <f ca="1">表格1_6[[#This Row],[total amount]]/表格1_6[[#This Row],[PO$]]</f>
        <v>0</v>
      </c>
      <c r="AT1102" s="318">
        <f ca="1">表格1_6[[#This Row],[invoice amount]]+表格1_6[[#This Row],[invoice amount2]]</f>
        <v>0</v>
      </c>
      <c r="AV1102" s="208"/>
      <c r="AW1102" s="208" t="e">
        <f ca="1">VLOOKUP(表格1_6[[#This Row],[TI tool ID2]],工作表1!A:A,1,FALSE)</f>
        <v>#N/A</v>
      </c>
      <c r="AX1102" s="341" t="e">
        <f ca="1">VLOOKUP(表格1_6[[#This Row],[PO+ITEM]],工作表1!B:E,2,FALSE)</f>
        <v>#N/A</v>
      </c>
      <c r="AY1102" s="341" t="e">
        <f ca="1">VLOOKUP(表格1_6[[#This Row],[PO+ITEM]],工作表1!B:E,3,FALSE)</f>
        <v>#N/A</v>
      </c>
      <c r="AZ1102" s="208" t="e">
        <f ca="1">VLOOKUP(表格1_6[[#This Row],[PO+ITEM]],工作表1!B:E,4,FALSE)</f>
        <v>#N/A</v>
      </c>
      <c r="BA1102" s="425" t="e">
        <f ca="1">INDEX(工作表1!G:G, MATCH(表格1_6[[#This Row],[invoice number]]&amp;表格1_6[[#This Row],[invoice number2]],工作表1!G:G, 0))</f>
        <v>#N/A</v>
      </c>
      <c r="BB1102" s="208" t="e">
        <f ca="1">VLOOKUP(表格1_6[[#This Row],[PO+ITEM]],工作表1!F:H,2,FALSE)</f>
        <v>#N/A</v>
      </c>
    </row>
    <row r="1103" spans="1:54" ht="15" customHeight="1">
      <c r="A1103" s="413">
        <v>1102</v>
      </c>
      <c r="B1103" s="220" t="s">
        <v>3659</v>
      </c>
      <c r="C1103" s="209" t="s">
        <v>17</v>
      </c>
      <c r="D1103" s="209" t="s">
        <v>3648</v>
      </c>
      <c r="E1103" s="209"/>
      <c r="F1103" s="209"/>
      <c r="G1103" s="209"/>
      <c r="H1103" s="209"/>
      <c r="I1103" s="209"/>
      <c r="J1103" s="218"/>
      <c r="K1103" s="218"/>
      <c r="L1103" s="210" t="s">
        <v>6544</v>
      </c>
      <c r="M1103" s="212" t="s">
        <v>4072</v>
      </c>
      <c r="N1103" s="212"/>
      <c r="O1103" s="218"/>
      <c r="P1103" s="212">
        <v>4590022718</v>
      </c>
      <c r="Q1103" s="214">
        <v>45552</v>
      </c>
      <c r="R1103" s="334" t="s">
        <v>3907</v>
      </c>
      <c r="S1103" s="461">
        <v>321792.5</v>
      </c>
      <c r="T1103" s="217" t="s">
        <v>2156</v>
      </c>
      <c r="U1103" s="209" t="s">
        <v>6545</v>
      </c>
      <c r="V1103" s="414"/>
      <c r="W1103" s="213"/>
      <c r="X1103" s="213"/>
      <c r="Y1103" s="218" t="s">
        <v>3652</v>
      </c>
      <c r="Z1103" s="218" t="s">
        <v>3652</v>
      </c>
      <c r="AA1103" s="212" t="s">
        <v>6302</v>
      </c>
      <c r="AB1103" s="209" t="s">
        <v>6517</v>
      </c>
      <c r="AC1103" s="218"/>
      <c r="AD1103" s="218"/>
      <c r="AE1103" s="218"/>
      <c r="AF1103" s="421" t="s">
        <v>6546</v>
      </c>
      <c r="AG1103" s="217" t="s">
        <v>6547</v>
      </c>
      <c r="AH1103" s="218" t="s">
        <v>3770</v>
      </c>
      <c r="AI1103" s="217"/>
      <c r="AJ1103" s="218">
        <v>4590022718</v>
      </c>
      <c r="AK1103" s="217"/>
      <c r="AL1103" s="220"/>
      <c r="AM1103" s="449"/>
      <c r="AN1103" s="227"/>
      <c r="AO1103" s="208"/>
      <c r="AP1103" s="220"/>
      <c r="AR1103" s="227"/>
      <c r="AS1103" s="614">
        <f ca="1">表格1_6[[#This Row],[total amount]]/表格1_6[[#This Row],[PO$]]</f>
        <v>0</v>
      </c>
      <c r="AT1103" s="318">
        <f ca="1">表格1_6[[#This Row],[invoice amount]]+表格1_6[[#This Row],[invoice amount2]]</f>
        <v>0</v>
      </c>
      <c r="AV1103" s="208"/>
      <c r="AW1103" s="208" t="e">
        <f ca="1">VLOOKUP(表格1_6[[#This Row],[TI tool ID2]],工作表1!A:A,1,FALSE)</f>
        <v>#N/A</v>
      </c>
      <c r="AX1103" s="341" t="e">
        <f ca="1">VLOOKUP(表格1_6[[#This Row],[PO+ITEM]],工作表1!B:E,2,FALSE)</f>
        <v>#N/A</v>
      </c>
      <c r="AY1103" s="341" t="e">
        <f ca="1">VLOOKUP(表格1_6[[#This Row],[PO+ITEM]],工作表1!B:E,3,FALSE)</f>
        <v>#N/A</v>
      </c>
      <c r="AZ1103" s="208" t="e">
        <f ca="1">VLOOKUP(表格1_6[[#This Row],[PO+ITEM]],工作表1!B:E,4,FALSE)</f>
        <v>#N/A</v>
      </c>
      <c r="BA1103" s="425" t="e">
        <f ca="1">INDEX(工作表1!G:G, MATCH(表格1_6[[#This Row],[invoice number]]&amp;表格1_6[[#This Row],[invoice number2]],工作表1!G:G, 0))</f>
        <v>#N/A</v>
      </c>
      <c r="BB1103" s="208" t="e">
        <f ca="1">VLOOKUP(表格1_6[[#This Row],[PO+ITEM]],工作表1!F:H,2,FALSE)</f>
        <v>#N/A</v>
      </c>
    </row>
    <row r="1104" spans="1:54" ht="15" customHeight="1">
      <c r="A1104" s="413">
        <v>1103</v>
      </c>
      <c r="B1104" s="220" t="s">
        <v>3659</v>
      </c>
      <c r="C1104" s="209" t="s">
        <v>17</v>
      </c>
      <c r="D1104" s="209" t="s">
        <v>3648</v>
      </c>
      <c r="E1104" s="209"/>
      <c r="F1104" s="209"/>
      <c r="G1104" s="209"/>
      <c r="H1104" s="209"/>
      <c r="I1104" s="209"/>
      <c r="J1104" s="218"/>
      <c r="K1104" s="218"/>
      <c r="L1104" s="210" t="s">
        <v>6548</v>
      </c>
      <c r="M1104" s="212" t="s">
        <v>4072</v>
      </c>
      <c r="N1104" s="212"/>
      <c r="O1104" s="218"/>
      <c r="P1104" s="212">
        <v>4590022719</v>
      </c>
      <c r="Q1104" s="214">
        <v>45552</v>
      </c>
      <c r="R1104" s="334" t="s">
        <v>3907</v>
      </c>
      <c r="S1104" s="461">
        <v>321792.5</v>
      </c>
      <c r="T1104" s="217" t="s">
        <v>2156</v>
      </c>
      <c r="U1104" s="209" t="s">
        <v>6549</v>
      </c>
      <c r="V1104" s="414"/>
      <c r="W1104" s="213"/>
      <c r="X1104" s="213"/>
      <c r="Y1104" s="218" t="s">
        <v>3652</v>
      </c>
      <c r="Z1104" s="218" t="s">
        <v>3652</v>
      </c>
      <c r="AA1104" s="212" t="s">
        <v>6302</v>
      </c>
      <c r="AB1104" s="209" t="s">
        <v>6517</v>
      </c>
      <c r="AC1104" s="218"/>
      <c r="AD1104" s="218"/>
      <c r="AE1104" s="218"/>
      <c r="AF1104" s="421" t="s">
        <v>6550</v>
      </c>
      <c r="AG1104" s="217" t="s">
        <v>6551</v>
      </c>
      <c r="AH1104" s="218" t="s">
        <v>3770</v>
      </c>
      <c r="AI1104" s="217"/>
      <c r="AJ1104" s="218">
        <v>4590022719</v>
      </c>
      <c r="AK1104" s="217"/>
      <c r="AL1104" s="220"/>
      <c r="AM1104" s="449"/>
      <c r="AN1104" s="227"/>
      <c r="AO1104" s="208"/>
      <c r="AP1104" s="220"/>
      <c r="AR1104" s="227"/>
      <c r="AS1104" s="614">
        <f ca="1">表格1_6[[#This Row],[total amount]]/表格1_6[[#This Row],[PO$]]</f>
        <v>0</v>
      </c>
      <c r="AT1104" s="318">
        <f ca="1">表格1_6[[#This Row],[invoice amount]]+表格1_6[[#This Row],[invoice amount2]]</f>
        <v>0</v>
      </c>
      <c r="AV1104" s="208"/>
      <c r="AW1104" s="208" t="e">
        <f ca="1">VLOOKUP(表格1_6[[#This Row],[TI tool ID2]],工作表1!A:A,1,FALSE)</f>
        <v>#N/A</v>
      </c>
      <c r="AX1104" s="341" t="e">
        <f ca="1">VLOOKUP(表格1_6[[#This Row],[PO+ITEM]],工作表1!B:E,2,FALSE)</f>
        <v>#N/A</v>
      </c>
      <c r="AY1104" s="341" t="e">
        <f ca="1">VLOOKUP(表格1_6[[#This Row],[PO+ITEM]],工作表1!B:E,3,FALSE)</f>
        <v>#N/A</v>
      </c>
      <c r="AZ1104" s="208" t="e">
        <f ca="1">VLOOKUP(表格1_6[[#This Row],[PO+ITEM]],工作表1!B:E,4,FALSE)</f>
        <v>#N/A</v>
      </c>
      <c r="BA1104" s="425" t="e">
        <f ca="1">INDEX(工作表1!G:G, MATCH(表格1_6[[#This Row],[invoice number]]&amp;表格1_6[[#This Row],[invoice number2]],工作表1!G:G, 0))</f>
        <v>#N/A</v>
      </c>
      <c r="BB1104" s="208" t="e">
        <f ca="1">VLOOKUP(表格1_6[[#This Row],[PO+ITEM]],工作表1!F:H,2,FALSE)</f>
        <v>#N/A</v>
      </c>
    </row>
    <row r="1105" spans="1:54" ht="15" customHeight="1">
      <c r="A1105" s="413">
        <v>1104</v>
      </c>
      <c r="B1105" s="220" t="s">
        <v>3659</v>
      </c>
      <c r="C1105" s="209" t="s">
        <v>17</v>
      </c>
      <c r="D1105" s="209" t="s">
        <v>3648</v>
      </c>
      <c r="E1105" s="209"/>
      <c r="F1105" s="209"/>
      <c r="G1105" s="209"/>
      <c r="H1105" s="209"/>
      <c r="I1105" s="209"/>
      <c r="J1105" s="218"/>
      <c r="K1105" s="218"/>
      <c r="L1105" s="210" t="s">
        <v>6552</v>
      </c>
      <c r="M1105" s="212" t="s">
        <v>4072</v>
      </c>
      <c r="N1105" s="212"/>
      <c r="O1105" s="218"/>
      <c r="P1105" s="212">
        <v>4590022720</v>
      </c>
      <c r="Q1105" s="214">
        <v>45552</v>
      </c>
      <c r="R1105" s="334" t="s">
        <v>3907</v>
      </c>
      <c r="S1105" s="461">
        <v>321792.5</v>
      </c>
      <c r="T1105" s="217" t="s">
        <v>2156</v>
      </c>
      <c r="U1105" s="209" t="s">
        <v>6553</v>
      </c>
      <c r="V1105" s="414"/>
      <c r="W1105" s="213"/>
      <c r="X1105" s="213"/>
      <c r="Y1105" s="218" t="s">
        <v>3652</v>
      </c>
      <c r="Z1105" s="218" t="s">
        <v>3652</v>
      </c>
      <c r="AA1105" s="212" t="s">
        <v>6302</v>
      </c>
      <c r="AB1105" s="209" t="s">
        <v>6517</v>
      </c>
      <c r="AC1105" s="218"/>
      <c r="AD1105" s="218"/>
      <c r="AE1105" s="218"/>
      <c r="AF1105" s="421" t="s">
        <v>6554</v>
      </c>
      <c r="AG1105" s="217" t="s">
        <v>6555</v>
      </c>
      <c r="AH1105" s="218" t="s">
        <v>3770</v>
      </c>
      <c r="AI1105" s="217"/>
      <c r="AJ1105" s="218">
        <v>4590022720</v>
      </c>
      <c r="AK1105" s="217"/>
      <c r="AL1105" s="220"/>
      <c r="AM1105" s="449"/>
      <c r="AN1105" s="227"/>
      <c r="AO1105" s="208"/>
      <c r="AP1105" s="220"/>
      <c r="AR1105" s="227"/>
      <c r="AS1105" s="614">
        <f ca="1">表格1_6[[#This Row],[total amount]]/表格1_6[[#This Row],[PO$]]</f>
        <v>0</v>
      </c>
      <c r="AT1105" s="318">
        <f ca="1">表格1_6[[#This Row],[invoice amount]]+表格1_6[[#This Row],[invoice amount2]]</f>
        <v>0</v>
      </c>
      <c r="AV1105" s="208"/>
      <c r="AW1105" s="208" t="e">
        <f ca="1">VLOOKUP(表格1_6[[#This Row],[TI tool ID2]],工作表1!A:A,1,FALSE)</f>
        <v>#N/A</v>
      </c>
      <c r="AX1105" s="341" t="e">
        <f ca="1">VLOOKUP(表格1_6[[#This Row],[PO+ITEM]],工作表1!B:E,2,FALSE)</f>
        <v>#N/A</v>
      </c>
      <c r="AY1105" s="341" t="e">
        <f ca="1">VLOOKUP(表格1_6[[#This Row],[PO+ITEM]],工作表1!B:E,3,FALSE)</f>
        <v>#N/A</v>
      </c>
      <c r="AZ1105" s="208" t="e">
        <f ca="1">VLOOKUP(表格1_6[[#This Row],[PO+ITEM]],工作表1!B:E,4,FALSE)</f>
        <v>#N/A</v>
      </c>
      <c r="BA1105" s="425" t="e">
        <f ca="1">INDEX(工作表1!G:G, MATCH(表格1_6[[#This Row],[invoice number]]&amp;表格1_6[[#This Row],[invoice number2]],工作表1!G:G, 0))</f>
        <v>#N/A</v>
      </c>
      <c r="BB1105" s="208" t="e">
        <f ca="1">VLOOKUP(表格1_6[[#This Row],[PO+ITEM]],工作表1!F:H,2,FALSE)</f>
        <v>#N/A</v>
      </c>
    </row>
    <row r="1106" spans="1:54" ht="15" customHeight="1">
      <c r="A1106" s="413">
        <v>1105</v>
      </c>
      <c r="B1106" s="220" t="s">
        <v>3659</v>
      </c>
      <c r="C1106" s="209" t="s">
        <v>16</v>
      </c>
      <c r="D1106" s="209" t="s">
        <v>3648</v>
      </c>
      <c r="E1106" s="209"/>
      <c r="F1106" s="209"/>
      <c r="G1106" s="209"/>
      <c r="H1106" s="209"/>
      <c r="I1106" s="209"/>
      <c r="J1106" s="218"/>
      <c r="K1106" s="218"/>
      <c r="L1106" s="210" t="s">
        <v>6556</v>
      </c>
      <c r="M1106" s="212" t="s">
        <v>4129</v>
      </c>
      <c r="N1106" s="212"/>
      <c r="O1106" s="218"/>
      <c r="P1106" s="212">
        <v>4590022883</v>
      </c>
      <c r="Q1106" s="214">
        <v>45554</v>
      </c>
      <c r="R1106" s="334" t="s">
        <v>3907</v>
      </c>
      <c r="S1106" s="461">
        <v>2190</v>
      </c>
      <c r="T1106" s="217" t="s">
        <v>2156</v>
      </c>
      <c r="U1106" s="209" t="s">
        <v>6557</v>
      </c>
      <c r="V1106" s="414"/>
      <c r="W1106" s="213"/>
      <c r="X1106" s="213"/>
      <c r="Y1106" s="218" t="s">
        <v>4145</v>
      </c>
      <c r="Z1106" s="218" t="s">
        <v>3652</v>
      </c>
      <c r="AA1106" s="212" t="s">
        <v>6302</v>
      </c>
      <c r="AB1106" s="209" t="s">
        <v>6558</v>
      </c>
      <c r="AC1106" s="218"/>
      <c r="AD1106" s="218"/>
      <c r="AE1106" s="218"/>
      <c r="AF1106" s="218">
        <v>91533</v>
      </c>
      <c r="AG1106" s="217" t="s">
        <v>6559</v>
      </c>
      <c r="AH1106" s="218" t="s">
        <v>6467</v>
      </c>
      <c r="AI1106" s="217"/>
      <c r="AJ1106" s="218">
        <v>4590022883</v>
      </c>
      <c r="AK1106" s="217"/>
      <c r="AL1106" s="220"/>
      <c r="AM1106" s="449"/>
      <c r="AN1106" s="227"/>
      <c r="AO1106" s="208"/>
      <c r="AP1106" s="220"/>
      <c r="AR1106" s="227"/>
      <c r="AS1106" s="614">
        <f ca="1">表格1_6[[#This Row],[total amount]]/表格1_6[[#This Row],[PO$]]</f>
        <v>0</v>
      </c>
      <c r="AT1106" s="318">
        <f ca="1">表格1_6[[#This Row],[invoice amount]]+表格1_6[[#This Row],[invoice amount2]]</f>
        <v>0</v>
      </c>
      <c r="AV1106" s="208"/>
      <c r="AW1106" s="208" t="e">
        <f ca="1">VLOOKUP(表格1_6[[#This Row],[TI tool ID2]],工作表1!A:A,1,FALSE)</f>
        <v>#N/A</v>
      </c>
      <c r="AX1106" s="341" t="e">
        <f ca="1">VLOOKUP(表格1_6[[#This Row],[PO+ITEM]],工作表1!B:E,2,FALSE)</f>
        <v>#N/A</v>
      </c>
      <c r="AY1106" s="341" t="e">
        <f ca="1">VLOOKUP(表格1_6[[#This Row],[PO+ITEM]],工作表1!B:E,3,FALSE)</f>
        <v>#N/A</v>
      </c>
      <c r="AZ1106" s="208" t="e">
        <f ca="1">VLOOKUP(表格1_6[[#This Row],[PO+ITEM]],工作表1!B:E,4,FALSE)</f>
        <v>#N/A</v>
      </c>
      <c r="BA1106" s="425" t="e">
        <f ca="1">INDEX(工作表1!G:G, MATCH(表格1_6[[#This Row],[invoice number]]&amp;表格1_6[[#This Row],[invoice number2]],工作表1!G:G, 0))</f>
        <v>#N/A</v>
      </c>
      <c r="BB1106" s="208" t="e">
        <f ca="1">VLOOKUP(表格1_6[[#This Row],[PO+ITEM]],工作表1!F:H,2,FALSE)</f>
        <v>#N/A</v>
      </c>
    </row>
    <row r="1107" spans="1:54" ht="15" customHeight="1">
      <c r="A1107" s="413">
        <v>1106</v>
      </c>
      <c r="B1107" s="220" t="s">
        <v>3659</v>
      </c>
      <c r="C1107" s="209" t="s">
        <v>16</v>
      </c>
      <c r="D1107" s="209" t="s">
        <v>3648</v>
      </c>
      <c r="E1107" s="209"/>
      <c r="F1107" s="209"/>
      <c r="G1107" s="209"/>
      <c r="H1107" s="209"/>
      <c r="I1107" s="209"/>
      <c r="J1107" s="218"/>
      <c r="K1107" s="218"/>
      <c r="L1107" s="210" t="s">
        <v>6560</v>
      </c>
      <c r="M1107" s="212" t="s">
        <v>4129</v>
      </c>
      <c r="N1107" s="212"/>
      <c r="O1107" s="218"/>
      <c r="P1107" s="212">
        <v>4590022884</v>
      </c>
      <c r="Q1107" s="214">
        <v>45554</v>
      </c>
      <c r="R1107" s="334" t="s">
        <v>3907</v>
      </c>
      <c r="S1107" s="461">
        <v>2190</v>
      </c>
      <c r="T1107" s="217" t="s">
        <v>2156</v>
      </c>
      <c r="U1107" s="209" t="s">
        <v>6561</v>
      </c>
      <c r="V1107" s="414"/>
      <c r="W1107" s="213"/>
      <c r="X1107" s="213"/>
      <c r="Y1107" s="218" t="s">
        <v>4145</v>
      </c>
      <c r="Z1107" s="218" t="s">
        <v>3652</v>
      </c>
      <c r="AA1107" s="212" t="s">
        <v>6302</v>
      </c>
      <c r="AB1107" s="209" t="s">
        <v>6562</v>
      </c>
      <c r="AC1107" s="218"/>
      <c r="AD1107" s="218"/>
      <c r="AE1107" s="218"/>
      <c r="AF1107" s="218">
        <v>91474</v>
      </c>
      <c r="AG1107" s="217" t="s">
        <v>6563</v>
      </c>
      <c r="AH1107" s="218" t="s">
        <v>6467</v>
      </c>
      <c r="AI1107" s="217"/>
      <c r="AJ1107" s="218">
        <v>4590022884</v>
      </c>
      <c r="AK1107" s="217"/>
      <c r="AL1107" s="220"/>
      <c r="AM1107" s="449"/>
      <c r="AN1107" s="227"/>
      <c r="AO1107" s="208"/>
      <c r="AP1107" s="220"/>
      <c r="AR1107" s="227"/>
      <c r="AS1107" s="614">
        <f ca="1">表格1_6[[#This Row],[total amount]]/表格1_6[[#This Row],[PO$]]</f>
        <v>0</v>
      </c>
      <c r="AT1107" s="318">
        <f ca="1">表格1_6[[#This Row],[invoice amount]]+表格1_6[[#This Row],[invoice amount2]]</f>
        <v>0</v>
      </c>
      <c r="AV1107" s="208"/>
      <c r="AW1107" s="208" t="e">
        <f ca="1">VLOOKUP(表格1_6[[#This Row],[TI tool ID2]],工作表1!A:A,1,FALSE)</f>
        <v>#N/A</v>
      </c>
      <c r="AX1107" s="341" t="e">
        <f ca="1">VLOOKUP(表格1_6[[#This Row],[PO+ITEM]],工作表1!B:E,2,FALSE)</f>
        <v>#N/A</v>
      </c>
      <c r="AY1107" s="341" t="e">
        <f ca="1">VLOOKUP(表格1_6[[#This Row],[PO+ITEM]],工作表1!B:E,3,FALSE)</f>
        <v>#N/A</v>
      </c>
      <c r="AZ1107" s="208" t="e">
        <f ca="1">VLOOKUP(表格1_6[[#This Row],[PO+ITEM]],工作表1!B:E,4,FALSE)</f>
        <v>#N/A</v>
      </c>
      <c r="BA1107" s="425" t="e">
        <f ca="1">INDEX(工作表1!G:G, MATCH(表格1_6[[#This Row],[invoice number]]&amp;表格1_6[[#This Row],[invoice number2]],工作表1!G:G, 0))</f>
        <v>#N/A</v>
      </c>
      <c r="BB1107" s="208" t="e">
        <f ca="1">VLOOKUP(表格1_6[[#This Row],[PO+ITEM]],工作表1!F:H,2,FALSE)</f>
        <v>#N/A</v>
      </c>
    </row>
    <row r="1108" spans="1:54" ht="15" customHeight="1">
      <c r="A1108" s="413">
        <v>1107</v>
      </c>
      <c r="B1108" s="220" t="s">
        <v>3659</v>
      </c>
      <c r="C1108" s="209" t="s">
        <v>16</v>
      </c>
      <c r="D1108" s="209" t="s">
        <v>3648</v>
      </c>
      <c r="E1108" s="209"/>
      <c r="F1108" s="209"/>
      <c r="G1108" s="209"/>
      <c r="H1108" s="209"/>
      <c r="I1108" s="209"/>
      <c r="J1108" s="218"/>
      <c r="K1108" s="218"/>
      <c r="L1108" s="210" t="s">
        <v>6564</v>
      </c>
      <c r="M1108" s="212" t="s">
        <v>4129</v>
      </c>
      <c r="N1108" s="212"/>
      <c r="O1108" s="218"/>
      <c r="P1108" s="212">
        <v>4590022885</v>
      </c>
      <c r="Q1108" s="214">
        <v>45554</v>
      </c>
      <c r="R1108" s="334" t="s">
        <v>3907</v>
      </c>
      <c r="S1108" s="461">
        <v>2190</v>
      </c>
      <c r="T1108" s="217" t="s">
        <v>2156</v>
      </c>
      <c r="U1108" s="209" t="s">
        <v>6565</v>
      </c>
      <c r="V1108" s="414"/>
      <c r="W1108" s="213"/>
      <c r="X1108" s="213"/>
      <c r="Y1108" s="218" t="s">
        <v>4145</v>
      </c>
      <c r="Z1108" s="218" t="s">
        <v>3652</v>
      </c>
      <c r="AA1108" s="212" t="s">
        <v>6302</v>
      </c>
      <c r="AB1108" s="209" t="s">
        <v>6566</v>
      </c>
      <c r="AC1108" s="218"/>
      <c r="AD1108" s="218"/>
      <c r="AE1108" s="218"/>
      <c r="AF1108" s="218">
        <v>91475</v>
      </c>
      <c r="AG1108" s="217" t="s">
        <v>6567</v>
      </c>
      <c r="AH1108" s="218" t="s">
        <v>6467</v>
      </c>
      <c r="AI1108" s="217"/>
      <c r="AJ1108" s="218">
        <v>4590022885</v>
      </c>
      <c r="AK1108" s="217"/>
      <c r="AL1108" s="220"/>
      <c r="AM1108" s="449"/>
      <c r="AN1108" s="227"/>
      <c r="AO1108" s="208"/>
      <c r="AP1108" s="220"/>
      <c r="AR1108" s="227"/>
      <c r="AS1108" s="614">
        <f ca="1">表格1_6[[#This Row],[total amount]]/表格1_6[[#This Row],[PO$]]</f>
        <v>0</v>
      </c>
      <c r="AT1108" s="318">
        <f ca="1">表格1_6[[#This Row],[invoice amount]]+表格1_6[[#This Row],[invoice amount2]]</f>
        <v>0</v>
      </c>
      <c r="AV1108" s="208"/>
      <c r="AW1108" s="208" t="e">
        <f ca="1">VLOOKUP(表格1_6[[#This Row],[TI tool ID2]],工作表1!A:A,1,FALSE)</f>
        <v>#N/A</v>
      </c>
      <c r="AX1108" s="341" t="e">
        <f ca="1">VLOOKUP(表格1_6[[#This Row],[PO+ITEM]],工作表1!B:E,2,FALSE)</f>
        <v>#N/A</v>
      </c>
      <c r="AY1108" s="341" t="e">
        <f ca="1">VLOOKUP(表格1_6[[#This Row],[PO+ITEM]],工作表1!B:E,3,FALSE)</f>
        <v>#N/A</v>
      </c>
      <c r="AZ1108" s="208" t="e">
        <f ca="1">VLOOKUP(表格1_6[[#This Row],[PO+ITEM]],工作表1!B:E,4,FALSE)</f>
        <v>#N/A</v>
      </c>
      <c r="BA1108" s="425" t="e">
        <f ca="1">INDEX(工作表1!G:G, MATCH(表格1_6[[#This Row],[invoice number]]&amp;表格1_6[[#This Row],[invoice number2]],工作表1!G:G, 0))</f>
        <v>#N/A</v>
      </c>
      <c r="BB1108" s="208" t="e">
        <f ca="1">VLOOKUP(表格1_6[[#This Row],[PO+ITEM]],工作表1!F:H,2,FALSE)</f>
        <v>#N/A</v>
      </c>
    </row>
    <row r="1109" spans="1:54" ht="15" customHeight="1">
      <c r="A1109" s="413">
        <v>1108</v>
      </c>
      <c r="B1109" s="220" t="s">
        <v>3659</v>
      </c>
      <c r="C1109" s="209" t="s">
        <v>16</v>
      </c>
      <c r="D1109" s="209" t="s">
        <v>3648</v>
      </c>
      <c r="E1109" s="209"/>
      <c r="F1109" s="209"/>
      <c r="G1109" s="209"/>
      <c r="H1109" s="209"/>
      <c r="I1109" s="209"/>
      <c r="J1109" s="218"/>
      <c r="K1109" s="218"/>
      <c r="L1109" s="210" t="s">
        <v>6568</v>
      </c>
      <c r="M1109" s="212" t="s">
        <v>4105</v>
      </c>
      <c r="N1109" s="212"/>
      <c r="O1109" s="218"/>
      <c r="P1109" s="212">
        <v>4590022899</v>
      </c>
      <c r="Q1109" s="214">
        <v>45554</v>
      </c>
      <c r="R1109" s="334" t="s">
        <v>3907</v>
      </c>
      <c r="S1109" s="461">
        <v>10145.700000000001</v>
      </c>
      <c r="T1109" s="217" t="s">
        <v>2156</v>
      </c>
      <c r="U1109" s="209" t="s">
        <v>6569</v>
      </c>
      <c r="V1109" s="414"/>
      <c r="W1109" s="213"/>
      <c r="X1109" s="213"/>
      <c r="Y1109" s="218" t="s">
        <v>4145</v>
      </c>
      <c r="Z1109" s="218" t="s">
        <v>3652</v>
      </c>
      <c r="AA1109" s="212" t="s">
        <v>6302</v>
      </c>
      <c r="AB1109" s="209" t="s">
        <v>6570</v>
      </c>
      <c r="AC1109" s="218"/>
      <c r="AD1109" s="218"/>
      <c r="AE1109" s="218"/>
      <c r="AF1109" s="218">
        <v>91540</v>
      </c>
      <c r="AG1109" s="217" t="s">
        <v>6571</v>
      </c>
      <c r="AH1109" s="218" t="s">
        <v>3911</v>
      </c>
      <c r="AI1109" s="217"/>
      <c r="AJ1109" s="218">
        <v>4590022899</v>
      </c>
      <c r="AK1109" s="217"/>
      <c r="AL1109" s="220"/>
      <c r="AM1109" s="449"/>
      <c r="AN1109" s="227"/>
      <c r="AO1109" s="208"/>
      <c r="AP1109" s="220"/>
      <c r="AR1109" s="227"/>
      <c r="AS1109" s="614">
        <f ca="1">表格1_6[[#This Row],[total amount]]/表格1_6[[#This Row],[PO$]]</f>
        <v>0</v>
      </c>
      <c r="AT1109" s="318">
        <f ca="1">表格1_6[[#This Row],[invoice amount]]+表格1_6[[#This Row],[invoice amount2]]</f>
        <v>0</v>
      </c>
      <c r="AV1109" s="208"/>
      <c r="AW1109" s="208" t="e">
        <f ca="1">VLOOKUP(表格1_6[[#This Row],[TI tool ID2]],工作表1!A:A,1,FALSE)</f>
        <v>#N/A</v>
      </c>
      <c r="AX1109" s="341" t="e">
        <f ca="1">VLOOKUP(表格1_6[[#This Row],[PO+ITEM]],工作表1!B:E,2,FALSE)</f>
        <v>#N/A</v>
      </c>
      <c r="AY1109" s="341" t="e">
        <f ca="1">VLOOKUP(表格1_6[[#This Row],[PO+ITEM]],工作表1!B:E,3,FALSE)</f>
        <v>#N/A</v>
      </c>
      <c r="AZ1109" s="208" t="e">
        <f ca="1">VLOOKUP(表格1_6[[#This Row],[PO+ITEM]],工作表1!B:E,4,FALSE)</f>
        <v>#N/A</v>
      </c>
      <c r="BA1109" s="425" t="e">
        <f ca="1">INDEX(工作表1!G:G, MATCH(表格1_6[[#This Row],[invoice number]]&amp;表格1_6[[#This Row],[invoice number2]],工作表1!G:G, 0))</f>
        <v>#N/A</v>
      </c>
      <c r="BB1109" s="208" t="e">
        <f ca="1">VLOOKUP(表格1_6[[#This Row],[PO+ITEM]],工作表1!F:H,2,FALSE)</f>
        <v>#N/A</v>
      </c>
    </row>
    <row r="1110" spans="1:54" ht="15" customHeight="1">
      <c r="A1110" s="413">
        <v>1109</v>
      </c>
      <c r="B1110" s="220" t="s">
        <v>3659</v>
      </c>
      <c r="C1110" s="209" t="s">
        <v>16</v>
      </c>
      <c r="D1110" s="209" t="s">
        <v>3648</v>
      </c>
      <c r="E1110" s="209"/>
      <c r="F1110" s="209"/>
      <c r="G1110" s="209"/>
      <c r="H1110" s="209"/>
      <c r="I1110" s="209"/>
      <c r="J1110" s="218"/>
      <c r="K1110" s="218"/>
      <c r="L1110" s="210" t="s">
        <v>6572</v>
      </c>
      <c r="M1110" s="212" t="s">
        <v>4105</v>
      </c>
      <c r="N1110" s="212"/>
      <c r="O1110" s="218"/>
      <c r="P1110" s="212">
        <v>4590022900</v>
      </c>
      <c r="Q1110" s="214">
        <v>45554</v>
      </c>
      <c r="R1110" s="334" t="s">
        <v>3907</v>
      </c>
      <c r="S1110" s="461">
        <v>19304.099999999999</v>
      </c>
      <c r="T1110" s="217" t="s">
        <v>2156</v>
      </c>
      <c r="U1110" s="209" t="s">
        <v>6573</v>
      </c>
      <c r="V1110" s="414"/>
      <c r="W1110" s="213"/>
      <c r="X1110" s="213"/>
      <c r="Y1110" s="218" t="s">
        <v>4145</v>
      </c>
      <c r="Z1110" s="218" t="s">
        <v>3652</v>
      </c>
      <c r="AA1110" s="212" t="s">
        <v>6302</v>
      </c>
      <c r="AB1110" s="209" t="s">
        <v>6574</v>
      </c>
      <c r="AC1110" s="218"/>
      <c r="AD1110" s="218"/>
      <c r="AE1110" s="218"/>
      <c r="AF1110" s="218">
        <v>91480</v>
      </c>
      <c r="AG1110" s="217" t="s">
        <v>6575</v>
      </c>
      <c r="AH1110" s="218" t="s">
        <v>3911</v>
      </c>
      <c r="AI1110" s="217"/>
      <c r="AJ1110" s="218">
        <v>4590022900</v>
      </c>
      <c r="AK1110" s="217"/>
      <c r="AL1110" s="220"/>
      <c r="AM1110" s="449"/>
      <c r="AN1110" s="227"/>
      <c r="AO1110" s="208"/>
      <c r="AP1110" s="220"/>
      <c r="AR1110" s="227"/>
      <c r="AS1110" s="614">
        <f ca="1">表格1_6[[#This Row],[total amount]]/表格1_6[[#This Row],[PO$]]</f>
        <v>0</v>
      </c>
      <c r="AT1110" s="318">
        <f ca="1">表格1_6[[#This Row],[invoice amount]]+表格1_6[[#This Row],[invoice amount2]]</f>
        <v>0</v>
      </c>
      <c r="AV1110" s="208"/>
      <c r="AW1110" s="208" t="e">
        <f ca="1">VLOOKUP(表格1_6[[#This Row],[TI tool ID2]],工作表1!A:A,1,FALSE)</f>
        <v>#N/A</v>
      </c>
      <c r="AX1110" s="341" t="e">
        <f ca="1">VLOOKUP(表格1_6[[#This Row],[PO+ITEM]],工作表1!B:E,2,FALSE)</f>
        <v>#N/A</v>
      </c>
      <c r="AY1110" s="341" t="e">
        <f ca="1">VLOOKUP(表格1_6[[#This Row],[PO+ITEM]],工作表1!B:E,3,FALSE)</f>
        <v>#N/A</v>
      </c>
      <c r="AZ1110" s="208" t="e">
        <f ca="1">VLOOKUP(表格1_6[[#This Row],[PO+ITEM]],工作表1!B:E,4,FALSE)</f>
        <v>#N/A</v>
      </c>
      <c r="BA1110" s="425" t="e">
        <f ca="1">INDEX(工作表1!G:G, MATCH(表格1_6[[#This Row],[invoice number]]&amp;表格1_6[[#This Row],[invoice number2]],工作表1!G:G, 0))</f>
        <v>#N/A</v>
      </c>
      <c r="BB1110" s="208" t="e">
        <f ca="1">VLOOKUP(表格1_6[[#This Row],[PO+ITEM]],工作表1!F:H,2,FALSE)</f>
        <v>#N/A</v>
      </c>
    </row>
    <row r="1111" spans="1:54" ht="15" customHeight="1">
      <c r="A1111" s="413">
        <v>1110</v>
      </c>
      <c r="B1111" s="220" t="s">
        <v>3659</v>
      </c>
      <c r="C1111" s="209" t="s">
        <v>16</v>
      </c>
      <c r="D1111" s="209" t="s">
        <v>3648</v>
      </c>
      <c r="E1111" s="209"/>
      <c r="F1111" s="209"/>
      <c r="G1111" s="209"/>
      <c r="H1111" s="209"/>
      <c r="I1111" s="209"/>
      <c r="J1111" s="218"/>
      <c r="K1111" s="218"/>
      <c r="L1111" s="210" t="s">
        <v>6576</v>
      </c>
      <c r="M1111" s="212" t="s">
        <v>4105</v>
      </c>
      <c r="N1111" s="212"/>
      <c r="O1111" s="218"/>
      <c r="P1111" s="212">
        <v>4590022901</v>
      </c>
      <c r="Q1111" s="214">
        <v>45554</v>
      </c>
      <c r="R1111" s="334" t="s">
        <v>3907</v>
      </c>
      <c r="S1111" s="461">
        <v>10145.700000000001</v>
      </c>
      <c r="T1111" s="217" t="s">
        <v>2156</v>
      </c>
      <c r="U1111" s="209" t="s">
        <v>6577</v>
      </c>
      <c r="V1111" s="414"/>
      <c r="W1111" s="213"/>
      <c r="X1111" s="213"/>
      <c r="Y1111" s="218" t="s">
        <v>4145</v>
      </c>
      <c r="Z1111" s="218" t="s">
        <v>3652</v>
      </c>
      <c r="AA1111" s="212" t="s">
        <v>6302</v>
      </c>
      <c r="AB1111" s="209" t="s">
        <v>6578</v>
      </c>
      <c r="AC1111" s="218"/>
      <c r="AD1111" s="218"/>
      <c r="AE1111" s="218"/>
      <c r="AF1111" s="218">
        <v>91539</v>
      </c>
      <c r="AG1111" s="217" t="s">
        <v>6579</v>
      </c>
      <c r="AH1111" s="218" t="s">
        <v>3911</v>
      </c>
      <c r="AI1111" s="217"/>
      <c r="AJ1111" s="218">
        <v>4590022901</v>
      </c>
      <c r="AK1111" s="217"/>
      <c r="AL1111" s="220"/>
      <c r="AM1111" s="449"/>
      <c r="AN1111" s="227"/>
      <c r="AO1111" s="208"/>
      <c r="AP1111" s="220"/>
      <c r="AR1111" s="227"/>
      <c r="AS1111" s="614">
        <f ca="1">表格1_6[[#This Row],[total amount]]/表格1_6[[#This Row],[PO$]]</f>
        <v>0</v>
      </c>
      <c r="AT1111" s="318">
        <f ca="1">表格1_6[[#This Row],[invoice amount]]+表格1_6[[#This Row],[invoice amount2]]</f>
        <v>0</v>
      </c>
      <c r="AV1111" s="208"/>
      <c r="AW1111" s="208" t="e">
        <f ca="1">VLOOKUP(表格1_6[[#This Row],[TI tool ID2]],工作表1!A:A,1,FALSE)</f>
        <v>#N/A</v>
      </c>
      <c r="AX1111" s="341" t="e">
        <f ca="1">VLOOKUP(表格1_6[[#This Row],[PO+ITEM]],工作表1!B:E,2,FALSE)</f>
        <v>#N/A</v>
      </c>
      <c r="AY1111" s="341" t="e">
        <f ca="1">VLOOKUP(表格1_6[[#This Row],[PO+ITEM]],工作表1!B:E,3,FALSE)</f>
        <v>#N/A</v>
      </c>
      <c r="AZ1111" s="208" t="e">
        <f ca="1">VLOOKUP(表格1_6[[#This Row],[PO+ITEM]],工作表1!B:E,4,FALSE)</f>
        <v>#N/A</v>
      </c>
      <c r="BA1111" s="425" t="e">
        <f ca="1">INDEX(工作表1!G:G, MATCH(表格1_6[[#This Row],[invoice number]]&amp;表格1_6[[#This Row],[invoice number2]],工作表1!G:G, 0))</f>
        <v>#N/A</v>
      </c>
      <c r="BB1111" s="208" t="e">
        <f ca="1">VLOOKUP(表格1_6[[#This Row],[PO+ITEM]],工作表1!F:H,2,FALSE)</f>
        <v>#N/A</v>
      </c>
    </row>
    <row r="1112" spans="1:54" ht="15" customHeight="1">
      <c r="A1112" s="413">
        <v>1111</v>
      </c>
      <c r="B1112" s="220" t="s">
        <v>3659</v>
      </c>
      <c r="C1112" s="209" t="s">
        <v>16</v>
      </c>
      <c r="D1112" s="209" t="s">
        <v>3648</v>
      </c>
      <c r="E1112" s="209"/>
      <c r="F1112" s="209"/>
      <c r="G1112" s="209"/>
      <c r="H1112" s="209"/>
      <c r="I1112" s="209"/>
      <c r="J1112" s="218"/>
      <c r="K1112" s="218"/>
      <c r="L1112" s="210" t="s">
        <v>6580</v>
      </c>
      <c r="M1112" s="212" t="s">
        <v>4105</v>
      </c>
      <c r="N1112" s="212"/>
      <c r="O1112" s="218"/>
      <c r="P1112" s="212">
        <v>4590022903</v>
      </c>
      <c r="Q1112" s="214">
        <v>45554</v>
      </c>
      <c r="R1112" s="334" t="s">
        <v>3907</v>
      </c>
      <c r="S1112" s="461">
        <v>10145.700000000001</v>
      </c>
      <c r="T1112" s="217" t="s">
        <v>2156</v>
      </c>
      <c r="U1112" s="209" t="s">
        <v>6581</v>
      </c>
      <c r="V1112" s="414"/>
      <c r="W1112" s="213"/>
      <c r="X1112" s="213"/>
      <c r="Y1112" s="218" t="s">
        <v>4145</v>
      </c>
      <c r="Z1112" s="218" t="s">
        <v>3652</v>
      </c>
      <c r="AA1112" s="212" t="s">
        <v>6302</v>
      </c>
      <c r="AB1112" s="209" t="s">
        <v>6582</v>
      </c>
      <c r="AC1112" s="218"/>
      <c r="AD1112" s="218"/>
      <c r="AE1112" s="218"/>
      <c r="AF1112" s="218">
        <v>91482</v>
      </c>
      <c r="AG1112" s="217" t="s">
        <v>6583</v>
      </c>
      <c r="AH1112" s="218" t="s">
        <v>3911</v>
      </c>
      <c r="AI1112" s="217"/>
      <c r="AJ1112" s="218">
        <v>4590022903</v>
      </c>
      <c r="AK1112" s="217"/>
      <c r="AL1112" s="220"/>
      <c r="AM1112" s="449"/>
      <c r="AN1112" s="227"/>
      <c r="AO1112" s="208"/>
      <c r="AP1112" s="220"/>
      <c r="AR1112" s="227"/>
      <c r="AS1112" s="614">
        <f ca="1">表格1_6[[#This Row],[total amount]]/表格1_6[[#This Row],[PO$]]</f>
        <v>0</v>
      </c>
      <c r="AT1112" s="318">
        <f ca="1">表格1_6[[#This Row],[invoice amount]]+表格1_6[[#This Row],[invoice amount2]]</f>
        <v>0</v>
      </c>
      <c r="AV1112" s="208"/>
      <c r="AW1112" s="208" t="e">
        <f ca="1">VLOOKUP(表格1_6[[#This Row],[TI tool ID2]],工作表1!A:A,1,FALSE)</f>
        <v>#N/A</v>
      </c>
      <c r="AX1112" s="341" t="e">
        <f ca="1">VLOOKUP(表格1_6[[#This Row],[PO+ITEM]],工作表1!B:E,2,FALSE)</f>
        <v>#N/A</v>
      </c>
      <c r="AY1112" s="341" t="e">
        <f ca="1">VLOOKUP(表格1_6[[#This Row],[PO+ITEM]],工作表1!B:E,3,FALSE)</f>
        <v>#N/A</v>
      </c>
      <c r="AZ1112" s="208" t="e">
        <f ca="1">VLOOKUP(表格1_6[[#This Row],[PO+ITEM]],工作表1!B:E,4,FALSE)</f>
        <v>#N/A</v>
      </c>
      <c r="BA1112" s="425" t="e">
        <f ca="1">INDEX(工作表1!G:G, MATCH(表格1_6[[#This Row],[invoice number]]&amp;表格1_6[[#This Row],[invoice number2]],工作表1!G:G, 0))</f>
        <v>#N/A</v>
      </c>
      <c r="BB1112" s="208" t="e">
        <f ca="1">VLOOKUP(表格1_6[[#This Row],[PO+ITEM]],工作表1!F:H,2,FALSE)</f>
        <v>#N/A</v>
      </c>
    </row>
    <row r="1113" spans="1:54" ht="15" customHeight="1">
      <c r="A1113" s="413">
        <v>1112</v>
      </c>
      <c r="B1113" s="220" t="s">
        <v>3659</v>
      </c>
      <c r="C1113" s="209" t="s">
        <v>16</v>
      </c>
      <c r="D1113" s="209" t="s">
        <v>3648</v>
      </c>
      <c r="E1113" s="209"/>
      <c r="F1113" s="209"/>
      <c r="G1113" s="209"/>
      <c r="H1113" s="209"/>
      <c r="I1113" s="209"/>
      <c r="J1113" s="218"/>
      <c r="K1113" s="218"/>
      <c r="L1113" s="210" t="s">
        <v>6584</v>
      </c>
      <c r="M1113" s="212" t="s">
        <v>4105</v>
      </c>
      <c r="N1113" s="212"/>
      <c r="O1113" s="218"/>
      <c r="P1113" s="212">
        <v>4590022904</v>
      </c>
      <c r="Q1113" s="214">
        <v>45554</v>
      </c>
      <c r="R1113" s="334" t="s">
        <v>3907</v>
      </c>
      <c r="S1113" s="461">
        <v>10145.700000000001</v>
      </c>
      <c r="T1113" s="217" t="s">
        <v>2156</v>
      </c>
      <c r="U1113" s="209" t="s">
        <v>6585</v>
      </c>
      <c r="V1113" s="414"/>
      <c r="W1113" s="213"/>
      <c r="X1113" s="213"/>
      <c r="Y1113" s="218" t="s">
        <v>4145</v>
      </c>
      <c r="Z1113" s="218" t="s">
        <v>3652</v>
      </c>
      <c r="AA1113" s="212" t="s">
        <v>6302</v>
      </c>
      <c r="AB1113" s="209" t="s">
        <v>6586</v>
      </c>
      <c r="AC1113" s="218"/>
      <c r="AD1113" s="218"/>
      <c r="AE1113" s="218"/>
      <c r="AF1113" s="218">
        <v>91481</v>
      </c>
      <c r="AG1113" s="217" t="s">
        <v>6587</v>
      </c>
      <c r="AH1113" s="218" t="s">
        <v>3911</v>
      </c>
      <c r="AI1113" s="217"/>
      <c r="AJ1113" s="218">
        <v>4590022904</v>
      </c>
      <c r="AK1113" s="217"/>
      <c r="AL1113" s="220"/>
      <c r="AM1113" s="449"/>
      <c r="AN1113" s="227"/>
      <c r="AO1113" s="208"/>
      <c r="AP1113" s="220"/>
      <c r="AR1113" s="227"/>
      <c r="AS1113" s="614">
        <f ca="1">表格1_6[[#This Row],[total amount]]/表格1_6[[#This Row],[PO$]]</f>
        <v>0</v>
      </c>
      <c r="AT1113" s="318">
        <f ca="1">表格1_6[[#This Row],[invoice amount]]+表格1_6[[#This Row],[invoice amount2]]</f>
        <v>0</v>
      </c>
      <c r="AV1113" s="208"/>
      <c r="AW1113" s="208" t="e">
        <f ca="1">VLOOKUP(表格1_6[[#This Row],[TI tool ID2]],工作表1!A:A,1,FALSE)</f>
        <v>#N/A</v>
      </c>
      <c r="AX1113" s="341" t="e">
        <f ca="1">VLOOKUP(表格1_6[[#This Row],[PO+ITEM]],工作表1!B:E,2,FALSE)</f>
        <v>#N/A</v>
      </c>
      <c r="AY1113" s="341" t="e">
        <f ca="1">VLOOKUP(表格1_6[[#This Row],[PO+ITEM]],工作表1!B:E,3,FALSE)</f>
        <v>#N/A</v>
      </c>
      <c r="AZ1113" s="208" t="e">
        <f ca="1">VLOOKUP(表格1_6[[#This Row],[PO+ITEM]],工作表1!B:E,4,FALSE)</f>
        <v>#N/A</v>
      </c>
      <c r="BA1113" s="425" t="e">
        <f ca="1">INDEX(工作表1!G:G, MATCH(表格1_6[[#This Row],[invoice number]]&amp;表格1_6[[#This Row],[invoice number2]],工作表1!G:G, 0))</f>
        <v>#N/A</v>
      </c>
      <c r="BB1113" s="208" t="e">
        <f ca="1">VLOOKUP(表格1_6[[#This Row],[PO+ITEM]],工作表1!F:H,2,FALSE)</f>
        <v>#N/A</v>
      </c>
    </row>
    <row r="1114" spans="1:54" ht="14.45">
      <c r="A1114" s="413">
        <v>1113</v>
      </c>
      <c r="B1114" s="220" t="s">
        <v>3659</v>
      </c>
      <c r="C1114" s="209" t="s">
        <v>16</v>
      </c>
      <c r="D1114" s="209" t="s">
        <v>3648</v>
      </c>
      <c r="E1114" s="209"/>
      <c r="F1114" s="209"/>
      <c r="G1114" s="209"/>
      <c r="H1114" s="209"/>
      <c r="I1114" s="209"/>
      <c r="J1114" s="218"/>
      <c r="K1114" s="218"/>
      <c r="L1114" s="210" t="s">
        <v>6588</v>
      </c>
      <c r="M1114" s="212" t="s">
        <v>2888</v>
      </c>
      <c r="N1114" s="212"/>
      <c r="O1114" s="218"/>
      <c r="P1114" s="212">
        <v>4590022919</v>
      </c>
      <c r="Q1114" s="214">
        <v>45554</v>
      </c>
      <c r="R1114" s="334" t="s">
        <v>3907</v>
      </c>
      <c r="S1114" s="613">
        <v>7339.36</v>
      </c>
      <c r="T1114" s="217" t="s">
        <v>2156</v>
      </c>
      <c r="U1114" s="209" t="s">
        <v>6589</v>
      </c>
      <c r="V1114" s="414"/>
      <c r="W1114" s="213"/>
      <c r="X1114" s="213"/>
      <c r="Y1114" s="218" t="s">
        <v>4145</v>
      </c>
      <c r="Z1114" s="218" t="s">
        <v>3652</v>
      </c>
      <c r="AA1114" s="212" t="s">
        <v>6302</v>
      </c>
      <c r="AB1114" s="209" t="s">
        <v>6590</v>
      </c>
      <c r="AC1114" s="218"/>
      <c r="AD1114" s="218"/>
      <c r="AE1114" s="218"/>
      <c r="AF1114" s="218">
        <v>91470</v>
      </c>
      <c r="AG1114" s="217" t="s">
        <v>6591</v>
      </c>
      <c r="AH1114" s="218" t="s">
        <v>6592</v>
      </c>
      <c r="AI1114" s="217"/>
      <c r="AJ1114" s="218">
        <v>4590022919</v>
      </c>
      <c r="AK1114" s="217"/>
      <c r="AL1114" s="220"/>
      <c r="AM1114" s="313"/>
      <c r="AN1114" s="227"/>
      <c r="AO1114" s="208"/>
      <c r="AP1114" s="220"/>
      <c r="AQ1114" s="316"/>
      <c r="AR1114" s="227"/>
      <c r="AS1114" s="614">
        <f ca="1">表格1_6[[#This Row],[total amount]]/表格1_6[[#This Row],[PO$]]</f>
        <v>0</v>
      </c>
      <c r="AT1114" s="223">
        <f ca="1">表格1_6[[#This Row],[invoice amount]]+表格1_6[[#This Row],[invoice amount2]]</f>
        <v>0</v>
      </c>
      <c r="AV1114" s="208"/>
      <c r="AW1114" s="208" t="e">
        <f ca="1">VLOOKUP(表格1_6[[#This Row],[TI tool ID2]],工作表1!A:A,1,FALSE)</f>
        <v>#N/A</v>
      </c>
      <c r="AX1114" s="341" t="e">
        <f ca="1">VLOOKUP(表格1_6[[#This Row],[PO+ITEM]],工作表1!B:E,2,FALSE)</f>
        <v>#N/A</v>
      </c>
      <c r="AY1114" s="341" t="e">
        <f ca="1">VLOOKUP(表格1_6[[#This Row],[PO+ITEM]],工作表1!B:E,3,FALSE)</f>
        <v>#N/A</v>
      </c>
      <c r="AZ1114" s="208" t="e">
        <f ca="1">VLOOKUP(表格1_6[[#This Row],[PO+ITEM]],工作表1!B:E,4,FALSE)</f>
        <v>#N/A</v>
      </c>
      <c r="BA1114" s="425" t="e">
        <f ca="1">INDEX(工作表1!G:G, MATCH(表格1_6[[#This Row],[invoice number]]&amp;表格1_6[[#This Row],[invoice number2]],工作表1!G:G, 0))</f>
        <v>#N/A</v>
      </c>
      <c r="BB1114" s="208" t="e">
        <f ca="1">VLOOKUP(表格1_6[[#This Row],[PO+ITEM]],工作表1!F:H,2,FALSE)</f>
        <v>#N/A</v>
      </c>
    </row>
    <row r="1115" spans="1:54" ht="15" customHeight="1">
      <c r="A1115" s="413">
        <v>1114</v>
      </c>
      <c r="B1115" s="220" t="s">
        <v>3659</v>
      </c>
      <c r="C1115" s="209" t="s">
        <v>16</v>
      </c>
      <c r="D1115" s="209" t="s">
        <v>3648</v>
      </c>
      <c r="E1115" s="209"/>
      <c r="F1115" s="209"/>
      <c r="G1115" s="209"/>
      <c r="H1115" s="209"/>
      <c r="I1115" s="209"/>
      <c r="J1115" s="218"/>
      <c r="K1115" s="218"/>
      <c r="L1115" s="210" t="s">
        <v>6593</v>
      </c>
      <c r="M1115" s="212" t="s">
        <v>2888</v>
      </c>
      <c r="N1115" s="212"/>
      <c r="O1115" s="218"/>
      <c r="P1115" s="212">
        <v>4590022920</v>
      </c>
      <c r="Q1115" s="214">
        <v>45554</v>
      </c>
      <c r="R1115" s="334" t="s">
        <v>3907</v>
      </c>
      <c r="S1115" s="461">
        <v>7339.36</v>
      </c>
      <c r="T1115" s="217" t="s">
        <v>2156</v>
      </c>
      <c r="U1115" s="209" t="s">
        <v>6594</v>
      </c>
      <c r="V1115" s="414"/>
      <c r="W1115" s="213"/>
      <c r="X1115" s="213"/>
      <c r="Y1115" s="218" t="s">
        <v>4145</v>
      </c>
      <c r="Z1115" s="218" t="s">
        <v>3652</v>
      </c>
      <c r="AA1115" s="212" t="s">
        <v>6302</v>
      </c>
      <c r="AB1115" s="209" t="s">
        <v>6595</v>
      </c>
      <c r="AC1115" s="218"/>
      <c r="AD1115" s="218"/>
      <c r="AE1115" s="218"/>
      <c r="AF1115" s="218">
        <v>91471</v>
      </c>
      <c r="AG1115" s="217" t="s">
        <v>6596</v>
      </c>
      <c r="AH1115" s="218" t="s">
        <v>6592</v>
      </c>
      <c r="AI1115" s="217"/>
      <c r="AJ1115" s="218">
        <v>4590022920</v>
      </c>
      <c r="AK1115" s="217"/>
      <c r="AL1115" s="220"/>
      <c r="AM1115" s="449"/>
      <c r="AN1115" s="227"/>
      <c r="AO1115" s="208"/>
      <c r="AP1115" s="220"/>
      <c r="AR1115" s="227"/>
      <c r="AS1115" s="614">
        <f ca="1">表格1_6[[#This Row],[total amount]]/表格1_6[[#This Row],[PO$]]</f>
        <v>0</v>
      </c>
      <c r="AT1115" s="318">
        <f ca="1">表格1_6[[#This Row],[invoice amount]]+表格1_6[[#This Row],[invoice amount2]]</f>
        <v>0</v>
      </c>
      <c r="AV1115" s="208"/>
      <c r="AW1115" s="208" t="e">
        <f ca="1">VLOOKUP(表格1_6[[#This Row],[TI tool ID2]],工作表1!A:A,1,FALSE)</f>
        <v>#N/A</v>
      </c>
      <c r="AX1115" s="341" t="e">
        <f ca="1">VLOOKUP(表格1_6[[#This Row],[PO+ITEM]],工作表1!B:E,2,FALSE)</f>
        <v>#N/A</v>
      </c>
      <c r="AY1115" s="341" t="e">
        <f ca="1">VLOOKUP(表格1_6[[#This Row],[PO+ITEM]],工作表1!B:E,3,FALSE)</f>
        <v>#N/A</v>
      </c>
      <c r="AZ1115" s="208" t="e">
        <f ca="1">VLOOKUP(表格1_6[[#This Row],[PO+ITEM]],工作表1!B:E,4,FALSE)</f>
        <v>#N/A</v>
      </c>
      <c r="BA1115" s="425" t="e">
        <f ca="1">INDEX(工作表1!G:G, MATCH(表格1_6[[#This Row],[invoice number]]&amp;表格1_6[[#This Row],[invoice number2]],工作表1!G:G, 0))</f>
        <v>#N/A</v>
      </c>
      <c r="BB1115" s="208" t="e">
        <f ca="1">VLOOKUP(表格1_6[[#This Row],[PO+ITEM]],工作表1!F:H,2,FALSE)</f>
        <v>#N/A</v>
      </c>
    </row>
    <row r="1116" spans="1:54" ht="15" customHeight="1">
      <c r="A1116" s="413">
        <v>1115</v>
      </c>
      <c r="B1116" s="220" t="s">
        <v>3659</v>
      </c>
      <c r="C1116" s="209" t="s">
        <v>16</v>
      </c>
      <c r="D1116" s="209" t="s">
        <v>3648</v>
      </c>
      <c r="E1116" s="209"/>
      <c r="F1116" s="209"/>
      <c r="G1116" s="209"/>
      <c r="H1116" s="209"/>
      <c r="I1116" s="209"/>
      <c r="J1116" s="218"/>
      <c r="K1116" s="218"/>
      <c r="L1116" s="210" t="s">
        <v>6597</v>
      </c>
      <c r="M1116" s="212" t="s">
        <v>2888</v>
      </c>
      <c r="N1116" s="212"/>
      <c r="O1116" s="218"/>
      <c r="P1116" s="212">
        <v>4590022921</v>
      </c>
      <c r="Q1116" s="214">
        <v>45554</v>
      </c>
      <c r="R1116" s="334" t="s">
        <v>3907</v>
      </c>
      <c r="S1116" s="461">
        <v>7339.36</v>
      </c>
      <c r="T1116" s="217" t="s">
        <v>2156</v>
      </c>
      <c r="U1116" s="209" t="s">
        <v>6598</v>
      </c>
      <c r="V1116" s="414"/>
      <c r="W1116" s="213"/>
      <c r="X1116" s="213"/>
      <c r="Y1116" s="218" t="s">
        <v>4145</v>
      </c>
      <c r="Z1116" s="218" t="s">
        <v>3652</v>
      </c>
      <c r="AA1116" s="212" t="s">
        <v>6302</v>
      </c>
      <c r="AB1116" s="209" t="s">
        <v>6599</v>
      </c>
      <c r="AC1116" s="218"/>
      <c r="AD1116" s="218"/>
      <c r="AE1116" s="218"/>
      <c r="AF1116" s="218">
        <v>91485</v>
      </c>
      <c r="AG1116" s="217" t="s">
        <v>6600</v>
      </c>
      <c r="AH1116" s="218" t="s">
        <v>6592</v>
      </c>
      <c r="AI1116" s="217"/>
      <c r="AJ1116" s="218">
        <v>4590022921</v>
      </c>
      <c r="AK1116" s="217"/>
      <c r="AL1116" s="220"/>
      <c r="AM1116" s="449"/>
      <c r="AN1116" s="227"/>
      <c r="AO1116" s="208"/>
      <c r="AP1116" s="220"/>
      <c r="AR1116" s="227"/>
      <c r="AS1116" s="614">
        <f ca="1">表格1_6[[#This Row],[total amount]]/表格1_6[[#This Row],[PO$]]</f>
        <v>0</v>
      </c>
      <c r="AT1116" s="318">
        <f ca="1">表格1_6[[#This Row],[invoice amount]]+表格1_6[[#This Row],[invoice amount2]]</f>
        <v>0</v>
      </c>
      <c r="AV1116" s="208"/>
      <c r="AW1116" s="208" t="e">
        <f ca="1">VLOOKUP(表格1_6[[#This Row],[TI tool ID2]],工作表1!A:A,1,FALSE)</f>
        <v>#N/A</v>
      </c>
      <c r="AX1116" s="341" t="e">
        <f ca="1">VLOOKUP(表格1_6[[#This Row],[PO+ITEM]],工作表1!B:E,2,FALSE)</f>
        <v>#N/A</v>
      </c>
      <c r="AY1116" s="341" t="e">
        <f ca="1">VLOOKUP(表格1_6[[#This Row],[PO+ITEM]],工作表1!B:E,3,FALSE)</f>
        <v>#N/A</v>
      </c>
      <c r="AZ1116" s="208" t="e">
        <f ca="1">VLOOKUP(表格1_6[[#This Row],[PO+ITEM]],工作表1!B:E,4,FALSE)</f>
        <v>#N/A</v>
      </c>
      <c r="BA1116" s="425" t="e">
        <f ca="1">INDEX(工作表1!G:G, MATCH(表格1_6[[#This Row],[invoice number]]&amp;表格1_6[[#This Row],[invoice number2]],工作表1!G:G, 0))</f>
        <v>#N/A</v>
      </c>
      <c r="BB1116" s="208" t="e">
        <f ca="1">VLOOKUP(表格1_6[[#This Row],[PO+ITEM]],工作表1!F:H,2,FALSE)</f>
        <v>#N/A</v>
      </c>
    </row>
    <row r="1117" spans="1:54" ht="15" customHeight="1">
      <c r="A1117" s="413">
        <v>1116</v>
      </c>
      <c r="B1117" s="220" t="s">
        <v>3659</v>
      </c>
      <c r="C1117" s="209" t="s">
        <v>16</v>
      </c>
      <c r="D1117" s="209" t="s">
        <v>3648</v>
      </c>
      <c r="E1117" s="209"/>
      <c r="F1117" s="209"/>
      <c r="G1117" s="209"/>
      <c r="H1117" s="209"/>
      <c r="I1117" s="209"/>
      <c r="J1117" s="218"/>
      <c r="K1117" s="218"/>
      <c r="L1117" s="210" t="s">
        <v>6601</v>
      </c>
      <c r="M1117" s="212" t="s">
        <v>2888</v>
      </c>
      <c r="N1117" s="212"/>
      <c r="O1117" s="218"/>
      <c r="P1117" s="212">
        <v>4590022922</v>
      </c>
      <c r="Q1117" s="214">
        <v>45554</v>
      </c>
      <c r="R1117" s="334" t="s">
        <v>3907</v>
      </c>
      <c r="S1117" s="461">
        <v>7339.36</v>
      </c>
      <c r="T1117" s="217" t="s">
        <v>2156</v>
      </c>
      <c r="U1117" s="209" t="s">
        <v>6602</v>
      </c>
      <c r="V1117" s="414"/>
      <c r="W1117" s="213"/>
      <c r="X1117" s="213"/>
      <c r="Y1117" s="218" t="s">
        <v>4145</v>
      </c>
      <c r="Z1117" s="218" t="s">
        <v>3652</v>
      </c>
      <c r="AA1117" s="212" t="s">
        <v>6302</v>
      </c>
      <c r="AB1117" s="209" t="s">
        <v>6603</v>
      </c>
      <c r="AC1117" s="218"/>
      <c r="AD1117" s="218"/>
      <c r="AE1117" s="218"/>
      <c r="AF1117" s="218">
        <v>91484</v>
      </c>
      <c r="AG1117" s="217" t="s">
        <v>6604</v>
      </c>
      <c r="AH1117" s="218" t="s">
        <v>6592</v>
      </c>
      <c r="AI1117" s="217"/>
      <c r="AJ1117" s="218">
        <v>4590022922</v>
      </c>
      <c r="AK1117" s="217"/>
      <c r="AL1117" s="220"/>
      <c r="AM1117" s="449"/>
      <c r="AN1117" s="227"/>
      <c r="AO1117" s="208"/>
      <c r="AP1117" s="220"/>
      <c r="AR1117" s="227"/>
      <c r="AS1117" s="614">
        <f ca="1">表格1_6[[#This Row],[total amount]]/表格1_6[[#This Row],[PO$]]</f>
        <v>0</v>
      </c>
      <c r="AT1117" s="318">
        <f ca="1">表格1_6[[#This Row],[invoice amount]]+表格1_6[[#This Row],[invoice amount2]]</f>
        <v>0</v>
      </c>
      <c r="AV1117" s="208"/>
      <c r="AW1117" s="208" t="e">
        <f ca="1">VLOOKUP(表格1_6[[#This Row],[TI tool ID2]],工作表1!A:A,1,FALSE)</f>
        <v>#N/A</v>
      </c>
      <c r="AX1117" s="341" t="e">
        <f ca="1">VLOOKUP(表格1_6[[#This Row],[PO+ITEM]],工作表1!B:E,2,FALSE)</f>
        <v>#N/A</v>
      </c>
      <c r="AY1117" s="341" t="e">
        <f ca="1">VLOOKUP(表格1_6[[#This Row],[PO+ITEM]],工作表1!B:E,3,FALSE)</f>
        <v>#N/A</v>
      </c>
      <c r="AZ1117" s="208" t="e">
        <f ca="1">VLOOKUP(表格1_6[[#This Row],[PO+ITEM]],工作表1!B:E,4,FALSE)</f>
        <v>#N/A</v>
      </c>
      <c r="BA1117" s="425" t="e">
        <f ca="1">INDEX(工作表1!G:G, MATCH(表格1_6[[#This Row],[invoice number]]&amp;表格1_6[[#This Row],[invoice number2]],工作表1!G:G, 0))</f>
        <v>#N/A</v>
      </c>
      <c r="BB1117" s="208" t="e">
        <f ca="1">VLOOKUP(表格1_6[[#This Row],[PO+ITEM]],工作表1!F:H,2,FALSE)</f>
        <v>#N/A</v>
      </c>
    </row>
    <row r="1118" spans="1:54" ht="15" customHeight="1">
      <c r="A1118" s="413">
        <v>1117</v>
      </c>
      <c r="B1118" s="220" t="s">
        <v>3659</v>
      </c>
      <c r="C1118" s="209" t="s">
        <v>16</v>
      </c>
      <c r="D1118" s="209" t="s">
        <v>3648</v>
      </c>
      <c r="E1118" s="209"/>
      <c r="F1118" s="209"/>
      <c r="G1118" s="209"/>
      <c r="H1118" s="209"/>
      <c r="I1118" s="209"/>
      <c r="J1118" s="218"/>
      <c r="K1118" s="218"/>
      <c r="L1118" s="210" t="s">
        <v>6605</v>
      </c>
      <c r="M1118" s="212" t="s">
        <v>2888</v>
      </c>
      <c r="N1118" s="212"/>
      <c r="O1118" s="218"/>
      <c r="P1118" s="212">
        <v>4590022923</v>
      </c>
      <c r="Q1118" s="214">
        <v>45554</v>
      </c>
      <c r="R1118" s="334" t="s">
        <v>3907</v>
      </c>
      <c r="S1118" s="461">
        <v>7339.36</v>
      </c>
      <c r="T1118" s="217" t="s">
        <v>2156</v>
      </c>
      <c r="U1118" s="209" t="s">
        <v>6606</v>
      </c>
      <c r="V1118" s="414"/>
      <c r="W1118" s="213"/>
      <c r="X1118" s="213"/>
      <c r="Y1118" s="218" t="s">
        <v>4145</v>
      </c>
      <c r="Z1118" s="218" t="s">
        <v>3652</v>
      </c>
      <c r="AA1118" s="212" t="s">
        <v>6302</v>
      </c>
      <c r="AB1118" s="209" t="s">
        <v>6607</v>
      </c>
      <c r="AC1118" s="218"/>
      <c r="AD1118" s="218"/>
      <c r="AE1118" s="218"/>
      <c r="AF1118" s="218">
        <v>91486</v>
      </c>
      <c r="AG1118" s="217" t="s">
        <v>6608</v>
      </c>
      <c r="AH1118" s="218" t="s">
        <v>6592</v>
      </c>
      <c r="AI1118" s="217"/>
      <c r="AJ1118" s="218">
        <v>4590022923</v>
      </c>
      <c r="AK1118" s="217"/>
      <c r="AL1118" s="220"/>
      <c r="AM1118" s="449"/>
      <c r="AN1118" s="227"/>
      <c r="AO1118" s="208"/>
      <c r="AP1118" s="220"/>
      <c r="AR1118" s="227"/>
      <c r="AS1118" s="614">
        <f ca="1">表格1_6[[#This Row],[total amount]]/表格1_6[[#This Row],[PO$]]</f>
        <v>0</v>
      </c>
      <c r="AT1118" s="318">
        <f ca="1">表格1_6[[#This Row],[invoice amount]]+表格1_6[[#This Row],[invoice amount2]]</f>
        <v>0</v>
      </c>
      <c r="AV1118" s="208"/>
      <c r="AW1118" s="208" t="e">
        <f ca="1">VLOOKUP(表格1_6[[#This Row],[TI tool ID2]],工作表1!A:A,1,FALSE)</f>
        <v>#N/A</v>
      </c>
      <c r="AX1118" s="341" t="e">
        <f ca="1">VLOOKUP(表格1_6[[#This Row],[PO+ITEM]],工作表1!B:E,2,FALSE)</f>
        <v>#N/A</v>
      </c>
      <c r="AY1118" s="341" t="e">
        <f ca="1">VLOOKUP(表格1_6[[#This Row],[PO+ITEM]],工作表1!B:E,3,FALSE)</f>
        <v>#N/A</v>
      </c>
      <c r="AZ1118" s="208" t="e">
        <f ca="1">VLOOKUP(表格1_6[[#This Row],[PO+ITEM]],工作表1!B:E,4,FALSE)</f>
        <v>#N/A</v>
      </c>
      <c r="BA1118" s="425" t="e">
        <f ca="1">INDEX(工作表1!G:G, MATCH(表格1_6[[#This Row],[invoice number]]&amp;表格1_6[[#This Row],[invoice number2]],工作表1!G:G, 0))</f>
        <v>#N/A</v>
      </c>
      <c r="BB1118" s="208" t="e">
        <f ca="1">VLOOKUP(表格1_6[[#This Row],[PO+ITEM]],工作表1!F:H,2,FALSE)</f>
        <v>#N/A</v>
      </c>
    </row>
    <row r="1119" spans="1:54" ht="15" customHeight="1">
      <c r="A1119" s="413">
        <v>1118</v>
      </c>
      <c r="B1119" s="220" t="s">
        <v>3659</v>
      </c>
      <c r="C1119" s="209" t="s">
        <v>16</v>
      </c>
      <c r="D1119" s="209" t="s">
        <v>3648</v>
      </c>
      <c r="E1119" s="209"/>
      <c r="F1119" s="209"/>
      <c r="G1119" s="209"/>
      <c r="H1119" s="209"/>
      <c r="I1119" s="209"/>
      <c r="J1119" s="218"/>
      <c r="K1119" s="218"/>
      <c r="L1119" s="210" t="s">
        <v>6609</v>
      </c>
      <c r="M1119" s="212" t="s">
        <v>2888</v>
      </c>
      <c r="N1119" s="212"/>
      <c r="O1119" s="218"/>
      <c r="P1119" s="212">
        <v>4590022924</v>
      </c>
      <c r="Q1119" s="214">
        <v>45554</v>
      </c>
      <c r="R1119" s="334" t="s">
        <v>3907</v>
      </c>
      <c r="S1119" s="461">
        <v>7339.36</v>
      </c>
      <c r="T1119" s="217" t="s">
        <v>2156</v>
      </c>
      <c r="U1119" s="209" t="s">
        <v>6610</v>
      </c>
      <c r="V1119" s="414"/>
      <c r="W1119" s="213"/>
      <c r="X1119" s="213"/>
      <c r="Y1119" s="218" t="s">
        <v>4145</v>
      </c>
      <c r="Z1119" s="218" t="s">
        <v>3652</v>
      </c>
      <c r="AA1119" s="212" t="s">
        <v>6302</v>
      </c>
      <c r="AB1119" s="209" t="s">
        <v>6611</v>
      </c>
      <c r="AC1119" s="218"/>
      <c r="AD1119" s="218"/>
      <c r="AE1119" s="218"/>
      <c r="AF1119" s="218">
        <v>91487</v>
      </c>
      <c r="AG1119" s="217" t="s">
        <v>6612</v>
      </c>
      <c r="AH1119" s="218" t="s">
        <v>6592</v>
      </c>
      <c r="AI1119" s="217"/>
      <c r="AJ1119" s="218">
        <v>4590022924</v>
      </c>
      <c r="AK1119" s="217"/>
      <c r="AL1119" s="220"/>
      <c r="AM1119" s="449"/>
      <c r="AN1119" s="227"/>
      <c r="AO1119" s="208"/>
      <c r="AP1119" s="220"/>
      <c r="AR1119" s="227"/>
      <c r="AS1119" s="614">
        <f ca="1">表格1_6[[#This Row],[total amount]]/表格1_6[[#This Row],[PO$]]</f>
        <v>0</v>
      </c>
      <c r="AT1119" s="318">
        <f ca="1">表格1_6[[#This Row],[invoice amount]]+表格1_6[[#This Row],[invoice amount2]]</f>
        <v>0</v>
      </c>
      <c r="AV1119" s="208"/>
      <c r="AW1119" s="208" t="e">
        <f ca="1">VLOOKUP(表格1_6[[#This Row],[TI tool ID2]],工作表1!A:A,1,FALSE)</f>
        <v>#N/A</v>
      </c>
      <c r="AX1119" s="341" t="e">
        <f ca="1">VLOOKUP(表格1_6[[#This Row],[PO+ITEM]],工作表1!B:E,2,FALSE)</f>
        <v>#N/A</v>
      </c>
      <c r="AY1119" s="341" t="e">
        <f ca="1">VLOOKUP(表格1_6[[#This Row],[PO+ITEM]],工作表1!B:E,3,FALSE)</f>
        <v>#N/A</v>
      </c>
      <c r="AZ1119" s="208" t="e">
        <f ca="1">VLOOKUP(表格1_6[[#This Row],[PO+ITEM]],工作表1!B:E,4,FALSE)</f>
        <v>#N/A</v>
      </c>
      <c r="BA1119" s="425" t="e">
        <f ca="1">INDEX(工作表1!G:G, MATCH(表格1_6[[#This Row],[invoice number]]&amp;表格1_6[[#This Row],[invoice number2]],工作表1!G:G, 0))</f>
        <v>#N/A</v>
      </c>
      <c r="BB1119" s="208" t="e">
        <f ca="1">VLOOKUP(表格1_6[[#This Row],[PO+ITEM]],工作表1!F:H,2,FALSE)</f>
        <v>#N/A</v>
      </c>
    </row>
    <row r="1120" spans="1:54" ht="15" customHeight="1">
      <c r="A1120" s="413">
        <v>1119</v>
      </c>
      <c r="B1120" s="220" t="s">
        <v>3659</v>
      </c>
      <c r="C1120" s="209" t="s">
        <v>16</v>
      </c>
      <c r="D1120" s="209" t="s">
        <v>3648</v>
      </c>
      <c r="E1120" s="209"/>
      <c r="F1120" s="209"/>
      <c r="G1120" s="209"/>
      <c r="H1120" s="209"/>
      <c r="I1120" s="209"/>
      <c r="J1120" s="218"/>
      <c r="K1120" s="218"/>
      <c r="L1120" s="210" t="s">
        <v>6613</v>
      </c>
      <c r="M1120" s="212" t="s">
        <v>4129</v>
      </c>
      <c r="N1120" s="212"/>
      <c r="O1120" s="218"/>
      <c r="P1120" s="212">
        <v>4590022925</v>
      </c>
      <c r="Q1120" s="214">
        <v>45554</v>
      </c>
      <c r="R1120" s="334" t="s">
        <v>3907</v>
      </c>
      <c r="S1120" s="461">
        <v>3207.6</v>
      </c>
      <c r="T1120" s="217" t="s">
        <v>2156</v>
      </c>
      <c r="U1120" s="209" t="s">
        <v>6614</v>
      </c>
      <c r="V1120" s="414"/>
      <c r="W1120" s="213"/>
      <c r="X1120" s="213"/>
      <c r="Y1120" s="218" t="s">
        <v>4145</v>
      </c>
      <c r="Z1120" s="218" t="s">
        <v>3652</v>
      </c>
      <c r="AA1120" s="212" t="s">
        <v>6302</v>
      </c>
      <c r="AB1120" s="209" t="s">
        <v>6615</v>
      </c>
      <c r="AC1120" s="218"/>
      <c r="AD1120" s="218"/>
      <c r="AE1120" s="218"/>
      <c r="AF1120" s="218">
        <v>91510</v>
      </c>
      <c r="AG1120" s="217" t="s">
        <v>6616</v>
      </c>
      <c r="AH1120" s="218" t="s">
        <v>3828</v>
      </c>
      <c r="AI1120" s="217"/>
      <c r="AJ1120" s="218">
        <v>4590022925</v>
      </c>
      <c r="AK1120" s="217"/>
      <c r="AL1120" s="220"/>
      <c r="AM1120" s="449"/>
      <c r="AN1120" s="227"/>
      <c r="AO1120" s="208"/>
      <c r="AP1120" s="220"/>
      <c r="AR1120" s="227"/>
      <c r="AS1120" s="614">
        <f ca="1">表格1_6[[#This Row],[total amount]]/表格1_6[[#This Row],[PO$]]</f>
        <v>0</v>
      </c>
      <c r="AT1120" s="318">
        <f ca="1">表格1_6[[#This Row],[invoice amount]]+表格1_6[[#This Row],[invoice amount2]]</f>
        <v>0</v>
      </c>
      <c r="AV1120" s="208"/>
      <c r="AW1120" s="208" t="e">
        <f ca="1">VLOOKUP(表格1_6[[#This Row],[TI tool ID2]],工作表1!A:A,1,FALSE)</f>
        <v>#N/A</v>
      </c>
      <c r="AX1120" s="341" t="e">
        <f ca="1">VLOOKUP(表格1_6[[#This Row],[PO+ITEM]],工作表1!B:E,2,FALSE)</f>
        <v>#N/A</v>
      </c>
      <c r="AY1120" s="341" t="e">
        <f ca="1">VLOOKUP(表格1_6[[#This Row],[PO+ITEM]],工作表1!B:E,3,FALSE)</f>
        <v>#N/A</v>
      </c>
      <c r="AZ1120" s="208" t="e">
        <f ca="1">VLOOKUP(表格1_6[[#This Row],[PO+ITEM]],工作表1!B:E,4,FALSE)</f>
        <v>#N/A</v>
      </c>
      <c r="BA1120" s="425" t="e">
        <f ca="1">INDEX(工作表1!G:G, MATCH(表格1_6[[#This Row],[invoice number]]&amp;表格1_6[[#This Row],[invoice number2]],工作表1!G:G, 0))</f>
        <v>#N/A</v>
      </c>
      <c r="BB1120" s="208" t="e">
        <f ca="1">VLOOKUP(表格1_6[[#This Row],[PO+ITEM]],工作表1!F:H,2,FALSE)</f>
        <v>#N/A</v>
      </c>
    </row>
    <row r="1121" spans="1:54" ht="15" customHeight="1">
      <c r="A1121" s="413">
        <v>1123</v>
      </c>
      <c r="B1121" s="220" t="s">
        <v>3659</v>
      </c>
      <c r="C1121" s="209" t="s">
        <v>16</v>
      </c>
      <c r="D1121" s="209" t="s">
        <v>3648</v>
      </c>
      <c r="E1121" s="209"/>
      <c r="F1121" s="209"/>
      <c r="G1121" s="209"/>
      <c r="H1121" s="209"/>
      <c r="I1121" s="209"/>
      <c r="J1121" s="218"/>
      <c r="K1121" s="218"/>
      <c r="L1121" s="210" t="s">
        <v>6617</v>
      </c>
      <c r="M1121" s="212" t="s">
        <v>4129</v>
      </c>
      <c r="N1121" s="212"/>
      <c r="O1121" s="218"/>
      <c r="P1121" s="212">
        <v>4590023215</v>
      </c>
      <c r="Q1121" s="214">
        <v>45560</v>
      </c>
      <c r="R1121" s="334" t="s">
        <v>3907</v>
      </c>
      <c r="S1121" s="461">
        <v>77102.69</v>
      </c>
      <c r="T1121" s="217" t="s">
        <v>2156</v>
      </c>
      <c r="U1121" s="414"/>
      <c r="V1121" s="414"/>
      <c r="W1121" s="213"/>
      <c r="X1121" s="213"/>
      <c r="Y1121" s="218" t="s">
        <v>4145</v>
      </c>
      <c r="Z1121" s="218" t="s">
        <v>3652</v>
      </c>
      <c r="AA1121" s="212" t="s">
        <v>6302</v>
      </c>
      <c r="AB1121" s="209" t="s">
        <v>6618</v>
      </c>
      <c r="AC1121" s="218"/>
      <c r="AD1121" s="218"/>
      <c r="AE1121" s="218"/>
      <c r="AF1121" s="218">
        <v>91456</v>
      </c>
      <c r="AG1121" s="217" t="s">
        <v>6619</v>
      </c>
      <c r="AH1121" s="218" t="s">
        <v>6467</v>
      </c>
      <c r="AI1121" s="217"/>
      <c r="AJ1121" s="218">
        <v>4590023215</v>
      </c>
      <c r="AK1121" s="217"/>
      <c r="AL1121" s="220"/>
      <c r="AM1121" s="449"/>
      <c r="AN1121" s="227"/>
      <c r="AO1121" s="208"/>
      <c r="AP1121" s="220"/>
      <c r="AR1121" s="227"/>
      <c r="AS1121" s="614">
        <f ca="1">表格1_6[[#This Row],[total amount]]/表格1_6[[#This Row],[PO$]]</f>
        <v>0</v>
      </c>
      <c r="AT1121" s="318">
        <f ca="1">表格1_6[[#This Row],[invoice amount]]+表格1_6[[#This Row],[invoice amount2]]</f>
        <v>0</v>
      </c>
      <c r="AV1121" s="208"/>
      <c r="AW1121" s="208" t="e">
        <f ca="1">VLOOKUP(表格1_6[[#This Row],[TI tool ID2]],工作表1!A:A,1,FALSE)</f>
        <v>#N/A</v>
      </c>
      <c r="AX1121" s="341" t="e">
        <f ca="1">VLOOKUP(表格1_6[[#This Row],[PO+ITEM]],工作表1!B:E,2,FALSE)</f>
        <v>#N/A</v>
      </c>
      <c r="AY1121" s="341" t="e">
        <f ca="1">VLOOKUP(表格1_6[[#This Row],[PO+ITEM]],工作表1!B:E,3,FALSE)</f>
        <v>#N/A</v>
      </c>
      <c r="AZ1121" s="208" t="e">
        <f ca="1">VLOOKUP(表格1_6[[#This Row],[PO+ITEM]],工作表1!B:E,4,FALSE)</f>
        <v>#N/A</v>
      </c>
      <c r="BA1121" s="425" t="e">
        <f ca="1">INDEX(工作表1!G:G, MATCH(表格1_6[[#This Row],[invoice number]]&amp;表格1_6[[#This Row],[invoice number2]],工作表1!G:G, 0))</f>
        <v>#N/A</v>
      </c>
      <c r="BB1121" s="208" t="e">
        <f ca="1">VLOOKUP(表格1_6[[#This Row],[PO+ITEM]],工作表1!F:H,2,FALSE)</f>
        <v>#N/A</v>
      </c>
    </row>
    <row r="1122" spans="1:54" ht="15" customHeight="1">
      <c r="A1122" s="413">
        <v>1120</v>
      </c>
      <c r="B1122" s="220" t="s">
        <v>3659</v>
      </c>
      <c r="C1122" s="209" t="s">
        <v>16</v>
      </c>
      <c r="D1122" s="209" t="s">
        <v>3648</v>
      </c>
      <c r="E1122" s="209"/>
      <c r="F1122" s="209"/>
      <c r="G1122" s="209"/>
      <c r="H1122" s="209"/>
      <c r="I1122" s="209"/>
      <c r="J1122" s="218"/>
      <c r="K1122" s="218"/>
      <c r="L1122" s="210" t="s">
        <v>6620</v>
      </c>
      <c r="M1122" s="212" t="s">
        <v>4129</v>
      </c>
      <c r="N1122" s="212"/>
      <c r="O1122" s="218"/>
      <c r="P1122" s="212">
        <v>4590023216</v>
      </c>
      <c r="Q1122" s="214">
        <v>45560</v>
      </c>
      <c r="R1122" s="334" t="s">
        <v>3907</v>
      </c>
      <c r="S1122" s="461">
        <v>3285</v>
      </c>
      <c r="T1122" s="217" t="s">
        <v>2156</v>
      </c>
      <c r="U1122" s="414"/>
      <c r="V1122" s="414"/>
      <c r="W1122" s="213"/>
      <c r="X1122" s="213"/>
      <c r="Y1122" s="218" t="s">
        <v>4145</v>
      </c>
      <c r="Z1122" s="218" t="s">
        <v>3652</v>
      </c>
      <c r="AA1122" s="212" t="s">
        <v>6302</v>
      </c>
      <c r="AB1122" s="209"/>
      <c r="AC1122" s="218"/>
      <c r="AD1122" s="218"/>
      <c r="AE1122" s="218"/>
      <c r="AF1122" s="218">
        <v>91496</v>
      </c>
      <c r="AG1122" s="217" t="s">
        <v>6621</v>
      </c>
      <c r="AH1122" s="218" t="s">
        <v>6467</v>
      </c>
      <c r="AI1122" s="217"/>
      <c r="AJ1122" s="218">
        <v>4590023216</v>
      </c>
      <c r="AK1122" s="217"/>
      <c r="AL1122" s="220"/>
      <c r="AM1122" s="449"/>
      <c r="AN1122" s="227"/>
      <c r="AO1122" s="208"/>
      <c r="AP1122" s="220"/>
      <c r="AR1122" s="227"/>
      <c r="AS1122" s="614">
        <f ca="1">表格1_6[[#This Row],[total amount]]/表格1_6[[#This Row],[PO$]]</f>
        <v>0</v>
      </c>
      <c r="AT1122" s="318">
        <f ca="1">表格1_6[[#This Row],[invoice amount]]+表格1_6[[#This Row],[invoice amount2]]</f>
        <v>0</v>
      </c>
      <c r="AV1122" s="208"/>
      <c r="AW1122" s="208" t="e">
        <f ca="1">VLOOKUP(表格1_6[[#This Row],[TI tool ID2]],工作表1!A:A,1,FALSE)</f>
        <v>#N/A</v>
      </c>
      <c r="AX1122" s="341" t="e">
        <f ca="1">VLOOKUP(表格1_6[[#This Row],[PO+ITEM]],工作表1!B:E,2,FALSE)</f>
        <v>#N/A</v>
      </c>
      <c r="AY1122" s="341" t="e">
        <f ca="1">VLOOKUP(表格1_6[[#This Row],[PO+ITEM]],工作表1!B:E,3,FALSE)</f>
        <v>#N/A</v>
      </c>
      <c r="AZ1122" s="208" t="e">
        <f ca="1">VLOOKUP(表格1_6[[#This Row],[PO+ITEM]],工作表1!B:E,4,FALSE)</f>
        <v>#N/A</v>
      </c>
      <c r="BA1122" s="425" t="e">
        <f ca="1">INDEX(工作表1!G:G, MATCH(表格1_6[[#This Row],[invoice number]]&amp;表格1_6[[#This Row],[invoice number2]],工作表1!G:G, 0))</f>
        <v>#N/A</v>
      </c>
      <c r="BB1122" s="208" t="e">
        <f ca="1">VLOOKUP(表格1_6[[#This Row],[PO+ITEM]],工作表1!F:H,2,FALSE)</f>
        <v>#N/A</v>
      </c>
    </row>
    <row r="1123" spans="1:54" ht="15" customHeight="1">
      <c r="A1123" s="413">
        <v>1124</v>
      </c>
      <c r="B1123" s="220" t="s">
        <v>3659</v>
      </c>
      <c r="C1123" s="209" t="s">
        <v>16</v>
      </c>
      <c r="D1123" s="209" t="s">
        <v>3648</v>
      </c>
      <c r="E1123" s="209"/>
      <c r="F1123" s="209"/>
      <c r="G1123" s="209"/>
      <c r="H1123" s="209"/>
      <c r="I1123" s="209"/>
      <c r="J1123" s="218"/>
      <c r="K1123" s="218"/>
      <c r="L1123" s="210" t="s">
        <v>6622</v>
      </c>
      <c r="M1123" s="212" t="s">
        <v>4129</v>
      </c>
      <c r="N1123" s="212"/>
      <c r="O1123" s="218"/>
      <c r="P1123" s="212">
        <v>4590023217</v>
      </c>
      <c r="Q1123" s="214">
        <v>45560</v>
      </c>
      <c r="R1123" s="334" t="s">
        <v>3907</v>
      </c>
      <c r="S1123" s="461">
        <v>77102.69</v>
      </c>
      <c r="T1123" s="217" t="s">
        <v>2156</v>
      </c>
      <c r="U1123" s="414"/>
      <c r="V1123" s="414"/>
      <c r="W1123" s="213"/>
      <c r="X1123" s="213"/>
      <c r="Y1123" s="218" t="s">
        <v>4145</v>
      </c>
      <c r="Z1123" s="218" t="s">
        <v>3652</v>
      </c>
      <c r="AA1123" s="212" t="s">
        <v>6302</v>
      </c>
      <c r="AB1123" s="209" t="s">
        <v>6623</v>
      </c>
      <c r="AC1123" s="218"/>
      <c r="AD1123" s="218"/>
      <c r="AE1123" s="218"/>
      <c r="AF1123" s="218">
        <v>91497</v>
      </c>
      <c r="AG1123" s="217" t="s">
        <v>6624</v>
      </c>
      <c r="AH1123" s="218" t="s">
        <v>6467</v>
      </c>
      <c r="AI1123" s="217"/>
      <c r="AJ1123" s="218">
        <v>4590023217</v>
      </c>
      <c r="AK1123" s="217"/>
      <c r="AL1123" s="220"/>
      <c r="AM1123" s="449"/>
      <c r="AN1123" s="227"/>
      <c r="AO1123" s="208"/>
      <c r="AP1123" s="220"/>
      <c r="AR1123" s="227"/>
      <c r="AS1123" s="614">
        <f ca="1">表格1_6[[#This Row],[total amount]]/表格1_6[[#This Row],[PO$]]</f>
        <v>0</v>
      </c>
      <c r="AT1123" s="318">
        <f ca="1">表格1_6[[#This Row],[invoice amount]]+表格1_6[[#This Row],[invoice amount2]]</f>
        <v>0</v>
      </c>
      <c r="AV1123" s="208"/>
      <c r="AW1123" s="208" t="e">
        <f ca="1">VLOOKUP(表格1_6[[#This Row],[TI tool ID2]],工作表1!A:A,1,FALSE)</f>
        <v>#N/A</v>
      </c>
      <c r="AX1123" s="341" t="e">
        <f ca="1">VLOOKUP(表格1_6[[#This Row],[PO+ITEM]],工作表1!B:E,2,FALSE)</f>
        <v>#N/A</v>
      </c>
      <c r="AY1123" s="341" t="e">
        <f ca="1">VLOOKUP(表格1_6[[#This Row],[PO+ITEM]],工作表1!B:E,3,FALSE)</f>
        <v>#N/A</v>
      </c>
      <c r="AZ1123" s="208" t="e">
        <f ca="1">VLOOKUP(表格1_6[[#This Row],[PO+ITEM]],工作表1!B:E,4,FALSE)</f>
        <v>#N/A</v>
      </c>
      <c r="BA1123" s="425" t="e">
        <f ca="1">INDEX(工作表1!G:G, MATCH(表格1_6[[#This Row],[invoice number]]&amp;表格1_6[[#This Row],[invoice number2]],工作表1!G:G, 0))</f>
        <v>#N/A</v>
      </c>
      <c r="BB1123" s="208" t="e">
        <f ca="1">VLOOKUP(表格1_6[[#This Row],[PO+ITEM]],工作表1!F:H,2,FALSE)</f>
        <v>#N/A</v>
      </c>
    </row>
    <row r="1124" spans="1:54" ht="15" customHeight="1">
      <c r="A1124" s="413">
        <v>1125</v>
      </c>
      <c r="B1124" s="220" t="s">
        <v>3659</v>
      </c>
      <c r="C1124" s="209" t="s">
        <v>16</v>
      </c>
      <c r="D1124" s="209" t="s">
        <v>3648</v>
      </c>
      <c r="E1124" s="209"/>
      <c r="F1124" s="209"/>
      <c r="G1124" s="209"/>
      <c r="H1124" s="209"/>
      <c r="I1124" s="209"/>
      <c r="J1124" s="218"/>
      <c r="K1124" s="218"/>
      <c r="L1124" s="210" t="s">
        <v>6625</v>
      </c>
      <c r="M1124" s="212" t="s">
        <v>4129</v>
      </c>
      <c r="N1124" s="212"/>
      <c r="O1124" s="218"/>
      <c r="P1124" s="212">
        <v>4590023218</v>
      </c>
      <c r="Q1124" s="214">
        <v>45560</v>
      </c>
      <c r="R1124" s="334" t="s">
        <v>3907</v>
      </c>
      <c r="S1124" s="461">
        <v>77102.69</v>
      </c>
      <c r="T1124" s="217" t="s">
        <v>2156</v>
      </c>
      <c r="U1124" s="414"/>
      <c r="V1124" s="414"/>
      <c r="W1124" s="213"/>
      <c r="X1124" s="213"/>
      <c r="Y1124" s="218" t="s">
        <v>4145</v>
      </c>
      <c r="Z1124" s="218" t="s">
        <v>3652</v>
      </c>
      <c r="AA1124" s="212" t="s">
        <v>6302</v>
      </c>
      <c r="AB1124" s="209" t="s">
        <v>6626</v>
      </c>
      <c r="AC1124" s="218"/>
      <c r="AD1124" s="218"/>
      <c r="AE1124" s="218"/>
      <c r="AF1124" s="218">
        <v>91498</v>
      </c>
      <c r="AG1124" s="217" t="s">
        <v>6627</v>
      </c>
      <c r="AH1124" s="218" t="s">
        <v>6467</v>
      </c>
      <c r="AI1124" s="217"/>
      <c r="AJ1124" s="218">
        <v>4590023218</v>
      </c>
      <c r="AK1124" s="217"/>
      <c r="AL1124" s="220"/>
      <c r="AM1124" s="449"/>
      <c r="AN1124" s="227"/>
      <c r="AO1124" s="208"/>
      <c r="AP1124" s="220"/>
      <c r="AR1124" s="227"/>
      <c r="AS1124" s="614">
        <f ca="1">表格1_6[[#This Row],[total amount]]/表格1_6[[#This Row],[PO$]]</f>
        <v>0</v>
      </c>
      <c r="AT1124" s="318">
        <f ca="1">表格1_6[[#This Row],[invoice amount]]+表格1_6[[#This Row],[invoice amount2]]</f>
        <v>0</v>
      </c>
      <c r="AV1124" s="208"/>
      <c r="AW1124" s="208" t="e">
        <f ca="1">VLOOKUP(表格1_6[[#This Row],[TI tool ID2]],工作表1!A:A,1,FALSE)</f>
        <v>#N/A</v>
      </c>
      <c r="AX1124" s="341" t="e">
        <f ca="1">VLOOKUP(表格1_6[[#This Row],[PO+ITEM]],工作表1!B:E,2,FALSE)</f>
        <v>#N/A</v>
      </c>
      <c r="AY1124" s="341" t="e">
        <f ca="1">VLOOKUP(表格1_6[[#This Row],[PO+ITEM]],工作表1!B:E,3,FALSE)</f>
        <v>#N/A</v>
      </c>
      <c r="AZ1124" s="208" t="e">
        <f ca="1">VLOOKUP(表格1_6[[#This Row],[PO+ITEM]],工作表1!B:E,4,FALSE)</f>
        <v>#N/A</v>
      </c>
      <c r="BA1124" s="425" t="e">
        <f ca="1">INDEX(工作表1!G:G, MATCH(表格1_6[[#This Row],[invoice number]]&amp;表格1_6[[#This Row],[invoice number2]],工作表1!G:G, 0))</f>
        <v>#N/A</v>
      </c>
      <c r="BB1124" s="208" t="e">
        <f ca="1">VLOOKUP(表格1_6[[#This Row],[PO+ITEM]],工作表1!F:H,2,FALSE)</f>
        <v>#N/A</v>
      </c>
    </row>
    <row r="1125" spans="1:54" ht="15" customHeight="1">
      <c r="A1125" s="413">
        <v>1126</v>
      </c>
      <c r="B1125" s="220" t="s">
        <v>3659</v>
      </c>
      <c r="C1125" s="209" t="s">
        <v>16</v>
      </c>
      <c r="D1125" s="209" t="s">
        <v>3648</v>
      </c>
      <c r="E1125" s="209"/>
      <c r="F1125" s="209"/>
      <c r="G1125" s="209"/>
      <c r="H1125" s="209"/>
      <c r="I1125" s="209"/>
      <c r="J1125" s="218"/>
      <c r="K1125" s="218"/>
      <c r="L1125" s="210" t="s">
        <v>6628</v>
      </c>
      <c r="M1125" s="212" t="s">
        <v>4129</v>
      </c>
      <c r="N1125" s="212"/>
      <c r="O1125" s="218"/>
      <c r="P1125" s="212">
        <v>4590023219</v>
      </c>
      <c r="Q1125" s="214">
        <v>45560</v>
      </c>
      <c r="R1125" s="334" t="s">
        <v>3907</v>
      </c>
      <c r="S1125" s="461">
        <v>82847.3</v>
      </c>
      <c r="T1125" s="217" t="s">
        <v>2156</v>
      </c>
      <c r="U1125" s="414"/>
      <c r="V1125" s="414"/>
      <c r="W1125" s="213"/>
      <c r="X1125" s="213"/>
      <c r="Y1125" s="218" t="s">
        <v>4145</v>
      </c>
      <c r="Z1125" s="218" t="s">
        <v>3652</v>
      </c>
      <c r="AA1125" s="212" t="s">
        <v>6302</v>
      </c>
      <c r="AB1125" s="209" t="s">
        <v>6629</v>
      </c>
      <c r="AC1125" s="218"/>
      <c r="AD1125" s="218"/>
      <c r="AE1125" s="218"/>
      <c r="AF1125" s="218">
        <v>91499</v>
      </c>
      <c r="AG1125" s="217" t="s">
        <v>6630</v>
      </c>
      <c r="AH1125" s="218" t="s">
        <v>6467</v>
      </c>
      <c r="AI1125" s="217"/>
      <c r="AJ1125" s="218">
        <v>4590023219</v>
      </c>
      <c r="AK1125" s="217"/>
      <c r="AL1125" s="220"/>
      <c r="AM1125" s="449"/>
      <c r="AN1125" s="227"/>
      <c r="AO1125" s="208"/>
      <c r="AP1125" s="220"/>
      <c r="AR1125" s="227"/>
      <c r="AS1125" s="614">
        <f ca="1">表格1_6[[#This Row],[total amount]]/表格1_6[[#This Row],[PO$]]</f>
        <v>0</v>
      </c>
      <c r="AT1125" s="318">
        <f ca="1">表格1_6[[#This Row],[invoice amount]]+表格1_6[[#This Row],[invoice amount2]]</f>
        <v>0</v>
      </c>
      <c r="AV1125" s="208"/>
      <c r="AW1125" s="208" t="e">
        <f ca="1">VLOOKUP(表格1_6[[#This Row],[TI tool ID2]],工作表1!A:A,1,FALSE)</f>
        <v>#N/A</v>
      </c>
      <c r="AX1125" s="341" t="e">
        <f ca="1">VLOOKUP(表格1_6[[#This Row],[PO+ITEM]],工作表1!B:E,2,FALSE)</f>
        <v>#N/A</v>
      </c>
      <c r="AY1125" s="341" t="e">
        <f ca="1">VLOOKUP(表格1_6[[#This Row],[PO+ITEM]],工作表1!B:E,3,FALSE)</f>
        <v>#N/A</v>
      </c>
      <c r="AZ1125" s="208" t="e">
        <f ca="1">VLOOKUP(表格1_6[[#This Row],[PO+ITEM]],工作表1!B:E,4,FALSE)</f>
        <v>#N/A</v>
      </c>
      <c r="BA1125" s="425" t="e">
        <f ca="1">INDEX(工作表1!G:G, MATCH(表格1_6[[#This Row],[invoice number]]&amp;表格1_6[[#This Row],[invoice number2]],工作表1!G:G, 0))</f>
        <v>#N/A</v>
      </c>
      <c r="BB1125" s="208" t="e">
        <f ca="1">VLOOKUP(表格1_6[[#This Row],[PO+ITEM]],工作表1!F:H,2,FALSE)</f>
        <v>#N/A</v>
      </c>
    </row>
    <row r="1126" spans="1:54" ht="15" customHeight="1">
      <c r="A1126" s="413">
        <v>1127</v>
      </c>
      <c r="B1126" s="220" t="s">
        <v>3659</v>
      </c>
      <c r="C1126" s="209" t="s">
        <v>16</v>
      </c>
      <c r="D1126" s="209" t="s">
        <v>3648</v>
      </c>
      <c r="E1126" s="209"/>
      <c r="F1126" s="209"/>
      <c r="G1126" s="209"/>
      <c r="H1126" s="209"/>
      <c r="I1126" s="209"/>
      <c r="J1126" s="218"/>
      <c r="K1126" s="218"/>
      <c r="L1126" s="210" t="s">
        <v>6631</v>
      </c>
      <c r="M1126" s="212" t="s">
        <v>4129</v>
      </c>
      <c r="N1126" s="212"/>
      <c r="O1126" s="218"/>
      <c r="P1126" s="212">
        <v>4590023220</v>
      </c>
      <c r="Q1126" s="214">
        <v>45560</v>
      </c>
      <c r="R1126" s="334" t="s">
        <v>3907</v>
      </c>
      <c r="S1126" s="461">
        <v>82847.3</v>
      </c>
      <c r="T1126" s="217" t="s">
        <v>2156</v>
      </c>
      <c r="U1126" s="414"/>
      <c r="V1126" s="414"/>
      <c r="W1126" s="213"/>
      <c r="X1126" s="213"/>
      <c r="Y1126" s="218" t="s">
        <v>4145</v>
      </c>
      <c r="Z1126" s="218" t="s">
        <v>3652</v>
      </c>
      <c r="AA1126" s="212" t="s">
        <v>6302</v>
      </c>
      <c r="AB1126" s="209" t="s">
        <v>6632</v>
      </c>
      <c r="AC1126" s="218"/>
      <c r="AD1126" s="218"/>
      <c r="AE1126" s="218"/>
      <c r="AF1126" s="218">
        <v>91502</v>
      </c>
      <c r="AG1126" s="217" t="s">
        <v>6633</v>
      </c>
      <c r="AH1126" s="218" t="s">
        <v>6467</v>
      </c>
      <c r="AI1126" s="217"/>
      <c r="AJ1126" s="218">
        <v>4590023220</v>
      </c>
      <c r="AK1126" s="217"/>
      <c r="AL1126" s="220"/>
      <c r="AM1126" s="449"/>
      <c r="AN1126" s="227"/>
      <c r="AO1126" s="208"/>
      <c r="AP1126" s="220"/>
      <c r="AR1126" s="227"/>
      <c r="AS1126" s="614">
        <f ca="1">表格1_6[[#This Row],[total amount]]/表格1_6[[#This Row],[PO$]]</f>
        <v>0</v>
      </c>
      <c r="AT1126" s="318">
        <f ca="1">表格1_6[[#This Row],[invoice amount]]+表格1_6[[#This Row],[invoice amount2]]</f>
        <v>0</v>
      </c>
      <c r="AV1126" s="208"/>
      <c r="AW1126" s="208" t="e">
        <f ca="1">VLOOKUP(表格1_6[[#This Row],[TI tool ID2]],工作表1!A:A,1,FALSE)</f>
        <v>#N/A</v>
      </c>
      <c r="AX1126" s="341" t="e">
        <f ca="1">VLOOKUP(表格1_6[[#This Row],[PO+ITEM]],工作表1!B:E,2,FALSE)</f>
        <v>#N/A</v>
      </c>
      <c r="AY1126" s="341" t="e">
        <f ca="1">VLOOKUP(表格1_6[[#This Row],[PO+ITEM]],工作表1!B:E,3,FALSE)</f>
        <v>#N/A</v>
      </c>
      <c r="AZ1126" s="208" t="e">
        <f ca="1">VLOOKUP(表格1_6[[#This Row],[PO+ITEM]],工作表1!B:E,4,FALSE)</f>
        <v>#N/A</v>
      </c>
      <c r="BA1126" s="425" t="e">
        <f ca="1">INDEX(工作表1!G:G, MATCH(表格1_6[[#This Row],[invoice number]]&amp;表格1_6[[#This Row],[invoice number2]],工作表1!G:G, 0))</f>
        <v>#N/A</v>
      </c>
      <c r="BB1126" s="208" t="e">
        <f ca="1">VLOOKUP(表格1_6[[#This Row],[PO+ITEM]],工作表1!F:H,2,FALSE)</f>
        <v>#N/A</v>
      </c>
    </row>
    <row r="1127" spans="1:54" ht="15" customHeight="1">
      <c r="A1127" s="413">
        <v>1121</v>
      </c>
      <c r="B1127" s="220" t="s">
        <v>3659</v>
      </c>
      <c r="C1127" s="209" t="s">
        <v>16</v>
      </c>
      <c r="D1127" s="209" t="s">
        <v>3648</v>
      </c>
      <c r="E1127" s="209"/>
      <c r="F1127" s="209"/>
      <c r="G1127" s="209"/>
      <c r="H1127" s="209"/>
      <c r="I1127" s="209"/>
      <c r="J1127" s="218"/>
      <c r="K1127" s="218"/>
      <c r="L1127" s="210" t="s">
        <v>6634</v>
      </c>
      <c r="M1127" s="212" t="s">
        <v>6298</v>
      </c>
      <c r="N1127" s="212"/>
      <c r="O1127" s="218"/>
      <c r="P1127" s="212">
        <v>4590023222</v>
      </c>
      <c r="Q1127" s="214">
        <v>45560</v>
      </c>
      <c r="R1127" s="334" t="s">
        <v>3907</v>
      </c>
      <c r="S1127" s="461">
        <v>10320</v>
      </c>
      <c r="T1127" s="217" t="s">
        <v>2156</v>
      </c>
      <c r="U1127" s="414"/>
      <c r="V1127" s="414"/>
      <c r="W1127" s="213"/>
      <c r="X1127" s="213"/>
      <c r="Y1127" s="218" t="s">
        <v>4145</v>
      </c>
      <c r="Z1127" s="218" t="s">
        <v>3652</v>
      </c>
      <c r="AA1127" s="212" t="s">
        <v>6302</v>
      </c>
      <c r="AB1127" s="209" t="s">
        <v>6635</v>
      </c>
      <c r="AC1127" s="218"/>
      <c r="AD1127" s="218"/>
      <c r="AE1127" s="218"/>
      <c r="AF1127" s="421"/>
      <c r="AG1127" s="217" t="s">
        <v>3950</v>
      </c>
      <c r="AH1127" s="218" t="s">
        <v>3900</v>
      </c>
      <c r="AI1127" s="217"/>
      <c r="AJ1127" s="218">
        <v>4590023222</v>
      </c>
      <c r="AK1127" s="217"/>
      <c r="AL1127" s="220"/>
      <c r="AM1127" s="449"/>
      <c r="AN1127" s="227"/>
      <c r="AO1127" s="208"/>
      <c r="AP1127" s="220"/>
      <c r="AR1127" s="227"/>
      <c r="AS1127" s="614">
        <f ca="1">表格1_6[[#This Row],[total amount]]/表格1_6[[#This Row],[PO$]]</f>
        <v>0</v>
      </c>
      <c r="AT1127" s="318">
        <f ca="1">表格1_6[[#This Row],[invoice amount]]+表格1_6[[#This Row],[invoice amount2]]</f>
        <v>0</v>
      </c>
      <c r="AV1127" s="208"/>
      <c r="AW1127" s="208" t="e">
        <f ca="1">VLOOKUP(表格1_6[[#This Row],[TI tool ID2]],工作表1!A:A,1,FALSE)</f>
        <v>#N/A</v>
      </c>
      <c r="AX1127" s="341" t="e">
        <f ca="1">VLOOKUP(表格1_6[[#This Row],[PO+ITEM]],工作表1!B:E,2,FALSE)</f>
        <v>#N/A</v>
      </c>
      <c r="AY1127" s="341" t="e">
        <f ca="1">VLOOKUP(表格1_6[[#This Row],[PO+ITEM]],工作表1!B:E,3,FALSE)</f>
        <v>#N/A</v>
      </c>
      <c r="AZ1127" s="208" t="e">
        <f ca="1">VLOOKUP(表格1_6[[#This Row],[PO+ITEM]],工作表1!B:E,4,FALSE)</f>
        <v>#N/A</v>
      </c>
      <c r="BA1127" s="425" t="e">
        <f ca="1">INDEX(工作表1!G:G, MATCH(表格1_6[[#This Row],[invoice number]]&amp;表格1_6[[#This Row],[invoice number2]],工作表1!G:G, 0))</f>
        <v>#N/A</v>
      </c>
      <c r="BB1127" s="208" t="e">
        <f ca="1">VLOOKUP(表格1_6[[#This Row],[PO+ITEM]],工作表1!F:H,2,FALSE)</f>
        <v>#N/A</v>
      </c>
    </row>
    <row r="1128" spans="1:54" ht="15" customHeight="1">
      <c r="A1128" s="413">
        <v>1128</v>
      </c>
      <c r="B1128" s="220" t="s">
        <v>3659</v>
      </c>
      <c r="C1128" s="209" t="s">
        <v>17</v>
      </c>
      <c r="D1128" s="209" t="s">
        <v>3648</v>
      </c>
      <c r="E1128" s="209"/>
      <c r="F1128" s="209"/>
      <c r="G1128" s="209"/>
      <c r="H1128" s="209"/>
      <c r="I1128" s="209"/>
      <c r="J1128" s="218"/>
      <c r="K1128" s="218"/>
      <c r="L1128" s="210" t="s">
        <v>6636</v>
      </c>
      <c r="M1128" s="212" t="s">
        <v>4129</v>
      </c>
      <c r="N1128" s="212"/>
      <c r="O1128" s="218"/>
      <c r="P1128" s="212">
        <v>4590023223</v>
      </c>
      <c r="Q1128" s="214">
        <v>45560</v>
      </c>
      <c r="R1128" s="334" t="s">
        <v>3907</v>
      </c>
      <c r="S1128" s="461">
        <v>108628.8</v>
      </c>
      <c r="T1128" s="217" t="s">
        <v>2156</v>
      </c>
      <c r="U1128" s="414"/>
      <c r="V1128" s="414"/>
      <c r="W1128" s="213"/>
      <c r="X1128" s="213"/>
      <c r="Y1128" s="218" t="s">
        <v>4145</v>
      </c>
      <c r="Z1128" s="218" t="s">
        <v>3652</v>
      </c>
      <c r="AA1128" s="212" t="s">
        <v>6302</v>
      </c>
      <c r="AB1128" s="209" t="s">
        <v>6637</v>
      </c>
      <c r="AC1128" s="218"/>
      <c r="AD1128" s="218"/>
      <c r="AE1128" s="218"/>
      <c r="AF1128" s="218">
        <v>91521</v>
      </c>
      <c r="AG1128" s="217" t="s">
        <v>6638</v>
      </c>
      <c r="AH1128" s="218" t="s">
        <v>3711</v>
      </c>
      <c r="AI1128" s="217"/>
      <c r="AJ1128" s="218">
        <v>4590023223</v>
      </c>
      <c r="AK1128" s="217"/>
      <c r="AL1128" s="220"/>
      <c r="AM1128" s="449"/>
      <c r="AN1128" s="227"/>
      <c r="AO1128" s="208"/>
      <c r="AP1128" s="220"/>
      <c r="AR1128" s="227"/>
      <c r="AS1128" s="614">
        <f ca="1">表格1_6[[#This Row],[total amount]]/表格1_6[[#This Row],[PO$]]</f>
        <v>0</v>
      </c>
      <c r="AT1128" s="318">
        <f ca="1">表格1_6[[#This Row],[invoice amount]]+表格1_6[[#This Row],[invoice amount2]]</f>
        <v>0</v>
      </c>
      <c r="AV1128" s="208"/>
      <c r="AW1128" s="208" t="e">
        <f ca="1">VLOOKUP(表格1_6[[#This Row],[TI tool ID2]],工作表1!A:A,1,FALSE)</f>
        <v>#N/A</v>
      </c>
      <c r="AX1128" s="341" t="e">
        <f ca="1">VLOOKUP(表格1_6[[#This Row],[PO+ITEM]],工作表1!B:E,2,FALSE)</f>
        <v>#N/A</v>
      </c>
      <c r="AY1128" s="341" t="e">
        <f ca="1">VLOOKUP(表格1_6[[#This Row],[PO+ITEM]],工作表1!B:E,3,FALSE)</f>
        <v>#N/A</v>
      </c>
      <c r="AZ1128" s="208" t="e">
        <f ca="1">VLOOKUP(表格1_6[[#This Row],[PO+ITEM]],工作表1!B:E,4,FALSE)</f>
        <v>#N/A</v>
      </c>
      <c r="BA1128" s="425" t="e">
        <f ca="1">INDEX(工作表1!G:G, MATCH(表格1_6[[#This Row],[invoice number]]&amp;表格1_6[[#This Row],[invoice number2]],工作表1!G:G, 0))</f>
        <v>#N/A</v>
      </c>
      <c r="BB1128" s="208" t="e">
        <f ca="1">VLOOKUP(表格1_6[[#This Row],[PO+ITEM]],工作表1!F:H,2,FALSE)</f>
        <v>#N/A</v>
      </c>
    </row>
    <row r="1129" spans="1:54" ht="15" customHeight="1">
      <c r="A1129" s="413">
        <v>1129</v>
      </c>
      <c r="B1129" s="220" t="s">
        <v>3659</v>
      </c>
      <c r="C1129" s="209" t="s">
        <v>17</v>
      </c>
      <c r="D1129" s="209" t="s">
        <v>3648</v>
      </c>
      <c r="E1129" s="209"/>
      <c r="F1129" s="209"/>
      <c r="G1129" s="209"/>
      <c r="H1129" s="209"/>
      <c r="I1129" s="209"/>
      <c r="J1129" s="218"/>
      <c r="K1129" s="218"/>
      <c r="L1129" s="210" t="s">
        <v>6639</v>
      </c>
      <c r="M1129" s="212" t="s">
        <v>4129</v>
      </c>
      <c r="N1129" s="212"/>
      <c r="O1129" s="218"/>
      <c r="P1129" s="212">
        <v>4590023224</v>
      </c>
      <c r="Q1129" s="214">
        <v>45560</v>
      </c>
      <c r="R1129" s="334" t="s">
        <v>3907</v>
      </c>
      <c r="S1129" s="461">
        <v>108628.8</v>
      </c>
      <c r="T1129" s="217" t="s">
        <v>2156</v>
      </c>
      <c r="U1129" s="414"/>
      <c r="V1129" s="414"/>
      <c r="W1129" s="213"/>
      <c r="X1129" s="213"/>
      <c r="Y1129" s="218" t="s">
        <v>4145</v>
      </c>
      <c r="Z1129" s="218" t="s">
        <v>3652</v>
      </c>
      <c r="AA1129" s="212" t="s">
        <v>6302</v>
      </c>
      <c r="AB1129" s="209" t="s">
        <v>6640</v>
      </c>
      <c r="AC1129" s="218"/>
      <c r="AD1129" s="218"/>
      <c r="AE1129" s="218"/>
      <c r="AF1129" s="218">
        <v>91522</v>
      </c>
      <c r="AG1129" s="217" t="s">
        <v>6641</v>
      </c>
      <c r="AH1129" s="218" t="s">
        <v>3711</v>
      </c>
      <c r="AI1129" s="217"/>
      <c r="AJ1129" s="218">
        <v>4590023224</v>
      </c>
      <c r="AK1129" s="217"/>
      <c r="AL1129" s="220"/>
      <c r="AM1129" s="449"/>
      <c r="AN1129" s="227"/>
      <c r="AO1129" s="208"/>
      <c r="AP1129" s="220"/>
      <c r="AR1129" s="227"/>
      <c r="AS1129" s="614">
        <f ca="1">表格1_6[[#This Row],[total amount]]/表格1_6[[#This Row],[PO$]]</f>
        <v>0</v>
      </c>
      <c r="AT1129" s="318">
        <f ca="1">表格1_6[[#This Row],[invoice amount]]+表格1_6[[#This Row],[invoice amount2]]</f>
        <v>0</v>
      </c>
      <c r="AV1129" s="208"/>
      <c r="AW1129" s="208" t="e">
        <f ca="1">VLOOKUP(表格1_6[[#This Row],[TI tool ID2]],工作表1!A:A,1,FALSE)</f>
        <v>#N/A</v>
      </c>
      <c r="AX1129" s="341" t="e">
        <f ca="1">VLOOKUP(表格1_6[[#This Row],[PO+ITEM]],工作表1!B:E,2,FALSE)</f>
        <v>#N/A</v>
      </c>
      <c r="AY1129" s="341" t="e">
        <f ca="1">VLOOKUP(表格1_6[[#This Row],[PO+ITEM]],工作表1!B:E,3,FALSE)</f>
        <v>#N/A</v>
      </c>
      <c r="AZ1129" s="208" t="e">
        <f ca="1">VLOOKUP(表格1_6[[#This Row],[PO+ITEM]],工作表1!B:E,4,FALSE)</f>
        <v>#N/A</v>
      </c>
      <c r="BA1129" s="425" t="e">
        <f ca="1">INDEX(工作表1!G:G, MATCH(表格1_6[[#This Row],[invoice number]]&amp;表格1_6[[#This Row],[invoice number2]],工作表1!G:G, 0))</f>
        <v>#N/A</v>
      </c>
      <c r="BB1129" s="208" t="e">
        <f ca="1">VLOOKUP(表格1_6[[#This Row],[PO+ITEM]],工作表1!F:H,2,FALSE)</f>
        <v>#N/A</v>
      </c>
    </row>
    <row r="1130" spans="1:54" ht="15" customHeight="1">
      <c r="A1130" s="413">
        <v>1130</v>
      </c>
      <c r="B1130" s="220" t="s">
        <v>3659</v>
      </c>
      <c r="C1130" s="209" t="s">
        <v>17</v>
      </c>
      <c r="D1130" s="209" t="s">
        <v>3648</v>
      </c>
      <c r="E1130" s="209"/>
      <c r="F1130" s="209"/>
      <c r="G1130" s="209"/>
      <c r="H1130" s="209"/>
      <c r="I1130" s="209"/>
      <c r="J1130" s="218"/>
      <c r="K1130" s="218"/>
      <c r="L1130" s="210" t="s">
        <v>6642</v>
      </c>
      <c r="M1130" s="212" t="s">
        <v>4129</v>
      </c>
      <c r="N1130" s="212"/>
      <c r="O1130" s="218"/>
      <c r="P1130" s="212">
        <v>4590023225</v>
      </c>
      <c r="Q1130" s="214">
        <v>45560</v>
      </c>
      <c r="R1130" s="334" t="s">
        <v>3907</v>
      </c>
      <c r="S1130" s="461">
        <v>93523.8</v>
      </c>
      <c r="T1130" s="217" t="s">
        <v>2156</v>
      </c>
      <c r="U1130" s="414"/>
      <c r="V1130" s="414"/>
      <c r="W1130" s="213"/>
      <c r="X1130" s="213"/>
      <c r="Y1130" s="218" t="s">
        <v>4145</v>
      </c>
      <c r="Z1130" s="218" t="s">
        <v>3652</v>
      </c>
      <c r="AA1130" s="212" t="s">
        <v>6302</v>
      </c>
      <c r="AB1130" s="209" t="s">
        <v>6643</v>
      </c>
      <c r="AC1130" s="218"/>
      <c r="AD1130" s="218"/>
      <c r="AE1130" s="218"/>
      <c r="AF1130" s="218">
        <v>91519</v>
      </c>
      <c r="AG1130" s="217" t="s">
        <v>6644</v>
      </c>
      <c r="AH1130" s="218" t="s">
        <v>3711</v>
      </c>
      <c r="AI1130" s="217"/>
      <c r="AJ1130" s="218">
        <v>4590023225</v>
      </c>
      <c r="AK1130" s="217"/>
      <c r="AL1130" s="220"/>
      <c r="AM1130" s="449"/>
      <c r="AN1130" s="227"/>
      <c r="AO1130" s="208"/>
      <c r="AP1130" s="220"/>
      <c r="AR1130" s="227"/>
      <c r="AS1130" s="614">
        <f ca="1">表格1_6[[#This Row],[total amount]]/表格1_6[[#This Row],[PO$]]</f>
        <v>0</v>
      </c>
      <c r="AT1130" s="318">
        <f ca="1">表格1_6[[#This Row],[invoice amount]]+表格1_6[[#This Row],[invoice amount2]]</f>
        <v>0</v>
      </c>
      <c r="AV1130" s="208"/>
      <c r="AW1130" s="208" t="e">
        <f ca="1">VLOOKUP(表格1_6[[#This Row],[TI tool ID2]],工作表1!A:A,1,FALSE)</f>
        <v>#N/A</v>
      </c>
      <c r="AX1130" s="341" t="e">
        <f ca="1">VLOOKUP(表格1_6[[#This Row],[PO+ITEM]],工作表1!B:E,2,FALSE)</f>
        <v>#N/A</v>
      </c>
      <c r="AY1130" s="341" t="e">
        <f ca="1">VLOOKUP(表格1_6[[#This Row],[PO+ITEM]],工作表1!B:E,3,FALSE)</f>
        <v>#N/A</v>
      </c>
      <c r="AZ1130" s="208" t="e">
        <f ca="1">VLOOKUP(表格1_6[[#This Row],[PO+ITEM]],工作表1!B:E,4,FALSE)</f>
        <v>#N/A</v>
      </c>
      <c r="BA1130" s="425" t="e">
        <f ca="1">INDEX(工作表1!G:G, MATCH(表格1_6[[#This Row],[invoice number]]&amp;表格1_6[[#This Row],[invoice number2]],工作表1!G:G, 0))</f>
        <v>#N/A</v>
      </c>
      <c r="BB1130" s="208" t="e">
        <f ca="1">VLOOKUP(表格1_6[[#This Row],[PO+ITEM]],工作表1!F:H,2,FALSE)</f>
        <v>#N/A</v>
      </c>
    </row>
    <row r="1131" spans="1:54" ht="15" customHeight="1">
      <c r="A1131" s="413">
        <v>1122</v>
      </c>
      <c r="B1131" s="220" t="s">
        <v>3659</v>
      </c>
      <c r="C1131" s="209" t="s">
        <v>16</v>
      </c>
      <c r="D1131" s="209" t="s">
        <v>3648</v>
      </c>
      <c r="E1131" s="209"/>
      <c r="F1131" s="209"/>
      <c r="G1131" s="209"/>
      <c r="H1131" s="209"/>
      <c r="I1131" s="209"/>
      <c r="J1131" s="218"/>
      <c r="K1131" s="218"/>
      <c r="L1131" s="210" t="s">
        <v>6645</v>
      </c>
      <c r="M1131" s="212" t="s">
        <v>4129</v>
      </c>
      <c r="N1131" s="212"/>
      <c r="O1131" s="218"/>
      <c r="P1131" s="212">
        <v>4590023226</v>
      </c>
      <c r="Q1131" s="214">
        <v>45560</v>
      </c>
      <c r="R1131" s="334" t="s">
        <v>3907</v>
      </c>
      <c r="S1131" s="461">
        <v>12045</v>
      </c>
      <c r="T1131" s="217" t="s">
        <v>2156</v>
      </c>
      <c r="U1131" s="414"/>
      <c r="V1131" s="414"/>
      <c r="W1131" s="213"/>
      <c r="X1131" s="213"/>
      <c r="Y1131" s="218" t="s">
        <v>4145</v>
      </c>
      <c r="Z1131" s="218" t="s">
        <v>3652</v>
      </c>
      <c r="AA1131" s="212" t="s">
        <v>6302</v>
      </c>
      <c r="AB1131" s="209" t="s">
        <v>6646</v>
      </c>
      <c r="AC1131" s="218"/>
      <c r="AD1131" s="218"/>
      <c r="AE1131" s="218"/>
      <c r="AF1131" s="218">
        <v>91519</v>
      </c>
      <c r="AG1131" s="217" t="s">
        <v>6647</v>
      </c>
      <c r="AH1131" s="218" t="s">
        <v>3711</v>
      </c>
      <c r="AI1131" s="217"/>
      <c r="AJ1131" s="218">
        <v>4590023226</v>
      </c>
      <c r="AK1131" s="217"/>
      <c r="AL1131" s="220"/>
      <c r="AM1131" s="449"/>
      <c r="AN1131" s="227"/>
      <c r="AO1131" s="208"/>
      <c r="AP1131" s="220"/>
      <c r="AR1131" s="227"/>
      <c r="AS1131" s="614">
        <f ca="1">表格1_6[[#This Row],[total amount]]/表格1_6[[#This Row],[PO$]]</f>
        <v>0</v>
      </c>
      <c r="AT1131" s="318">
        <f ca="1">表格1_6[[#This Row],[invoice amount]]+表格1_6[[#This Row],[invoice amount2]]</f>
        <v>0</v>
      </c>
      <c r="AV1131" s="208"/>
      <c r="AW1131" s="208" t="e">
        <f ca="1">VLOOKUP(表格1_6[[#This Row],[TI tool ID2]],工作表1!A:A,1,FALSE)</f>
        <v>#N/A</v>
      </c>
      <c r="AX1131" s="341" t="e">
        <f ca="1">VLOOKUP(表格1_6[[#This Row],[PO+ITEM]],工作表1!B:E,2,FALSE)</f>
        <v>#N/A</v>
      </c>
      <c r="AY1131" s="341" t="e">
        <f ca="1">VLOOKUP(表格1_6[[#This Row],[PO+ITEM]],工作表1!B:E,3,FALSE)</f>
        <v>#N/A</v>
      </c>
      <c r="AZ1131" s="208" t="e">
        <f ca="1">VLOOKUP(表格1_6[[#This Row],[PO+ITEM]],工作表1!B:E,4,FALSE)</f>
        <v>#N/A</v>
      </c>
      <c r="BA1131" s="425" t="e">
        <f ca="1">INDEX(工作表1!G:G, MATCH(表格1_6[[#This Row],[invoice number]]&amp;表格1_6[[#This Row],[invoice number2]],工作表1!G:G, 0))</f>
        <v>#N/A</v>
      </c>
      <c r="BB1131" s="208" t="e">
        <f ca="1">VLOOKUP(表格1_6[[#This Row],[PO+ITEM]],工作表1!F:H,2,FALSE)</f>
        <v>#N/A</v>
      </c>
    </row>
    <row r="1132" spans="1:54" ht="15" customHeight="1">
      <c r="A1132" s="413">
        <v>1131</v>
      </c>
      <c r="B1132" s="220" t="s">
        <v>3659</v>
      </c>
      <c r="C1132" s="209" t="s">
        <v>17</v>
      </c>
      <c r="D1132" s="209" t="s">
        <v>3648</v>
      </c>
      <c r="E1132" s="209"/>
      <c r="F1132" s="209"/>
      <c r="G1132" s="209"/>
      <c r="H1132" s="209"/>
      <c r="I1132" s="209"/>
      <c r="J1132" s="218"/>
      <c r="K1132" s="218"/>
      <c r="L1132" s="210" t="s">
        <v>6648</v>
      </c>
      <c r="M1132" s="212" t="s">
        <v>6298</v>
      </c>
      <c r="N1132" s="212"/>
      <c r="O1132" s="218"/>
      <c r="P1132" s="212">
        <v>4590023228</v>
      </c>
      <c r="Q1132" s="214">
        <v>45560</v>
      </c>
      <c r="R1132" s="334" t="s">
        <v>3907</v>
      </c>
      <c r="S1132" s="461">
        <v>345775.39</v>
      </c>
      <c r="T1132" s="217" t="s">
        <v>2156</v>
      </c>
      <c r="U1132" s="414"/>
      <c r="V1132" s="414"/>
      <c r="W1132" s="213"/>
      <c r="X1132" s="213"/>
      <c r="Y1132" s="218" t="s">
        <v>4145</v>
      </c>
      <c r="Z1132" s="218" t="s">
        <v>3652</v>
      </c>
      <c r="AA1132" s="212" t="s">
        <v>6302</v>
      </c>
      <c r="AB1132" s="209" t="s">
        <v>6649</v>
      </c>
      <c r="AC1132" s="218"/>
      <c r="AD1132" s="218"/>
      <c r="AE1132" s="218"/>
      <c r="AF1132" s="218">
        <v>91520</v>
      </c>
      <c r="AG1132" s="217" t="s">
        <v>6650</v>
      </c>
      <c r="AH1132" s="218" t="s">
        <v>3718</v>
      </c>
      <c r="AI1132" s="217"/>
      <c r="AJ1132" s="218">
        <v>4590023228</v>
      </c>
      <c r="AK1132" s="217"/>
      <c r="AL1132" s="220"/>
      <c r="AM1132" s="449"/>
      <c r="AN1132" s="227"/>
      <c r="AO1132" s="208"/>
      <c r="AP1132" s="220"/>
      <c r="AR1132" s="227"/>
      <c r="AS1132" s="614">
        <f ca="1">表格1_6[[#This Row],[total amount]]/表格1_6[[#This Row],[PO$]]</f>
        <v>0</v>
      </c>
      <c r="AT1132" s="318">
        <f ca="1">表格1_6[[#This Row],[invoice amount]]+表格1_6[[#This Row],[invoice amount2]]</f>
        <v>0</v>
      </c>
      <c r="AV1132" s="208"/>
      <c r="AW1132" s="208" t="e">
        <f ca="1">VLOOKUP(表格1_6[[#This Row],[TI tool ID2]],工作表1!A:A,1,FALSE)</f>
        <v>#N/A</v>
      </c>
      <c r="AX1132" s="341" t="e">
        <f ca="1">VLOOKUP(表格1_6[[#This Row],[PO+ITEM]],工作表1!B:E,2,FALSE)</f>
        <v>#N/A</v>
      </c>
      <c r="AY1132" s="341" t="e">
        <f ca="1">VLOOKUP(表格1_6[[#This Row],[PO+ITEM]],工作表1!B:E,3,FALSE)</f>
        <v>#N/A</v>
      </c>
      <c r="AZ1132" s="208" t="e">
        <f ca="1">VLOOKUP(表格1_6[[#This Row],[PO+ITEM]],工作表1!B:E,4,FALSE)</f>
        <v>#N/A</v>
      </c>
      <c r="BA1132" s="425" t="e">
        <f ca="1">INDEX(工作表1!G:G, MATCH(表格1_6[[#This Row],[invoice number]]&amp;表格1_6[[#This Row],[invoice number2]],工作表1!G:G, 0))</f>
        <v>#N/A</v>
      </c>
      <c r="BB1132" s="208" t="e">
        <f ca="1">VLOOKUP(表格1_6[[#This Row],[PO+ITEM]],工作表1!F:H,2,FALSE)</f>
        <v>#N/A</v>
      </c>
    </row>
    <row r="1133" spans="1:54" ht="15" customHeight="1">
      <c r="A1133" s="413">
        <v>1132</v>
      </c>
      <c r="B1133" s="220" t="s">
        <v>3659</v>
      </c>
      <c r="C1133" s="209" t="s">
        <v>17</v>
      </c>
      <c r="D1133" s="209" t="s">
        <v>3648</v>
      </c>
      <c r="E1133" s="209"/>
      <c r="F1133" s="209"/>
      <c r="G1133" s="209"/>
      <c r="H1133" s="209"/>
      <c r="I1133" s="209"/>
      <c r="J1133" s="218"/>
      <c r="K1133" s="218"/>
      <c r="L1133" s="210" t="s">
        <v>6651</v>
      </c>
      <c r="M1133" s="212" t="s">
        <v>6298</v>
      </c>
      <c r="N1133" s="212"/>
      <c r="O1133" s="218"/>
      <c r="P1133" s="212">
        <v>4590023389</v>
      </c>
      <c r="Q1133" s="214">
        <v>45562</v>
      </c>
      <c r="R1133" s="334" t="s">
        <v>3907</v>
      </c>
      <c r="S1133" s="461">
        <v>74875.210000000006</v>
      </c>
      <c r="T1133" s="217" t="s">
        <v>2156</v>
      </c>
      <c r="U1133" s="414"/>
      <c r="V1133" s="414"/>
      <c r="W1133" s="213"/>
      <c r="X1133" s="213"/>
      <c r="Y1133" s="218" t="s">
        <v>4145</v>
      </c>
      <c r="Z1133" s="218" t="s">
        <v>3652</v>
      </c>
      <c r="AA1133" s="212" t="s">
        <v>6302</v>
      </c>
      <c r="AB1133" s="209" t="s">
        <v>6652</v>
      </c>
      <c r="AC1133" s="218"/>
      <c r="AD1133" s="218"/>
      <c r="AE1133" s="218"/>
      <c r="AF1133" s="218">
        <v>91483</v>
      </c>
      <c r="AG1133" s="217" t="s">
        <v>6653</v>
      </c>
      <c r="AH1133" s="218" t="s">
        <v>3900</v>
      </c>
      <c r="AI1133" s="217"/>
      <c r="AJ1133" s="218">
        <v>4590023389</v>
      </c>
      <c r="AK1133" s="217"/>
      <c r="AL1133" s="220"/>
      <c r="AM1133" s="449"/>
      <c r="AN1133" s="227"/>
      <c r="AO1133" s="208"/>
      <c r="AP1133" s="220"/>
      <c r="AR1133" s="227"/>
      <c r="AS1133" s="614">
        <f ca="1">表格1_6[[#This Row],[total amount]]/表格1_6[[#This Row],[PO$]]</f>
        <v>0</v>
      </c>
      <c r="AT1133" s="318">
        <f ca="1">表格1_6[[#This Row],[invoice amount]]+表格1_6[[#This Row],[invoice amount2]]</f>
        <v>0</v>
      </c>
      <c r="AV1133" s="208"/>
      <c r="AW1133" s="208" t="e">
        <f ca="1">VLOOKUP(表格1_6[[#This Row],[TI tool ID2]],工作表1!A:A,1,FALSE)</f>
        <v>#N/A</v>
      </c>
      <c r="AX1133" s="341" t="e">
        <f ca="1">VLOOKUP(表格1_6[[#This Row],[PO+ITEM]],工作表1!B:E,2,FALSE)</f>
        <v>#N/A</v>
      </c>
      <c r="AY1133" s="341" t="e">
        <f ca="1">VLOOKUP(表格1_6[[#This Row],[PO+ITEM]],工作表1!B:E,3,FALSE)</f>
        <v>#N/A</v>
      </c>
      <c r="AZ1133" s="208" t="e">
        <f ca="1">VLOOKUP(表格1_6[[#This Row],[PO+ITEM]],工作表1!B:E,4,FALSE)</f>
        <v>#N/A</v>
      </c>
      <c r="BA1133" s="425" t="e">
        <f ca="1">INDEX(工作表1!G:G, MATCH(表格1_6[[#This Row],[invoice number]]&amp;表格1_6[[#This Row],[invoice number2]],工作表1!G:G, 0))</f>
        <v>#N/A</v>
      </c>
      <c r="BB1133" s="208" t="e">
        <f ca="1">VLOOKUP(表格1_6[[#This Row],[PO+ITEM]],工作表1!F:H,2,FALSE)</f>
        <v>#N/A</v>
      </c>
    </row>
    <row r="1134" spans="1:54" ht="15" customHeight="1">
      <c r="A1134" s="413">
        <v>1133</v>
      </c>
      <c r="B1134" s="413" t="s">
        <v>3674</v>
      </c>
      <c r="C1134" s="209" t="s">
        <v>17</v>
      </c>
      <c r="D1134" s="209" t="s">
        <v>3648</v>
      </c>
      <c r="E1134" s="209"/>
      <c r="F1134" s="209"/>
      <c r="G1134" s="414" t="s">
        <v>2196</v>
      </c>
      <c r="H1134" s="209"/>
      <c r="I1134" s="209"/>
      <c r="J1134" s="218"/>
      <c r="K1134" s="218"/>
      <c r="L1134" s="210" t="s">
        <v>6654</v>
      </c>
      <c r="M1134" s="212" t="s">
        <v>4129</v>
      </c>
      <c r="N1134" s="212"/>
      <c r="O1134" s="218"/>
      <c r="P1134" s="212">
        <v>4590023489</v>
      </c>
      <c r="Q1134" s="214">
        <v>45563</v>
      </c>
      <c r="R1134" s="334" t="s">
        <v>3907</v>
      </c>
      <c r="S1134" s="461">
        <v>1064.2</v>
      </c>
      <c r="T1134" s="217" t="s">
        <v>2156</v>
      </c>
      <c r="U1134" s="209" t="s">
        <v>6655</v>
      </c>
      <c r="V1134" s="414"/>
      <c r="W1134" s="213"/>
      <c r="X1134" s="213"/>
      <c r="Y1134" s="218" t="s">
        <v>4145</v>
      </c>
      <c r="Z1134" s="218" t="s">
        <v>3652</v>
      </c>
      <c r="AA1134" s="416" t="s">
        <v>6656</v>
      </c>
      <c r="AB1134" s="209" t="s">
        <v>6657</v>
      </c>
      <c r="AC1134" s="218"/>
      <c r="AD1134" s="218"/>
      <c r="AE1134" s="218"/>
      <c r="AF1134" s="218">
        <v>90644</v>
      </c>
      <c r="AG1134" s="217" t="s">
        <v>3158</v>
      </c>
      <c r="AH1134" s="218" t="s">
        <v>3828</v>
      </c>
      <c r="AI1134" s="420" t="s">
        <v>4560</v>
      </c>
      <c r="AJ1134" s="218">
        <v>4590023489</v>
      </c>
      <c r="AK1134" s="217"/>
      <c r="AL1134" s="220"/>
      <c r="AM1134" s="449"/>
      <c r="AN1134" s="227"/>
      <c r="AO1134" s="208"/>
      <c r="AP1134" s="220"/>
      <c r="AR1134" s="227"/>
      <c r="AS1134" s="614">
        <f ca="1">表格1_6[[#This Row],[total amount]]/表格1_6[[#This Row],[PO$]]</f>
        <v>0</v>
      </c>
      <c r="AT1134" s="318">
        <f ca="1">表格1_6[[#This Row],[invoice amount]]+表格1_6[[#This Row],[invoice amount2]]</f>
        <v>0</v>
      </c>
      <c r="AV1134" s="208"/>
      <c r="AW1134" s="208" t="str">
        <f ca="1">VLOOKUP(表格1_6[[#This Row],[TI tool ID2]],工作表1!A:A,1,FALSE)</f>
        <v>KEPRL6</v>
      </c>
      <c r="AX1134" s="341" t="e">
        <f ca="1">VLOOKUP(表格1_6[[#This Row],[PO+ITEM]],工作表1!B:E,2,FALSE)</f>
        <v>#N/A</v>
      </c>
      <c r="AY1134" s="341" t="e">
        <f ca="1">VLOOKUP(表格1_6[[#This Row],[PO+ITEM]],工作表1!B:E,3,FALSE)</f>
        <v>#N/A</v>
      </c>
      <c r="AZ1134" s="208" t="e">
        <f ca="1">VLOOKUP(表格1_6[[#This Row],[PO+ITEM]],工作表1!B:E,4,FALSE)</f>
        <v>#N/A</v>
      </c>
      <c r="BA1134" s="341" t="e">
        <f ca="1">INDEX(工作表1!G:G, MATCH(表格1_6[[#This Row],[invoice number]]&amp;表格1_6[[#This Row],[invoice number2]],工作表1!G:G, 0))</f>
        <v>#N/A</v>
      </c>
      <c r="BB1134" s="208" t="e">
        <f ca="1">VLOOKUP(表格1_6[[#This Row],[PO+ITEM]],工作表1!F:H,2,FALSE)</f>
        <v>#N/A</v>
      </c>
    </row>
    <row r="1135" spans="1:54" ht="15" customHeight="1">
      <c r="A1135" s="413">
        <v>1134</v>
      </c>
      <c r="B1135" s="220"/>
      <c r="C1135" s="209" t="s">
        <v>16</v>
      </c>
      <c r="D1135" s="209" t="s">
        <v>3648</v>
      </c>
      <c r="E1135" s="209"/>
      <c r="F1135" s="209"/>
      <c r="G1135" s="209"/>
      <c r="H1135" s="209"/>
      <c r="I1135" s="209"/>
      <c r="J1135" s="218"/>
      <c r="K1135" s="218"/>
      <c r="L1135" s="210" t="s">
        <v>6658</v>
      </c>
      <c r="M1135" s="212" t="s">
        <v>4105</v>
      </c>
      <c r="N1135" s="212"/>
      <c r="O1135" s="218"/>
      <c r="P1135" s="212">
        <v>4590023740</v>
      </c>
      <c r="Q1135" s="212" t="s">
        <v>1941</v>
      </c>
      <c r="R1135" s="334" t="s">
        <v>3907</v>
      </c>
      <c r="S1135" s="461">
        <v>14321.76</v>
      </c>
      <c r="T1135" s="217" t="s">
        <v>2156</v>
      </c>
      <c r="U1135" s="209" t="s">
        <v>6659</v>
      </c>
      <c r="V1135" s="414"/>
      <c r="W1135" s="213"/>
      <c r="X1135" s="213"/>
      <c r="Y1135" s="218" t="s">
        <v>4145</v>
      </c>
      <c r="Z1135" s="218" t="s">
        <v>3652</v>
      </c>
      <c r="AA1135" s="212" t="s">
        <v>6302</v>
      </c>
      <c r="AB1135" s="209" t="s">
        <v>6660</v>
      </c>
      <c r="AC1135" s="218"/>
      <c r="AD1135" s="218"/>
      <c r="AE1135" s="218"/>
      <c r="AF1135" s="218">
        <v>91505</v>
      </c>
      <c r="AG1135" s="217" t="s">
        <v>6661</v>
      </c>
      <c r="AH1135" s="218" t="s">
        <v>4109</v>
      </c>
      <c r="AI1135" s="217"/>
      <c r="AJ1135" s="218">
        <v>4590023740</v>
      </c>
      <c r="AK1135" s="217"/>
      <c r="AL1135" s="220"/>
      <c r="AM1135" s="449"/>
      <c r="AN1135" s="227"/>
      <c r="AO1135" s="208"/>
      <c r="AP1135" s="220"/>
      <c r="AR1135" s="227"/>
      <c r="AT1135" s="318">
        <f ca="1">表格1_6[[#This Row],[invoice amount]]+表格1_6[[#This Row],[invoice amount2]]</f>
        <v>0</v>
      </c>
      <c r="AV1135" s="208"/>
      <c r="AW1135" s="208" t="e">
        <f ca="1">VLOOKUP(表格1_6[[#This Row],[TI tool ID2]],工作表1!A:A,1,FALSE)</f>
        <v>#N/A</v>
      </c>
      <c r="AX1135" s="341" t="e">
        <f ca="1">VLOOKUP(表格1_6[[#This Row],[PO+ITEM]],工作表1!B:E,2,FALSE)</f>
        <v>#N/A</v>
      </c>
      <c r="AY1135" s="341" t="e">
        <f ca="1">VLOOKUP(表格1_6[[#This Row],[PO+ITEM]],工作表1!B:E,3,FALSE)</f>
        <v>#N/A</v>
      </c>
      <c r="AZ1135" s="208" t="e">
        <f ca="1">VLOOKUP(表格1_6[[#This Row],[PO+ITEM]],工作表1!B:E,4,FALSE)</f>
        <v>#N/A</v>
      </c>
      <c r="BA1135" s="341" t="e">
        <f ca="1">INDEX(工作表1!G:G, MATCH(表格1_6[[#This Row],[invoice number]]&amp;表格1_6[[#This Row],[invoice number2]],工作表1!G:G, 0))</f>
        <v>#N/A</v>
      </c>
      <c r="BB1135" s="208" t="e">
        <f ca="1">VLOOKUP(表格1_6[[#This Row],[PO+ITEM]],工作表1!F:H,2,FALSE)</f>
        <v>#N/A</v>
      </c>
    </row>
    <row r="1136" spans="1:54" ht="15" customHeight="1">
      <c r="A1136" s="413">
        <v>1135</v>
      </c>
      <c r="B1136" s="220"/>
      <c r="C1136" s="209" t="s">
        <v>16</v>
      </c>
      <c r="D1136" s="209" t="s">
        <v>3648</v>
      </c>
      <c r="E1136" s="209"/>
      <c r="F1136" s="209"/>
      <c r="G1136" s="209"/>
      <c r="H1136" s="209"/>
      <c r="I1136" s="209"/>
      <c r="J1136" s="218"/>
      <c r="K1136" s="218"/>
      <c r="L1136" s="210" t="s">
        <v>6662</v>
      </c>
      <c r="M1136" s="212" t="s">
        <v>4105</v>
      </c>
      <c r="N1136" s="212"/>
      <c r="O1136" s="218"/>
      <c r="P1136" s="212">
        <v>4590023742</v>
      </c>
      <c r="Q1136" s="212" t="s">
        <v>1941</v>
      </c>
      <c r="R1136" s="334" t="s">
        <v>3907</v>
      </c>
      <c r="S1136" s="461">
        <v>14321.76</v>
      </c>
      <c r="T1136" s="217" t="s">
        <v>2156</v>
      </c>
      <c r="U1136" s="209" t="s">
        <v>6663</v>
      </c>
      <c r="V1136" s="414"/>
      <c r="W1136" s="213"/>
      <c r="X1136" s="213"/>
      <c r="Y1136" s="218" t="s">
        <v>4145</v>
      </c>
      <c r="Z1136" s="218" t="s">
        <v>3652</v>
      </c>
      <c r="AA1136" s="212" t="s">
        <v>6302</v>
      </c>
      <c r="AB1136" s="209" t="s">
        <v>6664</v>
      </c>
      <c r="AC1136" s="218"/>
      <c r="AD1136" s="218"/>
      <c r="AE1136" s="218"/>
      <c r="AF1136" s="218">
        <v>91504</v>
      </c>
      <c r="AG1136" s="217" t="s">
        <v>6665</v>
      </c>
      <c r="AH1136" s="218" t="s">
        <v>4109</v>
      </c>
      <c r="AI1136" s="217"/>
      <c r="AJ1136" s="218">
        <v>4590023742</v>
      </c>
      <c r="AK1136" s="217"/>
      <c r="AL1136" s="220"/>
      <c r="AM1136" s="449"/>
      <c r="AN1136" s="227"/>
      <c r="AO1136" s="208"/>
      <c r="AP1136" s="220"/>
      <c r="AR1136" s="227"/>
      <c r="AT1136" s="318">
        <f ca="1">表格1_6[[#This Row],[invoice amount]]+表格1_6[[#This Row],[invoice amount2]]</f>
        <v>0</v>
      </c>
      <c r="AV1136" s="208"/>
      <c r="AW1136" s="208" t="e">
        <f ca="1">VLOOKUP(表格1_6[[#This Row],[TI tool ID2]],工作表1!A:A,1,FALSE)</f>
        <v>#N/A</v>
      </c>
      <c r="AX1136" s="341" t="e">
        <f ca="1">VLOOKUP(表格1_6[[#This Row],[PO+ITEM]],工作表1!B:E,2,FALSE)</f>
        <v>#N/A</v>
      </c>
      <c r="AY1136" s="341" t="e">
        <f ca="1">VLOOKUP(表格1_6[[#This Row],[PO+ITEM]],工作表1!B:E,3,FALSE)</f>
        <v>#N/A</v>
      </c>
      <c r="AZ1136" s="208" t="e">
        <f ca="1">VLOOKUP(表格1_6[[#This Row],[PO+ITEM]],工作表1!B:E,4,FALSE)</f>
        <v>#N/A</v>
      </c>
      <c r="BA1136" s="341" t="e">
        <f ca="1">INDEX(工作表1!G:G, MATCH(表格1_6[[#This Row],[invoice number]]&amp;表格1_6[[#This Row],[invoice number2]],工作表1!G:G, 0))</f>
        <v>#N/A</v>
      </c>
      <c r="BB1136" s="208" t="e">
        <f ca="1">VLOOKUP(表格1_6[[#This Row],[PO+ITEM]],工作表1!F:H,2,FALSE)</f>
        <v>#N/A</v>
      </c>
    </row>
    <row r="1137" spans="1:54" ht="15" customHeight="1">
      <c r="A1137" s="413">
        <v>1136</v>
      </c>
      <c r="B1137" s="220"/>
      <c r="C1137" s="209" t="s">
        <v>16</v>
      </c>
      <c r="D1137" s="209" t="s">
        <v>3648</v>
      </c>
      <c r="E1137" s="209"/>
      <c r="F1137" s="209"/>
      <c r="G1137" s="209"/>
      <c r="H1137" s="209"/>
      <c r="I1137" s="209"/>
      <c r="J1137" s="218"/>
      <c r="K1137" s="218"/>
      <c r="L1137" s="210" t="s">
        <v>6666</v>
      </c>
      <c r="M1137" s="212" t="s">
        <v>4105</v>
      </c>
      <c r="N1137" s="212"/>
      <c r="O1137" s="218"/>
      <c r="P1137" s="212">
        <v>4590023743</v>
      </c>
      <c r="Q1137" s="212" t="s">
        <v>1941</v>
      </c>
      <c r="R1137" s="334" t="s">
        <v>3907</v>
      </c>
      <c r="S1137" s="461">
        <v>10652.88</v>
      </c>
      <c r="T1137" s="217" t="s">
        <v>2156</v>
      </c>
      <c r="U1137" s="209" t="s">
        <v>6667</v>
      </c>
      <c r="V1137" s="414"/>
      <c r="W1137" s="213"/>
      <c r="X1137" s="213"/>
      <c r="Y1137" s="218" t="s">
        <v>4145</v>
      </c>
      <c r="Z1137" s="218" t="s">
        <v>3652</v>
      </c>
      <c r="AA1137" s="212" t="s">
        <v>6302</v>
      </c>
      <c r="AB1137" s="209" t="s">
        <v>6668</v>
      </c>
      <c r="AC1137" s="218"/>
      <c r="AD1137" s="218"/>
      <c r="AE1137" s="218"/>
      <c r="AF1137" s="218">
        <v>91506</v>
      </c>
      <c r="AG1137" s="217" t="s">
        <v>6669</v>
      </c>
      <c r="AH1137" s="218" t="s">
        <v>4109</v>
      </c>
      <c r="AI1137" s="217"/>
      <c r="AJ1137" s="218">
        <v>4590023743</v>
      </c>
      <c r="AK1137" s="217"/>
      <c r="AL1137" s="220"/>
      <c r="AM1137" s="449"/>
      <c r="AN1137" s="227"/>
      <c r="AO1137" s="208"/>
      <c r="AP1137" s="220"/>
      <c r="AR1137" s="227"/>
      <c r="AT1137" s="318">
        <f ca="1">表格1_6[[#This Row],[invoice amount]]+表格1_6[[#This Row],[invoice amount2]]</f>
        <v>0</v>
      </c>
      <c r="AV1137" s="208"/>
      <c r="AW1137" s="208" t="e">
        <f ca="1">VLOOKUP(表格1_6[[#This Row],[TI tool ID2]],工作表1!A:A,1,FALSE)</f>
        <v>#N/A</v>
      </c>
      <c r="AX1137" s="341" t="e">
        <f ca="1">VLOOKUP(表格1_6[[#This Row],[PO+ITEM]],工作表1!B:E,2,FALSE)</f>
        <v>#N/A</v>
      </c>
      <c r="AY1137" s="341" t="e">
        <f ca="1">VLOOKUP(表格1_6[[#This Row],[PO+ITEM]],工作表1!B:E,3,FALSE)</f>
        <v>#N/A</v>
      </c>
      <c r="AZ1137" s="208" t="e">
        <f ca="1">VLOOKUP(表格1_6[[#This Row],[PO+ITEM]],工作表1!B:E,4,FALSE)</f>
        <v>#N/A</v>
      </c>
      <c r="BA1137" s="341" t="e">
        <f ca="1">INDEX(工作表1!G:G, MATCH(表格1_6[[#This Row],[invoice number]]&amp;表格1_6[[#This Row],[invoice number2]],工作表1!G:G, 0))</f>
        <v>#N/A</v>
      </c>
      <c r="BB1137" s="208" t="e">
        <f ca="1">VLOOKUP(表格1_6[[#This Row],[PO+ITEM]],工作表1!F:H,2,FALSE)</f>
        <v>#N/A</v>
      </c>
    </row>
    <row r="1138" spans="1:54" ht="15" customHeight="1">
      <c r="A1138" s="413">
        <v>1137</v>
      </c>
      <c r="B1138" s="220"/>
      <c r="C1138" s="209" t="s">
        <v>16</v>
      </c>
      <c r="D1138" s="209" t="s">
        <v>3648</v>
      </c>
      <c r="E1138" s="209"/>
      <c r="F1138" s="209"/>
      <c r="G1138" s="209"/>
      <c r="H1138" s="209"/>
      <c r="I1138" s="209"/>
      <c r="J1138" s="218"/>
      <c r="K1138" s="218"/>
      <c r="L1138" s="210" t="s">
        <v>6670</v>
      </c>
      <c r="M1138" s="212" t="s">
        <v>4105</v>
      </c>
      <c r="N1138" s="212"/>
      <c r="O1138" s="218"/>
      <c r="P1138" s="212">
        <v>4590023744</v>
      </c>
      <c r="Q1138" s="212" t="s">
        <v>1941</v>
      </c>
      <c r="R1138" s="334" t="s">
        <v>3907</v>
      </c>
      <c r="S1138" s="461">
        <v>10652.88</v>
      </c>
      <c r="T1138" s="217" t="s">
        <v>2156</v>
      </c>
      <c r="U1138" s="209" t="s">
        <v>6671</v>
      </c>
      <c r="V1138" s="414"/>
      <c r="W1138" s="213"/>
      <c r="X1138" s="213"/>
      <c r="Y1138" s="218" t="s">
        <v>4145</v>
      </c>
      <c r="Z1138" s="218" t="s">
        <v>3652</v>
      </c>
      <c r="AA1138" s="212" t="s">
        <v>6302</v>
      </c>
      <c r="AB1138" s="209" t="s">
        <v>6672</v>
      </c>
      <c r="AC1138" s="218"/>
      <c r="AD1138" s="218"/>
      <c r="AE1138" s="218"/>
      <c r="AF1138" s="218">
        <v>91507</v>
      </c>
      <c r="AG1138" s="217" t="s">
        <v>6673</v>
      </c>
      <c r="AH1138" s="218" t="s">
        <v>4109</v>
      </c>
      <c r="AI1138" s="217"/>
      <c r="AJ1138" s="218">
        <v>4590023744</v>
      </c>
      <c r="AK1138" s="217"/>
      <c r="AL1138" s="220"/>
      <c r="AM1138" s="449"/>
      <c r="AN1138" s="227"/>
      <c r="AO1138" s="208"/>
      <c r="AP1138" s="220"/>
      <c r="AR1138" s="227"/>
      <c r="AT1138" s="318">
        <f ca="1">表格1_6[[#This Row],[invoice amount]]+表格1_6[[#This Row],[invoice amount2]]</f>
        <v>0</v>
      </c>
      <c r="AV1138" s="208"/>
      <c r="AW1138" s="208" t="e">
        <f ca="1">VLOOKUP(表格1_6[[#This Row],[TI tool ID2]],工作表1!A:A,1,FALSE)</f>
        <v>#N/A</v>
      </c>
      <c r="AX1138" s="341" t="e">
        <f ca="1">VLOOKUP(表格1_6[[#This Row],[PO+ITEM]],工作表1!B:E,2,FALSE)</f>
        <v>#N/A</v>
      </c>
      <c r="AY1138" s="341" t="e">
        <f ca="1">VLOOKUP(表格1_6[[#This Row],[PO+ITEM]],工作表1!B:E,3,FALSE)</f>
        <v>#N/A</v>
      </c>
      <c r="AZ1138" s="208" t="e">
        <f ca="1">VLOOKUP(表格1_6[[#This Row],[PO+ITEM]],工作表1!B:E,4,FALSE)</f>
        <v>#N/A</v>
      </c>
      <c r="BA1138" s="341" t="e">
        <f ca="1">INDEX(工作表1!G:G, MATCH(表格1_6[[#This Row],[invoice number]]&amp;表格1_6[[#This Row],[invoice number2]],工作表1!G:G, 0))</f>
        <v>#N/A</v>
      </c>
      <c r="BB1138" s="208" t="e">
        <f ca="1">VLOOKUP(表格1_6[[#This Row],[PO+ITEM]],工作表1!F:H,2,FALSE)</f>
        <v>#N/A</v>
      </c>
    </row>
    <row r="1139" spans="1:54" ht="15" customHeight="1">
      <c r="A1139" s="413">
        <v>1138</v>
      </c>
      <c r="B1139" s="220"/>
      <c r="C1139" s="209" t="s">
        <v>16</v>
      </c>
      <c r="D1139" s="209" t="s">
        <v>3648</v>
      </c>
      <c r="E1139" s="209"/>
      <c r="F1139" s="209"/>
      <c r="G1139" s="209"/>
      <c r="H1139" s="209"/>
      <c r="I1139" s="209"/>
      <c r="J1139" s="218"/>
      <c r="K1139" s="218"/>
      <c r="L1139" s="210" t="s">
        <v>6674</v>
      </c>
      <c r="M1139" s="212" t="s">
        <v>4105</v>
      </c>
      <c r="N1139" s="212"/>
      <c r="O1139" s="218"/>
      <c r="P1139" s="212">
        <v>4590023745</v>
      </c>
      <c r="Q1139" s="212" t="s">
        <v>1941</v>
      </c>
      <c r="R1139" s="334" t="s">
        <v>3907</v>
      </c>
      <c r="S1139" s="461">
        <v>12501.96</v>
      </c>
      <c r="T1139" s="217" t="s">
        <v>2156</v>
      </c>
      <c r="U1139" s="209" t="s">
        <v>6675</v>
      </c>
      <c r="V1139" s="414"/>
      <c r="W1139" s="213"/>
      <c r="X1139" s="213"/>
      <c r="Y1139" s="218" t="s">
        <v>4145</v>
      </c>
      <c r="Z1139" s="218" t="s">
        <v>3652</v>
      </c>
      <c r="AA1139" s="212" t="s">
        <v>6302</v>
      </c>
      <c r="AB1139" s="209" t="s">
        <v>6676</v>
      </c>
      <c r="AC1139" s="218"/>
      <c r="AD1139" s="218"/>
      <c r="AE1139" s="218"/>
      <c r="AF1139" s="218">
        <v>91503</v>
      </c>
      <c r="AG1139" s="217" t="s">
        <v>6677</v>
      </c>
      <c r="AH1139" s="218" t="s">
        <v>4109</v>
      </c>
      <c r="AI1139" s="217"/>
      <c r="AJ1139" s="218">
        <v>4590023745</v>
      </c>
      <c r="AK1139" s="217"/>
      <c r="AL1139" s="220"/>
      <c r="AM1139" s="449"/>
      <c r="AN1139" s="227"/>
      <c r="AO1139" s="208"/>
      <c r="AP1139" s="220"/>
      <c r="AR1139" s="227"/>
      <c r="AT1139" s="318">
        <f ca="1">表格1_6[[#This Row],[invoice amount]]+表格1_6[[#This Row],[invoice amount2]]</f>
        <v>0</v>
      </c>
      <c r="AV1139" s="208"/>
      <c r="AW1139" s="208" t="e">
        <f ca="1">VLOOKUP(表格1_6[[#This Row],[TI tool ID2]],工作表1!A:A,1,FALSE)</f>
        <v>#N/A</v>
      </c>
      <c r="AX1139" s="341" t="e">
        <f ca="1">VLOOKUP(表格1_6[[#This Row],[PO+ITEM]],工作表1!B:E,2,FALSE)</f>
        <v>#N/A</v>
      </c>
      <c r="AY1139" s="341" t="e">
        <f ca="1">VLOOKUP(表格1_6[[#This Row],[PO+ITEM]],工作表1!B:E,3,FALSE)</f>
        <v>#N/A</v>
      </c>
      <c r="AZ1139" s="208" t="e">
        <f ca="1">VLOOKUP(表格1_6[[#This Row],[PO+ITEM]],工作表1!B:E,4,FALSE)</f>
        <v>#N/A</v>
      </c>
      <c r="BA1139" s="341" t="e">
        <f ca="1">INDEX(工作表1!G:G, MATCH(表格1_6[[#This Row],[invoice number]]&amp;表格1_6[[#This Row],[invoice number2]],工作表1!G:G, 0))</f>
        <v>#N/A</v>
      </c>
      <c r="BB1139" s="208" t="e">
        <f ca="1">VLOOKUP(表格1_6[[#This Row],[PO+ITEM]],工作表1!F:H,2,FALSE)</f>
        <v>#N/A</v>
      </c>
    </row>
    <row r="1140" spans="1:54" ht="15" customHeight="1">
      <c r="A1140" s="413">
        <v>1139</v>
      </c>
      <c r="B1140" s="220"/>
      <c r="C1140" s="209" t="s">
        <v>16</v>
      </c>
      <c r="D1140" s="209" t="s">
        <v>3648</v>
      </c>
      <c r="E1140" s="209"/>
      <c r="F1140" s="209"/>
      <c r="G1140" s="209"/>
      <c r="H1140" s="209"/>
      <c r="I1140" s="209"/>
      <c r="J1140" s="218"/>
      <c r="K1140" s="218"/>
      <c r="L1140" s="210" t="s">
        <v>6678</v>
      </c>
      <c r="M1140" s="212" t="s">
        <v>3547</v>
      </c>
      <c r="N1140" s="212"/>
      <c r="O1140" s="218"/>
      <c r="P1140" s="212">
        <v>4590023788</v>
      </c>
      <c r="Q1140" s="212" t="s">
        <v>1941</v>
      </c>
      <c r="R1140" s="334" t="s">
        <v>3907</v>
      </c>
      <c r="S1140" s="461">
        <v>34988.04</v>
      </c>
      <c r="T1140" s="217" t="s">
        <v>2156</v>
      </c>
      <c r="U1140" s="209"/>
      <c r="V1140" s="414"/>
      <c r="W1140" s="213"/>
      <c r="X1140" s="213"/>
      <c r="Y1140" s="218" t="s">
        <v>4145</v>
      </c>
      <c r="Z1140" s="218" t="s">
        <v>3652</v>
      </c>
      <c r="AA1140" s="212" t="s">
        <v>6302</v>
      </c>
      <c r="AB1140" s="209" t="s">
        <v>6679</v>
      </c>
      <c r="AC1140" s="218"/>
      <c r="AD1140" s="218"/>
      <c r="AE1140" s="218"/>
      <c r="AF1140" s="218"/>
      <c r="AG1140" s="217"/>
      <c r="AH1140" s="218"/>
      <c r="AI1140" s="217"/>
      <c r="AJ1140" s="218">
        <v>4590023788</v>
      </c>
      <c r="AK1140" s="217"/>
      <c r="AL1140" s="220"/>
      <c r="AM1140" s="449"/>
      <c r="AN1140" s="227"/>
      <c r="AO1140" s="208"/>
      <c r="AP1140" s="220"/>
      <c r="AR1140" s="227"/>
      <c r="AT1140" s="318">
        <f ca="1">表格1_6[[#This Row],[invoice amount]]+表格1_6[[#This Row],[invoice amount2]]</f>
        <v>0</v>
      </c>
      <c r="AV1140" s="208"/>
      <c r="AW1140" s="208" t="e">
        <f ca="1">VLOOKUP(表格1_6[[#This Row],[TI tool ID2]],工作表1!A:A,1,FALSE)</f>
        <v>#N/A</v>
      </c>
      <c r="AX1140" s="341" t="e">
        <f ca="1">VLOOKUP(表格1_6[[#This Row],[PO+ITEM]],工作表1!B:E,2,FALSE)</f>
        <v>#N/A</v>
      </c>
      <c r="AY1140" s="341" t="e">
        <f ca="1">VLOOKUP(表格1_6[[#This Row],[PO+ITEM]],工作表1!B:E,3,FALSE)</f>
        <v>#N/A</v>
      </c>
      <c r="AZ1140" s="208" t="e">
        <f ca="1">VLOOKUP(表格1_6[[#This Row],[PO+ITEM]],工作表1!B:E,4,FALSE)</f>
        <v>#N/A</v>
      </c>
      <c r="BA1140" s="341" t="e">
        <f ca="1">INDEX(工作表1!G:G, MATCH(表格1_6[[#This Row],[invoice number]]&amp;表格1_6[[#This Row],[invoice number2]],工作表1!G:G, 0))</f>
        <v>#N/A</v>
      </c>
      <c r="BB1140" s="208" t="e">
        <f ca="1">VLOOKUP(表格1_6[[#This Row],[PO+ITEM]],工作表1!F:H,2,FALSE)</f>
        <v>#N/A</v>
      </c>
    </row>
  </sheetData>
  <phoneticPr fontId="14" type="noConversion"/>
  <conditionalFormatting sqref="A1:BB1 A2:A1140">
    <cfRule type="expression" dxfId="207" priority="3815">
      <formula>ISNUMBER(SEARCH("刪除線",A1:BB1140))</formula>
    </cfRule>
  </conditionalFormatting>
  <conditionalFormatting sqref="B2:BB26 BB27:BB1120 BA27:BA1133 B1066:AE1080 AG1066:AZ1080 AF1066:AF1105 AT1081:AZ1095 W1081:AE1105 AG1081:AR1105 B1081:U1120 V1081:V1133 AS1081:AS1134 AT1096:AV1120 AX1096:AZ1120 AW1096:AW1125 W1106:AR1120 U1121:U1133 AF1127 B1134 G1134 AA1134 AI1134 B27:AZ1065">
    <cfRule type="expression" dxfId="206" priority="6">
      <formula>ISNUMBER(SEARCH("刪除線",B2:BC1136))</formula>
    </cfRule>
  </conditionalFormatting>
  <conditionalFormatting sqref="W1121:AR1126 AG1127:AR1127 W1128:AR1133 AT1121:AV1125 AX1121:AZ1125 B1121:T1133 BB1121:BB1133 AT1126:AZ1133 W1127:AE1127 Z1134:Z1140">
    <cfRule type="expression" dxfId="205" priority="3811">
      <formula>ISNUMBER(SEARCH("刪除線",B1121:BC2256))</formula>
    </cfRule>
  </conditionalFormatting>
  <conditionalFormatting sqref="AJ1:AJ1048576">
    <cfRule type="duplicateValues" dxfId="204" priority="9"/>
  </conditionalFormatting>
  <dataValidations disablePrompts="1" count="1">
    <dataValidation type="list" allowBlank="1" showInputMessage="1" showErrorMessage="1" sqref="C997:C1005" xr:uid="{3C2FB8C1-7AAA-4D77-8FB0-65C17CFD7BAB}">
      <formula1>$A$3:$A$18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A3CAF-07F7-4AD0-A048-8FF20EFF3D8B}">
  <sheetPr codeName="Sheet10"/>
  <dimension ref="A1:AX1040"/>
  <sheetViews>
    <sheetView topLeftCell="L1" zoomScale="90" zoomScaleNormal="90" workbookViewId="0">
      <pane ySplit="1" topLeftCell="A1005" activePane="bottomLeft" state="frozen"/>
      <selection pane="bottomLeft" activeCell="R1" sqref="R1:R1048576"/>
      <selection activeCell="I16" sqref="I16"/>
    </sheetView>
  </sheetViews>
  <sheetFormatPr defaultColWidth="8.85546875" defaultRowHeight="14.45" outlineLevelCol="1"/>
  <cols>
    <col min="1" max="1" width="8.85546875" style="220" customWidth="1"/>
    <col min="2" max="2" width="7.7109375" style="348" customWidth="1"/>
    <col min="3" max="3" width="29.140625" style="277" customWidth="1"/>
    <col min="4" max="4" width="8.85546875" style="208" customWidth="1"/>
    <col min="5" max="5" width="28" style="208" customWidth="1" outlineLevel="1"/>
    <col min="6" max="6" width="21.42578125" style="208" customWidth="1" outlineLevel="1"/>
    <col min="7" max="7" width="23.140625" style="208" customWidth="1" outlineLevel="1"/>
    <col min="8" max="8" width="45.28515625" style="208" customWidth="1"/>
    <col min="9" max="9" width="9.28515625" style="208" customWidth="1" outlineLevel="1"/>
    <col min="10" max="10" width="9.140625" style="208" customWidth="1" outlineLevel="1"/>
    <col min="11" max="11" width="20.42578125" style="208" customWidth="1" outlineLevel="1"/>
    <col min="12" max="13" width="30.7109375" style="208" customWidth="1" outlineLevel="1"/>
    <col min="14" max="14" width="19" style="208" customWidth="1" outlineLevel="1"/>
    <col min="15" max="15" width="14.85546875" style="208" bestFit="1" customWidth="1"/>
    <col min="16" max="16" width="13.42578125" style="208" customWidth="1" outlineLevel="1"/>
    <col min="17" max="17" width="8.85546875" style="339" customWidth="1"/>
    <col min="18" max="18" width="17.140625" style="208" bestFit="1" customWidth="1"/>
    <col min="19" max="19" width="74.140625" style="208" customWidth="1" outlineLevel="1"/>
    <col min="20" max="20" width="33.28515625" style="208" customWidth="1" outlineLevel="1"/>
    <col min="21" max="21" width="14.28515625" style="208" bestFit="1" customWidth="1"/>
    <col min="22" max="22" width="75.7109375" style="208" customWidth="1" outlineLevel="1"/>
    <col min="23" max="23" width="19.85546875" style="208" customWidth="1" outlineLevel="1"/>
    <col min="24" max="24" width="21.85546875" style="208" customWidth="1" outlineLevel="1"/>
    <col min="25" max="25" width="8.85546875" style="208" customWidth="1"/>
    <col min="26" max="26" width="68.140625" style="208" customWidth="1" outlineLevel="1"/>
    <col min="27" max="27" width="28.42578125" style="208" customWidth="1" outlineLevel="1"/>
    <col min="28" max="28" width="24.7109375" style="208" customWidth="1" outlineLevel="1"/>
    <col min="29" max="29" width="14.140625" style="208" customWidth="1" outlineLevel="1"/>
    <col min="30" max="30" width="24" style="208" customWidth="1" outlineLevel="1"/>
    <col min="31" max="31" width="12.140625" style="208" customWidth="1"/>
    <col min="32" max="32" width="8.85546875" style="208" customWidth="1"/>
    <col min="33" max="33" width="11.28515625" style="208" customWidth="1" outlineLevel="1"/>
    <col min="34" max="34" width="19.28515625" style="208" customWidth="1"/>
    <col min="35" max="35" width="20.85546875" style="220" customWidth="1" outlineLevel="1"/>
    <col min="36" max="36" width="13.42578125" style="341" customWidth="1" outlineLevel="1"/>
    <col min="37" max="37" width="15.28515625" style="220" customWidth="1" outlineLevel="1"/>
    <col min="38" max="38" width="15.85546875" style="313" customWidth="1"/>
    <col min="39" max="39" width="21.85546875" style="220" customWidth="1" outlineLevel="1"/>
    <col min="40" max="40" width="15" style="341" customWidth="1" outlineLevel="1"/>
    <col min="41" max="41" width="23.42578125" style="227" customWidth="1" outlineLevel="1"/>
    <col min="42" max="42" width="17.140625" style="316" customWidth="1"/>
    <col min="43" max="43" width="8.85546875" style="220" customWidth="1"/>
    <col min="44" max="44" width="16.28515625" style="318" bestFit="1" customWidth="1"/>
    <col min="45" max="45" width="12.140625" style="298" customWidth="1"/>
    <col min="46" max="46" width="39.28515625" style="222" customWidth="1"/>
    <col min="47" max="47" width="8.85546875" style="1" bestFit="1" customWidth="1"/>
    <col min="48" max="48" width="10" style="341" bestFit="1" customWidth="1"/>
    <col min="49" max="16384" width="8.85546875" style="208"/>
  </cols>
  <sheetData>
    <row r="1" spans="1:50" s="207" customFormat="1" ht="29.1">
      <c r="A1" s="198" t="s">
        <v>6680</v>
      </c>
      <c r="B1" s="347" t="s">
        <v>3604</v>
      </c>
      <c r="C1" s="193" t="s">
        <v>2492</v>
      </c>
      <c r="D1" s="193" t="s">
        <v>3605</v>
      </c>
      <c r="E1" s="193" t="s">
        <v>3607</v>
      </c>
      <c r="F1" s="193" t="s">
        <v>6681</v>
      </c>
      <c r="G1" s="193" t="s">
        <v>3611</v>
      </c>
      <c r="H1" s="194" t="s">
        <v>1954</v>
      </c>
      <c r="I1" s="194" t="s">
        <v>6682</v>
      </c>
      <c r="J1" s="194" t="s">
        <v>6683</v>
      </c>
      <c r="K1" s="194" t="s">
        <v>6684</v>
      </c>
      <c r="L1" s="195" t="s">
        <v>3612</v>
      </c>
      <c r="M1" s="195" t="s">
        <v>1951</v>
      </c>
      <c r="N1" s="194" t="s">
        <v>3613</v>
      </c>
      <c r="O1" s="195" t="s">
        <v>3614</v>
      </c>
      <c r="P1" s="195" t="s">
        <v>3615</v>
      </c>
      <c r="Q1" s="335" t="s">
        <v>3616</v>
      </c>
      <c r="R1" s="194" t="s">
        <v>3617</v>
      </c>
      <c r="S1" s="194" t="s">
        <v>1958</v>
      </c>
      <c r="T1" s="193" t="s">
        <v>3618</v>
      </c>
      <c r="U1" s="193" t="s">
        <v>6685</v>
      </c>
      <c r="V1" s="195" t="s">
        <v>3620</v>
      </c>
      <c r="W1" s="194" t="s">
        <v>3622</v>
      </c>
      <c r="X1" s="193" t="s">
        <v>3623</v>
      </c>
      <c r="Y1" s="195" t="s">
        <v>0</v>
      </c>
      <c r="Z1" s="193" t="s">
        <v>3624</v>
      </c>
      <c r="AA1" s="196" t="s">
        <v>81</v>
      </c>
      <c r="AB1" s="194" t="s">
        <v>3625</v>
      </c>
      <c r="AC1" s="194" t="s">
        <v>3626</v>
      </c>
      <c r="AD1" s="194" t="s">
        <v>3627</v>
      </c>
      <c r="AE1" s="195" t="s">
        <v>3628</v>
      </c>
      <c r="AF1" s="197" t="s">
        <v>3629</v>
      </c>
      <c r="AG1" s="194" t="s">
        <v>3630</v>
      </c>
      <c r="AH1" s="198" t="s">
        <v>3631</v>
      </c>
      <c r="AI1" s="199" t="s">
        <v>2547</v>
      </c>
      <c r="AJ1" s="340" t="s">
        <v>3632</v>
      </c>
      <c r="AK1" s="200" t="s">
        <v>3633</v>
      </c>
      <c r="AL1" s="312" t="s">
        <v>3634</v>
      </c>
      <c r="AM1" s="201" t="s">
        <v>3635</v>
      </c>
      <c r="AN1" s="202" t="s">
        <v>3636</v>
      </c>
      <c r="AO1" s="203" t="s">
        <v>3637</v>
      </c>
      <c r="AP1" s="202" t="s">
        <v>3638</v>
      </c>
      <c r="AQ1" s="204" t="s">
        <v>3639</v>
      </c>
      <c r="AR1" s="205" t="s">
        <v>3640</v>
      </c>
      <c r="AS1" s="206" t="s">
        <v>6686</v>
      </c>
      <c r="AT1" s="207" t="s">
        <v>80</v>
      </c>
      <c r="AU1" s="402" t="s">
        <v>6687</v>
      </c>
      <c r="AV1" s="407" t="s">
        <v>6688</v>
      </c>
      <c r="AW1" s="408" t="s">
        <v>6689</v>
      </c>
      <c r="AX1" s="408" t="s">
        <v>6690</v>
      </c>
    </row>
    <row r="2" spans="1:50">
      <c r="A2" s="220">
        <v>1</v>
      </c>
      <c r="B2" s="220" t="e">
        <v>#N/A</v>
      </c>
      <c r="C2" s="209" t="s">
        <v>10</v>
      </c>
      <c r="D2" s="209" t="s">
        <v>3648</v>
      </c>
      <c r="E2" s="209"/>
      <c r="F2" s="209"/>
      <c r="G2" s="209"/>
      <c r="H2" s="210" t="s">
        <v>3649</v>
      </c>
      <c r="I2" s="210"/>
      <c r="J2" s="211"/>
      <c r="K2" s="210"/>
      <c r="L2" s="212" t="s">
        <v>2999</v>
      </c>
      <c r="M2" s="212" t="s">
        <v>2999</v>
      </c>
      <c r="N2" s="213"/>
      <c r="O2" s="212">
        <v>4590006245</v>
      </c>
      <c r="P2" s="214">
        <v>44835</v>
      </c>
      <c r="Q2" s="334">
        <v>1</v>
      </c>
      <c r="R2" s="216">
        <v>109083.27</v>
      </c>
      <c r="S2" s="217" t="s">
        <v>2156</v>
      </c>
      <c r="T2" s="209" t="s">
        <v>3650</v>
      </c>
      <c r="U2" s="209" t="s">
        <v>3651</v>
      </c>
      <c r="V2" s="213" t="s">
        <v>3649</v>
      </c>
      <c r="W2" s="218" t="s">
        <v>3652</v>
      </c>
      <c r="X2" s="218" t="s">
        <v>3652</v>
      </c>
      <c r="Y2" s="212">
        <v>0</v>
      </c>
      <c r="Z2" s="209" t="s">
        <v>3653</v>
      </c>
      <c r="AA2" s="219"/>
      <c r="AB2" s="218"/>
      <c r="AC2" s="217" t="e">
        <v>#N/A</v>
      </c>
      <c r="AD2" s="217"/>
      <c r="AE2" s="217">
        <v>0</v>
      </c>
      <c r="AF2" s="217"/>
      <c r="AG2" s="217" t="s">
        <v>3655</v>
      </c>
      <c r="AH2" s="220">
        <f t="shared" ref="AH2:AH65" si="0">O2</f>
        <v>4590006245</v>
      </c>
      <c r="AI2" s="208" t="s">
        <v>3656</v>
      </c>
      <c r="AJ2" s="227">
        <v>45491</v>
      </c>
      <c r="AK2" s="361">
        <v>5991.26</v>
      </c>
      <c r="AL2" s="227"/>
      <c r="AM2" s="208"/>
      <c r="AN2" s="220"/>
      <c r="AO2" s="222"/>
      <c r="AP2" s="227"/>
      <c r="AQ2" s="358">
        <f ca="1">IF(表格1[[#This Row],[PO$]]="","100%",表格1[[#This Row],[total amount]]/表格1[[#This Row],[PO$]])</f>
        <v>5.4923729367482292E-2</v>
      </c>
      <c r="AR2" s="223">
        <f ca="1">表格1[[#This Row],[invoice amount]]+表格1[[#This Row],[invoice amount2]]</f>
        <v>5991.26</v>
      </c>
      <c r="AS2" s="224" t="s">
        <v>3752</v>
      </c>
      <c r="AT2" s="208"/>
      <c r="AU2" s="208" t="e">
        <f ca="1">VLOOKUP(表格1[[#This Row],[PO+ITEM]],#REF!,2,FALSE)</f>
        <v>#REF!</v>
      </c>
      <c r="AV2" s="341" t="e">
        <f ca="1">VLOOKUP(表格1[[#This Row],[PO+ITEM]],#REF!,3,FALSE)</f>
        <v>#REF!</v>
      </c>
      <c r="AW2" s="208" t="e">
        <f ca="1">VLOOKUP(表格1[[#This Row],[PO+ITEM]],#REF!,4,FALSE)</f>
        <v>#REF!</v>
      </c>
      <c r="AX2" s="208" t="e" cm="1" vm="1">
        <f t="array" aca="1" ref="AX2" ca="1">VLOOKUP(AI:AI,#REF!,1,FALSE)</f>
        <v>#VALUE!</v>
      </c>
    </row>
    <row r="3" spans="1:50">
      <c r="A3" s="220">
        <v>2</v>
      </c>
      <c r="B3" s="220" t="s">
        <v>3659</v>
      </c>
      <c r="C3" s="209" t="s">
        <v>16</v>
      </c>
      <c r="D3" s="209" t="s">
        <v>3648</v>
      </c>
      <c r="E3" s="209"/>
      <c r="F3" s="209"/>
      <c r="G3" s="209"/>
      <c r="H3" s="210" t="s">
        <v>3660</v>
      </c>
      <c r="I3" s="210"/>
      <c r="J3" s="211"/>
      <c r="K3" s="210"/>
      <c r="L3" s="212" t="s">
        <v>2999</v>
      </c>
      <c r="M3" s="212" t="s">
        <v>2999</v>
      </c>
      <c r="N3" s="213"/>
      <c r="O3" s="212">
        <v>4590006253</v>
      </c>
      <c r="P3" s="214">
        <v>44836</v>
      </c>
      <c r="Q3" s="334">
        <v>1</v>
      </c>
      <c r="R3" s="216">
        <v>2588.64</v>
      </c>
      <c r="S3" s="217" t="s">
        <v>2156</v>
      </c>
      <c r="T3" s="209" t="s">
        <v>3661</v>
      </c>
      <c r="U3" s="209" t="s">
        <v>3662</v>
      </c>
      <c r="V3" s="213" t="s">
        <v>3663</v>
      </c>
      <c r="W3" s="218" t="s">
        <v>20</v>
      </c>
      <c r="X3" s="218" t="s">
        <v>3652</v>
      </c>
      <c r="Y3" s="212">
        <v>0</v>
      </c>
      <c r="Z3" s="209" t="s">
        <v>3664</v>
      </c>
      <c r="AA3" s="219"/>
      <c r="AB3" s="218"/>
      <c r="AC3" s="217" t="e">
        <v>#N/A</v>
      </c>
      <c r="AD3" s="217">
        <v>91426</v>
      </c>
      <c r="AE3" s="217" t="s">
        <v>3239</v>
      </c>
      <c r="AF3" s="217" t="s">
        <v>3665</v>
      </c>
      <c r="AG3" s="217" t="s">
        <v>3666</v>
      </c>
      <c r="AH3" s="220">
        <f t="shared" si="0"/>
        <v>4590006253</v>
      </c>
      <c r="AI3" s="208"/>
      <c r="AJ3" s="220"/>
      <c r="AK3" s="221"/>
      <c r="AL3" s="227"/>
      <c r="AM3" s="208"/>
      <c r="AN3" s="220"/>
      <c r="AO3" s="222"/>
      <c r="AP3" s="227"/>
      <c r="AQ3" s="358">
        <f ca="1">IF(表格1[[#This Row],[PO$]]="","100%",表格1[[#This Row],[total amount]]/表格1[[#This Row],[PO$]])</f>
        <v>0</v>
      </c>
      <c r="AR3" s="223">
        <f ca="1">表格1[[#This Row],[invoice amount]]+表格1[[#This Row],[invoice amount2]]</f>
        <v>0</v>
      </c>
      <c r="AS3" s="224"/>
      <c r="AT3" s="208"/>
      <c r="AU3" s="208" t="e">
        <f ca="1">VLOOKUP(表格1[[#This Row],[PO+ITEM]],#REF!,2,FALSE)</f>
        <v>#REF!</v>
      </c>
      <c r="AV3" s="341" t="e">
        <f ca="1">VLOOKUP(表格1[[#This Row],[PO+ITEM]],#REF!,3,FALSE)</f>
        <v>#REF!</v>
      </c>
      <c r="AW3" s="208" t="e">
        <f ca="1">VLOOKUP(表格1[[#This Row],[PO+ITEM]],#REF!,4,FALSE)</f>
        <v>#REF!</v>
      </c>
      <c r="AX3" s="208" t="e" cm="1" vm="1">
        <f t="array" aca="1" ref="AX3" ca="1">VLOOKUP(AI:AI,#REF!,1,FALSE)</f>
        <v>#VALUE!</v>
      </c>
    </row>
    <row r="4" spans="1:50" ht="15.6">
      <c r="A4" s="220">
        <v>3</v>
      </c>
      <c r="B4" s="220" t="e">
        <v>#N/A</v>
      </c>
      <c r="C4" s="209" t="s">
        <v>19</v>
      </c>
      <c r="D4" s="209" t="s">
        <v>3648</v>
      </c>
      <c r="E4" s="209"/>
      <c r="F4" s="209"/>
      <c r="G4" s="209"/>
      <c r="H4" s="210" t="s">
        <v>3667</v>
      </c>
      <c r="I4" s="210"/>
      <c r="J4" s="211"/>
      <c r="K4" s="210"/>
      <c r="L4" s="212" t="s">
        <v>2888</v>
      </c>
      <c r="M4" s="212" t="s">
        <v>3668</v>
      </c>
      <c r="N4" s="213"/>
      <c r="O4" s="212">
        <v>4590006337</v>
      </c>
      <c r="P4" s="214">
        <v>44838</v>
      </c>
      <c r="Q4" s="334">
        <v>1</v>
      </c>
      <c r="R4" s="216">
        <v>237498.78</v>
      </c>
      <c r="S4" s="217" t="s">
        <v>2156</v>
      </c>
      <c r="T4" s="209" t="s">
        <v>3669</v>
      </c>
      <c r="U4" s="209" t="s">
        <v>3670</v>
      </c>
      <c r="V4" s="213" t="s">
        <v>3667</v>
      </c>
      <c r="W4" s="218" t="s">
        <v>3652</v>
      </c>
      <c r="X4" s="218" t="s">
        <v>3652</v>
      </c>
      <c r="Y4" s="212" t="s">
        <v>3671</v>
      </c>
      <c r="Z4" s="209" t="s">
        <v>3672</v>
      </c>
      <c r="AA4" s="215"/>
      <c r="AB4" s="218"/>
      <c r="AC4" s="217" t="e">
        <v>#N/A</v>
      </c>
      <c r="AD4" s="217"/>
      <c r="AE4" s="217">
        <v>0</v>
      </c>
      <c r="AF4" s="217"/>
      <c r="AG4" s="217"/>
      <c r="AH4" s="220">
        <f t="shared" si="0"/>
        <v>4590006337</v>
      </c>
      <c r="AI4" s="208"/>
      <c r="AJ4" s="225">
        <v>45017</v>
      </c>
      <c r="AK4" s="221">
        <v>94999.512000000002</v>
      </c>
      <c r="AL4" s="226">
        <v>45076</v>
      </c>
      <c r="AM4" s="208"/>
      <c r="AN4" s="220"/>
      <c r="AO4" s="222"/>
      <c r="AP4" s="227"/>
      <c r="AQ4" s="358">
        <f ca="1">IF(表格1[[#This Row],[PO$]]="","100%",表格1[[#This Row],[total amount]]/表格1[[#This Row],[PO$]])</f>
        <v>0.4</v>
      </c>
      <c r="AR4" s="223">
        <f ca="1">表格1[[#This Row],[invoice amount]]+表格1[[#This Row],[invoice amount2]]</f>
        <v>94999.512000000002</v>
      </c>
      <c r="AS4" s="224" t="s">
        <v>3673</v>
      </c>
      <c r="AT4" s="208"/>
      <c r="AU4" s="208" t="e">
        <f ca="1">VLOOKUP(表格1[[#This Row],[PO+ITEM]],#REF!,2,FALSE)</f>
        <v>#REF!</v>
      </c>
      <c r="AV4" s="341" t="e">
        <f ca="1">VLOOKUP(表格1[[#This Row],[PO+ITEM]],#REF!,3,FALSE)</f>
        <v>#REF!</v>
      </c>
      <c r="AW4" s="208" t="e">
        <f ca="1">VLOOKUP(表格1[[#This Row],[PO+ITEM]],#REF!,4,FALSE)</f>
        <v>#REF!</v>
      </c>
      <c r="AX4" s="208" t="e" cm="1" vm="1">
        <f t="array" aca="1" ref="AX4" ca="1">VLOOKUP(AI:AI,#REF!,1,FALSE)</f>
        <v>#VALUE!</v>
      </c>
    </row>
    <row r="5" spans="1:50">
      <c r="A5" s="220">
        <v>4</v>
      </c>
      <c r="B5" s="220" t="s">
        <v>3674</v>
      </c>
      <c r="C5" s="209" t="s">
        <v>17</v>
      </c>
      <c r="D5" s="209" t="s">
        <v>3648</v>
      </c>
      <c r="E5" s="209"/>
      <c r="F5" s="209"/>
      <c r="G5" s="209"/>
      <c r="H5" s="210" t="s">
        <v>3675</v>
      </c>
      <c r="I5" s="210"/>
      <c r="J5" s="211"/>
      <c r="K5" s="210"/>
      <c r="L5" s="212" t="s">
        <v>2999</v>
      </c>
      <c r="M5" s="212" t="s">
        <v>2999</v>
      </c>
      <c r="N5" s="213"/>
      <c r="O5" s="212">
        <v>4590006444</v>
      </c>
      <c r="P5" s="214">
        <v>44839</v>
      </c>
      <c r="Q5" s="334">
        <v>1</v>
      </c>
      <c r="R5" s="216">
        <v>11513.93</v>
      </c>
      <c r="S5" s="217" t="s">
        <v>2156</v>
      </c>
      <c r="T5" s="209" t="s">
        <v>3676</v>
      </c>
      <c r="U5" s="209" t="s">
        <v>3677</v>
      </c>
      <c r="V5" s="213" t="s">
        <v>3678</v>
      </c>
      <c r="W5" s="218" t="s">
        <v>3652</v>
      </c>
      <c r="X5" s="218" t="s">
        <v>3652</v>
      </c>
      <c r="Y5" s="212">
        <v>0</v>
      </c>
      <c r="Z5" s="209" t="s">
        <v>3679</v>
      </c>
      <c r="AA5" s="215"/>
      <c r="AB5" s="218"/>
      <c r="AC5" s="217" t="e">
        <v>#N/A</v>
      </c>
      <c r="AD5" s="217">
        <v>90767</v>
      </c>
      <c r="AE5" s="217" t="s">
        <v>3680</v>
      </c>
      <c r="AF5" s="217" t="s">
        <v>3681</v>
      </c>
      <c r="AG5" s="217" t="s">
        <v>3682</v>
      </c>
      <c r="AH5" s="220">
        <f t="shared" si="0"/>
        <v>4590006444</v>
      </c>
      <c r="AI5" s="208" t="s">
        <v>3683</v>
      </c>
      <c r="AJ5" s="227">
        <v>45351</v>
      </c>
      <c r="AK5" s="221">
        <v>11513.93</v>
      </c>
      <c r="AL5" s="227">
        <v>45442</v>
      </c>
      <c r="AM5" s="208"/>
      <c r="AN5" s="220"/>
      <c r="AO5" s="222"/>
      <c r="AP5" s="227"/>
      <c r="AQ5" s="358">
        <f ca="1">IF(表格1[[#This Row],[PO$]]="","100%",表格1[[#This Row],[total amount]]/表格1[[#This Row],[PO$]])</f>
        <v>1</v>
      </c>
      <c r="AR5" s="223">
        <f ca="1">表格1[[#This Row],[invoice amount]]+表格1[[#This Row],[invoice amount2]]</f>
        <v>11513.93</v>
      </c>
      <c r="AS5" s="224" t="s">
        <v>3673</v>
      </c>
      <c r="AT5" s="208"/>
      <c r="AU5" s="208" t="e">
        <f ca="1">VLOOKUP(表格1[[#This Row],[PO+ITEM]],#REF!,2,FALSE)</f>
        <v>#REF!</v>
      </c>
      <c r="AV5" s="341" t="e">
        <f ca="1">VLOOKUP(表格1[[#This Row],[PO+ITEM]],#REF!,3,FALSE)</f>
        <v>#REF!</v>
      </c>
      <c r="AW5" s="208" t="e">
        <f ca="1">VLOOKUP(表格1[[#This Row],[PO+ITEM]],#REF!,4,FALSE)</f>
        <v>#REF!</v>
      </c>
      <c r="AX5" s="208" t="e" cm="1" vm="1">
        <f t="array" aca="1" ref="AX5" ca="1">VLOOKUP(AI:AI,#REF!,1,FALSE)</f>
        <v>#VALUE!</v>
      </c>
    </row>
    <row r="6" spans="1:50">
      <c r="A6" s="220">
        <v>5</v>
      </c>
      <c r="B6" s="220" t="s">
        <v>3659</v>
      </c>
      <c r="C6" s="209" t="s">
        <v>17</v>
      </c>
      <c r="D6" s="209" t="s">
        <v>3648</v>
      </c>
      <c r="E6" s="209"/>
      <c r="F6" s="209"/>
      <c r="G6" s="209"/>
      <c r="H6" s="210" t="s">
        <v>3684</v>
      </c>
      <c r="I6" s="210"/>
      <c r="J6" s="211"/>
      <c r="K6" s="210"/>
      <c r="L6" s="212" t="s">
        <v>2999</v>
      </c>
      <c r="M6" s="212" t="s">
        <v>2999</v>
      </c>
      <c r="N6" s="213"/>
      <c r="O6" s="212">
        <v>4590006445</v>
      </c>
      <c r="P6" s="214">
        <v>44839</v>
      </c>
      <c r="Q6" s="334">
        <v>1</v>
      </c>
      <c r="R6" s="216">
        <v>11513.93</v>
      </c>
      <c r="S6" s="217" t="s">
        <v>2156</v>
      </c>
      <c r="T6" s="209" t="s">
        <v>3676</v>
      </c>
      <c r="U6" s="209" t="s">
        <v>3677</v>
      </c>
      <c r="V6" s="213" t="s">
        <v>3678</v>
      </c>
      <c r="W6" s="218" t="s">
        <v>3652</v>
      </c>
      <c r="X6" s="218" t="s">
        <v>3652</v>
      </c>
      <c r="Y6" s="212">
        <v>0</v>
      </c>
      <c r="Z6" s="209" t="s">
        <v>3679</v>
      </c>
      <c r="AA6" s="215"/>
      <c r="AB6" s="218"/>
      <c r="AC6" s="217" t="e">
        <v>#N/A</v>
      </c>
      <c r="AD6" s="217">
        <v>90768</v>
      </c>
      <c r="AE6" s="217" t="s">
        <v>3685</v>
      </c>
      <c r="AF6" s="217" t="s">
        <v>3681</v>
      </c>
      <c r="AG6" s="217" t="s">
        <v>3682</v>
      </c>
      <c r="AH6" s="220">
        <f t="shared" si="0"/>
        <v>4590006445</v>
      </c>
      <c r="AI6" s="208"/>
      <c r="AJ6" s="220"/>
      <c r="AK6" s="221"/>
      <c r="AL6" s="227"/>
      <c r="AM6" s="208"/>
      <c r="AN6" s="220"/>
      <c r="AO6" s="222"/>
      <c r="AP6" s="227"/>
      <c r="AQ6" s="358">
        <f ca="1">IF(表格1[[#This Row],[PO$]]="","100%",表格1[[#This Row],[total amount]]/表格1[[#This Row],[PO$]])</f>
        <v>0</v>
      </c>
      <c r="AR6" s="223">
        <f ca="1">表格1[[#This Row],[invoice amount]]+表格1[[#This Row],[invoice amount2]]</f>
        <v>0</v>
      </c>
      <c r="AS6" s="224"/>
      <c r="AT6" s="208"/>
      <c r="AU6" s="208" t="e">
        <f ca="1">VLOOKUP(表格1[[#This Row],[PO+ITEM]],#REF!,2,FALSE)</f>
        <v>#REF!</v>
      </c>
      <c r="AV6" s="341" t="e">
        <f ca="1">VLOOKUP(表格1[[#This Row],[PO+ITEM]],#REF!,3,FALSE)</f>
        <v>#REF!</v>
      </c>
      <c r="AW6" s="208" t="e">
        <f ca="1">VLOOKUP(表格1[[#This Row],[PO+ITEM]],#REF!,4,FALSE)</f>
        <v>#REF!</v>
      </c>
      <c r="AX6" s="208" t="e" cm="1" vm="1">
        <f t="array" aca="1" ref="AX6" ca="1">VLOOKUP(AI:AI,#REF!,1,FALSE)</f>
        <v>#VALUE!</v>
      </c>
    </row>
    <row r="7" spans="1:50">
      <c r="A7" s="220">
        <v>6</v>
      </c>
      <c r="B7" s="220" t="s">
        <v>3674</v>
      </c>
      <c r="C7" s="209" t="s">
        <v>17</v>
      </c>
      <c r="D7" s="209" t="s">
        <v>3648</v>
      </c>
      <c r="E7" s="209"/>
      <c r="F7" s="209"/>
      <c r="G7" s="209"/>
      <c r="H7" s="210" t="s">
        <v>3686</v>
      </c>
      <c r="I7" s="210"/>
      <c r="J7" s="211"/>
      <c r="K7" s="210"/>
      <c r="L7" s="212" t="s">
        <v>2999</v>
      </c>
      <c r="M7" s="212" t="s">
        <v>2999</v>
      </c>
      <c r="N7" s="213"/>
      <c r="O7" s="212">
        <v>4590006446</v>
      </c>
      <c r="P7" s="214">
        <v>44839</v>
      </c>
      <c r="Q7" s="334">
        <v>1</v>
      </c>
      <c r="R7" s="216">
        <v>11513.93</v>
      </c>
      <c r="S7" s="217" t="s">
        <v>2156</v>
      </c>
      <c r="T7" s="209" t="s">
        <v>3676</v>
      </c>
      <c r="U7" s="209" t="s">
        <v>3677</v>
      </c>
      <c r="V7" s="213" t="s">
        <v>3678</v>
      </c>
      <c r="W7" s="218" t="s">
        <v>3652</v>
      </c>
      <c r="X7" s="218" t="s">
        <v>3652</v>
      </c>
      <c r="Y7" s="212">
        <v>0</v>
      </c>
      <c r="Z7" s="209" t="s">
        <v>3679</v>
      </c>
      <c r="AA7" s="215"/>
      <c r="AB7" s="218"/>
      <c r="AC7" s="217" t="e">
        <v>#N/A</v>
      </c>
      <c r="AD7" s="217">
        <v>90769</v>
      </c>
      <c r="AE7" s="217" t="s">
        <v>3687</v>
      </c>
      <c r="AF7" s="217" t="s">
        <v>3681</v>
      </c>
      <c r="AG7" s="217" t="s">
        <v>3682</v>
      </c>
      <c r="AH7" s="220">
        <f t="shared" si="0"/>
        <v>4590006446</v>
      </c>
      <c r="AI7" s="208" t="s">
        <v>3688</v>
      </c>
      <c r="AJ7" s="227">
        <v>45351</v>
      </c>
      <c r="AK7" s="221">
        <v>11513.93</v>
      </c>
      <c r="AL7" s="227">
        <v>45442</v>
      </c>
      <c r="AM7" s="208"/>
      <c r="AN7" s="220"/>
      <c r="AO7" s="222"/>
      <c r="AP7" s="227"/>
      <c r="AQ7" s="358">
        <f ca="1">IF(表格1[[#This Row],[PO$]]="","100%",表格1[[#This Row],[total amount]]/表格1[[#This Row],[PO$]])</f>
        <v>1</v>
      </c>
      <c r="AR7" s="223">
        <f ca="1">表格1[[#This Row],[invoice amount]]+表格1[[#This Row],[invoice amount2]]</f>
        <v>11513.93</v>
      </c>
      <c r="AS7" s="224" t="s">
        <v>3673</v>
      </c>
      <c r="AT7" s="208"/>
      <c r="AU7" s="208" t="e">
        <f ca="1">VLOOKUP(表格1[[#This Row],[PO+ITEM]],#REF!,2,FALSE)</f>
        <v>#REF!</v>
      </c>
      <c r="AV7" s="341" t="e">
        <f ca="1">VLOOKUP(表格1[[#This Row],[PO+ITEM]],#REF!,3,FALSE)</f>
        <v>#REF!</v>
      </c>
      <c r="AW7" s="208" t="e">
        <f ca="1">VLOOKUP(表格1[[#This Row],[PO+ITEM]],#REF!,4,FALSE)</f>
        <v>#REF!</v>
      </c>
      <c r="AX7" s="208" t="e" cm="1" vm="1">
        <f t="array" aca="1" ref="AX7" ca="1">VLOOKUP(AI:AI,#REF!,1,FALSE)</f>
        <v>#VALUE!</v>
      </c>
    </row>
    <row r="8" spans="1:50">
      <c r="A8" s="220">
        <v>7</v>
      </c>
      <c r="B8" s="220" t="s">
        <v>3659</v>
      </c>
      <c r="C8" s="209" t="s">
        <v>17</v>
      </c>
      <c r="D8" s="209" t="s">
        <v>3648</v>
      </c>
      <c r="E8" s="209"/>
      <c r="F8" s="209"/>
      <c r="G8" s="209"/>
      <c r="H8" s="210" t="s">
        <v>3689</v>
      </c>
      <c r="I8" s="210"/>
      <c r="J8" s="211"/>
      <c r="K8" s="210"/>
      <c r="L8" s="212" t="s">
        <v>2999</v>
      </c>
      <c r="M8" s="212" t="s">
        <v>2999</v>
      </c>
      <c r="N8" s="213"/>
      <c r="O8" s="212">
        <v>4590006448</v>
      </c>
      <c r="P8" s="214">
        <v>44839</v>
      </c>
      <c r="Q8" s="334">
        <v>1</v>
      </c>
      <c r="R8" s="216">
        <v>11513.93</v>
      </c>
      <c r="S8" s="217" t="s">
        <v>2156</v>
      </c>
      <c r="T8" s="209" t="s">
        <v>3676</v>
      </c>
      <c r="U8" s="209" t="s">
        <v>3677</v>
      </c>
      <c r="V8" s="213" t="s">
        <v>3678</v>
      </c>
      <c r="W8" s="218" t="s">
        <v>3652</v>
      </c>
      <c r="X8" s="218" t="s">
        <v>3652</v>
      </c>
      <c r="Y8" s="212">
        <v>0</v>
      </c>
      <c r="Z8" s="209" t="s">
        <v>3679</v>
      </c>
      <c r="AA8" s="215"/>
      <c r="AB8" s="218"/>
      <c r="AC8" s="217" t="e">
        <v>#N/A</v>
      </c>
      <c r="AD8" s="217">
        <v>91258</v>
      </c>
      <c r="AE8" s="217" t="s">
        <v>3690</v>
      </c>
      <c r="AF8" s="217" t="s">
        <v>3681</v>
      </c>
      <c r="AG8" s="217" t="s">
        <v>3682</v>
      </c>
      <c r="AH8" s="220">
        <f t="shared" si="0"/>
        <v>4590006448</v>
      </c>
      <c r="AI8" s="208"/>
      <c r="AJ8" s="220"/>
      <c r="AK8" s="221"/>
      <c r="AL8" s="227"/>
      <c r="AM8" s="208"/>
      <c r="AN8" s="220"/>
      <c r="AO8" s="222"/>
      <c r="AP8" s="227"/>
      <c r="AQ8" s="358">
        <f ca="1">IF(表格1[[#This Row],[PO$]]="","100%",表格1[[#This Row],[total amount]]/表格1[[#This Row],[PO$]])</f>
        <v>0</v>
      </c>
      <c r="AR8" s="223">
        <f ca="1">表格1[[#This Row],[invoice amount]]+表格1[[#This Row],[invoice amount2]]</f>
        <v>0</v>
      </c>
      <c r="AS8" s="224"/>
      <c r="AT8" s="208"/>
      <c r="AU8" s="208" t="e">
        <f ca="1">VLOOKUP(表格1[[#This Row],[PO+ITEM]],#REF!,2,FALSE)</f>
        <v>#REF!</v>
      </c>
      <c r="AV8" s="341" t="e">
        <f ca="1">VLOOKUP(表格1[[#This Row],[PO+ITEM]],#REF!,3,FALSE)</f>
        <v>#REF!</v>
      </c>
      <c r="AW8" s="208" t="e">
        <f ca="1">VLOOKUP(表格1[[#This Row],[PO+ITEM]],#REF!,4,FALSE)</f>
        <v>#REF!</v>
      </c>
      <c r="AX8" s="208" t="e" cm="1" vm="1">
        <f t="array" aca="1" ref="AX8" ca="1">VLOOKUP(AI:AI,#REF!,1,FALSE)</f>
        <v>#VALUE!</v>
      </c>
    </row>
    <row r="9" spans="1:50">
      <c r="A9" s="220">
        <v>8</v>
      </c>
      <c r="B9" s="220" t="s">
        <v>3659</v>
      </c>
      <c r="C9" s="209" t="s">
        <v>17</v>
      </c>
      <c r="D9" s="209" t="s">
        <v>3648</v>
      </c>
      <c r="E9" s="209"/>
      <c r="F9" s="209"/>
      <c r="G9" s="209"/>
      <c r="H9" s="210" t="s">
        <v>3691</v>
      </c>
      <c r="I9" s="210"/>
      <c r="J9" s="211"/>
      <c r="K9" s="210"/>
      <c r="L9" s="212" t="s">
        <v>2999</v>
      </c>
      <c r="M9" s="212" t="s">
        <v>2999</v>
      </c>
      <c r="N9" s="213"/>
      <c r="O9" s="212">
        <v>4590006449</v>
      </c>
      <c r="P9" s="214">
        <v>44839</v>
      </c>
      <c r="Q9" s="334">
        <v>1</v>
      </c>
      <c r="R9" s="216">
        <v>11513.93</v>
      </c>
      <c r="S9" s="217" t="s">
        <v>2156</v>
      </c>
      <c r="T9" s="209" t="s">
        <v>3676</v>
      </c>
      <c r="U9" s="209" t="s">
        <v>3677</v>
      </c>
      <c r="V9" s="213" t="s">
        <v>3678</v>
      </c>
      <c r="W9" s="218" t="s">
        <v>3652</v>
      </c>
      <c r="X9" s="218" t="s">
        <v>3652</v>
      </c>
      <c r="Y9" s="212">
        <v>0</v>
      </c>
      <c r="Z9" s="209" t="s">
        <v>3679</v>
      </c>
      <c r="AA9" s="215"/>
      <c r="AB9" s="218"/>
      <c r="AC9" s="217" t="e">
        <v>#N/A</v>
      </c>
      <c r="AD9" s="217">
        <v>91260</v>
      </c>
      <c r="AE9" s="217" t="s">
        <v>3692</v>
      </c>
      <c r="AF9" s="217" t="s">
        <v>3681</v>
      </c>
      <c r="AG9" s="217" t="s">
        <v>3682</v>
      </c>
      <c r="AH9" s="220">
        <f t="shared" si="0"/>
        <v>4590006449</v>
      </c>
      <c r="AI9" s="208"/>
      <c r="AJ9" s="220"/>
      <c r="AK9" s="221"/>
      <c r="AL9" s="227"/>
      <c r="AM9" s="208"/>
      <c r="AN9" s="220"/>
      <c r="AO9" s="222"/>
      <c r="AP9" s="227"/>
      <c r="AQ9" s="358">
        <f ca="1">IF(表格1[[#This Row],[PO$]]="","100%",表格1[[#This Row],[total amount]]/表格1[[#This Row],[PO$]])</f>
        <v>0</v>
      </c>
      <c r="AR9" s="223">
        <f ca="1">表格1[[#This Row],[invoice amount]]+表格1[[#This Row],[invoice amount2]]</f>
        <v>0</v>
      </c>
      <c r="AS9" s="224"/>
      <c r="AT9" s="208"/>
      <c r="AU9" s="208" t="e">
        <f ca="1">VLOOKUP(表格1[[#This Row],[PO+ITEM]],#REF!,2,FALSE)</f>
        <v>#REF!</v>
      </c>
      <c r="AV9" s="341" t="e">
        <f ca="1">VLOOKUP(表格1[[#This Row],[PO+ITEM]],#REF!,3,FALSE)</f>
        <v>#REF!</v>
      </c>
      <c r="AW9" s="208" t="e">
        <f ca="1">VLOOKUP(表格1[[#This Row],[PO+ITEM]],#REF!,4,FALSE)</f>
        <v>#REF!</v>
      </c>
      <c r="AX9" s="208" t="e" cm="1" vm="1">
        <f t="array" aca="1" ref="AX9" ca="1">VLOOKUP(AI:AI,#REF!,1,FALSE)</f>
        <v>#VALUE!</v>
      </c>
    </row>
    <row r="10" spans="1:50">
      <c r="A10" s="220">
        <v>9</v>
      </c>
      <c r="B10" s="220" t="s">
        <v>3659</v>
      </c>
      <c r="C10" s="209" t="s">
        <v>17</v>
      </c>
      <c r="D10" s="209" t="s">
        <v>3648</v>
      </c>
      <c r="E10" s="209"/>
      <c r="F10" s="209"/>
      <c r="G10" s="209"/>
      <c r="H10" s="210" t="s">
        <v>3693</v>
      </c>
      <c r="I10" s="210"/>
      <c r="J10" s="211"/>
      <c r="K10" s="210"/>
      <c r="L10" s="212" t="s">
        <v>2999</v>
      </c>
      <c r="M10" s="212" t="s">
        <v>2999</v>
      </c>
      <c r="N10" s="213"/>
      <c r="O10" s="212">
        <v>4590006450</v>
      </c>
      <c r="P10" s="214">
        <v>44839</v>
      </c>
      <c r="Q10" s="334">
        <v>1</v>
      </c>
      <c r="R10" s="216">
        <v>11513.93</v>
      </c>
      <c r="S10" s="217" t="s">
        <v>2156</v>
      </c>
      <c r="T10" s="209" t="s">
        <v>3676</v>
      </c>
      <c r="U10" s="209" t="s">
        <v>3677</v>
      </c>
      <c r="V10" s="213" t="s">
        <v>3678</v>
      </c>
      <c r="W10" s="218" t="s">
        <v>3652</v>
      </c>
      <c r="X10" s="218" t="s">
        <v>3652</v>
      </c>
      <c r="Y10" s="212">
        <v>0</v>
      </c>
      <c r="Z10" s="209" t="s">
        <v>3679</v>
      </c>
      <c r="AA10" s="215"/>
      <c r="AB10" s="218"/>
      <c r="AC10" s="217" t="e">
        <v>#N/A</v>
      </c>
      <c r="AD10" s="217">
        <v>91261</v>
      </c>
      <c r="AE10" s="217" t="s">
        <v>3694</v>
      </c>
      <c r="AF10" s="217" t="s">
        <v>3681</v>
      </c>
      <c r="AG10" s="217" t="s">
        <v>3682</v>
      </c>
      <c r="AH10" s="220">
        <f t="shared" si="0"/>
        <v>4590006450</v>
      </c>
      <c r="AI10" s="208"/>
      <c r="AJ10" s="220"/>
      <c r="AK10" s="221"/>
      <c r="AL10" s="227"/>
      <c r="AM10" s="208"/>
      <c r="AN10" s="220"/>
      <c r="AO10" s="222"/>
      <c r="AP10" s="227"/>
      <c r="AQ10" s="358">
        <f ca="1">IF(表格1[[#This Row],[PO$]]="","100%",表格1[[#This Row],[total amount]]/表格1[[#This Row],[PO$]])</f>
        <v>0</v>
      </c>
      <c r="AR10" s="223">
        <f ca="1">表格1[[#This Row],[invoice amount]]+表格1[[#This Row],[invoice amount2]]</f>
        <v>0</v>
      </c>
      <c r="AS10" s="224"/>
      <c r="AT10" s="208"/>
      <c r="AU10" s="208" t="e">
        <f ca="1">VLOOKUP(表格1[[#This Row],[PO+ITEM]],#REF!,2,FALSE)</f>
        <v>#REF!</v>
      </c>
      <c r="AV10" s="341" t="e">
        <f ca="1">VLOOKUP(表格1[[#This Row],[PO+ITEM]],#REF!,3,FALSE)</f>
        <v>#REF!</v>
      </c>
      <c r="AW10" s="208" t="e">
        <f ca="1">VLOOKUP(表格1[[#This Row],[PO+ITEM]],#REF!,4,FALSE)</f>
        <v>#REF!</v>
      </c>
      <c r="AX10" s="208" t="e" cm="1" vm="1">
        <f t="array" aca="1" ref="AX10" ca="1">VLOOKUP(AI:AI,#REF!,1,FALSE)</f>
        <v>#VALUE!</v>
      </c>
    </row>
    <row r="11" spans="1:50">
      <c r="A11" s="220">
        <v>10</v>
      </c>
      <c r="B11" s="220" t="s">
        <v>3659</v>
      </c>
      <c r="C11" s="209" t="s">
        <v>17</v>
      </c>
      <c r="D11" s="209" t="s">
        <v>3648</v>
      </c>
      <c r="E11" s="209"/>
      <c r="F11" s="209"/>
      <c r="G11" s="209"/>
      <c r="H11" s="210" t="s">
        <v>3695</v>
      </c>
      <c r="I11" s="210"/>
      <c r="J11" s="211"/>
      <c r="K11" s="210"/>
      <c r="L11" s="212" t="s">
        <v>2999</v>
      </c>
      <c r="M11" s="212" t="s">
        <v>2999</v>
      </c>
      <c r="N11" s="213"/>
      <c r="O11" s="212">
        <v>4590006452</v>
      </c>
      <c r="P11" s="214">
        <v>44839</v>
      </c>
      <c r="Q11" s="334">
        <v>1</v>
      </c>
      <c r="R11" s="216">
        <v>11513.93</v>
      </c>
      <c r="S11" s="217" t="s">
        <v>2156</v>
      </c>
      <c r="T11" s="209" t="s">
        <v>3676</v>
      </c>
      <c r="U11" s="209" t="s">
        <v>3677</v>
      </c>
      <c r="V11" s="213" t="s">
        <v>3678</v>
      </c>
      <c r="W11" s="218" t="s">
        <v>3652</v>
      </c>
      <c r="X11" s="218" t="s">
        <v>3652</v>
      </c>
      <c r="Y11" s="212">
        <v>0</v>
      </c>
      <c r="Z11" s="209" t="s">
        <v>3679</v>
      </c>
      <c r="AA11" s="215"/>
      <c r="AB11" s="218"/>
      <c r="AC11" s="217" t="e">
        <v>#N/A</v>
      </c>
      <c r="AD11" s="217">
        <v>91265</v>
      </c>
      <c r="AE11" s="217" t="s">
        <v>3696</v>
      </c>
      <c r="AF11" s="217" t="s">
        <v>3681</v>
      </c>
      <c r="AG11" s="217" t="s">
        <v>3682</v>
      </c>
      <c r="AH11" s="220">
        <f t="shared" si="0"/>
        <v>4590006452</v>
      </c>
      <c r="AI11" s="208"/>
      <c r="AJ11" s="220"/>
      <c r="AK11" s="221"/>
      <c r="AL11" s="227"/>
      <c r="AM11" s="208"/>
      <c r="AN11" s="220"/>
      <c r="AO11" s="222"/>
      <c r="AP11" s="227"/>
      <c r="AQ11" s="358">
        <f ca="1">IF(表格1[[#This Row],[PO$]]="","100%",表格1[[#This Row],[total amount]]/表格1[[#This Row],[PO$]])</f>
        <v>0</v>
      </c>
      <c r="AR11" s="223">
        <f ca="1">表格1[[#This Row],[invoice amount]]+表格1[[#This Row],[invoice amount2]]</f>
        <v>0</v>
      </c>
      <c r="AS11" s="224"/>
      <c r="AT11" s="208"/>
      <c r="AU11" s="208" t="e">
        <f ca="1">VLOOKUP(表格1[[#This Row],[PO+ITEM]],#REF!,2,FALSE)</f>
        <v>#REF!</v>
      </c>
      <c r="AV11" s="341" t="e">
        <f ca="1">VLOOKUP(表格1[[#This Row],[PO+ITEM]],#REF!,3,FALSE)</f>
        <v>#REF!</v>
      </c>
      <c r="AW11" s="208" t="e">
        <f ca="1">VLOOKUP(表格1[[#This Row],[PO+ITEM]],#REF!,4,FALSE)</f>
        <v>#REF!</v>
      </c>
      <c r="AX11" s="208" t="e" cm="1" vm="1">
        <f t="array" aca="1" ref="AX11" ca="1">VLOOKUP(AI:AI,#REF!,1,FALSE)</f>
        <v>#VALUE!</v>
      </c>
    </row>
    <row r="12" spans="1:50">
      <c r="A12" s="220">
        <v>11</v>
      </c>
      <c r="B12" s="220" t="s">
        <v>3659</v>
      </c>
      <c r="C12" s="209" t="s">
        <v>17</v>
      </c>
      <c r="D12" s="209" t="s">
        <v>3648</v>
      </c>
      <c r="E12" s="209"/>
      <c r="F12" s="209"/>
      <c r="G12" s="209"/>
      <c r="H12" s="210" t="s">
        <v>3697</v>
      </c>
      <c r="I12" s="210"/>
      <c r="J12" s="211"/>
      <c r="K12" s="210"/>
      <c r="L12" s="212" t="s">
        <v>2999</v>
      </c>
      <c r="M12" s="212" t="s">
        <v>2999</v>
      </c>
      <c r="N12" s="213"/>
      <c r="O12" s="212">
        <v>4590006455</v>
      </c>
      <c r="P12" s="214">
        <v>44839</v>
      </c>
      <c r="Q12" s="334">
        <v>1</v>
      </c>
      <c r="R12" s="216">
        <v>8620.6299999999992</v>
      </c>
      <c r="S12" s="217" t="s">
        <v>2156</v>
      </c>
      <c r="T12" s="209" t="s">
        <v>3676</v>
      </c>
      <c r="U12" s="209" t="s">
        <v>3677</v>
      </c>
      <c r="V12" s="213" t="s">
        <v>3678</v>
      </c>
      <c r="W12" s="218" t="s">
        <v>3652</v>
      </c>
      <c r="X12" s="218" t="s">
        <v>3652</v>
      </c>
      <c r="Y12" s="212">
        <v>0</v>
      </c>
      <c r="Z12" s="209" t="s">
        <v>3679</v>
      </c>
      <c r="AA12" s="215"/>
      <c r="AB12" s="218"/>
      <c r="AC12" s="217" t="e">
        <v>#N/A</v>
      </c>
      <c r="AD12" s="217">
        <v>90461</v>
      </c>
      <c r="AE12" s="217" t="s">
        <v>3698</v>
      </c>
      <c r="AF12" s="217" t="s">
        <v>3681</v>
      </c>
      <c r="AG12" s="217" t="s">
        <v>3699</v>
      </c>
      <c r="AH12" s="220">
        <f t="shared" si="0"/>
        <v>4590006455</v>
      </c>
      <c r="AI12" s="208"/>
      <c r="AJ12" s="220"/>
      <c r="AK12" s="221"/>
      <c r="AL12" s="227"/>
      <c r="AM12" s="208"/>
      <c r="AN12" s="220"/>
      <c r="AO12" s="222"/>
      <c r="AP12" s="227"/>
      <c r="AQ12" s="358">
        <f ca="1">IF(表格1[[#This Row],[PO$]]="","100%",表格1[[#This Row],[total amount]]/表格1[[#This Row],[PO$]])</f>
        <v>0</v>
      </c>
      <c r="AR12" s="223">
        <f ca="1">表格1[[#This Row],[invoice amount]]+表格1[[#This Row],[invoice amount2]]</f>
        <v>0</v>
      </c>
      <c r="AS12" s="224"/>
      <c r="AT12" s="208"/>
      <c r="AU12" s="208" t="e">
        <f ca="1">VLOOKUP(表格1[[#This Row],[PO+ITEM]],#REF!,2,FALSE)</f>
        <v>#REF!</v>
      </c>
      <c r="AV12" s="341" t="e">
        <f ca="1">VLOOKUP(表格1[[#This Row],[PO+ITEM]],#REF!,3,FALSE)</f>
        <v>#REF!</v>
      </c>
      <c r="AW12" s="208" t="e">
        <f ca="1">VLOOKUP(表格1[[#This Row],[PO+ITEM]],#REF!,4,FALSE)</f>
        <v>#REF!</v>
      </c>
      <c r="AX12" s="208" t="e" cm="1" vm="1">
        <f t="array" aca="1" ref="AX12" ca="1">VLOOKUP(AI:AI,#REF!,1,FALSE)</f>
        <v>#VALUE!</v>
      </c>
    </row>
    <row r="13" spans="1:50">
      <c r="A13" s="220">
        <v>12</v>
      </c>
      <c r="B13" s="220" t="s">
        <v>3674</v>
      </c>
      <c r="C13" s="209" t="s">
        <v>17</v>
      </c>
      <c r="D13" s="209" t="s">
        <v>3648</v>
      </c>
      <c r="E13" s="209"/>
      <c r="F13" s="209"/>
      <c r="G13" s="209"/>
      <c r="H13" s="210" t="s">
        <v>3702</v>
      </c>
      <c r="I13" s="210"/>
      <c r="J13" s="211"/>
      <c r="K13" s="210"/>
      <c r="L13" s="212" t="s">
        <v>2999</v>
      </c>
      <c r="M13" s="212" t="s">
        <v>2999</v>
      </c>
      <c r="N13" s="213"/>
      <c r="O13" s="212">
        <v>4590006458</v>
      </c>
      <c r="P13" s="214">
        <v>44839</v>
      </c>
      <c r="Q13" s="334">
        <v>1</v>
      </c>
      <c r="R13" s="216">
        <v>8620.6299999999992</v>
      </c>
      <c r="S13" s="217" t="s">
        <v>2156</v>
      </c>
      <c r="T13" s="209" t="s">
        <v>3676</v>
      </c>
      <c r="U13" s="209" t="s">
        <v>3677</v>
      </c>
      <c r="V13" s="213" t="s">
        <v>3678</v>
      </c>
      <c r="W13" s="218" t="s">
        <v>3652</v>
      </c>
      <c r="X13" s="218" t="s">
        <v>3652</v>
      </c>
      <c r="Y13" s="212">
        <v>0</v>
      </c>
      <c r="Z13" s="209" t="s">
        <v>3679</v>
      </c>
      <c r="AA13" s="215"/>
      <c r="AB13" s="218"/>
      <c r="AC13" s="217" t="e">
        <v>#N/A</v>
      </c>
      <c r="AD13" s="217">
        <v>90462</v>
      </c>
      <c r="AE13" s="217" t="s">
        <v>3703</v>
      </c>
      <c r="AF13" s="217" t="s">
        <v>3681</v>
      </c>
      <c r="AG13" s="217" t="s">
        <v>3699</v>
      </c>
      <c r="AH13" s="220">
        <f t="shared" si="0"/>
        <v>4590006458</v>
      </c>
      <c r="AI13" s="208" t="s">
        <v>3704</v>
      </c>
      <c r="AJ13" s="227">
        <v>45351</v>
      </c>
      <c r="AK13" s="221">
        <v>8620.6299999999992</v>
      </c>
      <c r="AL13" s="227">
        <v>45442</v>
      </c>
      <c r="AM13" s="208"/>
      <c r="AN13" s="220"/>
      <c r="AO13" s="222"/>
      <c r="AP13" s="227"/>
      <c r="AQ13" s="358">
        <f ca="1">IF(表格1[[#This Row],[PO$]]="","100%",表格1[[#This Row],[total amount]]/表格1[[#This Row],[PO$]])</f>
        <v>1</v>
      </c>
      <c r="AR13" s="223">
        <f ca="1">表格1[[#This Row],[invoice amount]]+表格1[[#This Row],[invoice amount2]]</f>
        <v>8620.6299999999992</v>
      </c>
      <c r="AS13" s="224" t="s">
        <v>3673</v>
      </c>
      <c r="AT13" s="208"/>
      <c r="AU13" s="208" t="e">
        <f ca="1">VLOOKUP(表格1[[#This Row],[PO+ITEM]],#REF!,2,FALSE)</f>
        <v>#REF!</v>
      </c>
      <c r="AV13" s="341" t="e">
        <f ca="1">VLOOKUP(表格1[[#This Row],[PO+ITEM]],#REF!,3,FALSE)</f>
        <v>#REF!</v>
      </c>
      <c r="AW13" s="208" t="e">
        <f ca="1">VLOOKUP(表格1[[#This Row],[PO+ITEM]],#REF!,4,FALSE)</f>
        <v>#REF!</v>
      </c>
      <c r="AX13" s="208" t="e" cm="1" vm="1">
        <f t="array" aca="1" ref="AX13" ca="1">VLOOKUP(AI:AI,#REF!,1,FALSE)</f>
        <v>#VALUE!</v>
      </c>
    </row>
    <row r="14" spans="1:50">
      <c r="A14" s="220">
        <v>13</v>
      </c>
      <c r="B14" s="220" t="s">
        <v>3659</v>
      </c>
      <c r="C14" s="209" t="s">
        <v>17</v>
      </c>
      <c r="D14" s="209" t="s">
        <v>3648</v>
      </c>
      <c r="E14" s="209"/>
      <c r="F14" s="209"/>
      <c r="G14" s="209"/>
      <c r="H14" s="210" t="s">
        <v>3705</v>
      </c>
      <c r="I14" s="210"/>
      <c r="J14" s="211"/>
      <c r="K14" s="210"/>
      <c r="L14" s="212" t="s">
        <v>2999</v>
      </c>
      <c r="M14" s="212" t="s">
        <v>2999</v>
      </c>
      <c r="N14" s="213"/>
      <c r="O14" s="212">
        <v>4590006460</v>
      </c>
      <c r="P14" s="214">
        <v>44839</v>
      </c>
      <c r="Q14" s="334">
        <v>1</v>
      </c>
      <c r="R14" s="216">
        <v>8620.6299999999992</v>
      </c>
      <c r="S14" s="217" t="s">
        <v>2156</v>
      </c>
      <c r="T14" s="209" t="s">
        <v>3676</v>
      </c>
      <c r="U14" s="209" t="s">
        <v>3677</v>
      </c>
      <c r="V14" s="213" t="s">
        <v>3678</v>
      </c>
      <c r="W14" s="218" t="s">
        <v>3652</v>
      </c>
      <c r="X14" s="218" t="s">
        <v>3652</v>
      </c>
      <c r="Y14" s="212">
        <v>0</v>
      </c>
      <c r="Z14" s="209" t="s">
        <v>3679</v>
      </c>
      <c r="AA14" s="215"/>
      <c r="AB14" s="218"/>
      <c r="AC14" s="217" t="e">
        <v>#N/A</v>
      </c>
      <c r="AD14" s="217">
        <v>91267</v>
      </c>
      <c r="AE14" s="217" t="s">
        <v>3706</v>
      </c>
      <c r="AF14" s="217" t="s">
        <v>3681</v>
      </c>
      <c r="AG14" s="217" t="s">
        <v>3699</v>
      </c>
      <c r="AH14" s="220">
        <f t="shared" si="0"/>
        <v>4590006460</v>
      </c>
      <c r="AI14" s="208"/>
      <c r="AJ14" s="220"/>
      <c r="AK14" s="221"/>
      <c r="AL14" s="227"/>
      <c r="AM14" s="208"/>
      <c r="AN14" s="220"/>
      <c r="AO14" s="222"/>
      <c r="AP14" s="227"/>
      <c r="AQ14" s="358">
        <f ca="1">IF(表格1[[#This Row],[PO$]]="","100%",表格1[[#This Row],[total amount]]/表格1[[#This Row],[PO$]])</f>
        <v>0</v>
      </c>
      <c r="AR14" s="223">
        <f ca="1">表格1[[#This Row],[invoice amount]]+表格1[[#This Row],[invoice amount2]]</f>
        <v>0</v>
      </c>
      <c r="AS14" s="224"/>
      <c r="AT14" s="208"/>
      <c r="AU14" s="208" t="e">
        <f ca="1">VLOOKUP(表格1[[#This Row],[PO+ITEM]],#REF!,2,FALSE)</f>
        <v>#REF!</v>
      </c>
      <c r="AV14" s="341" t="e">
        <f ca="1">VLOOKUP(表格1[[#This Row],[PO+ITEM]],#REF!,3,FALSE)</f>
        <v>#REF!</v>
      </c>
      <c r="AW14" s="208" t="e">
        <f ca="1">VLOOKUP(表格1[[#This Row],[PO+ITEM]],#REF!,4,FALSE)</f>
        <v>#REF!</v>
      </c>
      <c r="AX14" s="208" t="e" cm="1" vm="1">
        <f t="array" aca="1" ref="AX14" ca="1">VLOOKUP(AI:AI,#REF!,1,FALSE)</f>
        <v>#VALUE!</v>
      </c>
    </row>
    <row r="15" spans="1:50">
      <c r="A15" s="220">
        <v>14</v>
      </c>
      <c r="B15" s="220" t="e">
        <v>#N/A</v>
      </c>
      <c r="C15" s="209" t="s">
        <v>16</v>
      </c>
      <c r="D15" s="209" t="s">
        <v>3648</v>
      </c>
      <c r="E15" s="209"/>
      <c r="F15" s="209"/>
      <c r="G15" s="209"/>
      <c r="H15" s="217" t="s">
        <v>3707</v>
      </c>
      <c r="I15" s="217"/>
      <c r="J15" s="215"/>
      <c r="K15" s="217"/>
      <c r="L15" s="212" t="s">
        <v>3708</v>
      </c>
      <c r="M15" s="212"/>
      <c r="N15" s="213"/>
      <c r="O15" s="212">
        <v>4590006660</v>
      </c>
      <c r="P15" s="214">
        <v>44845</v>
      </c>
      <c r="Q15" s="334">
        <v>1</v>
      </c>
      <c r="R15" s="216">
        <v>116266.32</v>
      </c>
      <c r="S15" s="217" t="s">
        <v>2148</v>
      </c>
      <c r="T15" s="209" t="s">
        <v>3709</v>
      </c>
      <c r="U15" s="209" t="s">
        <v>3662</v>
      </c>
      <c r="V15" s="213" t="s">
        <v>3663</v>
      </c>
      <c r="W15" s="218" t="s">
        <v>3652</v>
      </c>
      <c r="X15" s="218" t="s">
        <v>3652</v>
      </c>
      <c r="Y15" s="212">
        <v>0</v>
      </c>
      <c r="Z15" s="209" t="s">
        <v>3710</v>
      </c>
      <c r="AA15" s="215"/>
      <c r="AB15" s="218"/>
      <c r="AC15" s="217" t="e">
        <v>#N/A</v>
      </c>
      <c r="AD15" s="217"/>
      <c r="AE15" s="217">
        <v>0</v>
      </c>
      <c r="AF15" s="217"/>
      <c r="AG15" s="217"/>
      <c r="AH15" s="220">
        <f t="shared" si="0"/>
        <v>4590006660</v>
      </c>
      <c r="AI15" s="208"/>
      <c r="AJ15" s="220"/>
      <c r="AK15" s="221"/>
      <c r="AL15" s="227"/>
      <c r="AM15" s="208"/>
      <c r="AN15" s="220"/>
      <c r="AO15" s="222"/>
      <c r="AP15" s="227"/>
      <c r="AQ15" s="358">
        <f ca="1">IF(表格1[[#This Row],[PO$]]="","100%",表格1[[#This Row],[total amount]]/表格1[[#This Row],[PO$]])</f>
        <v>0</v>
      </c>
      <c r="AR15" s="223">
        <f ca="1">表格1[[#This Row],[invoice amount]]+表格1[[#This Row],[invoice amount2]]</f>
        <v>0</v>
      </c>
      <c r="AS15" s="224"/>
      <c r="AT15" s="208"/>
      <c r="AU15" s="208" t="e">
        <f ca="1">VLOOKUP(表格1[[#This Row],[PO+ITEM]],#REF!,2,FALSE)</f>
        <v>#REF!</v>
      </c>
      <c r="AV15" s="341" t="e">
        <f ca="1">VLOOKUP(表格1[[#This Row],[PO+ITEM]],#REF!,3,FALSE)</f>
        <v>#REF!</v>
      </c>
      <c r="AW15" s="208" t="e">
        <f ca="1">VLOOKUP(表格1[[#This Row],[PO+ITEM]],#REF!,4,FALSE)</f>
        <v>#REF!</v>
      </c>
      <c r="AX15" s="208" t="e" cm="1" vm="1">
        <f t="array" aca="1" ref="AX15" ca="1">VLOOKUP(AI:AI,#REF!,1,FALSE)</f>
        <v>#VALUE!</v>
      </c>
    </row>
    <row r="16" spans="1:50">
      <c r="A16" s="220">
        <v>15</v>
      </c>
      <c r="B16" s="220" t="s">
        <v>3659</v>
      </c>
      <c r="C16" s="209" t="s">
        <v>17</v>
      </c>
      <c r="D16" s="209" t="s">
        <v>3648</v>
      </c>
      <c r="E16" s="209"/>
      <c r="F16" s="209"/>
      <c r="G16" s="209"/>
      <c r="H16" s="210" t="s">
        <v>3712</v>
      </c>
      <c r="I16" s="210"/>
      <c r="J16" s="211"/>
      <c r="K16" s="210"/>
      <c r="L16" s="212" t="s">
        <v>2999</v>
      </c>
      <c r="M16" s="212" t="s">
        <v>2999</v>
      </c>
      <c r="N16" s="213"/>
      <c r="O16" s="212">
        <v>4590007572</v>
      </c>
      <c r="P16" s="214">
        <v>44855</v>
      </c>
      <c r="Q16" s="334">
        <v>1</v>
      </c>
      <c r="R16" s="216">
        <v>262952</v>
      </c>
      <c r="S16" s="217" t="s">
        <v>2156</v>
      </c>
      <c r="T16" s="209" t="s">
        <v>3713</v>
      </c>
      <c r="U16" s="209" t="s">
        <v>3714</v>
      </c>
      <c r="V16" s="213" t="s">
        <v>3715</v>
      </c>
      <c r="W16" s="218" t="s">
        <v>3652</v>
      </c>
      <c r="X16" s="218" t="s">
        <v>3652</v>
      </c>
      <c r="Y16" s="212">
        <v>0</v>
      </c>
      <c r="Z16" s="209" t="s">
        <v>3716</v>
      </c>
      <c r="AA16" s="215"/>
      <c r="AB16" s="218"/>
      <c r="AC16" s="217" t="e">
        <v>#N/A</v>
      </c>
      <c r="AD16" s="217">
        <v>90889</v>
      </c>
      <c r="AE16" s="217" t="s">
        <v>3717</v>
      </c>
      <c r="AF16" s="217" t="s">
        <v>3718</v>
      </c>
      <c r="AG16" s="217" t="s">
        <v>3719</v>
      </c>
      <c r="AH16" s="220">
        <f t="shared" si="0"/>
        <v>4590007572</v>
      </c>
      <c r="AI16" s="208"/>
      <c r="AJ16" s="220"/>
      <c r="AK16" s="221"/>
      <c r="AL16" s="227"/>
      <c r="AM16" s="208"/>
      <c r="AN16" s="220"/>
      <c r="AO16" s="222"/>
      <c r="AP16" s="227"/>
      <c r="AQ16" s="358">
        <f ca="1">IF(表格1[[#This Row],[PO$]]="","100%",表格1[[#This Row],[total amount]]/表格1[[#This Row],[PO$]])</f>
        <v>0</v>
      </c>
      <c r="AR16" s="223">
        <f ca="1">表格1[[#This Row],[invoice amount]]+表格1[[#This Row],[invoice amount2]]</f>
        <v>0</v>
      </c>
      <c r="AS16" s="224"/>
      <c r="AT16" s="208"/>
      <c r="AU16" s="208" t="e">
        <f ca="1">VLOOKUP(表格1[[#This Row],[PO+ITEM]],#REF!,2,FALSE)</f>
        <v>#REF!</v>
      </c>
      <c r="AV16" s="341" t="e">
        <f ca="1">VLOOKUP(表格1[[#This Row],[PO+ITEM]],#REF!,3,FALSE)</f>
        <v>#REF!</v>
      </c>
      <c r="AW16" s="208" t="e">
        <f ca="1">VLOOKUP(表格1[[#This Row],[PO+ITEM]],#REF!,4,FALSE)</f>
        <v>#REF!</v>
      </c>
      <c r="AX16" s="208" t="e" cm="1" vm="1">
        <f t="array" aca="1" ref="AX16" ca="1">VLOOKUP(AI:AI,#REF!,1,FALSE)</f>
        <v>#VALUE!</v>
      </c>
    </row>
    <row r="17" spans="1:50" ht="15.6">
      <c r="A17" s="220">
        <v>16</v>
      </c>
      <c r="B17" s="220" t="s">
        <v>3674</v>
      </c>
      <c r="C17" s="209" t="s">
        <v>17</v>
      </c>
      <c r="D17" s="209" t="s">
        <v>3648</v>
      </c>
      <c r="E17" s="209"/>
      <c r="F17" s="209"/>
      <c r="G17" s="209"/>
      <c r="H17" s="210" t="s">
        <v>3720</v>
      </c>
      <c r="I17" s="210"/>
      <c r="J17" s="211"/>
      <c r="K17" s="210"/>
      <c r="L17" s="212" t="s">
        <v>2999</v>
      </c>
      <c r="M17" s="212" t="s">
        <v>2999</v>
      </c>
      <c r="N17" s="213"/>
      <c r="O17" s="212">
        <v>4590007573</v>
      </c>
      <c r="P17" s="214">
        <v>44855</v>
      </c>
      <c r="Q17" s="334">
        <v>1</v>
      </c>
      <c r="R17" s="216">
        <v>262952</v>
      </c>
      <c r="S17" s="217" t="s">
        <v>2156</v>
      </c>
      <c r="T17" s="209" t="s">
        <v>3713</v>
      </c>
      <c r="U17" s="209" t="s">
        <v>3714</v>
      </c>
      <c r="V17" s="213" t="s">
        <v>3715</v>
      </c>
      <c r="W17" s="218" t="s">
        <v>3652</v>
      </c>
      <c r="X17" s="218" t="s">
        <v>3652</v>
      </c>
      <c r="Y17" s="212">
        <v>0</v>
      </c>
      <c r="Z17" s="209" t="s">
        <v>3716</v>
      </c>
      <c r="AA17" s="215"/>
      <c r="AB17" s="218"/>
      <c r="AC17" s="217" t="e">
        <v>#N/A</v>
      </c>
      <c r="AD17" s="217">
        <v>90431</v>
      </c>
      <c r="AE17" s="217" t="s">
        <v>3721</v>
      </c>
      <c r="AF17" s="217" t="s">
        <v>3718</v>
      </c>
      <c r="AG17" s="217" t="s">
        <v>3719</v>
      </c>
      <c r="AH17" s="220">
        <f t="shared" si="0"/>
        <v>4590007573</v>
      </c>
      <c r="AI17" s="208"/>
      <c r="AJ17" s="225">
        <v>45261</v>
      </c>
      <c r="AK17" s="221">
        <v>249804.4</v>
      </c>
      <c r="AL17" s="228">
        <v>45303</v>
      </c>
      <c r="AM17" s="208"/>
      <c r="AN17" s="220"/>
      <c r="AO17" s="222"/>
      <c r="AP17" s="227"/>
      <c r="AQ17" s="358">
        <f ca="1">IF(表格1[[#This Row],[PO$]]="","100%",表格1[[#This Row],[total amount]]/表格1[[#This Row],[PO$]])</f>
        <v>0.95</v>
      </c>
      <c r="AR17" s="223">
        <f ca="1">表格1[[#This Row],[invoice amount]]+表格1[[#This Row],[invoice amount2]]</f>
        <v>249804.4</v>
      </c>
      <c r="AS17" s="224" t="s">
        <v>3673</v>
      </c>
      <c r="AT17" s="208"/>
      <c r="AU17" s="208" t="e">
        <f ca="1">VLOOKUP(表格1[[#This Row],[PO+ITEM]],#REF!,2,FALSE)</f>
        <v>#REF!</v>
      </c>
      <c r="AV17" s="341" t="e">
        <f ca="1">VLOOKUP(表格1[[#This Row],[PO+ITEM]],#REF!,3,FALSE)</f>
        <v>#REF!</v>
      </c>
      <c r="AW17" s="208" t="e">
        <f ca="1">VLOOKUP(表格1[[#This Row],[PO+ITEM]],#REF!,4,FALSE)</f>
        <v>#REF!</v>
      </c>
      <c r="AX17" s="208" t="e" cm="1" vm="1">
        <f t="array" aca="1" ref="AX17" ca="1">VLOOKUP(AI:AI,#REF!,1,FALSE)</f>
        <v>#VALUE!</v>
      </c>
    </row>
    <row r="18" spans="1:50">
      <c r="A18" s="220">
        <v>17</v>
      </c>
      <c r="B18" s="220" t="s">
        <v>3674</v>
      </c>
      <c r="C18" s="209" t="s">
        <v>17</v>
      </c>
      <c r="D18" s="209" t="s">
        <v>3648</v>
      </c>
      <c r="E18" s="209"/>
      <c r="F18" s="209"/>
      <c r="G18" s="209"/>
      <c r="H18" s="210" t="s">
        <v>3722</v>
      </c>
      <c r="I18" s="210"/>
      <c r="J18" s="211"/>
      <c r="K18" s="210"/>
      <c r="L18" s="212" t="s">
        <v>2999</v>
      </c>
      <c r="M18" s="212" t="s">
        <v>2999</v>
      </c>
      <c r="N18" s="213"/>
      <c r="O18" s="212">
        <v>4590007574</v>
      </c>
      <c r="P18" s="214">
        <v>44855</v>
      </c>
      <c r="Q18" s="334">
        <v>1</v>
      </c>
      <c r="R18" s="216">
        <v>262952</v>
      </c>
      <c r="S18" s="217" t="s">
        <v>2156</v>
      </c>
      <c r="T18" s="209" t="s">
        <v>3713</v>
      </c>
      <c r="U18" s="209" t="s">
        <v>3714</v>
      </c>
      <c r="V18" s="213" t="s">
        <v>3715</v>
      </c>
      <c r="W18" s="218" t="s">
        <v>3652</v>
      </c>
      <c r="X18" s="218" t="s">
        <v>3652</v>
      </c>
      <c r="Y18" s="212">
        <v>0</v>
      </c>
      <c r="Z18" s="209" t="s">
        <v>3716</v>
      </c>
      <c r="AA18" s="215"/>
      <c r="AB18" s="218"/>
      <c r="AC18" s="217" t="e">
        <v>#N/A</v>
      </c>
      <c r="AD18" s="217">
        <v>90430</v>
      </c>
      <c r="AE18" s="217" t="s">
        <v>3723</v>
      </c>
      <c r="AF18" s="217" t="s">
        <v>3718</v>
      </c>
      <c r="AG18" s="217" t="s">
        <v>3719</v>
      </c>
      <c r="AH18" s="220">
        <f t="shared" si="0"/>
        <v>4590007574</v>
      </c>
      <c r="AI18" s="208" t="s">
        <v>3724</v>
      </c>
      <c r="AJ18" s="227">
        <v>45429</v>
      </c>
      <c r="AK18" s="221">
        <v>262952</v>
      </c>
      <c r="AL18" s="227">
        <v>45503</v>
      </c>
      <c r="AM18" s="208"/>
      <c r="AN18" s="220"/>
      <c r="AO18" s="222"/>
      <c r="AP18" s="227"/>
      <c r="AQ18" s="358">
        <f ca="1">IF(表格1[[#This Row],[PO$]]="","100%",表格1[[#This Row],[total amount]]/表格1[[#This Row],[PO$]])</f>
        <v>1</v>
      </c>
      <c r="AR18" s="223">
        <f ca="1">表格1[[#This Row],[invoice amount]]+表格1[[#This Row],[invoice amount2]]</f>
        <v>262952</v>
      </c>
      <c r="AS18" s="224" t="s">
        <v>3725</v>
      </c>
      <c r="AT18" s="208"/>
      <c r="AU18" s="208" t="e">
        <f ca="1">VLOOKUP(表格1[[#This Row],[PO+ITEM]],#REF!,2,FALSE)</f>
        <v>#REF!</v>
      </c>
      <c r="AV18" s="341" t="e">
        <f ca="1">VLOOKUP(表格1[[#This Row],[PO+ITEM]],#REF!,3,FALSE)</f>
        <v>#REF!</v>
      </c>
      <c r="AW18" s="208" t="e">
        <f ca="1">VLOOKUP(表格1[[#This Row],[PO+ITEM]],#REF!,4,FALSE)</f>
        <v>#REF!</v>
      </c>
      <c r="AX18" s="208" t="e" cm="1" vm="1">
        <f t="array" aca="1" ref="AX18" ca="1">VLOOKUP(AI:AI,#REF!,1,FALSE)</f>
        <v>#VALUE!</v>
      </c>
    </row>
    <row r="19" spans="1:50">
      <c r="A19" s="220">
        <v>18</v>
      </c>
      <c r="B19" s="220" t="s">
        <v>3659</v>
      </c>
      <c r="C19" s="209" t="s">
        <v>17</v>
      </c>
      <c r="D19" s="209" t="s">
        <v>3648</v>
      </c>
      <c r="E19" s="209"/>
      <c r="F19" s="209"/>
      <c r="G19" s="209"/>
      <c r="H19" s="210" t="s">
        <v>3726</v>
      </c>
      <c r="I19" s="210"/>
      <c r="J19" s="211"/>
      <c r="K19" s="210"/>
      <c r="L19" s="212" t="s">
        <v>2999</v>
      </c>
      <c r="M19" s="212" t="s">
        <v>2999</v>
      </c>
      <c r="N19" s="213"/>
      <c r="O19" s="212">
        <v>4590007575</v>
      </c>
      <c r="P19" s="214">
        <v>44855</v>
      </c>
      <c r="Q19" s="334">
        <v>1</v>
      </c>
      <c r="R19" s="216">
        <v>262952</v>
      </c>
      <c r="S19" s="217" t="s">
        <v>2156</v>
      </c>
      <c r="T19" s="209" t="s">
        <v>3713</v>
      </c>
      <c r="U19" s="209" t="s">
        <v>3714</v>
      </c>
      <c r="V19" s="213" t="s">
        <v>3715</v>
      </c>
      <c r="W19" s="218" t="s">
        <v>3652</v>
      </c>
      <c r="X19" s="218" t="s">
        <v>3652</v>
      </c>
      <c r="Y19" s="212" t="s">
        <v>3727</v>
      </c>
      <c r="Z19" s="209" t="s">
        <v>3716</v>
      </c>
      <c r="AA19" s="215"/>
      <c r="AB19" s="218"/>
      <c r="AC19" s="217" t="e">
        <v>#N/A</v>
      </c>
      <c r="AD19" s="217">
        <v>91357</v>
      </c>
      <c r="AE19" s="217" t="s">
        <v>3728</v>
      </c>
      <c r="AF19" s="217" t="s">
        <v>3718</v>
      </c>
      <c r="AG19" s="217" t="s">
        <v>3719</v>
      </c>
      <c r="AH19" s="220">
        <f t="shared" si="0"/>
        <v>4590007575</v>
      </c>
      <c r="AI19" s="208"/>
      <c r="AJ19" s="220"/>
      <c r="AK19" s="221"/>
      <c r="AL19" s="227"/>
      <c r="AM19" s="208"/>
      <c r="AN19" s="220"/>
      <c r="AO19" s="222"/>
      <c r="AP19" s="227"/>
      <c r="AQ19" s="358">
        <f ca="1">IF(表格1[[#This Row],[PO$]]="","100%",表格1[[#This Row],[total amount]]/表格1[[#This Row],[PO$]])</f>
        <v>0</v>
      </c>
      <c r="AR19" s="223">
        <f ca="1">表格1[[#This Row],[invoice amount]]+表格1[[#This Row],[invoice amount2]]</f>
        <v>0</v>
      </c>
      <c r="AS19" s="224"/>
      <c r="AT19" s="208"/>
      <c r="AU19" s="208" t="e">
        <f ca="1">VLOOKUP(表格1[[#This Row],[PO+ITEM]],#REF!,2,FALSE)</f>
        <v>#REF!</v>
      </c>
      <c r="AV19" s="341" t="e">
        <f ca="1">VLOOKUP(表格1[[#This Row],[PO+ITEM]],#REF!,3,FALSE)</f>
        <v>#REF!</v>
      </c>
      <c r="AW19" s="208" t="e">
        <f ca="1">VLOOKUP(表格1[[#This Row],[PO+ITEM]],#REF!,4,FALSE)</f>
        <v>#REF!</v>
      </c>
      <c r="AX19" s="208" t="e" cm="1" vm="1">
        <f t="array" aca="1" ref="AX19" ca="1">VLOOKUP(AI:AI,#REF!,1,FALSE)</f>
        <v>#VALUE!</v>
      </c>
    </row>
    <row r="20" spans="1:50" ht="15.6">
      <c r="A20" s="220">
        <v>19</v>
      </c>
      <c r="B20" s="220" t="s">
        <v>3674</v>
      </c>
      <c r="C20" s="209" t="s">
        <v>17</v>
      </c>
      <c r="D20" s="209" t="s">
        <v>3648</v>
      </c>
      <c r="E20" s="209"/>
      <c r="F20" s="209"/>
      <c r="G20" s="209"/>
      <c r="H20" s="210" t="s">
        <v>3729</v>
      </c>
      <c r="I20" s="210"/>
      <c r="J20" s="211"/>
      <c r="K20" s="210"/>
      <c r="L20" s="212" t="s">
        <v>2999</v>
      </c>
      <c r="M20" s="212" t="s">
        <v>2999</v>
      </c>
      <c r="N20" s="213"/>
      <c r="O20" s="212">
        <v>4590007576</v>
      </c>
      <c r="P20" s="214">
        <v>44855</v>
      </c>
      <c r="Q20" s="334">
        <v>1</v>
      </c>
      <c r="R20" s="216">
        <v>282006</v>
      </c>
      <c r="S20" s="217" t="s">
        <v>2156</v>
      </c>
      <c r="T20" s="209" t="s">
        <v>3713</v>
      </c>
      <c r="U20" s="209" t="s">
        <v>3714</v>
      </c>
      <c r="V20" s="213" t="s">
        <v>3715</v>
      </c>
      <c r="W20" s="218" t="s">
        <v>3652</v>
      </c>
      <c r="X20" s="218" t="s">
        <v>3652</v>
      </c>
      <c r="Y20" s="212">
        <v>0</v>
      </c>
      <c r="Z20" s="209" t="s">
        <v>3716</v>
      </c>
      <c r="AA20" s="215"/>
      <c r="AB20" s="218"/>
      <c r="AC20" s="217" t="e">
        <v>#N/A</v>
      </c>
      <c r="AD20" s="217">
        <v>90420</v>
      </c>
      <c r="AE20" s="217" t="s">
        <v>3730</v>
      </c>
      <c r="AF20" s="217" t="s">
        <v>3718</v>
      </c>
      <c r="AG20" s="217" t="s">
        <v>3719</v>
      </c>
      <c r="AH20" s="220">
        <f t="shared" si="0"/>
        <v>4590007576</v>
      </c>
      <c r="AI20" s="208"/>
      <c r="AJ20" s="225">
        <v>45261</v>
      </c>
      <c r="AK20" s="221">
        <v>267905.7</v>
      </c>
      <c r="AL20" s="228">
        <v>45303</v>
      </c>
      <c r="AM20" s="208"/>
      <c r="AN20" s="220"/>
      <c r="AO20" s="222"/>
      <c r="AP20" s="227"/>
      <c r="AQ20" s="358">
        <f ca="1">IF(表格1[[#This Row],[PO$]]="","100%",表格1[[#This Row],[total amount]]/表格1[[#This Row],[PO$]])</f>
        <v>0.95000000000000007</v>
      </c>
      <c r="AR20" s="223">
        <f ca="1">表格1[[#This Row],[invoice amount]]+表格1[[#This Row],[invoice amount2]]</f>
        <v>267905.7</v>
      </c>
      <c r="AS20" s="224" t="s">
        <v>3673</v>
      </c>
      <c r="AT20" s="208"/>
      <c r="AU20" s="208" t="e">
        <f ca="1">VLOOKUP(表格1[[#This Row],[PO+ITEM]],#REF!,2,FALSE)</f>
        <v>#REF!</v>
      </c>
      <c r="AV20" s="341" t="e">
        <f ca="1">VLOOKUP(表格1[[#This Row],[PO+ITEM]],#REF!,3,FALSE)</f>
        <v>#REF!</v>
      </c>
      <c r="AW20" s="208" t="e">
        <f ca="1">VLOOKUP(表格1[[#This Row],[PO+ITEM]],#REF!,4,FALSE)</f>
        <v>#REF!</v>
      </c>
      <c r="AX20" s="208" t="e" cm="1" vm="1">
        <f t="array" aca="1" ref="AX20" ca="1">VLOOKUP(AI:AI,#REF!,1,FALSE)</f>
        <v>#VALUE!</v>
      </c>
    </row>
    <row r="21" spans="1:50">
      <c r="A21" s="220">
        <v>20</v>
      </c>
      <c r="B21" s="220" t="s">
        <v>3674</v>
      </c>
      <c r="C21" s="209" t="s">
        <v>17</v>
      </c>
      <c r="D21" s="209" t="s">
        <v>3648</v>
      </c>
      <c r="E21" s="209"/>
      <c r="F21" s="209"/>
      <c r="G21" s="209"/>
      <c r="H21" s="210" t="s">
        <v>3732</v>
      </c>
      <c r="I21" s="210"/>
      <c r="J21" s="211"/>
      <c r="K21" s="210"/>
      <c r="L21" s="212" t="s">
        <v>2999</v>
      </c>
      <c r="M21" s="212" t="s">
        <v>2999</v>
      </c>
      <c r="N21" s="213"/>
      <c r="O21" s="212">
        <v>4590007577</v>
      </c>
      <c r="P21" s="214">
        <v>44855</v>
      </c>
      <c r="Q21" s="334">
        <v>1</v>
      </c>
      <c r="R21" s="216">
        <v>282006</v>
      </c>
      <c r="S21" s="217" t="s">
        <v>2156</v>
      </c>
      <c r="T21" s="209" t="s">
        <v>3713</v>
      </c>
      <c r="U21" s="209" t="s">
        <v>3714</v>
      </c>
      <c r="V21" s="213" t="s">
        <v>3715</v>
      </c>
      <c r="W21" s="218" t="s">
        <v>3652</v>
      </c>
      <c r="X21" s="218" t="s">
        <v>3652</v>
      </c>
      <c r="Y21" s="212">
        <v>0</v>
      </c>
      <c r="Z21" s="209" t="s">
        <v>3716</v>
      </c>
      <c r="AA21" s="215"/>
      <c r="AB21" s="218"/>
      <c r="AC21" s="217" t="e">
        <v>#N/A</v>
      </c>
      <c r="AD21" s="217">
        <v>90419</v>
      </c>
      <c r="AE21" s="217" t="s">
        <v>3733</v>
      </c>
      <c r="AF21" s="217" t="s">
        <v>3718</v>
      </c>
      <c r="AG21" s="217" t="s">
        <v>3719</v>
      </c>
      <c r="AH21" s="220">
        <f t="shared" si="0"/>
        <v>4590007577</v>
      </c>
      <c r="AI21" s="208" t="s">
        <v>3734</v>
      </c>
      <c r="AJ21" s="227">
        <v>45429</v>
      </c>
      <c r="AK21" s="221">
        <v>282006</v>
      </c>
      <c r="AL21" s="227">
        <v>45503</v>
      </c>
      <c r="AM21" s="208"/>
      <c r="AN21" s="220"/>
      <c r="AO21" s="222"/>
      <c r="AP21" s="227"/>
      <c r="AQ21" s="358">
        <f ca="1">IF(表格1[[#This Row],[PO$]]="","100%",表格1[[#This Row],[total amount]]/表格1[[#This Row],[PO$]])</f>
        <v>1</v>
      </c>
      <c r="AR21" s="223">
        <f ca="1">表格1[[#This Row],[invoice amount]]+表格1[[#This Row],[invoice amount2]]</f>
        <v>282006</v>
      </c>
      <c r="AS21" s="224" t="s">
        <v>3725</v>
      </c>
      <c r="AT21" s="208"/>
      <c r="AU21" s="208" t="e">
        <f ca="1">VLOOKUP(表格1[[#This Row],[PO+ITEM]],#REF!,2,FALSE)</f>
        <v>#REF!</v>
      </c>
      <c r="AV21" s="341" t="e">
        <f ca="1">VLOOKUP(表格1[[#This Row],[PO+ITEM]],#REF!,3,FALSE)</f>
        <v>#REF!</v>
      </c>
      <c r="AW21" s="208" t="e">
        <f ca="1">VLOOKUP(表格1[[#This Row],[PO+ITEM]],#REF!,4,FALSE)</f>
        <v>#REF!</v>
      </c>
      <c r="AX21" s="208" t="e" cm="1" vm="1">
        <f t="array" aca="1" ref="AX21" ca="1">VLOOKUP(AI:AI,#REF!,1,FALSE)</f>
        <v>#VALUE!</v>
      </c>
    </row>
    <row r="22" spans="1:50">
      <c r="A22" s="220">
        <v>21</v>
      </c>
      <c r="B22" s="220" t="s">
        <v>3674</v>
      </c>
      <c r="C22" s="209" t="s">
        <v>17</v>
      </c>
      <c r="D22" s="209" t="s">
        <v>3648</v>
      </c>
      <c r="E22" s="209"/>
      <c r="F22" s="209"/>
      <c r="G22" s="209"/>
      <c r="H22" s="217" t="s">
        <v>3735</v>
      </c>
      <c r="I22" s="217"/>
      <c r="J22" s="215"/>
      <c r="K22" s="217"/>
      <c r="L22" s="212" t="s">
        <v>2999</v>
      </c>
      <c r="M22" s="212" t="s">
        <v>2999</v>
      </c>
      <c r="N22" s="213"/>
      <c r="O22" s="212">
        <v>4590007578</v>
      </c>
      <c r="P22" s="214">
        <v>44855</v>
      </c>
      <c r="Q22" s="334">
        <v>1</v>
      </c>
      <c r="R22" s="216">
        <v>282006</v>
      </c>
      <c r="S22" s="217" t="s">
        <v>2156</v>
      </c>
      <c r="T22" s="209" t="s">
        <v>3713</v>
      </c>
      <c r="U22" s="209" t="s">
        <v>3714</v>
      </c>
      <c r="V22" s="213" t="s">
        <v>3715</v>
      </c>
      <c r="W22" s="218" t="s">
        <v>3652</v>
      </c>
      <c r="X22" s="218" t="s">
        <v>3652</v>
      </c>
      <c r="Y22" s="212" t="s">
        <v>3727</v>
      </c>
      <c r="Z22" s="209" t="s">
        <v>3716</v>
      </c>
      <c r="AA22" s="215"/>
      <c r="AB22" s="218"/>
      <c r="AC22" s="217" t="e">
        <v>#N/A</v>
      </c>
      <c r="AD22" s="217">
        <v>90886</v>
      </c>
      <c r="AE22" s="217" t="s">
        <v>3736</v>
      </c>
      <c r="AF22" s="217" t="s">
        <v>3718</v>
      </c>
      <c r="AG22" s="217" t="s">
        <v>3719</v>
      </c>
      <c r="AH22" s="220">
        <f t="shared" si="0"/>
        <v>4590007578</v>
      </c>
      <c r="AI22" s="208" t="s">
        <v>3737</v>
      </c>
      <c r="AJ22" s="227">
        <v>45401</v>
      </c>
      <c r="AK22" s="221">
        <v>282006</v>
      </c>
      <c r="AL22" s="227">
        <v>45471</v>
      </c>
      <c r="AM22" s="208"/>
      <c r="AN22" s="220"/>
      <c r="AO22" s="222"/>
      <c r="AP22" s="227"/>
      <c r="AQ22" s="358">
        <f ca="1">IF(表格1[[#This Row],[PO$]]="","100%",表格1[[#This Row],[total amount]]/表格1[[#This Row],[PO$]])</f>
        <v>1</v>
      </c>
      <c r="AR22" s="223">
        <f ca="1">表格1[[#This Row],[invoice amount]]+表格1[[#This Row],[invoice amount2]]</f>
        <v>282006</v>
      </c>
      <c r="AS22" s="224" t="s">
        <v>3673</v>
      </c>
      <c r="AT22" s="208"/>
      <c r="AU22" s="208" t="e">
        <f ca="1">VLOOKUP(表格1[[#This Row],[PO+ITEM]],#REF!,2,FALSE)</f>
        <v>#REF!</v>
      </c>
      <c r="AV22" s="341" t="e">
        <f ca="1">VLOOKUP(表格1[[#This Row],[PO+ITEM]],#REF!,3,FALSE)</f>
        <v>#REF!</v>
      </c>
      <c r="AW22" s="208" t="e">
        <f ca="1">VLOOKUP(表格1[[#This Row],[PO+ITEM]],#REF!,4,FALSE)</f>
        <v>#REF!</v>
      </c>
      <c r="AX22" s="208" t="e" cm="1" vm="1">
        <f t="array" aca="1" ref="AX22" ca="1">VLOOKUP(AI:AI,#REF!,1,FALSE)</f>
        <v>#VALUE!</v>
      </c>
    </row>
    <row r="23" spans="1:50">
      <c r="A23" s="220">
        <v>22</v>
      </c>
      <c r="B23" s="220" t="s">
        <v>3674</v>
      </c>
      <c r="C23" s="209" t="s">
        <v>17</v>
      </c>
      <c r="D23" s="209" t="s">
        <v>3648</v>
      </c>
      <c r="E23" s="209"/>
      <c r="F23" s="209"/>
      <c r="G23" s="209"/>
      <c r="H23" s="210" t="s">
        <v>3738</v>
      </c>
      <c r="I23" s="210"/>
      <c r="J23" s="211"/>
      <c r="K23" s="210"/>
      <c r="L23" s="212" t="s">
        <v>2999</v>
      </c>
      <c r="M23" s="212" t="s">
        <v>2999</v>
      </c>
      <c r="N23" s="213"/>
      <c r="O23" s="212">
        <v>4590007579</v>
      </c>
      <c r="P23" s="214">
        <v>44855</v>
      </c>
      <c r="Q23" s="334">
        <v>1</v>
      </c>
      <c r="R23" s="216">
        <v>282006</v>
      </c>
      <c r="S23" s="217" t="s">
        <v>2156</v>
      </c>
      <c r="T23" s="209" t="s">
        <v>3713</v>
      </c>
      <c r="U23" s="209" t="s">
        <v>3714</v>
      </c>
      <c r="V23" s="213" t="s">
        <v>3715</v>
      </c>
      <c r="W23" s="218" t="s">
        <v>3652</v>
      </c>
      <c r="X23" s="218" t="s">
        <v>3652</v>
      </c>
      <c r="Y23" s="212">
        <v>0</v>
      </c>
      <c r="Z23" s="209" t="s">
        <v>3716</v>
      </c>
      <c r="AA23" s="215"/>
      <c r="AB23" s="218"/>
      <c r="AC23" s="217" t="e">
        <v>#N/A</v>
      </c>
      <c r="AD23" s="217">
        <v>90887</v>
      </c>
      <c r="AE23" s="217" t="s">
        <v>3739</v>
      </c>
      <c r="AF23" s="217" t="s">
        <v>3718</v>
      </c>
      <c r="AG23" s="217" t="s">
        <v>3719</v>
      </c>
      <c r="AH23" s="220">
        <f t="shared" si="0"/>
        <v>4590007579</v>
      </c>
      <c r="AI23" s="208" t="s">
        <v>3740</v>
      </c>
      <c r="AJ23" s="363">
        <v>45498</v>
      </c>
      <c r="AK23" s="221">
        <v>282006</v>
      </c>
      <c r="AL23" s="227"/>
      <c r="AM23" s="208"/>
      <c r="AN23" s="220"/>
      <c r="AO23" s="222"/>
      <c r="AP23" s="227"/>
      <c r="AQ23" s="358">
        <f ca="1">IF(表格1[[#This Row],[PO$]]="","100%",表格1[[#This Row],[total amount]]/表格1[[#This Row],[PO$]])</f>
        <v>1</v>
      </c>
      <c r="AR23" s="223">
        <f ca="1">表格1[[#This Row],[invoice amount]]+表格1[[#This Row],[invoice amount2]]</f>
        <v>282006</v>
      </c>
      <c r="AS23" s="224" t="s">
        <v>3752</v>
      </c>
      <c r="AT23" s="208"/>
      <c r="AU23" s="208" t="e">
        <f ca="1">VLOOKUP(表格1[[#This Row],[PO+ITEM]],#REF!,2,FALSE)</f>
        <v>#REF!</v>
      </c>
      <c r="AV23" s="341" t="e">
        <f ca="1">VLOOKUP(表格1[[#This Row],[PO+ITEM]],#REF!,3,FALSE)</f>
        <v>#REF!</v>
      </c>
      <c r="AW23" s="208" t="e">
        <f ca="1">VLOOKUP(表格1[[#This Row],[PO+ITEM]],#REF!,4,FALSE)</f>
        <v>#REF!</v>
      </c>
      <c r="AX23" s="208" t="e" cm="1" vm="1">
        <f t="array" aca="1" ref="AX23" ca="1">VLOOKUP(AI:AI,#REF!,1,FALSE)</f>
        <v>#VALUE!</v>
      </c>
    </row>
    <row r="24" spans="1:50">
      <c r="A24" s="220">
        <v>23</v>
      </c>
      <c r="B24" s="220" t="s">
        <v>3674</v>
      </c>
      <c r="C24" s="209" t="s">
        <v>17</v>
      </c>
      <c r="D24" s="209" t="s">
        <v>3648</v>
      </c>
      <c r="E24" s="209"/>
      <c r="F24" s="209"/>
      <c r="G24" s="209"/>
      <c r="H24" s="210" t="s">
        <v>3741</v>
      </c>
      <c r="I24" s="210"/>
      <c r="J24" s="211"/>
      <c r="K24" s="210"/>
      <c r="L24" s="212" t="s">
        <v>2999</v>
      </c>
      <c r="M24" s="212" t="s">
        <v>2999</v>
      </c>
      <c r="N24" s="213"/>
      <c r="O24" s="212">
        <v>4590007580</v>
      </c>
      <c r="P24" s="214">
        <v>44855</v>
      </c>
      <c r="Q24" s="334">
        <v>1</v>
      </c>
      <c r="R24" s="216">
        <v>282006</v>
      </c>
      <c r="S24" s="217" t="s">
        <v>2156</v>
      </c>
      <c r="T24" s="209" t="s">
        <v>3713</v>
      </c>
      <c r="U24" s="209" t="s">
        <v>3714</v>
      </c>
      <c r="V24" s="213" t="s">
        <v>3715</v>
      </c>
      <c r="W24" s="218" t="s">
        <v>3652</v>
      </c>
      <c r="X24" s="218" t="s">
        <v>3652</v>
      </c>
      <c r="Y24" s="212">
        <v>0</v>
      </c>
      <c r="Z24" s="209" t="s">
        <v>3716</v>
      </c>
      <c r="AA24" s="215"/>
      <c r="AB24" s="218"/>
      <c r="AC24" s="217" t="e">
        <v>#N/A</v>
      </c>
      <c r="AD24" s="217">
        <v>90888</v>
      </c>
      <c r="AE24" s="217" t="s">
        <v>3742</v>
      </c>
      <c r="AF24" s="217" t="s">
        <v>3718</v>
      </c>
      <c r="AG24" s="217" t="s">
        <v>3719</v>
      </c>
      <c r="AH24" s="220">
        <f t="shared" si="0"/>
        <v>4590007580</v>
      </c>
      <c r="AI24" s="208" t="s">
        <v>3743</v>
      </c>
      <c r="AJ24" s="363">
        <v>45498</v>
      </c>
      <c r="AK24" s="221">
        <v>282006</v>
      </c>
      <c r="AL24" s="227"/>
      <c r="AM24" s="208"/>
      <c r="AN24" s="220"/>
      <c r="AO24" s="222"/>
      <c r="AP24" s="227"/>
      <c r="AQ24" s="358">
        <f ca="1">IF(表格1[[#This Row],[PO$]]="","100%",表格1[[#This Row],[total amount]]/表格1[[#This Row],[PO$]])</f>
        <v>1</v>
      </c>
      <c r="AR24" s="223">
        <f ca="1">表格1[[#This Row],[invoice amount]]+表格1[[#This Row],[invoice amount2]]</f>
        <v>282006</v>
      </c>
      <c r="AS24" s="224" t="s">
        <v>3752</v>
      </c>
      <c r="AT24" s="208"/>
      <c r="AU24" s="208" t="e">
        <f ca="1">VLOOKUP(表格1[[#This Row],[PO+ITEM]],#REF!,2,FALSE)</f>
        <v>#REF!</v>
      </c>
      <c r="AV24" s="341" t="e">
        <f ca="1">VLOOKUP(表格1[[#This Row],[PO+ITEM]],#REF!,3,FALSE)</f>
        <v>#REF!</v>
      </c>
      <c r="AW24" s="208" t="e">
        <f ca="1">VLOOKUP(表格1[[#This Row],[PO+ITEM]],#REF!,4,FALSE)</f>
        <v>#REF!</v>
      </c>
      <c r="AX24" s="208" t="e" cm="1" vm="1">
        <f t="array" aca="1" ref="AX24" ca="1">VLOOKUP(AI:AI,#REF!,1,FALSE)</f>
        <v>#VALUE!</v>
      </c>
    </row>
    <row r="25" spans="1:50">
      <c r="A25" s="220">
        <v>24</v>
      </c>
      <c r="B25" s="220" t="s">
        <v>3674</v>
      </c>
      <c r="C25" s="209" t="s">
        <v>17</v>
      </c>
      <c r="D25" s="209" t="s">
        <v>3648</v>
      </c>
      <c r="E25" s="209"/>
      <c r="F25" s="209"/>
      <c r="G25" s="209"/>
      <c r="H25" s="210" t="s">
        <v>3744</v>
      </c>
      <c r="I25" s="210"/>
      <c r="J25" s="211"/>
      <c r="K25" s="210"/>
      <c r="L25" s="212" t="s">
        <v>2999</v>
      </c>
      <c r="M25" s="212" t="s">
        <v>2999</v>
      </c>
      <c r="N25" s="213"/>
      <c r="O25" s="229">
        <v>4590007581</v>
      </c>
      <c r="P25" s="214">
        <v>44855</v>
      </c>
      <c r="Q25" s="334">
        <v>1</v>
      </c>
      <c r="R25" s="216">
        <v>282006</v>
      </c>
      <c r="S25" s="217" t="s">
        <v>2156</v>
      </c>
      <c r="T25" s="209" t="s">
        <v>3713</v>
      </c>
      <c r="U25" s="209" t="s">
        <v>3714</v>
      </c>
      <c r="V25" s="213" t="s">
        <v>3715</v>
      </c>
      <c r="W25" s="218" t="s">
        <v>3652</v>
      </c>
      <c r="X25" s="218" t="s">
        <v>3652</v>
      </c>
      <c r="Y25" s="212">
        <v>0</v>
      </c>
      <c r="Z25" s="209" t="s">
        <v>3716</v>
      </c>
      <c r="AA25" s="215"/>
      <c r="AB25" s="218"/>
      <c r="AC25" s="217" t="e">
        <v>#N/A</v>
      </c>
      <c r="AD25" s="217">
        <v>91342</v>
      </c>
      <c r="AE25" s="217" t="s">
        <v>3745</v>
      </c>
      <c r="AF25" s="217" t="s">
        <v>3718</v>
      </c>
      <c r="AG25" s="217" t="s">
        <v>3719</v>
      </c>
      <c r="AH25" s="220">
        <f t="shared" si="0"/>
        <v>4590007581</v>
      </c>
      <c r="AI25" s="208"/>
      <c r="AJ25" s="220"/>
      <c r="AK25" s="221"/>
      <c r="AL25" s="227"/>
      <c r="AM25" s="208"/>
      <c r="AN25" s="220"/>
      <c r="AO25" s="222"/>
      <c r="AP25" s="227"/>
      <c r="AQ25" s="358">
        <f ca="1">IF(表格1[[#This Row],[PO$]]="","100%",表格1[[#This Row],[total amount]]/表格1[[#This Row],[PO$]])</f>
        <v>0</v>
      </c>
      <c r="AR25" s="223">
        <f ca="1">表格1[[#This Row],[invoice amount]]+表格1[[#This Row],[invoice amount2]]</f>
        <v>0</v>
      </c>
      <c r="AS25" s="224"/>
      <c r="AT25" s="208"/>
      <c r="AU25" s="208" t="e">
        <f ca="1">VLOOKUP(表格1[[#This Row],[PO+ITEM]],#REF!,2,FALSE)</f>
        <v>#REF!</v>
      </c>
      <c r="AV25" s="341" t="e">
        <f ca="1">VLOOKUP(表格1[[#This Row],[PO+ITEM]],#REF!,3,FALSE)</f>
        <v>#REF!</v>
      </c>
      <c r="AW25" s="208" t="e">
        <f ca="1">VLOOKUP(表格1[[#This Row],[PO+ITEM]],#REF!,4,FALSE)</f>
        <v>#REF!</v>
      </c>
      <c r="AX25" s="208" t="e" cm="1" vm="1">
        <f t="array" aca="1" ref="AX25" ca="1">VLOOKUP(AI:AI,#REF!,1,FALSE)</f>
        <v>#VALUE!</v>
      </c>
    </row>
    <row r="26" spans="1:50">
      <c r="A26" s="220">
        <v>25</v>
      </c>
      <c r="B26" s="220" t="s">
        <v>3674</v>
      </c>
      <c r="C26" s="209" t="s">
        <v>17</v>
      </c>
      <c r="D26" s="209" t="s">
        <v>3648</v>
      </c>
      <c r="E26" s="209"/>
      <c r="F26" s="209"/>
      <c r="G26" s="209"/>
      <c r="H26" s="210" t="s">
        <v>3746</v>
      </c>
      <c r="I26" s="210"/>
      <c r="J26" s="211"/>
      <c r="K26" s="210"/>
      <c r="L26" s="212" t="s">
        <v>2999</v>
      </c>
      <c r="M26" s="212" t="s">
        <v>2999</v>
      </c>
      <c r="N26" s="213"/>
      <c r="O26" s="212">
        <v>4590007582</v>
      </c>
      <c r="P26" s="214">
        <v>44855</v>
      </c>
      <c r="Q26" s="334">
        <v>1</v>
      </c>
      <c r="R26" s="216">
        <v>282006</v>
      </c>
      <c r="S26" s="217" t="s">
        <v>2156</v>
      </c>
      <c r="T26" s="209" t="s">
        <v>3713</v>
      </c>
      <c r="U26" s="209" t="s">
        <v>3714</v>
      </c>
      <c r="V26" s="213" t="s">
        <v>3715</v>
      </c>
      <c r="W26" s="218" t="s">
        <v>3652</v>
      </c>
      <c r="X26" s="218" t="s">
        <v>3652</v>
      </c>
      <c r="Y26" s="212">
        <v>0</v>
      </c>
      <c r="Z26" s="209" t="s">
        <v>3716</v>
      </c>
      <c r="AA26" s="215"/>
      <c r="AB26" s="218"/>
      <c r="AC26" s="217" t="e">
        <v>#N/A</v>
      </c>
      <c r="AD26" s="217">
        <v>91356</v>
      </c>
      <c r="AE26" s="217" t="s">
        <v>3747</v>
      </c>
      <c r="AF26" s="217" t="s">
        <v>3718</v>
      </c>
      <c r="AG26" s="217" t="s">
        <v>3719</v>
      </c>
      <c r="AH26" s="220">
        <f t="shared" si="0"/>
        <v>4590007582</v>
      </c>
      <c r="AI26" s="208"/>
      <c r="AJ26" s="220"/>
      <c r="AK26" s="221"/>
      <c r="AL26" s="227"/>
      <c r="AM26" s="208"/>
      <c r="AN26" s="220"/>
      <c r="AO26" s="222"/>
      <c r="AP26" s="227"/>
      <c r="AQ26" s="358">
        <f ca="1">IF(表格1[[#This Row],[PO$]]="","100%",表格1[[#This Row],[total amount]]/表格1[[#This Row],[PO$]])</f>
        <v>0</v>
      </c>
      <c r="AR26" s="223">
        <f ca="1">表格1[[#This Row],[invoice amount]]+表格1[[#This Row],[invoice amount2]]</f>
        <v>0</v>
      </c>
      <c r="AS26" s="224"/>
      <c r="AT26" s="208"/>
      <c r="AU26" s="208" t="e">
        <f ca="1">VLOOKUP(表格1[[#This Row],[PO+ITEM]],#REF!,2,FALSE)</f>
        <v>#REF!</v>
      </c>
      <c r="AV26" s="341" t="e">
        <f ca="1">VLOOKUP(表格1[[#This Row],[PO+ITEM]],#REF!,3,FALSE)</f>
        <v>#REF!</v>
      </c>
      <c r="AW26" s="208" t="e">
        <f ca="1">VLOOKUP(表格1[[#This Row],[PO+ITEM]],#REF!,4,FALSE)</f>
        <v>#REF!</v>
      </c>
      <c r="AX26" s="208" t="e" cm="1" vm="1">
        <f t="array" aca="1" ref="AX26" ca="1">VLOOKUP(AI:AI,#REF!,1,FALSE)</f>
        <v>#VALUE!</v>
      </c>
    </row>
    <row r="27" spans="1:50">
      <c r="A27" s="220">
        <v>26</v>
      </c>
      <c r="B27" s="220" t="s">
        <v>3659</v>
      </c>
      <c r="C27" s="209" t="s">
        <v>17</v>
      </c>
      <c r="D27" s="209" t="s">
        <v>3648</v>
      </c>
      <c r="E27" s="209"/>
      <c r="F27" s="209"/>
      <c r="G27" s="209"/>
      <c r="H27" s="210" t="s">
        <v>3749</v>
      </c>
      <c r="I27" s="210"/>
      <c r="J27" s="211"/>
      <c r="K27" s="210"/>
      <c r="L27" s="212" t="s">
        <v>2999</v>
      </c>
      <c r="M27" s="212" t="s">
        <v>2999</v>
      </c>
      <c r="N27" s="213"/>
      <c r="O27" s="212">
        <v>4590007583</v>
      </c>
      <c r="P27" s="214">
        <v>44855</v>
      </c>
      <c r="Q27" s="334">
        <v>1</v>
      </c>
      <c r="R27" s="216">
        <v>207352</v>
      </c>
      <c r="S27" s="217" t="s">
        <v>2156</v>
      </c>
      <c r="T27" s="209" t="s">
        <v>3713</v>
      </c>
      <c r="U27" s="209" t="s">
        <v>3714</v>
      </c>
      <c r="V27" s="213" t="s">
        <v>3715</v>
      </c>
      <c r="W27" s="218" t="s">
        <v>3652</v>
      </c>
      <c r="X27" s="218" t="s">
        <v>3652</v>
      </c>
      <c r="Y27" s="212">
        <v>0</v>
      </c>
      <c r="Z27" s="209" t="s">
        <v>3716</v>
      </c>
      <c r="AA27" s="215"/>
      <c r="AB27" s="218"/>
      <c r="AC27" s="217" t="e">
        <v>#N/A</v>
      </c>
      <c r="AD27" s="217">
        <v>90893</v>
      </c>
      <c r="AE27" s="217" t="s">
        <v>3750</v>
      </c>
      <c r="AF27" s="217" t="s">
        <v>3718</v>
      </c>
      <c r="AG27" s="217" t="s">
        <v>3719</v>
      </c>
      <c r="AH27" s="220">
        <f t="shared" si="0"/>
        <v>4590007583</v>
      </c>
      <c r="AI27" s="208"/>
      <c r="AJ27" s="220"/>
      <c r="AK27" s="221"/>
      <c r="AL27" s="227"/>
      <c r="AM27" s="208"/>
      <c r="AN27" s="220"/>
      <c r="AO27" s="222"/>
      <c r="AP27" s="227"/>
      <c r="AQ27" s="358">
        <f ca="1">IF(表格1[[#This Row],[PO$]]="","100%",表格1[[#This Row],[total amount]]/表格1[[#This Row],[PO$]])</f>
        <v>0</v>
      </c>
      <c r="AR27" s="223">
        <f ca="1">表格1[[#This Row],[invoice amount]]+表格1[[#This Row],[invoice amount2]]</f>
        <v>0</v>
      </c>
      <c r="AS27" s="224"/>
      <c r="AT27" s="208"/>
      <c r="AU27" s="208" t="e">
        <f ca="1">VLOOKUP(表格1[[#This Row],[PO+ITEM]],#REF!,2,FALSE)</f>
        <v>#REF!</v>
      </c>
      <c r="AV27" s="341" t="e">
        <f ca="1">VLOOKUP(表格1[[#This Row],[PO+ITEM]],#REF!,3,FALSE)</f>
        <v>#REF!</v>
      </c>
      <c r="AW27" s="208" t="e">
        <f ca="1">VLOOKUP(表格1[[#This Row],[PO+ITEM]],#REF!,4,FALSE)</f>
        <v>#REF!</v>
      </c>
      <c r="AX27" s="208" t="e" cm="1" vm="1">
        <f t="array" aca="1" ref="AX27" ca="1">VLOOKUP(AI:AI,#REF!,1,FALSE)</f>
        <v>#VALUE!</v>
      </c>
    </row>
    <row r="28" spans="1:50" ht="15.6">
      <c r="A28" s="220">
        <v>27</v>
      </c>
      <c r="B28" s="220" t="s">
        <v>3674</v>
      </c>
      <c r="C28" s="209" t="s">
        <v>17</v>
      </c>
      <c r="D28" s="209" t="s">
        <v>3648</v>
      </c>
      <c r="E28" s="209"/>
      <c r="F28" s="209"/>
      <c r="G28" s="209"/>
      <c r="H28" s="217" t="s">
        <v>3753</v>
      </c>
      <c r="I28" s="217"/>
      <c r="J28" s="215"/>
      <c r="K28" s="217"/>
      <c r="L28" s="212" t="s">
        <v>2999</v>
      </c>
      <c r="M28" s="212" t="s">
        <v>2999</v>
      </c>
      <c r="N28" s="213"/>
      <c r="O28" s="212">
        <v>4590007584</v>
      </c>
      <c r="P28" s="214">
        <v>44855</v>
      </c>
      <c r="Q28" s="334">
        <v>1</v>
      </c>
      <c r="R28" s="216">
        <v>207352</v>
      </c>
      <c r="S28" s="217" t="s">
        <v>2156</v>
      </c>
      <c r="T28" s="209" t="s">
        <v>3713</v>
      </c>
      <c r="U28" s="209" t="s">
        <v>3714</v>
      </c>
      <c r="V28" s="213" t="s">
        <v>3715</v>
      </c>
      <c r="W28" s="218" t="s">
        <v>3652</v>
      </c>
      <c r="X28" s="218" t="s">
        <v>3652</v>
      </c>
      <c r="Y28" s="212" t="s">
        <v>3727</v>
      </c>
      <c r="Z28" s="209" t="s">
        <v>3716</v>
      </c>
      <c r="AA28" s="215"/>
      <c r="AB28" s="218"/>
      <c r="AC28" s="217" t="e">
        <v>#N/A</v>
      </c>
      <c r="AD28" s="217">
        <v>90427</v>
      </c>
      <c r="AE28" s="217" t="s">
        <v>3754</v>
      </c>
      <c r="AF28" s="217" t="s">
        <v>3718</v>
      </c>
      <c r="AG28" s="217" t="s">
        <v>3719</v>
      </c>
      <c r="AH28" s="220">
        <f t="shared" si="0"/>
        <v>4590007584</v>
      </c>
      <c r="AI28" s="208"/>
      <c r="AJ28" s="225">
        <v>45231</v>
      </c>
      <c r="AK28" s="221">
        <v>196984.4</v>
      </c>
      <c r="AL28" s="228">
        <v>45303</v>
      </c>
      <c r="AM28" s="208"/>
      <c r="AN28" s="220"/>
      <c r="AO28" s="222"/>
      <c r="AP28" s="227"/>
      <c r="AQ28" s="358">
        <f ca="1">IF(表格1[[#This Row],[PO$]]="","100%",表格1[[#This Row],[total amount]]/表格1[[#This Row],[PO$]])</f>
        <v>0.95</v>
      </c>
      <c r="AR28" s="223">
        <f ca="1">表格1[[#This Row],[invoice amount]]+表格1[[#This Row],[invoice amount2]]</f>
        <v>196984.4</v>
      </c>
      <c r="AS28" s="224" t="s">
        <v>3673</v>
      </c>
      <c r="AT28" s="208"/>
      <c r="AU28" s="208" t="e">
        <f ca="1">VLOOKUP(表格1[[#This Row],[PO+ITEM]],#REF!,2,FALSE)</f>
        <v>#REF!</v>
      </c>
      <c r="AV28" s="341" t="e">
        <f ca="1">VLOOKUP(表格1[[#This Row],[PO+ITEM]],#REF!,3,FALSE)</f>
        <v>#REF!</v>
      </c>
      <c r="AW28" s="208" t="e">
        <f ca="1">VLOOKUP(表格1[[#This Row],[PO+ITEM]],#REF!,4,FALSE)</f>
        <v>#REF!</v>
      </c>
      <c r="AX28" s="208" t="e" cm="1" vm="1">
        <f t="array" aca="1" ref="AX28" ca="1">VLOOKUP(AI:AI,#REF!,1,FALSE)</f>
        <v>#VALUE!</v>
      </c>
    </row>
    <row r="29" spans="1:50" ht="15.6">
      <c r="A29" s="220">
        <v>28</v>
      </c>
      <c r="B29" s="220" t="s">
        <v>3674</v>
      </c>
      <c r="C29" s="209" t="s">
        <v>17</v>
      </c>
      <c r="D29" s="209" t="s">
        <v>3648</v>
      </c>
      <c r="E29" s="209"/>
      <c r="F29" s="209"/>
      <c r="G29" s="209"/>
      <c r="H29" s="210" t="s">
        <v>3755</v>
      </c>
      <c r="I29" s="210"/>
      <c r="J29" s="211"/>
      <c r="K29" s="210"/>
      <c r="L29" s="212" t="s">
        <v>2999</v>
      </c>
      <c r="M29" s="212" t="s">
        <v>2999</v>
      </c>
      <c r="N29" s="213"/>
      <c r="O29" s="212">
        <v>4590007585</v>
      </c>
      <c r="P29" s="214">
        <v>44855</v>
      </c>
      <c r="Q29" s="334">
        <v>1</v>
      </c>
      <c r="R29" s="216">
        <v>152997</v>
      </c>
      <c r="S29" s="217" t="s">
        <v>2156</v>
      </c>
      <c r="T29" s="209" t="s">
        <v>3713</v>
      </c>
      <c r="U29" s="209" t="s">
        <v>3714</v>
      </c>
      <c r="V29" s="213" t="s">
        <v>3715</v>
      </c>
      <c r="W29" s="218" t="s">
        <v>3652</v>
      </c>
      <c r="X29" s="218" t="s">
        <v>3652</v>
      </c>
      <c r="Y29" s="212">
        <v>0</v>
      </c>
      <c r="Z29" s="209" t="s">
        <v>3716</v>
      </c>
      <c r="AA29" s="215"/>
      <c r="AB29" s="218"/>
      <c r="AC29" s="217" t="e">
        <v>#N/A</v>
      </c>
      <c r="AD29" s="217">
        <v>90426</v>
      </c>
      <c r="AE29" s="217" t="s">
        <v>3756</v>
      </c>
      <c r="AF29" s="217" t="s">
        <v>3718</v>
      </c>
      <c r="AG29" s="217" t="s">
        <v>3719</v>
      </c>
      <c r="AH29" s="220">
        <f t="shared" si="0"/>
        <v>4590007585</v>
      </c>
      <c r="AI29" s="208"/>
      <c r="AJ29" s="225">
        <v>45231</v>
      </c>
      <c r="AK29" s="221">
        <v>145347.15</v>
      </c>
      <c r="AL29" s="228">
        <v>45303</v>
      </c>
      <c r="AM29" s="208"/>
      <c r="AN29" s="220"/>
      <c r="AO29" s="222"/>
      <c r="AP29" s="227"/>
      <c r="AQ29" s="358">
        <f ca="1">IF(表格1[[#This Row],[PO$]]="","100%",表格1[[#This Row],[total amount]]/表格1[[#This Row],[PO$]])</f>
        <v>0.95</v>
      </c>
      <c r="AR29" s="223">
        <f ca="1">表格1[[#This Row],[invoice amount]]+表格1[[#This Row],[invoice amount2]]</f>
        <v>145347.15</v>
      </c>
      <c r="AS29" s="224" t="s">
        <v>3673</v>
      </c>
      <c r="AT29" s="208"/>
      <c r="AU29" s="208" t="e">
        <f ca="1">VLOOKUP(表格1[[#This Row],[PO+ITEM]],#REF!,2,FALSE)</f>
        <v>#REF!</v>
      </c>
      <c r="AV29" s="341" t="e">
        <f ca="1">VLOOKUP(表格1[[#This Row],[PO+ITEM]],#REF!,3,FALSE)</f>
        <v>#REF!</v>
      </c>
      <c r="AW29" s="208" t="e">
        <f ca="1">VLOOKUP(表格1[[#This Row],[PO+ITEM]],#REF!,4,FALSE)</f>
        <v>#REF!</v>
      </c>
      <c r="AX29" s="208" t="e" cm="1" vm="1">
        <f t="array" aca="1" ref="AX29" ca="1">VLOOKUP(AI:AI,#REF!,1,FALSE)</f>
        <v>#VALUE!</v>
      </c>
    </row>
    <row r="30" spans="1:50">
      <c r="A30" s="220">
        <v>29</v>
      </c>
      <c r="B30" s="220" t="s">
        <v>3659</v>
      </c>
      <c r="C30" s="209" t="s">
        <v>17</v>
      </c>
      <c r="D30" s="209" t="s">
        <v>3648</v>
      </c>
      <c r="E30" s="209"/>
      <c r="F30" s="209"/>
      <c r="G30" s="209"/>
      <c r="H30" s="210" t="s">
        <v>3757</v>
      </c>
      <c r="I30" s="210"/>
      <c r="J30" s="211"/>
      <c r="K30" s="210"/>
      <c r="L30" s="212" t="s">
        <v>2999</v>
      </c>
      <c r="M30" s="212" t="s">
        <v>2999</v>
      </c>
      <c r="N30" s="213"/>
      <c r="O30" s="212">
        <v>4590007586</v>
      </c>
      <c r="P30" s="214">
        <v>44855</v>
      </c>
      <c r="Q30" s="334">
        <v>1</v>
      </c>
      <c r="R30" s="216">
        <v>152997</v>
      </c>
      <c r="S30" s="217" t="s">
        <v>2156</v>
      </c>
      <c r="T30" s="209" t="s">
        <v>3713</v>
      </c>
      <c r="U30" s="209" t="s">
        <v>3714</v>
      </c>
      <c r="V30" s="213" t="s">
        <v>3715</v>
      </c>
      <c r="W30" s="218" t="s">
        <v>3652</v>
      </c>
      <c r="X30" s="218" t="s">
        <v>3652</v>
      </c>
      <c r="Y30" s="212">
        <v>0</v>
      </c>
      <c r="Z30" s="209" t="s">
        <v>3716</v>
      </c>
      <c r="AA30" s="215"/>
      <c r="AB30" s="218"/>
      <c r="AC30" s="217" t="e">
        <v>#N/A</v>
      </c>
      <c r="AD30" s="217">
        <v>91288</v>
      </c>
      <c r="AE30" s="217" t="s">
        <v>3758</v>
      </c>
      <c r="AF30" s="217" t="s">
        <v>3718</v>
      </c>
      <c r="AG30" s="217" t="s">
        <v>3719</v>
      </c>
      <c r="AH30" s="220">
        <f t="shared" si="0"/>
        <v>4590007586</v>
      </c>
      <c r="AI30" s="208"/>
      <c r="AJ30" s="220"/>
      <c r="AK30" s="221"/>
      <c r="AL30" s="227"/>
      <c r="AM30" s="208"/>
      <c r="AN30" s="220"/>
      <c r="AO30" s="222"/>
      <c r="AP30" s="227"/>
      <c r="AQ30" s="358">
        <f ca="1">IF(表格1[[#This Row],[PO$]]="","100%",表格1[[#This Row],[total amount]]/表格1[[#This Row],[PO$]])</f>
        <v>0</v>
      </c>
      <c r="AR30" s="223">
        <f ca="1">表格1[[#This Row],[invoice amount]]+表格1[[#This Row],[invoice amount2]]</f>
        <v>0</v>
      </c>
      <c r="AS30" s="224"/>
      <c r="AT30" s="208"/>
      <c r="AU30" s="208" t="e">
        <f ca="1">VLOOKUP(表格1[[#This Row],[PO+ITEM]],#REF!,2,FALSE)</f>
        <v>#REF!</v>
      </c>
      <c r="AV30" s="341" t="e">
        <f ca="1">VLOOKUP(表格1[[#This Row],[PO+ITEM]],#REF!,3,FALSE)</f>
        <v>#REF!</v>
      </c>
      <c r="AW30" s="208" t="e">
        <f ca="1">VLOOKUP(表格1[[#This Row],[PO+ITEM]],#REF!,4,FALSE)</f>
        <v>#REF!</v>
      </c>
      <c r="AX30" s="208" t="e" cm="1" vm="1">
        <f t="array" aca="1" ref="AX30" ca="1">VLOOKUP(AI:AI,#REF!,1,FALSE)</f>
        <v>#VALUE!</v>
      </c>
    </row>
    <row r="31" spans="1:50">
      <c r="A31" s="220">
        <v>30</v>
      </c>
      <c r="B31" s="220" t="s">
        <v>3659</v>
      </c>
      <c r="C31" s="209" t="s">
        <v>17</v>
      </c>
      <c r="D31" s="209" t="s">
        <v>3648</v>
      </c>
      <c r="E31" s="209"/>
      <c r="F31" s="209"/>
      <c r="G31" s="209"/>
      <c r="H31" s="210" t="s">
        <v>3759</v>
      </c>
      <c r="I31" s="210"/>
      <c r="J31" s="211"/>
      <c r="K31" s="210"/>
      <c r="L31" s="212" t="s">
        <v>2999</v>
      </c>
      <c r="M31" s="212" t="s">
        <v>2999</v>
      </c>
      <c r="N31" s="213"/>
      <c r="O31" s="212">
        <v>4590007587</v>
      </c>
      <c r="P31" s="214">
        <v>44855</v>
      </c>
      <c r="Q31" s="334">
        <v>1</v>
      </c>
      <c r="R31" s="216">
        <v>263416</v>
      </c>
      <c r="S31" s="217" t="s">
        <v>2156</v>
      </c>
      <c r="T31" s="209" t="s">
        <v>3713</v>
      </c>
      <c r="U31" s="209" t="s">
        <v>3714</v>
      </c>
      <c r="V31" s="213" t="s">
        <v>3715</v>
      </c>
      <c r="W31" s="218" t="s">
        <v>3652</v>
      </c>
      <c r="X31" s="218" t="s">
        <v>3652</v>
      </c>
      <c r="Y31" s="212">
        <v>0</v>
      </c>
      <c r="Z31" s="209" t="s">
        <v>3716</v>
      </c>
      <c r="AA31" s="215"/>
      <c r="AB31" s="218"/>
      <c r="AC31" s="217" t="e">
        <v>#N/A</v>
      </c>
      <c r="AD31" s="217">
        <v>90894</v>
      </c>
      <c r="AE31" s="217" t="s">
        <v>3760</v>
      </c>
      <c r="AF31" s="217" t="s">
        <v>3718</v>
      </c>
      <c r="AG31" s="217" t="s">
        <v>3719</v>
      </c>
      <c r="AH31" s="220">
        <f t="shared" si="0"/>
        <v>4590007587</v>
      </c>
      <c r="AI31" s="208"/>
      <c r="AJ31" s="220"/>
      <c r="AK31" s="221"/>
      <c r="AL31" s="227"/>
      <c r="AM31" s="208"/>
      <c r="AN31" s="220"/>
      <c r="AO31" s="222"/>
      <c r="AP31" s="227"/>
      <c r="AQ31" s="358">
        <f ca="1">IF(表格1[[#This Row],[PO$]]="","100%",表格1[[#This Row],[total amount]]/表格1[[#This Row],[PO$]])</f>
        <v>0</v>
      </c>
      <c r="AR31" s="223">
        <f ca="1">表格1[[#This Row],[invoice amount]]+表格1[[#This Row],[invoice amount2]]</f>
        <v>0</v>
      </c>
      <c r="AS31" s="224"/>
      <c r="AT31" s="208"/>
      <c r="AU31" s="208" t="e">
        <f ca="1">VLOOKUP(表格1[[#This Row],[PO+ITEM]],#REF!,2,FALSE)</f>
        <v>#REF!</v>
      </c>
      <c r="AV31" s="341" t="e">
        <f ca="1">VLOOKUP(表格1[[#This Row],[PO+ITEM]],#REF!,3,FALSE)</f>
        <v>#REF!</v>
      </c>
      <c r="AW31" s="208" t="e">
        <f ca="1">VLOOKUP(表格1[[#This Row],[PO+ITEM]],#REF!,4,FALSE)</f>
        <v>#REF!</v>
      </c>
      <c r="AX31" s="208" t="e" cm="1" vm="1">
        <f t="array" aca="1" ref="AX31" ca="1">VLOOKUP(AI:AI,#REF!,1,FALSE)</f>
        <v>#VALUE!</v>
      </c>
    </row>
    <row r="32" spans="1:50" s="230" customFormat="1">
      <c r="A32" s="239">
        <v>31</v>
      </c>
      <c r="B32" s="220" t="s">
        <v>3659</v>
      </c>
      <c r="C32" s="231" t="s">
        <v>17</v>
      </c>
      <c r="D32" s="231" t="s">
        <v>3648</v>
      </c>
      <c r="E32" s="231"/>
      <c r="F32" s="231"/>
      <c r="G32" s="231"/>
      <c r="H32" s="232" t="s">
        <v>3761</v>
      </c>
      <c r="I32" s="232"/>
      <c r="J32" s="233"/>
      <c r="K32" s="232"/>
      <c r="L32" s="234" t="s">
        <v>3762</v>
      </c>
      <c r="M32" s="234" t="s">
        <v>3762</v>
      </c>
      <c r="N32" s="235"/>
      <c r="O32" s="234">
        <v>4590007588</v>
      </c>
      <c r="P32" s="236">
        <v>44855</v>
      </c>
      <c r="Q32" s="336">
        <v>1</v>
      </c>
      <c r="R32" s="237"/>
      <c r="S32" s="232" t="s">
        <v>2156</v>
      </c>
      <c r="T32" s="231" t="s">
        <v>3713</v>
      </c>
      <c r="U32" s="231" t="s">
        <v>3714</v>
      </c>
      <c r="V32" s="235" t="s">
        <v>3715</v>
      </c>
      <c r="W32" s="238" t="s">
        <v>3652</v>
      </c>
      <c r="X32" s="238" t="s">
        <v>3652</v>
      </c>
      <c r="Y32" s="234">
        <v>0</v>
      </c>
      <c r="Z32" s="231" t="s">
        <v>3716</v>
      </c>
      <c r="AA32" s="233" t="s">
        <v>3763</v>
      </c>
      <c r="AB32" s="238"/>
      <c r="AC32" s="232" t="e">
        <v>#N/A</v>
      </c>
      <c r="AD32" s="232">
        <v>91287</v>
      </c>
      <c r="AE32" s="232" t="s">
        <v>3764</v>
      </c>
      <c r="AF32" s="232" t="s">
        <v>3718</v>
      </c>
      <c r="AG32" s="232" t="s">
        <v>3719</v>
      </c>
      <c r="AH32" s="239">
        <f t="shared" si="0"/>
        <v>4590007588</v>
      </c>
      <c r="AJ32" s="239"/>
      <c r="AK32" s="240"/>
      <c r="AL32" s="302"/>
      <c r="AN32" s="239"/>
      <c r="AO32" s="241"/>
      <c r="AP32" s="302"/>
      <c r="AQ32" s="358" t="str">
        <f ca="1">IF(表格1[[#This Row],[PO$]]="","100%",表格1[[#This Row],[total amount]]/表格1[[#This Row],[PO$]])</f>
        <v>100%</v>
      </c>
      <c r="AR32" s="242"/>
      <c r="AS32" s="243"/>
      <c r="AT32" s="208"/>
      <c r="AU32" s="208" t="e">
        <f ca="1">VLOOKUP(表格1[[#This Row],[PO+ITEM]],#REF!,2,FALSE)</f>
        <v>#REF!</v>
      </c>
      <c r="AV32" s="341" t="e">
        <f ca="1">VLOOKUP(表格1[[#This Row],[PO+ITEM]],#REF!,3,FALSE)</f>
        <v>#REF!</v>
      </c>
      <c r="AW32" s="208" t="e">
        <f ca="1">VLOOKUP(表格1[[#This Row],[PO+ITEM]],#REF!,4,FALSE)</f>
        <v>#REF!</v>
      </c>
      <c r="AX32" s="208" t="e" cm="1" vm="1">
        <f t="array" aca="1" ref="AX32" ca="1">VLOOKUP(AI:AI,#REF!,1,FALSE)</f>
        <v>#VALUE!</v>
      </c>
    </row>
    <row r="33" spans="1:50">
      <c r="A33" s="220">
        <v>32</v>
      </c>
      <c r="B33" s="220" t="s">
        <v>3674</v>
      </c>
      <c r="C33" s="209" t="s">
        <v>17</v>
      </c>
      <c r="D33" s="209" t="s">
        <v>3648</v>
      </c>
      <c r="E33" s="209"/>
      <c r="F33" s="209"/>
      <c r="G33" s="209"/>
      <c r="H33" s="210" t="s">
        <v>3766</v>
      </c>
      <c r="I33" s="210"/>
      <c r="J33" s="211"/>
      <c r="K33" s="210"/>
      <c r="L33" s="212" t="s">
        <v>2999</v>
      </c>
      <c r="M33" s="212" t="s">
        <v>2999</v>
      </c>
      <c r="N33" s="213"/>
      <c r="O33" s="212">
        <v>4590007591</v>
      </c>
      <c r="P33" s="214">
        <v>44855</v>
      </c>
      <c r="Q33" s="334">
        <v>1</v>
      </c>
      <c r="R33" s="216">
        <v>15048</v>
      </c>
      <c r="S33" s="217" t="s">
        <v>2156</v>
      </c>
      <c r="T33" s="209" t="s">
        <v>3713</v>
      </c>
      <c r="U33" s="209" t="s">
        <v>3714</v>
      </c>
      <c r="V33" s="213" t="s">
        <v>3715</v>
      </c>
      <c r="W33" s="218" t="s">
        <v>3652</v>
      </c>
      <c r="X33" s="218" t="s">
        <v>3652</v>
      </c>
      <c r="Y33" s="212" t="s">
        <v>3767</v>
      </c>
      <c r="Z33" s="209" t="s">
        <v>3768</v>
      </c>
      <c r="AA33" s="215"/>
      <c r="AB33" s="218"/>
      <c r="AC33" s="217" t="e">
        <v>#N/A</v>
      </c>
      <c r="AD33" s="217">
        <v>90817</v>
      </c>
      <c r="AE33" s="217" t="s">
        <v>3769</v>
      </c>
      <c r="AF33" s="217" t="s">
        <v>3770</v>
      </c>
      <c r="AG33" s="217" t="s">
        <v>3771</v>
      </c>
      <c r="AH33" s="220">
        <f t="shared" si="0"/>
        <v>4590007591</v>
      </c>
      <c r="AI33" s="208" t="s">
        <v>3772</v>
      </c>
      <c r="AJ33" s="227">
        <v>45401</v>
      </c>
      <c r="AK33" s="221">
        <v>15048</v>
      </c>
      <c r="AL33" s="227">
        <v>45442</v>
      </c>
      <c r="AM33" s="208"/>
      <c r="AN33" s="220"/>
      <c r="AO33" s="222"/>
      <c r="AP33" s="227"/>
      <c r="AQ33" s="358">
        <f ca="1">IF(表格1[[#This Row],[PO$]]="","100%",表格1[[#This Row],[total amount]]/表格1[[#This Row],[PO$]])</f>
        <v>1</v>
      </c>
      <c r="AR33" s="223">
        <f ca="1">表格1[[#This Row],[invoice amount]]+表格1[[#This Row],[invoice amount2]]</f>
        <v>15048</v>
      </c>
      <c r="AS33" s="224" t="s">
        <v>3725</v>
      </c>
      <c r="AT33" s="208" t="s">
        <v>3773</v>
      </c>
      <c r="AU33" s="208" t="e">
        <f ca="1">VLOOKUP(表格1[[#This Row],[PO+ITEM]],#REF!,2,FALSE)</f>
        <v>#REF!</v>
      </c>
      <c r="AV33" s="341" t="e">
        <f ca="1">VLOOKUP(表格1[[#This Row],[PO+ITEM]],#REF!,3,FALSE)</f>
        <v>#REF!</v>
      </c>
      <c r="AW33" s="208" t="e">
        <f ca="1">VLOOKUP(表格1[[#This Row],[PO+ITEM]],#REF!,4,FALSE)</f>
        <v>#REF!</v>
      </c>
      <c r="AX33" s="208" t="e" cm="1" vm="1">
        <f t="array" aca="1" ref="AX33" ca="1">VLOOKUP(AI:AI,#REF!,1,FALSE)</f>
        <v>#VALUE!</v>
      </c>
    </row>
    <row r="34" spans="1:50">
      <c r="A34" s="220">
        <v>33</v>
      </c>
      <c r="B34" s="220" t="s">
        <v>3674</v>
      </c>
      <c r="C34" s="209" t="s">
        <v>17</v>
      </c>
      <c r="D34" s="209" t="s">
        <v>3648</v>
      </c>
      <c r="E34" s="209"/>
      <c r="F34" s="209"/>
      <c r="G34" s="209"/>
      <c r="H34" s="210" t="s">
        <v>3774</v>
      </c>
      <c r="I34" s="210"/>
      <c r="J34" s="211"/>
      <c r="K34" s="210"/>
      <c r="L34" s="212" t="s">
        <v>2999</v>
      </c>
      <c r="M34" s="212" t="s">
        <v>2999</v>
      </c>
      <c r="N34" s="213"/>
      <c r="O34" s="229">
        <v>4590007592</v>
      </c>
      <c r="P34" s="214">
        <v>44855</v>
      </c>
      <c r="Q34" s="334">
        <v>1</v>
      </c>
      <c r="R34" s="216">
        <v>23868</v>
      </c>
      <c r="S34" s="217" t="s">
        <v>2156</v>
      </c>
      <c r="T34" s="209" t="s">
        <v>3713</v>
      </c>
      <c r="U34" s="209" t="s">
        <v>3714</v>
      </c>
      <c r="V34" s="213" t="s">
        <v>3715</v>
      </c>
      <c r="W34" s="218" t="s">
        <v>3652</v>
      </c>
      <c r="X34" s="218" t="s">
        <v>3652</v>
      </c>
      <c r="Y34" s="212" t="s">
        <v>3767</v>
      </c>
      <c r="Z34" s="209" t="s">
        <v>3768</v>
      </c>
      <c r="AA34" s="215"/>
      <c r="AB34" s="218"/>
      <c r="AC34" s="217" t="e">
        <v>#N/A</v>
      </c>
      <c r="AD34" s="217">
        <v>90815</v>
      </c>
      <c r="AE34" s="217" t="s">
        <v>3775</v>
      </c>
      <c r="AF34" s="217" t="s">
        <v>3770</v>
      </c>
      <c r="AG34" s="217" t="s">
        <v>3771</v>
      </c>
      <c r="AH34" s="220">
        <f t="shared" si="0"/>
        <v>4590007592</v>
      </c>
      <c r="AI34" s="208" t="s">
        <v>3776</v>
      </c>
      <c r="AJ34" s="227">
        <v>45401</v>
      </c>
      <c r="AK34" s="221">
        <v>23868</v>
      </c>
      <c r="AL34" s="227">
        <v>45442</v>
      </c>
      <c r="AM34" s="208"/>
      <c r="AN34" s="220"/>
      <c r="AO34" s="222"/>
      <c r="AP34" s="227"/>
      <c r="AQ34" s="358">
        <f ca="1">IF(表格1[[#This Row],[PO$]]="","100%",表格1[[#This Row],[total amount]]/表格1[[#This Row],[PO$]])</f>
        <v>1</v>
      </c>
      <c r="AR34" s="223">
        <f ca="1">表格1[[#This Row],[invoice amount]]+表格1[[#This Row],[invoice amount2]]</f>
        <v>23868</v>
      </c>
      <c r="AS34" s="224" t="s">
        <v>3725</v>
      </c>
      <c r="AT34" s="208" t="s">
        <v>3773</v>
      </c>
      <c r="AU34" s="208" t="e">
        <f ca="1">VLOOKUP(表格1[[#This Row],[PO+ITEM]],#REF!,2,FALSE)</f>
        <v>#REF!</v>
      </c>
      <c r="AV34" s="341" t="e">
        <f ca="1">VLOOKUP(表格1[[#This Row],[PO+ITEM]],#REF!,3,FALSE)</f>
        <v>#REF!</v>
      </c>
      <c r="AW34" s="208" t="e">
        <f ca="1">VLOOKUP(表格1[[#This Row],[PO+ITEM]],#REF!,4,FALSE)</f>
        <v>#REF!</v>
      </c>
      <c r="AX34" s="208" t="e" cm="1" vm="1">
        <f t="array" aca="1" ref="AX34" ca="1">VLOOKUP(AI:AI,#REF!,1,FALSE)</f>
        <v>#VALUE!</v>
      </c>
    </row>
    <row r="35" spans="1:50">
      <c r="A35" s="220">
        <v>34</v>
      </c>
      <c r="B35" s="220" t="s">
        <v>3674</v>
      </c>
      <c r="C35" s="209" t="s">
        <v>17</v>
      </c>
      <c r="D35" s="209" t="s">
        <v>3648</v>
      </c>
      <c r="E35" s="209"/>
      <c r="F35" s="209"/>
      <c r="G35" s="209"/>
      <c r="H35" s="210" t="s">
        <v>3777</v>
      </c>
      <c r="I35" s="210"/>
      <c r="J35" s="211"/>
      <c r="K35" s="210"/>
      <c r="L35" s="212" t="s">
        <v>2999</v>
      </c>
      <c r="M35" s="212" t="s">
        <v>2999</v>
      </c>
      <c r="N35" s="213"/>
      <c r="O35" s="212">
        <v>4590007593</v>
      </c>
      <c r="P35" s="214">
        <v>44855</v>
      </c>
      <c r="Q35" s="334">
        <v>1</v>
      </c>
      <c r="R35" s="216">
        <v>23868</v>
      </c>
      <c r="S35" s="217" t="s">
        <v>2156</v>
      </c>
      <c r="T35" s="209" t="s">
        <v>3713</v>
      </c>
      <c r="U35" s="209" t="s">
        <v>3714</v>
      </c>
      <c r="V35" s="213" t="s">
        <v>3715</v>
      </c>
      <c r="W35" s="218" t="s">
        <v>3652</v>
      </c>
      <c r="X35" s="218" t="s">
        <v>3652</v>
      </c>
      <c r="Y35" s="212" t="s">
        <v>3767</v>
      </c>
      <c r="Z35" s="209" t="s">
        <v>3768</v>
      </c>
      <c r="AA35" s="215"/>
      <c r="AB35" s="218"/>
      <c r="AC35" s="217" t="e">
        <v>#N/A</v>
      </c>
      <c r="AD35" s="217">
        <v>90816</v>
      </c>
      <c r="AE35" s="217" t="s">
        <v>3778</v>
      </c>
      <c r="AF35" s="217" t="s">
        <v>3770</v>
      </c>
      <c r="AG35" s="217" t="s">
        <v>3771</v>
      </c>
      <c r="AH35" s="220">
        <f t="shared" si="0"/>
        <v>4590007593</v>
      </c>
      <c r="AI35" s="208" t="s">
        <v>3779</v>
      </c>
      <c r="AJ35" s="227">
        <v>45422</v>
      </c>
      <c r="AK35" s="221">
        <v>23868</v>
      </c>
      <c r="AL35" s="227" t="s">
        <v>3805</v>
      </c>
      <c r="AM35" s="208"/>
      <c r="AN35" s="220"/>
      <c r="AO35" s="222"/>
      <c r="AP35" s="227"/>
      <c r="AQ35" s="358">
        <f ca="1">IF(表格1[[#This Row],[PO$]]="","100%",表格1[[#This Row],[total amount]]/表格1[[#This Row],[PO$]])</f>
        <v>1</v>
      </c>
      <c r="AR35" s="223">
        <f ca="1">表格1[[#This Row],[invoice amount]]+表格1[[#This Row],[invoice amount2]]</f>
        <v>23868</v>
      </c>
      <c r="AS35" s="224" t="s">
        <v>3701</v>
      </c>
      <c r="AT35" s="208" t="s">
        <v>3657</v>
      </c>
      <c r="AU35" s="208" t="e">
        <f ca="1">VLOOKUP(表格1[[#This Row],[PO+ITEM]],#REF!,2,FALSE)</f>
        <v>#REF!</v>
      </c>
      <c r="AV35" s="341" t="e">
        <f ca="1">VLOOKUP(表格1[[#This Row],[PO+ITEM]],#REF!,3,FALSE)</f>
        <v>#REF!</v>
      </c>
      <c r="AW35" s="208" t="e">
        <f ca="1">VLOOKUP(表格1[[#This Row],[PO+ITEM]],#REF!,4,FALSE)</f>
        <v>#REF!</v>
      </c>
      <c r="AX35" s="208" t="e" cm="1" vm="1">
        <f t="array" aca="1" ref="AX35" ca="1">VLOOKUP(AI:AI,#REF!,1,FALSE)</f>
        <v>#VALUE!</v>
      </c>
    </row>
    <row r="36" spans="1:50">
      <c r="A36" s="220">
        <v>35</v>
      </c>
      <c r="B36" s="220" t="s">
        <v>3659</v>
      </c>
      <c r="C36" s="209" t="s">
        <v>17</v>
      </c>
      <c r="D36" s="209" t="s">
        <v>3648</v>
      </c>
      <c r="E36" s="209"/>
      <c r="F36" s="209"/>
      <c r="G36" s="209"/>
      <c r="H36" s="210" t="s">
        <v>3780</v>
      </c>
      <c r="I36" s="210"/>
      <c r="J36" s="211"/>
      <c r="K36" s="210"/>
      <c r="L36" s="212" t="s">
        <v>2999</v>
      </c>
      <c r="M36" s="212" t="s">
        <v>2999</v>
      </c>
      <c r="N36" s="213"/>
      <c r="O36" s="212">
        <v>4590007594</v>
      </c>
      <c r="P36" s="214">
        <v>44855</v>
      </c>
      <c r="Q36" s="334">
        <v>1</v>
      </c>
      <c r="R36" s="216">
        <v>23868</v>
      </c>
      <c r="S36" s="217" t="s">
        <v>2156</v>
      </c>
      <c r="T36" s="209" t="s">
        <v>3713</v>
      </c>
      <c r="U36" s="209" t="s">
        <v>3714</v>
      </c>
      <c r="V36" s="213" t="s">
        <v>3715</v>
      </c>
      <c r="W36" s="218" t="s">
        <v>3652</v>
      </c>
      <c r="X36" s="218" t="s">
        <v>3652</v>
      </c>
      <c r="Y36" s="212" t="s">
        <v>3767</v>
      </c>
      <c r="Z36" s="209" t="s">
        <v>3768</v>
      </c>
      <c r="AA36" s="215"/>
      <c r="AB36" s="218"/>
      <c r="AC36" s="217" t="e">
        <v>#N/A</v>
      </c>
      <c r="AD36" s="217">
        <v>91137</v>
      </c>
      <c r="AE36" s="217" t="s">
        <v>3781</v>
      </c>
      <c r="AF36" s="217" t="s">
        <v>3770</v>
      </c>
      <c r="AG36" s="217" t="s">
        <v>3771</v>
      </c>
      <c r="AH36" s="220">
        <f t="shared" si="0"/>
        <v>4590007594</v>
      </c>
      <c r="AI36" s="208"/>
      <c r="AJ36" s="220"/>
      <c r="AK36" s="221"/>
      <c r="AL36" s="227"/>
      <c r="AM36" s="208"/>
      <c r="AN36" s="220"/>
      <c r="AO36" s="222"/>
      <c r="AP36" s="227"/>
      <c r="AQ36" s="358">
        <f ca="1">IF(表格1[[#This Row],[PO$]]="","100%",表格1[[#This Row],[total amount]]/表格1[[#This Row],[PO$]])</f>
        <v>0</v>
      </c>
      <c r="AR36" s="223">
        <f ca="1">表格1[[#This Row],[invoice amount]]+表格1[[#This Row],[invoice amount2]]</f>
        <v>0</v>
      </c>
      <c r="AS36" s="224"/>
      <c r="AT36" s="208"/>
      <c r="AU36" s="208" t="e">
        <f ca="1">VLOOKUP(表格1[[#This Row],[PO+ITEM]],#REF!,2,FALSE)</f>
        <v>#REF!</v>
      </c>
      <c r="AV36" s="341" t="e">
        <f ca="1">VLOOKUP(表格1[[#This Row],[PO+ITEM]],#REF!,3,FALSE)</f>
        <v>#REF!</v>
      </c>
      <c r="AW36" s="208" t="e">
        <f ca="1">VLOOKUP(表格1[[#This Row],[PO+ITEM]],#REF!,4,FALSE)</f>
        <v>#REF!</v>
      </c>
      <c r="AX36" s="208" t="e" cm="1" vm="1">
        <f t="array" aca="1" ref="AX36" ca="1">VLOOKUP(AI:AI,#REF!,1,FALSE)</f>
        <v>#VALUE!</v>
      </c>
    </row>
    <row r="37" spans="1:50">
      <c r="A37" s="220">
        <v>36</v>
      </c>
      <c r="B37" s="220" t="s">
        <v>3674</v>
      </c>
      <c r="C37" s="209" t="s">
        <v>17</v>
      </c>
      <c r="D37" s="209" t="s">
        <v>3648</v>
      </c>
      <c r="E37" s="209"/>
      <c r="F37" s="209"/>
      <c r="G37" s="209"/>
      <c r="H37" s="210" t="s">
        <v>3782</v>
      </c>
      <c r="I37" s="210"/>
      <c r="J37" s="211"/>
      <c r="K37" s="210"/>
      <c r="L37" s="212" t="s">
        <v>2999</v>
      </c>
      <c r="M37" s="212" t="s">
        <v>2999</v>
      </c>
      <c r="N37" s="213"/>
      <c r="O37" s="212">
        <v>4590007595</v>
      </c>
      <c r="P37" s="214">
        <v>44855</v>
      </c>
      <c r="Q37" s="334">
        <v>1</v>
      </c>
      <c r="R37" s="216">
        <v>23868</v>
      </c>
      <c r="S37" s="217" t="s">
        <v>2156</v>
      </c>
      <c r="T37" s="209" t="s">
        <v>3713</v>
      </c>
      <c r="U37" s="209" t="s">
        <v>3714</v>
      </c>
      <c r="V37" s="213" t="s">
        <v>3715</v>
      </c>
      <c r="W37" s="218" t="s">
        <v>3652</v>
      </c>
      <c r="X37" s="218" t="s">
        <v>3652</v>
      </c>
      <c r="Y37" s="212" t="s">
        <v>3767</v>
      </c>
      <c r="Z37" s="209" t="s">
        <v>3768</v>
      </c>
      <c r="AA37" s="215"/>
      <c r="AB37" s="218"/>
      <c r="AC37" s="217" t="e">
        <v>#N/A</v>
      </c>
      <c r="AD37" s="217">
        <v>90566</v>
      </c>
      <c r="AE37" s="217" t="s">
        <v>3783</v>
      </c>
      <c r="AF37" s="217" t="s">
        <v>3770</v>
      </c>
      <c r="AG37" s="217" t="s">
        <v>3771</v>
      </c>
      <c r="AH37" s="220">
        <f t="shared" si="0"/>
        <v>4590007595</v>
      </c>
      <c r="AI37" s="208" t="s">
        <v>3784</v>
      </c>
      <c r="AJ37" s="227">
        <v>45401</v>
      </c>
      <c r="AK37" s="221">
        <v>23868</v>
      </c>
      <c r="AL37" s="227">
        <v>45442</v>
      </c>
      <c r="AM37" s="208"/>
      <c r="AN37" s="220"/>
      <c r="AO37" s="222"/>
      <c r="AP37" s="227"/>
      <c r="AQ37" s="358">
        <f ca="1">IF(表格1[[#This Row],[PO$]]="","100%",表格1[[#This Row],[total amount]]/表格1[[#This Row],[PO$]])</f>
        <v>1</v>
      </c>
      <c r="AR37" s="223">
        <f ca="1">表格1[[#This Row],[invoice amount]]+表格1[[#This Row],[invoice amount2]]</f>
        <v>23868</v>
      </c>
      <c r="AS37" s="224" t="s">
        <v>3725</v>
      </c>
      <c r="AT37" s="208" t="s">
        <v>3773</v>
      </c>
      <c r="AU37" s="208" t="e">
        <f ca="1">VLOOKUP(表格1[[#This Row],[PO+ITEM]],#REF!,2,FALSE)</f>
        <v>#REF!</v>
      </c>
      <c r="AV37" s="341" t="e">
        <f ca="1">VLOOKUP(表格1[[#This Row],[PO+ITEM]],#REF!,3,FALSE)</f>
        <v>#REF!</v>
      </c>
      <c r="AW37" s="208" t="e">
        <f ca="1">VLOOKUP(表格1[[#This Row],[PO+ITEM]],#REF!,4,FALSE)</f>
        <v>#REF!</v>
      </c>
      <c r="AX37" s="208" t="e" cm="1" vm="1">
        <f t="array" aca="1" ref="AX37" ca="1">VLOOKUP(AI:AI,#REF!,1,FALSE)</f>
        <v>#VALUE!</v>
      </c>
    </row>
    <row r="38" spans="1:50">
      <c r="A38" s="220">
        <v>37</v>
      </c>
      <c r="B38" s="220" t="s">
        <v>3659</v>
      </c>
      <c r="C38" s="209" t="s">
        <v>17</v>
      </c>
      <c r="D38" s="209" t="s">
        <v>3648</v>
      </c>
      <c r="E38" s="209"/>
      <c r="F38" s="209"/>
      <c r="G38" s="209"/>
      <c r="H38" s="210" t="s">
        <v>3785</v>
      </c>
      <c r="I38" s="210"/>
      <c r="J38" s="211"/>
      <c r="K38" s="210"/>
      <c r="L38" s="212" t="s">
        <v>2999</v>
      </c>
      <c r="M38" s="212" t="s">
        <v>2999</v>
      </c>
      <c r="N38" s="213"/>
      <c r="O38" s="212">
        <v>4590007596</v>
      </c>
      <c r="P38" s="214">
        <v>44855</v>
      </c>
      <c r="Q38" s="334">
        <v>1</v>
      </c>
      <c r="R38" s="216">
        <v>23868</v>
      </c>
      <c r="S38" s="217" t="s">
        <v>2156</v>
      </c>
      <c r="T38" s="209" t="s">
        <v>3713</v>
      </c>
      <c r="U38" s="209" t="s">
        <v>3714</v>
      </c>
      <c r="V38" s="213" t="s">
        <v>3715</v>
      </c>
      <c r="W38" s="218" t="s">
        <v>3652</v>
      </c>
      <c r="X38" s="218" t="s">
        <v>3652</v>
      </c>
      <c r="Y38" s="212" t="s">
        <v>3767</v>
      </c>
      <c r="Z38" s="209" t="s">
        <v>3768</v>
      </c>
      <c r="AA38" s="215"/>
      <c r="AB38" s="218"/>
      <c r="AC38" s="217" t="e">
        <v>#N/A</v>
      </c>
      <c r="AD38" s="217">
        <v>91142</v>
      </c>
      <c r="AE38" s="217" t="s">
        <v>3786</v>
      </c>
      <c r="AF38" s="217" t="s">
        <v>3770</v>
      </c>
      <c r="AG38" s="217" t="s">
        <v>3771</v>
      </c>
      <c r="AH38" s="220">
        <f t="shared" si="0"/>
        <v>4590007596</v>
      </c>
      <c r="AI38" s="208" t="s">
        <v>3787</v>
      </c>
      <c r="AJ38" s="227">
        <v>45401</v>
      </c>
      <c r="AK38" s="221">
        <v>23868</v>
      </c>
      <c r="AL38" s="227" t="s">
        <v>3805</v>
      </c>
      <c r="AM38" s="208"/>
      <c r="AN38" s="220"/>
      <c r="AO38" s="222"/>
      <c r="AP38" s="227"/>
      <c r="AQ38" s="358">
        <f ca="1">IF(表格1[[#This Row],[PO$]]="","100%",表格1[[#This Row],[total amount]]/表格1[[#This Row],[PO$]])</f>
        <v>1</v>
      </c>
      <c r="AR38" s="223">
        <f ca="1">表格1[[#This Row],[invoice amount]]+表格1[[#This Row],[invoice amount2]]</f>
        <v>23868</v>
      </c>
      <c r="AS38" s="224" t="s">
        <v>3806</v>
      </c>
      <c r="AT38" s="208"/>
      <c r="AU38" s="208" t="e">
        <f ca="1">VLOOKUP(表格1[[#This Row],[PO+ITEM]],#REF!,2,FALSE)</f>
        <v>#REF!</v>
      </c>
      <c r="AV38" s="341" t="e">
        <f ca="1">VLOOKUP(表格1[[#This Row],[PO+ITEM]],#REF!,3,FALSE)</f>
        <v>#REF!</v>
      </c>
      <c r="AW38" s="208" t="e">
        <f ca="1">VLOOKUP(表格1[[#This Row],[PO+ITEM]],#REF!,4,FALSE)</f>
        <v>#REF!</v>
      </c>
      <c r="AX38" s="208" t="e" cm="1" vm="1">
        <f t="array" aca="1" ref="AX38" ca="1">VLOOKUP(AI:AI,#REF!,1,FALSE)</f>
        <v>#VALUE!</v>
      </c>
    </row>
    <row r="39" spans="1:50">
      <c r="A39" s="220">
        <v>38</v>
      </c>
      <c r="B39" s="220" t="s">
        <v>3674</v>
      </c>
      <c r="C39" s="209" t="s">
        <v>17</v>
      </c>
      <c r="D39" s="209" t="s">
        <v>3648</v>
      </c>
      <c r="E39" s="209"/>
      <c r="F39" s="209"/>
      <c r="G39" s="209"/>
      <c r="H39" s="210" t="s">
        <v>3791</v>
      </c>
      <c r="I39" s="210"/>
      <c r="J39" s="211"/>
      <c r="K39" s="210"/>
      <c r="L39" s="212" t="s">
        <v>2999</v>
      </c>
      <c r="M39" s="212" t="s">
        <v>2999</v>
      </c>
      <c r="N39" s="213"/>
      <c r="O39" s="212">
        <v>4590007597</v>
      </c>
      <c r="P39" s="214">
        <v>44855</v>
      </c>
      <c r="Q39" s="334">
        <v>1</v>
      </c>
      <c r="R39" s="216">
        <v>23868</v>
      </c>
      <c r="S39" s="217" t="s">
        <v>2156</v>
      </c>
      <c r="T39" s="209" t="s">
        <v>3713</v>
      </c>
      <c r="U39" s="209" t="s">
        <v>3714</v>
      </c>
      <c r="V39" s="213" t="s">
        <v>3715</v>
      </c>
      <c r="W39" s="218" t="s">
        <v>3652</v>
      </c>
      <c r="X39" s="218" t="s">
        <v>3652</v>
      </c>
      <c r="Y39" s="212" t="s">
        <v>3767</v>
      </c>
      <c r="Z39" s="209" t="s">
        <v>3768</v>
      </c>
      <c r="AA39" s="215"/>
      <c r="AB39" s="218"/>
      <c r="AC39" s="217" t="e">
        <v>#N/A</v>
      </c>
      <c r="AD39" s="217">
        <v>90567</v>
      </c>
      <c r="AE39" s="217" t="s">
        <v>3792</v>
      </c>
      <c r="AF39" s="217" t="s">
        <v>3770</v>
      </c>
      <c r="AG39" s="217" t="s">
        <v>3771</v>
      </c>
      <c r="AH39" s="220">
        <f t="shared" si="0"/>
        <v>4590007597</v>
      </c>
      <c r="AI39" s="208" t="s">
        <v>3793</v>
      </c>
      <c r="AJ39" s="227">
        <v>45401</v>
      </c>
      <c r="AK39" s="221">
        <v>23868</v>
      </c>
      <c r="AL39" s="227">
        <v>45442</v>
      </c>
      <c r="AM39" s="208"/>
      <c r="AN39" s="220"/>
      <c r="AO39" s="222"/>
      <c r="AP39" s="227"/>
      <c r="AQ39" s="358">
        <f ca="1">IF(表格1[[#This Row],[PO$]]="","100%",表格1[[#This Row],[total amount]]/表格1[[#This Row],[PO$]])</f>
        <v>1</v>
      </c>
      <c r="AR39" s="223">
        <f ca="1">表格1[[#This Row],[invoice amount]]+表格1[[#This Row],[invoice amount2]]</f>
        <v>23868</v>
      </c>
      <c r="AS39" s="224" t="s">
        <v>3725</v>
      </c>
      <c r="AT39" s="208" t="s">
        <v>3773</v>
      </c>
      <c r="AU39" s="208" t="e">
        <f ca="1">VLOOKUP(表格1[[#This Row],[PO+ITEM]],#REF!,2,FALSE)</f>
        <v>#REF!</v>
      </c>
      <c r="AV39" s="341" t="e">
        <f ca="1">VLOOKUP(表格1[[#This Row],[PO+ITEM]],#REF!,3,FALSE)</f>
        <v>#REF!</v>
      </c>
      <c r="AW39" s="208" t="e">
        <f ca="1">VLOOKUP(表格1[[#This Row],[PO+ITEM]],#REF!,4,FALSE)</f>
        <v>#REF!</v>
      </c>
      <c r="AX39" s="208" t="e" cm="1" vm="1">
        <f t="array" aca="1" ref="AX39" ca="1">VLOOKUP(AI:AI,#REF!,1,FALSE)</f>
        <v>#VALUE!</v>
      </c>
    </row>
    <row r="40" spans="1:50" ht="15.6">
      <c r="A40" s="220">
        <v>39</v>
      </c>
      <c r="B40" s="220" t="s">
        <v>3674</v>
      </c>
      <c r="C40" s="209" t="s">
        <v>17</v>
      </c>
      <c r="D40" s="209" t="s">
        <v>3648</v>
      </c>
      <c r="E40" s="209"/>
      <c r="F40" s="209"/>
      <c r="G40" s="209"/>
      <c r="H40" s="210" t="s">
        <v>3794</v>
      </c>
      <c r="I40" s="210"/>
      <c r="J40" s="211"/>
      <c r="K40" s="210"/>
      <c r="L40" s="212" t="s">
        <v>2999</v>
      </c>
      <c r="M40" s="212" t="s">
        <v>2999</v>
      </c>
      <c r="N40" s="213"/>
      <c r="O40" s="212">
        <v>4590007598</v>
      </c>
      <c r="P40" s="214">
        <v>44855</v>
      </c>
      <c r="Q40" s="334">
        <v>1</v>
      </c>
      <c r="R40" s="216">
        <v>23868</v>
      </c>
      <c r="S40" s="217" t="s">
        <v>2156</v>
      </c>
      <c r="T40" s="209" t="s">
        <v>3713</v>
      </c>
      <c r="U40" s="209" t="s">
        <v>3714</v>
      </c>
      <c r="V40" s="213" t="s">
        <v>3715</v>
      </c>
      <c r="W40" s="218" t="s">
        <v>3652</v>
      </c>
      <c r="X40" s="218" t="s">
        <v>3652</v>
      </c>
      <c r="Y40" s="212" t="s">
        <v>3767</v>
      </c>
      <c r="Z40" s="209" t="s">
        <v>3768</v>
      </c>
      <c r="AA40" s="215"/>
      <c r="AB40" s="218"/>
      <c r="AC40" s="217" t="e">
        <v>#N/A</v>
      </c>
      <c r="AD40" s="217">
        <v>90568</v>
      </c>
      <c r="AE40" s="217" t="s">
        <v>3795</v>
      </c>
      <c r="AF40" s="217" t="s">
        <v>3770</v>
      </c>
      <c r="AG40" s="217" t="s">
        <v>3771</v>
      </c>
      <c r="AH40" s="220">
        <f t="shared" si="0"/>
        <v>4590007598</v>
      </c>
      <c r="AI40" s="208" t="s">
        <v>3796</v>
      </c>
      <c r="AJ40" s="227">
        <v>45429</v>
      </c>
      <c r="AK40" s="222">
        <v>23868</v>
      </c>
      <c r="AL40" s="314" t="s">
        <v>6691</v>
      </c>
      <c r="AM40" s="208"/>
      <c r="AN40" s="220"/>
      <c r="AO40" s="222"/>
      <c r="AP40" s="227"/>
      <c r="AQ40" s="358">
        <f ca="1">IF(表格1[[#This Row],[PO$]]="","100%",表格1[[#This Row],[total amount]]/表格1[[#This Row],[PO$]])</f>
        <v>1</v>
      </c>
      <c r="AR40" s="223">
        <f ca="1">表格1[[#This Row],[invoice amount]]+表格1[[#This Row],[invoice amount2]]</f>
        <v>23868</v>
      </c>
      <c r="AS40" s="224" t="s">
        <v>3789</v>
      </c>
      <c r="AT40" s="208" t="s">
        <v>3773</v>
      </c>
      <c r="AU40" s="208" t="e">
        <f ca="1">VLOOKUP(表格1[[#This Row],[PO+ITEM]],#REF!,2,FALSE)</f>
        <v>#REF!</v>
      </c>
      <c r="AV40" s="341" t="e">
        <f ca="1">VLOOKUP(表格1[[#This Row],[PO+ITEM]],#REF!,3,FALSE)</f>
        <v>#REF!</v>
      </c>
      <c r="AW40" s="208" t="e">
        <f ca="1">VLOOKUP(表格1[[#This Row],[PO+ITEM]],#REF!,4,FALSE)</f>
        <v>#REF!</v>
      </c>
      <c r="AX40" s="208" t="e" cm="1" vm="1">
        <f t="array" aca="1" ref="AX40" ca="1">VLOOKUP(AI:AI,#REF!,1,FALSE)</f>
        <v>#VALUE!</v>
      </c>
    </row>
    <row r="41" spans="1:50">
      <c r="A41" s="220">
        <v>40</v>
      </c>
      <c r="B41" s="220" t="s">
        <v>3674</v>
      </c>
      <c r="C41" s="209" t="s">
        <v>17</v>
      </c>
      <c r="D41" s="209" t="s">
        <v>3648</v>
      </c>
      <c r="E41" s="209"/>
      <c r="F41" s="209"/>
      <c r="G41" s="209"/>
      <c r="H41" s="210" t="s">
        <v>3797</v>
      </c>
      <c r="I41" s="210"/>
      <c r="J41" s="211"/>
      <c r="K41" s="210"/>
      <c r="L41" s="212" t="s">
        <v>2999</v>
      </c>
      <c r="M41" s="212" t="s">
        <v>2999</v>
      </c>
      <c r="N41" s="213"/>
      <c r="O41" s="229">
        <v>4590007605</v>
      </c>
      <c r="P41" s="214">
        <v>44855</v>
      </c>
      <c r="Q41" s="334">
        <v>1</v>
      </c>
      <c r="R41" s="216">
        <v>23868</v>
      </c>
      <c r="S41" s="217" t="s">
        <v>2156</v>
      </c>
      <c r="T41" s="209" t="s">
        <v>3713</v>
      </c>
      <c r="U41" s="209" t="s">
        <v>3714</v>
      </c>
      <c r="V41" s="213" t="s">
        <v>3715</v>
      </c>
      <c r="W41" s="218" t="s">
        <v>3652</v>
      </c>
      <c r="X41" s="218" t="s">
        <v>3652</v>
      </c>
      <c r="Y41" s="212" t="s">
        <v>3767</v>
      </c>
      <c r="Z41" s="209" t="s">
        <v>3768</v>
      </c>
      <c r="AA41" s="215"/>
      <c r="AB41" s="218"/>
      <c r="AC41" s="217" t="e">
        <v>#N/A</v>
      </c>
      <c r="AD41" s="217">
        <v>90570</v>
      </c>
      <c r="AE41" s="217" t="s">
        <v>3798</v>
      </c>
      <c r="AF41" s="217" t="s">
        <v>3770</v>
      </c>
      <c r="AG41" s="217" t="s">
        <v>3771</v>
      </c>
      <c r="AH41" s="220">
        <f t="shared" si="0"/>
        <v>4590007605</v>
      </c>
      <c r="AI41" s="208" t="s">
        <v>3799</v>
      </c>
      <c r="AJ41" s="227">
        <v>45401</v>
      </c>
      <c r="AK41" s="221">
        <v>23868</v>
      </c>
      <c r="AL41" s="227">
        <v>45442</v>
      </c>
      <c r="AM41" s="208"/>
      <c r="AN41" s="220"/>
      <c r="AO41" s="222"/>
      <c r="AP41" s="227"/>
      <c r="AQ41" s="358">
        <f ca="1">IF(表格1[[#This Row],[PO$]]="","100%",表格1[[#This Row],[total amount]]/表格1[[#This Row],[PO$]])</f>
        <v>1</v>
      </c>
      <c r="AR41" s="223">
        <f ca="1">表格1[[#This Row],[invoice amount]]+表格1[[#This Row],[invoice amount2]]</f>
        <v>23868</v>
      </c>
      <c r="AS41" s="224" t="s">
        <v>3725</v>
      </c>
      <c r="AT41" s="208" t="s">
        <v>3773</v>
      </c>
      <c r="AU41" s="208" t="e">
        <f ca="1">VLOOKUP(表格1[[#This Row],[PO+ITEM]],#REF!,2,FALSE)</f>
        <v>#REF!</v>
      </c>
      <c r="AV41" s="341" t="e">
        <f ca="1">VLOOKUP(表格1[[#This Row],[PO+ITEM]],#REF!,3,FALSE)</f>
        <v>#REF!</v>
      </c>
      <c r="AW41" s="208" t="e">
        <f ca="1">VLOOKUP(表格1[[#This Row],[PO+ITEM]],#REF!,4,FALSE)</f>
        <v>#REF!</v>
      </c>
      <c r="AX41" s="208" t="e" cm="1" vm="1">
        <f t="array" aca="1" ref="AX41" ca="1">VLOOKUP(AI:AI,#REF!,1,FALSE)</f>
        <v>#VALUE!</v>
      </c>
    </row>
    <row r="42" spans="1:50" s="230" customFormat="1">
      <c r="A42" s="239">
        <v>41</v>
      </c>
      <c r="B42" s="220" t="e">
        <v>#N/A</v>
      </c>
      <c r="C42" s="231" t="s">
        <v>17</v>
      </c>
      <c r="D42" s="231" t="s">
        <v>3648</v>
      </c>
      <c r="E42" s="231"/>
      <c r="F42" s="231"/>
      <c r="G42" s="231"/>
      <c r="H42" s="232" t="s">
        <v>3800</v>
      </c>
      <c r="I42" s="232"/>
      <c r="J42" s="233"/>
      <c r="K42" s="232"/>
      <c r="L42" s="234" t="s">
        <v>2999</v>
      </c>
      <c r="M42" s="234" t="s">
        <v>2999</v>
      </c>
      <c r="N42" s="235"/>
      <c r="O42" s="234">
        <v>4590007606</v>
      </c>
      <c r="P42" s="236">
        <v>44855</v>
      </c>
      <c r="Q42" s="336">
        <v>1</v>
      </c>
      <c r="R42" s="237"/>
      <c r="S42" s="232" t="s">
        <v>2156</v>
      </c>
      <c r="T42" s="231" t="s">
        <v>3713</v>
      </c>
      <c r="U42" s="231" t="s">
        <v>3714</v>
      </c>
      <c r="V42" s="235" t="s">
        <v>3715</v>
      </c>
      <c r="W42" s="238" t="s">
        <v>3652</v>
      </c>
      <c r="X42" s="238" t="s">
        <v>3652</v>
      </c>
      <c r="Y42" s="234" t="s">
        <v>3767</v>
      </c>
      <c r="Z42" s="231" t="s">
        <v>3768</v>
      </c>
      <c r="AA42" s="233"/>
      <c r="AB42" s="238"/>
      <c r="AC42" s="232" t="e">
        <v>#N/A</v>
      </c>
      <c r="AD42" s="232">
        <v>91138</v>
      </c>
      <c r="AE42" s="232" t="s">
        <v>3801</v>
      </c>
      <c r="AF42" s="232" t="s">
        <v>3770</v>
      </c>
      <c r="AG42" s="232" t="s">
        <v>3771</v>
      </c>
      <c r="AH42" s="239">
        <f t="shared" si="0"/>
        <v>4590007606</v>
      </c>
      <c r="AJ42" s="239"/>
      <c r="AK42" s="240"/>
      <c r="AL42" s="302"/>
      <c r="AN42" s="239"/>
      <c r="AO42" s="241"/>
      <c r="AP42" s="302"/>
      <c r="AQ42" s="358" t="str">
        <f ca="1">IF(表格1[[#This Row],[PO$]]="","100%",表格1[[#This Row],[total amount]]/表格1[[#This Row],[PO$]])</f>
        <v>100%</v>
      </c>
      <c r="AR42" s="242"/>
      <c r="AS42" s="243"/>
      <c r="AT42" s="208"/>
      <c r="AU42" s="208" t="e">
        <f ca="1">VLOOKUP(表格1[[#This Row],[PO+ITEM]],#REF!,2,FALSE)</f>
        <v>#REF!</v>
      </c>
      <c r="AV42" s="341" t="e">
        <f ca="1">VLOOKUP(表格1[[#This Row],[PO+ITEM]],#REF!,3,FALSE)</f>
        <v>#REF!</v>
      </c>
      <c r="AW42" s="208" t="e">
        <f ca="1">VLOOKUP(表格1[[#This Row],[PO+ITEM]],#REF!,4,FALSE)</f>
        <v>#REF!</v>
      </c>
      <c r="AX42" s="208" t="e" cm="1" vm="1">
        <f t="array" aca="1" ref="AX42" ca="1">VLOOKUP(AI:AI,#REF!,1,FALSE)</f>
        <v>#VALUE!</v>
      </c>
    </row>
    <row r="43" spans="1:50">
      <c r="A43" s="220">
        <v>42</v>
      </c>
      <c r="B43" s="220" t="s">
        <v>3674</v>
      </c>
      <c r="C43" s="209" t="s">
        <v>17</v>
      </c>
      <c r="D43" s="209" t="s">
        <v>3648</v>
      </c>
      <c r="E43" s="209"/>
      <c r="F43" s="209"/>
      <c r="G43" s="209"/>
      <c r="H43" s="210" t="s">
        <v>3802</v>
      </c>
      <c r="I43" s="210"/>
      <c r="J43" s="211"/>
      <c r="K43" s="210"/>
      <c r="L43" s="212" t="s">
        <v>2999</v>
      </c>
      <c r="M43" s="212" t="s">
        <v>2999</v>
      </c>
      <c r="N43" s="213"/>
      <c r="O43" s="212">
        <v>4590007607</v>
      </c>
      <c r="P43" s="214">
        <v>44855</v>
      </c>
      <c r="Q43" s="334">
        <v>1</v>
      </c>
      <c r="R43" s="216">
        <v>23868</v>
      </c>
      <c r="S43" s="217" t="s">
        <v>2156</v>
      </c>
      <c r="T43" s="209" t="s">
        <v>3713</v>
      </c>
      <c r="U43" s="209" t="s">
        <v>3714</v>
      </c>
      <c r="V43" s="213" t="s">
        <v>3715</v>
      </c>
      <c r="W43" s="218" t="s">
        <v>3652</v>
      </c>
      <c r="X43" s="218" t="s">
        <v>3652</v>
      </c>
      <c r="Y43" s="212" t="s">
        <v>3767</v>
      </c>
      <c r="Z43" s="209" t="s">
        <v>3768</v>
      </c>
      <c r="AA43" s="215"/>
      <c r="AB43" s="218"/>
      <c r="AC43" s="217" t="e">
        <v>#N/A</v>
      </c>
      <c r="AD43" s="217">
        <v>91010</v>
      </c>
      <c r="AE43" s="217" t="s">
        <v>3803</v>
      </c>
      <c r="AF43" s="217" t="s">
        <v>3770</v>
      </c>
      <c r="AG43" s="217" t="s">
        <v>3771</v>
      </c>
      <c r="AH43" s="220">
        <f t="shared" si="0"/>
        <v>4590007607</v>
      </c>
      <c r="AI43" s="208" t="s">
        <v>3804</v>
      </c>
      <c r="AJ43" s="227">
        <v>45401</v>
      </c>
      <c r="AK43" s="221">
        <v>23868</v>
      </c>
      <c r="AL43" s="227" t="s">
        <v>3805</v>
      </c>
      <c r="AM43" s="208"/>
      <c r="AN43" s="220"/>
      <c r="AO43" s="222"/>
      <c r="AP43" s="227"/>
      <c r="AQ43" s="358">
        <f ca="1">IF(表格1[[#This Row],[PO$]]="","100%",表格1[[#This Row],[total amount]]/表格1[[#This Row],[PO$]])</f>
        <v>1</v>
      </c>
      <c r="AR43" s="223">
        <f ca="1">表格1[[#This Row],[invoice amount]]+表格1[[#This Row],[invoice amount2]]</f>
        <v>23868</v>
      </c>
      <c r="AS43" s="224" t="s">
        <v>3806</v>
      </c>
      <c r="AT43" s="208"/>
      <c r="AU43" s="208" t="e">
        <f ca="1">VLOOKUP(表格1[[#This Row],[PO+ITEM]],#REF!,2,FALSE)</f>
        <v>#REF!</v>
      </c>
      <c r="AV43" s="341" t="e">
        <f ca="1">VLOOKUP(表格1[[#This Row],[PO+ITEM]],#REF!,3,FALSE)</f>
        <v>#REF!</v>
      </c>
      <c r="AW43" s="208" t="e">
        <f ca="1">VLOOKUP(表格1[[#This Row],[PO+ITEM]],#REF!,4,FALSE)</f>
        <v>#REF!</v>
      </c>
      <c r="AX43" s="208" t="e" cm="1" vm="1">
        <f t="array" aca="1" ref="AX43" ca="1">VLOOKUP(AI:AI,#REF!,1,FALSE)</f>
        <v>#VALUE!</v>
      </c>
    </row>
    <row r="44" spans="1:50" ht="15.6">
      <c r="A44" s="220">
        <v>43</v>
      </c>
      <c r="B44" s="220" t="s">
        <v>3674</v>
      </c>
      <c r="C44" s="209" t="s">
        <v>17</v>
      </c>
      <c r="D44" s="209" t="s">
        <v>3648</v>
      </c>
      <c r="E44" s="209"/>
      <c r="F44" s="209"/>
      <c r="G44" s="209"/>
      <c r="H44" s="210" t="s">
        <v>3807</v>
      </c>
      <c r="I44" s="210"/>
      <c r="J44" s="211"/>
      <c r="K44" s="210"/>
      <c r="L44" s="212" t="s">
        <v>2999</v>
      </c>
      <c r="M44" s="212" t="s">
        <v>2999</v>
      </c>
      <c r="N44" s="213"/>
      <c r="O44" s="212">
        <v>4590007608</v>
      </c>
      <c r="P44" s="214">
        <v>44855</v>
      </c>
      <c r="Q44" s="334">
        <v>1</v>
      </c>
      <c r="R44" s="216">
        <v>25272</v>
      </c>
      <c r="S44" s="217" t="s">
        <v>2156</v>
      </c>
      <c r="T44" s="209" t="s">
        <v>3713</v>
      </c>
      <c r="U44" s="209" t="s">
        <v>3714</v>
      </c>
      <c r="V44" s="213" t="s">
        <v>3715</v>
      </c>
      <c r="W44" s="218" t="s">
        <v>3652</v>
      </c>
      <c r="X44" s="218" t="s">
        <v>3652</v>
      </c>
      <c r="Y44" s="212" t="s">
        <v>3767</v>
      </c>
      <c r="Z44" s="209" t="s">
        <v>3768</v>
      </c>
      <c r="AA44" s="215"/>
      <c r="AB44" s="218"/>
      <c r="AC44" s="217" t="e">
        <v>#N/A</v>
      </c>
      <c r="AD44" s="217">
        <v>90802</v>
      </c>
      <c r="AE44" s="217" t="s">
        <v>3808</v>
      </c>
      <c r="AF44" s="217" t="s">
        <v>3770</v>
      </c>
      <c r="AG44" s="217" t="s">
        <v>3771</v>
      </c>
      <c r="AH44" s="220">
        <f t="shared" si="0"/>
        <v>4590007608</v>
      </c>
      <c r="AI44" s="208" t="s">
        <v>3809</v>
      </c>
      <c r="AJ44" s="227">
        <v>45401</v>
      </c>
      <c r="AK44" s="221">
        <v>25272</v>
      </c>
      <c r="AL44" s="314">
        <v>45458</v>
      </c>
      <c r="AM44" s="208"/>
      <c r="AN44" s="220"/>
      <c r="AO44" s="222"/>
      <c r="AP44" s="227"/>
      <c r="AQ44" s="358">
        <f ca="1">IF(表格1[[#This Row],[PO$]]="","100%",表格1[[#This Row],[total amount]]/表格1[[#This Row],[PO$]])</f>
        <v>1</v>
      </c>
      <c r="AR44" s="223">
        <f ca="1">表格1[[#This Row],[invoice amount]]+表格1[[#This Row],[invoice amount2]]</f>
        <v>25272</v>
      </c>
      <c r="AS44" s="224" t="s">
        <v>3725</v>
      </c>
      <c r="AT44" s="208" t="s">
        <v>3773</v>
      </c>
      <c r="AU44" s="208" t="e">
        <f ca="1">VLOOKUP(表格1[[#This Row],[PO+ITEM]],#REF!,2,FALSE)</f>
        <v>#REF!</v>
      </c>
      <c r="AV44" s="341" t="e">
        <f ca="1">VLOOKUP(表格1[[#This Row],[PO+ITEM]],#REF!,3,FALSE)</f>
        <v>#REF!</v>
      </c>
      <c r="AW44" s="208" t="e">
        <f ca="1">VLOOKUP(表格1[[#This Row],[PO+ITEM]],#REF!,4,FALSE)</f>
        <v>#REF!</v>
      </c>
      <c r="AX44" s="208" t="e" cm="1" vm="1">
        <f t="array" aca="1" ref="AX44" ca="1">VLOOKUP(AI:AI,#REF!,1,FALSE)</f>
        <v>#VALUE!</v>
      </c>
    </row>
    <row r="45" spans="1:50">
      <c r="A45" s="220">
        <v>44</v>
      </c>
      <c r="B45" s="220" t="s">
        <v>3674</v>
      </c>
      <c r="C45" s="209" t="s">
        <v>17</v>
      </c>
      <c r="D45" s="209" t="s">
        <v>3648</v>
      </c>
      <c r="E45" s="209"/>
      <c r="F45" s="209"/>
      <c r="G45" s="209"/>
      <c r="H45" s="210" t="s">
        <v>3810</v>
      </c>
      <c r="I45" s="210"/>
      <c r="J45" s="211"/>
      <c r="K45" s="210"/>
      <c r="L45" s="212" t="s">
        <v>2999</v>
      </c>
      <c r="M45" s="212" t="s">
        <v>2999</v>
      </c>
      <c r="N45" s="213"/>
      <c r="O45" s="212">
        <v>4590007609</v>
      </c>
      <c r="P45" s="214">
        <v>44855</v>
      </c>
      <c r="Q45" s="334">
        <v>1</v>
      </c>
      <c r="R45" s="216">
        <v>25272</v>
      </c>
      <c r="S45" s="217" t="s">
        <v>2156</v>
      </c>
      <c r="T45" s="209" t="s">
        <v>3713</v>
      </c>
      <c r="U45" s="209" t="s">
        <v>3714</v>
      </c>
      <c r="V45" s="213" t="s">
        <v>3715</v>
      </c>
      <c r="W45" s="218" t="s">
        <v>3652</v>
      </c>
      <c r="X45" s="218" t="s">
        <v>3652</v>
      </c>
      <c r="Y45" s="212" t="s">
        <v>3767</v>
      </c>
      <c r="Z45" s="209" t="s">
        <v>3768</v>
      </c>
      <c r="AA45" s="215"/>
      <c r="AB45" s="218"/>
      <c r="AC45" s="217" t="e">
        <v>#N/A</v>
      </c>
      <c r="AD45" s="217">
        <v>90803</v>
      </c>
      <c r="AE45" s="217" t="s">
        <v>3811</v>
      </c>
      <c r="AF45" s="217" t="s">
        <v>3770</v>
      </c>
      <c r="AG45" s="217" t="s">
        <v>3771</v>
      </c>
      <c r="AH45" s="220">
        <f t="shared" si="0"/>
        <v>4590007609</v>
      </c>
      <c r="AI45" s="208" t="s">
        <v>3812</v>
      </c>
      <c r="AJ45" s="227">
        <v>45401</v>
      </c>
      <c r="AK45" s="221">
        <v>25272</v>
      </c>
      <c r="AL45" s="227" t="s">
        <v>3805</v>
      </c>
      <c r="AM45" s="208"/>
      <c r="AN45" s="220"/>
      <c r="AO45" s="222"/>
      <c r="AP45" s="227"/>
      <c r="AQ45" s="358">
        <f ca="1">IF(表格1[[#This Row],[PO$]]="","100%",表格1[[#This Row],[total amount]]/表格1[[#This Row],[PO$]])</f>
        <v>1</v>
      </c>
      <c r="AR45" s="223">
        <f ca="1">表格1[[#This Row],[invoice amount]]+表格1[[#This Row],[invoice amount2]]</f>
        <v>25272</v>
      </c>
      <c r="AS45" s="224" t="s">
        <v>3806</v>
      </c>
      <c r="AT45" s="208"/>
      <c r="AU45" s="208" t="e">
        <f ca="1">VLOOKUP(表格1[[#This Row],[PO+ITEM]],#REF!,2,FALSE)</f>
        <v>#REF!</v>
      </c>
      <c r="AV45" s="341" t="e">
        <f ca="1">VLOOKUP(表格1[[#This Row],[PO+ITEM]],#REF!,3,FALSE)</f>
        <v>#REF!</v>
      </c>
      <c r="AW45" s="208" t="e">
        <f ca="1">VLOOKUP(表格1[[#This Row],[PO+ITEM]],#REF!,4,FALSE)</f>
        <v>#REF!</v>
      </c>
      <c r="AX45" s="208" t="e" cm="1" vm="1">
        <f t="array" aca="1" ref="AX45" ca="1">VLOOKUP(AI:AI,#REF!,1,FALSE)</f>
        <v>#VALUE!</v>
      </c>
    </row>
    <row r="46" spans="1:50">
      <c r="A46" s="220">
        <v>45</v>
      </c>
      <c r="B46" s="220" t="s">
        <v>3659</v>
      </c>
      <c r="C46" s="209" t="s">
        <v>17</v>
      </c>
      <c r="D46" s="209" t="s">
        <v>3648</v>
      </c>
      <c r="E46" s="209"/>
      <c r="F46" s="209"/>
      <c r="G46" s="209"/>
      <c r="H46" s="210" t="s">
        <v>3813</v>
      </c>
      <c r="I46" s="210"/>
      <c r="J46" s="211"/>
      <c r="K46" s="210"/>
      <c r="L46" s="212" t="s">
        <v>2999</v>
      </c>
      <c r="M46" s="212" t="s">
        <v>2999</v>
      </c>
      <c r="N46" s="213"/>
      <c r="O46" s="212">
        <v>4590007610</v>
      </c>
      <c r="P46" s="214">
        <v>44855</v>
      </c>
      <c r="Q46" s="334">
        <v>1</v>
      </c>
      <c r="R46" s="216">
        <v>25272</v>
      </c>
      <c r="S46" s="217" t="s">
        <v>2156</v>
      </c>
      <c r="T46" s="209" t="s">
        <v>3713</v>
      </c>
      <c r="U46" s="209" t="s">
        <v>3714</v>
      </c>
      <c r="V46" s="213" t="s">
        <v>3715</v>
      </c>
      <c r="W46" s="218" t="s">
        <v>3652</v>
      </c>
      <c r="X46" s="218" t="s">
        <v>3652</v>
      </c>
      <c r="Y46" s="212" t="s">
        <v>3767</v>
      </c>
      <c r="Z46" s="209" t="s">
        <v>3768</v>
      </c>
      <c r="AA46" s="215"/>
      <c r="AB46" s="218"/>
      <c r="AC46" s="217" t="e">
        <v>#N/A</v>
      </c>
      <c r="AD46" s="217">
        <v>91345</v>
      </c>
      <c r="AE46" s="217" t="s">
        <v>3814</v>
      </c>
      <c r="AF46" s="217" t="s">
        <v>3770</v>
      </c>
      <c r="AG46" s="217" t="s">
        <v>3771</v>
      </c>
      <c r="AH46" s="220">
        <f t="shared" si="0"/>
        <v>4590007610</v>
      </c>
      <c r="AI46" s="208"/>
      <c r="AJ46" s="220"/>
      <c r="AK46" s="221"/>
      <c r="AL46" s="227"/>
      <c r="AM46" s="208"/>
      <c r="AN46" s="220"/>
      <c r="AO46" s="222"/>
      <c r="AP46" s="227"/>
      <c r="AQ46" s="358">
        <f ca="1">IF(表格1[[#This Row],[PO$]]="","100%",表格1[[#This Row],[total amount]]/表格1[[#This Row],[PO$]])</f>
        <v>0</v>
      </c>
      <c r="AR46" s="223">
        <f ca="1">表格1[[#This Row],[invoice amount]]+表格1[[#This Row],[invoice amount2]]</f>
        <v>0</v>
      </c>
      <c r="AS46" s="224"/>
      <c r="AT46" s="208"/>
      <c r="AU46" s="208" t="e">
        <f ca="1">VLOOKUP(表格1[[#This Row],[PO+ITEM]],#REF!,2,FALSE)</f>
        <v>#REF!</v>
      </c>
      <c r="AV46" s="341" t="e">
        <f ca="1">VLOOKUP(表格1[[#This Row],[PO+ITEM]],#REF!,3,FALSE)</f>
        <v>#REF!</v>
      </c>
      <c r="AW46" s="208" t="e">
        <f ca="1">VLOOKUP(表格1[[#This Row],[PO+ITEM]],#REF!,4,FALSE)</f>
        <v>#REF!</v>
      </c>
      <c r="AX46" s="208" t="e" cm="1" vm="1">
        <f t="array" aca="1" ref="AX46" ca="1">VLOOKUP(AI:AI,#REF!,1,FALSE)</f>
        <v>#VALUE!</v>
      </c>
    </row>
    <row r="47" spans="1:50">
      <c r="A47" s="220">
        <v>46</v>
      </c>
      <c r="B47" s="220" t="s">
        <v>3659</v>
      </c>
      <c r="C47" s="209" t="s">
        <v>17</v>
      </c>
      <c r="D47" s="209" t="s">
        <v>3648</v>
      </c>
      <c r="E47" s="209"/>
      <c r="F47" s="209"/>
      <c r="G47" s="209"/>
      <c r="H47" s="217" t="s">
        <v>3815</v>
      </c>
      <c r="I47" s="217"/>
      <c r="J47" s="215"/>
      <c r="K47" s="217"/>
      <c r="L47" s="212" t="s">
        <v>2999</v>
      </c>
      <c r="M47" s="212" t="s">
        <v>2999</v>
      </c>
      <c r="N47" s="213"/>
      <c r="O47" s="212">
        <v>4590007611</v>
      </c>
      <c r="P47" s="214">
        <v>44855</v>
      </c>
      <c r="Q47" s="334">
        <v>1</v>
      </c>
      <c r="R47" s="216">
        <v>25272</v>
      </c>
      <c r="S47" s="217" t="s">
        <v>2156</v>
      </c>
      <c r="T47" s="209" t="s">
        <v>3713</v>
      </c>
      <c r="U47" s="209" t="s">
        <v>3714</v>
      </c>
      <c r="V47" s="213" t="s">
        <v>3715</v>
      </c>
      <c r="W47" s="218" t="s">
        <v>3652</v>
      </c>
      <c r="X47" s="218" t="s">
        <v>3652</v>
      </c>
      <c r="Y47" s="212" t="s">
        <v>3767</v>
      </c>
      <c r="Z47" s="209" t="s">
        <v>3768</v>
      </c>
      <c r="AA47" s="215"/>
      <c r="AB47" s="218"/>
      <c r="AC47" s="217" t="e">
        <v>#N/A</v>
      </c>
      <c r="AD47" s="217">
        <v>91346</v>
      </c>
      <c r="AE47" s="217" t="s">
        <v>3816</v>
      </c>
      <c r="AF47" s="217" t="s">
        <v>3770</v>
      </c>
      <c r="AG47" s="217" t="s">
        <v>3771</v>
      </c>
      <c r="AH47" s="220">
        <f t="shared" si="0"/>
        <v>4590007611</v>
      </c>
      <c r="AI47" s="208"/>
      <c r="AJ47" s="220"/>
      <c r="AK47" s="221"/>
      <c r="AL47" s="227"/>
      <c r="AM47" s="208"/>
      <c r="AN47" s="220"/>
      <c r="AO47" s="222"/>
      <c r="AP47" s="227"/>
      <c r="AQ47" s="358">
        <f ca="1">IF(表格1[[#This Row],[PO$]]="","100%",表格1[[#This Row],[total amount]]/表格1[[#This Row],[PO$]])</f>
        <v>0</v>
      </c>
      <c r="AR47" s="223">
        <f ca="1">表格1[[#This Row],[invoice amount]]+表格1[[#This Row],[invoice amount2]]</f>
        <v>0</v>
      </c>
      <c r="AS47" s="224"/>
      <c r="AT47" s="208"/>
      <c r="AU47" s="208" t="e">
        <f ca="1">VLOOKUP(表格1[[#This Row],[PO+ITEM]],#REF!,2,FALSE)</f>
        <v>#REF!</v>
      </c>
      <c r="AV47" s="341" t="e">
        <f ca="1">VLOOKUP(表格1[[#This Row],[PO+ITEM]],#REF!,3,FALSE)</f>
        <v>#REF!</v>
      </c>
      <c r="AW47" s="208" t="e">
        <f ca="1">VLOOKUP(表格1[[#This Row],[PO+ITEM]],#REF!,4,FALSE)</f>
        <v>#REF!</v>
      </c>
      <c r="AX47" s="208" t="e" cm="1" vm="1">
        <f t="array" aca="1" ref="AX47" ca="1">VLOOKUP(AI:AI,#REF!,1,FALSE)</f>
        <v>#VALUE!</v>
      </c>
    </row>
    <row r="48" spans="1:50">
      <c r="A48" s="220">
        <v>47</v>
      </c>
      <c r="B48" s="220" t="s">
        <v>3659</v>
      </c>
      <c r="C48" s="209" t="s">
        <v>17</v>
      </c>
      <c r="D48" s="209" t="s">
        <v>3648</v>
      </c>
      <c r="E48" s="209"/>
      <c r="F48" s="209"/>
      <c r="G48" s="209"/>
      <c r="H48" s="210" t="s">
        <v>3817</v>
      </c>
      <c r="I48" s="210"/>
      <c r="J48" s="211"/>
      <c r="K48" s="210"/>
      <c r="L48" s="212" t="s">
        <v>2999</v>
      </c>
      <c r="M48" s="212" t="s">
        <v>2999</v>
      </c>
      <c r="N48" s="213"/>
      <c r="O48" s="212">
        <v>4590007612</v>
      </c>
      <c r="P48" s="214">
        <v>44855</v>
      </c>
      <c r="Q48" s="334">
        <v>1</v>
      </c>
      <c r="R48" s="216">
        <v>25272</v>
      </c>
      <c r="S48" s="217" t="s">
        <v>2156</v>
      </c>
      <c r="T48" s="209" t="s">
        <v>3713</v>
      </c>
      <c r="U48" s="209" t="s">
        <v>3714</v>
      </c>
      <c r="V48" s="213" t="s">
        <v>3715</v>
      </c>
      <c r="W48" s="218" t="s">
        <v>3652</v>
      </c>
      <c r="X48" s="218" t="s">
        <v>3652</v>
      </c>
      <c r="Y48" s="212" t="s">
        <v>3767</v>
      </c>
      <c r="Z48" s="209" t="s">
        <v>3768</v>
      </c>
      <c r="AA48" s="215"/>
      <c r="AB48" s="218"/>
      <c r="AC48" s="217" t="e">
        <v>#N/A</v>
      </c>
      <c r="AD48" s="217">
        <v>91347</v>
      </c>
      <c r="AE48" s="217" t="s">
        <v>3818</v>
      </c>
      <c r="AF48" s="217" t="s">
        <v>3770</v>
      </c>
      <c r="AG48" s="217" t="s">
        <v>3771</v>
      </c>
      <c r="AH48" s="220">
        <f t="shared" si="0"/>
        <v>4590007612</v>
      </c>
      <c r="AI48" s="208"/>
      <c r="AJ48" s="220"/>
      <c r="AK48" s="221"/>
      <c r="AL48" s="227"/>
      <c r="AM48" s="208"/>
      <c r="AN48" s="220"/>
      <c r="AO48" s="222"/>
      <c r="AP48" s="227"/>
      <c r="AQ48" s="358">
        <f ca="1">IF(表格1[[#This Row],[PO$]]="","100%",表格1[[#This Row],[total amount]]/表格1[[#This Row],[PO$]])</f>
        <v>0</v>
      </c>
      <c r="AR48" s="223">
        <f ca="1">表格1[[#This Row],[invoice amount]]+表格1[[#This Row],[invoice amount2]]</f>
        <v>0</v>
      </c>
      <c r="AS48" s="224"/>
      <c r="AT48" s="208"/>
      <c r="AU48" s="208" t="e">
        <f ca="1">VLOOKUP(表格1[[#This Row],[PO+ITEM]],#REF!,2,FALSE)</f>
        <v>#REF!</v>
      </c>
      <c r="AV48" s="341" t="e">
        <f ca="1">VLOOKUP(表格1[[#This Row],[PO+ITEM]],#REF!,3,FALSE)</f>
        <v>#REF!</v>
      </c>
      <c r="AW48" s="208" t="e">
        <f ca="1">VLOOKUP(表格1[[#This Row],[PO+ITEM]],#REF!,4,FALSE)</f>
        <v>#REF!</v>
      </c>
      <c r="AX48" s="208" t="e" cm="1" vm="1">
        <f t="array" aca="1" ref="AX48" ca="1">VLOOKUP(AI:AI,#REF!,1,FALSE)</f>
        <v>#VALUE!</v>
      </c>
    </row>
    <row r="49" spans="1:50" ht="15.6">
      <c r="A49" s="220">
        <v>48</v>
      </c>
      <c r="B49" s="220" t="s">
        <v>3674</v>
      </c>
      <c r="C49" s="209" t="s">
        <v>17</v>
      </c>
      <c r="D49" s="209" t="s">
        <v>3648</v>
      </c>
      <c r="E49" s="209"/>
      <c r="F49" s="209"/>
      <c r="G49" s="209"/>
      <c r="H49" s="210" t="s">
        <v>3819</v>
      </c>
      <c r="I49" s="210"/>
      <c r="J49" s="211"/>
      <c r="K49" s="210"/>
      <c r="L49" s="212" t="s">
        <v>2999</v>
      </c>
      <c r="M49" s="212" t="s">
        <v>2999</v>
      </c>
      <c r="N49" s="213"/>
      <c r="O49" s="212">
        <v>4590007613</v>
      </c>
      <c r="P49" s="214">
        <v>44855</v>
      </c>
      <c r="Q49" s="334">
        <v>1</v>
      </c>
      <c r="R49" s="216">
        <v>25272</v>
      </c>
      <c r="S49" s="217" t="s">
        <v>2156</v>
      </c>
      <c r="T49" s="209" t="s">
        <v>3713</v>
      </c>
      <c r="U49" s="209" t="s">
        <v>3714</v>
      </c>
      <c r="V49" s="213" t="s">
        <v>3715</v>
      </c>
      <c r="W49" s="218" t="s">
        <v>3652</v>
      </c>
      <c r="X49" s="218" t="s">
        <v>3652</v>
      </c>
      <c r="Y49" s="212" t="s">
        <v>3767</v>
      </c>
      <c r="Z49" s="209" t="s">
        <v>3768</v>
      </c>
      <c r="AA49" s="215"/>
      <c r="AB49" s="218"/>
      <c r="AC49" s="217" t="e">
        <v>#N/A</v>
      </c>
      <c r="AD49" s="217">
        <v>90555</v>
      </c>
      <c r="AE49" s="217" t="s">
        <v>3820</v>
      </c>
      <c r="AF49" s="217" t="s">
        <v>3770</v>
      </c>
      <c r="AG49" s="217" t="s">
        <v>3771</v>
      </c>
      <c r="AH49" s="220">
        <f t="shared" si="0"/>
        <v>4590007613</v>
      </c>
      <c r="AI49" s="208" t="s">
        <v>3821</v>
      </c>
      <c r="AJ49" s="227">
        <v>45429</v>
      </c>
      <c r="AK49" s="222">
        <v>25272</v>
      </c>
      <c r="AL49" s="314" t="s">
        <v>6691</v>
      </c>
      <c r="AM49" s="208"/>
      <c r="AN49" s="220"/>
      <c r="AO49" s="222"/>
      <c r="AP49" s="227"/>
      <c r="AQ49" s="358">
        <f ca="1">IF(表格1[[#This Row],[PO$]]="","100%",表格1[[#This Row],[total amount]]/表格1[[#This Row],[PO$]])</f>
        <v>1</v>
      </c>
      <c r="AR49" s="223">
        <f ca="1">表格1[[#This Row],[invoice amount]]+表格1[[#This Row],[invoice amount2]]</f>
        <v>25272</v>
      </c>
      <c r="AS49" s="224" t="s">
        <v>3789</v>
      </c>
      <c r="AT49" s="208" t="s">
        <v>3773</v>
      </c>
      <c r="AU49" s="208" t="e">
        <f ca="1">VLOOKUP(表格1[[#This Row],[PO+ITEM]],#REF!,2,FALSE)</f>
        <v>#REF!</v>
      </c>
      <c r="AV49" s="341" t="e">
        <f ca="1">VLOOKUP(表格1[[#This Row],[PO+ITEM]],#REF!,3,FALSE)</f>
        <v>#REF!</v>
      </c>
      <c r="AW49" s="208" t="e">
        <f ca="1">VLOOKUP(表格1[[#This Row],[PO+ITEM]],#REF!,4,FALSE)</f>
        <v>#REF!</v>
      </c>
      <c r="AX49" s="208" t="e" cm="1" vm="1">
        <f t="array" aca="1" ref="AX49" ca="1">VLOOKUP(AI:AI,#REF!,1,FALSE)</f>
        <v>#VALUE!</v>
      </c>
    </row>
    <row r="50" spans="1:50">
      <c r="A50" s="220">
        <v>49</v>
      </c>
      <c r="B50" s="220" t="s">
        <v>3674</v>
      </c>
      <c r="C50" s="209" t="s">
        <v>17</v>
      </c>
      <c r="D50" s="209" t="s">
        <v>3648</v>
      </c>
      <c r="E50" s="209"/>
      <c r="F50" s="209"/>
      <c r="G50" s="209"/>
      <c r="H50" s="210" t="s">
        <v>3822</v>
      </c>
      <c r="I50" s="210"/>
      <c r="J50" s="211"/>
      <c r="K50" s="210"/>
      <c r="L50" s="212" t="s">
        <v>2999</v>
      </c>
      <c r="M50" s="212" t="s">
        <v>2999</v>
      </c>
      <c r="N50" s="213"/>
      <c r="O50" s="212">
        <v>4590007614</v>
      </c>
      <c r="P50" s="214">
        <v>44855</v>
      </c>
      <c r="Q50" s="334">
        <v>1</v>
      </c>
      <c r="R50" s="216">
        <v>25272</v>
      </c>
      <c r="S50" s="217" t="s">
        <v>2156</v>
      </c>
      <c r="T50" s="209" t="s">
        <v>3713</v>
      </c>
      <c r="U50" s="209" t="s">
        <v>3714</v>
      </c>
      <c r="V50" s="213" t="s">
        <v>3715</v>
      </c>
      <c r="W50" s="218" t="s">
        <v>3652</v>
      </c>
      <c r="X50" s="218" t="s">
        <v>3652</v>
      </c>
      <c r="Y50" s="212" t="s">
        <v>3767</v>
      </c>
      <c r="Z50" s="209" t="s">
        <v>3768</v>
      </c>
      <c r="AA50" s="215"/>
      <c r="AB50" s="218"/>
      <c r="AC50" s="217" t="e">
        <v>#N/A</v>
      </c>
      <c r="AD50" s="217">
        <v>90556</v>
      </c>
      <c r="AE50" s="217" t="s">
        <v>3823</v>
      </c>
      <c r="AF50" s="217" t="s">
        <v>3770</v>
      </c>
      <c r="AG50" s="217" t="s">
        <v>3771</v>
      </c>
      <c r="AH50" s="220">
        <f t="shared" si="0"/>
        <v>4590007614</v>
      </c>
      <c r="AI50" s="208" t="s">
        <v>3824</v>
      </c>
      <c r="AJ50" s="227">
        <v>45401</v>
      </c>
      <c r="AK50" s="221">
        <v>25272</v>
      </c>
      <c r="AL50" s="227" t="s">
        <v>3805</v>
      </c>
      <c r="AM50" s="208"/>
      <c r="AN50" s="220"/>
      <c r="AO50" s="222"/>
      <c r="AP50" s="227"/>
      <c r="AQ50" s="358">
        <f ca="1">IF(表格1[[#This Row],[PO$]]="","100%",表格1[[#This Row],[total amount]]/表格1[[#This Row],[PO$]])</f>
        <v>1</v>
      </c>
      <c r="AR50" s="223">
        <f ca="1">表格1[[#This Row],[invoice amount]]+表格1[[#This Row],[invoice amount2]]</f>
        <v>25272</v>
      </c>
      <c r="AS50" s="224" t="s">
        <v>3806</v>
      </c>
      <c r="AT50" s="208"/>
      <c r="AU50" s="208" t="e">
        <f ca="1">VLOOKUP(表格1[[#This Row],[PO+ITEM]],#REF!,2,FALSE)</f>
        <v>#REF!</v>
      </c>
      <c r="AV50" s="341" t="e">
        <f ca="1">VLOOKUP(表格1[[#This Row],[PO+ITEM]],#REF!,3,FALSE)</f>
        <v>#REF!</v>
      </c>
      <c r="AW50" s="208" t="e">
        <f ca="1">VLOOKUP(表格1[[#This Row],[PO+ITEM]],#REF!,4,FALSE)</f>
        <v>#REF!</v>
      </c>
      <c r="AX50" s="208" t="e" cm="1" vm="1">
        <f t="array" aca="1" ref="AX50" ca="1">VLOOKUP(AI:AI,#REF!,1,FALSE)</f>
        <v>#VALUE!</v>
      </c>
    </row>
    <row r="51" spans="1:50">
      <c r="A51" s="220">
        <v>50</v>
      </c>
      <c r="B51" s="220" t="s">
        <v>3674</v>
      </c>
      <c r="C51" s="209" t="s">
        <v>17</v>
      </c>
      <c r="D51" s="209" t="s">
        <v>3648</v>
      </c>
      <c r="E51" s="209"/>
      <c r="F51" s="209"/>
      <c r="G51" s="209"/>
      <c r="H51" s="210" t="s">
        <v>3825</v>
      </c>
      <c r="I51" s="210"/>
      <c r="J51" s="211"/>
      <c r="K51" s="210"/>
      <c r="L51" s="212" t="s">
        <v>2999</v>
      </c>
      <c r="M51" s="212" t="s">
        <v>2999</v>
      </c>
      <c r="N51" s="213"/>
      <c r="O51" s="212">
        <v>4590007618</v>
      </c>
      <c r="P51" s="214">
        <v>44855</v>
      </c>
      <c r="Q51" s="334">
        <v>1</v>
      </c>
      <c r="R51" s="216">
        <v>31846</v>
      </c>
      <c r="S51" s="217" t="s">
        <v>2156</v>
      </c>
      <c r="T51" s="209" t="s">
        <v>3713</v>
      </c>
      <c r="U51" s="209" t="s">
        <v>3714</v>
      </c>
      <c r="V51" s="213" t="s">
        <v>3715</v>
      </c>
      <c r="W51" s="218" t="s">
        <v>3652</v>
      </c>
      <c r="X51" s="218" t="s">
        <v>3652</v>
      </c>
      <c r="Y51" s="212">
        <v>0</v>
      </c>
      <c r="Z51" s="209" t="s">
        <v>3826</v>
      </c>
      <c r="AA51" s="215"/>
      <c r="AB51" s="218"/>
      <c r="AC51" s="217" t="e">
        <v>#N/A</v>
      </c>
      <c r="AD51" s="217">
        <v>90132</v>
      </c>
      <c r="AE51" s="217" t="s">
        <v>3827</v>
      </c>
      <c r="AF51" s="217" t="s">
        <v>3828</v>
      </c>
      <c r="AG51" s="217" t="s">
        <v>3719</v>
      </c>
      <c r="AH51" s="220">
        <f t="shared" si="0"/>
        <v>4590007618</v>
      </c>
      <c r="AI51" s="208" t="s">
        <v>3829</v>
      </c>
      <c r="AJ51" s="227">
        <v>45401</v>
      </c>
      <c r="AK51" s="221">
        <v>31846</v>
      </c>
      <c r="AL51" s="227" t="s">
        <v>3805</v>
      </c>
      <c r="AM51" s="208"/>
      <c r="AN51" s="220"/>
      <c r="AO51" s="222"/>
      <c r="AP51" s="227"/>
      <c r="AQ51" s="358">
        <f ca="1">IF(表格1[[#This Row],[PO$]]="","100%",表格1[[#This Row],[total amount]]/表格1[[#This Row],[PO$]])</f>
        <v>1</v>
      </c>
      <c r="AR51" s="223">
        <f ca="1">表格1[[#This Row],[invoice amount]]+表格1[[#This Row],[invoice amount2]]</f>
        <v>31846</v>
      </c>
      <c r="AS51" s="224" t="s">
        <v>3806</v>
      </c>
      <c r="AT51" s="208"/>
      <c r="AU51" s="208" t="e">
        <f ca="1">VLOOKUP(表格1[[#This Row],[PO+ITEM]],#REF!,2,FALSE)</f>
        <v>#REF!</v>
      </c>
      <c r="AV51" s="341" t="e">
        <f ca="1">VLOOKUP(表格1[[#This Row],[PO+ITEM]],#REF!,3,FALSE)</f>
        <v>#REF!</v>
      </c>
      <c r="AW51" s="208" t="e">
        <f ca="1">VLOOKUP(表格1[[#This Row],[PO+ITEM]],#REF!,4,FALSE)</f>
        <v>#REF!</v>
      </c>
      <c r="AX51" s="208" t="e" cm="1" vm="1">
        <f t="array" aca="1" ref="AX51" ca="1">VLOOKUP(AI:AI,#REF!,1,FALSE)</f>
        <v>#VALUE!</v>
      </c>
    </row>
    <row r="52" spans="1:50" ht="15.6">
      <c r="A52" s="220">
        <v>51</v>
      </c>
      <c r="B52" s="220" t="s">
        <v>3674</v>
      </c>
      <c r="C52" s="209" t="s">
        <v>17</v>
      </c>
      <c r="D52" s="209" t="s">
        <v>3648</v>
      </c>
      <c r="E52" s="209"/>
      <c r="F52" s="209"/>
      <c r="G52" s="209"/>
      <c r="H52" s="210" t="s">
        <v>3830</v>
      </c>
      <c r="I52" s="210"/>
      <c r="J52" s="211"/>
      <c r="K52" s="210"/>
      <c r="L52" s="212" t="s">
        <v>2999</v>
      </c>
      <c r="M52" s="212" t="s">
        <v>2999</v>
      </c>
      <c r="N52" s="213"/>
      <c r="O52" s="212">
        <v>4590007619</v>
      </c>
      <c r="P52" s="214">
        <v>44855</v>
      </c>
      <c r="Q52" s="334">
        <v>1</v>
      </c>
      <c r="R52" s="216">
        <v>83170</v>
      </c>
      <c r="S52" s="217" t="s">
        <v>2156</v>
      </c>
      <c r="T52" s="209" t="s">
        <v>3713</v>
      </c>
      <c r="U52" s="209" t="s">
        <v>3714</v>
      </c>
      <c r="V52" s="213" t="s">
        <v>3715</v>
      </c>
      <c r="W52" s="218" t="s">
        <v>3652</v>
      </c>
      <c r="X52" s="218" t="s">
        <v>3652</v>
      </c>
      <c r="Y52" s="212" t="s">
        <v>3727</v>
      </c>
      <c r="Z52" s="209" t="s">
        <v>3831</v>
      </c>
      <c r="AA52" s="215"/>
      <c r="AB52" s="218"/>
      <c r="AC52" s="217" t="e">
        <v>#N/A</v>
      </c>
      <c r="AD52" s="217">
        <v>90421</v>
      </c>
      <c r="AE52" s="217" t="s">
        <v>3832</v>
      </c>
      <c r="AF52" s="217" t="s">
        <v>3718</v>
      </c>
      <c r="AG52" s="217" t="s">
        <v>3719</v>
      </c>
      <c r="AH52" s="220">
        <f t="shared" si="0"/>
        <v>4590007619</v>
      </c>
      <c r="AI52" s="208" t="s">
        <v>3833</v>
      </c>
      <c r="AJ52" s="227">
        <v>45401</v>
      </c>
      <c r="AK52" s="221">
        <v>83170</v>
      </c>
      <c r="AL52" s="345">
        <v>45458</v>
      </c>
      <c r="AM52" s="208"/>
      <c r="AN52" s="220"/>
      <c r="AO52" s="222"/>
      <c r="AP52" s="227"/>
      <c r="AQ52" s="358">
        <f ca="1">IF(表格1[[#This Row],[PO$]]="","100%",表格1[[#This Row],[total amount]]/表格1[[#This Row],[PO$]])</f>
        <v>1</v>
      </c>
      <c r="AR52" s="223">
        <f ca="1">表格1[[#This Row],[invoice amount]]+表格1[[#This Row],[invoice amount2]]</f>
        <v>83170</v>
      </c>
      <c r="AS52" s="224" t="s">
        <v>3725</v>
      </c>
      <c r="AT52" s="208"/>
      <c r="AU52" s="208" t="e">
        <f ca="1">VLOOKUP(表格1[[#This Row],[PO+ITEM]],#REF!,2,FALSE)</f>
        <v>#REF!</v>
      </c>
      <c r="AV52" s="341" t="e">
        <f ca="1">VLOOKUP(表格1[[#This Row],[PO+ITEM]],#REF!,3,FALSE)</f>
        <v>#REF!</v>
      </c>
      <c r="AW52" s="208" t="e">
        <f ca="1">VLOOKUP(表格1[[#This Row],[PO+ITEM]],#REF!,4,FALSE)</f>
        <v>#REF!</v>
      </c>
      <c r="AX52" s="208" t="e" cm="1" vm="1">
        <f t="array" aca="1" ref="AX52" ca="1">VLOOKUP(AI:AI,#REF!,1,FALSE)</f>
        <v>#VALUE!</v>
      </c>
    </row>
    <row r="53" spans="1:50">
      <c r="A53" s="220">
        <v>52</v>
      </c>
      <c r="B53" s="220" t="s">
        <v>3659</v>
      </c>
      <c r="C53" s="209" t="s">
        <v>17</v>
      </c>
      <c r="D53" s="209" t="s">
        <v>3648</v>
      </c>
      <c r="E53" s="209"/>
      <c r="F53" s="209"/>
      <c r="G53" s="209"/>
      <c r="H53" s="210" t="s">
        <v>3834</v>
      </c>
      <c r="I53" s="210"/>
      <c r="J53" s="211"/>
      <c r="K53" s="210"/>
      <c r="L53" s="212" t="s">
        <v>2999</v>
      </c>
      <c r="M53" s="212" t="s">
        <v>2999</v>
      </c>
      <c r="N53" s="213"/>
      <c r="O53" s="212">
        <v>4590007623</v>
      </c>
      <c r="P53" s="214">
        <v>44855</v>
      </c>
      <c r="Q53" s="334">
        <v>1</v>
      </c>
      <c r="R53" s="216">
        <v>96163</v>
      </c>
      <c r="S53" s="217" t="s">
        <v>2156</v>
      </c>
      <c r="T53" s="209" t="s">
        <v>3713</v>
      </c>
      <c r="U53" s="209" t="s">
        <v>3714</v>
      </c>
      <c r="V53" s="213" t="s">
        <v>3715</v>
      </c>
      <c r="W53" s="218" t="s">
        <v>3652</v>
      </c>
      <c r="X53" s="218" t="s">
        <v>3652</v>
      </c>
      <c r="Y53" s="212">
        <v>0</v>
      </c>
      <c r="Z53" s="209" t="s">
        <v>3835</v>
      </c>
      <c r="AA53" s="215"/>
      <c r="AB53" s="218"/>
      <c r="AC53" s="217" t="e">
        <v>#N/A</v>
      </c>
      <c r="AD53" s="217">
        <v>91283</v>
      </c>
      <c r="AE53" s="217" t="s">
        <v>3836</v>
      </c>
      <c r="AF53" s="217" t="s">
        <v>3718</v>
      </c>
      <c r="AG53" s="217" t="s">
        <v>3719</v>
      </c>
      <c r="AH53" s="220">
        <f t="shared" si="0"/>
        <v>4590007623</v>
      </c>
      <c r="AI53" s="208"/>
      <c r="AJ53" s="220"/>
      <c r="AK53" s="221"/>
      <c r="AL53" s="227"/>
      <c r="AM53" s="208"/>
      <c r="AN53" s="220"/>
      <c r="AO53" s="222"/>
      <c r="AP53" s="227"/>
      <c r="AQ53" s="358">
        <f ca="1">IF(表格1[[#This Row],[PO$]]="","100%",表格1[[#This Row],[total amount]]/表格1[[#This Row],[PO$]])</f>
        <v>0</v>
      </c>
      <c r="AR53" s="223">
        <f ca="1">表格1[[#This Row],[invoice amount]]+表格1[[#This Row],[invoice amount2]]</f>
        <v>0</v>
      </c>
      <c r="AS53" s="224"/>
      <c r="AT53" s="208"/>
      <c r="AU53" s="208" t="e">
        <f ca="1">VLOOKUP(表格1[[#This Row],[PO+ITEM]],#REF!,2,FALSE)</f>
        <v>#REF!</v>
      </c>
      <c r="AV53" s="341" t="e">
        <f ca="1">VLOOKUP(表格1[[#This Row],[PO+ITEM]],#REF!,3,FALSE)</f>
        <v>#REF!</v>
      </c>
      <c r="AW53" s="208" t="e">
        <f ca="1">VLOOKUP(表格1[[#This Row],[PO+ITEM]],#REF!,4,FALSE)</f>
        <v>#REF!</v>
      </c>
      <c r="AX53" s="208" t="e" cm="1" vm="1">
        <f t="array" aca="1" ref="AX53" ca="1">VLOOKUP(AI:AI,#REF!,1,FALSE)</f>
        <v>#VALUE!</v>
      </c>
    </row>
    <row r="54" spans="1:50">
      <c r="A54" s="220">
        <v>53</v>
      </c>
      <c r="B54" s="220" t="s">
        <v>3674</v>
      </c>
      <c r="C54" s="209" t="s">
        <v>17</v>
      </c>
      <c r="D54" s="209" t="s">
        <v>3648</v>
      </c>
      <c r="E54" s="209"/>
      <c r="F54" s="209"/>
      <c r="G54" s="209"/>
      <c r="H54" s="210" t="s">
        <v>3837</v>
      </c>
      <c r="I54" s="210"/>
      <c r="J54" s="211"/>
      <c r="K54" s="210"/>
      <c r="L54" s="212" t="s">
        <v>2999</v>
      </c>
      <c r="M54" s="212" t="s">
        <v>2999</v>
      </c>
      <c r="N54" s="213"/>
      <c r="O54" s="212">
        <v>4590007625</v>
      </c>
      <c r="P54" s="214">
        <v>44855</v>
      </c>
      <c r="Q54" s="334">
        <v>1</v>
      </c>
      <c r="R54" s="216">
        <v>122834</v>
      </c>
      <c r="S54" s="217" t="s">
        <v>2156</v>
      </c>
      <c r="T54" s="209" t="s">
        <v>3713</v>
      </c>
      <c r="U54" s="209" t="s">
        <v>3714</v>
      </c>
      <c r="V54" s="213" t="s">
        <v>3715</v>
      </c>
      <c r="W54" s="218" t="s">
        <v>3652</v>
      </c>
      <c r="X54" s="218" t="s">
        <v>3652</v>
      </c>
      <c r="Y54" s="212" t="s">
        <v>3727</v>
      </c>
      <c r="Z54" s="209" t="s">
        <v>3838</v>
      </c>
      <c r="AA54" s="215"/>
      <c r="AB54" s="218"/>
      <c r="AC54" s="217" t="e">
        <v>#N/A</v>
      </c>
      <c r="AD54" s="217">
        <v>90425</v>
      </c>
      <c r="AE54" s="217" t="s">
        <v>3839</v>
      </c>
      <c r="AF54" s="217" t="s">
        <v>3718</v>
      </c>
      <c r="AG54" s="217" t="s">
        <v>3719</v>
      </c>
      <c r="AH54" s="220">
        <f t="shared" si="0"/>
        <v>4590007625</v>
      </c>
      <c r="AI54" s="208" t="s">
        <v>3840</v>
      </c>
      <c r="AJ54" s="227">
        <v>45401</v>
      </c>
      <c r="AK54" s="221">
        <v>122834</v>
      </c>
      <c r="AL54" s="227">
        <v>45471</v>
      </c>
      <c r="AM54" s="208"/>
      <c r="AN54" s="220"/>
      <c r="AO54" s="222"/>
      <c r="AP54" s="227"/>
      <c r="AQ54" s="358">
        <f ca="1">IF(表格1[[#This Row],[PO$]]="","100%",表格1[[#This Row],[total amount]]/表格1[[#This Row],[PO$]])</f>
        <v>1</v>
      </c>
      <c r="AR54" s="223">
        <f ca="1">表格1[[#This Row],[invoice amount]]+表格1[[#This Row],[invoice amount2]]</f>
        <v>122834</v>
      </c>
      <c r="AS54" s="224" t="s">
        <v>3673</v>
      </c>
      <c r="AT54" s="208"/>
      <c r="AU54" s="208" t="e">
        <f ca="1">VLOOKUP(表格1[[#This Row],[PO+ITEM]],#REF!,2,FALSE)</f>
        <v>#REF!</v>
      </c>
      <c r="AV54" s="341" t="e">
        <f ca="1">VLOOKUP(表格1[[#This Row],[PO+ITEM]],#REF!,3,FALSE)</f>
        <v>#REF!</v>
      </c>
      <c r="AW54" s="208" t="e">
        <f ca="1">VLOOKUP(表格1[[#This Row],[PO+ITEM]],#REF!,4,FALSE)</f>
        <v>#REF!</v>
      </c>
      <c r="AX54" s="208" t="e" cm="1" vm="1">
        <f t="array" aca="1" ref="AX54" ca="1">VLOOKUP(AI:AI,#REF!,1,FALSE)</f>
        <v>#VALUE!</v>
      </c>
    </row>
    <row r="55" spans="1:50" ht="15.6">
      <c r="A55" s="220">
        <v>54</v>
      </c>
      <c r="B55" s="220" t="s">
        <v>3674</v>
      </c>
      <c r="C55" s="209" t="s">
        <v>17</v>
      </c>
      <c r="D55" s="209" t="s">
        <v>3648</v>
      </c>
      <c r="E55" s="209"/>
      <c r="F55" s="209"/>
      <c r="G55" s="209"/>
      <c r="H55" s="210" t="s">
        <v>3841</v>
      </c>
      <c r="I55" s="210"/>
      <c r="J55" s="211"/>
      <c r="K55" s="210"/>
      <c r="L55" s="212" t="s">
        <v>2999</v>
      </c>
      <c r="M55" s="212" t="s">
        <v>2999</v>
      </c>
      <c r="N55" s="213"/>
      <c r="O55" s="212">
        <v>4590007629</v>
      </c>
      <c r="P55" s="214">
        <v>44855</v>
      </c>
      <c r="Q55" s="334">
        <v>1</v>
      </c>
      <c r="R55" s="216">
        <v>282474</v>
      </c>
      <c r="S55" s="217" t="s">
        <v>2156</v>
      </c>
      <c r="T55" s="209" t="s">
        <v>3713</v>
      </c>
      <c r="U55" s="209" t="s">
        <v>3714</v>
      </c>
      <c r="V55" s="213" t="s">
        <v>3715</v>
      </c>
      <c r="W55" s="218" t="s">
        <v>3652</v>
      </c>
      <c r="X55" s="218" t="s">
        <v>3652</v>
      </c>
      <c r="Y55" s="212">
        <v>0</v>
      </c>
      <c r="Z55" s="209" t="s">
        <v>3842</v>
      </c>
      <c r="AA55" s="215"/>
      <c r="AB55" s="218"/>
      <c r="AC55" s="217" t="e">
        <v>#N/A</v>
      </c>
      <c r="AD55" s="217">
        <v>90418</v>
      </c>
      <c r="AE55" s="217" t="s">
        <v>3843</v>
      </c>
      <c r="AF55" s="217" t="s">
        <v>3718</v>
      </c>
      <c r="AG55" s="217" t="s">
        <v>3719</v>
      </c>
      <c r="AH55" s="220">
        <f t="shared" si="0"/>
        <v>4590007629</v>
      </c>
      <c r="AI55" s="208"/>
      <c r="AJ55" s="225">
        <v>45261</v>
      </c>
      <c r="AK55" s="221">
        <v>268350.3</v>
      </c>
      <c r="AL55" s="228">
        <v>45303</v>
      </c>
      <c r="AM55" s="208"/>
      <c r="AN55" s="220"/>
      <c r="AO55" s="222"/>
      <c r="AP55" s="227"/>
      <c r="AQ55" s="358">
        <f ca="1">IF(表格1[[#This Row],[PO$]]="","100%",表格1[[#This Row],[total amount]]/表格1[[#This Row],[PO$]])</f>
        <v>0.95</v>
      </c>
      <c r="AR55" s="223">
        <f ca="1">表格1[[#This Row],[invoice amount]]+表格1[[#This Row],[invoice amount2]]</f>
        <v>268350.3</v>
      </c>
      <c r="AS55" s="224" t="s">
        <v>3673</v>
      </c>
      <c r="AT55" s="208"/>
      <c r="AU55" s="208" t="e">
        <f ca="1">VLOOKUP(表格1[[#This Row],[PO+ITEM]],#REF!,2,FALSE)</f>
        <v>#REF!</v>
      </c>
      <c r="AV55" s="341" t="e">
        <f ca="1">VLOOKUP(表格1[[#This Row],[PO+ITEM]],#REF!,3,FALSE)</f>
        <v>#REF!</v>
      </c>
      <c r="AW55" s="208" t="e">
        <f ca="1">VLOOKUP(表格1[[#This Row],[PO+ITEM]],#REF!,4,FALSE)</f>
        <v>#REF!</v>
      </c>
      <c r="AX55" s="208" t="e" cm="1" vm="1">
        <f t="array" aca="1" ref="AX55" ca="1">VLOOKUP(AI:AI,#REF!,1,FALSE)</f>
        <v>#VALUE!</v>
      </c>
    </row>
    <row r="56" spans="1:50">
      <c r="A56" s="220">
        <v>55</v>
      </c>
      <c r="B56" s="220" t="s">
        <v>3674</v>
      </c>
      <c r="C56" s="209" t="s">
        <v>17</v>
      </c>
      <c r="D56" s="209" t="s">
        <v>3648</v>
      </c>
      <c r="E56" s="209"/>
      <c r="F56" s="209"/>
      <c r="G56" s="209"/>
      <c r="H56" s="210" t="s">
        <v>3844</v>
      </c>
      <c r="I56" s="210"/>
      <c r="J56" s="211"/>
      <c r="K56" s="210"/>
      <c r="L56" s="212" t="s">
        <v>2999</v>
      </c>
      <c r="M56" s="212" t="s">
        <v>2999</v>
      </c>
      <c r="N56" s="213"/>
      <c r="O56" s="212">
        <v>4590007630</v>
      </c>
      <c r="P56" s="214">
        <v>44855</v>
      </c>
      <c r="Q56" s="334">
        <v>1</v>
      </c>
      <c r="R56" s="216">
        <v>282474</v>
      </c>
      <c r="S56" s="217" t="s">
        <v>2156</v>
      </c>
      <c r="T56" s="209" t="s">
        <v>3713</v>
      </c>
      <c r="U56" s="209" t="s">
        <v>3714</v>
      </c>
      <c r="V56" s="213" t="s">
        <v>3715</v>
      </c>
      <c r="W56" s="218" t="s">
        <v>3652</v>
      </c>
      <c r="X56" s="218" t="s">
        <v>3652</v>
      </c>
      <c r="Y56" s="212">
        <v>0</v>
      </c>
      <c r="Z56" s="209" t="s">
        <v>3716</v>
      </c>
      <c r="AA56" s="215"/>
      <c r="AB56" s="218"/>
      <c r="AC56" s="217" t="e">
        <v>#N/A</v>
      </c>
      <c r="AD56" s="217">
        <v>90422</v>
      </c>
      <c r="AE56" s="217" t="s">
        <v>3845</v>
      </c>
      <c r="AF56" s="217" t="s">
        <v>3718</v>
      </c>
      <c r="AG56" s="217" t="s">
        <v>3719</v>
      </c>
      <c r="AH56" s="220">
        <f t="shared" si="0"/>
        <v>4590007630</v>
      </c>
      <c r="AI56" s="208" t="s">
        <v>3846</v>
      </c>
      <c r="AJ56" s="227">
        <v>45429</v>
      </c>
      <c r="AK56" s="221">
        <v>282474</v>
      </c>
      <c r="AL56" s="227">
        <v>45503</v>
      </c>
      <c r="AM56" s="208"/>
      <c r="AN56" s="220"/>
      <c r="AO56" s="222"/>
      <c r="AP56" s="227"/>
      <c r="AQ56" s="358">
        <f ca="1">IF(表格1[[#This Row],[PO$]]="","100%",表格1[[#This Row],[total amount]]/表格1[[#This Row],[PO$]])</f>
        <v>1</v>
      </c>
      <c r="AR56" s="223">
        <f ca="1">表格1[[#This Row],[invoice amount]]+表格1[[#This Row],[invoice amount2]]</f>
        <v>282474</v>
      </c>
      <c r="AS56" s="224" t="s">
        <v>3725</v>
      </c>
      <c r="AT56" s="208"/>
      <c r="AU56" s="208" t="e">
        <f ca="1">VLOOKUP(表格1[[#This Row],[PO+ITEM]],#REF!,2,FALSE)</f>
        <v>#REF!</v>
      </c>
      <c r="AV56" s="341" t="e">
        <f ca="1">VLOOKUP(表格1[[#This Row],[PO+ITEM]],#REF!,3,FALSE)</f>
        <v>#REF!</v>
      </c>
      <c r="AW56" s="208" t="e">
        <f ca="1">VLOOKUP(表格1[[#This Row],[PO+ITEM]],#REF!,4,FALSE)</f>
        <v>#REF!</v>
      </c>
      <c r="AX56" s="208" t="e" cm="1" vm="1">
        <f t="array" aca="1" ref="AX56" ca="1">VLOOKUP(AI:AI,#REF!,1,FALSE)</f>
        <v>#VALUE!</v>
      </c>
    </row>
    <row r="57" spans="1:50">
      <c r="A57" s="220">
        <v>56</v>
      </c>
      <c r="B57" s="220" t="s">
        <v>3674</v>
      </c>
      <c r="C57" s="209" t="s">
        <v>17</v>
      </c>
      <c r="D57" s="209" t="s">
        <v>3648</v>
      </c>
      <c r="E57" s="209"/>
      <c r="F57" s="209"/>
      <c r="G57" s="209"/>
      <c r="H57" s="210" t="s">
        <v>3847</v>
      </c>
      <c r="I57" s="210"/>
      <c r="J57" s="211"/>
      <c r="K57" s="210"/>
      <c r="L57" s="212" t="s">
        <v>2999</v>
      </c>
      <c r="M57" s="212" t="s">
        <v>2999</v>
      </c>
      <c r="N57" s="213"/>
      <c r="O57" s="212">
        <v>4590007631</v>
      </c>
      <c r="P57" s="214">
        <v>44855</v>
      </c>
      <c r="Q57" s="334">
        <v>1</v>
      </c>
      <c r="R57" s="216">
        <v>282474</v>
      </c>
      <c r="S57" s="217" t="s">
        <v>2156</v>
      </c>
      <c r="T57" s="209" t="s">
        <v>3713</v>
      </c>
      <c r="U57" s="209" t="s">
        <v>3714</v>
      </c>
      <c r="V57" s="213" t="s">
        <v>3715</v>
      </c>
      <c r="W57" s="218" t="s">
        <v>3652</v>
      </c>
      <c r="X57" s="218" t="s">
        <v>3652</v>
      </c>
      <c r="Y57" s="212" t="s">
        <v>3727</v>
      </c>
      <c r="Z57" s="209" t="s">
        <v>3716</v>
      </c>
      <c r="AA57" s="215"/>
      <c r="AB57" s="218"/>
      <c r="AC57" s="217" t="e">
        <v>#N/A</v>
      </c>
      <c r="AD57" s="217">
        <v>90417</v>
      </c>
      <c r="AE57" s="217" t="s">
        <v>3848</v>
      </c>
      <c r="AF57" s="217" t="s">
        <v>3718</v>
      </c>
      <c r="AG57" s="217" t="s">
        <v>3719</v>
      </c>
      <c r="AH57" s="220">
        <f t="shared" si="0"/>
        <v>4590007631</v>
      </c>
      <c r="AI57" s="208" t="s">
        <v>3849</v>
      </c>
      <c r="AJ57" s="227">
        <v>45401</v>
      </c>
      <c r="AK57" s="221">
        <v>282474</v>
      </c>
      <c r="AL57" s="227">
        <v>45471</v>
      </c>
      <c r="AM57" s="208"/>
      <c r="AN57" s="220"/>
      <c r="AO57" s="222"/>
      <c r="AP57" s="227"/>
      <c r="AQ57" s="358">
        <f ca="1">IF(表格1[[#This Row],[PO$]]="","100%",表格1[[#This Row],[total amount]]/表格1[[#This Row],[PO$]])</f>
        <v>1</v>
      </c>
      <c r="AR57" s="223">
        <f ca="1">表格1[[#This Row],[invoice amount]]+表格1[[#This Row],[invoice amount2]]</f>
        <v>282474</v>
      </c>
      <c r="AS57" s="224" t="s">
        <v>3673</v>
      </c>
      <c r="AT57" s="208"/>
      <c r="AU57" s="208" t="e">
        <f ca="1">VLOOKUP(表格1[[#This Row],[PO+ITEM]],#REF!,2,FALSE)</f>
        <v>#REF!</v>
      </c>
      <c r="AV57" s="341" t="e">
        <f ca="1">VLOOKUP(表格1[[#This Row],[PO+ITEM]],#REF!,3,FALSE)</f>
        <v>#REF!</v>
      </c>
      <c r="AW57" s="208" t="e">
        <f ca="1">VLOOKUP(表格1[[#This Row],[PO+ITEM]],#REF!,4,FALSE)</f>
        <v>#REF!</v>
      </c>
      <c r="AX57" s="208" t="e" cm="1" vm="1">
        <f t="array" aca="1" ref="AX57" ca="1">VLOOKUP(AI:AI,#REF!,1,FALSE)</f>
        <v>#VALUE!</v>
      </c>
    </row>
    <row r="58" spans="1:50">
      <c r="A58" s="220">
        <v>57</v>
      </c>
      <c r="B58" s="220" t="s">
        <v>3659</v>
      </c>
      <c r="C58" s="209" t="s">
        <v>17</v>
      </c>
      <c r="D58" s="209" t="s">
        <v>3648</v>
      </c>
      <c r="E58" s="209"/>
      <c r="F58" s="209"/>
      <c r="G58" s="209"/>
      <c r="H58" s="210" t="s">
        <v>3850</v>
      </c>
      <c r="I58" s="210"/>
      <c r="J58" s="211"/>
      <c r="K58" s="210"/>
      <c r="L58" s="212" t="s">
        <v>2999</v>
      </c>
      <c r="M58" s="212" t="s">
        <v>2999</v>
      </c>
      <c r="N58" s="213"/>
      <c r="O58" s="212">
        <v>4590007632</v>
      </c>
      <c r="P58" s="214">
        <v>44855</v>
      </c>
      <c r="Q58" s="334">
        <v>1</v>
      </c>
      <c r="R58" s="216">
        <v>282474</v>
      </c>
      <c r="S58" s="217" t="s">
        <v>2156</v>
      </c>
      <c r="T58" s="209" t="s">
        <v>3713</v>
      </c>
      <c r="U58" s="209" t="s">
        <v>3714</v>
      </c>
      <c r="V58" s="213" t="s">
        <v>3715</v>
      </c>
      <c r="W58" s="218" t="s">
        <v>3652</v>
      </c>
      <c r="X58" s="218" t="s">
        <v>3652</v>
      </c>
      <c r="Y58" s="212">
        <v>0</v>
      </c>
      <c r="Z58" s="209" t="s">
        <v>3716</v>
      </c>
      <c r="AA58" s="215"/>
      <c r="AB58" s="218"/>
      <c r="AC58" s="217" t="e">
        <v>#N/A</v>
      </c>
      <c r="AD58" s="217">
        <v>91276</v>
      </c>
      <c r="AE58" s="217" t="s">
        <v>3851</v>
      </c>
      <c r="AF58" s="217" t="s">
        <v>3718</v>
      </c>
      <c r="AG58" s="217" t="s">
        <v>3719</v>
      </c>
      <c r="AH58" s="220">
        <f t="shared" si="0"/>
        <v>4590007632</v>
      </c>
      <c r="AI58" s="208"/>
      <c r="AJ58" s="220"/>
      <c r="AK58" s="221"/>
      <c r="AL58" s="227"/>
      <c r="AM58" s="208"/>
      <c r="AN58" s="220"/>
      <c r="AO58" s="222"/>
      <c r="AP58" s="227"/>
      <c r="AQ58" s="358">
        <f ca="1">IF(表格1[[#This Row],[PO$]]="","100%",表格1[[#This Row],[total amount]]/表格1[[#This Row],[PO$]])</f>
        <v>0</v>
      </c>
      <c r="AR58" s="223">
        <f ca="1">表格1[[#This Row],[invoice amount]]+表格1[[#This Row],[invoice amount2]]</f>
        <v>0</v>
      </c>
      <c r="AS58" s="224"/>
      <c r="AT58" s="208"/>
      <c r="AU58" s="208" t="e">
        <f ca="1">VLOOKUP(表格1[[#This Row],[PO+ITEM]],#REF!,2,FALSE)</f>
        <v>#REF!</v>
      </c>
      <c r="AV58" s="341" t="e">
        <f ca="1">VLOOKUP(表格1[[#This Row],[PO+ITEM]],#REF!,3,FALSE)</f>
        <v>#REF!</v>
      </c>
      <c r="AW58" s="208" t="e">
        <f ca="1">VLOOKUP(表格1[[#This Row],[PO+ITEM]],#REF!,4,FALSE)</f>
        <v>#REF!</v>
      </c>
      <c r="AX58" s="208" t="e" cm="1" vm="1">
        <f t="array" aca="1" ref="AX58" ca="1">VLOOKUP(AI:AI,#REF!,1,FALSE)</f>
        <v>#VALUE!</v>
      </c>
    </row>
    <row r="59" spans="1:50">
      <c r="A59" s="220">
        <v>58</v>
      </c>
      <c r="B59" s="220" t="s">
        <v>3659</v>
      </c>
      <c r="C59" s="209" t="s">
        <v>17</v>
      </c>
      <c r="D59" s="209" t="s">
        <v>3648</v>
      </c>
      <c r="E59" s="209"/>
      <c r="F59" s="209"/>
      <c r="G59" s="209"/>
      <c r="H59" s="210" t="s">
        <v>3852</v>
      </c>
      <c r="I59" s="210"/>
      <c r="J59" s="211"/>
      <c r="K59" s="210"/>
      <c r="L59" s="212" t="s">
        <v>2999</v>
      </c>
      <c r="M59" s="212" t="s">
        <v>2999</v>
      </c>
      <c r="N59" s="213"/>
      <c r="O59" s="212">
        <v>4590007633</v>
      </c>
      <c r="P59" s="214">
        <v>44855</v>
      </c>
      <c r="Q59" s="334">
        <v>1</v>
      </c>
      <c r="R59" s="216">
        <v>282474</v>
      </c>
      <c r="S59" s="217" t="s">
        <v>2156</v>
      </c>
      <c r="T59" s="209" t="s">
        <v>3713</v>
      </c>
      <c r="U59" s="209" t="s">
        <v>3714</v>
      </c>
      <c r="V59" s="213" t="s">
        <v>3715</v>
      </c>
      <c r="W59" s="218" t="s">
        <v>3652</v>
      </c>
      <c r="X59" s="218" t="s">
        <v>3652</v>
      </c>
      <c r="Y59" s="212">
        <v>0</v>
      </c>
      <c r="Z59" s="209" t="s">
        <v>3716</v>
      </c>
      <c r="AA59" s="215"/>
      <c r="AB59" s="218"/>
      <c r="AC59" s="217" t="e">
        <v>#N/A</v>
      </c>
      <c r="AD59" s="217">
        <v>91277</v>
      </c>
      <c r="AE59" s="217" t="s">
        <v>3853</v>
      </c>
      <c r="AF59" s="217" t="s">
        <v>3718</v>
      </c>
      <c r="AG59" s="217" t="s">
        <v>3719</v>
      </c>
      <c r="AH59" s="220">
        <f t="shared" si="0"/>
        <v>4590007633</v>
      </c>
      <c r="AI59" s="208"/>
      <c r="AJ59" s="220"/>
      <c r="AK59" s="221"/>
      <c r="AL59" s="227"/>
      <c r="AM59" s="208"/>
      <c r="AN59" s="220"/>
      <c r="AO59" s="222"/>
      <c r="AP59" s="227"/>
      <c r="AQ59" s="358">
        <f ca="1">IF(表格1[[#This Row],[PO$]]="","100%",表格1[[#This Row],[total amount]]/表格1[[#This Row],[PO$]])</f>
        <v>0</v>
      </c>
      <c r="AR59" s="223">
        <f ca="1">表格1[[#This Row],[invoice amount]]+表格1[[#This Row],[invoice amount2]]</f>
        <v>0</v>
      </c>
      <c r="AS59" s="224"/>
      <c r="AT59" s="208"/>
      <c r="AU59" s="208" t="e">
        <f ca="1">VLOOKUP(表格1[[#This Row],[PO+ITEM]],#REF!,2,FALSE)</f>
        <v>#REF!</v>
      </c>
      <c r="AV59" s="341" t="e">
        <f ca="1">VLOOKUP(表格1[[#This Row],[PO+ITEM]],#REF!,3,FALSE)</f>
        <v>#REF!</v>
      </c>
      <c r="AW59" s="208" t="e">
        <f ca="1">VLOOKUP(表格1[[#This Row],[PO+ITEM]],#REF!,4,FALSE)</f>
        <v>#REF!</v>
      </c>
      <c r="AX59" s="208" t="e" cm="1" vm="1">
        <f t="array" aca="1" ref="AX59" ca="1">VLOOKUP(AI:AI,#REF!,1,FALSE)</f>
        <v>#VALUE!</v>
      </c>
    </row>
    <row r="60" spans="1:50">
      <c r="A60" s="220">
        <v>59</v>
      </c>
      <c r="B60" s="220" t="s">
        <v>3659</v>
      </c>
      <c r="C60" s="209" t="s">
        <v>17</v>
      </c>
      <c r="D60" s="209" t="s">
        <v>3648</v>
      </c>
      <c r="E60" s="209"/>
      <c r="F60" s="209"/>
      <c r="G60" s="209"/>
      <c r="H60" s="217" t="s">
        <v>3854</v>
      </c>
      <c r="I60" s="217"/>
      <c r="J60" s="215"/>
      <c r="K60" s="217"/>
      <c r="L60" s="212" t="s">
        <v>2999</v>
      </c>
      <c r="M60" s="212" t="s">
        <v>2999</v>
      </c>
      <c r="N60" s="213"/>
      <c r="O60" s="212">
        <v>4590007634</v>
      </c>
      <c r="P60" s="214">
        <v>44855</v>
      </c>
      <c r="Q60" s="334">
        <v>1</v>
      </c>
      <c r="R60" s="216">
        <v>282474</v>
      </c>
      <c r="S60" s="217" t="s">
        <v>2156</v>
      </c>
      <c r="T60" s="209" t="s">
        <v>3713</v>
      </c>
      <c r="U60" s="209" t="s">
        <v>3714</v>
      </c>
      <c r="V60" s="213" t="s">
        <v>3715</v>
      </c>
      <c r="W60" s="218" t="s">
        <v>3652</v>
      </c>
      <c r="X60" s="218" t="s">
        <v>3652</v>
      </c>
      <c r="Y60" s="212">
        <v>0</v>
      </c>
      <c r="Z60" s="209" t="s">
        <v>3716</v>
      </c>
      <c r="AA60" s="215"/>
      <c r="AB60" s="218"/>
      <c r="AC60" s="217" t="e">
        <v>#N/A</v>
      </c>
      <c r="AD60" s="217">
        <v>91278</v>
      </c>
      <c r="AE60" s="217" t="s">
        <v>3855</v>
      </c>
      <c r="AF60" s="217" t="s">
        <v>3718</v>
      </c>
      <c r="AG60" s="217" t="s">
        <v>3719</v>
      </c>
      <c r="AH60" s="220">
        <f t="shared" si="0"/>
        <v>4590007634</v>
      </c>
      <c r="AI60" s="208"/>
      <c r="AJ60" s="220"/>
      <c r="AK60" s="221"/>
      <c r="AL60" s="227"/>
      <c r="AM60" s="208"/>
      <c r="AN60" s="220"/>
      <c r="AO60" s="222"/>
      <c r="AP60" s="227"/>
      <c r="AQ60" s="358">
        <f ca="1">IF(表格1[[#This Row],[PO$]]="","100%",表格1[[#This Row],[total amount]]/表格1[[#This Row],[PO$]])</f>
        <v>0</v>
      </c>
      <c r="AR60" s="223">
        <f ca="1">表格1[[#This Row],[invoice amount]]+表格1[[#This Row],[invoice amount2]]</f>
        <v>0</v>
      </c>
      <c r="AS60" s="224"/>
      <c r="AT60" s="208"/>
      <c r="AU60" s="208" t="e">
        <f ca="1">VLOOKUP(表格1[[#This Row],[PO+ITEM]],#REF!,2,FALSE)</f>
        <v>#REF!</v>
      </c>
      <c r="AV60" s="341" t="e">
        <f ca="1">VLOOKUP(表格1[[#This Row],[PO+ITEM]],#REF!,3,FALSE)</f>
        <v>#REF!</v>
      </c>
      <c r="AW60" s="208" t="e">
        <f ca="1">VLOOKUP(表格1[[#This Row],[PO+ITEM]],#REF!,4,FALSE)</f>
        <v>#REF!</v>
      </c>
      <c r="AX60" s="208" t="e" cm="1" vm="1">
        <f t="array" aca="1" ref="AX60" ca="1">VLOOKUP(AI:AI,#REF!,1,FALSE)</f>
        <v>#VALUE!</v>
      </c>
    </row>
    <row r="61" spans="1:50">
      <c r="A61" s="220">
        <v>60</v>
      </c>
      <c r="B61" s="220" t="s">
        <v>3659</v>
      </c>
      <c r="C61" s="209" t="s">
        <v>17</v>
      </c>
      <c r="D61" s="209" t="s">
        <v>3648</v>
      </c>
      <c r="E61" s="209"/>
      <c r="F61" s="209"/>
      <c r="G61" s="209"/>
      <c r="H61" s="210" t="s">
        <v>3856</v>
      </c>
      <c r="I61" s="210"/>
      <c r="J61" s="211"/>
      <c r="K61" s="210"/>
      <c r="L61" s="212" t="s">
        <v>2999</v>
      </c>
      <c r="M61" s="212" t="s">
        <v>2999</v>
      </c>
      <c r="N61" s="213"/>
      <c r="O61" s="212">
        <v>4590007635</v>
      </c>
      <c r="P61" s="214">
        <v>44855</v>
      </c>
      <c r="Q61" s="334">
        <v>1</v>
      </c>
      <c r="R61" s="216">
        <v>282474</v>
      </c>
      <c r="S61" s="217" t="s">
        <v>2156</v>
      </c>
      <c r="T61" s="209" t="s">
        <v>3713</v>
      </c>
      <c r="U61" s="209" t="s">
        <v>3714</v>
      </c>
      <c r="V61" s="213" t="s">
        <v>3715</v>
      </c>
      <c r="W61" s="218" t="s">
        <v>3652</v>
      </c>
      <c r="X61" s="218" t="s">
        <v>3652</v>
      </c>
      <c r="Y61" s="212">
        <v>0</v>
      </c>
      <c r="Z61" s="209" t="s">
        <v>3716</v>
      </c>
      <c r="AA61" s="215"/>
      <c r="AB61" s="218"/>
      <c r="AC61" s="217" t="e">
        <v>#N/A</v>
      </c>
      <c r="AD61" s="217">
        <v>91281</v>
      </c>
      <c r="AE61" s="217" t="s">
        <v>3857</v>
      </c>
      <c r="AF61" s="217" t="s">
        <v>3718</v>
      </c>
      <c r="AG61" s="217" t="s">
        <v>3719</v>
      </c>
      <c r="AH61" s="220">
        <f t="shared" si="0"/>
        <v>4590007635</v>
      </c>
      <c r="AI61" s="208"/>
      <c r="AJ61" s="220"/>
      <c r="AK61" s="221"/>
      <c r="AL61" s="227"/>
      <c r="AM61" s="208"/>
      <c r="AN61" s="220"/>
      <c r="AO61" s="222"/>
      <c r="AP61" s="227"/>
      <c r="AQ61" s="358">
        <f ca="1">IF(表格1[[#This Row],[PO$]]="","100%",表格1[[#This Row],[total amount]]/表格1[[#This Row],[PO$]])</f>
        <v>0</v>
      </c>
      <c r="AR61" s="223">
        <f ca="1">表格1[[#This Row],[invoice amount]]+表格1[[#This Row],[invoice amount2]]</f>
        <v>0</v>
      </c>
      <c r="AS61" s="224"/>
      <c r="AT61" s="208"/>
      <c r="AU61" s="208" t="e">
        <f ca="1">VLOOKUP(表格1[[#This Row],[PO+ITEM]],#REF!,2,FALSE)</f>
        <v>#REF!</v>
      </c>
      <c r="AV61" s="341" t="e">
        <f ca="1">VLOOKUP(表格1[[#This Row],[PO+ITEM]],#REF!,3,FALSE)</f>
        <v>#REF!</v>
      </c>
      <c r="AW61" s="208" t="e">
        <f ca="1">VLOOKUP(表格1[[#This Row],[PO+ITEM]],#REF!,4,FALSE)</f>
        <v>#REF!</v>
      </c>
      <c r="AX61" s="208" t="e" cm="1" vm="1">
        <f t="array" aca="1" ref="AX61" ca="1">VLOOKUP(AI:AI,#REF!,1,FALSE)</f>
        <v>#VALUE!</v>
      </c>
    </row>
    <row r="62" spans="1:50">
      <c r="A62" s="220">
        <v>61</v>
      </c>
      <c r="B62" s="220" t="s">
        <v>3659</v>
      </c>
      <c r="C62" s="209" t="s">
        <v>17</v>
      </c>
      <c r="D62" s="209" t="s">
        <v>3648</v>
      </c>
      <c r="E62" s="209"/>
      <c r="F62" s="209"/>
      <c r="G62" s="209"/>
      <c r="H62" s="210" t="s">
        <v>3858</v>
      </c>
      <c r="I62" s="210"/>
      <c r="J62" s="211"/>
      <c r="K62" s="210"/>
      <c r="L62" s="212" t="s">
        <v>2999</v>
      </c>
      <c r="M62" s="212" t="s">
        <v>2999</v>
      </c>
      <c r="N62" s="213"/>
      <c r="O62" s="212">
        <v>4590007636</v>
      </c>
      <c r="P62" s="214">
        <v>44855</v>
      </c>
      <c r="Q62" s="334">
        <v>1</v>
      </c>
      <c r="R62" s="216">
        <v>282474</v>
      </c>
      <c r="S62" s="217" t="s">
        <v>2156</v>
      </c>
      <c r="T62" s="209" t="s">
        <v>3713</v>
      </c>
      <c r="U62" s="209" t="s">
        <v>3714</v>
      </c>
      <c r="V62" s="213" t="s">
        <v>3715</v>
      </c>
      <c r="W62" s="218" t="s">
        <v>3652</v>
      </c>
      <c r="X62" s="218" t="s">
        <v>3652</v>
      </c>
      <c r="Y62" s="212">
        <v>0</v>
      </c>
      <c r="Z62" s="209" t="s">
        <v>3716</v>
      </c>
      <c r="AA62" s="215"/>
      <c r="AB62" s="218"/>
      <c r="AC62" s="217" t="e">
        <v>#N/A</v>
      </c>
      <c r="AD62" s="217">
        <v>91282</v>
      </c>
      <c r="AE62" s="217" t="s">
        <v>3859</v>
      </c>
      <c r="AF62" s="217" t="s">
        <v>3718</v>
      </c>
      <c r="AG62" s="217" t="s">
        <v>3719</v>
      </c>
      <c r="AH62" s="220">
        <f t="shared" si="0"/>
        <v>4590007636</v>
      </c>
      <c r="AI62" s="208"/>
      <c r="AJ62" s="220"/>
      <c r="AK62" s="221"/>
      <c r="AL62" s="227"/>
      <c r="AM62" s="208"/>
      <c r="AN62" s="220"/>
      <c r="AO62" s="222"/>
      <c r="AP62" s="227"/>
      <c r="AQ62" s="358">
        <f ca="1">IF(表格1[[#This Row],[PO$]]="","100%",表格1[[#This Row],[total amount]]/表格1[[#This Row],[PO$]])</f>
        <v>0</v>
      </c>
      <c r="AR62" s="223">
        <f ca="1">表格1[[#This Row],[invoice amount]]+表格1[[#This Row],[invoice amount2]]</f>
        <v>0</v>
      </c>
      <c r="AS62" s="224"/>
      <c r="AT62" s="208"/>
      <c r="AU62" s="208" t="e">
        <f ca="1">VLOOKUP(表格1[[#This Row],[PO+ITEM]],#REF!,2,FALSE)</f>
        <v>#REF!</v>
      </c>
      <c r="AV62" s="341" t="e">
        <f ca="1">VLOOKUP(表格1[[#This Row],[PO+ITEM]],#REF!,3,FALSE)</f>
        <v>#REF!</v>
      </c>
      <c r="AW62" s="208" t="e">
        <f ca="1">VLOOKUP(表格1[[#This Row],[PO+ITEM]],#REF!,4,FALSE)</f>
        <v>#REF!</v>
      </c>
      <c r="AX62" s="208" t="e" cm="1" vm="1">
        <f t="array" aca="1" ref="AX62" ca="1">VLOOKUP(AI:AI,#REF!,1,FALSE)</f>
        <v>#VALUE!</v>
      </c>
    </row>
    <row r="63" spans="1:50">
      <c r="A63" s="220">
        <v>62</v>
      </c>
      <c r="B63" s="220" t="s">
        <v>3659</v>
      </c>
      <c r="C63" s="209" t="s">
        <v>17</v>
      </c>
      <c r="D63" s="209" t="s">
        <v>3648</v>
      </c>
      <c r="E63" s="209"/>
      <c r="F63" s="209"/>
      <c r="G63" s="209"/>
      <c r="H63" s="210" t="s">
        <v>3860</v>
      </c>
      <c r="I63" s="210"/>
      <c r="J63" s="211"/>
      <c r="K63" s="210"/>
      <c r="L63" s="212" t="s">
        <v>2999</v>
      </c>
      <c r="M63" s="212" t="s">
        <v>2999</v>
      </c>
      <c r="N63" s="213"/>
      <c r="O63" s="212">
        <v>4590007637</v>
      </c>
      <c r="P63" s="214">
        <v>44855</v>
      </c>
      <c r="Q63" s="334">
        <v>1</v>
      </c>
      <c r="R63" s="216">
        <v>282474</v>
      </c>
      <c r="S63" s="217" t="s">
        <v>2156</v>
      </c>
      <c r="T63" s="209" t="s">
        <v>3713</v>
      </c>
      <c r="U63" s="209" t="s">
        <v>3714</v>
      </c>
      <c r="V63" s="213" t="s">
        <v>3715</v>
      </c>
      <c r="W63" s="218" t="s">
        <v>3652</v>
      </c>
      <c r="X63" s="218" t="s">
        <v>3652</v>
      </c>
      <c r="Y63" s="212" t="s">
        <v>3861</v>
      </c>
      <c r="Z63" s="209" t="s">
        <v>3716</v>
      </c>
      <c r="AA63" s="215"/>
      <c r="AB63" s="218"/>
      <c r="AC63" s="217" t="e">
        <v>#N/A</v>
      </c>
      <c r="AD63" s="217">
        <v>91284</v>
      </c>
      <c r="AE63" s="217" t="s">
        <v>3862</v>
      </c>
      <c r="AF63" s="217" t="s">
        <v>3718</v>
      </c>
      <c r="AG63" s="217" t="s">
        <v>3719</v>
      </c>
      <c r="AH63" s="220">
        <f t="shared" si="0"/>
        <v>4590007637</v>
      </c>
      <c r="AI63" s="208"/>
      <c r="AJ63" s="220"/>
      <c r="AK63" s="221"/>
      <c r="AL63" s="227"/>
      <c r="AM63" s="208"/>
      <c r="AN63" s="220"/>
      <c r="AO63" s="222"/>
      <c r="AP63" s="227"/>
      <c r="AQ63" s="358">
        <f ca="1">IF(表格1[[#This Row],[PO$]]="","100%",表格1[[#This Row],[total amount]]/表格1[[#This Row],[PO$]])</f>
        <v>0</v>
      </c>
      <c r="AR63" s="223">
        <f ca="1">表格1[[#This Row],[invoice amount]]+表格1[[#This Row],[invoice amount2]]</f>
        <v>0</v>
      </c>
      <c r="AS63" s="224"/>
      <c r="AT63" s="208"/>
      <c r="AU63" s="208" t="e">
        <f ca="1">VLOOKUP(表格1[[#This Row],[PO+ITEM]],#REF!,2,FALSE)</f>
        <v>#REF!</v>
      </c>
      <c r="AV63" s="341" t="e">
        <f ca="1">VLOOKUP(表格1[[#This Row],[PO+ITEM]],#REF!,3,FALSE)</f>
        <v>#REF!</v>
      </c>
      <c r="AW63" s="208" t="e">
        <f ca="1">VLOOKUP(表格1[[#This Row],[PO+ITEM]],#REF!,4,FALSE)</f>
        <v>#REF!</v>
      </c>
      <c r="AX63" s="208" t="e" cm="1" vm="1">
        <f t="array" aca="1" ref="AX63" ca="1">VLOOKUP(AI:AI,#REF!,1,FALSE)</f>
        <v>#VALUE!</v>
      </c>
    </row>
    <row r="64" spans="1:50">
      <c r="A64" s="220">
        <v>63</v>
      </c>
      <c r="B64" s="220" t="s">
        <v>3659</v>
      </c>
      <c r="C64" s="209" t="s">
        <v>16</v>
      </c>
      <c r="D64" s="209" t="s">
        <v>3648</v>
      </c>
      <c r="E64" s="209"/>
      <c r="F64" s="209"/>
      <c r="G64" s="209"/>
      <c r="H64" s="210" t="s">
        <v>3863</v>
      </c>
      <c r="I64" s="210"/>
      <c r="J64" s="211"/>
      <c r="K64" s="210"/>
      <c r="L64" s="212" t="s">
        <v>2999</v>
      </c>
      <c r="M64" s="212" t="s">
        <v>2999</v>
      </c>
      <c r="N64" s="213"/>
      <c r="O64" s="212">
        <v>4590007709</v>
      </c>
      <c r="P64" s="214">
        <v>44861</v>
      </c>
      <c r="Q64" s="334">
        <v>1</v>
      </c>
      <c r="R64" s="216">
        <v>14109.38</v>
      </c>
      <c r="S64" s="217" t="s">
        <v>2156</v>
      </c>
      <c r="T64" s="209" t="s">
        <v>3864</v>
      </c>
      <c r="U64" s="209" t="s">
        <v>3865</v>
      </c>
      <c r="V64" s="213" t="s">
        <v>3866</v>
      </c>
      <c r="W64" s="218" t="s">
        <v>3652</v>
      </c>
      <c r="X64" s="218" t="s">
        <v>3652</v>
      </c>
      <c r="Y64" s="212" t="s">
        <v>3767</v>
      </c>
      <c r="Z64" s="209" t="s">
        <v>3664</v>
      </c>
      <c r="AA64" s="215"/>
      <c r="AB64" s="218"/>
      <c r="AC64" s="217" t="e">
        <v>#N/A</v>
      </c>
      <c r="AD64" s="217">
        <v>91369</v>
      </c>
      <c r="AE64" s="217" t="s">
        <v>3867</v>
      </c>
      <c r="AF64" s="217" t="s">
        <v>3770</v>
      </c>
      <c r="AG64" s="217" t="s">
        <v>3719</v>
      </c>
      <c r="AH64" s="220">
        <f t="shared" si="0"/>
        <v>4590007709</v>
      </c>
      <c r="AI64" s="208"/>
      <c r="AJ64" s="220"/>
      <c r="AK64" s="221"/>
      <c r="AL64" s="227"/>
      <c r="AM64" s="208"/>
      <c r="AN64" s="220"/>
      <c r="AO64" s="222"/>
      <c r="AP64" s="227"/>
      <c r="AQ64" s="358">
        <f ca="1">IF(表格1[[#This Row],[PO$]]="","100%",表格1[[#This Row],[total amount]]/表格1[[#This Row],[PO$]])</f>
        <v>0</v>
      </c>
      <c r="AR64" s="223">
        <f ca="1">表格1[[#This Row],[invoice amount]]+表格1[[#This Row],[invoice amount2]]</f>
        <v>0</v>
      </c>
      <c r="AS64" s="224"/>
      <c r="AT64" s="208"/>
      <c r="AU64" s="208" t="e">
        <f ca="1">VLOOKUP(表格1[[#This Row],[PO+ITEM]],#REF!,2,FALSE)</f>
        <v>#REF!</v>
      </c>
      <c r="AV64" s="341" t="e">
        <f ca="1">VLOOKUP(表格1[[#This Row],[PO+ITEM]],#REF!,3,FALSE)</f>
        <v>#REF!</v>
      </c>
      <c r="AW64" s="208" t="e">
        <f ca="1">VLOOKUP(表格1[[#This Row],[PO+ITEM]],#REF!,4,FALSE)</f>
        <v>#REF!</v>
      </c>
      <c r="AX64" s="208" t="e" cm="1" vm="1">
        <f t="array" aca="1" ref="AX64" ca="1">VLOOKUP(AI:AI,#REF!,1,FALSE)</f>
        <v>#VALUE!</v>
      </c>
    </row>
    <row r="65" spans="1:50" ht="15.6">
      <c r="A65" s="220">
        <v>64</v>
      </c>
      <c r="B65" s="220" t="s">
        <v>3674</v>
      </c>
      <c r="C65" s="209" t="s">
        <v>17</v>
      </c>
      <c r="D65" s="209" t="s">
        <v>3648</v>
      </c>
      <c r="E65" s="209"/>
      <c r="F65" s="209"/>
      <c r="G65" s="209"/>
      <c r="H65" s="210" t="s">
        <v>3868</v>
      </c>
      <c r="I65" s="210"/>
      <c r="J65" s="211"/>
      <c r="K65" s="210"/>
      <c r="L65" s="212" t="s">
        <v>2999</v>
      </c>
      <c r="M65" s="212" t="s">
        <v>2999</v>
      </c>
      <c r="N65" s="213"/>
      <c r="O65" s="212">
        <v>4590007753</v>
      </c>
      <c r="P65" s="214">
        <v>44861</v>
      </c>
      <c r="Q65" s="334">
        <v>1</v>
      </c>
      <c r="R65" s="216">
        <v>1332938.24</v>
      </c>
      <c r="S65" s="217" t="s">
        <v>2156</v>
      </c>
      <c r="T65" s="209" t="s">
        <v>3869</v>
      </c>
      <c r="U65" s="209" t="s">
        <v>3870</v>
      </c>
      <c r="V65" s="213" t="s">
        <v>3871</v>
      </c>
      <c r="W65" s="218" t="s">
        <v>3652</v>
      </c>
      <c r="X65" s="218" t="s">
        <v>3652</v>
      </c>
      <c r="Y65" s="212" t="s">
        <v>3872</v>
      </c>
      <c r="Z65" s="209" t="s">
        <v>3873</v>
      </c>
      <c r="AA65" s="215"/>
      <c r="AB65" s="218"/>
      <c r="AC65" s="217" t="e">
        <v>#N/A</v>
      </c>
      <c r="AD65" s="217">
        <v>90875</v>
      </c>
      <c r="AE65" s="217" t="s">
        <v>3874</v>
      </c>
      <c r="AF65" s="217" t="s">
        <v>2250</v>
      </c>
      <c r="AG65" s="217" t="s">
        <v>3875</v>
      </c>
      <c r="AH65" s="220">
        <f t="shared" si="0"/>
        <v>4590007753</v>
      </c>
      <c r="AI65" s="208"/>
      <c r="AJ65" s="225">
        <v>45017</v>
      </c>
      <c r="AK65" s="221">
        <v>533175.29599999997</v>
      </c>
      <c r="AL65" s="244">
        <v>45245</v>
      </c>
      <c r="AM65" s="208"/>
      <c r="AN65" s="225">
        <v>45139</v>
      </c>
      <c r="AO65" s="222">
        <v>799762.94</v>
      </c>
      <c r="AP65" s="244">
        <v>45366</v>
      </c>
      <c r="AQ65" s="358">
        <f ca="1">IF(表格1[[#This Row],[PO$]]="","100%",表格1[[#This Row],[total amount]]/表格1[[#This Row],[PO$]])</f>
        <v>0.9999999969991108</v>
      </c>
      <c r="AR65" s="223">
        <f ca="1">表格1[[#This Row],[invoice amount]]+表格1[[#This Row],[invoice amount2]]</f>
        <v>1332938.236</v>
      </c>
      <c r="AS65" s="224" t="s">
        <v>3673</v>
      </c>
      <c r="AT65" s="245" t="s">
        <v>3876</v>
      </c>
      <c r="AU65" s="208" t="e">
        <f ca="1">VLOOKUP(表格1[[#This Row],[PO+ITEM]],#REF!,2,FALSE)</f>
        <v>#REF!</v>
      </c>
      <c r="AV65" s="341" t="e">
        <f ca="1">VLOOKUP(表格1[[#This Row],[PO+ITEM]],#REF!,3,FALSE)</f>
        <v>#REF!</v>
      </c>
      <c r="AW65" s="208" t="e">
        <f ca="1">VLOOKUP(表格1[[#This Row],[PO+ITEM]],#REF!,4,FALSE)</f>
        <v>#REF!</v>
      </c>
      <c r="AX65" s="208" t="e" cm="1" vm="1">
        <f t="array" aca="1" ref="AX65" ca="1">VLOOKUP(AI:AI,#REF!,1,FALSE)</f>
        <v>#VALUE!</v>
      </c>
    </row>
    <row r="66" spans="1:50" ht="15.6">
      <c r="A66" s="220">
        <v>65</v>
      </c>
      <c r="B66" s="220" t="s">
        <v>3674</v>
      </c>
      <c r="C66" s="209" t="s">
        <v>17</v>
      </c>
      <c r="D66" s="209" t="s">
        <v>3648</v>
      </c>
      <c r="E66" s="209"/>
      <c r="F66" s="209"/>
      <c r="G66" s="209"/>
      <c r="H66" s="210" t="s">
        <v>3877</v>
      </c>
      <c r="I66" s="210"/>
      <c r="J66" s="211"/>
      <c r="K66" s="210"/>
      <c r="L66" s="212" t="s">
        <v>2999</v>
      </c>
      <c r="M66" s="212" t="s">
        <v>2999</v>
      </c>
      <c r="N66" s="213"/>
      <c r="O66" s="212">
        <v>4590007754</v>
      </c>
      <c r="P66" s="214">
        <v>44861</v>
      </c>
      <c r="Q66" s="334">
        <v>1</v>
      </c>
      <c r="R66" s="216">
        <v>1332938.24</v>
      </c>
      <c r="S66" s="217" t="s">
        <v>2156</v>
      </c>
      <c r="T66" s="209" t="s">
        <v>3869</v>
      </c>
      <c r="U66" s="209" t="s">
        <v>3870</v>
      </c>
      <c r="V66" s="213" t="s">
        <v>3871</v>
      </c>
      <c r="W66" s="218" t="s">
        <v>3652</v>
      </c>
      <c r="X66" s="218" t="s">
        <v>3652</v>
      </c>
      <c r="Y66" s="212" t="s">
        <v>3872</v>
      </c>
      <c r="Z66" s="209" t="s">
        <v>3873</v>
      </c>
      <c r="AA66" s="215"/>
      <c r="AB66" s="218"/>
      <c r="AC66" s="217" t="e">
        <v>#N/A</v>
      </c>
      <c r="AD66" s="217">
        <v>90876</v>
      </c>
      <c r="AE66" s="217" t="s">
        <v>3878</v>
      </c>
      <c r="AF66" s="217" t="s">
        <v>2250</v>
      </c>
      <c r="AG66" s="217" t="s">
        <v>3875</v>
      </c>
      <c r="AH66" s="220">
        <f t="shared" ref="AH66" si="1">O66</f>
        <v>4590007754</v>
      </c>
      <c r="AI66" s="208"/>
      <c r="AJ66" s="225">
        <v>45108</v>
      </c>
      <c r="AK66" s="221">
        <v>533175.29599999997</v>
      </c>
      <c r="AL66" s="244">
        <v>45229</v>
      </c>
      <c r="AM66" s="208" t="s">
        <v>3879</v>
      </c>
      <c r="AN66" s="227">
        <v>45412</v>
      </c>
      <c r="AO66" s="222">
        <v>799762.94</v>
      </c>
      <c r="AP66" s="227">
        <v>45471</v>
      </c>
      <c r="AQ66" s="358">
        <f ca="1">IF(表格1[[#This Row],[PO$]]="","100%",表格1[[#This Row],[total amount]]/表格1[[#This Row],[PO$]])</f>
        <v>0.9999999969991108</v>
      </c>
      <c r="AR66" s="223">
        <f ca="1">表格1[[#This Row],[invoice amount]]+表格1[[#This Row],[invoice amount2]]</f>
        <v>1332938.236</v>
      </c>
      <c r="AS66" s="224" t="s">
        <v>3673</v>
      </c>
      <c r="AT66" s="246"/>
      <c r="AU66" s="208" t="e">
        <f ca="1">VLOOKUP(表格1[[#This Row],[PO+ITEM]],#REF!,2,FALSE)</f>
        <v>#REF!</v>
      </c>
      <c r="AV66" s="341" t="e">
        <f ca="1">VLOOKUP(表格1[[#This Row],[PO+ITEM]],#REF!,3,FALSE)</f>
        <v>#REF!</v>
      </c>
      <c r="AW66" s="208" t="e">
        <f ca="1">VLOOKUP(表格1[[#This Row],[PO+ITEM]],#REF!,4,FALSE)</f>
        <v>#REF!</v>
      </c>
      <c r="AX66" s="208" t="e" cm="1" vm="1">
        <f t="array" aca="1" ref="AX66" ca="1">VLOOKUP(AI:AI,#REF!,1,FALSE)</f>
        <v>#VALUE!</v>
      </c>
    </row>
    <row r="67" spans="1:50" ht="15.6">
      <c r="A67" s="220">
        <v>66</v>
      </c>
      <c r="B67" s="220" t="s">
        <v>3674</v>
      </c>
      <c r="C67" s="209" t="s">
        <v>17</v>
      </c>
      <c r="D67" s="209" t="s">
        <v>3648</v>
      </c>
      <c r="E67" s="209"/>
      <c r="F67" s="209"/>
      <c r="G67" s="209"/>
      <c r="H67" s="210" t="s">
        <v>3880</v>
      </c>
      <c r="I67" s="210"/>
      <c r="J67" s="211"/>
      <c r="K67" s="210"/>
      <c r="L67" s="212" t="s">
        <v>2999</v>
      </c>
      <c r="M67" s="212" t="s">
        <v>2999</v>
      </c>
      <c r="N67" s="213"/>
      <c r="O67" s="212">
        <v>4590007755</v>
      </c>
      <c r="P67" s="214">
        <v>44861</v>
      </c>
      <c r="Q67" s="334">
        <v>1</v>
      </c>
      <c r="R67" s="216">
        <v>1332938.24</v>
      </c>
      <c r="S67" s="217" t="s">
        <v>2156</v>
      </c>
      <c r="T67" s="209" t="s">
        <v>3869</v>
      </c>
      <c r="U67" s="209" t="s">
        <v>3870</v>
      </c>
      <c r="V67" s="213" t="s">
        <v>3871</v>
      </c>
      <c r="W67" s="218" t="s">
        <v>3652</v>
      </c>
      <c r="X67" s="218" t="s">
        <v>3652</v>
      </c>
      <c r="Y67" s="212" t="s">
        <v>3872</v>
      </c>
      <c r="Z67" s="209" t="s">
        <v>3873</v>
      </c>
      <c r="AA67" s="215"/>
      <c r="AB67" s="218"/>
      <c r="AC67" s="217" t="e">
        <v>#N/A</v>
      </c>
      <c r="AD67" s="217">
        <v>90877</v>
      </c>
      <c r="AE67" s="217" t="s">
        <v>3881</v>
      </c>
      <c r="AF67" s="217" t="s">
        <v>2250</v>
      </c>
      <c r="AG67" s="217" t="s">
        <v>3875</v>
      </c>
      <c r="AH67" s="220">
        <f t="shared" ref="AH67:AH98" si="2">O67</f>
        <v>4590007755</v>
      </c>
      <c r="AI67" s="208"/>
      <c r="AJ67" s="225">
        <v>45108</v>
      </c>
      <c r="AK67" s="221">
        <v>533175.29599999997</v>
      </c>
      <c r="AL67" s="244">
        <v>45229</v>
      </c>
      <c r="AM67" s="208" t="s">
        <v>3882</v>
      </c>
      <c r="AN67" s="227">
        <v>45506</v>
      </c>
      <c r="AO67" s="222">
        <v>799762.94</v>
      </c>
      <c r="AP67" s="227"/>
      <c r="AQ67" s="358">
        <f ca="1">IF(表格1[[#This Row],[PO$]]="","100%",表格1[[#This Row],[total amount]]/表格1[[#This Row],[PO$]])</f>
        <v>0.9999999969991108</v>
      </c>
      <c r="AR67" s="223">
        <f ca="1">表格1[[#This Row],[invoice amount]]+表格1[[#This Row],[invoice amount2]]</f>
        <v>1332938.236</v>
      </c>
      <c r="AS67" s="224" t="s">
        <v>4235</v>
      </c>
      <c r="AT67" s="208"/>
      <c r="AU67" s="220" t="e">
        <f ca="1">VLOOKUP(表格1[[#This Row],[PO+ITEM]],#REF!,2,FALSE)</f>
        <v>#REF!</v>
      </c>
      <c r="AV67" s="341" t="e">
        <f ca="1">VLOOKUP(表格1[[#This Row],[PO+ITEM]],#REF!,3,FALSE)</f>
        <v>#REF!</v>
      </c>
      <c r="AW67" s="208" t="e">
        <f ca="1">VLOOKUP(表格1[[#This Row],[PO+ITEM]],#REF!,4,FALSE)</f>
        <v>#REF!</v>
      </c>
      <c r="AX67" s="208" t="e" cm="1" vm="1">
        <f t="array" aca="1" ref="AX67" ca="1">VLOOKUP(AI:AI,#REF!,1,FALSE)</f>
        <v>#VALUE!</v>
      </c>
    </row>
    <row r="68" spans="1:50">
      <c r="A68" s="220">
        <v>67</v>
      </c>
      <c r="B68" s="220" t="s">
        <v>3674</v>
      </c>
      <c r="C68" s="209" t="s">
        <v>17</v>
      </c>
      <c r="D68" s="209" t="s">
        <v>3648</v>
      </c>
      <c r="E68" s="209"/>
      <c r="F68" s="209"/>
      <c r="G68" s="209"/>
      <c r="H68" s="210" t="s">
        <v>3883</v>
      </c>
      <c r="I68" s="210"/>
      <c r="J68" s="211"/>
      <c r="K68" s="210"/>
      <c r="L68" s="212" t="s">
        <v>2999</v>
      </c>
      <c r="M68" s="212" t="s">
        <v>2999</v>
      </c>
      <c r="N68" s="213"/>
      <c r="O68" s="212">
        <v>4590007756</v>
      </c>
      <c r="P68" s="214">
        <v>44861</v>
      </c>
      <c r="Q68" s="334">
        <v>1</v>
      </c>
      <c r="R68" s="216">
        <v>1332938.24</v>
      </c>
      <c r="S68" s="217" t="s">
        <v>2156</v>
      </c>
      <c r="T68" s="209" t="s">
        <v>3869</v>
      </c>
      <c r="U68" s="209" t="s">
        <v>3870</v>
      </c>
      <c r="V68" s="213" t="s">
        <v>3871</v>
      </c>
      <c r="W68" s="218" t="s">
        <v>3652</v>
      </c>
      <c r="X68" s="218" t="s">
        <v>3652</v>
      </c>
      <c r="Y68" s="212" t="s">
        <v>3872</v>
      </c>
      <c r="Z68" s="209" t="s">
        <v>3873</v>
      </c>
      <c r="AA68" s="215"/>
      <c r="AB68" s="218"/>
      <c r="AC68" s="217" t="e">
        <v>#N/A</v>
      </c>
      <c r="AD68" s="217">
        <v>91016</v>
      </c>
      <c r="AE68" s="217" t="s">
        <v>3885</v>
      </c>
      <c r="AF68" s="217" t="s">
        <v>2250</v>
      </c>
      <c r="AG68" s="217" t="s">
        <v>3875</v>
      </c>
      <c r="AH68" s="220">
        <f t="shared" si="2"/>
        <v>4590007756</v>
      </c>
      <c r="AI68" s="208"/>
      <c r="AJ68" s="220"/>
      <c r="AK68" s="221"/>
      <c r="AL68" s="227"/>
      <c r="AM68" s="208"/>
      <c r="AN68" s="220"/>
      <c r="AO68" s="222"/>
      <c r="AP68" s="227"/>
      <c r="AQ68" s="358">
        <f ca="1">IF(表格1[[#This Row],[PO$]]="","100%",表格1[[#This Row],[total amount]]/表格1[[#This Row],[PO$]])</f>
        <v>0</v>
      </c>
      <c r="AR68" s="223">
        <f ca="1">表格1[[#This Row],[invoice amount]]+表格1[[#This Row],[invoice amount2]]</f>
        <v>0</v>
      </c>
      <c r="AS68" s="224"/>
      <c r="AT68" s="208"/>
      <c r="AU68" s="208" t="e">
        <f ca="1">VLOOKUP(表格1[[#This Row],[PO+ITEM]],#REF!,2,FALSE)</f>
        <v>#REF!</v>
      </c>
      <c r="AV68" s="341" t="e">
        <f ca="1">VLOOKUP(表格1[[#This Row],[PO+ITEM]],#REF!,3,FALSE)</f>
        <v>#REF!</v>
      </c>
      <c r="AW68" s="208" t="e">
        <f ca="1">VLOOKUP(表格1[[#This Row],[PO+ITEM]],#REF!,4,FALSE)</f>
        <v>#REF!</v>
      </c>
      <c r="AX68" s="208" t="e" cm="1" vm="1">
        <f t="array" aca="1" ref="AX68" ca="1">VLOOKUP(AI:AI,#REF!,1,FALSE)</f>
        <v>#VALUE!</v>
      </c>
    </row>
    <row r="69" spans="1:50">
      <c r="A69" s="220">
        <v>68</v>
      </c>
      <c r="B69" s="220" t="s">
        <v>3674</v>
      </c>
      <c r="C69" s="209" t="s">
        <v>17</v>
      </c>
      <c r="D69" s="209" t="s">
        <v>3648</v>
      </c>
      <c r="E69" s="209"/>
      <c r="F69" s="209"/>
      <c r="G69" s="209"/>
      <c r="H69" s="210" t="s">
        <v>3887</v>
      </c>
      <c r="I69" s="210"/>
      <c r="J69" s="211"/>
      <c r="K69" s="210"/>
      <c r="L69" s="212" t="s">
        <v>2999</v>
      </c>
      <c r="M69" s="212" t="s">
        <v>2999</v>
      </c>
      <c r="N69" s="213"/>
      <c r="O69" s="212">
        <v>4590007757</v>
      </c>
      <c r="P69" s="214">
        <v>44861</v>
      </c>
      <c r="Q69" s="334">
        <v>1</v>
      </c>
      <c r="R69" s="216">
        <v>1332938.24</v>
      </c>
      <c r="S69" s="217" t="s">
        <v>2156</v>
      </c>
      <c r="T69" s="209" t="s">
        <v>3869</v>
      </c>
      <c r="U69" s="209" t="s">
        <v>3870</v>
      </c>
      <c r="V69" s="213" t="s">
        <v>3871</v>
      </c>
      <c r="W69" s="218" t="s">
        <v>3652</v>
      </c>
      <c r="X69" s="218" t="s">
        <v>3652</v>
      </c>
      <c r="Y69" s="212" t="s">
        <v>3872</v>
      </c>
      <c r="Z69" s="209" t="s">
        <v>3873</v>
      </c>
      <c r="AA69" s="215"/>
      <c r="AB69" s="218"/>
      <c r="AC69" s="217" t="e">
        <v>#N/A</v>
      </c>
      <c r="AD69" s="217">
        <v>73845</v>
      </c>
      <c r="AE69" s="217" t="s">
        <v>3888</v>
      </c>
      <c r="AF69" s="217" t="s">
        <v>2250</v>
      </c>
      <c r="AG69" s="217" t="s">
        <v>3875</v>
      </c>
      <c r="AH69" s="220">
        <f t="shared" si="2"/>
        <v>4590007757</v>
      </c>
      <c r="AI69" s="208" t="s">
        <v>3889</v>
      </c>
      <c r="AJ69" s="227">
        <v>45401</v>
      </c>
      <c r="AK69" s="221">
        <v>1332938.24</v>
      </c>
      <c r="AL69" s="227">
        <v>45471</v>
      </c>
      <c r="AM69" s="208"/>
      <c r="AN69" s="220"/>
      <c r="AO69" s="222"/>
      <c r="AP69" s="227"/>
      <c r="AQ69" s="358">
        <f ca="1">IF(表格1[[#This Row],[PO$]]="","100%",表格1[[#This Row],[total amount]]/表格1[[#This Row],[PO$]])</f>
        <v>1</v>
      </c>
      <c r="AR69" s="223">
        <f ca="1">表格1[[#This Row],[invoice amount]]+表格1[[#This Row],[invoice amount2]]</f>
        <v>1332938.24</v>
      </c>
      <c r="AS69" s="224" t="s">
        <v>3673</v>
      </c>
      <c r="AT69" s="245" t="s">
        <v>3890</v>
      </c>
      <c r="AU69" s="208" t="e">
        <f ca="1">VLOOKUP(表格1[[#This Row],[PO+ITEM]],#REF!,2,FALSE)</f>
        <v>#REF!</v>
      </c>
      <c r="AV69" s="341" t="e">
        <f ca="1">VLOOKUP(表格1[[#This Row],[PO+ITEM]],#REF!,3,FALSE)</f>
        <v>#REF!</v>
      </c>
      <c r="AW69" s="208" t="e">
        <f ca="1">VLOOKUP(表格1[[#This Row],[PO+ITEM]],#REF!,4,FALSE)</f>
        <v>#REF!</v>
      </c>
      <c r="AX69" s="208" t="e" cm="1" vm="1">
        <f t="array" aca="1" ref="AX69" ca="1">VLOOKUP(AI:AI,#REF!,1,FALSE)</f>
        <v>#VALUE!</v>
      </c>
    </row>
    <row r="70" spans="1:50">
      <c r="A70" s="220">
        <v>69</v>
      </c>
      <c r="B70" s="220" t="s">
        <v>3674</v>
      </c>
      <c r="C70" s="209" t="s">
        <v>17</v>
      </c>
      <c r="D70" s="209" t="s">
        <v>3648</v>
      </c>
      <c r="E70" s="209"/>
      <c r="F70" s="209"/>
      <c r="G70" s="209"/>
      <c r="H70" s="210" t="s">
        <v>3891</v>
      </c>
      <c r="I70" s="210"/>
      <c r="J70" s="211"/>
      <c r="K70" s="210"/>
      <c r="L70" s="212" t="s">
        <v>2999</v>
      </c>
      <c r="M70" s="212" t="s">
        <v>2999</v>
      </c>
      <c r="N70" s="213"/>
      <c r="O70" s="212">
        <v>4590007758</v>
      </c>
      <c r="P70" s="214">
        <v>44861</v>
      </c>
      <c r="Q70" s="334">
        <v>1</v>
      </c>
      <c r="R70" s="216">
        <v>1332938.24</v>
      </c>
      <c r="S70" s="217" t="s">
        <v>2156</v>
      </c>
      <c r="T70" s="209" t="s">
        <v>3869</v>
      </c>
      <c r="U70" s="209" t="s">
        <v>3870</v>
      </c>
      <c r="V70" s="213" t="s">
        <v>3871</v>
      </c>
      <c r="W70" s="218" t="s">
        <v>3652</v>
      </c>
      <c r="X70" s="218" t="s">
        <v>3652</v>
      </c>
      <c r="Y70" s="212" t="s">
        <v>3872</v>
      </c>
      <c r="Z70" s="209" t="s">
        <v>3873</v>
      </c>
      <c r="AA70" s="215"/>
      <c r="AB70" s="218"/>
      <c r="AC70" s="217" t="e">
        <v>#N/A</v>
      </c>
      <c r="AD70" s="217">
        <v>73848</v>
      </c>
      <c r="AE70" s="217" t="s">
        <v>3892</v>
      </c>
      <c r="AF70" s="217" t="s">
        <v>2250</v>
      </c>
      <c r="AG70" s="217" t="s">
        <v>3875</v>
      </c>
      <c r="AH70" s="220">
        <f t="shared" si="2"/>
        <v>4590007758</v>
      </c>
      <c r="AI70" s="208" t="s">
        <v>3893</v>
      </c>
      <c r="AJ70" s="227">
        <v>45401</v>
      </c>
      <c r="AK70" s="221">
        <v>1332938.24</v>
      </c>
      <c r="AL70" s="227">
        <v>45471</v>
      </c>
      <c r="AM70" s="208"/>
      <c r="AN70" s="220"/>
      <c r="AO70" s="222"/>
      <c r="AP70" s="227"/>
      <c r="AQ70" s="358">
        <f ca="1">IF(表格1[[#This Row],[PO$]]="","100%",表格1[[#This Row],[total amount]]/表格1[[#This Row],[PO$]])</f>
        <v>1</v>
      </c>
      <c r="AR70" s="223">
        <f ca="1">表格1[[#This Row],[invoice amount]]+表格1[[#This Row],[invoice amount2]]</f>
        <v>1332938.24</v>
      </c>
      <c r="AS70" s="224" t="s">
        <v>3673</v>
      </c>
      <c r="AT70" s="208"/>
      <c r="AU70" s="208" t="e">
        <f ca="1">VLOOKUP(表格1[[#This Row],[PO+ITEM]],#REF!,2,FALSE)</f>
        <v>#REF!</v>
      </c>
      <c r="AV70" s="341" t="e">
        <f ca="1">VLOOKUP(表格1[[#This Row],[PO+ITEM]],#REF!,3,FALSE)</f>
        <v>#REF!</v>
      </c>
      <c r="AW70" s="208" t="e">
        <f ca="1">VLOOKUP(表格1[[#This Row],[PO+ITEM]],#REF!,4,FALSE)</f>
        <v>#REF!</v>
      </c>
      <c r="AX70" s="208" t="e" cm="1" vm="1">
        <f t="array" aca="1" ref="AX70" ca="1">VLOOKUP(AI:AI,#REF!,1,FALSE)</f>
        <v>#VALUE!</v>
      </c>
    </row>
    <row r="71" spans="1:50">
      <c r="A71" s="220">
        <v>70</v>
      </c>
      <c r="B71" s="220" t="s">
        <v>3674</v>
      </c>
      <c r="C71" s="209" t="s">
        <v>17</v>
      </c>
      <c r="D71" s="209" t="s">
        <v>3648</v>
      </c>
      <c r="E71" s="209"/>
      <c r="F71" s="209"/>
      <c r="G71" s="209"/>
      <c r="H71" s="210" t="s">
        <v>3894</v>
      </c>
      <c r="I71" s="210"/>
      <c r="J71" s="211"/>
      <c r="K71" s="210"/>
      <c r="L71" s="212" t="s">
        <v>2999</v>
      </c>
      <c r="M71" s="212" t="s">
        <v>2999</v>
      </c>
      <c r="N71" s="213"/>
      <c r="O71" s="212">
        <v>4590007759</v>
      </c>
      <c r="P71" s="214">
        <v>44861</v>
      </c>
      <c r="Q71" s="334">
        <v>1</v>
      </c>
      <c r="R71" s="216">
        <v>1332938.24</v>
      </c>
      <c r="S71" s="217" t="s">
        <v>2156</v>
      </c>
      <c r="T71" s="209" t="s">
        <v>3869</v>
      </c>
      <c r="U71" s="209" t="s">
        <v>3870</v>
      </c>
      <c r="V71" s="213" t="s">
        <v>3871</v>
      </c>
      <c r="W71" s="218" t="s">
        <v>3652</v>
      </c>
      <c r="X71" s="218" t="s">
        <v>3652</v>
      </c>
      <c r="Y71" s="212" t="s">
        <v>3872</v>
      </c>
      <c r="Z71" s="209" t="s">
        <v>3873</v>
      </c>
      <c r="AA71" s="215"/>
      <c r="AB71" s="218"/>
      <c r="AC71" s="217" t="e">
        <v>#N/A</v>
      </c>
      <c r="AD71" s="217">
        <v>91017</v>
      </c>
      <c r="AE71" s="217" t="s">
        <v>3895</v>
      </c>
      <c r="AF71" s="217" t="s">
        <v>2250</v>
      </c>
      <c r="AG71" s="217" t="s">
        <v>3875</v>
      </c>
      <c r="AH71" s="220">
        <f t="shared" si="2"/>
        <v>4590007759</v>
      </c>
      <c r="AI71" s="208"/>
      <c r="AJ71" s="220"/>
      <c r="AK71" s="221"/>
      <c r="AL71" s="227"/>
      <c r="AM71" s="208"/>
      <c r="AN71" s="220"/>
      <c r="AO71" s="222"/>
      <c r="AP71" s="227"/>
      <c r="AQ71" s="358">
        <f ca="1">IF(表格1[[#This Row],[PO$]]="","100%",表格1[[#This Row],[total amount]]/表格1[[#This Row],[PO$]])</f>
        <v>0</v>
      </c>
      <c r="AR71" s="223">
        <f ca="1">表格1[[#This Row],[invoice amount]]+表格1[[#This Row],[invoice amount2]]</f>
        <v>0</v>
      </c>
      <c r="AS71" s="224"/>
      <c r="AT71" s="208"/>
      <c r="AU71" s="208" t="e">
        <f ca="1">VLOOKUP(表格1[[#This Row],[PO+ITEM]],#REF!,2,FALSE)</f>
        <v>#REF!</v>
      </c>
      <c r="AV71" s="341" t="e">
        <f ca="1">VLOOKUP(表格1[[#This Row],[PO+ITEM]],#REF!,3,FALSE)</f>
        <v>#REF!</v>
      </c>
      <c r="AW71" s="208" t="e">
        <f ca="1">VLOOKUP(表格1[[#This Row],[PO+ITEM]],#REF!,4,FALSE)</f>
        <v>#REF!</v>
      </c>
      <c r="AX71" s="208" t="e" cm="1" vm="1">
        <f t="array" aca="1" ref="AX71" ca="1">VLOOKUP(AI:AI,#REF!,1,FALSE)</f>
        <v>#VALUE!</v>
      </c>
    </row>
    <row r="72" spans="1:50" ht="15.6">
      <c r="A72" s="220">
        <v>71</v>
      </c>
      <c r="B72" s="220" t="s">
        <v>3659</v>
      </c>
      <c r="C72" s="209" t="s">
        <v>17</v>
      </c>
      <c r="D72" s="209" t="s">
        <v>3648</v>
      </c>
      <c r="E72" s="209"/>
      <c r="F72" s="209"/>
      <c r="G72" s="209"/>
      <c r="H72" s="210" t="s">
        <v>3896</v>
      </c>
      <c r="I72" s="210"/>
      <c r="J72" s="211"/>
      <c r="K72" s="210"/>
      <c r="L72" s="212" t="s">
        <v>2999</v>
      </c>
      <c r="M72" s="212" t="s">
        <v>2999</v>
      </c>
      <c r="N72" s="213"/>
      <c r="O72" s="212">
        <v>4590007760</v>
      </c>
      <c r="P72" s="214">
        <v>44861</v>
      </c>
      <c r="Q72" s="334">
        <v>1</v>
      </c>
      <c r="R72" s="216">
        <v>650175</v>
      </c>
      <c r="S72" s="217" t="s">
        <v>2156</v>
      </c>
      <c r="T72" s="209" t="s">
        <v>3869</v>
      </c>
      <c r="U72" s="209" t="s">
        <v>3870</v>
      </c>
      <c r="V72" s="213" t="s">
        <v>3871</v>
      </c>
      <c r="W72" s="218" t="s">
        <v>3652</v>
      </c>
      <c r="X72" s="218" t="s">
        <v>3652</v>
      </c>
      <c r="Y72" s="212" t="s">
        <v>3897</v>
      </c>
      <c r="Z72" s="209" t="s">
        <v>3898</v>
      </c>
      <c r="AA72" s="215"/>
      <c r="AB72" s="218"/>
      <c r="AC72" s="217" t="e">
        <v>#N/A</v>
      </c>
      <c r="AD72" s="217">
        <v>90880</v>
      </c>
      <c r="AE72" s="217" t="s">
        <v>3899</v>
      </c>
      <c r="AF72" s="217" t="s">
        <v>3900</v>
      </c>
      <c r="AG72" s="217" t="s">
        <v>3875</v>
      </c>
      <c r="AH72" s="220">
        <f t="shared" si="2"/>
        <v>4590007760</v>
      </c>
      <c r="AI72" s="208"/>
      <c r="AJ72" s="225">
        <v>45017</v>
      </c>
      <c r="AK72" s="221">
        <v>260070</v>
      </c>
      <c r="AL72" s="226">
        <v>45168</v>
      </c>
      <c r="AM72" s="208"/>
      <c r="AN72" s="220"/>
      <c r="AO72" s="222"/>
      <c r="AP72" s="227"/>
      <c r="AQ72" s="358">
        <f ca="1">IF(表格1[[#This Row],[PO$]]="","100%",表格1[[#This Row],[total amount]]/表格1[[#This Row],[PO$]])</f>
        <v>0.4</v>
      </c>
      <c r="AR72" s="223">
        <f ca="1">表格1[[#This Row],[invoice amount]]+表格1[[#This Row],[invoice amount2]]</f>
        <v>260070</v>
      </c>
      <c r="AS72" s="224" t="s">
        <v>3673</v>
      </c>
      <c r="AT72" s="343"/>
      <c r="AU72" s="208" t="e">
        <f ca="1">VLOOKUP(表格1[[#This Row],[PO+ITEM]],#REF!,2,FALSE)</f>
        <v>#REF!</v>
      </c>
      <c r="AV72" s="341" t="e">
        <f ca="1">VLOOKUP(表格1[[#This Row],[PO+ITEM]],#REF!,3,FALSE)</f>
        <v>#REF!</v>
      </c>
      <c r="AW72" s="208" t="e">
        <f ca="1">VLOOKUP(表格1[[#This Row],[PO+ITEM]],#REF!,4,FALSE)</f>
        <v>#REF!</v>
      </c>
      <c r="AX72" s="208" t="e" cm="1" vm="1">
        <f t="array" aca="1" ref="AX72" ca="1">VLOOKUP(AI:AI,#REF!,1,FALSE)</f>
        <v>#VALUE!</v>
      </c>
    </row>
    <row r="73" spans="1:50" ht="15.6">
      <c r="A73" s="220">
        <v>72</v>
      </c>
      <c r="B73" s="220" t="s">
        <v>3674</v>
      </c>
      <c r="C73" s="209" t="s">
        <v>17</v>
      </c>
      <c r="D73" s="209" t="s">
        <v>3648</v>
      </c>
      <c r="E73" s="209"/>
      <c r="F73" s="209"/>
      <c r="G73" s="209"/>
      <c r="H73" s="210" t="s">
        <v>3901</v>
      </c>
      <c r="I73" s="210"/>
      <c r="J73" s="211"/>
      <c r="K73" s="210"/>
      <c r="L73" s="212" t="s">
        <v>2999</v>
      </c>
      <c r="M73" s="212" t="s">
        <v>2999</v>
      </c>
      <c r="N73" s="213"/>
      <c r="O73" s="212">
        <v>4590007761</v>
      </c>
      <c r="P73" s="214">
        <v>44861</v>
      </c>
      <c r="Q73" s="334">
        <v>1</v>
      </c>
      <c r="R73" s="216">
        <v>466802</v>
      </c>
      <c r="S73" s="217" t="s">
        <v>2156</v>
      </c>
      <c r="T73" s="209" t="s">
        <v>3869</v>
      </c>
      <c r="U73" s="209" t="s">
        <v>3870</v>
      </c>
      <c r="V73" s="213" t="s">
        <v>3871</v>
      </c>
      <c r="W73" s="218" t="s">
        <v>3652</v>
      </c>
      <c r="X73" s="218" t="s">
        <v>3652</v>
      </c>
      <c r="Y73" s="212" t="s">
        <v>3897</v>
      </c>
      <c r="Z73" s="209" t="s">
        <v>3902</v>
      </c>
      <c r="AA73" s="215"/>
      <c r="AB73" s="218"/>
      <c r="AC73" s="217" t="e">
        <v>#N/A</v>
      </c>
      <c r="AD73" s="217">
        <v>90314</v>
      </c>
      <c r="AE73" s="217" t="s">
        <v>3903</v>
      </c>
      <c r="AF73" s="217" t="s">
        <v>3900</v>
      </c>
      <c r="AG73" s="217" t="s">
        <v>3875</v>
      </c>
      <c r="AH73" s="220">
        <f t="shared" si="2"/>
        <v>4590007761</v>
      </c>
      <c r="AI73" s="208"/>
      <c r="AJ73" s="225">
        <v>45017</v>
      </c>
      <c r="AK73" s="221">
        <v>186720.80000000002</v>
      </c>
      <c r="AL73" s="226">
        <v>45168</v>
      </c>
      <c r="AM73" s="208" t="s">
        <v>3904</v>
      </c>
      <c r="AN73" s="227">
        <v>45351</v>
      </c>
      <c r="AO73" s="222">
        <v>256741.10000000003</v>
      </c>
      <c r="AP73" s="244">
        <v>45337</v>
      </c>
      <c r="AQ73" s="358">
        <f ca="1">IF(表格1[[#This Row],[PO$]]="","100%",表格1[[#This Row],[total amount]]/表格1[[#This Row],[PO$]])</f>
        <v>0.95000000000000007</v>
      </c>
      <c r="AR73" s="223">
        <f ca="1">表格1[[#This Row],[invoice amount]]+表格1[[#This Row],[invoice amount2]]</f>
        <v>443461.9</v>
      </c>
      <c r="AS73" s="224" t="s">
        <v>3673</v>
      </c>
      <c r="AT73" s="247" t="s">
        <v>3905</v>
      </c>
      <c r="AU73" s="208" t="e">
        <f ca="1">VLOOKUP(表格1[[#This Row],[PO+ITEM]],#REF!,2,FALSE)</f>
        <v>#REF!</v>
      </c>
      <c r="AV73" s="341" t="e">
        <f ca="1">VLOOKUP(表格1[[#This Row],[PO+ITEM]],#REF!,3,FALSE)</f>
        <v>#REF!</v>
      </c>
      <c r="AW73" s="208" t="e">
        <f ca="1">VLOOKUP(表格1[[#This Row],[PO+ITEM]],#REF!,4,FALSE)</f>
        <v>#REF!</v>
      </c>
      <c r="AX73" s="208" t="e" cm="1" vm="1">
        <f t="array" aca="1" ref="AX73" ca="1">VLOOKUP(AI:AI,#REF!,1,FALSE)</f>
        <v>#VALUE!</v>
      </c>
    </row>
    <row r="74" spans="1:50">
      <c r="A74" s="220">
        <v>73</v>
      </c>
      <c r="B74" s="220" t="s">
        <v>3674</v>
      </c>
      <c r="C74" s="209" t="s">
        <v>16</v>
      </c>
      <c r="D74" s="209" t="s">
        <v>3648</v>
      </c>
      <c r="E74" s="209"/>
      <c r="F74" s="209"/>
      <c r="G74" s="209"/>
      <c r="H74" s="210" t="s">
        <v>6692</v>
      </c>
      <c r="I74" s="210"/>
      <c r="J74" s="211"/>
      <c r="K74" s="210"/>
      <c r="L74" s="210" t="s">
        <v>3762</v>
      </c>
      <c r="M74" s="210" t="s">
        <v>3762</v>
      </c>
      <c r="N74" s="213"/>
      <c r="O74" s="212">
        <v>4590007773</v>
      </c>
      <c r="P74" s="214">
        <v>44861</v>
      </c>
      <c r="Q74" s="334">
        <v>1</v>
      </c>
      <c r="R74" s="216">
        <v>2993.44</v>
      </c>
      <c r="S74" s="217" t="s">
        <v>2156</v>
      </c>
      <c r="T74" s="209" t="s">
        <v>3908</v>
      </c>
      <c r="U74" s="209"/>
      <c r="V74" s="213" t="s">
        <v>3909</v>
      </c>
      <c r="W74" s="218" t="s">
        <v>3652</v>
      </c>
      <c r="X74" s="218" t="s">
        <v>3652</v>
      </c>
      <c r="Y74" s="212">
        <v>0</v>
      </c>
      <c r="Z74" s="209" t="s">
        <v>3910</v>
      </c>
      <c r="AA74" s="215"/>
      <c r="AB74" s="218"/>
      <c r="AC74" s="217" t="e">
        <v>#N/A</v>
      </c>
      <c r="AD74" s="217">
        <v>90572</v>
      </c>
      <c r="AE74" s="217" t="s">
        <v>2555</v>
      </c>
      <c r="AF74" s="217" t="s">
        <v>3911</v>
      </c>
      <c r="AG74" s="217" t="s">
        <v>846</v>
      </c>
      <c r="AH74" s="220">
        <f t="shared" si="2"/>
        <v>4590007773</v>
      </c>
      <c r="AI74" s="208"/>
      <c r="AJ74" s="220"/>
      <c r="AK74" s="221"/>
      <c r="AL74" s="227"/>
      <c r="AM74" s="208"/>
      <c r="AN74" s="220"/>
      <c r="AO74" s="222"/>
      <c r="AP74" s="227"/>
      <c r="AQ74" s="358">
        <f ca="1">IF(表格1[[#This Row],[PO$]]="","100%",表格1[[#This Row],[total amount]]/表格1[[#This Row],[PO$]])</f>
        <v>0</v>
      </c>
      <c r="AR74" s="223">
        <f ca="1">表格1[[#This Row],[invoice amount]]+表格1[[#This Row],[invoice amount2]]</f>
        <v>0</v>
      </c>
      <c r="AS74" s="224"/>
      <c r="AT74" s="208"/>
      <c r="AU74" s="208" t="e">
        <f ca="1">VLOOKUP(表格1[[#This Row],[PO+ITEM]],#REF!,2,FALSE)</f>
        <v>#REF!</v>
      </c>
      <c r="AV74" s="341" t="e">
        <f ca="1">VLOOKUP(表格1[[#This Row],[PO+ITEM]],#REF!,3,FALSE)</f>
        <v>#REF!</v>
      </c>
      <c r="AW74" s="208" t="e">
        <f ca="1">VLOOKUP(表格1[[#This Row],[PO+ITEM]],#REF!,4,FALSE)</f>
        <v>#REF!</v>
      </c>
      <c r="AX74" s="208" t="e" cm="1" vm="1">
        <f t="array" aca="1" ref="AX74" ca="1">VLOOKUP(AI:AI,#REF!,1,FALSE)</f>
        <v>#VALUE!</v>
      </c>
    </row>
    <row r="75" spans="1:50" ht="15.6">
      <c r="A75" s="220">
        <v>74</v>
      </c>
      <c r="B75" s="220" t="s">
        <v>3674</v>
      </c>
      <c r="C75" s="209" t="s">
        <v>17</v>
      </c>
      <c r="D75" s="209" t="s">
        <v>3648</v>
      </c>
      <c r="E75" s="209"/>
      <c r="F75" s="209"/>
      <c r="G75" s="209"/>
      <c r="H75" s="210" t="s">
        <v>3912</v>
      </c>
      <c r="I75" s="210"/>
      <c r="J75" s="211"/>
      <c r="K75" s="210"/>
      <c r="L75" s="212" t="s">
        <v>2999</v>
      </c>
      <c r="M75" s="212" t="s">
        <v>2999</v>
      </c>
      <c r="N75" s="213"/>
      <c r="O75" s="212">
        <v>4590007914</v>
      </c>
      <c r="P75" s="214">
        <v>44867</v>
      </c>
      <c r="Q75" s="334">
        <v>1</v>
      </c>
      <c r="R75" s="216">
        <v>113160</v>
      </c>
      <c r="S75" s="217" t="s">
        <v>2156</v>
      </c>
      <c r="T75" s="209" t="s">
        <v>3913</v>
      </c>
      <c r="U75" s="209" t="s">
        <v>3914</v>
      </c>
      <c r="V75" s="213" t="s">
        <v>3915</v>
      </c>
      <c r="W75" s="218" t="s">
        <v>3652</v>
      </c>
      <c r="X75" s="218" t="s">
        <v>3652</v>
      </c>
      <c r="Y75" s="212">
        <v>0</v>
      </c>
      <c r="Z75" s="209" t="s">
        <v>3916</v>
      </c>
      <c r="AA75" s="215"/>
      <c r="AB75" s="218"/>
      <c r="AC75" s="217" t="e">
        <v>#N/A</v>
      </c>
      <c r="AD75" s="217">
        <v>90714</v>
      </c>
      <c r="AE75" s="217" t="s">
        <v>3917</v>
      </c>
      <c r="AF75" s="217" t="s">
        <v>3918</v>
      </c>
      <c r="AG75" s="217" t="s">
        <v>3919</v>
      </c>
      <c r="AH75" s="220">
        <f t="shared" si="2"/>
        <v>4590007914</v>
      </c>
      <c r="AI75" s="208"/>
      <c r="AJ75" s="225">
        <v>44958</v>
      </c>
      <c r="AK75" s="221">
        <v>45264</v>
      </c>
      <c r="AL75" s="226">
        <v>45015</v>
      </c>
      <c r="AM75" s="208"/>
      <c r="AN75" s="220"/>
      <c r="AO75" s="222"/>
      <c r="AP75" s="227"/>
      <c r="AQ75" s="358">
        <f ca="1">IF(表格1[[#This Row],[PO$]]="","100%",表格1[[#This Row],[total amount]]/表格1[[#This Row],[PO$]])</f>
        <v>0.4</v>
      </c>
      <c r="AR75" s="223">
        <f ca="1">表格1[[#This Row],[invoice amount]]+表格1[[#This Row],[invoice amount2]]</f>
        <v>45264</v>
      </c>
      <c r="AS75" s="224" t="s">
        <v>3673</v>
      </c>
      <c r="AT75" s="208"/>
      <c r="AU75" s="208" t="e">
        <f ca="1">VLOOKUP(表格1[[#This Row],[PO+ITEM]],#REF!,2,FALSE)</f>
        <v>#REF!</v>
      </c>
      <c r="AV75" s="341" t="e">
        <f ca="1">VLOOKUP(表格1[[#This Row],[PO+ITEM]],#REF!,3,FALSE)</f>
        <v>#REF!</v>
      </c>
      <c r="AW75" s="208" t="e">
        <f ca="1">VLOOKUP(表格1[[#This Row],[PO+ITEM]],#REF!,4,FALSE)</f>
        <v>#REF!</v>
      </c>
      <c r="AX75" s="208" t="e" cm="1" vm="1">
        <f t="array" aca="1" ref="AX75" ca="1">VLOOKUP(AI:AI,#REF!,1,FALSE)</f>
        <v>#VALUE!</v>
      </c>
    </row>
    <row r="76" spans="1:50" ht="15.6">
      <c r="A76" s="220">
        <v>75</v>
      </c>
      <c r="B76" s="220" t="s">
        <v>3674</v>
      </c>
      <c r="C76" s="209" t="s">
        <v>17</v>
      </c>
      <c r="D76" s="209" t="s">
        <v>3648</v>
      </c>
      <c r="E76" s="209"/>
      <c r="F76" s="209"/>
      <c r="G76" s="209"/>
      <c r="H76" s="210" t="s">
        <v>3920</v>
      </c>
      <c r="I76" s="210"/>
      <c r="J76" s="211"/>
      <c r="K76" s="210"/>
      <c r="L76" s="212" t="s">
        <v>2999</v>
      </c>
      <c r="M76" s="212" t="s">
        <v>2999</v>
      </c>
      <c r="N76" s="213"/>
      <c r="O76" s="212">
        <v>4590007915</v>
      </c>
      <c r="P76" s="214">
        <v>44867</v>
      </c>
      <c r="Q76" s="334">
        <v>1</v>
      </c>
      <c r="R76" s="216">
        <v>66153.75</v>
      </c>
      <c r="S76" s="217" t="s">
        <v>2156</v>
      </c>
      <c r="T76" s="209" t="s">
        <v>3913</v>
      </c>
      <c r="U76" s="209" t="s">
        <v>3914</v>
      </c>
      <c r="V76" s="213" t="s">
        <v>3915</v>
      </c>
      <c r="W76" s="218" t="s">
        <v>3652</v>
      </c>
      <c r="X76" s="218" t="s">
        <v>3652</v>
      </c>
      <c r="Y76" s="212" t="s">
        <v>3921</v>
      </c>
      <c r="Z76" s="209" t="s">
        <v>3922</v>
      </c>
      <c r="AA76" s="215"/>
      <c r="AB76" s="218"/>
      <c r="AC76" s="217" t="e">
        <v>#N/A</v>
      </c>
      <c r="AD76" s="217">
        <v>90727</v>
      </c>
      <c r="AE76" s="217" t="s">
        <v>3923</v>
      </c>
      <c r="AF76" s="217" t="s">
        <v>3918</v>
      </c>
      <c r="AG76" s="217" t="s">
        <v>3919</v>
      </c>
      <c r="AH76" s="220">
        <f t="shared" si="2"/>
        <v>4590007915</v>
      </c>
      <c r="AI76" s="208"/>
      <c r="AJ76" s="225">
        <v>44958</v>
      </c>
      <c r="AK76" s="221">
        <v>26461.5</v>
      </c>
      <c r="AL76" s="226">
        <v>45015</v>
      </c>
      <c r="AM76" s="208" t="s">
        <v>3924</v>
      </c>
      <c r="AN76" s="225">
        <v>45261</v>
      </c>
      <c r="AO76" s="222">
        <v>39692.25</v>
      </c>
      <c r="AP76" s="227">
        <v>45442</v>
      </c>
      <c r="AQ76" s="358">
        <f ca="1">IF(表格1[[#This Row],[PO$]]="","100%",表格1[[#This Row],[total amount]]/表格1[[#This Row],[PO$]])</f>
        <v>1</v>
      </c>
      <c r="AR76" s="223">
        <f ca="1">表格1[[#This Row],[invoice amount]]+表格1[[#This Row],[invoice amount2]]</f>
        <v>66153.75</v>
      </c>
      <c r="AS76" s="224" t="s">
        <v>3725</v>
      </c>
      <c r="AT76" s="208"/>
      <c r="AU76" s="208" t="e">
        <f ca="1">VLOOKUP(表格1[[#This Row],[PO+ITEM]],#REF!,2,FALSE)</f>
        <v>#REF!</v>
      </c>
      <c r="AV76" s="341" t="e">
        <f ca="1">VLOOKUP(表格1[[#This Row],[PO+ITEM]],#REF!,3,FALSE)</f>
        <v>#REF!</v>
      </c>
      <c r="AW76" s="208" t="e">
        <f ca="1">VLOOKUP(表格1[[#This Row],[PO+ITEM]],#REF!,4,FALSE)</f>
        <v>#REF!</v>
      </c>
      <c r="AX76" s="208" t="e" cm="1" vm="1">
        <f t="array" aca="1" ref="AX76" ca="1">VLOOKUP(AI:AI,#REF!,1,FALSE)</f>
        <v>#VALUE!</v>
      </c>
    </row>
    <row r="77" spans="1:50" ht="15.6">
      <c r="A77" s="220">
        <v>76</v>
      </c>
      <c r="B77" s="220" t="e">
        <v>#N/A</v>
      </c>
      <c r="C77" s="209" t="s">
        <v>16</v>
      </c>
      <c r="D77" s="209" t="s">
        <v>3648</v>
      </c>
      <c r="E77" s="209"/>
      <c r="F77" s="209"/>
      <c r="G77" s="209"/>
      <c r="H77" s="210" t="s">
        <v>3925</v>
      </c>
      <c r="I77" s="210"/>
      <c r="J77" s="211"/>
      <c r="K77" s="210"/>
      <c r="L77" s="212" t="s">
        <v>2206</v>
      </c>
      <c r="M77" s="212"/>
      <c r="N77" s="213"/>
      <c r="O77" s="212">
        <v>4590007943</v>
      </c>
      <c r="P77" s="214">
        <v>44867</v>
      </c>
      <c r="Q77" s="334">
        <v>1</v>
      </c>
      <c r="R77" s="216">
        <v>353236.53</v>
      </c>
      <c r="S77" s="217" t="s">
        <v>2156</v>
      </c>
      <c r="T77" s="209" t="s">
        <v>3926</v>
      </c>
      <c r="U77" s="209" t="s">
        <v>3927</v>
      </c>
      <c r="V77" s="213" t="s">
        <v>3928</v>
      </c>
      <c r="W77" s="218" t="s">
        <v>3652</v>
      </c>
      <c r="X77" s="218" t="s">
        <v>3652</v>
      </c>
      <c r="Y77" s="212" t="s">
        <v>3929</v>
      </c>
      <c r="Z77" s="209" t="s">
        <v>3930</v>
      </c>
      <c r="AA77" s="215"/>
      <c r="AB77" s="218"/>
      <c r="AC77" s="217" t="e">
        <v>#N/A</v>
      </c>
      <c r="AD77" s="217"/>
      <c r="AE77" s="217" t="s">
        <v>3931</v>
      </c>
      <c r="AF77" s="217" t="s">
        <v>3932</v>
      </c>
      <c r="AG77" s="217"/>
      <c r="AH77" s="220">
        <f t="shared" si="2"/>
        <v>4590007943</v>
      </c>
      <c r="AI77" s="208"/>
      <c r="AJ77" s="225">
        <v>45108</v>
      </c>
      <c r="AK77" s="221">
        <v>141294.61200000002</v>
      </c>
      <c r="AL77" s="244">
        <v>45229</v>
      </c>
      <c r="AM77" s="208"/>
      <c r="AN77" s="220"/>
      <c r="AO77" s="222"/>
      <c r="AP77" s="227"/>
      <c r="AQ77" s="358">
        <f ca="1">IF(表格1[[#This Row],[PO$]]="","100%",表格1[[#This Row],[total amount]]/表格1[[#This Row],[PO$]])</f>
        <v>0.4</v>
      </c>
      <c r="AR77" s="223">
        <f ca="1">表格1[[#This Row],[invoice amount]]+表格1[[#This Row],[invoice amount2]]</f>
        <v>141294.61200000002</v>
      </c>
      <c r="AS77" s="224" t="s">
        <v>3673</v>
      </c>
      <c r="AT77" s="208"/>
      <c r="AU77" s="208" t="e">
        <f ca="1">VLOOKUP(表格1[[#This Row],[PO+ITEM]],#REF!,2,FALSE)</f>
        <v>#REF!</v>
      </c>
      <c r="AV77" s="341" t="e">
        <f ca="1">VLOOKUP(表格1[[#This Row],[PO+ITEM]],#REF!,3,FALSE)</f>
        <v>#REF!</v>
      </c>
      <c r="AW77" s="208" t="e">
        <f ca="1">VLOOKUP(表格1[[#This Row],[PO+ITEM]],#REF!,4,FALSE)</f>
        <v>#REF!</v>
      </c>
      <c r="AX77" s="208" t="e" cm="1" vm="1">
        <f t="array" aca="1" ref="AX77" ca="1">VLOOKUP(AI:AI,#REF!,1,FALSE)</f>
        <v>#VALUE!</v>
      </c>
    </row>
    <row r="78" spans="1:50">
      <c r="A78" s="220">
        <v>77</v>
      </c>
      <c r="B78" s="220" t="s">
        <v>3659</v>
      </c>
      <c r="C78" s="209" t="s">
        <v>17</v>
      </c>
      <c r="D78" s="209" t="s">
        <v>3648</v>
      </c>
      <c r="E78" s="209"/>
      <c r="F78" s="209"/>
      <c r="G78" s="209"/>
      <c r="H78" s="210" t="s">
        <v>3933</v>
      </c>
      <c r="I78" s="210"/>
      <c r="J78" s="211"/>
      <c r="K78" s="210"/>
      <c r="L78" s="212" t="s">
        <v>2999</v>
      </c>
      <c r="M78" s="212" t="s">
        <v>2206</v>
      </c>
      <c r="N78" s="213"/>
      <c r="O78" s="212">
        <v>4590008133</v>
      </c>
      <c r="P78" s="214">
        <v>44873</v>
      </c>
      <c r="Q78" s="334">
        <v>1</v>
      </c>
      <c r="R78" s="216">
        <v>650175</v>
      </c>
      <c r="S78" s="217" t="s">
        <v>2156</v>
      </c>
      <c r="T78" s="209" t="s">
        <v>3869</v>
      </c>
      <c r="U78" s="209" t="s">
        <v>3870</v>
      </c>
      <c r="V78" s="213" t="s">
        <v>3871</v>
      </c>
      <c r="W78" s="218" t="s">
        <v>3652</v>
      </c>
      <c r="X78" s="218" t="s">
        <v>3652</v>
      </c>
      <c r="Y78" s="212">
        <v>0</v>
      </c>
      <c r="Z78" s="209" t="s">
        <v>3934</v>
      </c>
      <c r="AA78" s="215"/>
      <c r="AB78" s="218"/>
      <c r="AC78" s="217" t="e">
        <v>#N/A</v>
      </c>
      <c r="AD78" s="217">
        <v>90984</v>
      </c>
      <c r="AE78" s="217" t="s">
        <v>3935</v>
      </c>
      <c r="AF78" s="217" t="s">
        <v>3900</v>
      </c>
      <c r="AG78" s="217" t="s">
        <v>3875</v>
      </c>
      <c r="AH78" s="220">
        <f t="shared" si="2"/>
        <v>4590008133</v>
      </c>
      <c r="AI78" s="208"/>
      <c r="AJ78" s="220"/>
      <c r="AK78" s="221"/>
      <c r="AL78" s="227"/>
      <c r="AM78" s="208"/>
      <c r="AN78" s="220"/>
      <c r="AO78" s="222"/>
      <c r="AP78" s="227"/>
      <c r="AQ78" s="358">
        <f ca="1">IF(表格1[[#This Row],[PO$]]="","100%",表格1[[#This Row],[total amount]]/表格1[[#This Row],[PO$]])</f>
        <v>0</v>
      </c>
      <c r="AR78" s="223">
        <f ca="1">表格1[[#This Row],[invoice amount]]+表格1[[#This Row],[invoice amount2]]</f>
        <v>0</v>
      </c>
      <c r="AS78" s="224"/>
      <c r="AT78" s="208"/>
      <c r="AU78" s="208" t="e">
        <f ca="1">VLOOKUP(表格1[[#This Row],[PO+ITEM]],#REF!,2,FALSE)</f>
        <v>#REF!</v>
      </c>
      <c r="AV78" s="341" t="e">
        <f ca="1">VLOOKUP(表格1[[#This Row],[PO+ITEM]],#REF!,3,FALSE)</f>
        <v>#REF!</v>
      </c>
      <c r="AW78" s="208" t="e">
        <f ca="1">VLOOKUP(表格1[[#This Row],[PO+ITEM]],#REF!,4,FALSE)</f>
        <v>#REF!</v>
      </c>
      <c r="AX78" s="208" t="e" cm="1" vm="1">
        <f t="array" aca="1" ref="AX78" ca="1">VLOOKUP(AI:AI,#REF!,1,FALSE)</f>
        <v>#VALUE!</v>
      </c>
    </row>
    <row r="79" spans="1:50">
      <c r="A79" s="220">
        <v>78</v>
      </c>
      <c r="B79" s="220" t="s">
        <v>3674</v>
      </c>
      <c r="C79" s="209" t="s">
        <v>17</v>
      </c>
      <c r="D79" s="209" t="s">
        <v>3648</v>
      </c>
      <c r="E79" s="209"/>
      <c r="F79" s="209"/>
      <c r="G79" s="209"/>
      <c r="H79" s="210" t="s">
        <v>3936</v>
      </c>
      <c r="I79" s="210"/>
      <c r="J79" s="211"/>
      <c r="K79" s="210"/>
      <c r="L79" s="212" t="s">
        <v>2999</v>
      </c>
      <c r="M79" s="212" t="s">
        <v>2206</v>
      </c>
      <c r="N79" s="213"/>
      <c r="O79" s="212">
        <v>4590008134</v>
      </c>
      <c r="P79" s="214">
        <v>44873</v>
      </c>
      <c r="Q79" s="334">
        <v>1</v>
      </c>
      <c r="R79" s="216">
        <v>650175</v>
      </c>
      <c r="S79" s="217" t="s">
        <v>2156</v>
      </c>
      <c r="T79" s="209" t="s">
        <v>3869</v>
      </c>
      <c r="U79" s="209" t="s">
        <v>3870</v>
      </c>
      <c r="V79" s="213" t="s">
        <v>3871</v>
      </c>
      <c r="W79" s="218" t="s">
        <v>3652</v>
      </c>
      <c r="X79" s="218" t="s">
        <v>3652</v>
      </c>
      <c r="Y79" s="212">
        <v>0</v>
      </c>
      <c r="Z79" s="209" t="s">
        <v>3934</v>
      </c>
      <c r="AA79" s="215"/>
      <c r="AB79" s="218"/>
      <c r="AC79" s="217" t="e">
        <v>#N/A</v>
      </c>
      <c r="AD79" s="217">
        <v>90307</v>
      </c>
      <c r="AE79" s="217" t="s">
        <v>3937</v>
      </c>
      <c r="AF79" s="217" t="s">
        <v>3900</v>
      </c>
      <c r="AG79" s="217" t="s">
        <v>3875</v>
      </c>
      <c r="AH79" s="220">
        <f t="shared" si="2"/>
        <v>4590008134</v>
      </c>
      <c r="AI79" s="208" t="s">
        <v>3938</v>
      </c>
      <c r="AJ79" s="227">
        <v>45422</v>
      </c>
      <c r="AK79" s="221">
        <v>650175</v>
      </c>
      <c r="AL79" s="227">
        <v>45503</v>
      </c>
      <c r="AM79" s="208"/>
      <c r="AN79" s="220"/>
      <c r="AO79" s="222"/>
      <c r="AP79" s="227"/>
      <c r="AQ79" s="358">
        <f ca="1">IF(表格1[[#This Row],[PO$]]="","100%",表格1[[#This Row],[total amount]]/表格1[[#This Row],[PO$]])</f>
        <v>1</v>
      </c>
      <c r="AR79" s="223">
        <f ca="1">表格1[[#This Row],[invoice amount]]+表格1[[#This Row],[invoice amount2]]</f>
        <v>650175</v>
      </c>
      <c r="AS79" s="224" t="s">
        <v>3725</v>
      </c>
      <c r="AT79" s="344" t="s">
        <v>3939</v>
      </c>
      <c r="AU79" s="208" t="e">
        <f ca="1">VLOOKUP(表格1[[#This Row],[PO+ITEM]],#REF!,2,FALSE)</f>
        <v>#REF!</v>
      </c>
      <c r="AV79" s="341" t="e">
        <f ca="1">VLOOKUP(表格1[[#This Row],[PO+ITEM]],#REF!,3,FALSE)</f>
        <v>#REF!</v>
      </c>
      <c r="AW79" s="208" t="e">
        <f ca="1">VLOOKUP(表格1[[#This Row],[PO+ITEM]],#REF!,4,FALSE)</f>
        <v>#REF!</v>
      </c>
      <c r="AX79" s="208" t="e" cm="1" vm="1">
        <f t="array" aca="1" ref="AX79" ca="1">VLOOKUP(AI:AI,#REF!,1,FALSE)</f>
        <v>#VALUE!</v>
      </c>
    </row>
    <row r="80" spans="1:50" ht="15.6">
      <c r="A80" s="220">
        <v>79</v>
      </c>
      <c r="B80" s="220" t="s">
        <v>3674</v>
      </c>
      <c r="C80" s="209" t="s">
        <v>17</v>
      </c>
      <c r="D80" s="209" t="s">
        <v>3648</v>
      </c>
      <c r="E80" s="209"/>
      <c r="F80" s="209"/>
      <c r="G80" s="209"/>
      <c r="H80" s="210" t="s">
        <v>3940</v>
      </c>
      <c r="I80" s="210"/>
      <c r="J80" s="211"/>
      <c r="K80" s="210"/>
      <c r="L80" s="212" t="s">
        <v>2999</v>
      </c>
      <c r="M80" s="212" t="s">
        <v>3941</v>
      </c>
      <c r="N80" s="213"/>
      <c r="O80" s="212">
        <v>4590008192</v>
      </c>
      <c r="P80" s="214">
        <v>44878</v>
      </c>
      <c r="Q80" s="334">
        <v>1</v>
      </c>
      <c r="R80" s="216">
        <v>650175</v>
      </c>
      <c r="S80" s="217" t="s">
        <v>2156</v>
      </c>
      <c r="T80" s="209" t="s">
        <v>3869</v>
      </c>
      <c r="U80" s="209" t="s">
        <v>3870</v>
      </c>
      <c r="V80" s="213" t="s">
        <v>3871</v>
      </c>
      <c r="W80" s="218" t="s">
        <v>3652</v>
      </c>
      <c r="X80" s="218" t="s">
        <v>3652</v>
      </c>
      <c r="Y80" s="212" t="s">
        <v>3942</v>
      </c>
      <c r="Z80" s="209" t="s">
        <v>3934</v>
      </c>
      <c r="AA80" s="215"/>
      <c r="AB80" s="218"/>
      <c r="AC80" s="217" t="e">
        <v>#N/A</v>
      </c>
      <c r="AD80" s="217">
        <v>90309</v>
      </c>
      <c r="AE80" s="217" t="s">
        <v>3943</v>
      </c>
      <c r="AF80" s="217" t="s">
        <v>3900</v>
      </c>
      <c r="AG80" s="217" t="s">
        <v>3875</v>
      </c>
      <c r="AH80" s="220">
        <f t="shared" si="2"/>
        <v>4590008192</v>
      </c>
      <c r="AI80" s="208" t="s">
        <v>3942</v>
      </c>
      <c r="AJ80" s="227">
        <v>45335</v>
      </c>
      <c r="AK80" s="221">
        <v>650175</v>
      </c>
      <c r="AL80" s="244">
        <v>45412</v>
      </c>
      <c r="AM80" s="208"/>
      <c r="AN80" s="220"/>
      <c r="AO80" s="222"/>
      <c r="AP80" s="227"/>
      <c r="AQ80" s="358">
        <f ca="1">IF(表格1[[#This Row],[PO$]]="","100%",表格1[[#This Row],[total amount]]/表格1[[#This Row],[PO$]])</f>
        <v>1</v>
      </c>
      <c r="AR80" s="223">
        <f ca="1">表格1[[#This Row],[invoice amount]]+表格1[[#This Row],[invoice amount2]]</f>
        <v>650175</v>
      </c>
      <c r="AS80" s="224" t="s">
        <v>3673</v>
      </c>
      <c r="AT80" s="343"/>
      <c r="AU80" s="208" t="e">
        <f ca="1">VLOOKUP(表格1[[#This Row],[PO+ITEM]],#REF!,2,FALSE)</f>
        <v>#REF!</v>
      </c>
      <c r="AV80" s="341" t="e">
        <f ca="1">VLOOKUP(表格1[[#This Row],[PO+ITEM]],#REF!,3,FALSE)</f>
        <v>#REF!</v>
      </c>
      <c r="AW80" s="208" t="e">
        <f ca="1">VLOOKUP(表格1[[#This Row],[PO+ITEM]],#REF!,4,FALSE)</f>
        <v>#REF!</v>
      </c>
      <c r="AX80" s="208" t="e" cm="1" vm="1">
        <f t="array" aca="1" ref="AX80" ca="1">VLOOKUP(AI:AI,#REF!,1,FALSE)</f>
        <v>#VALUE!</v>
      </c>
    </row>
    <row r="81" spans="1:50">
      <c r="A81" s="220">
        <v>80</v>
      </c>
      <c r="B81" s="220" t="s">
        <v>3659</v>
      </c>
      <c r="C81" s="209" t="s">
        <v>17</v>
      </c>
      <c r="D81" s="209" t="s">
        <v>3648</v>
      </c>
      <c r="E81" s="209"/>
      <c r="F81" s="209"/>
      <c r="G81" s="209"/>
      <c r="H81" s="210" t="s">
        <v>3944</v>
      </c>
      <c r="I81" s="210"/>
      <c r="J81" s="211"/>
      <c r="K81" s="210"/>
      <c r="L81" s="212" t="s">
        <v>2999</v>
      </c>
      <c r="M81" s="212" t="s">
        <v>2206</v>
      </c>
      <c r="N81" s="213"/>
      <c r="O81" s="212">
        <v>4590008193</v>
      </c>
      <c r="P81" s="214">
        <v>44878</v>
      </c>
      <c r="Q81" s="334">
        <v>1</v>
      </c>
      <c r="R81" s="216">
        <v>650175</v>
      </c>
      <c r="S81" s="217" t="s">
        <v>2156</v>
      </c>
      <c r="T81" s="209" t="s">
        <v>3869</v>
      </c>
      <c r="U81" s="209" t="s">
        <v>3870</v>
      </c>
      <c r="V81" s="213" t="s">
        <v>3871</v>
      </c>
      <c r="W81" s="218" t="s">
        <v>3652</v>
      </c>
      <c r="X81" s="218" t="s">
        <v>3652</v>
      </c>
      <c r="Y81" s="212">
        <v>0</v>
      </c>
      <c r="Z81" s="209" t="s">
        <v>3934</v>
      </c>
      <c r="AA81" s="215"/>
      <c r="AB81" s="218"/>
      <c r="AC81" s="217" t="e">
        <v>#N/A</v>
      </c>
      <c r="AD81" s="217">
        <v>90882</v>
      </c>
      <c r="AE81" s="217" t="s">
        <v>3945</v>
      </c>
      <c r="AF81" s="217" t="s">
        <v>3900</v>
      </c>
      <c r="AG81" s="217" t="s">
        <v>3875</v>
      </c>
      <c r="AH81" s="220">
        <f t="shared" si="2"/>
        <v>4590008193</v>
      </c>
      <c r="AI81" s="208"/>
      <c r="AJ81" s="220"/>
      <c r="AK81" s="221"/>
      <c r="AL81" s="227"/>
      <c r="AM81" s="208"/>
      <c r="AN81" s="220"/>
      <c r="AO81" s="222"/>
      <c r="AP81" s="227"/>
      <c r="AQ81" s="358">
        <f ca="1">IF(表格1[[#This Row],[PO$]]="","100%",表格1[[#This Row],[total amount]]/表格1[[#This Row],[PO$]])</f>
        <v>0</v>
      </c>
      <c r="AR81" s="223">
        <f ca="1">表格1[[#This Row],[invoice amount]]+表格1[[#This Row],[invoice amount2]]</f>
        <v>0</v>
      </c>
      <c r="AS81" s="224"/>
      <c r="AT81" s="208"/>
      <c r="AU81" s="208" t="e">
        <f ca="1">VLOOKUP(表格1[[#This Row],[PO+ITEM]],#REF!,2,FALSE)</f>
        <v>#REF!</v>
      </c>
      <c r="AV81" s="341" t="e">
        <f ca="1">VLOOKUP(表格1[[#This Row],[PO+ITEM]],#REF!,3,FALSE)</f>
        <v>#REF!</v>
      </c>
      <c r="AW81" s="208" t="e">
        <f ca="1">VLOOKUP(表格1[[#This Row],[PO+ITEM]],#REF!,4,FALSE)</f>
        <v>#REF!</v>
      </c>
      <c r="AX81" s="208" t="e" cm="1" vm="1">
        <f t="array" aca="1" ref="AX81" ca="1">VLOOKUP(AI:AI,#REF!,1,FALSE)</f>
        <v>#VALUE!</v>
      </c>
    </row>
    <row r="82" spans="1:50">
      <c r="A82" s="220">
        <v>81</v>
      </c>
      <c r="B82" s="220" t="s">
        <v>3674</v>
      </c>
      <c r="C82" s="209" t="s">
        <v>17</v>
      </c>
      <c r="D82" s="209" t="s">
        <v>3648</v>
      </c>
      <c r="E82" s="209"/>
      <c r="F82" s="209"/>
      <c r="G82" s="209"/>
      <c r="H82" s="210" t="s">
        <v>3946</v>
      </c>
      <c r="I82" s="210"/>
      <c r="J82" s="211"/>
      <c r="K82" s="210"/>
      <c r="L82" s="212" t="s">
        <v>2999</v>
      </c>
      <c r="M82" s="212" t="s">
        <v>2206</v>
      </c>
      <c r="N82" s="213"/>
      <c r="O82" s="212">
        <v>4590008194</v>
      </c>
      <c r="P82" s="214">
        <v>44878</v>
      </c>
      <c r="Q82" s="334">
        <v>1</v>
      </c>
      <c r="R82" s="216">
        <v>650175</v>
      </c>
      <c r="S82" s="217" t="s">
        <v>2156</v>
      </c>
      <c r="T82" s="209" t="s">
        <v>3869</v>
      </c>
      <c r="U82" s="209" t="s">
        <v>3870</v>
      </c>
      <c r="V82" s="213" t="s">
        <v>3871</v>
      </c>
      <c r="W82" s="218" t="s">
        <v>3652</v>
      </c>
      <c r="X82" s="218" t="s">
        <v>3652</v>
      </c>
      <c r="Y82" s="212">
        <v>0</v>
      </c>
      <c r="Z82" s="209" t="s">
        <v>3934</v>
      </c>
      <c r="AA82" s="215"/>
      <c r="AB82" s="218"/>
      <c r="AC82" s="217" t="e">
        <v>#N/A</v>
      </c>
      <c r="AD82" s="217">
        <v>90308</v>
      </c>
      <c r="AE82" s="217" t="s">
        <v>3947</v>
      </c>
      <c r="AF82" s="217" t="s">
        <v>3900</v>
      </c>
      <c r="AG82" s="217" t="s">
        <v>3875</v>
      </c>
      <c r="AH82" s="220">
        <f t="shared" si="2"/>
        <v>4590008194</v>
      </c>
      <c r="AI82" s="208" t="s">
        <v>3948</v>
      </c>
      <c r="AJ82" s="227">
        <v>45401</v>
      </c>
      <c r="AK82" s="221">
        <v>650175</v>
      </c>
      <c r="AL82" s="227" t="s">
        <v>3805</v>
      </c>
      <c r="AM82" s="208"/>
      <c r="AN82" s="220"/>
      <c r="AO82" s="222"/>
      <c r="AP82" s="227"/>
      <c r="AQ82" s="358">
        <f ca="1">IF(表格1[[#This Row],[PO$]]="","100%",表格1[[#This Row],[total amount]]/表格1[[#This Row],[PO$]])</f>
        <v>1</v>
      </c>
      <c r="AR82" s="223">
        <f ca="1">表格1[[#This Row],[invoice amount]]+表格1[[#This Row],[invoice amount2]]</f>
        <v>650175</v>
      </c>
      <c r="AS82" s="224" t="s">
        <v>3806</v>
      </c>
      <c r="AT82" s="208"/>
      <c r="AU82" s="208" t="e">
        <f ca="1">VLOOKUP(表格1[[#This Row],[PO+ITEM]],#REF!,2,FALSE)</f>
        <v>#REF!</v>
      </c>
      <c r="AV82" s="341" t="e">
        <f ca="1">VLOOKUP(表格1[[#This Row],[PO+ITEM]],#REF!,3,FALSE)</f>
        <v>#REF!</v>
      </c>
      <c r="AW82" s="208" t="e">
        <f ca="1">VLOOKUP(表格1[[#This Row],[PO+ITEM]],#REF!,4,FALSE)</f>
        <v>#REF!</v>
      </c>
      <c r="AX82" s="208" t="e" cm="1" vm="1">
        <f t="array" aca="1" ref="AX82" ca="1">VLOOKUP(AI:AI,#REF!,1,FALSE)</f>
        <v>#VALUE!</v>
      </c>
    </row>
    <row r="83" spans="1:50" ht="15.6">
      <c r="A83" s="220">
        <v>82</v>
      </c>
      <c r="B83" s="220" t="s">
        <v>3674</v>
      </c>
      <c r="C83" s="209" t="s">
        <v>17</v>
      </c>
      <c r="D83" s="209" t="s">
        <v>3648</v>
      </c>
      <c r="E83" s="209"/>
      <c r="F83" s="209"/>
      <c r="G83" s="209"/>
      <c r="H83" s="210" t="s">
        <v>3949</v>
      </c>
      <c r="I83" s="210"/>
      <c r="J83" s="211"/>
      <c r="K83" s="210"/>
      <c r="L83" s="212" t="s">
        <v>2999</v>
      </c>
      <c r="M83" s="212" t="s">
        <v>2999</v>
      </c>
      <c r="N83" s="213"/>
      <c r="O83" s="212">
        <v>4590008195</v>
      </c>
      <c r="P83" s="214">
        <v>44878</v>
      </c>
      <c r="Q83" s="334">
        <v>1</v>
      </c>
      <c r="R83" s="216">
        <v>650175</v>
      </c>
      <c r="S83" s="217" t="s">
        <v>2156</v>
      </c>
      <c r="T83" s="209" t="s">
        <v>3869</v>
      </c>
      <c r="U83" s="209" t="s">
        <v>3870</v>
      </c>
      <c r="V83" s="213" t="s">
        <v>3871</v>
      </c>
      <c r="W83" s="218" t="s">
        <v>3652</v>
      </c>
      <c r="X83" s="218" t="s">
        <v>3652</v>
      </c>
      <c r="Y83" s="212" t="s">
        <v>3897</v>
      </c>
      <c r="Z83" s="209" t="s">
        <v>3934</v>
      </c>
      <c r="AA83" s="215"/>
      <c r="AB83" s="218"/>
      <c r="AC83" s="217" t="e">
        <v>#N/A</v>
      </c>
      <c r="AD83" s="217">
        <v>90881</v>
      </c>
      <c r="AE83" s="217" t="s">
        <v>3950</v>
      </c>
      <c r="AF83" s="217" t="s">
        <v>3900</v>
      </c>
      <c r="AG83" s="217" t="s">
        <v>3875</v>
      </c>
      <c r="AH83" s="220">
        <f t="shared" si="2"/>
        <v>4590008195</v>
      </c>
      <c r="AI83" s="208"/>
      <c r="AJ83" s="225">
        <v>45017</v>
      </c>
      <c r="AK83" s="221">
        <v>260070</v>
      </c>
      <c r="AL83" s="226">
        <v>45168</v>
      </c>
      <c r="AM83" s="208" t="s">
        <v>3951</v>
      </c>
      <c r="AN83" s="227">
        <v>45351</v>
      </c>
      <c r="AO83" s="222">
        <v>357596.25</v>
      </c>
      <c r="AP83" s="244">
        <v>45337</v>
      </c>
      <c r="AQ83" s="358">
        <f ca="1">IF(表格1[[#This Row],[PO$]]="","100%",表格1[[#This Row],[total amount]]/表格1[[#This Row],[PO$]])</f>
        <v>0.95</v>
      </c>
      <c r="AR83" s="223">
        <f ca="1">表格1[[#This Row],[invoice amount]]+表格1[[#This Row],[invoice amount2]]</f>
        <v>617666.25</v>
      </c>
      <c r="AS83" s="224" t="s">
        <v>3673</v>
      </c>
      <c r="AT83" s="248" t="s">
        <v>3952</v>
      </c>
      <c r="AU83" s="208" t="e">
        <f ca="1">VLOOKUP(表格1[[#This Row],[PO+ITEM]],#REF!,2,FALSE)</f>
        <v>#REF!</v>
      </c>
      <c r="AV83" s="341" t="e">
        <f ca="1">VLOOKUP(表格1[[#This Row],[PO+ITEM]],#REF!,3,FALSE)</f>
        <v>#REF!</v>
      </c>
      <c r="AW83" s="208" t="e">
        <f ca="1">VLOOKUP(表格1[[#This Row],[PO+ITEM]],#REF!,4,FALSE)</f>
        <v>#REF!</v>
      </c>
      <c r="AX83" s="208" t="e" cm="1" vm="1">
        <f t="array" aca="1" ref="AX83" ca="1">VLOOKUP(AI:AI,#REF!,1,FALSE)</f>
        <v>#VALUE!</v>
      </c>
    </row>
    <row r="84" spans="1:50">
      <c r="A84" s="220">
        <v>83</v>
      </c>
      <c r="B84" s="220" t="s">
        <v>3659</v>
      </c>
      <c r="C84" s="209" t="s">
        <v>17</v>
      </c>
      <c r="D84" s="209" t="s">
        <v>3648</v>
      </c>
      <c r="E84" s="209"/>
      <c r="F84" s="209"/>
      <c r="G84" s="209"/>
      <c r="H84" s="210" t="s">
        <v>3953</v>
      </c>
      <c r="I84" s="210"/>
      <c r="J84" s="211"/>
      <c r="K84" s="210"/>
      <c r="L84" s="212" t="s">
        <v>2999</v>
      </c>
      <c r="M84" s="212" t="s">
        <v>2999</v>
      </c>
      <c r="N84" s="213"/>
      <c r="O84" s="212">
        <v>4590008196</v>
      </c>
      <c r="P84" s="214">
        <v>44878</v>
      </c>
      <c r="Q84" s="334">
        <v>1</v>
      </c>
      <c r="R84" s="216">
        <v>650175</v>
      </c>
      <c r="S84" s="217" t="s">
        <v>2156</v>
      </c>
      <c r="T84" s="209" t="s">
        <v>3869</v>
      </c>
      <c r="U84" s="209" t="s">
        <v>3870</v>
      </c>
      <c r="V84" s="213" t="s">
        <v>3871</v>
      </c>
      <c r="W84" s="218" t="s">
        <v>3652</v>
      </c>
      <c r="X84" s="218" t="s">
        <v>3652</v>
      </c>
      <c r="Y84" s="212">
        <v>0</v>
      </c>
      <c r="Z84" s="209" t="s">
        <v>3934</v>
      </c>
      <c r="AA84" s="215"/>
      <c r="AB84" s="218"/>
      <c r="AC84" s="217" t="e">
        <v>#N/A</v>
      </c>
      <c r="AD84" s="217">
        <v>90883</v>
      </c>
      <c r="AE84" s="217" t="s">
        <v>3954</v>
      </c>
      <c r="AF84" s="217" t="s">
        <v>3900</v>
      </c>
      <c r="AG84" s="217" t="s">
        <v>3875</v>
      </c>
      <c r="AH84" s="220">
        <f t="shared" si="2"/>
        <v>4590008196</v>
      </c>
      <c r="AI84" s="208"/>
      <c r="AJ84" s="220"/>
      <c r="AK84" s="221"/>
      <c r="AL84" s="227"/>
      <c r="AM84" s="208"/>
      <c r="AN84" s="220"/>
      <c r="AO84" s="222"/>
      <c r="AP84" s="227"/>
      <c r="AQ84" s="358">
        <f ca="1">IF(表格1[[#This Row],[PO$]]="","100%",表格1[[#This Row],[total amount]]/表格1[[#This Row],[PO$]])</f>
        <v>0</v>
      </c>
      <c r="AR84" s="223">
        <f ca="1">表格1[[#This Row],[invoice amount]]+表格1[[#This Row],[invoice amount2]]</f>
        <v>0</v>
      </c>
      <c r="AS84" s="224"/>
      <c r="AT84" s="208"/>
      <c r="AU84" s="208" t="e">
        <f ca="1">VLOOKUP(表格1[[#This Row],[PO+ITEM]],#REF!,2,FALSE)</f>
        <v>#REF!</v>
      </c>
      <c r="AV84" s="341" t="e">
        <f ca="1">VLOOKUP(表格1[[#This Row],[PO+ITEM]],#REF!,3,FALSE)</f>
        <v>#REF!</v>
      </c>
      <c r="AW84" s="208" t="e">
        <f ca="1">VLOOKUP(表格1[[#This Row],[PO+ITEM]],#REF!,4,FALSE)</f>
        <v>#REF!</v>
      </c>
      <c r="AX84" s="208" t="e" cm="1" vm="1">
        <f t="array" aca="1" ref="AX84" ca="1">VLOOKUP(AI:AI,#REF!,1,FALSE)</f>
        <v>#VALUE!</v>
      </c>
    </row>
    <row r="85" spans="1:50" ht="15.6">
      <c r="A85" s="220">
        <v>84</v>
      </c>
      <c r="B85" s="220" t="s">
        <v>3674</v>
      </c>
      <c r="C85" s="209" t="s">
        <v>17</v>
      </c>
      <c r="D85" s="209" t="s">
        <v>3648</v>
      </c>
      <c r="E85" s="209"/>
      <c r="F85" s="209"/>
      <c r="G85" s="209"/>
      <c r="H85" s="210" t="s">
        <v>3955</v>
      </c>
      <c r="I85" s="210"/>
      <c r="J85" s="211"/>
      <c r="K85" s="210"/>
      <c r="L85" s="212" t="s">
        <v>2999</v>
      </c>
      <c r="M85" s="212" t="s">
        <v>2999</v>
      </c>
      <c r="N85" s="213"/>
      <c r="O85" s="212">
        <v>4590008197</v>
      </c>
      <c r="P85" s="214">
        <v>44878</v>
      </c>
      <c r="Q85" s="334">
        <v>1</v>
      </c>
      <c r="R85" s="216">
        <v>466802</v>
      </c>
      <c r="S85" s="217" t="s">
        <v>2156</v>
      </c>
      <c r="T85" s="209" t="s">
        <v>3869</v>
      </c>
      <c r="U85" s="209" t="s">
        <v>3870</v>
      </c>
      <c r="V85" s="213" t="s">
        <v>3871</v>
      </c>
      <c r="W85" s="218" t="s">
        <v>3652</v>
      </c>
      <c r="X85" s="218" t="s">
        <v>3652</v>
      </c>
      <c r="Y85" s="212">
        <v>0</v>
      </c>
      <c r="Z85" s="209" t="s">
        <v>3934</v>
      </c>
      <c r="AA85" s="215"/>
      <c r="AB85" s="218"/>
      <c r="AC85" s="217" t="e">
        <v>#N/A</v>
      </c>
      <c r="AD85" s="217">
        <v>90315</v>
      </c>
      <c r="AE85" s="217" t="s">
        <v>3956</v>
      </c>
      <c r="AF85" s="217" t="s">
        <v>3900</v>
      </c>
      <c r="AG85" s="217" t="s">
        <v>3875</v>
      </c>
      <c r="AH85" s="220">
        <f t="shared" si="2"/>
        <v>4590008197</v>
      </c>
      <c r="AI85" s="208" t="s">
        <v>3957</v>
      </c>
      <c r="AJ85" s="227">
        <v>45315</v>
      </c>
      <c r="AK85" s="221">
        <v>443461.89999999997</v>
      </c>
      <c r="AL85" s="244">
        <v>45412</v>
      </c>
      <c r="AM85" s="208"/>
      <c r="AN85" s="220"/>
      <c r="AO85" s="222"/>
      <c r="AP85" s="227"/>
      <c r="AQ85" s="358">
        <f ca="1">IF(表格1[[#This Row],[PO$]]="","100%",表格1[[#This Row],[total amount]]/表格1[[#This Row],[PO$]])</f>
        <v>0.95</v>
      </c>
      <c r="AR85" s="223">
        <f ca="1">表格1[[#This Row],[invoice amount]]+表格1[[#This Row],[invoice amount2]]</f>
        <v>443461.89999999997</v>
      </c>
      <c r="AS85" s="224" t="s">
        <v>3673</v>
      </c>
      <c r="AT85" s="208"/>
      <c r="AU85" s="208" t="e">
        <f ca="1">VLOOKUP(表格1[[#This Row],[PO+ITEM]],#REF!,2,FALSE)</f>
        <v>#REF!</v>
      </c>
      <c r="AV85" s="341" t="e">
        <f ca="1">VLOOKUP(表格1[[#This Row],[PO+ITEM]],#REF!,3,FALSE)</f>
        <v>#REF!</v>
      </c>
      <c r="AW85" s="208" t="e">
        <f ca="1">VLOOKUP(表格1[[#This Row],[PO+ITEM]],#REF!,4,FALSE)</f>
        <v>#REF!</v>
      </c>
      <c r="AX85" s="208" t="e" cm="1" vm="1">
        <f t="array" aca="1" ref="AX85" ca="1">VLOOKUP(AI:AI,#REF!,1,FALSE)</f>
        <v>#VALUE!</v>
      </c>
    </row>
    <row r="86" spans="1:50">
      <c r="A86" s="220">
        <v>85</v>
      </c>
      <c r="B86" s="220" t="s">
        <v>3659</v>
      </c>
      <c r="C86" s="209" t="s">
        <v>17</v>
      </c>
      <c r="D86" s="209" t="s">
        <v>3648</v>
      </c>
      <c r="E86" s="209"/>
      <c r="F86" s="209"/>
      <c r="G86" s="209"/>
      <c r="H86" s="210" t="s">
        <v>3958</v>
      </c>
      <c r="I86" s="210"/>
      <c r="J86" s="211"/>
      <c r="K86" s="210"/>
      <c r="L86" s="212" t="s">
        <v>2999</v>
      </c>
      <c r="M86" s="212" t="s">
        <v>2999</v>
      </c>
      <c r="N86" s="213"/>
      <c r="O86" s="212">
        <v>4590008198</v>
      </c>
      <c r="P86" s="214">
        <v>44878</v>
      </c>
      <c r="Q86" s="334">
        <v>1</v>
      </c>
      <c r="R86" s="216">
        <v>466802</v>
      </c>
      <c r="S86" s="217" t="s">
        <v>2156</v>
      </c>
      <c r="T86" s="209" t="s">
        <v>3869</v>
      </c>
      <c r="U86" s="209" t="s">
        <v>3870</v>
      </c>
      <c r="V86" s="213" t="s">
        <v>3871</v>
      </c>
      <c r="W86" s="218" t="s">
        <v>3652</v>
      </c>
      <c r="X86" s="218" t="s">
        <v>3652</v>
      </c>
      <c r="Y86" s="212">
        <v>0</v>
      </c>
      <c r="Z86" s="209" t="s">
        <v>3934</v>
      </c>
      <c r="AA86" s="215"/>
      <c r="AB86" s="218"/>
      <c r="AC86" s="217" t="e">
        <v>#N/A</v>
      </c>
      <c r="AD86" s="217">
        <v>90985</v>
      </c>
      <c r="AE86" s="217" t="s">
        <v>3959</v>
      </c>
      <c r="AF86" s="217" t="s">
        <v>3900</v>
      </c>
      <c r="AG86" s="217" t="s">
        <v>3875</v>
      </c>
      <c r="AH86" s="220">
        <f t="shared" si="2"/>
        <v>4590008198</v>
      </c>
      <c r="AI86" s="208"/>
      <c r="AJ86" s="220"/>
      <c r="AK86" s="221"/>
      <c r="AL86" s="227"/>
      <c r="AM86" s="208"/>
      <c r="AN86" s="220"/>
      <c r="AO86" s="222"/>
      <c r="AP86" s="227"/>
      <c r="AQ86" s="358">
        <f ca="1">IF(表格1[[#This Row],[PO$]]="","100%",表格1[[#This Row],[total amount]]/表格1[[#This Row],[PO$]])</f>
        <v>0</v>
      </c>
      <c r="AR86" s="223">
        <f ca="1">表格1[[#This Row],[invoice amount]]+表格1[[#This Row],[invoice amount2]]</f>
        <v>0</v>
      </c>
      <c r="AS86" s="224"/>
      <c r="AT86" s="208"/>
      <c r="AU86" s="208" t="e">
        <f ca="1">VLOOKUP(表格1[[#This Row],[PO+ITEM]],#REF!,2,FALSE)</f>
        <v>#REF!</v>
      </c>
      <c r="AV86" s="341" t="e">
        <f ca="1">VLOOKUP(表格1[[#This Row],[PO+ITEM]],#REF!,3,FALSE)</f>
        <v>#REF!</v>
      </c>
      <c r="AW86" s="208" t="e">
        <f ca="1">VLOOKUP(表格1[[#This Row],[PO+ITEM]],#REF!,4,FALSE)</f>
        <v>#REF!</v>
      </c>
      <c r="AX86" s="208" t="e" cm="1" vm="1">
        <f t="array" aca="1" ref="AX86" ca="1">VLOOKUP(AI:AI,#REF!,1,FALSE)</f>
        <v>#VALUE!</v>
      </c>
    </row>
    <row r="87" spans="1:50">
      <c r="A87" s="220">
        <v>86</v>
      </c>
      <c r="B87" s="220" t="s">
        <v>3659</v>
      </c>
      <c r="C87" s="209" t="s">
        <v>17</v>
      </c>
      <c r="D87" s="209" t="s">
        <v>3648</v>
      </c>
      <c r="E87" s="209"/>
      <c r="F87" s="209"/>
      <c r="G87" s="209"/>
      <c r="H87" s="210" t="s">
        <v>3960</v>
      </c>
      <c r="I87" s="210"/>
      <c r="J87" s="211"/>
      <c r="K87" s="210"/>
      <c r="L87" s="212" t="s">
        <v>2999</v>
      </c>
      <c r="M87" s="212" t="s">
        <v>2999</v>
      </c>
      <c r="N87" s="213"/>
      <c r="O87" s="212">
        <v>4590008199</v>
      </c>
      <c r="P87" s="214">
        <v>44878</v>
      </c>
      <c r="Q87" s="334">
        <v>1</v>
      </c>
      <c r="R87" s="216">
        <v>466802</v>
      </c>
      <c r="S87" s="217" t="s">
        <v>2156</v>
      </c>
      <c r="T87" s="209" t="s">
        <v>3869</v>
      </c>
      <c r="U87" s="209" t="s">
        <v>3870</v>
      </c>
      <c r="V87" s="213" t="s">
        <v>3871</v>
      </c>
      <c r="W87" s="218" t="s">
        <v>3652</v>
      </c>
      <c r="X87" s="218" t="s">
        <v>3652</v>
      </c>
      <c r="Y87" s="212">
        <v>0</v>
      </c>
      <c r="Z87" s="209" t="s">
        <v>3934</v>
      </c>
      <c r="AA87" s="215"/>
      <c r="AB87" s="218"/>
      <c r="AC87" s="217" t="e">
        <v>#N/A</v>
      </c>
      <c r="AD87" s="217">
        <v>90986</v>
      </c>
      <c r="AE87" s="217" t="s">
        <v>3961</v>
      </c>
      <c r="AF87" s="217" t="s">
        <v>3900</v>
      </c>
      <c r="AG87" s="217" t="s">
        <v>3875</v>
      </c>
      <c r="AH87" s="220">
        <f t="shared" si="2"/>
        <v>4590008199</v>
      </c>
      <c r="AI87" s="208"/>
      <c r="AJ87" s="220"/>
      <c r="AK87" s="221"/>
      <c r="AL87" s="227"/>
      <c r="AM87" s="208"/>
      <c r="AN87" s="220"/>
      <c r="AO87" s="222"/>
      <c r="AP87" s="227"/>
      <c r="AQ87" s="358">
        <f ca="1">IF(表格1[[#This Row],[PO$]]="","100%",表格1[[#This Row],[total amount]]/表格1[[#This Row],[PO$]])</f>
        <v>0</v>
      </c>
      <c r="AR87" s="223">
        <f ca="1">表格1[[#This Row],[invoice amount]]+表格1[[#This Row],[invoice amount2]]</f>
        <v>0</v>
      </c>
      <c r="AS87" s="224"/>
      <c r="AT87" s="208"/>
      <c r="AU87" s="208" t="e">
        <f ca="1">VLOOKUP(表格1[[#This Row],[PO+ITEM]],#REF!,2,FALSE)</f>
        <v>#REF!</v>
      </c>
      <c r="AV87" s="341" t="e">
        <f ca="1">VLOOKUP(表格1[[#This Row],[PO+ITEM]],#REF!,3,FALSE)</f>
        <v>#REF!</v>
      </c>
      <c r="AW87" s="208" t="e">
        <f ca="1">VLOOKUP(表格1[[#This Row],[PO+ITEM]],#REF!,4,FALSE)</f>
        <v>#REF!</v>
      </c>
      <c r="AX87" s="208" t="e" cm="1" vm="1">
        <f t="array" aca="1" ref="AX87" ca="1">VLOOKUP(AI:AI,#REF!,1,FALSE)</f>
        <v>#VALUE!</v>
      </c>
    </row>
    <row r="88" spans="1:50">
      <c r="A88" s="220">
        <v>87</v>
      </c>
      <c r="B88" s="220" t="s">
        <v>3659</v>
      </c>
      <c r="C88" s="209" t="s">
        <v>17</v>
      </c>
      <c r="D88" s="209" t="s">
        <v>3648</v>
      </c>
      <c r="E88" s="209"/>
      <c r="F88" s="209"/>
      <c r="G88" s="209"/>
      <c r="H88" s="210" t="s">
        <v>3962</v>
      </c>
      <c r="I88" s="210"/>
      <c r="J88" s="211"/>
      <c r="K88" s="210"/>
      <c r="L88" s="212" t="s">
        <v>2999</v>
      </c>
      <c r="M88" s="212" t="s">
        <v>2999</v>
      </c>
      <c r="N88" s="213"/>
      <c r="O88" s="212">
        <v>4590008200</v>
      </c>
      <c r="P88" s="214">
        <v>44878</v>
      </c>
      <c r="Q88" s="334">
        <v>1</v>
      </c>
      <c r="R88" s="216">
        <v>466802</v>
      </c>
      <c r="S88" s="217" t="s">
        <v>2156</v>
      </c>
      <c r="T88" s="209" t="s">
        <v>3869</v>
      </c>
      <c r="U88" s="209" t="s">
        <v>3870</v>
      </c>
      <c r="V88" s="213" t="s">
        <v>3871</v>
      </c>
      <c r="W88" s="218" t="s">
        <v>3652</v>
      </c>
      <c r="X88" s="218" t="s">
        <v>3652</v>
      </c>
      <c r="Y88" s="212">
        <v>0</v>
      </c>
      <c r="Z88" s="209" t="s">
        <v>3934</v>
      </c>
      <c r="AA88" s="215"/>
      <c r="AB88" s="218"/>
      <c r="AC88" s="217" t="e">
        <v>#N/A</v>
      </c>
      <c r="AD88" s="217">
        <v>90987</v>
      </c>
      <c r="AE88" s="217" t="s">
        <v>3963</v>
      </c>
      <c r="AF88" s="217" t="s">
        <v>3900</v>
      </c>
      <c r="AG88" s="217" t="s">
        <v>3875</v>
      </c>
      <c r="AH88" s="220">
        <f t="shared" si="2"/>
        <v>4590008200</v>
      </c>
      <c r="AI88" s="208"/>
      <c r="AJ88" s="220"/>
      <c r="AK88" s="221"/>
      <c r="AL88" s="227"/>
      <c r="AM88" s="208"/>
      <c r="AN88" s="220"/>
      <c r="AO88" s="222"/>
      <c r="AP88" s="227"/>
      <c r="AQ88" s="358">
        <f ca="1">IF(表格1[[#This Row],[PO$]]="","100%",表格1[[#This Row],[total amount]]/表格1[[#This Row],[PO$]])</f>
        <v>0</v>
      </c>
      <c r="AR88" s="223">
        <f ca="1">表格1[[#This Row],[invoice amount]]+表格1[[#This Row],[invoice amount2]]</f>
        <v>0</v>
      </c>
      <c r="AS88" s="224"/>
      <c r="AT88" s="208"/>
      <c r="AU88" s="208" t="e">
        <f ca="1">VLOOKUP(表格1[[#This Row],[PO+ITEM]],#REF!,2,FALSE)</f>
        <v>#REF!</v>
      </c>
      <c r="AV88" s="341" t="e">
        <f ca="1">VLOOKUP(表格1[[#This Row],[PO+ITEM]],#REF!,3,FALSE)</f>
        <v>#REF!</v>
      </c>
      <c r="AW88" s="208" t="e">
        <f ca="1">VLOOKUP(表格1[[#This Row],[PO+ITEM]],#REF!,4,FALSE)</f>
        <v>#REF!</v>
      </c>
      <c r="AX88" s="208" t="e" cm="1" vm="1">
        <f t="array" aca="1" ref="AX88" ca="1">VLOOKUP(AI:AI,#REF!,1,FALSE)</f>
        <v>#VALUE!</v>
      </c>
    </row>
    <row r="89" spans="1:50">
      <c r="A89" s="220">
        <v>88</v>
      </c>
      <c r="B89" s="220" t="s">
        <v>3674</v>
      </c>
      <c r="C89" s="209" t="s">
        <v>17</v>
      </c>
      <c r="D89" s="209" t="s">
        <v>3648</v>
      </c>
      <c r="E89" s="209"/>
      <c r="F89" s="209"/>
      <c r="G89" s="209"/>
      <c r="H89" s="210" t="s">
        <v>3964</v>
      </c>
      <c r="I89" s="210"/>
      <c r="J89" s="211"/>
      <c r="K89" s="210"/>
      <c r="L89" s="212" t="s">
        <v>2999</v>
      </c>
      <c r="M89" s="212" t="s">
        <v>2999</v>
      </c>
      <c r="N89" s="213"/>
      <c r="O89" s="212">
        <v>4590008201</v>
      </c>
      <c r="P89" s="214">
        <v>44878</v>
      </c>
      <c r="Q89" s="334">
        <v>1</v>
      </c>
      <c r="R89" s="216">
        <v>650174.79</v>
      </c>
      <c r="S89" s="217" t="s">
        <v>2156</v>
      </c>
      <c r="T89" s="209" t="s">
        <v>3869</v>
      </c>
      <c r="U89" s="209" t="s">
        <v>3870</v>
      </c>
      <c r="V89" s="213" t="s">
        <v>3871</v>
      </c>
      <c r="W89" s="218" t="s">
        <v>3652</v>
      </c>
      <c r="X89" s="218" t="s">
        <v>3652</v>
      </c>
      <c r="Y89" s="212">
        <v>0</v>
      </c>
      <c r="Z89" s="209" t="s">
        <v>3934</v>
      </c>
      <c r="AA89" s="215"/>
      <c r="AB89" s="218"/>
      <c r="AC89" s="217" t="e">
        <v>#N/A</v>
      </c>
      <c r="AD89" s="217">
        <v>90310</v>
      </c>
      <c r="AE89" s="217" t="s">
        <v>3965</v>
      </c>
      <c r="AF89" s="217" t="s">
        <v>3900</v>
      </c>
      <c r="AG89" s="217" t="s">
        <v>3875</v>
      </c>
      <c r="AH89" s="220">
        <f t="shared" si="2"/>
        <v>4590008201</v>
      </c>
      <c r="AI89" s="208" t="s">
        <v>3966</v>
      </c>
      <c r="AJ89" s="227">
        <v>45401</v>
      </c>
      <c r="AK89" s="221">
        <v>650174.79</v>
      </c>
      <c r="AL89" s="227">
        <v>45503</v>
      </c>
      <c r="AM89" s="208"/>
      <c r="AN89" s="220"/>
      <c r="AO89" s="222"/>
      <c r="AP89" s="227"/>
      <c r="AQ89" s="358">
        <f ca="1">IF(表格1[[#This Row],[PO$]]="","100%",表格1[[#This Row],[total amount]]/表格1[[#This Row],[PO$]])</f>
        <v>1</v>
      </c>
      <c r="AR89" s="223">
        <f ca="1">表格1[[#This Row],[invoice amount]]+表格1[[#This Row],[invoice amount2]]</f>
        <v>650174.79</v>
      </c>
      <c r="AS89" s="224" t="s">
        <v>3725</v>
      </c>
      <c r="AT89" s="208"/>
      <c r="AU89" s="208" t="e">
        <f ca="1">VLOOKUP(表格1[[#This Row],[PO+ITEM]],#REF!,2,FALSE)</f>
        <v>#REF!</v>
      </c>
      <c r="AV89" s="341" t="e">
        <f ca="1">VLOOKUP(表格1[[#This Row],[PO+ITEM]],#REF!,3,FALSE)</f>
        <v>#REF!</v>
      </c>
      <c r="AW89" s="208" t="e">
        <f ca="1">VLOOKUP(表格1[[#This Row],[PO+ITEM]],#REF!,4,FALSE)</f>
        <v>#REF!</v>
      </c>
      <c r="AX89" s="208" t="e" cm="1" vm="1">
        <f t="array" aca="1" ref="AX89" ca="1">VLOOKUP(AI:AI,#REF!,1,FALSE)</f>
        <v>#VALUE!</v>
      </c>
    </row>
    <row r="90" spans="1:50">
      <c r="A90" s="220">
        <v>89</v>
      </c>
      <c r="B90" s="220" t="s">
        <v>3659</v>
      </c>
      <c r="C90" s="209" t="s">
        <v>17</v>
      </c>
      <c r="D90" s="209" t="s">
        <v>3648</v>
      </c>
      <c r="E90" s="209"/>
      <c r="F90" s="209"/>
      <c r="G90" s="209"/>
      <c r="H90" s="210" t="s">
        <v>3967</v>
      </c>
      <c r="I90" s="210"/>
      <c r="J90" s="211"/>
      <c r="K90" s="210"/>
      <c r="L90" s="212" t="s">
        <v>2999</v>
      </c>
      <c r="M90" s="212" t="s">
        <v>2999</v>
      </c>
      <c r="N90" s="213"/>
      <c r="O90" s="212">
        <v>4590008202</v>
      </c>
      <c r="P90" s="214">
        <v>44878</v>
      </c>
      <c r="Q90" s="334">
        <v>1</v>
      </c>
      <c r="R90" s="216">
        <v>650174.79</v>
      </c>
      <c r="S90" s="217" t="s">
        <v>2156</v>
      </c>
      <c r="T90" s="209" t="s">
        <v>3869</v>
      </c>
      <c r="U90" s="209" t="s">
        <v>3870</v>
      </c>
      <c r="V90" s="213" t="s">
        <v>3871</v>
      </c>
      <c r="W90" s="218" t="s">
        <v>3652</v>
      </c>
      <c r="X90" s="218" t="s">
        <v>3652</v>
      </c>
      <c r="Y90" s="212">
        <v>0</v>
      </c>
      <c r="Z90" s="209" t="s">
        <v>3934</v>
      </c>
      <c r="AA90" s="215"/>
      <c r="AB90" s="218"/>
      <c r="AC90" s="217" t="e">
        <v>#N/A</v>
      </c>
      <c r="AD90" s="217">
        <v>91390</v>
      </c>
      <c r="AE90" s="217" t="s">
        <v>3968</v>
      </c>
      <c r="AF90" s="217" t="s">
        <v>3900</v>
      </c>
      <c r="AG90" s="217" t="s">
        <v>3875</v>
      </c>
      <c r="AH90" s="220">
        <f t="shared" si="2"/>
        <v>4590008202</v>
      </c>
      <c r="AI90" s="208"/>
      <c r="AJ90" s="220"/>
      <c r="AK90" s="221"/>
      <c r="AL90" s="227"/>
      <c r="AM90" s="208"/>
      <c r="AN90" s="220"/>
      <c r="AO90" s="222"/>
      <c r="AP90" s="227"/>
      <c r="AQ90" s="358">
        <f ca="1">IF(表格1[[#This Row],[PO$]]="","100%",表格1[[#This Row],[total amount]]/表格1[[#This Row],[PO$]])</f>
        <v>0</v>
      </c>
      <c r="AR90" s="223">
        <f ca="1">表格1[[#This Row],[invoice amount]]+表格1[[#This Row],[invoice amount2]]</f>
        <v>0</v>
      </c>
      <c r="AS90" s="224"/>
      <c r="AT90" s="208"/>
      <c r="AU90" s="208" t="e">
        <f ca="1">VLOOKUP(表格1[[#This Row],[PO+ITEM]],#REF!,2,FALSE)</f>
        <v>#REF!</v>
      </c>
      <c r="AV90" s="341" t="e">
        <f ca="1">VLOOKUP(表格1[[#This Row],[PO+ITEM]],#REF!,3,FALSE)</f>
        <v>#REF!</v>
      </c>
      <c r="AW90" s="208" t="e">
        <f ca="1">VLOOKUP(表格1[[#This Row],[PO+ITEM]],#REF!,4,FALSE)</f>
        <v>#REF!</v>
      </c>
      <c r="AX90" s="208" t="e" cm="1" vm="1">
        <f t="array" aca="1" ref="AX90" ca="1">VLOOKUP(AI:AI,#REF!,1,FALSE)</f>
        <v>#VALUE!</v>
      </c>
    </row>
    <row r="91" spans="1:50">
      <c r="A91" s="220">
        <v>90</v>
      </c>
      <c r="B91" s="220" t="s">
        <v>3674</v>
      </c>
      <c r="C91" s="209" t="s">
        <v>17</v>
      </c>
      <c r="D91" s="209" t="s">
        <v>3648</v>
      </c>
      <c r="E91" s="209"/>
      <c r="F91" s="209"/>
      <c r="G91" s="209"/>
      <c r="H91" s="210" t="s">
        <v>3969</v>
      </c>
      <c r="I91" s="210"/>
      <c r="J91" s="211"/>
      <c r="K91" s="210"/>
      <c r="L91" s="212" t="s">
        <v>2999</v>
      </c>
      <c r="M91" s="212" t="s">
        <v>2999</v>
      </c>
      <c r="N91" s="213"/>
      <c r="O91" s="212">
        <v>4590008203</v>
      </c>
      <c r="P91" s="214">
        <v>44878</v>
      </c>
      <c r="Q91" s="334">
        <v>1</v>
      </c>
      <c r="R91" s="216">
        <v>466802</v>
      </c>
      <c r="S91" s="217" t="s">
        <v>2156</v>
      </c>
      <c r="T91" s="209" t="s">
        <v>3869</v>
      </c>
      <c r="U91" s="209" t="s">
        <v>3870</v>
      </c>
      <c r="V91" s="213" t="s">
        <v>3871</v>
      </c>
      <c r="W91" s="218" t="s">
        <v>3652</v>
      </c>
      <c r="X91" s="218" t="s">
        <v>3652</v>
      </c>
      <c r="Y91" s="212">
        <v>0</v>
      </c>
      <c r="Z91" s="209" t="s">
        <v>3934</v>
      </c>
      <c r="AA91" s="215"/>
      <c r="AB91" s="218"/>
      <c r="AC91" s="217" t="e">
        <v>#N/A</v>
      </c>
      <c r="AD91" s="217">
        <v>90312</v>
      </c>
      <c r="AE91" s="217" t="s">
        <v>3970</v>
      </c>
      <c r="AF91" s="217" t="s">
        <v>3900</v>
      </c>
      <c r="AG91" s="217" t="s">
        <v>3875</v>
      </c>
      <c r="AH91" s="220">
        <f t="shared" si="2"/>
        <v>4590008203</v>
      </c>
      <c r="AI91" s="208"/>
      <c r="AJ91" s="220"/>
      <c r="AK91" s="221"/>
      <c r="AL91" s="227"/>
      <c r="AM91" s="208"/>
      <c r="AN91" s="220"/>
      <c r="AO91" s="222"/>
      <c r="AP91" s="227"/>
      <c r="AQ91" s="358">
        <f ca="1">IF(表格1[[#This Row],[PO$]]="","100%",表格1[[#This Row],[total amount]]/表格1[[#This Row],[PO$]])</f>
        <v>0</v>
      </c>
      <c r="AR91" s="223">
        <f ca="1">表格1[[#This Row],[invoice amount]]+表格1[[#This Row],[invoice amount2]]</f>
        <v>0</v>
      </c>
      <c r="AS91" s="224"/>
      <c r="AT91" s="247" t="s">
        <v>6693</v>
      </c>
      <c r="AU91" s="208" t="e">
        <f ca="1">VLOOKUP(表格1[[#This Row],[PO+ITEM]],#REF!,2,FALSE)</f>
        <v>#REF!</v>
      </c>
      <c r="AV91" s="341" t="e">
        <f ca="1">VLOOKUP(表格1[[#This Row],[PO+ITEM]],#REF!,3,FALSE)</f>
        <v>#REF!</v>
      </c>
      <c r="AW91" s="208" t="e">
        <f ca="1">VLOOKUP(表格1[[#This Row],[PO+ITEM]],#REF!,4,FALSE)</f>
        <v>#REF!</v>
      </c>
      <c r="AX91" s="208" t="e" cm="1" vm="1">
        <f t="array" aca="1" ref="AX91" ca="1">VLOOKUP(AI:AI,#REF!,1,FALSE)</f>
        <v>#VALUE!</v>
      </c>
    </row>
    <row r="92" spans="1:50">
      <c r="A92" s="220">
        <v>91</v>
      </c>
      <c r="B92" s="220" t="s">
        <v>3659</v>
      </c>
      <c r="C92" s="209" t="s">
        <v>17</v>
      </c>
      <c r="D92" s="209" t="s">
        <v>3648</v>
      </c>
      <c r="E92" s="209"/>
      <c r="F92" s="209"/>
      <c r="G92" s="209"/>
      <c r="H92" s="210" t="s">
        <v>3973</v>
      </c>
      <c r="I92" s="210"/>
      <c r="J92" s="211"/>
      <c r="K92" s="210"/>
      <c r="L92" s="212" t="s">
        <v>2999</v>
      </c>
      <c r="M92" s="212" t="s">
        <v>2999</v>
      </c>
      <c r="N92" s="213"/>
      <c r="O92" s="212">
        <v>4590008204</v>
      </c>
      <c r="P92" s="214">
        <v>44878</v>
      </c>
      <c r="Q92" s="334">
        <v>1</v>
      </c>
      <c r="R92" s="216">
        <v>466802</v>
      </c>
      <c r="S92" s="217" t="s">
        <v>2156</v>
      </c>
      <c r="T92" s="209" t="s">
        <v>3869</v>
      </c>
      <c r="U92" s="209" t="s">
        <v>3870</v>
      </c>
      <c r="V92" s="213" t="s">
        <v>3871</v>
      </c>
      <c r="W92" s="218" t="s">
        <v>3652</v>
      </c>
      <c r="X92" s="218" t="s">
        <v>3652</v>
      </c>
      <c r="Y92" s="212">
        <v>0</v>
      </c>
      <c r="Z92" s="209" t="s">
        <v>3934</v>
      </c>
      <c r="AA92" s="215"/>
      <c r="AB92" s="218"/>
      <c r="AC92" s="217" t="e">
        <v>#N/A</v>
      </c>
      <c r="AD92" s="217">
        <v>90884</v>
      </c>
      <c r="AE92" s="217" t="s">
        <v>3975</v>
      </c>
      <c r="AF92" s="217" t="s">
        <v>3900</v>
      </c>
      <c r="AG92" s="217" t="s">
        <v>3875</v>
      </c>
      <c r="AH92" s="220">
        <f t="shared" si="2"/>
        <v>4590008204</v>
      </c>
      <c r="AI92" s="208"/>
      <c r="AJ92" s="220"/>
      <c r="AK92" s="221"/>
      <c r="AL92" s="227"/>
      <c r="AM92" s="208"/>
      <c r="AN92" s="220"/>
      <c r="AO92" s="222"/>
      <c r="AP92" s="227"/>
      <c r="AQ92" s="358">
        <f ca="1">IF(表格1[[#This Row],[PO$]]="","100%",表格1[[#This Row],[total amount]]/表格1[[#This Row],[PO$]])</f>
        <v>0</v>
      </c>
      <c r="AR92" s="223">
        <f ca="1">表格1[[#This Row],[invoice amount]]+表格1[[#This Row],[invoice amount2]]</f>
        <v>0</v>
      </c>
      <c r="AS92" s="224"/>
      <c r="AT92" s="208"/>
      <c r="AU92" s="208" t="e">
        <f ca="1">VLOOKUP(表格1[[#This Row],[PO+ITEM]],#REF!,2,FALSE)</f>
        <v>#REF!</v>
      </c>
      <c r="AV92" s="341" t="e">
        <f ca="1">VLOOKUP(表格1[[#This Row],[PO+ITEM]],#REF!,3,FALSE)</f>
        <v>#REF!</v>
      </c>
      <c r="AW92" s="208" t="e">
        <f ca="1">VLOOKUP(表格1[[#This Row],[PO+ITEM]],#REF!,4,FALSE)</f>
        <v>#REF!</v>
      </c>
      <c r="AX92" s="208" t="e" cm="1" vm="1">
        <f t="array" aca="1" ref="AX92" ca="1">VLOOKUP(AI:AI,#REF!,1,FALSE)</f>
        <v>#VALUE!</v>
      </c>
    </row>
    <row r="93" spans="1:50" ht="15.6">
      <c r="A93" s="220">
        <v>92</v>
      </c>
      <c r="B93" s="220" t="s">
        <v>3674</v>
      </c>
      <c r="C93" s="209" t="s">
        <v>17</v>
      </c>
      <c r="D93" s="209" t="s">
        <v>3648</v>
      </c>
      <c r="E93" s="209"/>
      <c r="F93" s="209"/>
      <c r="G93" s="209"/>
      <c r="H93" s="217" t="s">
        <v>3976</v>
      </c>
      <c r="I93" s="217"/>
      <c r="J93" s="215"/>
      <c r="K93" s="217"/>
      <c r="L93" s="212" t="s">
        <v>2999</v>
      </c>
      <c r="M93" s="212" t="s">
        <v>2999</v>
      </c>
      <c r="N93" s="213"/>
      <c r="O93" s="212">
        <v>4590008205</v>
      </c>
      <c r="P93" s="214">
        <v>44878</v>
      </c>
      <c r="Q93" s="334">
        <v>1</v>
      </c>
      <c r="R93" s="216">
        <v>466802</v>
      </c>
      <c r="S93" s="217" t="s">
        <v>2156</v>
      </c>
      <c r="T93" s="209" t="s">
        <v>3869</v>
      </c>
      <c r="U93" s="209" t="s">
        <v>3870</v>
      </c>
      <c r="V93" s="213" t="s">
        <v>3871</v>
      </c>
      <c r="W93" s="218" t="s">
        <v>3652</v>
      </c>
      <c r="X93" s="218" t="s">
        <v>3652</v>
      </c>
      <c r="Y93" s="212">
        <v>0</v>
      </c>
      <c r="Z93" s="209" t="s">
        <v>3934</v>
      </c>
      <c r="AA93" s="215"/>
      <c r="AB93" s="218"/>
      <c r="AC93" s="217" t="e">
        <v>#N/A</v>
      </c>
      <c r="AD93" s="217">
        <v>90313</v>
      </c>
      <c r="AE93" s="217" t="s">
        <v>3977</v>
      </c>
      <c r="AF93" s="217" t="s">
        <v>3900</v>
      </c>
      <c r="AG93" s="217" t="s">
        <v>3875</v>
      </c>
      <c r="AH93" s="220">
        <f t="shared" si="2"/>
        <v>4590008205</v>
      </c>
      <c r="AI93" s="208" t="s">
        <v>3978</v>
      </c>
      <c r="AJ93" s="227">
        <v>45315</v>
      </c>
      <c r="AK93" s="221">
        <v>443461.89999999997</v>
      </c>
      <c r="AL93" s="244">
        <v>45412</v>
      </c>
      <c r="AM93" s="208"/>
      <c r="AN93" s="220"/>
      <c r="AO93" s="222"/>
      <c r="AP93" s="227"/>
      <c r="AQ93" s="358">
        <f ca="1">IF(表格1[[#This Row],[PO$]]="","100%",表格1[[#This Row],[total amount]]/表格1[[#This Row],[PO$]])</f>
        <v>0.95</v>
      </c>
      <c r="AR93" s="223">
        <f ca="1">表格1[[#This Row],[invoice amount]]+表格1[[#This Row],[invoice amount2]]</f>
        <v>443461.89999999997</v>
      </c>
      <c r="AS93" s="224" t="s">
        <v>3673</v>
      </c>
      <c r="AT93" s="208"/>
      <c r="AU93" s="208" t="e">
        <f ca="1">VLOOKUP(表格1[[#This Row],[PO+ITEM]],#REF!,2,FALSE)</f>
        <v>#REF!</v>
      </c>
      <c r="AV93" s="341" t="e">
        <f ca="1">VLOOKUP(表格1[[#This Row],[PO+ITEM]],#REF!,3,FALSE)</f>
        <v>#REF!</v>
      </c>
      <c r="AW93" s="208" t="e">
        <f ca="1">VLOOKUP(表格1[[#This Row],[PO+ITEM]],#REF!,4,FALSE)</f>
        <v>#REF!</v>
      </c>
      <c r="AX93" s="208" t="e" cm="1" vm="1">
        <f t="array" aca="1" ref="AX93" ca="1">VLOOKUP(AI:AI,#REF!,1,FALSE)</f>
        <v>#VALUE!</v>
      </c>
    </row>
    <row r="94" spans="1:50">
      <c r="A94" s="220">
        <v>93</v>
      </c>
      <c r="B94" s="220" t="s">
        <v>3659</v>
      </c>
      <c r="C94" s="209" t="s">
        <v>17</v>
      </c>
      <c r="D94" s="209" t="s">
        <v>3648</v>
      </c>
      <c r="E94" s="209"/>
      <c r="F94" s="209"/>
      <c r="G94" s="209"/>
      <c r="H94" s="210" t="s">
        <v>3979</v>
      </c>
      <c r="I94" s="210"/>
      <c r="J94" s="211"/>
      <c r="K94" s="210"/>
      <c r="L94" s="212" t="s">
        <v>2999</v>
      </c>
      <c r="M94" s="212" t="s">
        <v>2999</v>
      </c>
      <c r="N94" s="213"/>
      <c r="O94" s="212">
        <v>4590008206</v>
      </c>
      <c r="P94" s="214">
        <v>44878</v>
      </c>
      <c r="Q94" s="334">
        <v>1</v>
      </c>
      <c r="R94" s="216">
        <v>466802</v>
      </c>
      <c r="S94" s="217" t="s">
        <v>2156</v>
      </c>
      <c r="T94" s="209" t="s">
        <v>3869</v>
      </c>
      <c r="U94" s="209" t="s">
        <v>3870</v>
      </c>
      <c r="V94" s="213" t="s">
        <v>3871</v>
      </c>
      <c r="W94" s="218" t="s">
        <v>3652</v>
      </c>
      <c r="X94" s="218" t="s">
        <v>3652</v>
      </c>
      <c r="Y94" s="212">
        <v>0</v>
      </c>
      <c r="Z94" s="209" t="s">
        <v>3934</v>
      </c>
      <c r="AA94" s="215"/>
      <c r="AB94" s="218"/>
      <c r="AC94" s="217" t="e">
        <v>#N/A</v>
      </c>
      <c r="AD94" s="217">
        <v>90885</v>
      </c>
      <c r="AE94" s="217" t="s">
        <v>3980</v>
      </c>
      <c r="AF94" s="217" t="s">
        <v>3900</v>
      </c>
      <c r="AG94" s="217" t="s">
        <v>3875</v>
      </c>
      <c r="AH94" s="220">
        <f t="shared" si="2"/>
        <v>4590008206</v>
      </c>
      <c r="AI94" s="208"/>
      <c r="AJ94" s="220"/>
      <c r="AK94" s="221"/>
      <c r="AL94" s="227"/>
      <c r="AM94" s="208"/>
      <c r="AN94" s="220"/>
      <c r="AO94" s="222"/>
      <c r="AP94" s="227"/>
      <c r="AQ94" s="358">
        <f ca="1">IF(表格1[[#This Row],[PO$]]="","100%",表格1[[#This Row],[total amount]]/表格1[[#This Row],[PO$]])</f>
        <v>0</v>
      </c>
      <c r="AR94" s="223">
        <f ca="1">表格1[[#This Row],[invoice amount]]+表格1[[#This Row],[invoice amount2]]</f>
        <v>0</v>
      </c>
      <c r="AS94" s="224"/>
      <c r="AT94" s="208"/>
      <c r="AU94" s="208" t="e">
        <f ca="1">VLOOKUP(表格1[[#This Row],[PO+ITEM]],#REF!,2,FALSE)</f>
        <v>#REF!</v>
      </c>
      <c r="AV94" s="341" t="e">
        <f ca="1">VLOOKUP(表格1[[#This Row],[PO+ITEM]],#REF!,3,FALSE)</f>
        <v>#REF!</v>
      </c>
      <c r="AW94" s="208" t="e">
        <f ca="1">VLOOKUP(表格1[[#This Row],[PO+ITEM]],#REF!,4,FALSE)</f>
        <v>#REF!</v>
      </c>
      <c r="AX94" s="208" t="e" cm="1" vm="1">
        <f t="array" aca="1" ref="AX94" ca="1">VLOOKUP(AI:AI,#REF!,1,FALSE)</f>
        <v>#VALUE!</v>
      </c>
    </row>
    <row r="95" spans="1:50">
      <c r="A95" s="220">
        <v>94</v>
      </c>
      <c r="B95" s="220" t="e">
        <v>#N/A</v>
      </c>
      <c r="C95" s="209" t="s">
        <v>16</v>
      </c>
      <c r="D95" s="209" t="s">
        <v>3648</v>
      </c>
      <c r="E95" s="209"/>
      <c r="F95" s="209"/>
      <c r="G95" s="209"/>
      <c r="H95" s="217" t="s">
        <v>3981</v>
      </c>
      <c r="I95" s="217"/>
      <c r="J95" s="215"/>
      <c r="K95" s="210" t="s">
        <v>6694</v>
      </c>
      <c r="L95" s="212" t="s">
        <v>3762</v>
      </c>
      <c r="M95" s="212"/>
      <c r="N95" s="210"/>
      <c r="O95" s="212">
        <v>4590008638</v>
      </c>
      <c r="P95" s="214">
        <v>44918</v>
      </c>
      <c r="Q95" s="334">
        <v>1</v>
      </c>
      <c r="R95" s="216">
        <v>127699</v>
      </c>
      <c r="S95" s="217" t="s">
        <v>2156</v>
      </c>
      <c r="T95" s="209" t="s">
        <v>3982</v>
      </c>
      <c r="U95" s="209" t="s">
        <v>3983</v>
      </c>
      <c r="V95" s="213" t="s">
        <v>3981</v>
      </c>
      <c r="W95" s="218" t="s">
        <v>3652</v>
      </c>
      <c r="X95" s="218" t="s">
        <v>3652</v>
      </c>
      <c r="Y95" s="212">
        <v>0</v>
      </c>
      <c r="Z95" s="209" t="s">
        <v>3984</v>
      </c>
      <c r="AA95" s="215"/>
      <c r="AB95" s="218"/>
      <c r="AC95" s="217" t="e">
        <v>#N/A</v>
      </c>
      <c r="AD95" s="217"/>
      <c r="AE95" s="217">
        <v>0</v>
      </c>
      <c r="AF95" s="217"/>
      <c r="AG95" s="217"/>
      <c r="AH95" s="220">
        <f t="shared" si="2"/>
        <v>4590008638</v>
      </c>
      <c r="AI95" s="208"/>
      <c r="AJ95" s="220"/>
      <c r="AK95" s="221"/>
      <c r="AL95" s="227"/>
      <c r="AM95" s="208"/>
      <c r="AN95" s="220"/>
      <c r="AO95" s="222"/>
      <c r="AP95" s="227"/>
      <c r="AQ95" s="358">
        <f ca="1">IF(表格1[[#This Row],[PO$]]="","100%",表格1[[#This Row],[total amount]]/表格1[[#This Row],[PO$]])</f>
        <v>0</v>
      </c>
      <c r="AR95" s="223">
        <f ca="1">表格1[[#This Row],[invoice amount]]+表格1[[#This Row],[invoice amount2]]</f>
        <v>0</v>
      </c>
      <c r="AS95" s="224"/>
      <c r="AT95" s="208"/>
      <c r="AU95" s="208" t="e">
        <f ca="1">VLOOKUP(表格1[[#This Row],[PO+ITEM]],#REF!,2,FALSE)</f>
        <v>#REF!</v>
      </c>
      <c r="AV95" s="341" t="e">
        <f ca="1">VLOOKUP(表格1[[#This Row],[PO+ITEM]],#REF!,3,FALSE)</f>
        <v>#REF!</v>
      </c>
      <c r="AW95" s="208" t="e">
        <f ca="1">VLOOKUP(表格1[[#This Row],[PO+ITEM]],#REF!,4,FALSE)</f>
        <v>#REF!</v>
      </c>
      <c r="AX95" s="208" t="e" cm="1" vm="1">
        <f t="array" aca="1" ref="AX95" ca="1">VLOOKUP(AI:AI,#REF!,1,FALSE)</f>
        <v>#VALUE!</v>
      </c>
    </row>
    <row r="96" spans="1:50">
      <c r="A96" s="220">
        <v>95</v>
      </c>
      <c r="B96" s="220" t="e">
        <v>#N/A</v>
      </c>
      <c r="C96" s="249" t="s">
        <v>17</v>
      </c>
      <c r="D96" s="209" t="s">
        <v>3648</v>
      </c>
      <c r="E96" s="209"/>
      <c r="F96" s="209"/>
      <c r="G96" s="209"/>
      <c r="H96" s="250" t="s">
        <v>3985</v>
      </c>
      <c r="I96" s="217"/>
      <c r="J96" s="215"/>
      <c r="K96" s="251" t="s">
        <v>6694</v>
      </c>
      <c r="L96" s="252" t="s">
        <v>2999</v>
      </c>
      <c r="M96" s="252" t="s">
        <v>2999</v>
      </c>
      <c r="N96" s="251"/>
      <c r="O96" s="252">
        <v>4590008740</v>
      </c>
      <c r="P96" s="253">
        <v>44925</v>
      </c>
      <c r="Q96" s="337">
        <v>1</v>
      </c>
      <c r="R96" s="255">
        <v>40105.660000000003</v>
      </c>
      <c r="S96" s="250" t="s">
        <v>2156</v>
      </c>
      <c r="T96" s="249" t="s">
        <v>3986</v>
      </c>
      <c r="U96" s="249" t="s">
        <v>3870</v>
      </c>
      <c r="V96" s="251" t="s">
        <v>3985</v>
      </c>
      <c r="W96" s="256" t="s">
        <v>3652</v>
      </c>
      <c r="X96" s="256" t="s">
        <v>3652</v>
      </c>
      <c r="Y96" s="252">
        <v>0</v>
      </c>
      <c r="Z96" s="249" t="s">
        <v>3987</v>
      </c>
      <c r="AA96" s="254"/>
      <c r="AB96" s="256"/>
      <c r="AC96" s="250" t="e">
        <v>#N/A</v>
      </c>
      <c r="AD96" s="250"/>
      <c r="AE96" s="217">
        <v>0</v>
      </c>
      <c r="AF96" s="250"/>
      <c r="AG96" s="250"/>
      <c r="AH96" s="220">
        <f t="shared" si="2"/>
        <v>4590008740</v>
      </c>
      <c r="AI96" s="208"/>
      <c r="AJ96" s="220"/>
      <c r="AK96" s="221"/>
      <c r="AL96" s="227"/>
      <c r="AM96" s="208"/>
      <c r="AN96" s="220"/>
      <c r="AO96" s="222"/>
      <c r="AP96" s="227"/>
      <c r="AQ96" s="358">
        <f ca="1">IF(表格1[[#This Row],[PO$]]="","100%",表格1[[#This Row],[total amount]]/表格1[[#This Row],[PO$]])</f>
        <v>0</v>
      </c>
      <c r="AR96" s="223">
        <f ca="1">表格1[[#This Row],[invoice amount]]+表格1[[#This Row],[invoice amount2]]</f>
        <v>0</v>
      </c>
      <c r="AS96" s="224"/>
      <c r="AT96" s="208"/>
      <c r="AU96" s="208" t="e">
        <f ca="1">VLOOKUP(表格1[[#This Row],[PO+ITEM]],#REF!,2,FALSE)</f>
        <v>#REF!</v>
      </c>
      <c r="AV96" s="341" t="e">
        <f ca="1">VLOOKUP(表格1[[#This Row],[PO+ITEM]],#REF!,3,FALSE)</f>
        <v>#REF!</v>
      </c>
      <c r="AW96" s="208" t="e">
        <f ca="1">VLOOKUP(表格1[[#This Row],[PO+ITEM]],#REF!,4,FALSE)</f>
        <v>#REF!</v>
      </c>
      <c r="AX96" s="208" t="e" cm="1" vm="1">
        <f t="array" aca="1" ref="AX96" ca="1">VLOOKUP(AI:AI,#REF!,1,FALSE)</f>
        <v>#VALUE!</v>
      </c>
    </row>
    <row r="97" spans="1:50" s="230" customFormat="1">
      <c r="A97" s="220">
        <v>96</v>
      </c>
      <c r="B97" s="220" t="e">
        <v>#N/A</v>
      </c>
      <c r="C97" s="209" t="s">
        <v>16</v>
      </c>
      <c r="D97" s="209" t="s">
        <v>3648</v>
      </c>
      <c r="E97" s="209"/>
      <c r="F97" s="209"/>
      <c r="G97" s="209"/>
      <c r="H97" s="210" t="s">
        <v>3925</v>
      </c>
      <c r="I97" s="218"/>
      <c r="J97" s="218"/>
      <c r="K97" s="218"/>
      <c r="L97" s="212" t="s">
        <v>2206</v>
      </c>
      <c r="M97" s="212"/>
      <c r="N97" s="218"/>
      <c r="O97" s="212">
        <v>4590009910</v>
      </c>
      <c r="P97" s="214">
        <v>45005</v>
      </c>
      <c r="Q97" s="334">
        <v>1</v>
      </c>
      <c r="R97" s="216">
        <v>39051.760000000002</v>
      </c>
      <c r="S97" s="217" t="s">
        <v>2156</v>
      </c>
      <c r="T97" s="209" t="s">
        <v>3926</v>
      </c>
      <c r="U97" s="209" t="s">
        <v>3927</v>
      </c>
      <c r="V97" s="210" t="s">
        <v>3928</v>
      </c>
      <c r="W97" s="218" t="s">
        <v>3652</v>
      </c>
      <c r="X97" s="218" t="s">
        <v>3652</v>
      </c>
      <c r="Y97" s="212">
        <v>0</v>
      </c>
      <c r="Z97" s="209" t="s">
        <v>3988</v>
      </c>
      <c r="AA97" s="218"/>
      <c r="AB97" s="218"/>
      <c r="AC97" s="217" t="e">
        <v>#N/A</v>
      </c>
      <c r="AD97" s="217"/>
      <c r="AE97" s="217">
        <v>0</v>
      </c>
      <c r="AF97" s="217"/>
      <c r="AG97" s="217"/>
      <c r="AH97" s="220">
        <f t="shared" si="2"/>
        <v>4590009910</v>
      </c>
      <c r="AI97" s="208"/>
      <c r="AJ97" s="220"/>
      <c r="AK97" s="221"/>
      <c r="AL97" s="227"/>
      <c r="AM97" s="208"/>
      <c r="AN97" s="220"/>
      <c r="AO97" s="222"/>
      <c r="AP97" s="227"/>
      <c r="AQ97" s="358">
        <f ca="1">IF(表格1[[#This Row],[PO$]]="","100%",表格1[[#This Row],[total amount]]/表格1[[#This Row],[PO$]])</f>
        <v>0</v>
      </c>
      <c r="AR97" s="223">
        <f ca="1">表格1[[#This Row],[invoice amount]]+表格1[[#This Row],[invoice amount2]]</f>
        <v>0</v>
      </c>
      <c r="AS97" s="224"/>
      <c r="AT97" s="208"/>
      <c r="AU97" s="208" t="e">
        <f ca="1">VLOOKUP(表格1[[#This Row],[PO+ITEM]],#REF!,2,FALSE)</f>
        <v>#REF!</v>
      </c>
      <c r="AV97" s="341" t="e">
        <f ca="1">VLOOKUP(表格1[[#This Row],[PO+ITEM]],#REF!,3,FALSE)</f>
        <v>#REF!</v>
      </c>
      <c r="AW97" s="208" t="e">
        <f ca="1">VLOOKUP(表格1[[#This Row],[PO+ITEM]],#REF!,4,FALSE)</f>
        <v>#REF!</v>
      </c>
      <c r="AX97" s="208" t="e" cm="1" vm="1">
        <f t="array" aca="1" ref="AX97" ca="1">VLOOKUP(AI:AI,#REF!,1,FALSE)</f>
        <v>#VALUE!</v>
      </c>
    </row>
    <row r="98" spans="1:50">
      <c r="A98" s="220">
        <v>97</v>
      </c>
      <c r="B98" s="220" t="e">
        <v>#N/A</v>
      </c>
      <c r="C98" s="209" t="s">
        <v>16</v>
      </c>
      <c r="D98" s="209" t="s">
        <v>3648</v>
      </c>
      <c r="E98" s="209"/>
      <c r="F98" s="209"/>
      <c r="G98" s="209"/>
      <c r="H98" s="210" t="s">
        <v>3989</v>
      </c>
      <c r="I98" s="210"/>
      <c r="J98" s="211"/>
      <c r="K98" s="218"/>
      <c r="L98" s="210" t="s">
        <v>3990</v>
      </c>
      <c r="M98" s="210"/>
      <c r="N98" s="210"/>
      <c r="O98" s="257">
        <v>4590010043</v>
      </c>
      <c r="P98" s="214">
        <v>45016</v>
      </c>
      <c r="Q98" s="334">
        <v>1</v>
      </c>
      <c r="R98" s="216">
        <v>5445</v>
      </c>
      <c r="S98" s="217" t="s">
        <v>2156</v>
      </c>
      <c r="T98" s="209" t="s">
        <v>3991</v>
      </c>
      <c r="U98" s="209" t="s">
        <v>3992</v>
      </c>
      <c r="V98" s="210" t="s">
        <v>3993</v>
      </c>
      <c r="W98" s="218"/>
      <c r="X98" s="218" t="s">
        <v>3652</v>
      </c>
      <c r="Y98" s="212" t="e">
        <v>#N/A</v>
      </c>
      <c r="Z98" s="209" t="s">
        <v>3994</v>
      </c>
      <c r="AA98" s="215"/>
      <c r="AB98" s="218"/>
      <c r="AC98" s="217" t="e">
        <v>#N/A</v>
      </c>
      <c r="AD98" s="217"/>
      <c r="AE98" s="217">
        <v>0</v>
      </c>
      <c r="AF98" s="217"/>
      <c r="AG98" s="217"/>
      <c r="AH98" s="220">
        <f t="shared" si="2"/>
        <v>4590010043</v>
      </c>
      <c r="AI98" s="208"/>
      <c r="AJ98" s="220"/>
      <c r="AK98" s="221"/>
      <c r="AL98" s="227"/>
      <c r="AM98" s="208"/>
      <c r="AN98" s="220"/>
      <c r="AO98" s="222"/>
      <c r="AP98" s="227"/>
      <c r="AQ98" s="358">
        <f ca="1">IF(表格1[[#This Row],[PO$]]="","100%",表格1[[#This Row],[total amount]]/表格1[[#This Row],[PO$]])</f>
        <v>0</v>
      </c>
      <c r="AR98" s="223">
        <f ca="1">表格1[[#This Row],[invoice amount]]+表格1[[#This Row],[invoice amount2]]</f>
        <v>0</v>
      </c>
      <c r="AS98" s="224"/>
      <c r="AT98" s="208"/>
      <c r="AU98" s="208" t="e">
        <f ca="1">VLOOKUP(表格1[[#This Row],[PO+ITEM]],#REF!,2,FALSE)</f>
        <v>#REF!</v>
      </c>
      <c r="AV98" s="341" t="e">
        <f ca="1">VLOOKUP(表格1[[#This Row],[PO+ITEM]],#REF!,3,FALSE)</f>
        <v>#REF!</v>
      </c>
      <c r="AW98" s="208" t="e">
        <f ca="1">VLOOKUP(表格1[[#This Row],[PO+ITEM]],#REF!,4,FALSE)</f>
        <v>#REF!</v>
      </c>
      <c r="AX98" s="208" t="e" cm="1" vm="1">
        <f t="array" aca="1" ref="AX98" ca="1">VLOOKUP(AI:AI,#REF!,1,FALSE)</f>
        <v>#VALUE!</v>
      </c>
    </row>
    <row r="99" spans="1:50" ht="15.6">
      <c r="A99" s="220">
        <v>98</v>
      </c>
      <c r="B99" s="220" t="e">
        <v>#N/A</v>
      </c>
      <c r="C99" s="209" t="s">
        <v>10</v>
      </c>
      <c r="D99" s="209" t="s">
        <v>3648</v>
      </c>
      <c r="E99" s="209"/>
      <c r="F99" s="209"/>
      <c r="G99" s="209"/>
      <c r="H99" s="210" t="s">
        <v>3995</v>
      </c>
      <c r="I99" s="218"/>
      <c r="J99" s="218"/>
      <c r="K99" s="218"/>
      <c r="L99" s="212" t="s">
        <v>2888</v>
      </c>
      <c r="M99" s="212" t="s">
        <v>3668</v>
      </c>
      <c r="N99" s="218"/>
      <c r="O99" s="212">
        <v>4590010102</v>
      </c>
      <c r="P99" s="214">
        <v>45026</v>
      </c>
      <c r="Q99" s="334">
        <v>1</v>
      </c>
      <c r="R99" s="216">
        <v>7084</v>
      </c>
      <c r="S99" s="217" t="s">
        <v>2156</v>
      </c>
      <c r="T99" s="209"/>
      <c r="U99" s="209"/>
      <c r="V99" s="210"/>
      <c r="W99" s="218" t="s">
        <v>3652</v>
      </c>
      <c r="X99" s="218" t="s">
        <v>3652</v>
      </c>
      <c r="Y99" s="212">
        <v>0</v>
      </c>
      <c r="Z99" s="209" t="s">
        <v>3997</v>
      </c>
      <c r="AA99" s="218"/>
      <c r="AB99" s="218"/>
      <c r="AC99" s="217" t="e">
        <v>#N/A</v>
      </c>
      <c r="AD99" s="217"/>
      <c r="AE99" s="217">
        <v>0</v>
      </c>
      <c r="AF99" s="217"/>
      <c r="AG99" s="217"/>
      <c r="AH99" s="220">
        <f t="shared" ref="AH99:AH130" si="3">O99</f>
        <v>4590010102</v>
      </c>
      <c r="AI99" s="208"/>
      <c r="AJ99" s="225">
        <v>45231</v>
      </c>
      <c r="AK99" s="221">
        <v>6729.7999999999993</v>
      </c>
      <c r="AL99" s="258">
        <v>45275</v>
      </c>
      <c r="AM99" s="208" t="s">
        <v>3998</v>
      </c>
      <c r="AN99" s="227">
        <v>45422</v>
      </c>
      <c r="AO99" s="222">
        <v>354.20000000000073</v>
      </c>
      <c r="AP99" s="227">
        <v>45471</v>
      </c>
      <c r="AQ99" s="358">
        <f ca="1">IF(表格1[[#This Row],[PO$]]="","100%",表格1[[#This Row],[total amount]]/表格1[[#This Row],[PO$]])</f>
        <v>1</v>
      </c>
      <c r="AR99" s="223">
        <f ca="1">表格1[[#This Row],[invoice amount]]+表格1[[#This Row],[invoice amount2]]</f>
        <v>7084</v>
      </c>
      <c r="AS99" s="224" t="s">
        <v>3673</v>
      </c>
      <c r="AT99" s="208" t="s">
        <v>3657</v>
      </c>
      <c r="AU99" s="208" t="e">
        <f ca="1">VLOOKUP(表格1[[#This Row],[PO+ITEM]],#REF!,2,FALSE)</f>
        <v>#REF!</v>
      </c>
      <c r="AV99" s="341" t="e">
        <f ca="1">VLOOKUP(表格1[[#This Row],[PO+ITEM]],#REF!,3,FALSE)</f>
        <v>#REF!</v>
      </c>
      <c r="AW99" s="208" t="e">
        <f ca="1">VLOOKUP(表格1[[#This Row],[PO+ITEM]],#REF!,4,FALSE)</f>
        <v>#REF!</v>
      </c>
      <c r="AX99" s="208" t="e" cm="1" vm="1">
        <f t="array" aca="1" ref="AX99" ca="1">VLOOKUP(AI:AI,#REF!,1,FALSE)</f>
        <v>#VALUE!</v>
      </c>
    </row>
    <row r="100" spans="1:50" s="230" customFormat="1">
      <c r="A100" s="220">
        <v>99</v>
      </c>
      <c r="B100" s="220" t="e">
        <v>#N/A</v>
      </c>
      <c r="C100" s="209" t="s">
        <v>16</v>
      </c>
      <c r="D100" s="209" t="s">
        <v>3648</v>
      </c>
      <c r="E100" s="209"/>
      <c r="F100" s="209"/>
      <c r="G100" s="209"/>
      <c r="H100" s="210" t="s">
        <v>3999</v>
      </c>
      <c r="I100" s="218"/>
      <c r="J100" s="218"/>
      <c r="K100" s="218"/>
      <c r="L100" s="212" t="s">
        <v>3762</v>
      </c>
      <c r="M100" s="212"/>
      <c r="N100" s="218"/>
      <c r="O100" s="212">
        <v>4590010336</v>
      </c>
      <c r="P100" s="214">
        <v>45035</v>
      </c>
      <c r="Q100" s="334">
        <v>1</v>
      </c>
      <c r="R100" s="216">
        <v>3990.5</v>
      </c>
      <c r="S100" s="217" t="s">
        <v>2156</v>
      </c>
      <c r="T100" s="209" t="s">
        <v>4000</v>
      </c>
      <c r="U100" s="209" t="s">
        <v>3992</v>
      </c>
      <c r="V100" s="210" t="s">
        <v>3993</v>
      </c>
      <c r="W100" s="218" t="s">
        <v>3652</v>
      </c>
      <c r="X100" s="218" t="s">
        <v>3652</v>
      </c>
      <c r="Y100" s="212">
        <v>0</v>
      </c>
      <c r="Z100" s="209" t="s">
        <v>4001</v>
      </c>
      <c r="AA100" s="218"/>
      <c r="AB100" s="218"/>
      <c r="AC100" s="217" t="e">
        <v>#N/A</v>
      </c>
      <c r="AD100" s="217"/>
      <c r="AE100" s="217">
        <v>0</v>
      </c>
      <c r="AF100" s="217"/>
      <c r="AG100" s="217"/>
      <c r="AH100" s="220">
        <f t="shared" si="3"/>
        <v>4590010336</v>
      </c>
      <c r="AI100" s="208"/>
      <c r="AJ100" s="220"/>
      <c r="AK100" s="221"/>
      <c r="AL100" s="227"/>
      <c r="AM100" s="208"/>
      <c r="AN100" s="220"/>
      <c r="AO100" s="222"/>
      <c r="AP100" s="227"/>
      <c r="AQ100" s="358">
        <f ca="1">IF(表格1[[#This Row],[PO$]]="","100%",表格1[[#This Row],[total amount]]/表格1[[#This Row],[PO$]])</f>
        <v>0</v>
      </c>
      <c r="AR100" s="223">
        <f ca="1">表格1[[#This Row],[invoice amount]]+表格1[[#This Row],[invoice amount2]]</f>
        <v>0</v>
      </c>
      <c r="AS100" s="224"/>
      <c r="AT100" s="208"/>
      <c r="AU100" s="208" t="e">
        <f ca="1">VLOOKUP(表格1[[#This Row],[PO+ITEM]],#REF!,2,FALSE)</f>
        <v>#REF!</v>
      </c>
      <c r="AV100" s="341" t="e">
        <f ca="1">VLOOKUP(表格1[[#This Row],[PO+ITEM]],#REF!,3,FALSE)</f>
        <v>#REF!</v>
      </c>
      <c r="AW100" s="208" t="e">
        <f ca="1">VLOOKUP(表格1[[#This Row],[PO+ITEM]],#REF!,4,FALSE)</f>
        <v>#REF!</v>
      </c>
      <c r="AX100" s="208" t="e" cm="1" vm="1">
        <f t="array" aca="1" ref="AX100" ca="1">VLOOKUP(AI:AI,#REF!,1,FALSE)</f>
        <v>#VALUE!</v>
      </c>
    </row>
    <row r="101" spans="1:50" ht="15.6">
      <c r="A101" s="220">
        <v>100</v>
      </c>
      <c r="B101" s="220" t="e">
        <v>#N/A</v>
      </c>
      <c r="C101" s="209" t="s">
        <v>16</v>
      </c>
      <c r="D101" s="209" t="s">
        <v>3648</v>
      </c>
      <c r="E101" s="209"/>
      <c r="F101" s="209"/>
      <c r="G101" s="209"/>
      <c r="H101" s="217" t="s">
        <v>4002</v>
      </c>
      <c r="I101" s="210"/>
      <c r="J101" s="211"/>
      <c r="K101" s="218"/>
      <c r="L101" s="210" t="s">
        <v>4003</v>
      </c>
      <c r="M101" s="210" t="s">
        <v>2882</v>
      </c>
      <c r="N101" s="210"/>
      <c r="O101" s="257">
        <v>4590010392</v>
      </c>
      <c r="P101" s="214">
        <v>45037</v>
      </c>
      <c r="Q101" s="334">
        <v>1</v>
      </c>
      <c r="R101" s="216">
        <v>4040.89</v>
      </c>
      <c r="S101" s="217" t="s">
        <v>2156</v>
      </c>
      <c r="T101" s="209" t="s">
        <v>4004</v>
      </c>
      <c r="U101" s="209" t="s">
        <v>4005</v>
      </c>
      <c r="V101" s="210" t="s">
        <v>4006</v>
      </c>
      <c r="W101" s="218" t="s">
        <v>3652</v>
      </c>
      <c r="X101" s="218" t="s">
        <v>3652</v>
      </c>
      <c r="Y101" s="212" t="s">
        <v>4007</v>
      </c>
      <c r="Z101" s="209" t="s">
        <v>4008</v>
      </c>
      <c r="AA101" s="215"/>
      <c r="AB101" s="218"/>
      <c r="AC101" s="217" t="e">
        <v>#N/A</v>
      </c>
      <c r="AD101" s="217"/>
      <c r="AE101" s="217">
        <v>0</v>
      </c>
      <c r="AF101" s="217"/>
      <c r="AG101" s="217"/>
      <c r="AH101" s="220">
        <f t="shared" si="3"/>
        <v>4590010392</v>
      </c>
      <c r="AI101" s="208" t="s">
        <v>4009</v>
      </c>
      <c r="AJ101" s="227">
        <v>45345</v>
      </c>
      <c r="AK101" s="221">
        <v>0</v>
      </c>
      <c r="AL101" s="314" t="s">
        <v>3788</v>
      </c>
      <c r="AM101" s="208"/>
      <c r="AN101" s="220"/>
      <c r="AO101" s="222"/>
      <c r="AP101" s="227"/>
      <c r="AQ101" s="358">
        <f ca="1">IF(表格1[[#This Row],[PO$]]="","100%",表格1[[#This Row],[total amount]]/表格1[[#This Row],[PO$]])</f>
        <v>0</v>
      </c>
      <c r="AR101" s="223">
        <f ca="1">表格1[[#This Row],[invoice amount]]+表格1[[#This Row],[invoice amount2]]</f>
        <v>0</v>
      </c>
      <c r="AS101" s="224" t="s">
        <v>3789</v>
      </c>
      <c r="AT101" s="208" t="s">
        <v>4010</v>
      </c>
      <c r="AU101" s="208" t="e">
        <f ca="1">VLOOKUP(表格1[[#This Row],[PO+ITEM]],#REF!,2,FALSE)</f>
        <v>#REF!</v>
      </c>
      <c r="AV101" s="341" t="e">
        <f ca="1">VLOOKUP(表格1[[#This Row],[PO+ITEM]],#REF!,3,FALSE)</f>
        <v>#REF!</v>
      </c>
      <c r="AW101" s="208" t="e">
        <f ca="1">VLOOKUP(表格1[[#This Row],[PO+ITEM]],#REF!,4,FALSE)</f>
        <v>#REF!</v>
      </c>
      <c r="AX101" s="208" t="e" cm="1" vm="1">
        <f t="array" aca="1" ref="AX101" ca="1">VLOOKUP(AI:AI,#REF!,1,FALSE)</f>
        <v>#VALUE!</v>
      </c>
    </row>
    <row r="102" spans="1:50">
      <c r="A102" s="220">
        <v>101</v>
      </c>
      <c r="B102" s="220" t="e">
        <v>#N/A</v>
      </c>
      <c r="C102" s="209" t="s">
        <v>16</v>
      </c>
      <c r="D102" s="209" t="s">
        <v>3648</v>
      </c>
      <c r="E102" s="209"/>
      <c r="F102" s="209"/>
      <c r="G102" s="209"/>
      <c r="H102" s="210" t="s">
        <v>4011</v>
      </c>
      <c r="I102" s="218"/>
      <c r="J102" s="218"/>
      <c r="K102" s="218"/>
      <c r="L102" s="212" t="s">
        <v>4012</v>
      </c>
      <c r="M102" s="212"/>
      <c r="N102" s="218"/>
      <c r="O102" s="212">
        <v>4590010562</v>
      </c>
      <c r="P102" s="214">
        <v>45043</v>
      </c>
      <c r="Q102" s="334">
        <v>1</v>
      </c>
      <c r="R102" s="216">
        <v>16767.02</v>
      </c>
      <c r="S102" s="217" t="s">
        <v>2156</v>
      </c>
      <c r="T102" s="209" t="s">
        <v>3926</v>
      </c>
      <c r="U102" s="209" t="s">
        <v>3927</v>
      </c>
      <c r="V102" s="210" t="s">
        <v>3928</v>
      </c>
      <c r="W102" s="218" t="s">
        <v>3652</v>
      </c>
      <c r="X102" s="218" t="s">
        <v>3652</v>
      </c>
      <c r="Y102" s="212">
        <v>0</v>
      </c>
      <c r="Z102" s="209" t="s">
        <v>4013</v>
      </c>
      <c r="AA102" s="218"/>
      <c r="AB102" s="218"/>
      <c r="AC102" s="217" t="e">
        <v>#N/A</v>
      </c>
      <c r="AD102" s="217"/>
      <c r="AE102" s="217">
        <v>0</v>
      </c>
      <c r="AF102" s="217" t="s">
        <v>4014</v>
      </c>
      <c r="AG102" s="217"/>
      <c r="AH102" s="220">
        <f t="shared" si="3"/>
        <v>4590010562</v>
      </c>
      <c r="AI102" s="208"/>
      <c r="AJ102" s="220"/>
      <c r="AK102" s="221"/>
      <c r="AL102" s="227"/>
      <c r="AM102" s="208"/>
      <c r="AN102" s="220"/>
      <c r="AO102" s="222"/>
      <c r="AP102" s="227"/>
      <c r="AQ102" s="358">
        <f ca="1">IF(表格1[[#This Row],[PO$]]="","100%",表格1[[#This Row],[total amount]]/表格1[[#This Row],[PO$]])</f>
        <v>0</v>
      </c>
      <c r="AR102" s="223">
        <f ca="1">表格1[[#This Row],[invoice amount]]+表格1[[#This Row],[invoice amount2]]</f>
        <v>0</v>
      </c>
      <c r="AS102" s="224"/>
      <c r="AT102" s="208"/>
      <c r="AU102" s="208" t="e">
        <f ca="1">VLOOKUP(表格1[[#This Row],[PO+ITEM]],#REF!,2,FALSE)</f>
        <v>#REF!</v>
      </c>
      <c r="AV102" s="341" t="e">
        <f ca="1">VLOOKUP(表格1[[#This Row],[PO+ITEM]],#REF!,3,FALSE)</f>
        <v>#REF!</v>
      </c>
      <c r="AW102" s="208" t="e">
        <f ca="1">VLOOKUP(表格1[[#This Row],[PO+ITEM]],#REF!,4,FALSE)</f>
        <v>#REF!</v>
      </c>
      <c r="AX102" s="208" t="e" cm="1" vm="1">
        <f t="array" aca="1" ref="AX102" ca="1">VLOOKUP(AI:AI,#REF!,1,FALSE)</f>
        <v>#VALUE!</v>
      </c>
    </row>
    <row r="103" spans="1:50">
      <c r="A103" s="220">
        <v>102</v>
      </c>
      <c r="B103" s="220" t="e">
        <v>#N/A</v>
      </c>
      <c r="C103" s="209" t="s">
        <v>10</v>
      </c>
      <c r="D103" s="209" t="s">
        <v>3648</v>
      </c>
      <c r="E103" s="209"/>
      <c r="F103" s="209"/>
      <c r="G103" s="209"/>
      <c r="H103" s="217" t="s">
        <v>4015</v>
      </c>
      <c r="I103" s="210"/>
      <c r="J103" s="211"/>
      <c r="K103" s="218"/>
      <c r="L103" s="212" t="s">
        <v>2888</v>
      </c>
      <c r="M103" s="210"/>
      <c r="N103" s="210"/>
      <c r="O103" s="257">
        <v>4590010563</v>
      </c>
      <c r="P103" s="214">
        <v>45043</v>
      </c>
      <c r="Q103" s="334">
        <v>1</v>
      </c>
      <c r="R103" s="349">
        <v>17044.27</v>
      </c>
      <c r="S103" s="217" t="s">
        <v>2156</v>
      </c>
      <c r="T103" s="209"/>
      <c r="U103" s="209"/>
      <c r="V103" s="210"/>
      <c r="W103" s="218" t="s">
        <v>3652</v>
      </c>
      <c r="X103" s="218" t="s">
        <v>3652</v>
      </c>
      <c r="Y103" s="212">
        <v>0</v>
      </c>
      <c r="Z103" s="209" t="s">
        <v>4017</v>
      </c>
      <c r="AA103" s="215"/>
      <c r="AB103" s="218"/>
      <c r="AC103" s="217" t="e">
        <v>#N/A</v>
      </c>
      <c r="AD103" s="217"/>
      <c r="AE103" s="217">
        <v>0</v>
      </c>
      <c r="AF103" s="212" t="s">
        <v>3654</v>
      </c>
      <c r="AG103" s="217"/>
      <c r="AH103" s="220">
        <f t="shared" si="3"/>
        <v>4590010563</v>
      </c>
      <c r="AI103" s="217" t="s">
        <v>4019</v>
      </c>
      <c r="AJ103" s="227">
        <v>45471</v>
      </c>
      <c r="AK103" s="221">
        <v>17044.27</v>
      </c>
      <c r="AL103" s="227">
        <v>45503</v>
      </c>
      <c r="AM103" s="208"/>
      <c r="AN103" s="220"/>
      <c r="AO103" s="222"/>
      <c r="AP103" s="227"/>
      <c r="AQ103" s="358">
        <f ca="1">IF(表格1[[#This Row],[PO$]]="","100%",表格1[[#This Row],[total amount]]/表格1[[#This Row],[PO$]])</f>
        <v>1</v>
      </c>
      <c r="AR103" s="223">
        <f ca="1">表格1[[#This Row],[invoice amount]]+表格1[[#This Row],[invoice amount2]]</f>
        <v>17044.27</v>
      </c>
      <c r="AS103" s="224" t="s">
        <v>3725</v>
      </c>
      <c r="AT103" s="208"/>
      <c r="AU103" s="208" t="e">
        <f ca="1">VLOOKUP(表格1[[#This Row],[PO+ITEM]],#REF!,2,FALSE)</f>
        <v>#REF!</v>
      </c>
      <c r="AV103" s="341" t="e">
        <f ca="1">VLOOKUP(表格1[[#This Row],[PO+ITEM]],#REF!,3,FALSE)</f>
        <v>#REF!</v>
      </c>
      <c r="AW103" s="208" t="e">
        <f ca="1">VLOOKUP(表格1[[#This Row],[PO+ITEM]],#REF!,4,FALSE)</f>
        <v>#REF!</v>
      </c>
      <c r="AX103" s="208" t="e" cm="1" vm="1">
        <f t="array" aca="1" ref="AX103" ca="1">VLOOKUP(AI:AI,#REF!,1,FALSE)</f>
        <v>#VALUE!</v>
      </c>
    </row>
    <row r="104" spans="1:50">
      <c r="A104" s="220">
        <v>103</v>
      </c>
      <c r="B104" s="220" t="e">
        <v>#N/A</v>
      </c>
      <c r="C104" s="209" t="s">
        <v>16</v>
      </c>
      <c r="D104" s="209" t="s">
        <v>3648</v>
      </c>
      <c r="E104" s="209"/>
      <c r="F104" s="209"/>
      <c r="G104" s="209"/>
      <c r="H104" s="217" t="s">
        <v>4020</v>
      </c>
      <c r="I104" s="210"/>
      <c r="J104" s="211"/>
      <c r="K104" s="218"/>
      <c r="L104" s="210" t="s">
        <v>2206</v>
      </c>
      <c r="M104" s="210"/>
      <c r="N104" s="210"/>
      <c r="O104" s="257">
        <v>4590010818</v>
      </c>
      <c r="P104" s="214">
        <v>45055</v>
      </c>
      <c r="Q104" s="334">
        <v>1</v>
      </c>
      <c r="R104" s="216">
        <v>3360</v>
      </c>
      <c r="S104" s="217" t="s">
        <v>2156</v>
      </c>
      <c r="T104" s="209" t="s">
        <v>4021</v>
      </c>
      <c r="U104" s="209" t="s">
        <v>4022</v>
      </c>
      <c r="V104" s="210" t="s">
        <v>4023</v>
      </c>
      <c r="W104" s="218" t="s">
        <v>3652</v>
      </c>
      <c r="X104" s="218" t="s">
        <v>3652</v>
      </c>
      <c r="Y104" s="212">
        <v>0</v>
      </c>
      <c r="Z104" s="209" t="s">
        <v>4024</v>
      </c>
      <c r="AA104" s="215"/>
      <c r="AB104" s="218"/>
      <c r="AC104" s="217" t="e">
        <v>#N/A</v>
      </c>
      <c r="AD104" s="217"/>
      <c r="AE104" s="217">
        <v>0</v>
      </c>
      <c r="AF104" s="217"/>
      <c r="AG104" s="217"/>
      <c r="AH104" s="220">
        <f t="shared" si="3"/>
        <v>4590010818</v>
      </c>
      <c r="AI104" s="208"/>
      <c r="AJ104" s="220"/>
      <c r="AK104" s="221"/>
      <c r="AL104" s="227"/>
      <c r="AM104" s="208"/>
      <c r="AN104" s="220"/>
      <c r="AO104" s="222"/>
      <c r="AP104" s="227"/>
      <c r="AQ104" s="358">
        <f ca="1">IF(表格1[[#This Row],[PO$]]="","100%",表格1[[#This Row],[total amount]]/表格1[[#This Row],[PO$]])</f>
        <v>0</v>
      </c>
      <c r="AR104" s="223">
        <f ca="1">表格1[[#This Row],[invoice amount]]+表格1[[#This Row],[invoice amount2]]</f>
        <v>0</v>
      </c>
      <c r="AS104" s="224"/>
      <c r="AT104" s="208"/>
      <c r="AU104" s="208" t="e">
        <f ca="1">VLOOKUP(表格1[[#This Row],[PO+ITEM]],#REF!,2,FALSE)</f>
        <v>#REF!</v>
      </c>
      <c r="AV104" s="341" t="e">
        <f ca="1">VLOOKUP(表格1[[#This Row],[PO+ITEM]],#REF!,3,FALSE)</f>
        <v>#REF!</v>
      </c>
      <c r="AW104" s="208" t="e">
        <f ca="1">VLOOKUP(表格1[[#This Row],[PO+ITEM]],#REF!,4,FALSE)</f>
        <v>#REF!</v>
      </c>
      <c r="AX104" s="208" t="e" cm="1" vm="1">
        <f t="array" aca="1" ref="AX104" ca="1">VLOOKUP(AI:AI,#REF!,1,FALSE)</f>
        <v>#VALUE!</v>
      </c>
    </row>
    <row r="105" spans="1:50">
      <c r="A105" s="220">
        <v>104</v>
      </c>
      <c r="B105" s="220" t="e">
        <v>#N/A</v>
      </c>
      <c r="C105" s="209" t="s">
        <v>16</v>
      </c>
      <c r="D105" s="209" t="s">
        <v>3648</v>
      </c>
      <c r="E105" s="209"/>
      <c r="F105" s="209"/>
      <c r="G105" s="209"/>
      <c r="H105" s="210" t="s">
        <v>4025</v>
      </c>
      <c r="I105" s="218"/>
      <c r="J105" s="218"/>
      <c r="K105" s="218"/>
      <c r="L105" s="212" t="s">
        <v>3762</v>
      </c>
      <c r="M105" s="212" t="s">
        <v>4026</v>
      </c>
      <c r="N105" s="218"/>
      <c r="O105" s="212">
        <v>4590011270</v>
      </c>
      <c r="P105" s="212" t="s">
        <v>6695</v>
      </c>
      <c r="Q105" s="334">
        <v>1</v>
      </c>
      <c r="R105" s="216">
        <v>9101</v>
      </c>
      <c r="S105" s="217" t="s">
        <v>2156</v>
      </c>
      <c r="T105" s="218" t="s">
        <v>4027</v>
      </c>
      <c r="U105" s="218" t="s">
        <v>3992</v>
      </c>
      <c r="V105" s="210" t="s">
        <v>3993</v>
      </c>
      <c r="W105" s="218" t="s">
        <v>3652</v>
      </c>
      <c r="X105" s="218" t="s">
        <v>3652</v>
      </c>
      <c r="Y105" s="212">
        <v>0</v>
      </c>
      <c r="Z105" s="209" t="s">
        <v>4028</v>
      </c>
      <c r="AA105" s="218" t="s">
        <v>3718</v>
      </c>
      <c r="AB105" s="218"/>
      <c r="AC105" s="217" t="e">
        <v>#N/A</v>
      </c>
      <c r="AD105" s="217"/>
      <c r="AE105" s="217">
        <v>0</v>
      </c>
      <c r="AF105" s="217"/>
      <c r="AG105" s="217"/>
      <c r="AH105" s="220">
        <f t="shared" si="3"/>
        <v>4590011270</v>
      </c>
      <c r="AI105" s="208"/>
      <c r="AJ105" s="220"/>
      <c r="AK105" s="221"/>
      <c r="AL105" s="227"/>
      <c r="AM105" s="208"/>
      <c r="AN105" s="220"/>
      <c r="AO105" s="222"/>
      <c r="AP105" s="227"/>
      <c r="AQ105" s="358">
        <f ca="1">IF(表格1[[#This Row],[PO$]]="","100%",表格1[[#This Row],[total amount]]/表格1[[#This Row],[PO$]])</f>
        <v>0</v>
      </c>
      <c r="AR105" s="223">
        <f ca="1">表格1[[#This Row],[invoice amount]]+表格1[[#This Row],[invoice amount2]]</f>
        <v>0</v>
      </c>
      <c r="AS105" s="224"/>
      <c r="AT105" s="208"/>
      <c r="AU105" s="208" t="e">
        <f ca="1">VLOOKUP(表格1[[#This Row],[PO+ITEM]],#REF!,2,FALSE)</f>
        <v>#REF!</v>
      </c>
      <c r="AV105" s="341" t="e">
        <f ca="1">VLOOKUP(表格1[[#This Row],[PO+ITEM]],#REF!,3,FALSE)</f>
        <v>#REF!</v>
      </c>
      <c r="AW105" s="208" t="e">
        <f ca="1">VLOOKUP(表格1[[#This Row],[PO+ITEM]],#REF!,4,FALSE)</f>
        <v>#REF!</v>
      </c>
      <c r="AX105" s="208" t="e" cm="1" vm="1">
        <f t="array" aca="1" ref="AX105" ca="1">VLOOKUP(AI:AI,#REF!,1,FALSE)</f>
        <v>#VALUE!</v>
      </c>
    </row>
    <row r="106" spans="1:50">
      <c r="A106" s="220">
        <v>105</v>
      </c>
      <c r="B106" s="220" t="e">
        <v>#N/A</v>
      </c>
      <c r="C106" s="209" t="s">
        <v>17</v>
      </c>
      <c r="D106" s="209" t="s">
        <v>3648</v>
      </c>
      <c r="E106" s="209"/>
      <c r="F106" s="209"/>
      <c r="G106" s="209"/>
      <c r="H106" s="217" t="s">
        <v>4029</v>
      </c>
      <c r="I106" s="210"/>
      <c r="J106" s="211"/>
      <c r="K106" s="218"/>
      <c r="L106" s="210" t="s">
        <v>2206</v>
      </c>
      <c r="M106" s="210"/>
      <c r="N106" s="210"/>
      <c r="O106" s="257">
        <v>4590012444</v>
      </c>
      <c r="P106" s="212" t="s">
        <v>6696</v>
      </c>
      <c r="Q106" s="334">
        <v>1</v>
      </c>
      <c r="R106" s="216">
        <v>1135</v>
      </c>
      <c r="S106" s="217" t="s">
        <v>2160</v>
      </c>
      <c r="T106" s="209" t="s">
        <v>4030</v>
      </c>
      <c r="U106" s="209" t="s">
        <v>4031</v>
      </c>
      <c r="V106" s="210" t="s">
        <v>4032</v>
      </c>
      <c r="W106" s="218" t="s">
        <v>20</v>
      </c>
      <c r="X106" s="218" t="s">
        <v>3652</v>
      </c>
      <c r="Y106" s="212" t="s">
        <v>4033</v>
      </c>
      <c r="Z106" s="209" t="s">
        <v>4034</v>
      </c>
      <c r="AA106" s="215"/>
      <c r="AB106" s="218"/>
      <c r="AC106" s="217" t="e">
        <v>#N/A</v>
      </c>
      <c r="AD106" s="217"/>
      <c r="AE106" s="217">
        <v>0</v>
      </c>
      <c r="AF106" s="217" t="s">
        <v>3932</v>
      </c>
      <c r="AG106" s="217"/>
      <c r="AH106" s="220">
        <f t="shared" si="3"/>
        <v>4590012444</v>
      </c>
      <c r="AI106" s="208" t="s">
        <v>4035</v>
      </c>
      <c r="AJ106" s="227">
        <v>45436</v>
      </c>
      <c r="AK106" s="221">
        <v>1135</v>
      </c>
      <c r="AL106" s="227">
        <v>45488</v>
      </c>
      <c r="AM106" s="208"/>
      <c r="AN106" s="220"/>
      <c r="AO106" s="222"/>
      <c r="AP106" s="227"/>
      <c r="AQ106" s="358">
        <f ca="1">IF(表格1[[#This Row],[PO$]]="","100%",表格1[[#This Row],[total amount]]/表格1[[#This Row],[PO$]])</f>
        <v>1</v>
      </c>
      <c r="AR106" s="223">
        <f ca="1">表格1[[#This Row],[invoice amount]]+表格1[[#This Row],[invoice amount2]]</f>
        <v>1135</v>
      </c>
      <c r="AS106" s="224" t="s">
        <v>3725</v>
      </c>
      <c r="AT106" s="208" t="s">
        <v>4036</v>
      </c>
      <c r="AU106" s="208" t="e">
        <f ca="1">VLOOKUP(表格1[[#This Row],[PO+ITEM]],#REF!,2,FALSE)</f>
        <v>#REF!</v>
      </c>
      <c r="AV106" s="341" t="e">
        <f ca="1">VLOOKUP(表格1[[#This Row],[PO+ITEM]],#REF!,3,FALSE)</f>
        <v>#REF!</v>
      </c>
      <c r="AW106" s="208" t="e">
        <f ca="1">VLOOKUP(表格1[[#This Row],[PO+ITEM]],#REF!,4,FALSE)</f>
        <v>#REF!</v>
      </c>
      <c r="AX106" s="208" t="e" cm="1" vm="1">
        <f t="array" aca="1" ref="AX106" ca="1">VLOOKUP(AI:AI,#REF!,1,FALSE)</f>
        <v>#VALUE!</v>
      </c>
    </row>
    <row r="107" spans="1:50" ht="15.6">
      <c r="A107" s="220">
        <v>106</v>
      </c>
      <c r="B107" s="220" t="s">
        <v>3674</v>
      </c>
      <c r="C107" s="209" t="s">
        <v>17</v>
      </c>
      <c r="D107" s="209" t="s">
        <v>3648</v>
      </c>
      <c r="E107" s="209"/>
      <c r="F107" s="209"/>
      <c r="G107" s="209"/>
      <c r="H107" s="210" t="s">
        <v>4037</v>
      </c>
      <c r="I107" s="218"/>
      <c r="J107" s="218"/>
      <c r="K107" s="218"/>
      <c r="L107" s="212" t="s">
        <v>2206</v>
      </c>
      <c r="M107" s="212"/>
      <c r="N107" s="218"/>
      <c r="O107" s="212">
        <v>4590012447</v>
      </c>
      <c r="P107" s="212" t="s">
        <v>6696</v>
      </c>
      <c r="Q107" s="334">
        <v>1</v>
      </c>
      <c r="R107" s="216">
        <v>3091</v>
      </c>
      <c r="S107" s="217" t="s">
        <v>2160</v>
      </c>
      <c r="T107" s="209" t="s">
        <v>4030</v>
      </c>
      <c r="U107" s="209" t="s">
        <v>4031</v>
      </c>
      <c r="V107" s="210" t="s">
        <v>4038</v>
      </c>
      <c r="W107" s="218" t="s">
        <v>20</v>
      </c>
      <c r="X107" s="218" t="s">
        <v>3652</v>
      </c>
      <c r="Y107" s="212" t="s">
        <v>4033</v>
      </c>
      <c r="Z107" s="209" t="s">
        <v>4039</v>
      </c>
      <c r="AA107" s="218"/>
      <c r="AB107" s="218"/>
      <c r="AC107" s="217" t="e">
        <v>#N/A</v>
      </c>
      <c r="AD107" s="217"/>
      <c r="AE107" s="217" t="s">
        <v>2557</v>
      </c>
      <c r="AF107" s="217" t="s">
        <v>3932</v>
      </c>
      <c r="AG107" s="217"/>
      <c r="AH107" s="220">
        <f t="shared" si="3"/>
        <v>4590012447</v>
      </c>
      <c r="AI107" s="208" t="s">
        <v>4040</v>
      </c>
      <c r="AJ107" s="227">
        <v>45345</v>
      </c>
      <c r="AK107" s="221">
        <v>0</v>
      </c>
      <c r="AL107" s="314" t="s">
        <v>3788</v>
      </c>
      <c r="AM107" s="208"/>
      <c r="AN107" s="220"/>
      <c r="AO107" s="222"/>
      <c r="AP107" s="227"/>
      <c r="AQ107" s="358">
        <f ca="1">IF(表格1[[#This Row],[PO$]]="","100%",表格1[[#This Row],[total amount]]/表格1[[#This Row],[PO$]])</f>
        <v>0</v>
      </c>
      <c r="AR107" s="223">
        <f ca="1">表格1[[#This Row],[invoice amount]]+表格1[[#This Row],[invoice amount2]]</f>
        <v>0</v>
      </c>
      <c r="AS107" s="224" t="s">
        <v>3789</v>
      </c>
      <c r="AT107" s="208" t="s">
        <v>4041</v>
      </c>
      <c r="AU107" s="208" t="e">
        <f ca="1">VLOOKUP(表格1[[#This Row],[PO+ITEM]],#REF!,2,FALSE)</f>
        <v>#REF!</v>
      </c>
      <c r="AV107" s="341" t="e">
        <f ca="1">VLOOKUP(表格1[[#This Row],[PO+ITEM]],#REF!,3,FALSE)</f>
        <v>#REF!</v>
      </c>
      <c r="AW107" s="208" t="e">
        <f ca="1">VLOOKUP(表格1[[#This Row],[PO+ITEM]],#REF!,4,FALSE)</f>
        <v>#REF!</v>
      </c>
      <c r="AX107" s="208" t="e" cm="1" vm="1">
        <f t="array" aca="1" ref="AX107" ca="1">VLOOKUP(AI:AI,#REF!,1,FALSE)</f>
        <v>#VALUE!</v>
      </c>
    </row>
    <row r="108" spans="1:50">
      <c r="A108" s="220">
        <v>107</v>
      </c>
      <c r="B108" s="220" t="s">
        <v>3659</v>
      </c>
      <c r="C108" s="209" t="s">
        <v>17</v>
      </c>
      <c r="D108" s="209" t="s">
        <v>3648</v>
      </c>
      <c r="E108" s="209"/>
      <c r="F108" s="209"/>
      <c r="G108" s="209"/>
      <c r="H108" s="210" t="s">
        <v>4042</v>
      </c>
      <c r="I108" s="218"/>
      <c r="J108" s="218"/>
      <c r="K108" s="218"/>
      <c r="L108" s="212" t="s">
        <v>3762</v>
      </c>
      <c r="M108" s="212" t="s">
        <v>2068</v>
      </c>
      <c r="N108" s="218"/>
      <c r="O108" s="212">
        <v>4590012593</v>
      </c>
      <c r="P108" s="212" t="s">
        <v>6697</v>
      </c>
      <c r="Q108" s="334">
        <v>1</v>
      </c>
      <c r="R108" s="216">
        <v>275000</v>
      </c>
      <c r="S108" s="217" t="s">
        <v>2156</v>
      </c>
      <c r="T108" s="209" t="s">
        <v>3713</v>
      </c>
      <c r="U108" s="209" t="s">
        <v>3714</v>
      </c>
      <c r="V108" s="210" t="s">
        <v>3715</v>
      </c>
      <c r="W108" s="218" t="s">
        <v>20</v>
      </c>
      <c r="X108" s="218" t="s">
        <v>3652</v>
      </c>
      <c r="Y108" s="212">
        <v>0</v>
      </c>
      <c r="Z108" s="209"/>
      <c r="AA108" s="218"/>
      <c r="AB108" s="218"/>
      <c r="AC108" s="217" t="e">
        <v>#N/A</v>
      </c>
      <c r="AD108" s="217">
        <v>91287</v>
      </c>
      <c r="AE108" s="217" t="s">
        <v>3764</v>
      </c>
      <c r="AF108" s="217" t="s">
        <v>3718</v>
      </c>
      <c r="AG108" s="217" t="s">
        <v>3719</v>
      </c>
      <c r="AH108" s="220">
        <f t="shared" si="3"/>
        <v>4590012593</v>
      </c>
      <c r="AI108" s="208"/>
      <c r="AJ108" s="220"/>
      <c r="AK108" s="221"/>
      <c r="AL108" s="227"/>
      <c r="AM108" s="208"/>
      <c r="AN108" s="220"/>
      <c r="AO108" s="222"/>
      <c r="AP108" s="227"/>
      <c r="AQ108" s="358">
        <f ca="1">IF(表格1[[#This Row],[PO$]]="","100%",表格1[[#This Row],[total amount]]/表格1[[#This Row],[PO$]])</f>
        <v>0</v>
      </c>
      <c r="AR108" s="223">
        <f ca="1">表格1[[#This Row],[invoice amount]]+表格1[[#This Row],[invoice amount2]]</f>
        <v>0</v>
      </c>
      <c r="AS108" s="224"/>
      <c r="AT108" s="208"/>
      <c r="AU108" s="208" t="e">
        <f ca="1">VLOOKUP(表格1[[#This Row],[PO+ITEM]],#REF!,2,FALSE)</f>
        <v>#REF!</v>
      </c>
      <c r="AV108" s="341" t="e">
        <f ca="1">VLOOKUP(表格1[[#This Row],[PO+ITEM]],#REF!,3,FALSE)</f>
        <v>#REF!</v>
      </c>
      <c r="AW108" s="208" t="e">
        <f ca="1">VLOOKUP(表格1[[#This Row],[PO+ITEM]],#REF!,4,FALSE)</f>
        <v>#REF!</v>
      </c>
      <c r="AX108" s="208" t="e" cm="1" vm="1">
        <f t="array" aca="1" ref="AX108" ca="1">VLOOKUP(AI:AI,#REF!,1,FALSE)</f>
        <v>#VALUE!</v>
      </c>
    </row>
    <row r="109" spans="1:50" ht="15.6">
      <c r="A109" s="220">
        <v>108</v>
      </c>
      <c r="B109" s="220" t="e">
        <v>#N/A</v>
      </c>
      <c r="C109" s="209" t="s">
        <v>17</v>
      </c>
      <c r="D109" s="209" t="s">
        <v>3648</v>
      </c>
      <c r="E109" s="209"/>
      <c r="F109" s="209"/>
      <c r="G109" s="209"/>
      <c r="H109" s="210" t="s">
        <v>4043</v>
      </c>
      <c r="I109" s="218"/>
      <c r="J109" s="218"/>
      <c r="K109" s="218"/>
      <c r="L109" s="212" t="s">
        <v>2888</v>
      </c>
      <c r="M109" s="212" t="s">
        <v>3668</v>
      </c>
      <c r="N109" s="218"/>
      <c r="O109" s="212">
        <v>4590012628</v>
      </c>
      <c r="P109" s="212" t="s">
        <v>6698</v>
      </c>
      <c r="Q109" s="334">
        <v>1</v>
      </c>
      <c r="R109" s="216">
        <v>49023</v>
      </c>
      <c r="S109" s="217" t="s">
        <v>2160</v>
      </c>
      <c r="T109" s="209" t="s">
        <v>3650</v>
      </c>
      <c r="U109" s="209" t="s">
        <v>3651</v>
      </c>
      <c r="V109" s="213" t="s">
        <v>3649</v>
      </c>
      <c r="W109" s="218" t="s">
        <v>3652</v>
      </c>
      <c r="X109" s="218" t="s">
        <v>3652</v>
      </c>
      <c r="Y109" s="212">
        <v>0</v>
      </c>
      <c r="Z109" s="209" t="s">
        <v>4044</v>
      </c>
      <c r="AA109" s="218"/>
      <c r="AB109" s="218"/>
      <c r="AC109" s="217" t="e">
        <v>#N/A</v>
      </c>
      <c r="AD109" s="217"/>
      <c r="AE109" s="217">
        <v>0</v>
      </c>
      <c r="AF109" s="217"/>
      <c r="AG109" s="217"/>
      <c r="AH109" s="220">
        <f t="shared" si="3"/>
        <v>4590012628</v>
      </c>
      <c r="AI109" s="208"/>
      <c r="AJ109" s="225">
        <v>45200</v>
      </c>
      <c r="AK109" s="221">
        <v>49023</v>
      </c>
      <c r="AL109" s="244">
        <v>45260</v>
      </c>
      <c r="AM109" s="208"/>
      <c r="AN109" s="220"/>
      <c r="AO109" s="222"/>
      <c r="AP109" s="227"/>
      <c r="AQ109" s="358">
        <f ca="1">IF(表格1[[#This Row],[PO$]]="","100%",表格1[[#This Row],[total amount]]/表格1[[#This Row],[PO$]])</f>
        <v>1</v>
      </c>
      <c r="AR109" s="223">
        <f ca="1">表格1[[#This Row],[invoice amount]]+表格1[[#This Row],[invoice amount2]]</f>
        <v>49023</v>
      </c>
      <c r="AS109" s="224" t="s">
        <v>3673</v>
      </c>
      <c r="AT109" s="208"/>
      <c r="AU109" s="208" t="e">
        <f ca="1">VLOOKUP(表格1[[#This Row],[PO+ITEM]],#REF!,2,FALSE)</f>
        <v>#REF!</v>
      </c>
      <c r="AV109" s="341" t="e">
        <f ca="1">VLOOKUP(表格1[[#This Row],[PO+ITEM]],#REF!,3,FALSE)</f>
        <v>#REF!</v>
      </c>
      <c r="AW109" s="208" t="e">
        <f ca="1">VLOOKUP(表格1[[#This Row],[PO+ITEM]],#REF!,4,FALSE)</f>
        <v>#REF!</v>
      </c>
      <c r="AX109" s="208" t="e" cm="1" vm="1">
        <f t="array" aca="1" ref="AX109" ca="1">VLOOKUP(AI:AI,#REF!,1,FALSE)</f>
        <v>#VALUE!</v>
      </c>
    </row>
    <row r="110" spans="1:50">
      <c r="A110" s="220">
        <v>109</v>
      </c>
      <c r="B110" s="220" t="e">
        <v>#N/A</v>
      </c>
      <c r="C110" s="209" t="s">
        <v>17</v>
      </c>
      <c r="D110" s="209" t="s">
        <v>3648</v>
      </c>
      <c r="E110" s="209"/>
      <c r="F110" s="209"/>
      <c r="G110" s="209"/>
      <c r="H110" s="210" t="s">
        <v>4045</v>
      </c>
      <c r="I110" s="218"/>
      <c r="J110" s="218"/>
      <c r="K110" s="218"/>
      <c r="L110" s="212" t="s">
        <v>4046</v>
      </c>
      <c r="M110" s="212" t="s">
        <v>2882</v>
      </c>
      <c r="N110" s="218"/>
      <c r="O110" s="212">
        <v>4590012682</v>
      </c>
      <c r="P110" s="212" t="s">
        <v>6699</v>
      </c>
      <c r="Q110" s="334">
        <v>1</v>
      </c>
      <c r="R110" s="216">
        <v>15852.23</v>
      </c>
      <c r="S110" s="217" t="s">
        <v>2156</v>
      </c>
      <c r="T110" s="209"/>
      <c r="U110" s="209"/>
      <c r="V110" s="210"/>
      <c r="W110" s="218" t="s">
        <v>3652</v>
      </c>
      <c r="X110" s="218" t="s">
        <v>3652</v>
      </c>
      <c r="Y110" s="259" t="s">
        <v>4048</v>
      </c>
      <c r="Z110" s="209" t="s">
        <v>4049</v>
      </c>
      <c r="AA110" s="218"/>
      <c r="AB110" s="218"/>
      <c r="AC110" s="217" t="e">
        <v>#N/A</v>
      </c>
      <c r="AD110" s="217"/>
      <c r="AE110" s="217">
        <v>0</v>
      </c>
      <c r="AF110" s="217"/>
      <c r="AG110" s="217"/>
      <c r="AH110" s="220">
        <f t="shared" si="3"/>
        <v>4590012682</v>
      </c>
      <c r="AI110" s="208"/>
      <c r="AJ110" s="220"/>
      <c r="AK110" s="221"/>
      <c r="AL110" s="227"/>
      <c r="AM110" s="208"/>
      <c r="AN110" s="220"/>
      <c r="AO110" s="222"/>
      <c r="AP110" s="227"/>
      <c r="AQ110" s="358">
        <f ca="1">IF(表格1[[#This Row],[PO$]]="","100%",表格1[[#This Row],[total amount]]/表格1[[#This Row],[PO$]])</f>
        <v>0</v>
      </c>
      <c r="AR110" s="223">
        <f ca="1">表格1[[#This Row],[invoice amount]]+表格1[[#This Row],[invoice amount2]]</f>
        <v>0</v>
      </c>
      <c r="AS110" s="224"/>
      <c r="AT110" s="208"/>
      <c r="AU110" s="208" t="e">
        <f ca="1">VLOOKUP(表格1[[#This Row],[PO+ITEM]],#REF!,2,FALSE)</f>
        <v>#REF!</v>
      </c>
      <c r="AV110" s="341" t="e">
        <f ca="1">VLOOKUP(表格1[[#This Row],[PO+ITEM]],#REF!,3,FALSE)</f>
        <v>#REF!</v>
      </c>
      <c r="AW110" s="208" t="e">
        <f ca="1">VLOOKUP(表格1[[#This Row],[PO+ITEM]],#REF!,4,FALSE)</f>
        <v>#REF!</v>
      </c>
      <c r="AX110" s="208" t="e" cm="1" vm="1">
        <f t="array" aca="1" ref="AX110" ca="1">VLOOKUP(AI:AI,#REF!,1,FALSE)</f>
        <v>#VALUE!</v>
      </c>
    </row>
    <row r="111" spans="1:50" ht="15.6">
      <c r="A111" s="220">
        <v>110</v>
      </c>
      <c r="B111" s="220" t="e">
        <v>#N/A</v>
      </c>
      <c r="C111" s="209" t="s">
        <v>19</v>
      </c>
      <c r="D111" s="209" t="s">
        <v>3648</v>
      </c>
      <c r="E111" s="209"/>
      <c r="F111" s="209"/>
      <c r="G111" s="209"/>
      <c r="H111" s="210" t="s">
        <v>4050</v>
      </c>
      <c r="I111" s="218"/>
      <c r="J111" s="218"/>
      <c r="K111" s="218"/>
      <c r="L111" s="212" t="s">
        <v>2888</v>
      </c>
      <c r="M111" s="212" t="s">
        <v>3668</v>
      </c>
      <c r="N111" s="218"/>
      <c r="O111" s="212">
        <v>4590012853</v>
      </c>
      <c r="P111" s="212" t="s">
        <v>6700</v>
      </c>
      <c r="Q111" s="334">
        <v>1</v>
      </c>
      <c r="R111" s="216">
        <v>193326.8</v>
      </c>
      <c r="S111" s="217"/>
      <c r="T111" s="209" t="s">
        <v>3669</v>
      </c>
      <c r="U111" s="209" t="s">
        <v>3670</v>
      </c>
      <c r="V111" s="213" t="s">
        <v>3667</v>
      </c>
      <c r="W111" s="218"/>
      <c r="X111" s="218" t="s">
        <v>3652</v>
      </c>
      <c r="Y111" s="212" t="s">
        <v>4051</v>
      </c>
      <c r="Z111" s="209" t="s">
        <v>4052</v>
      </c>
      <c r="AA111" s="218"/>
      <c r="AB111" s="218"/>
      <c r="AC111" s="217" t="e">
        <v>#N/A</v>
      </c>
      <c r="AD111" s="217"/>
      <c r="AE111" s="217">
        <v>0</v>
      </c>
      <c r="AF111" s="217"/>
      <c r="AG111" s="217"/>
      <c r="AH111" s="220">
        <f t="shared" si="3"/>
        <v>4590012853</v>
      </c>
      <c r="AI111" s="208"/>
      <c r="AJ111" s="225">
        <v>45231</v>
      </c>
      <c r="AK111" s="221">
        <v>183660.46</v>
      </c>
      <c r="AL111" s="244">
        <v>45337</v>
      </c>
      <c r="AM111" s="208"/>
      <c r="AN111" s="220"/>
      <c r="AO111" s="222"/>
      <c r="AP111" s="227"/>
      <c r="AQ111" s="358">
        <f ca="1">IF(表格1[[#This Row],[PO$]]="","100%",表格1[[#This Row],[total amount]]/表格1[[#This Row],[PO$]])</f>
        <v>0.95000000000000007</v>
      </c>
      <c r="AR111" s="223">
        <f ca="1">表格1[[#This Row],[invoice amount]]+表格1[[#This Row],[invoice amount2]]</f>
        <v>183660.46</v>
      </c>
      <c r="AS111" s="224" t="s">
        <v>3673</v>
      </c>
      <c r="AT111" s="208"/>
      <c r="AU111" s="208" t="e">
        <f ca="1">VLOOKUP(表格1[[#This Row],[PO+ITEM]],#REF!,2,FALSE)</f>
        <v>#REF!</v>
      </c>
      <c r="AV111" s="341" t="e">
        <f ca="1">VLOOKUP(表格1[[#This Row],[PO+ITEM]],#REF!,3,FALSE)</f>
        <v>#REF!</v>
      </c>
      <c r="AW111" s="208" t="e">
        <f ca="1">VLOOKUP(表格1[[#This Row],[PO+ITEM]],#REF!,4,FALSE)</f>
        <v>#REF!</v>
      </c>
      <c r="AX111" s="208" t="e" cm="1" vm="1">
        <f t="array" aca="1" ref="AX111" ca="1">VLOOKUP(AI:AI,#REF!,1,FALSE)</f>
        <v>#VALUE!</v>
      </c>
    </row>
    <row r="112" spans="1:50" ht="15.6">
      <c r="A112" s="220">
        <v>111</v>
      </c>
      <c r="B112" s="220" t="e">
        <v>#N/A</v>
      </c>
      <c r="C112" s="209" t="s">
        <v>10</v>
      </c>
      <c r="D112" s="209" t="s">
        <v>3648</v>
      </c>
      <c r="E112" s="209"/>
      <c r="F112" s="209"/>
      <c r="G112" s="209"/>
      <c r="H112" s="210" t="s">
        <v>4054</v>
      </c>
      <c r="I112" s="218"/>
      <c r="J112" s="218"/>
      <c r="K112" s="218"/>
      <c r="L112" s="212" t="s">
        <v>2888</v>
      </c>
      <c r="M112" s="212" t="s">
        <v>3668</v>
      </c>
      <c r="N112" s="218"/>
      <c r="O112" s="212">
        <v>4590012955</v>
      </c>
      <c r="P112" s="212" t="s">
        <v>6701</v>
      </c>
      <c r="Q112" s="334">
        <v>1</v>
      </c>
      <c r="R112" s="216">
        <v>55238</v>
      </c>
      <c r="S112" s="217" t="s">
        <v>2156</v>
      </c>
      <c r="T112" s="209" t="s">
        <v>4055</v>
      </c>
      <c r="U112" s="209" t="s">
        <v>3651</v>
      </c>
      <c r="V112" s="210"/>
      <c r="W112" s="218" t="s">
        <v>3652</v>
      </c>
      <c r="X112" s="218" t="s">
        <v>3652</v>
      </c>
      <c r="Y112" s="212" t="s">
        <v>4056</v>
      </c>
      <c r="Z112" s="209" t="s">
        <v>4057</v>
      </c>
      <c r="AA112" s="218"/>
      <c r="AB112" s="218"/>
      <c r="AC112" s="217" t="e">
        <v>#N/A</v>
      </c>
      <c r="AD112" s="217"/>
      <c r="AE112" s="217">
        <v>0</v>
      </c>
      <c r="AF112" s="217"/>
      <c r="AG112" s="217"/>
      <c r="AH112" s="220">
        <f t="shared" si="3"/>
        <v>4590012955</v>
      </c>
      <c r="AI112" s="208"/>
      <c r="AJ112" s="225">
        <v>45200</v>
      </c>
      <c r="AK112" s="221">
        <v>55238</v>
      </c>
      <c r="AL112" s="244">
        <v>45260</v>
      </c>
      <c r="AM112" s="208"/>
      <c r="AN112" s="220"/>
      <c r="AO112" s="222"/>
      <c r="AP112" s="227"/>
      <c r="AQ112" s="358">
        <f ca="1">IF(表格1[[#This Row],[PO$]]="","100%",表格1[[#This Row],[total amount]]/表格1[[#This Row],[PO$]])</f>
        <v>1</v>
      </c>
      <c r="AR112" s="223">
        <f ca="1">表格1[[#This Row],[invoice amount]]+表格1[[#This Row],[invoice amount2]]</f>
        <v>55238</v>
      </c>
      <c r="AS112" s="224" t="s">
        <v>3673</v>
      </c>
      <c r="AT112" s="208"/>
      <c r="AU112" s="208" t="e">
        <f ca="1">VLOOKUP(表格1[[#This Row],[PO+ITEM]],#REF!,2,FALSE)</f>
        <v>#REF!</v>
      </c>
      <c r="AV112" s="341" t="e">
        <f ca="1">VLOOKUP(表格1[[#This Row],[PO+ITEM]],#REF!,3,FALSE)</f>
        <v>#REF!</v>
      </c>
      <c r="AW112" s="208" t="e">
        <f ca="1">VLOOKUP(表格1[[#This Row],[PO+ITEM]],#REF!,4,FALSE)</f>
        <v>#REF!</v>
      </c>
      <c r="AX112" s="208" t="e" cm="1" vm="1">
        <f t="array" aca="1" ref="AX112" ca="1">VLOOKUP(AI:AI,#REF!,1,FALSE)</f>
        <v>#VALUE!</v>
      </c>
    </row>
    <row r="113" spans="1:50">
      <c r="A113" s="220">
        <v>112</v>
      </c>
      <c r="B113" s="220" t="e">
        <v>#N/A</v>
      </c>
      <c r="C113" s="209" t="s">
        <v>17</v>
      </c>
      <c r="D113" s="209" t="s">
        <v>3648</v>
      </c>
      <c r="E113" s="209"/>
      <c r="F113" s="209"/>
      <c r="G113" s="209"/>
      <c r="H113" s="210" t="s">
        <v>4059</v>
      </c>
      <c r="I113" s="218"/>
      <c r="J113" s="218"/>
      <c r="K113" s="218"/>
      <c r="L113" s="212" t="s">
        <v>2888</v>
      </c>
      <c r="M113" s="212" t="s">
        <v>3668</v>
      </c>
      <c r="N113" s="218"/>
      <c r="O113" s="212">
        <v>4590013024</v>
      </c>
      <c r="P113" s="212" t="s">
        <v>6702</v>
      </c>
      <c r="Q113" s="334">
        <v>1</v>
      </c>
      <c r="R113" s="216">
        <v>7575.15</v>
      </c>
      <c r="S113" s="217" t="s">
        <v>2156</v>
      </c>
      <c r="T113" s="209" t="s">
        <v>4060</v>
      </c>
      <c r="U113" s="209" t="s">
        <v>3670</v>
      </c>
      <c r="V113" s="210"/>
      <c r="W113" s="218" t="s">
        <v>3652</v>
      </c>
      <c r="X113" s="218" t="s">
        <v>3652</v>
      </c>
      <c r="Y113" s="212">
        <v>0</v>
      </c>
      <c r="Z113" s="209" t="s">
        <v>4061</v>
      </c>
      <c r="AA113" s="218"/>
      <c r="AB113" s="218"/>
      <c r="AC113" s="217" t="e">
        <v>#N/A</v>
      </c>
      <c r="AD113" s="217"/>
      <c r="AE113" s="217">
        <v>0</v>
      </c>
      <c r="AF113" s="217"/>
      <c r="AG113" s="217"/>
      <c r="AH113" s="220">
        <f t="shared" si="3"/>
        <v>4590013024</v>
      </c>
      <c r="AI113" s="208"/>
      <c r="AJ113" s="220"/>
      <c r="AK113" s="221"/>
      <c r="AL113" s="227"/>
      <c r="AM113" s="208"/>
      <c r="AN113" s="220"/>
      <c r="AO113" s="222"/>
      <c r="AP113" s="227"/>
      <c r="AQ113" s="358">
        <f ca="1">IF(表格1[[#This Row],[PO$]]="","100%",表格1[[#This Row],[total amount]]/表格1[[#This Row],[PO$]])</f>
        <v>0</v>
      </c>
      <c r="AR113" s="223">
        <f ca="1">表格1[[#This Row],[invoice amount]]+表格1[[#This Row],[invoice amount2]]</f>
        <v>0</v>
      </c>
      <c r="AS113" s="224"/>
      <c r="AT113" s="208"/>
      <c r="AU113" s="208" t="e">
        <f ca="1">VLOOKUP(表格1[[#This Row],[PO+ITEM]],#REF!,2,FALSE)</f>
        <v>#REF!</v>
      </c>
      <c r="AV113" s="341" t="e">
        <f ca="1">VLOOKUP(表格1[[#This Row],[PO+ITEM]],#REF!,3,FALSE)</f>
        <v>#REF!</v>
      </c>
      <c r="AW113" s="208" t="e">
        <f ca="1">VLOOKUP(表格1[[#This Row],[PO+ITEM]],#REF!,4,FALSE)</f>
        <v>#REF!</v>
      </c>
      <c r="AX113" s="208" t="e" cm="1" vm="1">
        <f t="array" aca="1" ref="AX113" ca="1">VLOOKUP(AI:AI,#REF!,1,FALSE)</f>
        <v>#VALUE!</v>
      </c>
    </row>
    <row r="114" spans="1:50" ht="15.6">
      <c r="A114" s="220">
        <v>113</v>
      </c>
      <c r="B114" s="220" t="e">
        <v>#N/A</v>
      </c>
      <c r="C114" s="209" t="s">
        <v>10</v>
      </c>
      <c r="D114" s="209" t="s">
        <v>3648</v>
      </c>
      <c r="E114" s="209"/>
      <c r="F114" s="209"/>
      <c r="G114" s="209"/>
      <c r="H114" s="210" t="s">
        <v>4062</v>
      </c>
      <c r="I114" s="218"/>
      <c r="J114" s="218"/>
      <c r="K114" s="218"/>
      <c r="L114" s="212" t="s">
        <v>2888</v>
      </c>
      <c r="M114" s="212" t="s">
        <v>3668</v>
      </c>
      <c r="N114" s="218"/>
      <c r="O114" s="212">
        <v>4590013195</v>
      </c>
      <c r="P114" s="212" t="s">
        <v>6703</v>
      </c>
      <c r="Q114" s="334">
        <v>1</v>
      </c>
      <c r="R114" s="216">
        <v>12107</v>
      </c>
      <c r="S114" s="217" t="s">
        <v>2156</v>
      </c>
      <c r="T114" s="209" t="s">
        <v>4063</v>
      </c>
      <c r="U114" s="209" t="s">
        <v>3651</v>
      </c>
      <c r="V114" s="210"/>
      <c r="W114" s="218" t="s">
        <v>3652</v>
      </c>
      <c r="X114" s="218" t="s">
        <v>3652</v>
      </c>
      <c r="Y114" s="212">
        <v>0</v>
      </c>
      <c r="Z114" s="209" t="s">
        <v>4064</v>
      </c>
      <c r="AA114" s="218"/>
      <c r="AB114" s="218"/>
      <c r="AC114" s="217" t="e">
        <v>#N/A</v>
      </c>
      <c r="AD114" s="217"/>
      <c r="AE114" s="217">
        <v>0</v>
      </c>
      <c r="AF114" s="217"/>
      <c r="AG114" s="217"/>
      <c r="AH114" s="220">
        <f t="shared" si="3"/>
        <v>4590013195</v>
      </c>
      <c r="AI114" s="208" t="s">
        <v>4065</v>
      </c>
      <c r="AJ114" s="227">
        <v>45345</v>
      </c>
      <c r="AK114" s="221">
        <v>12107</v>
      </c>
      <c r="AL114" s="244">
        <v>45366</v>
      </c>
      <c r="AM114" s="208"/>
      <c r="AN114" s="220"/>
      <c r="AO114" s="222"/>
      <c r="AP114" s="227"/>
      <c r="AQ114" s="358">
        <f ca="1">IF(表格1[[#This Row],[PO$]]="","100%",表格1[[#This Row],[total amount]]/表格1[[#This Row],[PO$]])</f>
        <v>1</v>
      </c>
      <c r="AR114" s="223">
        <f ca="1">表格1[[#This Row],[invoice amount]]+表格1[[#This Row],[invoice amount2]]</f>
        <v>12107</v>
      </c>
      <c r="AS114" s="224" t="s">
        <v>3673</v>
      </c>
      <c r="AT114" s="208"/>
      <c r="AU114" s="208" t="e">
        <f ca="1">VLOOKUP(表格1[[#This Row],[PO+ITEM]],#REF!,2,FALSE)</f>
        <v>#REF!</v>
      </c>
      <c r="AV114" s="341" t="e">
        <f ca="1">VLOOKUP(表格1[[#This Row],[PO+ITEM]],#REF!,3,FALSE)</f>
        <v>#REF!</v>
      </c>
      <c r="AW114" s="208" t="e">
        <f ca="1">VLOOKUP(表格1[[#This Row],[PO+ITEM]],#REF!,4,FALSE)</f>
        <v>#REF!</v>
      </c>
      <c r="AX114" s="208" t="e" cm="1" vm="1">
        <f t="array" aca="1" ref="AX114" ca="1">VLOOKUP(AI:AI,#REF!,1,FALSE)</f>
        <v>#VALUE!</v>
      </c>
    </row>
    <row r="115" spans="1:50">
      <c r="A115" s="220">
        <v>114</v>
      </c>
      <c r="B115" s="220" t="e">
        <v>#N/A</v>
      </c>
      <c r="C115" s="209" t="s">
        <v>17</v>
      </c>
      <c r="D115" s="209" t="s">
        <v>3648</v>
      </c>
      <c r="E115" s="209" t="s">
        <v>2196</v>
      </c>
      <c r="F115" s="209"/>
      <c r="G115" s="209"/>
      <c r="H115" s="210" t="s">
        <v>4066</v>
      </c>
      <c r="I115" s="218"/>
      <c r="J115" s="218"/>
      <c r="K115" s="218"/>
      <c r="L115" s="212" t="s">
        <v>3762</v>
      </c>
      <c r="M115" s="212"/>
      <c r="N115" s="218"/>
      <c r="O115" s="212">
        <v>4590013196</v>
      </c>
      <c r="P115" s="212" t="s">
        <v>6703</v>
      </c>
      <c r="Q115" s="334">
        <v>1</v>
      </c>
      <c r="R115" s="216">
        <v>49376</v>
      </c>
      <c r="S115" s="217" t="s">
        <v>2156</v>
      </c>
      <c r="T115" s="209"/>
      <c r="U115" s="209" t="s">
        <v>4068</v>
      </c>
      <c r="V115" s="210"/>
      <c r="W115" s="218" t="s">
        <v>3652</v>
      </c>
      <c r="X115" s="218" t="s">
        <v>3652</v>
      </c>
      <c r="Y115" s="259" t="e">
        <v>#N/A</v>
      </c>
      <c r="Z115" s="209" t="s">
        <v>4069</v>
      </c>
      <c r="AA115" s="218" t="s">
        <v>4070</v>
      </c>
      <c r="AB115" s="218"/>
      <c r="AC115" s="217" t="e">
        <v>#N/A</v>
      </c>
      <c r="AD115" s="217"/>
      <c r="AE115" s="217">
        <v>0</v>
      </c>
      <c r="AF115" s="217"/>
      <c r="AG115" s="217"/>
      <c r="AH115" s="220">
        <f t="shared" si="3"/>
        <v>4590013196</v>
      </c>
      <c r="AI115" s="208"/>
      <c r="AJ115" s="220"/>
      <c r="AK115" s="221"/>
      <c r="AL115" s="227"/>
      <c r="AM115" s="208"/>
      <c r="AN115" s="220"/>
      <c r="AO115" s="222"/>
      <c r="AP115" s="227"/>
      <c r="AQ115" s="358">
        <f ca="1">IF(表格1[[#This Row],[PO$]]="","100%",表格1[[#This Row],[total amount]]/表格1[[#This Row],[PO$]])</f>
        <v>0</v>
      </c>
      <c r="AR115" s="223">
        <f ca="1">表格1[[#This Row],[invoice amount]]+表格1[[#This Row],[invoice amount2]]</f>
        <v>0</v>
      </c>
      <c r="AS115" s="224"/>
      <c r="AT115" s="208"/>
      <c r="AU115" s="208" t="e">
        <f ca="1">VLOOKUP(表格1[[#This Row],[PO+ITEM]],#REF!,2,FALSE)</f>
        <v>#REF!</v>
      </c>
      <c r="AV115" s="341" t="e">
        <f ca="1">VLOOKUP(表格1[[#This Row],[PO+ITEM]],#REF!,3,FALSE)</f>
        <v>#REF!</v>
      </c>
      <c r="AW115" s="208" t="e">
        <f ca="1">VLOOKUP(表格1[[#This Row],[PO+ITEM]],#REF!,4,FALSE)</f>
        <v>#REF!</v>
      </c>
      <c r="AX115" s="208" t="e" cm="1" vm="1">
        <f t="array" aca="1" ref="AX115" ca="1">VLOOKUP(AI:AI,#REF!,1,FALSE)</f>
        <v>#VALUE!</v>
      </c>
    </row>
    <row r="116" spans="1:50">
      <c r="A116" s="220">
        <v>115</v>
      </c>
      <c r="B116" s="220" t="e">
        <v>#N/A</v>
      </c>
      <c r="C116" s="209" t="s">
        <v>17</v>
      </c>
      <c r="D116" s="209" t="s">
        <v>3648</v>
      </c>
      <c r="E116" s="209" t="s">
        <v>2196</v>
      </c>
      <c r="F116" s="209"/>
      <c r="G116" s="209"/>
      <c r="H116" s="210" t="s">
        <v>4071</v>
      </c>
      <c r="I116" s="218"/>
      <c r="J116" s="218"/>
      <c r="K116" s="218"/>
      <c r="L116" s="212" t="s">
        <v>4072</v>
      </c>
      <c r="M116" s="212"/>
      <c r="N116" s="218"/>
      <c r="O116" s="212">
        <v>4590013438</v>
      </c>
      <c r="P116" s="212" t="s">
        <v>6704</v>
      </c>
      <c r="Q116" s="334">
        <v>1</v>
      </c>
      <c r="R116" s="216">
        <v>8784.0300000000007</v>
      </c>
      <c r="S116" s="217" t="s">
        <v>2160</v>
      </c>
      <c r="T116" s="209" t="s">
        <v>3713</v>
      </c>
      <c r="U116" s="209" t="s">
        <v>3714</v>
      </c>
      <c r="V116" s="210" t="s">
        <v>3715</v>
      </c>
      <c r="W116" s="218" t="s">
        <v>3652</v>
      </c>
      <c r="X116" s="218" t="s">
        <v>3652</v>
      </c>
      <c r="Y116" s="212" t="e">
        <v>#N/A</v>
      </c>
      <c r="Z116" s="209" t="s">
        <v>4073</v>
      </c>
      <c r="AA116" s="218" t="s">
        <v>4074</v>
      </c>
      <c r="AB116" s="218"/>
      <c r="AC116" s="217" t="e">
        <v>#N/A</v>
      </c>
      <c r="AD116" s="217"/>
      <c r="AE116" s="217">
        <v>0</v>
      </c>
      <c r="AF116" s="217"/>
      <c r="AG116" s="217"/>
      <c r="AH116" s="220">
        <f t="shared" si="3"/>
        <v>4590013438</v>
      </c>
      <c r="AI116" s="208" t="s">
        <v>4075</v>
      </c>
      <c r="AJ116" s="363">
        <v>45498</v>
      </c>
      <c r="AK116" s="221">
        <v>8784.0300000000007</v>
      </c>
      <c r="AL116" s="227"/>
      <c r="AM116" s="208"/>
      <c r="AN116" s="220"/>
      <c r="AO116" s="222"/>
      <c r="AP116" s="227"/>
      <c r="AQ116" s="358">
        <f ca="1">IF(表格1[[#This Row],[PO$]]="","100%",表格1[[#This Row],[total amount]]/表格1[[#This Row],[PO$]])</f>
        <v>1</v>
      </c>
      <c r="AR116" s="223">
        <f ca="1">表格1[[#This Row],[invoice amount]]+表格1[[#This Row],[invoice amount2]]</f>
        <v>8784.0300000000007</v>
      </c>
      <c r="AS116" s="224" t="s">
        <v>3752</v>
      </c>
      <c r="AT116" s="208"/>
      <c r="AU116" s="208" t="e">
        <f ca="1">VLOOKUP(表格1[[#This Row],[PO+ITEM]],#REF!,2,FALSE)</f>
        <v>#REF!</v>
      </c>
      <c r="AV116" s="341" t="e">
        <f ca="1">VLOOKUP(表格1[[#This Row],[PO+ITEM]],#REF!,3,FALSE)</f>
        <v>#REF!</v>
      </c>
      <c r="AW116" s="208" t="e">
        <f ca="1">VLOOKUP(表格1[[#This Row],[PO+ITEM]],#REF!,4,FALSE)</f>
        <v>#REF!</v>
      </c>
      <c r="AX116" s="208" t="e" cm="1" vm="1">
        <f t="array" aca="1" ref="AX116" ca="1">VLOOKUP(AI:AI,#REF!,1,FALSE)</f>
        <v>#VALUE!</v>
      </c>
    </row>
    <row r="117" spans="1:50">
      <c r="A117" s="220">
        <v>116</v>
      </c>
      <c r="B117" s="220" t="e">
        <v>#N/A</v>
      </c>
      <c r="C117" s="209" t="s">
        <v>17</v>
      </c>
      <c r="D117" s="209" t="s">
        <v>3648</v>
      </c>
      <c r="E117" s="209" t="s">
        <v>2196</v>
      </c>
      <c r="F117" s="209"/>
      <c r="G117" s="209"/>
      <c r="H117" s="210" t="s">
        <v>4076</v>
      </c>
      <c r="I117" s="218"/>
      <c r="J117" s="218"/>
      <c r="K117" s="218"/>
      <c r="L117" s="212" t="s">
        <v>2888</v>
      </c>
      <c r="M117" s="212"/>
      <c r="N117" s="218"/>
      <c r="O117" s="212">
        <v>4590013731</v>
      </c>
      <c r="P117" s="212" t="s">
        <v>2582</v>
      </c>
      <c r="Q117" s="334">
        <v>1</v>
      </c>
      <c r="R117" s="216">
        <v>7950.88</v>
      </c>
      <c r="S117" s="217" t="s">
        <v>2156</v>
      </c>
      <c r="T117" s="209" t="s">
        <v>3669</v>
      </c>
      <c r="U117" s="209" t="s">
        <v>3670</v>
      </c>
      <c r="V117" s="213" t="s">
        <v>3667</v>
      </c>
      <c r="W117" s="218" t="s">
        <v>3652</v>
      </c>
      <c r="X117" s="218" t="s">
        <v>3652</v>
      </c>
      <c r="Y117" s="212">
        <v>0</v>
      </c>
      <c r="Z117" s="209" t="s">
        <v>4077</v>
      </c>
      <c r="AA117" s="218"/>
      <c r="AB117" s="218"/>
      <c r="AC117" s="217" t="e">
        <v>#N/A</v>
      </c>
      <c r="AD117" s="217"/>
      <c r="AE117" s="217" t="s">
        <v>6705</v>
      </c>
      <c r="AF117" s="217"/>
      <c r="AG117" s="217"/>
      <c r="AH117" s="220">
        <f t="shared" si="3"/>
        <v>4590013731</v>
      </c>
      <c r="AI117" s="208"/>
      <c r="AJ117" s="220"/>
      <c r="AK117" s="221"/>
      <c r="AL117" s="227"/>
      <c r="AM117" s="208"/>
      <c r="AN117" s="220"/>
      <c r="AO117" s="222"/>
      <c r="AP117" s="227"/>
      <c r="AQ117" s="358">
        <f ca="1">IF(表格1[[#This Row],[PO$]]="","100%",表格1[[#This Row],[total amount]]/表格1[[#This Row],[PO$]])</f>
        <v>0</v>
      </c>
      <c r="AR117" s="223">
        <f ca="1">表格1[[#This Row],[invoice amount]]+表格1[[#This Row],[invoice amount2]]</f>
        <v>0</v>
      </c>
      <c r="AS117" s="224"/>
      <c r="AT117" s="208"/>
      <c r="AU117" s="208" t="e">
        <f ca="1">VLOOKUP(表格1[[#This Row],[PO+ITEM]],#REF!,2,FALSE)</f>
        <v>#REF!</v>
      </c>
      <c r="AV117" s="341" t="e">
        <f ca="1">VLOOKUP(表格1[[#This Row],[PO+ITEM]],#REF!,3,FALSE)</f>
        <v>#REF!</v>
      </c>
      <c r="AW117" s="208" t="e">
        <f ca="1">VLOOKUP(表格1[[#This Row],[PO+ITEM]],#REF!,4,FALSE)</f>
        <v>#REF!</v>
      </c>
      <c r="AX117" s="208" t="e" cm="1" vm="1">
        <f t="array" aca="1" ref="AX117" ca="1">VLOOKUP(AI:AI,#REF!,1,FALSE)</f>
        <v>#VALUE!</v>
      </c>
    </row>
    <row r="118" spans="1:50" ht="15.6">
      <c r="A118" s="220">
        <v>117</v>
      </c>
      <c r="B118" s="220" t="s">
        <v>3674</v>
      </c>
      <c r="C118" s="209" t="s">
        <v>17</v>
      </c>
      <c r="D118" s="209" t="s">
        <v>3648</v>
      </c>
      <c r="E118" s="209" t="s">
        <v>2196</v>
      </c>
      <c r="F118" s="209"/>
      <c r="G118" s="209"/>
      <c r="H118" s="210" t="s">
        <v>4080</v>
      </c>
      <c r="I118" s="218"/>
      <c r="J118" s="218"/>
      <c r="K118" s="218"/>
      <c r="L118" s="212" t="s">
        <v>2206</v>
      </c>
      <c r="M118" s="212"/>
      <c r="N118" s="218"/>
      <c r="O118" s="212">
        <v>4590013908</v>
      </c>
      <c r="P118" s="212" t="s">
        <v>2614</v>
      </c>
      <c r="Q118" s="334">
        <v>1</v>
      </c>
      <c r="R118" s="216">
        <v>22954.42</v>
      </c>
      <c r="S118" s="217" t="s">
        <v>2156</v>
      </c>
      <c r="T118" s="209" t="s">
        <v>4030</v>
      </c>
      <c r="U118" s="209" t="s">
        <v>4031</v>
      </c>
      <c r="V118" s="210" t="s">
        <v>4038</v>
      </c>
      <c r="W118" s="218" t="s">
        <v>3652</v>
      </c>
      <c r="X118" s="218" t="s">
        <v>3652</v>
      </c>
      <c r="Y118" s="212" t="s">
        <v>4081</v>
      </c>
      <c r="Z118" s="209" t="s">
        <v>4082</v>
      </c>
      <c r="AA118" s="218"/>
      <c r="AB118" s="218" t="s">
        <v>4083</v>
      </c>
      <c r="AC118" s="218" t="e">
        <v>#N/A</v>
      </c>
      <c r="AD118" s="217">
        <v>90393</v>
      </c>
      <c r="AE118" s="217" t="s">
        <v>2568</v>
      </c>
      <c r="AF118" s="217" t="s">
        <v>3711</v>
      </c>
      <c r="AG118" s="217" t="s">
        <v>846</v>
      </c>
      <c r="AH118" s="220">
        <f t="shared" si="3"/>
        <v>4590013908</v>
      </c>
      <c r="AI118" s="208" t="s">
        <v>4084</v>
      </c>
      <c r="AJ118" s="227">
        <v>45412</v>
      </c>
      <c r="AK118" s="221">
        <v>22954.42</v>
      </c>
      <c r="AL118" s="314" t="s">
        <v>6691</v>
      </c>
      <c r="AM118" s="208"/>
      <c r="AN118" s="220"/>
      <c r="AO118" s="222"/>
      <c r="AP118" s="227"/>
      <c r="AQ118" s="358">
        <f ca="1">IF(表格1[[#This Row],[PO$]]="","100%",表格1[[#This Row],[total amount]]/表格1[[#This Row],[PO$]])</f>
        <v>1</v>
      </c>
      <c r="AR118" s="223">
        <f ca="1">表格1[[#This Row],[invoice amount]]+表格1[[#This Row],[invoice amount2]]</f>
        <v>22954.42</v>
      </c>
      <c r="AS118" s="224" t="s">
        <v>3806</v>
      </c>
      <c r="AT118" s="208"/>
      <c r="AU118" s="208" t="e">
        <f ca="1">VLOOKUP(表格1[[#This Row],[PO+ITEM]],#REF!,2,FALSE)</f>
        <v>#REF!</v>
      </c>
      <c r="AV118" s="341" t="e">
        <f ca="1">VLOOKUP(表格1[[#This Row],[PO+ITEM]],#REF!,3,FALSE)</f>
        <v>#REF!</v>
      </c>
      <c r="AW118" s="208" t="e">
        <f ca="1">VLOOKUP(表格1[[#This Row],[PO+ITEM]],#REF!,4,FALSE)</f>
        <v>#REF!</v>
      </c>
      <c r="AX118" s="208" t="e" cm="1" vm="1">
        <f t="array" aca="1" ref="AX118" ca="1">VLOOKUP(AI:AI,#REF!,1,FALSE)</f>
        <v>#VALUE!</v>
      </c>
    </row>
    <row r="119" spans="1:50" ht="15.6">
      <c r="A119" s="220">
        <v>118</v>
      </c>
      <c r="B119" s="220" t="s">
        <v>3674</v>
      </c>
      <c r="C119" s="209" t="s">
        <v>17</v>
      </c>
      <c r="D119" s="209" t="s">
        <v>3648</v>
      </c>
      <c r="E119" s="209" t="s">
        <v>2196</v>
      </c>
      <c r="F119" s="209"/>
      <c r="G119" s="209"/>
      <c r="H119" s="210" t="s">
        <v>4087</v>
      </c>
      <c r="I119" s="218"/>
      <c r="J119" s="218"/>
      <c r="K119" s="218"/>
      <c r="L119" s="212" t="s">
        <v>4088</v>
      </c>
      <c r="M119" s="212"/>
      <c r="N119" s="218"/>
      <c r="O119" s="212">
        <v>4590013926</v>
      </c>
      <c r="P119" s="212" t="s">
        <v>6706</v>
      </c>
      <c r="Q119" s="334">
        <v>1</v>
      </c>
      <c r="R119" s="275">
        <v>1506</v>
      </c>
      <c r="S119" s="217" t="s">
        <v>2156</v>
      </c>
      <c r="T119" s="209" t="s">
        <v>3713</v>
      </c>
      <c r="U119" s="209" t="s">
        <v>3714</v>
      </c>
      <c r="V119" s="210" t="s">
        <v>3715</v>
      </c>
      <c r="W119" s="218" t="s">
        <v>3652</v>
      </c>
      <c r="X119" s="218" t="s">
        <v>3652</v>
      </c>
      <c r="Y119" s="212" t="s">
        <v>4089</v>
      </c>
      <c r="Z119" s="209" t="s">
        <v>4090</v>
      </c>
      <c r="AA119" s="218"/>
      <c r="AB119" s="218" t="s">
        <v>4083</v>
      </c>
      <c r="AC119" s="218" t="e">
        <v>#N/A</v>
      </c>
      <c r="AD119" s="217">
        <v>90130</v>
      </c>
      <c r="AE119" s="217" t="s">
        <v>4091</v>
      </c>
      <c r="AF119" s="217" t="s">
        <v>3828</v>
      </c>
      <c r="AG119" s="217" t="s">
        <v>3719</v>
      </c>
      <c r="AH119" s="220">
        <f t="shared" si="3"/>
        <v>4590013926</v>
      </c>
      <c r="AI119" s="208" t="s">
        <v>4092</v>
      </c>
      <c r="AJ119" s="227">
        <v>45429</v>
      </c>
      <c r="AK119" s="221">
        <v>1506</v>
      </c>
      <c r="AL119" s="314" t="s">
        <v>6691</v>
      </c>
      <c r="AM119" s="208"/>
      <c r="AN119" s="220"/>
      <c r="AO119" s="222"/>
      <c r="AP119" s="227"/>
      <c r="AQ119" s="358">
        <f ca="1">IF(表格1[[#This Row],[PO$]]="","100%",表格1[[#This Row],[total amount]]/表格1[[#This Row],[PO$]])</f>
        <v>1</v>
      </c>
      <c r="AR119" s="223">
        <f ca="1">表格1[[#This Row],[invoice amount]]+表格1[[#This Row],[invoice amount2]]</f>
        <v>1506</v>
      </c>
      <c r="AS119" s="224" t="s">
        <v>3806</v>
      </c>
      <c r="AT119" s="208" t="s">
        <v>4093</v>
      </c>
      <c r="AU119" s="208" t="e">
        <f ca="1">VLOOKUP(表格1[[#This Row],[PO+ITEM]],#REF!,2,FALSE)</f>
        <v>#REF!</v>
      </c>
      <c r="AV119" s="341" t="e">
        <f ca="1">VLOOKUP(表格1[[#This Row],[PO+ITEM]],#REF!,3,FALSE)</f>
        <v>#REF!</v>
      </c>
      <c r="AW119" s="208" t="e">
        <f ca="1">VLOOKUP(表格1[[#This Row],[PO+ITEM]],#REF!,4,FALSE)</f>
        <v>#REF!</v>
      </c>
      <c r="AX119" s="208" t="e" cm="1" vm="1">
        <f t="array" aca="1" ref="AX119" ca="1">VLOOKUP(AI:AI,#REF!,1,FALSE)</f>
        <v>#VALUE!</v>
      </c>
    </row>
    <row r="120" spans="1:50" ht="15.6">
      <c r="A120" s="220">
        <v>119</v>
      </c>
      <c r="B120" s="220" t="s">
        <v>3674</v>
      </c>
      <c r="C120" s="209" t="s">
        <v>17</v>
      </c>
      <c r="D120" s="209" t="s">
        <v>3648</v>
      </c>
      <c r="E120" s="209" t="s">
        <v>2196</v>
      </c>
      <c r="F120" s="209"/>
      <c r="G120" s="209"/>
      <c r="H120" s="210" t="s">
        <v>4094</v>
      </c>
      <c r="I120" s="218"/>
      <c r="J120" s="218"/>
      <c r="K120" s="218"/>
      <c r="L120" s="212" t="s">
        <v>2206</v>
      </c>
      <c r="M120" s="212"/>
      <c r="N120" s="218"/>
      <c r="O120" s="212">
        <v>4590013927</v>
      </c>
      <c r="P120" s="212" t="s">
        <v>6706</v>
      </c>
      <c r="Q120" s="334">
        <v>1</v>
      </c>
      <c r="R120" s="216">
        <v>646</v>
      </c>
      <c r="S120" s="217" t="s">
        <v>2156</v>
      </c>
      <c r="T120" s="209" t="s">
        <v>4030</v>
      </c>
      <c r="U120" s="209" t="s">
        <v>4031</v>
      </c>
      <c r="V120" s="210" t="s">
        <v>4038</v>
      </c>
      <c r="W120" s="218" t="s">
        <v>3652</v>
      </c>
      <c r="X120" s="218" t="s">
        <v>3652</v>
      </c>
      <c r="Y120" s="212">
        <v>0</v>
      </c>
      <c r="Z120" s="209" t="s">
        <v>4095</v>
      </c>
      <c r="AA120" s="218"/>
      <c r="AB120" s="218" t="s">
        <v>4083</v>
      </c>
      <c r="AC120" s="218" t="e">
        <v>#N/A</v>
      </c>
      <c r="AD120" s="217">
        <v>90144</v>
      </c>
      <c r="AE120" s="217" t="s">
        <v>2557</v>
      </c>
      <c r="AF120" s="217" t="s">
        <v>3932</v>
      </c>
      <c r="AG120" s="217" t="s">
        <v>846</v>
      </c>
      <c r="AH120" s="220">
        <f t="shared" si="3"/>
        <v>4590013927</v>
      </c>
      <c r="AI120" s="208" t="s">
        <v>4096</v>
      </c>
      <c r="AJ120" s="227">
        <v>45345</v>
      </c>
      <c r="AK120" s="221">
        <v>646</v>
      </c>
      <c r="AL120" s="244">
        <v>45380</v>
      </c>
      <c r="AM120" s="208"/>
      <c r="AN120" s="220"/>
      <c r="AO120" s="222"/>
      <c r="AP120" s="227"/>
      <c r="AQ120" s="358">
        <f ca="1">IF(表格1[[#This Row],[PO$]]="","100%",表格1[[#This Row],[total amount]]/表格1[[#This Row],[PO$]])</f>
        <v>1</v>
      </c>
      <c r="AR120" s="223">
        <f ca="1">表格1[[#This Row],[invoice amount]]+表格1[[#This Row],[invoice amount2]]</f>
        <v>646</v>
      </c>
      <c r="AS120" s="224" t="s">
        <v>3673</v>
      </c>
      <c r="AT120" s="208"/>
      <c r="AU120" s="208" t="e">
        <f ca="1">VLOOKUP(表格1[[#This Row],[PO+ITEM]],#REF!,2,FALSE)</f>
        <v>#REF!</v>
      </c>
      <c r="AV120" s="341" t="e">
        <f ca="1">VLOOKUP(表格1[[#This Row],[PO+ITEM]],#REF!,3,FALSE)</f>
        <v>#REF!</v>
      </c>
      <c r="AW120" s="208" t="e">
        <f ca="1">VLOOKUP(表格1[[#This Row],[PO+ITEM]],#REF!,4,FALSE)</f>
        <v>#REF!</v>
      </c>
      <c r="AX120" s="208" t="e" cm="1" vm="1">
        <f t="array" aca="1" ref="AX120" ca="1">VLOOKUP(AI:AI,#REF!,1,FALSE)</f>
        <v>#VALUE!</v>
      </c>
    </row>
    <row r="121" spans="1:50">
      <c r="A121" s="220">
        <v>120</v>
      </c>
      <c r="B121" s="220" t="e">
        <v>#N/A</v>
      </c>
      <c r="C121" s="209" t="s">
        <v>17</v>
      </c>
      <c r="D121" s="209" t="s">
        <v>3648</v>
      </c>
      <c r="E121" s="209" t="s">
        <v>2196</v>
      </c>
      <c r="F121" s="209"/>
      <c r="G121" s="209"/>
      <c r="H121" s="210" t="s">
        <v>4097</v>
      </c>
      <c r="I121" s="218"/>
      <c r="J121" s="218"/>
      <c r="K121" s="218"/>
      <c r="L121" s="212" t="s">
        <v>4072</v>
      </c>
      <c r="M121" s="212"/>
      <c r="N121" s="218"/>
      <c r="O121" s="212">
        <v>4590013950</v>
      </c>
      <c r="P121" s="212" t="s">
        <v>6707</v>
      </c>
      <c r="Q121" s="334">
        <v>1</v>
      </c>
      <c r="R121" s="216">
        <v>32208.11</v>
      </c>
      <c r="S121" s="217" t="s">
        <v>2156</v>
      </c>
      <c r="T121" s="209"/>
      <c r="U121" s="209" t="s">
        <v>6708</v>
      </c>
      <c r="V121" s="210" t="s">
        <v>3715</v>
      </c>
      <c r="W121" s="218" t="s">
        <v>3652</v>
      </c>
      <c r="X121" s="218" t="s">
        <v>3652</v>
      </c>
      <c r="Y121" s="212" t="e">
        <v>#N/A</v>
      </c>
      <c r="Z121" s="209" t="s">
        <v>4073</v>
      </c>
      <c r="AA121" s="218"/>
      <c r="AB121" s="218" t="s">
        <v>4083</v>
      </c>
      <c r="AC121" s="218" t="e">
        <v>#N/A</v>
      </c>
      <c r="AD121" s="217"/>
      <c r="AE121" s="217">
        <v>0</v>
      </c>
      <c r="AF121" s="217"/>
      <c r="AG121" s="217"/>
      <c r="AH121" s="220">
        <f t="shared" si="3"/>
        <v>4590013950</v>
      </c>
      <c r="AI121" s="208" t="s">
        <v>4099</v>
      </c>
      <c r="AJ121" s="363">
        <v>45498</v>
      </c>
      <c r="AK121" s="362">
        <v>32208.11</v>
      </c>
      <c r="AL121" s="227"/>
      <c r="AM121" s="208"/>
      <c r="AN121" s="220"/>
      <c r="AO121" s="222"/>
      <c r="AP121" s="227"/>
      <c r="AQ121" s="358">
        <f ca="1">IF(表格1[[#This Row],[PO$]]="","100%",表格1[[#This Row],[total amount]]/表格1[[#This Row],[PO$]])</f>
        <v>1</v>
      </c>
      <c r="AR121" s="223">
        <f ca="1">表格1[[#This Row],[invoice amount]]+表格1[[#This Row],[invoice amount2]]</f>
        <v>32208.11</v>
      </c>
      <c r="AS121" s="224" t="s">
        <v>3752</v>
      </c>
      <c r="AT121" s="208"/>
      <c r="AU121" s="208" t="e">
        <f ca="1">VLOOKUP(表格1[[#This Row],[PO+ITEM]],#REF!,2,FALSE)</f>
        <v>#REF!</v>
      </c>
      <c r="AV121" s="341" t="e">
        <f ca="1">VLOOKUP(表格1[[#This Row],[PO+ITEM]],#REF!,3,FALSE)</f>
        <v>#REF!</v>
      </c>
      <c r="AW121" s="208" t="e">
        <f ca="1">VLOOKUP(表格1[[#This Row],[PO+ITEM]],#REF!,4,FALSE)</f>
        <v>#REF!</v>
      </c>
      <c r="AX121" s="208" t="e" cm="1" vm="1">
        <f t="array" aca="1" ref="AX121" ca="1">VLOOKUP(AI:AI,#REF!,1,FALSE)</f>
        <v>#VALUE!</v>
      </c>
    </row>
    <row r="122" spans="1:50">
      <c r="A122" s="220">
        <v>121</v>
      </c>
      <c r="B122" s="220" t="s">
        <v>3674</v>
      </c>
      <c r="C122" s="209" t="s">
        <v>17</v>
      </c>
      <c r="D122" s="209" t="s">
        <v>3648</v>
      </c>
      <c r="E122" s="209" t="s">
        <v>2196</v>
      </c>
      <c r="F122" s="209"/>
      <c r="G122" s="209"/>
      <c r="H122" s="210" t="s">
        <v>4100</v>
      </c>
      <c r="I122" s="218"/>
      <c r="J122" s="218"/>
      <c r="K122" s="218"/>
      <c r="L122" s="212" t="s">
        <v>2206</v>
      </c>
      <c r="M122" s="212"/>
      <c r="N122" s="218"/>
      <c r="O122" s="212">
        <v>4590013968</v>
      </c>
      <c r="P122" s="212" t="s">
        <v>1605</v>
      </c>
      <c r="Q122" s="334">
        <v>1</v>
      </c>
      <c r="R122" s="216">
        <v>29498.12</v>
      </c>
      <c r="S122" s="217" t="s">
        <v>2156</v>
      </c>
      <c r="T122" s="209" t="s">
        <v>4030</v>
      </c>
      <c r="U122" s="209" t="s">
        <v>4031</v>
      </c>
      <c r="V122" s="210" t="s">
        <v>4038</v>
      </c>
      <c r="W122" s="218" t="s">
        <v>3652</v>
      </c>
      <c r="X122" s="218" t="s">
        <v>3652</v>
      </c>
      <c r="Y122" s="212" t="s">
        <v>4089</v>
      </c>
      <c r="Z122" s="209" t="s">
        <v>4101</v>
      </c>
      <c r="AA122" s="218"/>
      <c r="AB122" s="218" t="s">
        <v>4083</v>
      </c>
      <c r="AC122" s="218" t="e">
        <v>#N/A</v>
      </c>
      <c r="AD122" s="217">
        <v>90059</v>
      </c>
      <c r="AE122" s="217" t="s">
        <v>2587</v>
      </c>
      <c r="AF122" s="217" t="s">
        <v>4102</v>
      </c>
      <c r="AG122" s="217" t="s">
        <v>846</v>
      </c>
      <c r="AH122" s="220">
        <f t="shared" si="3"/>
        <v>4590013968</v>
      </c>
      <c r="AI122" s="208" t="s">
        <v>4103</v>
      </c>
      <c r="AJ122" s="227">
        <v>45345</v>
      </c>
      <c r="AK122" s="221">
        <v>29498.12</v>
      </c>
      <c r="AL122" s="227">
        <v>45471</v>
      </c>
      <c r="AM122" s="208"/>
      <c r="AN122" s="220"/>
      <c r="AO122" s="222"/>
      <c r="AP122" s="227"/>
      <c r="AQ122" s="358">
        <f ca="1">IF(表格1[[#This Row],[PO$]]="","100%",表格1[[#This Row],[total amount]]/表格1[[#This Row],[PO$]])</f>
        <v>1</v>
      </c>
      <c r="AR122" s="223">
        <f ca="1">表格1[[#This Row],[invoice amount]]+表格1[[#This Row],[invoice amount2]]</f>
        <v>29498.12</v>
      </c>
      <c r="AS122" s="224" t="s">
        <v>3673</v>
      </c>
      <c r="AT122" s="208"/>
      <c r="AU122" s="208" t="e">
        <f ca="1">VLOOKUP(表格1[[#This Row],[PO+ITEM]],#REF!,2,FALSE)</f>
        <v>#REF!</v>
      </c>
      <c r="AV122" s="341" t="e">
        <f ca="1">VLOOKUP(表格1[[#This Row],[PO+ITEM]],#REF!,3,FALSE)</f>
        <v>#REF!</v>
      </c>
      <c r="AW122" s="208" t="e">
        <f ca="1">VLOOKUP(表格1[[#This Row],[PO+ITEM]],#REF!,4,FALSE)</f>
        <v>#REF!</v>
      </c>
      <c r="AX122" s="208" t="e" cm="1" vm="1">
        <f t="array" aca="1" ref="AX122" ca="1">VLOOKUP(AI:AI,#REF!,1,FALSE)</f>
        <v>#VALUE!</v>
      </c>
    </row>
    <row r="123" spans="1:50">
      <c r="A123" s="220">
        <v>122</v>
      </c>
      <c r="B123" s="220" t="s">
        <v>3674</v>
      </c>
      <c r="C123" s="209" t="s">
        <v>17</v>
      </c>
      <c r="D123" s="209" t="s">
        <v>3648</v>
      </c>
      <c r="E123" s="209" t="s">
        <v>2196</v>
      </c>
      <c r="F123" s="209"/>
      <c r="G123" s="209"/>
      <c r="H123" s="210" t="s">
        <v>4104</v>
      </c>
      <c r="I123" s="218"/>
      <c r="J123" s="218"/>
      <c r="K123" s="218"/>
      <c r="L123" s="212" t="s">
        <v>4105</v>
      </c>
      <c r="M123" s="212"/>
      <c r="N123" s="218"/>
      <c r="O123" s="212">
        <v>4590013977</v>
      </c>
      <c r="P123" s="212" t="s">
        <v>1703</v>
      </c>
      <c r="Q123" s="334">
        <v>1</v>
      </c>
      <c r="R123" s="216">
        <v>2165</v>
      </c>
      <c r="S123" s="217" t="s">
        <v>2156</v>
      </c>
      <c r="T123" s="209"/>
      <c r="U123" s="209" t="s">
        <v>4031</v>
      </c>
      <c r="V123" s="210"/>
      <c r="W123" s="218"/>
      <c r="X123" s="218" t="s">
        <v>3652</v>
      </c>
      <c r="Y123" s="212" t="s">
        <v>4107</v>
      </c>
      <c r="Z123" s="209" t="s">
        <v>4108</v>
      </c>
      <c r="AA123" s="218" t="s">
        <v>3164</v>
      </c>
      <c r="AB123" s="218" t="s">
        <v>4083</v>
      </c>
      <c r="AC123" s="218" t="e">
        <v>#N/A</v>
      </c>
      <c r="AD123" s="217">
        <v>90505</v>
      </c>
      <c r="AE123" s="217" t="s">
        <v>3164</v>
      </c>
      <c r="AF123" s="217" t="s">
        <v>4109</v>
      </c>
      <c r="AG123" s="217" t="s">
        <v>3666</v>
      </c>
      <c r="AH123" s="220">
        <f t="shared" si="3"/>
        <v>4590013977</v>
      </c>
      <c r="AI123" s="208" t="s">
        <v>4110</v>
      </c>
      <c r="AJ123" s="227">
        <v>45320</v>
      </c>
      <c r="AK123" s="221">
        <v>2165</v>
      </c>
      <c r="AL123" s="227">
        <v>45442</v>
      </c>
      <c r="AM123" s="208"/>
      <c r="AN123" s="220"/>
      <c r="AO123" s="222"/>
      <c r="AP123" s="227"/>
      <c r="AQ123" s="358">
        <f ca="1">IF(表格1[[#This Row],[PO$]]="","100%",表格1[[#This Row],[total amount]]/表格1[[#This Row],[PO$]])</f>
        <v>1</v>
      </c>
      <c r="AR123" s="223">
        <f ca="1">表格1[[#This Row],[invoice amount]]+表格1[[#This Row],[invoice amount2]]</f>
        <v>2165</v>
      </c>
      <c r="AS123" s="224" t="s">
        <v>3725</v>
      </c>
      <c r="AT123" s="208"/>
      <c r="AU123" s="208" t="e">
        <f ca="1">VLOOKUP(表格1[[#This Row],[PO+ITEM]],#REF!,2,FALSE)</f>
        <v>#REF!</v>
      </c>
      <c r="AV123" s="341" t="e">
        <f ca="1">VLOOKUP(表格1[[#This Row],[PO+ITEM]],#REF!,3,FALSE)</f>
        <v>#REF!</v>
      </c>
      <c r="AW123" s="208" t="e">
        <f ca="1">VLOOKUP(表格1[[#This Row],[PO+ITEM]],#REF!,4,FALSE)</f>
        <v>#REF!</v>
      </c>
      <c r="AX123" s="208" t="e" cm="1" vm="1">
        <f t="array" aca="1" ref="AX123" ca="1">VLOOKUP(AI:AI,#REF!,1,FALSE)</f>
        <v>#VALUE!</v>
      </c>
    </row>
    <row r="124" spans="1:50">
      <c r="A124" s="220">
        <v>123</v>
      </c>
      <c r="B124" s="220" t="s">
        <v>3674</v>
      </c>
      <c r="C124" s="209" t="s">
        <v>17</v>
      </c>
      <c r="D124" s="209" t="s">
        <v>3648</v>
      </c>
      <c r="E124" s="209" t="s">
        <v>2196</v>
      </c>
      <c r="F124" s="209"/>
      <c r="G124" s="209"/>
      <c r="H124" s="210" t="s">
        <v>4111</v>
      </c>
      <c r="I124" s="218"/>
      <c r="J124" s="218"/>
      <c r="K124" s="218"/>
      <c r="L124" s="212" t="s">
        <v>4105</v>
      </c>
      <c r="M124" s="212"/>
      <c r="N124" s="218"/>
      <c r="O124" s="212">
        <v>4590013978</v>
      </c>
      <c r="P124" s="212" t="s">
        <v>1703</v>
      </c>
      <c r="Q124" s="334">
        <v>1</v>
      </c>
      <c r="R124" s="216">
        <v>5418.75</v>
      </c>
      <c r="S124" s="217" t="s">
        <v>2156</v>
      </c>
      <c r="T124" s="209"/>
      <c r="U124" s="209" t="s">
        <v>4031</v>
      </c>
      <c r="V124" s="210"/>
      <c r="W124" s="218"/>
      <c r="X124" s="218" t="s">
        <v>3652</v>
      </c>
      <c r="Y124" s="212" t="s">
        <v>4107</v>
      </c>
      <c r="Z124" s="209" t="s">
        <v>4113</v>
      </c>
      <c r="AA124" s="218" t="s">
        <v>3167</v>
      </c>
      <c r="AB124" s="218" t="s">
        <v>4083</v>
      </c>
      <c r="AC124" s="218" t="e">
        <v>#N/A</v>
      </c>
      <c r="AD124" s="217">
        <v>90514</v>
      </c>
      <c r="AE124" s="217" t="s">
        <v>3167</v>
      </c>
      <c r="AF124" s="217" t="s">
        <v>4109</v>
      </c>
      <c r="AG124" s="217" t="s">
        <v>3666</v>
      </c>
      <c r="AH124" s="220">
        <f t="shared" si="3"/>
        <v>4590013978</v>
      </c>
      <c r="AI124" s="208" t="s">
        <v>4114</v>
      </c>
      <c r="AJ124" s="227">
        <v>45320</v>
      </c>
      <c r="AK124" s="221">
        <v>5418.75</v>
      </c>
      <c r="AL124" s="227">
        <v>45442</v>
      </c>
      <c r="AM124" s="208"/>
      <c r="AN124" s="220"/>
      <c r="AO124" s="222"/>
      <c r="AP124" s="227"/>
      <c r="AQ124" s="358">
        <f ca="1">IF(表格1[[#This Row],[PO$]]="","100%",表格1[[#This Row],[total amount]]/表格1[[#This Row],[PO$]])</f>
        <v>1</v>
      </c>
      <c r="AR124" s="223">
        <f ca="1">表格1[[#This Row],[invoice amount]]+表格1[[#This Row],[invoice amount2]]</f>
        <v>5418.75</v>
      </c>
      <c r="AS124" s="224" t="s">
        <v>3725</v>
      </c>
      <c r="AT124" s="208"/>
      <c r="AU124" s="208" t="e">
        <f ca="1">VLOOKUP(表格1[[#This Row],[PO+ITEM]],#REF!,2,FALSE)</f>
        <v>#REF!</v>
      </c>
      <c r="AV124" s="341" t="e">
        <f ca="1">VLOOKUP(表格1[[#This Row],[PO+ITEM]],#REF!,3,FALSE)</f>
        <v>#REF!</v>
      </c>
      <c r="AW124" s="208" t="e">
        <f ca="1">VLOOKUP(表格1[[#This Row],[PO+ITEM]],#REF!,4,FALSE)</f>
        <v>#REF!</v>
      </c>
      <c r="AX124" s="208" t="e" cm="1" vm="1">
        <f t="array" aca="1" ref="AX124" ca="1">VLOOKUP(AI:AI,#REF!,1,FALSE)</f>
        <v>#VALUE!</v>
      </c>
    </row>
    <row r="125" spans="1:50" ht="15.6">
      <c r="A125" s="220">
        <v>124</v>
      </c>
      <c r="B125" s="220" t="s">
        <v>3674</v>
      </c>
      <c r="C125" s="209" t="s">
        <v>17</v>
      </c>
      <c r="D125" s="209" t="s">
        <v>3648</v>
      </c>
      <c r="E125" s="209" t="s">
        <v>2196</v>
      </c>
      <c r="F125" s="209"/>
      <c r="G125" s="209"/>
      <c r="H125" s="210" t="s">
        <v>4115</v>
      </c>
      <c r="I125" s="218"/>
      <c r="J125" s="218"/>
      <c r="K125" s="218"/>
      <c r="L125" s="212" t="s">
        <v>3547</v>
      </c>
      <c r="M125" s="212"/>
      <c r="N125" s="218"/>
      <c r="O125" s="212">
        <v>4590013979</v>
      </c>
      <c r="P125" s="212" t="s">
        <v>1703</v>
      </c>
      <c r="Q125" s="334">
        <v>1</v>
      </c>
      <c r="R125" s="216">
        <v>2478</v>
      </c>
      <c r="S125" s="217" t="s">
        <v>2156</v>
      </c>
      <c r="T125" s="209" t="s">
        <v>4116</v>
      </c>
      <c r="U125" s="209" t="s">
        <v>3714</v>
      </c>
      <c r="V125" s="210"/>
      <c r="W125" s="218"/>
      <c r="X125" s="218" t="s">
        <v>3652</v>
      </c>
      <c r="Y125" s="212">
        <v>0</v>
      </c>
      <c r="Z125" s="209" t="s">
        <v>4117</v>
      </c>
      <c r="AA125" s="218"/>
      <c r="AB125" s="218" t="s">
        <v>4083</v>
      </c>
      <c r="AC125" s="218" t="e">
        <v>#N/A</v>
      </c>
      <c r="AD125" s="217">
        <v>90605</v>
      </c>
      <c r="AE125" s="217" t="s">
        <v>4118</v>
      </c>
      <c r="AF125" s="217" t="s">
        <v>3718</v>
      </c>
      <c r="AG125" s="217" t="s">
        <v>3719</v>
      </c>
      <c r="AH125" s="220">
        <f t="shared" si="3"/>
        <v>4590013979</v>
      </c>
      <c r="AI125" s="208" t="s">
        <v>4119</v>
      </c>
      <c r="AJ125" s="227">
        <v>45320</v>
      </c>
      <c r="AK125" s="221">
        <v>2478</v>
      </c>
      <c r="AL125" s="244">
        <v>45351</v>
      </c>
      <c r="AM125" s="208"/>
      <c r="AN125" s="220"/>
      <c r="AO125" s="222"/>
      <c r="AP125" s="227"/>
      <c r="AQ125" s="358">
        <f ca="1">IF(表格1[[#This Row],[PO$]]="","100%",表格1[[#This Row],[total amount]]/表格1[[#This Row],[PO$]])</f>
        <v>1</v>
      </c>
      <c r="AR125" s="223">
        <f ca="1">表格1[[#This Row],[invoice amount]]+表格1[[#This Row],[invoice amount2]]</f>
        <v>2478</v>
      </c>
      <c r="AS125" s="224" t="s">
        <v>3673</v>
      </c>
      <c r="AT125" s="208"/>
      <c r="AU125" s="208" t="e">
        <f ca="1">VLOOKUP(表格1[[#This Row],[PO+ITEM]],#REF!,2,FALSE)</f>
        <v>#REF!</v>
      </c>
      <c r="AV125" s="341" t="e">
        <f ca="1">VLOOKUP(表格1[[#This Row],[PO+ITEM]],#REF!,3,FALSE)</f>
        <v>#REF!</v>
      </c>
      <c r="AW125" s="208" t="e">
        <f ca="1">VLOOKUP(表格1[[#This Row],[PO+ITEM]],#REF!,4,FALSE)</f>
        <v>#REF!</v>
      </c>
      <c r="AX125" s="208" t="e" cm="1" vm="1">
        <f t="array" aca="1" ref="AX125" ca="1">VLOOKUP(AI:AI,#REF!,1,FALSE)</f>
        <v>#VALUE!</v>
      </c>
    </row>
    <row r="126" spans="1:50" ht="15.6">
      <c r="A126" s="220">
        <v>125</v>
      </c>
      <c r="B126" s="220" t="s">
        <v>3674</v>
      </c>
      <c r="C126" s="209" t="s">
        <v>17</v>
      </c>
      <c r="D126" s="209" t="s">
        <v>3648</v>
      </c>
      <c r="E126" s="209" t="s">
        <v>2196</v>
      </c>
      <c r="F126" s="209"/>
      <c r="G126" s="209"/>
      <c r="H126" s="210" t="s">
        <v>4120</v>
      </c>
      <c r="I126" s="218"/>
      <c r="J126" s="218"/>
      <c r="K126" s="218"/>
      <c r="L126" s="212" t="s">
        <v>3547</v>
      </c>
      <c r="M126" s="212"/>
      <c r="N126" s="218"/>
      <c r="O126" s="212">
        <v>4590013980</v>
      </c>
      <c r="P126" s="212" t="s">
        <v>1703</v>
      </c>
      <c r="Q126" s="334">
        <v>1</v>
      </c>
      <c r="R126" s="216">
        <v>4954</v>
      </c>
      <c r="S126" s="217" t="s">
        <v>2156</v>
      </c>
      <c r="T126" s="209" t="s">
        <v>4121</v>
      </c>
      <c r="U126" s="209" t="s">
        <v>3914</v>
      </c>
      <c r="V126" s="210"/>
      <c r="W126" s="218"/>
      <c r="X126" s="218" t="s">
        <v>3652</v>
      </c>
      <c r="Y126" s="212">
        <v>0</v>
      </c>
      <c r="Z126" s="209" t="s">
        <v>4122</v>
      </c>
      <c r="AA126" s="218"/>
      <c r="AB126" s="218" t="s">
        <v>4083</v>
      </c>
      <c r="AC126" s="218" t="e">
        <v>#N/A</v>
      </c>
      <c r="AD126" s="217">
        <v>90830</v>
      </c>
      <c r="AE126" s="217" t="s">
        <v>4123</v>
      </c>
      <c r="AF126" s="217" t="s">
        <v>3718</v>
      </c>
      <c r="AG126" s="217" t="s">
        <v>3919</v>
      </c>
      <c r="AH126" s="220">
        <f t="shared" si="3"/>
        <v>4590013980</v>
      </c>
      <c r="AI126" s="208" t="s">
        <v>4124</v>
      </c>
      <c r="AJ126" s="227">
        <v>45320</v>
      </c>
      <c r="AK126" s="221">
        <v>4954</v>
      </c>
      <c r="AL126" s="244">
        <v>45351</v>
      </c>
      <c r="AM126" s="208"/>
      <c r="AN126" s="220"/>
      <c r="AO126" s="222"/>
      <c r="AP126" s="227"/>
      <c r="AQ126" s="358">
        <f ca="1">IF(表格1[[#This Row],[PO$]]="","100%",表格1[[#This Row],[total amount]]/表格1[[#This Row],[PO$]])</f>
        <v>1</v>
      </c>
      <c r="AR126" s="223">
        <f ca="1">表格1[[#This Row],[invoice amount]]+表格1[[#This Row],[invoice amount2]]</f>
        <v>4954</v>
      </c>
      <c r="AS126" s="224" t="s">
        <v>3673</v>
      </c>
      <c r="AT126" s="208"/>
      <c r="AU126" s="208" t="e">
        <f ca="1">VLOOKUP(表格1[[#This Row],[PO+ITEM]],#REF!,2,FALSE)</f>
        <v>#REF!</v>
      </c>
      <c r="AV126" s="341" t="e">
        <f ca="1">VLOOKUP(表格1[[#This Row],[PO+ITEM]],#REF!,3,FALSE)</f>
        <v>#REF!</v>
      </c>
      <c r="AW126" s="208" t="e">
        <f ca="1">VLOOKUP(表格1[[#This Row],[PO+ITEM]],#REF!,4,FALSE)</f>
        <v>#REF!</v>
      </c>
      <c r="AX126" s="208" t="e" cm="1" vm="1">
        <f t="array" aca="1" ref="AX126" ca="1">VLOOKUP(AI:AI,#REF!,1,FALSE)</f>
        <v>#VALUE!</v>
      </c>
    </row>
    <row r="127" spans="1:50">
      <c r="A127" s="220">
        <v>126</v>
      </c>
      <c r="B127" s="220" t="e">
        <v>#N/A</v>
      </c>
      <c r="C127" s="209" t="s">
        <v>17</v>
      </c>
      <c r="D127" s="209" t="s">
        <v>3648</v>
      </c>
      <c r="E127" s="209"/>
      <c r="F127" s="209"/>
      <c r="G127" s="209"/>
      <c r="H127" s="210" t="s">
        <v>4125</v>
      </c>
      <c r="I127" s="218"/>
      <c r="J127" s="218"/>
      <c r="K127" s="218"/>
      <c r="L127" s="212" t="s">
        <v>2888</v>
      </c>
      <c r="M127" s="212"/>
      <c r="N127" s="218"/>
      <c r="O127" s="212">
        <v>4590014113</v>
      </c>
      <c r="P127" s="212" t="s">
        <v>2208</v>
      </c>
      <c r="Q127" s="334">
        <v>1</v>
      </c>
      <c r="R127" s="216">
        <v>55904.52</v>
      </c>
      <c r="S127" s="217"/>
      <c r="T127" s="209" t="s">
        <v>3669</v>
      </c>
      <c r="U127" s="209" t="s">
        <v>3670</v>
      </c>
      <c r="V127" s="213" t="s">
        <v>3667</v>
      </c>
      <c r="W127" s="218" t="s">
        <v>3652</v>
      </c>
      <c r="X127" s="218" t="s">
        <v>3652</v>
      </c>
      <c r="Y127" s="212">
        <v>0</v>
      </c>
      <c r="Z127" s="209" t="s">
        <v>4126</v>
      </c>
      <c r="AA127" s="218"/>
      <c r="AB127" s="218" t="s">
        <v>4083</v>
      </c>
      <c r="AC127" s="218" t="e">
        <v>#N/A</v>
      </c>
      <c r="AD127" s="217"/>
      <c r="AE127" s="217" t="s">
        <v>4127</v>
      </c>
      <c r="AF127" s="217"/>
      <c r="AG127" s="217"/>
      <c r="AH127" s="220">
        <f t="shared" si="3"/>
        <v>4590014113</v>
      </c>
      <c r="AI127" s="208"/>
      <c r="AJ127" s="220"/>
      <c r="AK127" s="221"/>
      <c r="AL127" s="227"/>
      <c r="AM127" s="208"/>
      <c r="AN127" s="220"/>
      <c r="AO127" s="222"/>
      <c r="AP127" s="227"/>
      <c r="AQ127" s="358">
        <f ca="1">IF(表格1[[#This Row],[PO$]]="","100%",表格1[[#This Row],[total amount]]/表格1[[#This Row],[PO$]])</f>
        <v>0</v>
      </c>
      <c r="AR127" s="223">
        <f ca="1">表格1[[#This Row],[invoice amount]]+表格1[[#This Row],[invoice amount2]]</f>
        <v>0</v>
      </c>
      <c r="AS127" s="224"/>
      <c r="AT127" s="208"/>
      <c r="AU127" s="208" t="e">
        <f ca="1">VLOOKUP(表格1[[#This Row],[PO+ITEM]],#REF!,2,FALSE)</f>
        <v>#REF!</v>
      </c>
      <c r="AV127" s="341" t="e">
        <f ca="1">VLOOKUP(表格1[[#This Row],[PO+ITEM]],#REF!,3,FALSE)</f>
        <v>#REF!</v>
      </c>
      <c r="AW127" s="208" t="e">
        <f ca="1">VLOOKUP(表格1[[#This Row],[PO+ITEM]],#REF!,4,FALSE)</f>
        <v>#REF!</v>
      </c>
      <c r="AX127" s="208" t="e" cm="1" vm="1">
        <f t="array" aca="1" ref="AX127" ca="1">VLOOKUP(AI:AI,#REF!,1,FALSE)</f>
        <v>#VALUE!</v>
      </c>
    </row>
    <row r="128" spans="1:50">
      <c r="A128" s="220">
        <v>127</v>
      </c>
      <c r="B128" s="220" t="e">
        <v>#N/A</v>
      </c>
      <c r="C128" s="209" t="s">
        <v>17</v>
      </c>
      <c r="D128" s="209" t="s">
        <v>3648</v>
      </c>
      <c r="E128" s="209" t="s">
        <v>2196</v>
      </c>
      <c r="F128" s="209"/>
      <c r="G128" s="209"/>
      <c r="H128" s="210" t="s">
        <v>4128</v>
      </c>
      <c r="I128" s="218"/>
      <c r="J128" s="218"/>
      <c r="K128" s="218"/>
      <c r="L128" s="212" t="s">
        <v>4129</v>
      </c>
      <c r="M128" s="212"/>
      <c r="N128" s="218"/>
      <c r="O128" s="212">
        <v>4590014127</v>
      </c>
      <c r="P128" s="212" t="s">
        <v>2210</v>
      </c>
      <c r="Q128" s="334">
        <v>1</v>
      </c>
      <c r="R128" s="216">
        <v>3786.84</v>
      </c>
      <c r="S128" s="217"/>
      <c r="T128" s="209"/>
      <c r="U128" s="209" t="s">
        <v>6708</v>
      </c>
      <c r="V128" s="210" t="s">
        <v>4131</v>
      </c>
      <c r="W128" s="218"/>
      <c r="X128" s="218" t="s">
        <v>3652</v>
      </c>
      <c r="Y128" s="212">
        <v>0</v>
      </c>
      <c r="Z128" s="209" t="s">
        <v>4132</v>
      </c>
      <c r="AA128" s="218" t="s">
        <v>4133</v>
      </c>
      <c r="AB128" s="218" t="s">
        <v>4083</v>
      </c>
      <c r="AC128" s="218" t="e">
        <v>#N/A</v>
      </c>
      <c r="AD128" s="217"/>
      <c r="AE128" s="217">
        <v>0</v>
      </c>
      <c r="AF128" s="217"/>
      <c r="AG128" s="217"/>
      <c r="AH128" s="220">
        <f t="shared" si="3"/>
        <v>4590014127</v>
      </c>
      <c r="AI128" s="208"/>
      <c r="AJ128" s="220"/>
      <c r="AK128" s="221"/>
      <c r="AL128" s="227"/>
      <c r="AM128" s="208"/>
      <c r="AN128" s="220"/>
      <c r="AO128" s="222"/>
      <c r="AP128" s="227"/>
      <c r="AQ128" s="358">
        <f ca="1">IF(表格1[[#This Row],[PO$]]="","100%",表格1[[#This Row],[total amount]]/表格1[[#This Row],[PO$]])</f>
        <v>0</v>
      </c>
      <c r="AR128" s="223">
        <f ca="1">表格1[[#This Row],[invoice amount]]+表格1[[#This Row],[invoice amount2]]</f>
        <v>0</v>
      </c>
      <c r="AS128" s="224"/>
      <c r="AT128" s="208"/>
      <c r="AU128" s="208" t="e">
        <f ca="1">VLOOKUP(表格1[[#This Row],[PO+ITEM]],#REF!,2,FALSE)</f>
        <v>#REF!</v>
      </c>
      <c r="AV128" s="341" t="e">
        <f ca="1">VLOOKUP(表格1[[#This Row],[PO+ITEM]],#REF!,3,FALSE)</f>
        <v>#REF!</v>
      </c>
      <c r="AW128" s="208" t="e">
        <f ca="1">VLOOKUP(表格1[[#This Row],[PO+ITEM]],#REF!,4,FALSE)</f>
        <v>#REF!</v>
      </c>
      <c r="AX128" s="208" t="e" cm="1" vm="1">
        <f t="array" aca="1" ref="AX128" ca="1">VLOOKUP(AI:AI,#REF!,1,FALSE)</f>
        <v>#VALUE!</v>
      </c>
    </row>
    <row r="129" spans="1:50">
      <c r="A129" s="220">
        <v>128</v>
      </c>
      <c r="B129" s="220" t="e">
        <v>#N/A</v>
      </c>
      <c r="C129" s="209" t="s">
        <v>17</v>
      </c>
      <c r="D129" s="209" t="s">
        <v>3648</v>
      </c>
      <c r="E129" s="209" t="s">
        <v>2196</v>
      </c>
      <c r="F129" s="209"/>
      <c r="G129" s="209"/>
      <c r="H129" s="210" t="s">
        <v>4134</v>
      </c>
      <c r="I129" s="218"/>
      <c r="J129" s="218"/>
      <c r="K129" s="218"/>
      <c r="L129" s="212" t="s">
        <v>4129</v>
      </c>
      <c r="M129" s="212"/>
      <c r="N129" s="218"/>
      <c r="O129" s="212">
        <v>4590014204</v>
      </c>
      <c r="P129" s="214">
        <v>45265</v>
      </c>
      <c r="Q129" s="334">
        <v>1</v>
      </c>
      <c r="R129" s="216">
        <v>7172.64</v>
      </c>
      <c r="S129" s="217"/>
      <c r="T129" s="209"/>
      <c r="U129" s="209" t="s">
        <v>6708</v>
      </c>
      <c r="V129" s="210" t="s">
        <v>4136</v>
      </c>
      <c r="W129" s="218" t="s">
        <v>4137</v>
      </c>
      <c r="X129" s="218" t="s">
        <v>3652</v>
      </c>
      <c r="Y129" s="212">
        <v>0</v>
      </c>
      <c r="Z129" s="209" t="s">
        <v>4138</v>
      </c>
      <c r="AA129" s="218" t="s">
        <v>4139</v>
      </c>
      <c r="AB129" s="218" t="s">
        <v>4083</v>
      </c>
      <c r="AC129" s="218" t="e">
        <v>#N/A</v>
      </c>
      <c r="AD129" s="217"/>
      <c r="AE129" s="217">
        <v>0</v>
      </c>
      <c r="AF129" s="217"/>
      <c r="AG129" s="217"/>
      <c r="AH129" s="220">
        <f t="shared" si="3"/>
        <v>4590014204</v>
      </c>
      <c r="AI129" s="208"/>
      <c r="AJ129" s="220"/>
      <c r="AK129" s="221"/>
      <c r="AL129" s="227"/>
      <c r="AM129" s="208"/>
      <c r="AN129" s="220"/>
      <c r="AO129" s="222"/>
      <c r="AP129" s="227"/>
      <c r="AQ129" s="358">
        <f ca="1">IF(表格1[[#This Row],[PO$]]="","100%",表格1[[#This Row],[total amount]]/表格1[[#This Row],[PO$]])</f>
        <v>0</v>
      </c>
      <c r="AR129" s="223">
        <f ca="1">表格1[[#This Row],[invoice amount]]+表格1[[#This Row],[invoice amount2]]</f>
        <v>0</v>
      </c>
      <c r="AS129" s="224"/>
      <c r="AT129" s="208"/>
      <c r="AU129" s="208" t="e">
        <f ca="1">VLOOKUP(表格1[[#This Row],[PO+ITEM]],#REF!,2,FALSE)</f>
        <v>#REF!</v>
      </c>
      <c r="AV129" s="341" t="e">
        <f ca="1">VLOOKUP(表格1[[#This Row],[PO+ITEM]],#REF!,3,FALSE)</f>
        <v>#REF!</v>
      </c>
      <c r="AW129" s="208" t="e">
        <f ca="1">VLOOKUP(表格1[[#This Row],[PO+ITEM]],#REF!,4,FALSE)</f>
        <v>#REF!</v>
      </c>
      <c r="AX129" s="208" t="e" cm="1" vm="1">
        <f t="array" aca="1" ref="AX129" ca="1">VLOOKUP(AI:AI,#REF!,1,FALSE)</f>
        <v>#VALUE!</v>
      </c>
    </row>
    <row r="130" spans="1:50">
      <c r="A130" s="220">
        <v>129</v>
      </c>
      <c r="B130" s="220" t="e">
        <v>#N/A</v>
      </c>
      <c r="C130" s="209" t="s">
        <v>17</v>
      </c>
      <c r="D130" s="209" t="s">
        <v>3648</v>
      </c>
      <c r="E130" s="209" t="s">
        <v>2196</v>
      </c>
      <c r="F130" s="209"/>
      <c r="G130" s="209"/>
      <c r="H130" s="210" t="s">
        <v>4134</v>
      </c>
      <c r="I130" s="218"/>
      <c r="J130" s="218"/>
      <c r="K130" s="218"/>
      <c r="L130" s="212" t="s">
        <v>4129</v>
      </c>
      <c r="M130" s="212"/>
      <c r="N130" s="218"/>
      <c r="O130" s="212">
        <v>4590014205</v>
      </c>
      <c r="P130" s="214">
        <v>45261</v>
      </c>
      <c r="Q130" s="334">
        <v>1</v>
      </c>
      <c r="R130" s="216">
        <v>9563.6200000000008</v>
      </c>
      <c r="S130" s="260"/>
      <c r="T130" s="209"/>
      <c r="U130" s="209" t="s">
        <v>1183</v>
      </c>
      <c r="V130" s="210" t="s">
        <v>4141</v>
      </c>
      <c r="W130" s="218" t="s">
        <v>4137</v>
      </c>
      <c r="X130" s="218" t="s">
        <v>3652</v>
      </c>
      <c r="Y130" s="212">
        <v>0</v>
      </c>
      <c r="Z130" s="209" t="s">
        <v>4138</v>
      </c>
      <c r="AA130" s="218" t="s">
        <v>4142</v>
      </c>
      <c r="AB130" s="218" t="s">
        <v>4083</v>
      </c>
      <c r="AC130" s="218" t="e">
        <v>#N/A</v>
      </c>
      <c r="AD130" s="217"/>
      <c r="AE130" s="217">
        <v>0</v>
      </c>
      <c r="AF130" s="217"/>
      <c r="AG130" s="217"/>
      <c r="AH130" s="220">
        <f t="shared" si="3"/>
        <v>4590014205</v>
      </c>
      <c r="AI130" s="208"/>
      <c r="AJ130" s="220"/>
      <c r="AK130" s="221"/>
      <c r="AL130" s="227"/>
      <c r="AM130" s="208"/>
      <c r="AN130" s="220"/>
      <c r="AO130" s="222"/>
      <c r="AP130" s="227"/>
      <c r="AQ130" s="358">
        <f ca="1">IF(表格1[[#This Row],[PO$]]="","100%",表格1[[#This Row],[total amount]]/表格1[[#This Row],[PO$]])</f>
        <v>0</v>
      </c>
      <c r="AR130" s="223">
        <f ca="1">表格1[[#This Row],[invoice amount]]+表格1[[#This Row],[invoice amount2]]</f>
        <v>0</v>
      </c>
      <c r="AS130" s="224"/>
      <c r="AT130" s="208"/>
      <c r="AU130" s="208" t="e">
        <f ca="1">VLOOKUP(表格1[[#This Row],[PO+ITEM]],#REF!,2,FALSE)</f>
        <v>#REF!</v>
      </c>
      <c r="AV130" s="341" t="e">
        <f ca="1">VLOOKUP(表格1[[#This Row],[PO+ITEM]],#REF!,3,FALSE)</f>
        <v>#REF!</v>
      </c>
      <c r="AW130" s="208" t="e">
        <f ca="1">VLOOKUP(表格1[[#This Row],[PO+ITEM]],#REF!,4,FALSE)</f>
        <v>#REF!</v>
      </c>
      <c r="AX130" s="208" t="e" cm="1" vm="1">
        <f t="array" aca="1" ref="AX130" ca="1">VLOOKUP(AI:AI,#REF!,1,FALSE)</f>
        <v>#VALUE!</v>
      </c>
    </row>
    <row r="131" spans="1:50">
      <c r="A131" s="220">
        <v>130</v>
      </c>
      <c r="B131" s="220" t="s">
        <v>3674</v>
      </c>
      <c r="C131" s="209" t="s">
        <v>17</v>
      </c>
      <c r="D131" s="209" t="s">
        <v>3648</v>
      </c>
      <c r="E131" s="209" t="s">
        <v>2196</v>
      </c>
      <c r="F131" s="209"/>
      <c r="G131" s="209"/>
      <c r="H131" s="210" t="s">
        <v>4143</v>
      </c>
      <c r="I131" s="218"/>
      <c r="J131" s="218"/>
      <c r="K131" s="218"/>
      <c r="L131" s="212" t="s">
        <v>2659</v>
      </c>
      <c r="M131" s="212"/>
      <c r="N131" s="218"/>
      <c r="O131" s="212">
        <v>4590014281</v>
      </c>
      <c r="P131" s="212" t="s">
        <v>6709</v>
      </c>
      <c r="Q131" s="334">
        <v>1</v>
      </c>
      <c r="R131" s="216">
        <v>12949.08</v>
      </c>
      <c r="S131" s="217"/>
      <c r="T131" s="209"/>
      <c r="U131" s="209" t="s">
        <v>4031</v>
      </c>
      <c r="V131" s="210"/>
      <c r="W131" s="218" t="s">
        <v>4145</v>
      </c>
      <c r="X131" s="218" t="s">
        <v>3652</v>
      </c>
      <c r="Y131" s="212">
        <v>0</v>
      </c>
      <c r="Z131" s="209" t="s">
        <v>4146</v>
      </c>
      <c r="AA131" s="218"/>
      <c r="AB131" s="218" t="s">
        <v>4083</v>
      </c>
      <c r="AC131" s="218" t="e">
        <v>#N/A</v>
      </c>
      <c r="AD131" s="217">
        <v>90155</v>
      </c>
      <c r="AE131" s="217" t="s">
        <v>2571</v>
      </c>
      <c r="AF131" s="217" t="s">
        <v>3665</v>
      </c>
      <c r="AG131" s="217" t="s">
        <v>846</v>
      </c>
      <c r="AH131" s="220">
        <f t="shared" ref="AH131:AH145" si="4">O131</f>
        <v>4590014281</v>
      </c>
      <c r="AI131" s="208"/>
      <c r="AJ131" s="220"/>
      <c r="AK131" s="221"/>
      <c r="AL131" s="227"/>
      <c r="AM131" s="208"/>
      <c r="AN131" s="220"/>
      <c r="AO131" s="222"/>
      <c r="AP131" s="227"/>
      <c r="AQ131" s="358">
        <f ca="1">IF(表格1[[#This Row],[PO$]]="","100%",表格1[[#This Row],[total amount]]/表格1[[#This Row],[PO$]])</f>
        <v>0</v>
      </c>
      <c r="AR131" s="223">
        <f ca="1">表格1[[#This Row],[invoice amount]]+表格1[[#This Row],[invoice amount2]]</f>
        <v>0</v>
      </c>
      <c r="AS131" s="224"/>
      <c r="AT131" s="208"/>
      <c r="AU131" s="208" t="e">
        <f ca="1">VLOOKUP(表格1[[#This Row],[PO+ITEM]],#REF!,2,FALSE)</f>
        <v>#REF!</v>
      </c>
      <c r="AV131" s="341" t="e">
        <f ca="1">VLOOKUP(表格1[[#This Row],[PO+ITEM]],#REF!,3,FALSE)</f>
        <v>#REF!</v>
      </c>
      <c r="AW131" s="208" t="e">
        <f ca="1">VLOOKUP(表格1[[#This Row],[PO+ITEM]],#REF!,4,FALSE)</f>
        <v>#REF!</v>
      </c>
      <c r="AX131" s="208" t="e" cm="1" vm="1">
        <f t="array" aca="1" ref="AX131" ca="1">VLOOKUP(AI:AI,#REF!,1,FALSE)</f>
        <v>#VALUE!</v>
      </c>
    </row>
    <row r="132" spans="1:50" ht="15.6">
      <c r="A132" s="220">
        <v>131</v>
      </c>
      <c r="B132" s="220" t="s">
        <v>3674</v>
      </c>
      <c r="C132" s="209" t="s">
        <v>17</v>
      </c>
      <c r="D132" s="209" t="s">
        <v>3648</v>
      </c>
      <c r="E132" s="209" t="s">
        <v>2196</v>
      </c>
      <c r="F132" s="209"/>
      <c r="G132" s="209"/>
      <c r="H132" s="210" t="s">
        <v>4147</v>
      </c>
      <c r="I132" s="218"/>
      <c r="J132" s="218"/>
      <c r="K132" s="218"/>
      <c r="L132" s="212" t="s">
        <v>4088</v>
      </c>
      <c r="M132" s="212"/>
      <c r="N132" s="218"/>
      <c r="O132" s="212">
        <v>4590014282</v>
      </c>
      <c r="P132" s="212" t="s">
        <v>6710</v>
      </c>
      <c r="Q132" s="334">
        <v>1</v>
      </c>
      <c r="R132" s="275">
        <v>5449</v>
      </c>
      <c r="S132" s="217"/>
      <c r="T132" s="209" t="s">
        <v>3713</v>
      </c>
      <c r="U132" s="218" t="s">
        <v>3714</v>
      </c>
      <c r="V132" s="210" t="s">
        <v>3715</v>
      </c>
      <c r="W132" s="218" t="s">
        <v>4137</v>
      </c>
      <c r="X132" s="218" t="s">
        <v>3652</v>
      </c>
      <c r="Y132" s="212" t="s">
        <v>6711</v>
      </c>
      <c r="Z132" s="209" t="s">
        <v>4149</v>
      </c>
      <c r="AA132" s="218"/>
      <c r="AB132" s="218" t="s">
        <v>4083</v>
      </c>
      <c r="AC132" s="218" t="e">
        <v>#N/A</v>
      </c>
      <c r="AD132" s="217">
        <v>90084</v>
      </c>
      <c r="AE132" s="217" t="s">
        <v>4150</v>
      </c>
      <c r="AF132" s="217" t="s">
        <v>3665</v>
      </c>
      <c r="AG132" s="217" t="s">
        <v>3719</v>
      </c>
      <c r="AH132" s="220">
        <f t="shared" si="4"/>
        <v>4590014282</v>
      </c>
      <c r="AI132" s="208" t="s">
        <v>4151</v>
      </c>
      <c r="AJ132" s="227">
        <v>45345</v>
      </c>
      <c r="AK132" s="221">
        <v>0</v>
      </c>
      <c r="AL132" s="314" t="s">
        <v>3788</v>
      </c>
      <c r="AM132" s="208" t="s">
        <v>4152</v>
      </c>
      <c r="AN132" s="227">
        <v>45441</v>
      </c>
      <c r="AO132" s="222">
        <v>2492</v>
      </c>
      <c r="AP132" s="227" t="s">
        <v>3805</v>
      </c>
      <c r="AQ132" s="358">
        <f ca="1">IF(表格1[[#This Row],[PO$]]="","100%",表格1[[#This Row],[total amount]]/表格1[[#This Row],[PO$]])</f>
        <v>0.45733162048082215</v>
      </c>
      <c r="AR132" s="223">
        <f ca="1">表格1[[#This Row],[invoice amount]]+表格1[[#This Row],[invoice amount2]]</f>
        <v>2492</v>
      </c>
      <c r="AS132" s="224" t="s">
        <v>3752</v>
      </c>
      <c r="AT132" s="208" t="s">
        <v>6712</v>
      </c>
      <c r="AU132" s="208" t="e">
        <f ca="1">VLOOKUP(表格1[[#This Row],[PO+ITEM]],#REF!,2,FALSE)</f>
        <v>#REF!</v>
      </c>
      <c r="AV132" s="341" t="e">
        <f ca="1">VLOOKUP(表格1[[#This Row],[PO+ITEM]],#REF!,3,FALSE)</f>
        <v>#REF!</v>
      </c>
      <c r="AW132" s="208" t="e">
        <f ca="1">VLOOKUP(表格1[[#This Row],[PO+ITEM]],#REF!,4,FALSE)</f>
        <v>#REF!</v>
      </c>
      <c r="AX132" s="208" t="e" cm="1" vm="1">
        <f t="array" aca="1" ref="AX132" ca="1">VLOOKUP(AI:AI,#REF!,1,FALSE)</f>
        <v>#VALUE!</v>
      </c>
    </row>
    <row r="133" spans="1:50">
      <c r="A133" s="220">
        <v>132</v>
      </c>
      <c r="B133" s="220" t="s">
        <v>3674</v>
      </c>
      <c r="C133" s="209" t="s">
        <v>17</v>
      </c>
      <c r="D133" s="209" t="s">
        <v>3648</v>
      </c>
      <c r="E133" s="209" t="s">
        <v>2196</v>
      </c>
      <c r="F133" s="209"/>
      <c r="G133" s="209"/>
      <c r="H133" s="210" t="s">
        <v>4154</v>
      </c>
      <c r="I133" s="218"/>
      <c r="J133" s="218"/>
      <c r="K133" s="218"/>
      <c r="L133" s="212" t="s">
        <v>4129</v>
      </c>
      <c r="M133" s="212"/>
      <c r="N133" s="218"/>
      <c r="O133" s="212">
        <v>4590014334</v>
      </c>
      <c r="P133" s="212" t="s">
        <v>6713</v>
      </c>
      <c r="Q133" s="334">
        <v>1</v>
      </c>
      <c r="R133" s="349">
        <v>2865.41</v>
      </c>
      <c r="S133" s="217" t="s">
        <v>2156</v>
      </c>
      <c r="T133" s="209"/>
      <c r="U133" s="209" t="s">
        <v>4031</v>
      </c>
      <c r="V133" s="210"/>
      <c r="W133" s="218" t="s">
        <v>3652</v>
      </c>
      <c r="X133" s="218" t="s">
        <v>3652</v>
      </c>
      <c r="Y133" s="212">
        <v>0</v>
      </c>
      <c r="Z133" s="209" t="s">
        <v>4156</v>
      </c>
      <c r="AA133" s="218"/>
      <c r="AB133" s="218" t="s">
        <v>4083</v>
      </c>
      <c r="AC133" s="218" t="e">
        <v>#N/A</v>
      </c>
      <c r="AD133" s="217">
        <v>90637</v>
      </c>
      <c r="AE133" s="217" t="s">
        <v>3273</v>
      </c>
      <c r="AF133" s="217" t="s">
        <v>3828</v>
      </c>
      <c r="AG133" s="217" t="s">
        <v>3666</v>
      </c>
      <c r="AH133" s="220">
        <f t="shared" si="4"/>
        <v>4590014334</v>
      </c>
      <c r="AI133" s="208"/>
      <c r="AJ133" s="220"/>
      <c r="AK133" s="221"/>
      <c r="AL133" s="227"/>
      <c r="AM133" s="208"/>
      <c r="AN133" s="220"/>
      <c r="AO133" s="222"/>
      <c r="AP133" s="227"/>
      <c r="AQ133" s="358">
        <f ca="1">IF(表格1[[#This Row],[PO$]]="","100%",表格1[[#This Row],[total amount]]/表格1[[#This Row],[PO$]])</f>
        <v>0</v>
      </c>
      <c r="AR133" s="223">
        <f ca="1">表格1[[#This Row],[invoice amount]]+表格1[[#This Row],[invoice amount2]]</f>
        <v>0</v>
      </c>
      <c r="AS133" s="224"/>
      <c r="AT133" s="208"/>
      <c r="AU133" s="208" t="e">
        <f ca="1">VLOOKUP(表格1[[#This Row],[PO+ITEM]],#REF!,2,FALSE)</f>
        <v>#REF!</v>
      </c>
      <c r="AV133" s="341" t="e">
        <f ca="1">VLOOKUP(表格1[[#This Row],[PO+ITEM]],#REF!,3,FALSE)</f>
        <v>#REF!</v>
      </c>
      <c r="AW133" s="208" t="e">
        <f ca="1">VLOOKUP(表格1[[#This Row],[PO+ITEM]],#REF!,4,FALSE)</f>
        <v>#REF!</v>
      </c>
      <c r="AX133" s="208" t="e" cm="1" vm="1">
        <f t="array" aca="1" ref="AX133" ca="1">VLOOKUP(AI:AI,#REF!,1,FALSE)</f>
        <v>#VALUE!</v>
      </c>
    </row>
    <row r="134" spans="1:50" ht="15.6">
      <c r="A134" s="220">
        <v>133</v>
      </c>
      <c r="B134" s="220" t="s">
        <v>3674</v>
      </c>
      <c r="C134" s="209" t="s">
        <v>17</v>
      </c>
      <c r="D134" s="209" t="s">
        <v>3648</v>
      </c>
      <c r="E134" s="209" t="s">
        <v>2196</v>
      </c>
      <c r="F134" s="209"/>
      <c r="G134" s="209"/>
      <c r="H134" s="210" t="s">
        <v>4158</v>
      </c>
      <c r="I134" s="218"/>
      <c r="J134" s="218"/>
      <c r="K134" s="218"/>
      <c r="L134" s="212" t="s">
        <v>4159</v>
      </c>
      <c r="M134" s="212"/>
      <c r="N134" s="218"/>
      <c r="O134" s="212">
        <v>4590014335</v>
      </c>
      <c r="P134" s="212" t="s">
        <v>6713</v>
      </c>
      <c r="Q134" s="334">
        <v>1</v>
      </c>
      <c r="R134" s="216">
        <v>2865.41</v>
      </c>
      <c r="S134" s="217" t="s">
        <v>2156</v>
      </c>
      <c r="T134" s="209"/>
      <c r="U134" s="209" t="s">
        <v>4031</v>
      </c>
      <c r="V134" s="210"/>
      <c r="W134" s="218" t="s">
        <v>3652</v>
      </c>
      <c r="X134" s="218" t="s">
        <v>3652</v>
      </c>
      <c r="Y134" s="212" t="s">
        <v>4559</v>
      </c>
      <c r="Z134" s="209" t="s">
        <v>4162</v>
      </c>
      <c r="AA134" s="218"/>
      <c r="AB134" s="218" t="s">
        <v>4083</v>
      </c>
      <c r="AC134" s="218" t="e">
        <v>#N/A</v>
      </c>
      <c r="AD134" s="217">
        <v>90631</v>
      </c>
      <c r="AE134" s="217" t="s">
        <v>3155</v>
      </c>
      <c r="AF134" s="217" t="s">
        <v>3828</v>
      </c>
      <c r="AG134" s="217" t="s">
        <v>3666</v>
      </c>
      <c r="AH134" s="220">
        <f t="shared" si="4"/>
        <v>4590014335</v>
      </c>
      <c r="AI134" s="208" t="s">
        <v>4163</v>
      </c>
      <c r="AJ134" s="227">
        <v>45345</v>
      </c>
      <c r="AK134" s="221">
        <v>0</v>
      </c>
      <c r="AL134" s="314" t="s">
        <v>3788</v>
      </c>
      <c r="AM134" s="208"/>
      <c r="AN134" s="220"/>
      <c r="AO134" s="222"/>
      <c r="AP134" s="227"/>
      <c r="AQ134" s="358">
        <f ca="1">IF(表格1[[#This Row],[PO$]]="","100%",表格1[[#This Row],[total amount]]/表格1[[#This Row],[PO$]])</f>
        <v>0</v>
      </c>
      <c r="AR134" s="223">
        <f ca="1">表格1[[#This Row],[invoice amount]]+表格1[[#This Row],[invoice amount2]]</f>
        <v>0</v>
      </c>
      <c r="AS134" s="224" t="s">
        <v>3789</v>
      </c>
      <c r="AT134" s="208" t="s">
        <v>4164</v>
      </c>
      <c r="AU134" s="208" t="e">
        <f ca="1">VLOOKUP(表格1[[#This Row],[PO+ITEM]],#REF!,2,FALSE)</f>
        <v>#REF!</v>
      </c>
      <c r="AV134" s="341" t="e">
        <f ca="1">VLOOKUP(表格1[[#This Row],[PO+ITEM]],#REF!,3,FALSE)</f>
        <v>#REF!</v>
      </c>
      <c r="AW134" s="208" t="e">
        <f ca="1">VLOOKUP(表格1[[#This Row],[PO+ITEM]],#REF!,4,FALSE)</f>
        <v>#REF!</v>
      </c>
      <c r="AX134" s="208" t="e" cm="1" vm="1">
        <f t="array" aca="1" ref="AX134" ca="1">VLOOKUP(AI:AI,#REF!,1,FALSE)</f>
        <v>#VALUE!</v>
      </c>
    </row>
    <row r="135" spans="1:50">
      <c r="A135" s="220">
        <v>134</v>
      </c>
      <c r="B135" s="220" t="s">
        <v>3674</v>
      </c>
      <c r="C135" s="209" t="s">
        <v>17</v>
      </c>
      <c r="D135" s="209" t="s">
        <v>3648</v>
      </c>
      <c r="E135" s="209" t="s">
        <v>2196</v>
      </c>
      <c r="F135" s="209"/>
      <c r="G135" s="209"/>
      <c r="H135" s="210" t="s">
        <v>4165</v>
      </c>
      <c r="I135" s="218"/>
      <c r="J135" s="218"/>
      <c r="K135" s="218"/>
      <c r="L135" s="212" t="s">
        <v>4166</v>
      </c>
      <c r="M135" s="212"/>
      <c r="N135" s="218"/>
      <c r="O135" s="212">
        <v>4590014546</v>
      </c>
      <c r="P135" s="212" t="s">
        <v>6714</v>
      </c>
      <c r="Q135" s="334">
        <v>1</v>
      </c>
      <c r="R135" s="216">
        <v>4568.6899999999996</v>
      </c>
      <c r="S135" s="217" t="s">
        <v>2156</v>
      </c>
      <c r="T135" s="209"/>
      <c r="U135" s="209" t="s">
        <v>4031</v>
      </c>
      <c r="V135" s="210"/>
      <c r="W135" s="218" t="s">
        <v>3652</v>
      </c>
      <c r="X135" s="218" t="s">
        <v>3652</v>
      </c>
      <c r="Y135" s="212" t="s">
        <v>4168</v>
      </c>
      <c r="Z135" s="209" t="s">
        <v>4169</v>
      </c>
      <c r="AA135" s="218"/>
      <c r="AB135" s="218" t="s">
        <v>4083</v>
      </c>
      <c r="AC135" s="218" t="e">
        <v>#N/A</v>
      </c>
      <c r="AD135" s="217">
        <v>90052</v>
      </c>
      <c r="AE135" s="217" t="s">
        <v>2817</v>
      </c>
      <c r="AF135" s="217" t="s">
        <v>3681</v>
      </c>
      <c r="AG135" s="217" t="s">
        <v>32</v>
      </c>
      <c r="AH135" s="220">
        <f t="shared" si="4"/>
        <v>4590014546</v>
      </c>
      <c r="AI135" s="208" t="s">
        <v>4170</v>
      </c>
      <c r="AJ135" s="227">
        <v>45345</v>
      </c>
      <c r="AK135" s="221">
        <v>4568.6899999999996</v>
      </c>
      <c r="AL135" s="227">
        <v>45442</v>
      </c>
      <c r="AM135" s="208"/>
      <c r="AN135" s="220"/>
      <c r="AO135" s="222"/>
      <c r="AP135" s="227"/>
      <c r="AQ135" s="358">
        <f ca="1">IF(表格1[[#This Row],[PO$]]="","100%",表格1[[#This Row],[total amount]]/表格1[[#This Row],[PO$]])</f>
        <v>1</v>
      </c>
      <c r="AR135" s="223">
        <f ca="1">表格1[[#This Row],[invoice amount]]+表格1[[#This Row],[invoice amount2]]</f>
        <v>4568.6899999999996</v>
      </c>
      <c r="AS135" s="224" t="s">
        <v>3725</v>
      </c>
      <c r="AT135" s="208"/>
      <c r="AU135" s="208" t="e">
        <f ca="1">VLOOKUP(表格1[[#This Row],[PO+ITEM]],#REF!,2,FALSE)</f>
        <v>#REF!</v>
      </c>
      <c r="AV135" s="341" t="e">
        <f ca="1">VLOOKUP(表格1[[#This Row],[PO+ITEM]],#REF!,3,FALSE)</f>
        <v>#REF!</v>
      </c>
      <c r="AW135" s="208" t="e">
        <f ca="1">VLOOKUP(表格1[[#This Row],[PO+ITEM]],#REF!,4,FALSE)</f>
        <v>#REF!</v>
      </c>
      <c r="AX135" s="208" t="e" cm="1" vm="1">
        <f t="array" aca="1" ref="AX135" ca="1">VLOOKUP(AI:AI,#REF!,1,FALSE)</f>
        <v>#VALUE!</v>
      </c>
    </row>
    <row r="136" spans="1:50" ht="15.6">
      <c r="A136" s="220">
        <v>135</v>
      </c>
      <c r="B136" s="220" t="s">
        <v>3674</v>
      </c>
      <c r="C136" s="209" t="s">
        <v>17</v>
      </c>
      <c r="D136" s="209" t="s">
        <v>3648</v>
      </c>
      <c r="E136" s="209" t="s">
        <v>2196</v>
      </c>
      <c r="F136" s="209"/>
      <c r="G136" s="209"/>
      <c r="H136" s="210" t="s">
        <v>4171</v>
      </c>
      <c r="I136" s="218"/>
      <c r="J136" s="218"/>
      <c r="K136" s="218"/>
      <c r="L136" s="212" t="s">
        <v>2206</v>
      </c>
      <c r="M136" s="212"/>
      <c r="N136" s="218"/>
      <c r="O136" s="212">
        <v>4590014925</v>
      </c>
      <c r="P136" s="212" t="s">
        <v>2658</v>
      </c>
      <c r="Q136" s="334">
        <v>1</v>
      </c>
      <c r="R136" s="216">
        <v>30202.91</v>
      </c>
      <c r="S136" s="217" t="s">
        <v>2156</v>
      </c>
      <c r="T136" s="209" t="s">
        <v>4030</v>
      </c>
      <c r="U136" s="209" t="s">
        <v>4031</v>
      </c>
      <c r="V136" s="210" t="s">
        <v>4038</v>
      </c>
      <c r="W136" s="218" t="s">
        <v>3652</v>
      </c>
      <c r="X136" s="218" t="s">
        <v>3652</v>
      </c>
      <c r="Y136" s="212" t="s">
        <v>4172</v>
      </c>
      <c r="Z136" s="209" t="s">
        <v>4173</v>
      </c>
      <c r="AA136" s="218"/>
      <c r="AB136" s="218" t="s">
        <v>4083</v>
      </c>
      <c r="AC136" s="218" t="e">
        <v>#N/A</v>
      </c>
      <c r="AD136" s="217">
        <v>90572</v>
      </c>
      <c r="AE136" s="217" t="s">
        <v>2555</v>
      </c>
      <c r="AF136" s="217" t="s">
        <v>3911</v>
      </c>
      <c r="AG136" s="217" t="s">
        <v>846</v>
      </c>
      <c r="AH136" s="220">
        <f t="shared" si="4"/>
        <v>4590014925</v>
      </c>
      <c r="AI136" s="208" t="s">
        <v>4174</v>
      </c>
      <c r="AJ136" s="227">
        <v>45345</v>
      </c>
      <c r="AK136" s="221">
        <v>30202.91</v>
      </c>
      <c r="AL136" s="345">
        <v>45458</v>
      </c>
      <c r="AM136" s="208"/>
      <c r="AN136" s="220"/>
      <c r="AO136" s="222"/>
      <c r="AP136" s="227"/>
      <c r="AQ136" s="358">
        <f ca="1">IF(表格1[[#This Row],[PO$]]="","100%",表格1[[#This Row],[total amount]]/表格1[[#This Row],[PO$]])</f>
        <v>1</v>
      </c>
      <c r="AR136" s="223">
        <f ca="1">表格1[[#This Row],[invoice amount]]+表格1[[#This Row],[invoice amount2]]</f>
        <v>30202.91</v>
      </c>
      <c r="AS136" s="224" t="s">
        <v>3725</v>
      </c>
      <c r="AT136" s="208"/>
      <c r="AU136" s="208" t="e">
        <f ca="1">VLOOKUP(表格1[[#This Row],[PO+ITEM]],#REF!,2,FALSE)</f>
        <v>#REF!</v>
      </c>
      <c r="AV136" s="341" t="e">
        <f ca="1">VLOOKUP(表格1[[#This Row],[PO+ITEM]],#REF!,3,FALSE)</f>
        <v>#REF!</v>
      </c>
      <c r="AW136" s="208" t="e">
        <f ca="1">VLOOKUP(表格1[[#This Row],[PO+ITEM]],#REF!,4,FALSE)</f>
        <v>#REF!</v>
      </c>
      <c r="AX136" s="208" t="e" cm="1" vm="1">
        <f t="array" aca="1" ref="AX136" ca="1">VLOOKUP(AI:AI,#REF!,1,FALSE)</f>
        <v>#VALUE!</v>
      </c>
    </row>
    <row r="137" spans="1:50">
      <c r="A137" s="220">
        <v>136</v>
      </c>
      <c r="B137" s="220" t="s">
        <v>3674</v>
      </c>
      <c r="C137" s="209" t="s">
        <v>17</v>
      </c>
      <c r="D137" s="209" t="s">
        <v>3648</v>
      </c>
      <c r="E137" s="209" t="s">
        <v>2196</v>
      </c>
      <c r="F137" s="209"/>
      <c r="G137" s="209"/>
      <c r="H137" s="210" t="s">
        <v>4175</v>
      </c>
      <c r="I137" s="218"/>
      <c r="J137" s="218"/>
      <c r="K137" s="218"/>
      <c r="L137" s="212" t="s">
        <v>4105</v>
      </c>
      <c r="M137" s="212"/>
      <c r="N137" s="218"/>
      <c r="O137" s="212">
        <v>4590015105</v>
      </c>
      <c r="P137" s="212" t="s">
        <v>2676</v>
      </c>
      <c r="Q137" s="334">
        <v>1</v>
      </c>
      <c r="R137" s="216">
        <v>2580.67</v>
      </c>
      <c r="S137" s="217" t="s">
        <v>2156</v>
      </c>
      <c r="T137" s="209"/>
      <c r="U137" s="209" t="s">
        <v>4031</v>
      </c>
      <c r="V137" s="210"/>
      <c r="W137" s="218" t="s">
        <v>3652</v>
      </c>
      <c r="X137" s="218" t="s">
        <v>3652</v>
      </c>
      <c r="Y137" s="212" t="s">
        <v>4177</v>
      </c>
      <c r="Z137" s="209" t="s">
        <v>4178</v>
      </c>
      <c r="AA137" s="218"/>
      <c r="AB137" s="218" t="s">
        <v>4083</v>
      </c>
      <c r="AC137" s="218" t="e">
        <v>#N/A</v>
      </c>
      <c r="AD137" s="217"/>
      <c r="AE137" s="217" t="s">
        <v>3164</v>
      </c>
      <c r="AF137" s="217" t="s">
        <v>4109</v>
      </c>
      <c r="AG137" s="217" t="s">
        <v>3666</v>
      </c>
      <c r="AH137" s="220">
        <f t="shared" si="4"/>
        <v>4590015105</v>
      </c>
      <c r="AI137" s="208" t="s">
        <v>4179</v>
      </c>
      <c r="AJ137" s="227">
        <v>45345</v>
      </c>
      <c r="AK137" s="311">
        <v>2580.67</v>
      </c>
      <c r="AL137" s="227">
        <v>45427</v>
      </c>
      <c r="AM137" s="208"/>
      <c r="AN137" s="220"/>
      <c r="AO137" s="222"/>
      <c r="AP137" s="227"/>
      <c r="AQ137" s="358">
        <f ca="1">IF(表格1[[#This Row],[PO$]]="","100%",表格1[[#This Row],[total amount]]/表格1[[#This Row],[PO$]])</f>
        <v>1</v>
      </c>
      <c r="AR137" s="223">
        <f ca="1">表格1[[#This Row],[invoice amount]]+表格1[[#This Row],[invoice amount2]]</f>
        <v>2580.67</v>
      </c>
      <c r="AS137" s="224" t="s">
        <v>3725</v>
      </c>
      <c r="AT137" s="208"/>
      <c r="AU137" s="208" t="e">
        <f ca="1">VLOOKUP(表格1[[#This Row],[PO+ITEM]],#REF!,2,FALSE)</f>
        <v>#REF!</v>
      </c>
      <c r="AV137" s="341" t="e">
        <f ca="1">VLOOKUP(表格1[[#This Row],[PO+ITEM]],#REF!,3,FALSE)</f>
        <v>#REF!</v>
      </c>
      <c r="AW137" s="208" t="e">
        <f ca="1">VLOOKUP(表格1[[#This Row],[PO+ITEM]],#REF!,4,FALSE)</f>
        <v>#REF!</v>
      </c>
      <c r="AX137" s="208" t="e" cm="1" vm="1">
        <f t="array" aca="1" ref="AX137" ca="1">VLOOKUP(AI:AI,#REF!,1,FALSE)</f>
        <v>#VALUE!</v>
      </c>
    </row>
    <row r="138" spans="1:50">
      <c r="A138" s="220">
        <v>137</v>
      </c>
      <c r="B138" s="220" t="e">
        <v>#N/A</v>
      </c>
      <c r="C138" s="209" t="s">
        <v>10</v>
      </c>
      <c r="D138" s="209" t="s">
        <v>3648</v>
      </c>
      <c r="E138" s="209"/>
      <c r="F138" s="209"/>
      <c r="G138" s="209"/>
      <c r="H138" s="210" t="s">
        <v>4180</v>
      </c>
      <c r="I138" s="218"/>
      <c r="J138" s="218"/>
      <c r="K138" s="218"/>
      <c r="L138" s="212" t="s">
        <v>2888</v>
      </c>
      <c r="M138" s="212"/>
      <c r="N138" s="218"/>
      <c r="O138" s="212">
        <v>4590015106</v>
      </c>
      <c r="P138" s="212" t="s">
        <v>2676</v>
      </c>
      <c r="Q138" s="334">
        <v>1</v>
      </c>
      <c r="R138" s="349">
        <v>1519.24</v>
      </c>
      <c r="S138" s="217" t="s">
        <v>2156</v>
      </c>
      <c r="T138" s="209" t="s">
        <v>3650</v>
      </c>
      <c r="U138" s="209" t="s">
        <v>3651</v>
      </c>
      <c r="V138" s="213" t="s">
        <v>3649</v>
      </c>
      <c r="W138" s="218" t="s">
        <v>3652</v>
      </c>
      <c r="X138" s="218" t="s">
        <v>3652</v>
      </c>
      <c r="Y138" s="212">
        <v>0</v>
      </c>
      <c r="Z138" s="209" t="s">
        <v>4181</v>
      </c>
      <c r="AA138" s="218"/>
      <c r="AB138" s="218" t="s">
        <v>4083</v>
      </c>
      <c r="AC138" s="218" t="e">
        <v>#N/A</v>
      </c>
      <c r="AD138" s="218"/>
      <c r="AE138" s="217">
        <v>0</v>
      </c>
      <c r="AF138" s="212" t="s">
        <v>3654</v>
      </c>
      <c r="AG138" s="218"/>
      <c r="AH138" s="220">
        <f t="shared" si="4"/>
        <v>4590015106</v>
      </c>
      <c r="AI138" s="217" t="s">
        <v>4183</v>
      </c>
      <c r="AJ138" s="227">
        <v>45471</v>
      </c>
      <c r="AK138" s="221">
        <v>1519.24</v>
      </c>
      <c r="AL138" s="227">
        <v>45503</v>
      </c>
      <c r="AM138" s="208"/>
      <c r="AN138" s="220"/>
      <c r="AO138" s="222"/>
      <c r="AP138" s="227"/>
      <c r="AQ138" s="358">
        <f ca="1">IF(表格1[[#This Row],[PO$]]="","100%",表格1[[#This Row],[total amount]]/表格1[[#This Row],[PO$]])</f>
        <v>1</v>
      </c>
      <c r="AR138" s="223">
        <f ca="1">表格1[[#This Row],[invoice amount]]+表格1[[#This Row],[invoice amount2]]</f>
        <v>1519.24</v>
      </c>
      <c r="AS138" s="224" t="s">
        <v>3725</v>
      </c>
      <c r="AT138" s="208"/>
      <c r="AU138" s="208" t="e">
        <f ca="1">VLOOKUP(表格1[[#This Row],[PO+ITEM]],#REF!,2,FALSE)</f>
        <v>#REF!</v>
      </c>
      <c r="AV138" s="341" t="e">
        <f ca="1">VLOOKUP(表格1[[#This Row],[PO+ITEM]],#REF!,3,FALSE)</f>
        <v>#REF!</v>
      </c>
      <c r="AW138" s="208" t="e">
        <f ca="1">VLOOKUP(表格1[[#This Row],[PO+ITEM]],#REF!,4,FALSE)</f>
        <v>#REF!</v>
      </c>
      <c r="AX138" s="208" t="e" cm="1" vm="1">
        <f t="array" aca="1" ref="AX138" ca="1">VLOOKUP(AI:AI,#REF!,1,FALSE)</f>
        <v>#VALUE!</v>
      </c>
    </row>
    <row r="139" spans="1:50">
      <c r="A139" s="220">
        <v>138</v>
      </c>
      <c r="B139" s="220" t="s">
        <v>3674</v>
      </c>
      <c r="C139" s="209" t="s">
        <v>17</v>
      </c>
      <c r="D139" s="209" t="s">
        <v>3648</v>
      </c>
      <c r="E139" s="209" t="s">
        <v>2196</v>
      </c>
      <c r="F139" s="209"/>
      <c r="G139" s="209"/>
      <c r="H139" s="210" t="s">
        <v>4184</v>
      </c>
      <c r="I139" s="218"/>
      <c r="J139" s="218"/>
      <c r="K139" s="218"/>
      <c r="L139" s="212" t="s">
        <v>3547</v>
      </c>
      <c r="M139" s="212"/>
      <c r="N139" s="218"/>
      <c r="O139" s="212">
        <v>4590015107</v>
      </c>
      <c r="P139" s="212" t="s">
        <v>2676</v>
      </c>
      <c r="Q139" s="334">
        <v>1</v>
      </c>
      <c r="R139" s="216">
        <v>2870.4</v>
      </c>
      <c r="S139" s="217" t="s">
        <v>2156</v>
      </c>
      <c r="T139" s="209" t="s">
        <v>3913</v>
      </c>
      <c r="U139" s="209" t="s">
        <v>3914</v>
      </c>
      <c r="V139" s="210" t="s">
        <v>3915</v>
      </c>
      <c r="W139" s="218" t="s">
        <v>3652</v>
      </c>
      <c r="X139" s="218" t="s">
        <v>3652</v>
      </c>
      <c r="Y139" s="212" t="s">
        <v>4185</v>
      </c>
      <c r="Z139" s="209" t="s">
        <v>4186</v>
      </c>
      <c r="AA139" s="218"/>
      <c r="AB139" s="218" t="s">
        <v>4083</v>
      </c>
      <c r="AC139" s="218" t="e">
        <v>#N/A</v>
      </c>
      <c r="AD139" s="217">
        <v>90730</v>
      </c>
      <c r="AE139" s="217" t="s">
        <v>4187</v>
      </c>
      <c r="AF139" s="217" t="s">
        <v>3918</v>
      </c>
      <c r="AG139" s="217" t="s">
        <v>3919</v>
      </c>
      <c r="AH139" s="220">
        <f t="shared" si="4"/>
        <v>4590015107</v>
      </c>
      <c r="AI139" s="208" t="s">
        <v>4188</v>
      </c>
      <c r="AJ139" s="227">
        <v>45377</v>
      </c>
      <c r="AK139" s="221">
        <v>2870.4</v>
      </c>
      <c r="AL139" s="227">
        <v>45471</v>
      </c>
      <c r="AM139" s="208"/>
      <c r="AN139" s="220"/>
      <c r="AO139" s="222"/>
      <c r="AP139" s="227"/>
      <c r="AQ139" s="358">
        <f ca="1">IF(表格1[[#This Row],[PO$]]="","100%",表格1[[#This Row],[total amount]]/表格1[[#This Row],[PO$]])</f>
        <v>1</v>
      </c>
      <c r="AR139" s="223">
        <f ca="1">表格1[[#This Row],[invoice amount]]+表格1[[#This Row],[invoice amount2]]</f>
        <v>2870.4</v>
      </c>
      <c r="AS139" s="224" t="s">
        <v>3673</v>
      </c>
      <c r="AT139" s="208"/>
      <c r="AU139" s="208" t="e">
        <f ca="1">VLOOKUP(表格1[[#This Row],[PO+ITEM]],#REF!,2,FALSE)</f>
        <v>#REF!</v>
      </c>
      <c r="AV139" s="341" t="e">
        <f ca="1">VLOOKUP(表格1[[#This Row],[PO+ITEM]],#REF!,3,FALSE)</f>
        <v>#REF!</v>
      </c>
      <c r="AW139" s="208" t="e">
        <f ca="1">VLOOKUP(表格1[[#This Row],[PO+ITEM]],#REF!,4,FALSE)</f>
        <v>#REF!</v>
      </c>
      <c r="AX139" s="208" t="e" cm="1" vm="1">
        <f t="array" aca="1" ref="AX139" ca="1">VLOOKUP(AI:AI,#REF!,1,FALSE)</f>
        <v>#VALUE!</v>
      </c>
    </row>
    <row r="140" spans="1:50">
      <c r="A140" s="220">
        <v>139</v>
      </c>
      <c r="B140" s="220" t="s">
        <v>3674</v>
      </c>
      <c r="C140" s="209" t="s">
        <v>17</v>
      </c>
      <c r="D140" s="209" t="s">
        <v>3648</v>
      </c>
      <c r="E140" s="209" t="s">
        <v>2196</v>
      </c>
      <c r="F140" s="209"/>
      <c r="G140" s="209"/>
      <c r="H140" s="210" t="s">
        <v>4189</v>
      </c>
      <c r="I140" s="218"/>
      <c r="J140" s="218"/>
      <c r="K140" s="218"/>
      <c r="L140" s="212" t="s">
        <v>3547</v>
      </c>
      <c r="M140" s="212"/>
      <c r="N140" s="218"/>
      <c r="O140" s="212">
        <v>4590015108</v>
      </c>
      <c r="P140" s="212" t="s">
        <v>2676</v>
      </c>
      <c r="Q140" s="334">
        <v>1</v>
      </c>
      <c r="R140" s="216">
        <v>2870.4</v>
      </c>
      <c r="S140" s="217" t="s">
        <v>2156</v>
      </c>
      <c r="T140" s="209" t="s">
        <v>3913</v>
      </c>
      <c r="U140" s="209" t="s">
        <v>3914</v>
      </c>
      <c r="V140" s="210" t="s">
        <v>3915</v>
      </c>
      <c r="W140" s="218" t="s">
        <v>3652</v>
      </c>
      <c r="X140" s="218" t="s">
        <v>3652</v>
      </c>
      <c r="Y140" s="212" t="s">
        <v>4185</v>
      </c>
      <c r="Z140" s="209" t="s">
        <v>4190</v>
      </c>
      <c r="AA140" s="218"/>
      <c r="AB140" s="218" t="s">
        <v>4083</v>
      </c>
      <c r="AC140" s="218" t="e">
        <v>#N/A</v>
      </c>
      <c r="AD140" s="217">
        <v>90729</v>
      </c>
      <c r="AE140" s="217" t="s">
        <v>4191</v>
      </c>
      <c r="AF140" s="217" t="s">
        <v>3918</v>
      </c>
      <c r="AG140" s="217" t="s">
        <v>3919</v>
      </c>
      <c r="AH140" s="220">
        <f t="shared" si="4"/>
        <v>4590015108</v>
      </c>
      <c r="AI140" s="208" t="s">
        <v>4192</v>
      </c>
      <c r="AJ140" s="227">
        <v>45377</v>
      </c>
      <c r="AK140" s="221">
        <v>2870.4</v>
      </c>
      <c r="AL140" s="227">
        <v>45471</v>
      </c>
      <c r="AM140" s="208"/>
      <c r="AN140" s="220"/>
      <c r="AO140" s="222"/>
      <c r="AP140" s="227"/>
      <c r="AQ140" s="358">
        <f ca="1">IF(表格1[[#This Row],[PO$]]="","100%",表格1[[#This Row],[total amount]]/表格1[[#This Row],[PO$]])</f>
        <v>1</v>
      </c>
      <c r="AR140" s="223">
        <f ca="1">表格1[[#This Row],[invoice amount]]+表格1[[#This Row],[invoice amount2]]</f>
        <v>2870.4</v>
      </c>
      <c r="AS140" s="224" t="s">
        <v>3673</v>
      </c>
      <c r="AT140" s="208"/>
      <c r="AU140" s="208" t="e">
        <f ca="1">VLOOKUP(表格1[[#This Row],[PO+ITEM]],#REF!,2,FALSE)</f>
        <v>#REF!</v>
      </c>
      <c r="AV140" s="341" t="e">
        <f ca="1">VLOOKUP(表格1[[#This Row],[PO+ITEM]],#REF!,3,FALSE)</f>
        <v>#REF!</v>
      </c>
      <c r="AW140" s="208" t="e">
        <f ca="1">VLOOKUP(表格1[[#This Row],[PO+ITEM]],#REF!,4,FALSE)</f>
        <v>#REF!</v>
      </c>
      <c r="AX140" s="208" t="e" cm="1" vm="1">
        <f t="array" aca="1" ref="AX140" ca="1">VLOOKUP(AI:AI,#REF!,1,FALSE)</f>
        <v>#VALUE!</v>
      </c>
    </row>
    <row r="141" spans="1:50">
      <c r="A141" s="220">
        <v>140</v>
      </c>
      <c r="B141" s="220" t="e">
        <v>#N/A</v>
      </c>
      <c r="C141" s="209" t="s">
        <v>10</v>
      </c>
      <c r="D141" s="209" t="s">
        <v>3648</v>
      </c>
      <c r="E141" s="209"/>
      <c r="F141" s="209"/>
      <c r="G141" s="209"/>
      <c r="H141" s="210" t="s">
        <v>4193</v>
      </c>
      <c r="I141" s="218"/>
      <c r="J141" s="218"/>
      <c r="K141" s="218"/>
      <c r="L141" s="212" t="s">
        <v>2888</v>
      </c>
      <c r="M141" s="212"/>
      <c r="N141" s="218"/>
      <c r="O141" s="212">
        <v>4590015110</v>
      </c>
      <c r="P141" s="212" t="s">
        <v>2676</v>
      </c>
      <c r="Q141" s="334">
        <v>1</v>
      </c>
      <c r="R141" s="349">
        <v>5111.7</v>
      </c>
      <c r="S141" s="217" t="s">
        <v>2156</v>
      </c>
      <c r="T141" s="209" t="s">
        <v>3650</v>
      </c>
      <c r="U141" s="209" t="s">
        <v>3651</v>
      </c>
      <c r="V141" s="213" t="s">
        <v>3649</v>
      </c>
      <c r="W141" s="218" t="s">
        <v>3652</v>
      </c>
      <c r="X141" s="218" t="s">
        <v>3652</v>
      </c>
      <c r="Y141" s="212">
        <v>0</v>
      </c>
      <c r="Z141" s="209" t="s">
        <v>4194</v>
      </c>
      <c r="AA141" s="218"/>
      <c r="AB141" s="218" t="s">
        <v>4083</v>
      </c>
      <c r="AC141" s="218" t="e">
        <v>#N/A</v>
      </c>
      <c r="AD141" s="218"/>
      <c r="AE141" s="217" t="s">
        <v>6715</v>
      </c>
      <c r="AF141" s="212" t="s">
        <v>3654</v>
      </c>
      <c r="AG141" s="218"/>
      <c r="AH141" s="220">
        <f t="shared" si="4"/>
        <v>4590015110</v>
      </c>
      <c r="AI141" s="217" t="s">
        <v>4195</v>
      </c>
      <c r="AJ141" s="227">
        <v>45471</v>
      </c>
      <c r="AK141" s="221">
        <v>5111.7</v>
      </c>
      <c r="AL141" s="227"/>
      <c r="AM141" s="208"/>
      <c r="AN141" s="220"/>
      <c r="AO141" s="222"/>
      <c r="AP141" s="227"/>
      <c r="AQ141" s="358">
        <f ca="1">IF(表格1[[#This Row],[PO$]]="","100%",表格1[[#This Row],[total amount]]/表格1[[#This Row],[PO$]])</f>
        <v>1</v>
      </c>
      <c r="AR141" s="223">
        <f ca="1">表格1[[#This Row],[invoice amount]]+表格1[[#This Row],[invoice amount2]]</f>
        <v>5111.7</v>
      </c>
      <c r="AS141" s="224" t="s">
        <v>3752</v>
      </c>
      <c r="AT141" s="208"/>
      <c r="AU141" s="208" t="e">
        <f ca="1">VLOOKUP(表格1[[#This Row],[PO+ITEM]],#REF!,2,FALSE)</f>
        <v>#REF!</v>
      </c>
      <c r="AV141" s="341" t="e">
        <f ca="1">VLOOKUP(表格1[[#This Row],[PO+ITEM]],#REF!,3,FALSE)</f>
        <v>#REF!</v>
      </c>
      <c r="AW141" s="208" t="e">
        <f ca="1">VLOOKUP(表格1[[#This Row],[PO+ITEM]],#REF!,4,FALSE)</f>
        <v>#REF!</v>
      </c>
      <c r="AX141" s="208" t="e" cm="1" vm="1">
        <f t="array" aca="1" ref="AX141" ca="1">VLOOKUP(AI:AI,#REF!,1,FALSE)</f>
        <v>#VALUE!</v>
      </c>
    </row>
    <row r="142" spans="1:50">
      <c r="A142" s="220">
        <v>141</v>
      </c>
      <c r="B142" s="220" t="s">
        <v>3674</v>
      </c>
      <c r="C142" s="209" t="s">
        <v>17</v>
      </c>
      <c r="D142" s="209" t="s">
        <v>3648</v>
      </c>
      <c r="E142" s="209" t="s">
        <v>2196</v>
      </c>
      <c r="F142" s="209"/>
      <c r="G142" s="209"/>
      <c r="H142" s="210" t="s">
        <v>4196</v>
      </c>
      <c r="I142" s="218"/>
      <c r="J142" s="218"/>
      <c r="K142" s="218"/>
      <c r="L142" s="212" t="s">
        <v>3547</v>
      </c>
      <c r="M142" s="212"/>
      <c r="N142" s="218"/>
      <c r="O142" s="212">
        <v>4590015915</v>
      </c>
      <c r="P142" s="212" t="s">
        <v>6716</v>
      </c>
      <c r="Q142" s="334">
        <v>1</v>
      </c>
      <c r="R142" s="261">
        <v>11064</v>
      </c>
      <c r="S142" s="217" t="s">
        <v>2156</v>
      </c>
      <c r="T142" s="209"/>
      <c r="U142" s="209" t="s">
        <v>4031</v>
      </c>
      <c r="V142" s="210"/>
      <c r="W142" s="218" t="s">
        <v>3652</v>
      </c>
      <c r="X142" s="218" t="s">
        <v>3652</v>
      </c>
      <c r="Y142" s="212" t="s">
        <v>4198</v>
      </c>
      <c r="Z142" s="209" t="s">
        <v>4199</v>
      </c>
      <c r="AA142" s="218" t="s">
        <v>3888</v>
      </c>
      <c r="AB142" s="218" t="s">
        <v>4083</v>
      </c>
      <c r="AC142" s="218" t="e">
        <v>#N/A</v>
      </c>
      <c r="AD142" s="217">
        <v>73845</v>
      </c>
      <c r="AE142" s="217" t="s">
        <v>3888</v>
      </c>
      <c r="AF142" s="217" t="s">
        <v>2250</v>
      </c>
      <c r="AG142" s="217" t="s">
        <v>3875</v>
      </c>
      <c r="AH142" s="220">
        <f t="shared" si="4"/>
        <v>4590015915</v>
      </c>
      <c r="AI142" s="208" t="s">
        <v>4200</v>
      </c>
      <c r="AJ142" s="227">
        <v>45351</v>
      </c>
      <c r="AK142" s="221">
        <v>11064</v>
      </c>
      <c r="AL142" s="227" t="s">
        <v>3805</v>
      </c>
      <c r="AM142" s="208"/>
      <c r="AN142" s="220"/>
      <c r="AO142" s="222"/>
      <c r="AP142" s="227"/>
      <c r="AQ142" s="358">
        <f ca="1">IF(表格1[[#This Row],[PO$]]="","100%",表格1[[#This Row],[total amount]]/表格1[[#This Row],[PO$]])</f>
        <v>1</v>
      </c>
      <c r="AR142" s="223">
        <f ca="1">表格1[[#This Row],[invoice amount]]+表格1[[#This Row],[invoice amount2]]</f>
        <v>11064</v>
      </c>
      <c r="AS142" s="224" t="s">
        <v>3806</v>
      </c>
      <c r="AT142" s="208"/>
      <c r="AU142" s="208" t="e">
        <f ca="1">VLOOKUP(表格1[[#This Row],[PO+ITEM]],#REF!,2,FALSE)</f>
        <v>#REF!</v>
      </c>
      <c r="AV142" s="341" t="e">
        <f ca="1">VLOOKUP(表格1[[#This Row],[PO+ITEM]],#REF!,3,FALSE)</f>
        <v>#REF!</v>
      </c>
      <c r="AW142" s="208" t="e">
        <f ca="1">VLOOKUP(表格1[[#This Row],[PO+ITEM]],#REF!,4,FALSE)</f>
        <v>#REF!</v>
      </c>
      <c r="AX142" s="208" t="e" cm="1" vm="1">
        <f t="array" aca="1" ref="AX142" ca="1">VLOOKUP(AI:AI,#REF!,1,FALSE)</f>
        <v>#VALUE!</v>
      </c>
    </row>
    <row r="143" spans="1:50">
      <c r="A143" s="220">
        <v>142</v>
      </c>
      <c r="B143" s="220" t="s">
        <v>3674</v>
      </c>
      <c r="C143" s="209" t="s">
        <v>17</v>
      </c>
      <c r="D143" s="209" t="s">
        <v>3648</v>
      </c>
      <c r="E143" s="209" t="s">
        <v>2196</v>
      </c>
      <c r="F143" s="209"/>
      <c r="G143" s="209"/>
      <c r="H143" s="210" t="s">
        <v>4201</v>
      </c>
      <c r="I143" s="218"/>
      <c r="J143" s="218"/>
      <c r="K143" s="218"/>
      <c r="L143" s="212" t="s">
        <v>3547</v>
      </c>
      <c r="M143" s="212"/>
      <c r="N143" s="218"/>
      <c r="O143" s="212">
        <v>4590015917</v>
      </c>
      <c r="P143" s="212" t="s">
        <v>6716</v>
      </c>
      <c r="Q143" s="334">
        <v>1</v>
      </c>
      <c r="R143" s="261">
        <v>11064</v>
      </c>
      <c r="S143" s="217" t="s">
        <v>2156</v>
      </c>
      <c r="T143" s="209"/>
      <c r="U143" s="209" t="s">
        <v>4031</v>
      </c>
      <c r="V143" s="210"/>
      <c r="W143" s="218" t="s">
        <v>3652</v>
      </c>
      <c r="X143" s="218" t="s">
        <v>3652</v>
      </c>
      <c r="Y143" s="212" t="s">
        <v>4198</v>
      </c>
      <c r="Z143" s="209" t="s">
        <v>4203</v>
      </c>
      <c r="AA143" s="218" t="s">
        <v>3892</v>
      </c>
      <c r="AB143" s="218" t="s">
        <v>4083</v>
      </c>
      <c r="AC143" s="218" t="e">
        <v>#N/A</v>
      </c>
      <c r="AD143" s="217">
        <v>73848</v>
      </c>
      <c r="AE143" s="217" t="s">
        <v>3892</v>
      </c>
      <c r="AF143" s="217" t="s">
        <v>2250</v>
      </c>
      <c r="AG143" s="217" t="s">
        <v>3875</v>
      </c>
      <c r="AH143" s="220">
        <f t="shared" si="4"/>
        <v>4590015917</v>
      </c>
      <c r="AI143" s="208"/>
      <c r="AJ143" s="220"/>
      <c r="AK143" s="221"/>
      <c r="AL143" s="227"/>
      <c r="AM143" s="208"/>
      <c r="AN143" s="220"/>
      <c r="AO143" s="222"/>
      <c r="AP143" s="227"/>
      <c r="AQ143" s="358">
        <f ca="1">IF(表格1[[#This Row],[PO$]]="","100%",表格1[[#This Row],[total amount]]/表格1[[#This Row],[PO$]])</f>
        <v>0</v>
      </c>
      <c r="AR143" s="223">
        <f ca="1">表格1[[#This Row],[invoice amount]]+表格1[[#This Row],[invoice amount2]]</f>
        <v>0</v>
      </c>
      <c r="AS143" s="224"/>
      <c r="AT143" s="208"/>
      <c r="AU143" s="208" t="e">
        <f ca="1">VLOOKUP(表格1[[#This Row],[PO+ITEM]],#REF!,2,FALSE)</f>
        <v>#REF!</v>
      </c>
      <c r="AV143" s="341" t="e">
        <f ca="1">VLOOKUP(表格1[[#This Row],[PO+ITEM]],#REF!,3,FALSE)</f>
        <v>#REF!</v>
      </c>
      <c r="AW143" s="208" t="e">
        <f ca="1">VLOOKUP(表格1[[#This Row],[PO+ITEM]],#REF!,4,FALSE)</f>
        <v>#REF!</v>
      </c>
      <c r="AX143" s="208" t="e" cm="1" vm="1">
        <f t="array" aca="1" ref="AX143" ca="1">VLOOKUP(AI:AI,#REF!,1,FALSE)</f>
        <v>#VALUE!</v>
      </c>
    </row>
    <row r="144" spans="1:50">
      <c r="A144" s="220">
        <v>143</v>
      </c>
      <c r="B144" s="220" t="s">
        <v>3674</v>
      </c>
      <c r="C144" s="209" t="s">
        <v>17</v>
      </c>
      <c r="D144" s="209" t="s">
        <v>3648</v>
      </c>
      <c r="E144" s="209" t="s">
        <v>2196</v>
      </c>
      <c r="F144" s="209"/>
      <c r="G144" s="209"/>
      <c r="H144" s="210" t="s">
        <v>4205</v>
      </c>
      <c r="I144" s="218"/>
      <c r="J144" s="218"/>
      <c r="K144" s="218"/>
      <c r="L144" s="212" t="s">
        <v>3547</v>
      </c>
      <c r="M144" s="212"/>
      <c r="N144" s="218"/>
      <c r="O144" s="212">
        <v>4590015918</v>
      </c>
      <c r="P144" s="212" t="s">
        <v>6716</v>
      </c>
      <c r="Q144" s="334">
        <v>1</v>
      </c>
      <c r="R144" s="261">
        <v>11064</v>
      </c>
      <c r="S144" s="217" t="s">
        <v>2156</v>
      </c>
      <c r="T144" s="209"/>
      <c r="U144" s="209" t="s">
        <v>4031</v>
      </c>
      <c r="V144" s="210"/>
      <c r="W144" s="218" t="s">
        <v>3652</v>
      </c>
      <c r="X144" s="218" t="s">
        <v>3652</v>
      </c>
      <c r="Y144" s="212" t="s">
        <v>4198</v>
      </c>
      <c r="Z144" s="209" t="s">
        <v>4207</v>
      </c>
      <c r="AA144" s="262" t="s">
        <v>3874</v>
      </c>
      <c r="AB144" s="218" t="s">
        <v>4083</v>
      </c>
      <c r="AC144" s="218" t="e">
        <v>#N/A</v>
      </c>
      <c r="AD144" s="217">
        <v>90875</v>
      </c>
      <c r="AE144" s="217" t="s">
        <v>3874</v>
      </c>
      <c r="AF144" s="217" t="s">
        <v>2250</v>
      </c>
      <c r="AG144" s="217" t="s">
        <v>3875</v>
      </c>
      <c r="AH144" s="220">
        <f t="shared" si="4"/>
        <v>4590015918</v>
      </c>
      <c r="AI144" s="208" t="s">
        <v>4208</v>
      </c>
      <c r="AJ144" s="227">
        <v>45422</v>
      </c>
      <c r="AK144" s="221">
        <v>11064</v>
      </c>
      <c r="AL144" s="227" t="s">
        <v>3805</v>
      </c>
      <c r="AM144" s="208"/>
      <c r="AN144" s="220"/>
      <c r="AO144" s="222"/>
      <c r="AP144" s="227"/>
      <c r="AQ144" s="358">
        <f ca="1">IF(表格1[[#This Row],[PO$]]="","100%",表格1[[#This Row],[total amount]]/表格1[[#This Row],[PO$]])</f>
        <v>1</v>
      </c>
      <c r="AR144" s="223">
        <f ca="1">表格1[[#This Row],[invoice amount]]+表格1[[#This Row],[invoice amount2]]</f>
        <v>11064</v>
      </c>
      <c r="AS144" s="224" t="s">
        <v>3701</v>
      </c>
      <c r="AT144" s="208" t="s">
        <v>3657</v>
      </c>
      <c r="AU144" s="208" t="e">
        <f ca="1">VLOOKUP(表格1[[#This Row],[PO+ITEM]],#REF!,2,FALSE)</f>
        <v>#REF!</v>
      </c>
      <c r="AV144" s="341" t="e">
        <f ca="1">VLOOKUP(表格1[[#This Row],[PO+ITEM]],#REF!,3,FALSE)</f>
        <v>#REF!</v>
      </c>
      <c r="AW144" s="208" t="e">
        <f ca="1">VLOOKUP(表格1[[#This Row],[PO+ITEM]],#REF!,4,FALSE)</f>
        <v>#REF!</v>
      </c>
      <c r="AX144" s="208" t="e" cm="1" vm="1">
        <f t="array" aca="1" ref="AX144" ca="1">VLOOKUP(AI:AI,#REF!,1,FALSE)</f>
        <v>#VALUE!</v>
      </c>
    </row>
    <row r="145" spans="1:50">
      <c r="A145" s="220">
        <v>144</v>
      </c>
      <c r="B145" s="220" t="e">
        <v>#N/A</v>
      </c>
      <c r="C145" s="209" t="s">
        <v>10</v>
      </c>
      <c r="D145" s="209" t="s">
        <v>3648</v>
      </c>
      <c r="E145" s="209" t="s">
        <v>2196</v>
      </c>
      <c r="F145" s="209"/>
      <c r="G145" s="209"/>
      <c r="H145" s="210" t="s">
        <v>4209</v>
      </c>
      <c r="I145" s="218"/>
      <c r="J145" s="218"/>
      <c r="K145" s="218"/>
      <c r="L145" s="212" t="s">
        <v>2888</v>
      </c>
      <c r="M145" s="212"/>
      <c r="N145" s="218"/>
      <c r="O145" s="212">
        <v>4590016044</v>
      </c>
      <c r="P145" s="212" t="s">
        <v>6717</v>
      </c>
      <c r="Q145" s="334">
        <v>1</v>
      </c>
      <c r="R145" s="261">
        <v>3379.2</v>
      </c>
      <c r="S145" s="217" t="s">
        <v>2156</v>
      </c>
      <c r="T145" s="209" t="s">
        <v>4210</v>
      </c>
      <c r="U145" s="209"/>
      <c r="V145" s="210"/>
      <c r="W145" s="218" t="s">
        <v>3652</v>
      </c>
      <c r="X145" s="218" t="s">
        <v>3652</v>
      </c>
      <c r="Y145" s="212" t="e">
        <v>#N/A</v>
      </c>
      <c r="Z145" s="209" t="s">
        <v>4211</v>
      </c>
      <c r="AA145" s="218"/>
      <c r="AB145" s="218" t="s">
        <v>4083</v>
      </c>
      <c r="AC145" s="218" t="e">
        <v>#N/A</v>
      </c>
      <c r="AD145" s="218"/>
      <c r="AE145" s="217">
        <v>0</v>
      </c>
      <c r="AF145" s="218"/>
      <c r="AG145" s="218"/>
      <c r="AH145" s="220">
        <f t="shared" si="4"/>
        <v>4590016044</v>
      </c>
      <c r="AI145" s="208"/>
      <c r="AJ145" s="220"/>
      <c r="AK145" s="221"/>
      <c r="AL145" s="227"/>
      <c r="AM145" s="208"/>
      <c r="AN145" s="220"/>
      <c r="AO145" s="222"/>
      <c r="AP145" s="227"/>
      <c r="AQ145" s="358">
        <f ca="1">IF(表格1[[#This Row],[PO$]]="","100%",表格1[[#This Row],[total amount]]/表格1[[#This Row],[PO$]])</f>
        <v>0</v>
      </c>
      <c r="AR145" s="223">
        <f ca="1">表格1[[#This Row],[invoice amount]]+表格1[[#This Row],[invoice amount2]]</f>
        <v>0</v>
      </c>
      <c r="AS145" s="224"/>
      <c r="AT145" s="208"/>
      <c r="AU145" s="208" t="e">
        <f ca="1">VLOOKUP(表格1[[#This Row],[PO+ITEM]],#REF!,2,FALSE)</f>
        <v>#REF!</v>
      </c>
      <c r="AV145" s="341" t="e">
        <f ca="1">VLOOKUP(表格1[[#This Row],[PO+ITEM]],#REF!,3,FALSE)</f>
        <v>#REF!</v>
      </c>
      <c r="AW145" s="208" t="e">
        <f ca="1">VLOOKUP(表格1[[#This Row],[PO+ITEM]],#REF!,4,FALSE)</f>
        <v>#REF!</v>
      </c>
      <c r="AX145" s="208" t="e" cm="1" vm="1">
        <f t="array" aca="1" ref="AX145" ca="1">VLOOKUP(AI:AI,#REF!,1,FALSE)</f>
        <v>#VALUE!</v>
      </c>
    </row>
    <row r="146" spans="1:50">
      <c r="A146" s="220">
        <v>145</v>
      </c>
      <c r="B146" s="220" t="s">
        <v>3674</v>
      </c>
      <c r="C146" s="209" t="s">
        <v>16</v>
      </c>
      <c r="D146" s="209" t="s">
        <v>3648</v>
      </c>
      <c r="E146" s="209"/>
      <c r="F146" s="209"/>
      <c r="G146" s="209"/>
      <c r="H146" s="210" t="s">
        <v>4212</v>
      </c>
      <c r="I146" s="210"/>
      <c r="J146" s="211"/>
      <c r="K146" s="210"/>
      <c r="L146" s="212" t="s">
        <v>2206</v>
      </c>
      <c r="M146" s="212" t="s">
        <v>2999</v>
      </c>
      <c r="N146" s="213"/>
      <c r="O146" s="263">
        <v>4590004396</v>
      </c>
      <c r="P146" s="214">
        <v>44801</v>
      </c>
      <c r="Q146" s="334">
        <v>1</v>
      </c>
      <c r="R146" s="216">
        <v>7832.76</v>
      </c>
      <c r="S146" s="217" t="s">
        <v>2156</v>
      </c>
      <c r="T146" s="209" t="s">
        <v>4004</v>
      </c>
      <c r="U146" s="209" t="s">
        <v>4005</v>
      </c>
      <c r="V146" s="213" t="s">
        <v>4006</v>
      </c>
      <c r="W146" s="218" t="s">
        <v>3652</v>
      </c>
      <c r="X146" s="218" t="s">
        <v>3652</v>
      </c>
      <c r="Y146" s="212" t="s">
        <v>4218</v>
      </c>
      <c r="Z146" s="209" t="s">
        <v>3664</v>
      </c>
      <c r="AA146" s="219"/>
      <c r="AB146" s="218"/>
      <c r="AC146" s="217" t="e">
        <v>#N/A</v>
      </c>
      <c r="AD146" s="217">
        <v>90197</v>
      </c>
      <c r="AE146" s="217" t="s">
        <v>4214</v>
      </c>
      <c r="AF146" s="217" t="s">
        <v>4215</v>
      </c>
      <c r="AG146" s="217" t="s">
        <v>846</v>
      </c>
      <c r="AH146" s="220" t="str">
        <f t="shared" ref="AH146:AH154" si="5">O146&amp;"_00"&amp;Q146</f>
        <v>4590004396_001</v>
      </c>
      <c r="AI146" s="208"/>
      <c r="AJ146" s="225">
        <v>45108</v>
      </c>
      <c r="AK146" s="221">
        <v>3133.1040000000003</v>
      </c>
      <c r="AL146" s="264">
        <v>45212</v>
      </c>
      <c r="AM146" s="208"/>
      <c r="AN146" s="220"/>
      <c r="AO146" s="222"/>
      <c r="AP146" s="227"/>
      <c r="AQ146" s="358">
        <f ca="1">IF(表格1[[#This Row],[PO$]]="","100%",表格1[[#This Row],[total amount]]/表格1[[#This Row],[PO$]])</f>
        <v>0.4</v>
      </c>
      <c r="AR146" s="223">
        <f ca="1">表格1[[#This Row],[invoice amount]]+表格1[[#This Row],[invoice amount2]]</f>
        <v>3133.1040000000003</v>
      </c>
      <c r="AS146" s="224" t="s">
        <v>3673</v>
      </c>
      <c r="AT146" s="208"/>
      <c r="AU146" s="208" t="e">
        <f ca="1">VLOOKUP(表格1[[#This Row],[PO+ITEM]],#REF!,2,FALSE)</f>
        <v>#REF!</v>
      </c>
      <c r="AV146" s="341" t="e">
        <f ca="1">VLOOKUP(表格1[[#This Row],[PO+ITEM]],#REF!,3,FALSE)</f>
        <v>#REF!</v>
      </c>
      <c r="AW146" s="208" t="e">
        <f ca="1">VLOOKUP(表格1[[#This Row],[PO+ITEM]],#REF!,4,FALSE)</f>
        <v>#REF!</v>
      </c>
      <c r="AX146" s="208" t="e" cm="1" vm="1">
        <f t="array" aca="1" ref="AX146" ca="1">VLOOKUP(AI:AI,#REF!,1,FALSE)</f>
        <v>#VALUE!</v>
      </c>
    </row>
    <row r="147" spans="1:50" ht="15.6">
      <c r="A147" s="220">
        <v>146</v>
      </c>
      <c r="B147" s="220" t="s">
        <v>3674</v>
      </c>
      <c r="C147" s="209" t="s">
        <v>16</v>
      </c>
      <c r="D147" s="209" t="s">
        <v>3648</v>
      </c>
      <c r="E147" s="209"/>
      <c r="F147" s="209"/>
      <c r="G147" s="209"/>
      <c r="H147" s="210" t="s">
        <v>4217</v>
      </c>
      <c r="I147" s="210"/>
      <c r="J147" s="211"/>
      <c r="K147" s="210"/>
      <c r="L147" s="212" t="s">
        <v>4003</v>
      </c>
      <c r="M147" s="212" t="s">
        <v>2999</v>
      </c>
      <c r="N147" s="213"/>
      <c r="O147" s="263">
        <v>4590004396</v>
      </c>
      <c r="P147" s="214">
        <v>44801</v>
      </c>
      <c r="Q147" s="334">
        <v>2</v>
      </c>
      <c r="R147" s="216">
        <v>9866.19</v>
      </c>
      <c r="S147" s="217" t="s">
        <v>2156</v>
      </c>
      <c r="T147" s="209" t="s">
        <v>4004</v>
      </c>
      <c r="U147" s="209" t="s">
        <v>4005</v>
      </c>
      <c r="V147" s="213" t="s">
        <v>4006</v>
      </c>
      <c r="W147" s="218" t="s">
        <v>3652</v>
      </c>
      <c r="X147" s="218" t="s">
        <v>3652</v>
      </c>
      <c r="Y147" s="212" t="s">
        <v>4218</v>
      </c>
      <c r="Z147" s="209" t="s">
        <v>3664</v>
      </c>
      <c r="AA147" s="219"/>
      <c r="AB147" s="218"/>
      <c r="AC147" s="217" t="e">
        <v>#N/A</v>
      </c>
      <c r="AD147" s="217">
        <v>90374</v>
      </c>
      <c r="AE147" s="217" t="s">
        <v>4219</v>
      </c>
      <c r="AF147" s="217" t="s">
        <v>4215</v>
      </c>
      <c r="AG147" s="217" t="s">
        <v>36</v>
      </c>
      <c r="AH147" s="220" t="str">
        <f t="shared" si="5"/>
        <v>4590004396_002</v>
      </c>
      <c r="AI147" s="208"/>
      <c r="AJ147" s="225">
        <v>45108</v>
      </c>
      <c r="AK147" s="221">
        <v>3946.4760000000006</v>
      </c>
      <c r="AL147" s="244">
        <v>45198</v>
      </c>
      <c r="AM147" s="208" t="s">
        <v>4221</v>
      </c>
      <c r="AN147" s="227">
        <v>45351</v>
      </c>
      <c r="AO147" s="222">
        <v>5919.7139999999999</v>
      </c>
      <c r="AP147" s="244">
        <v>45412</v>
      </c>
      <c r="AQ147" s="358">
        <f ca="1">IF(表格1[[#This Row],[PO$]]="","100%",表格1[[#This Row],[total amount]]/表格1[[#This Row],[PO$]])</f>
        <v>1</v>
      </c>
      <c r="AR147" s="223">
        <f ca="1">表格1[[#This Row],[invoice amount]]+表格1[[#This Row],[invoice amount2]]</f>
        <v>9866.19</v>
      </c>
      <c r="AS147" s="224" t="s">
        <v>3673</v>
      </c>
      <c r="AT147" s="208"/>
      <c r="AU147" s="208" t="e">
        <f ca="1">VLOOKUP(表格1[[#This Row],[PO+ITEM]],#REF!,2,FALSE)</f>
        <v>#REF!</v>
      </c>
      <c r="AV147" s="341" t="e">
        <f ca="1">VLOOKUP(表格1[[#This Row],[PO+ITEM]],#REF!,3,FALSE)</f>
        <v>#REF!</v>
      </c>
      <c r="AW147" s="208" t="e">
        <f ca="1">VLOOKUP(表格1[[#This Row],[PO+ITEM]],#REF!,4,FALSE)</f>
        <v>#REF!</v>
      </c>
      <c r="AX147" s="208" t="e" cm="1" vm="1">
        <f t="array" aca="1" ref="AX147" ca="1">VLOOKUP(AI:AI,#REF!,1,FALSE)</f>
        <v>#VALUE!</v>
      </c>
    </row>
    <row r="148" spans="1:50" ht="15.6">
      <c r="A148" s="220">
        <v>147</v>
      </c>
      <c r="B148" s="220" t="s">
        <v>3674</v>
      </c>
      <c r="C148" s="209" t="s">
        <v>16</v>
      </c>
      <c r="D148" s="209" t="s">
        <v>3648</v>
      </c>
      <c r="E148" s="209"/>
      <c r="F148" s="209"/>
      <c r="G148" s="209"/>
      <c r="H148" s="210" t="s">
        <v>4222</v>
      </c>
      <c r="I148" s="210"/>
      <c r="J148" s="211"/>
      <c r="K148" s="210"/>
      <c r="L148" s="212" t="s">
        <v>4003</v>
      </c>
      <c r="M148" s="212" t="s">
        <v>2999</v>
      </c>
      <c r="N148" s="213"/>
      <c r="O148" s="263">
        <v>4590004396</v>
      </c>
      <c r="P148" s="214">
        <v>44801</v>
      </c>
      <c r="Q148" s="334">
        <v>3</v>
      </c>
      <c r="R148" s="216">
        <v>9866.19</v>
      </c>
      <c r="S148" s="217" t="s">
        <v>2156</v>
      </c>
      <c r="T148" s="209" t="s">
        <v>4004</v>
      </c>
      <c r="U148" s="209" t="s">
        <v>4005</v>
      </c>
      <c r="V148" s="213" t="s">
        <v>4006</v>
      </c>
      <c r="W148" s="218" t="s">
        <v>3652</v>
      </c>
      <c r="X148" s="218" t="s">
        <v>3652</v>
      </c>
      <c r="Y148" s="212" t="s">
        <v>4218</v>
      </c>
      <c r="Z148" s="209" t="s">
        <v>3664</v>
      </c>
      <c r="AA148" s="219"/>
      <c r="AB148" s="218"/>
      <c r="AC148" s="217" t="e">
        <v>#N/A</v>
      </c>
      <c r="AD148" s="217">
        <v>90373</v>
      </c>
      <c r="AE148" s="217" t="s">
        <v>4223</v>
      </c>
      <c r="AF148" s="217" t="s">
        <v>4215</v>
      </c>
      <c r="AG148" s="217" t="s">
        <v>36</v>
      </c>
      <c r="AH148" s="220" t="str">
        <f t="shared" si="5"/>
        <v>4590004396_003</v>
      </c>
      <c r="AI148" s="208"/>
      <c r="AJ148" s="225">
        <v>45108</v>
      </c>
      <c r="AK148" s="221">
        <v>3946.4760000000006</v>
      </c>
      <c r="AL148" s="244">
        <v>45198</v>
      </c>
      <c r="AM148" s="208"/>
      <c r="AN148" s="220"/>
      <c r="AO148" s="222"/>
      <c r="AP148" s="227"/>
      <c r="AQ148" s="358">
        <f ca="1">IF(表格1[[#This Row],[PO$]]="","100%",表格1[[#This Row],[total amount]]/表格1[[#This Row],[PO$]])</f>
        <v>0.4</v>
      </c>
      <c r="AR148" s="223">
        <f ca="1">表格1[[#This Row],[invoice amount]]+表格1[[#This Row],[invoice amount2]]</f>
        <v>3946.4760000000006</v>
      </c>
      <c r="AS148" s="224" t="s">
        <v>3673</v>
      </c>
      <c r="AT148" s="208"/>
      <c r="AU148" s="208" t="e">
        <f ca="1">VLOOKUP(表格1[[#This Row],[PO+ITEM]],#REF!,2,FALSE)</f>
        <v>#REF!</v>
      </c>
      <c r="AV148" s="341" t="e">
        <f ca="1">VLOOKUP(表格1[[#This Row],[PO+ITEM]],#REF!,3,FALSE)</f>
        <v>#REF!</v>
      </c>
      <c r="AW148" s="208" t="e">
        <f ca="1">VLOOKUP(表格1[[#This Row],[PO+ITEM]],#REF!,4,FALSE)</f>
        <v>#REF!</v>
      </c>
      <c r="AX148" s="208" t="e" cm="1" vm="1">
        <f t="array" aca="1" ref="AX148" ca="1">VLOOKUP(AI:AI,#REF!,1,FALSE)</f>
        <v>#VALUE!</v>
      </c>
    </row>
    <row r="149" spans="1:50" ht="15.6">
      <c r="A149" s="220">
        <v>148</v>
      </c>
      <c r="B149" s="220" t="s">
        <v>3674</v>
      </c>
      <c r="C149" s="209" t="s">
        <v>16</v>
      </c>
      <c r="D149" s="209" t="s">
        <v>3648</v>
      </c>
      <c r="E149" s="209"/>
      <c r="F149" s="209"/>
      <c r="G149" s="209"/>
      <c r="H149" s="210" t="s">
        <v>4225</v>
      </c>
      <c r="I149" s="210"/>
      <c r="J149" s="211"/>
      <c r="K149" s="210"/>
      <c r="L149" s="212" t="s">
        <v>4003</v>
      </c>
      <c r="M149" s="212" t="s">
        <v>2999</v>
      </c>
      <c r="N149" s="213"/>
      <c r="O149" s="263">
        <v>4590004396</v>
      </c>
      <c r="P149" s="214">
        <v>44801</v>
      </c>
      <c r="Q149" s="334">
        <v>4</v>
      </c>
      <c r="R149" s="216">
        <v>9866.19</v>
      </c>
      <c r="S149" s="217" t="s">
        <v>2156</v>
      </c>
      <c r="T149" s="209" t="s">
        <v>4004</v>
      </c>
      <c r="U149" s="209" t="s">
        <v>4005</v>
      </c>
      <c r="V149" s="213" t="s">
        <v>4006</v>
      </c>
      <c r="W149" s="218" t="s">
        <v>3652</v>
      </c>
      <c r="X149" s="218" t="s">
        <v>3652</v>
      </c>
      <c r="Y149" s="212" t="s">
        <v>4218</v>
      </c>
      <c r="Z149" s="209" t="s">
        <v>3664</v>
      </c>
      <c r="AA149" s="219"/>
      <c r="AB149" s="218"/>
      <c r="AC149" s="217" t="e">
        <v>#N/A</v>
      </c>
      <c r="AD149" s="217">
        <v>90454</v>
      </c>
      <c r="AE149" s="217" t="s">
        <v>4226</v>
      </c>
      <c r="AF149" s="217" t="s">
        <v>4215</v>
      </c>
      <c r="AG149" s="217" t="s">
        <v>36</v>
      </c>
      <c r="AH149" s="220" t="str">
        <f t="shared" si="5"/>
        <v>4590004396_004</v>
      </c>
      <c r="AI149" s="208"/>
      <c r="AJ149" s="225">
        <v>45108</v>
      </c>
      <c r="AK149" s="221">
        <v>3946.4760000000006</v>
      </c>
      <c r="AL149" s="244">
        <v>45198</v>
      </c>
      <c r="AM149" s="208"/>
      <c r="AN149" s="220"/>
      <c r="AO149" s="222"/>
      <c r="AP149" s="227"/>
      <c r="AQ149" s="358">
        <f ca="1">IF(表格1[[#This Row],[PO$]]="","100%",表格1[[#This Row],[total amount]]/表格1[[#This Row],[PO$]])</f>
        <v>0.4</v>
      </c>
      <c r="AR149" s="223">
        <f ca="1">表格1[[#This Row],[invoice amount]]+表格1[[#This Row],[invoice amount2]]</f>
        <v>3946.4760000000006</v>
      </c>
      <c r="AS149" s="224" t="s">
        <v>3673</v>
      </c>
      <c r="AT149" s="208"/>
      <c r="AU149" s="208" t="e">
        <f ca="1">VLOOKUP(表格1[[#This Row],[PO+ITEM]],#REF!,2,FALSE)</f>
        <v>#REF!</v>
      </c>
      <c r="AV149" s="341" t="e">
        <f ca="1">VLOOKUP(表格1[[#This Row],[PO+ITEM]],#REF!,3,FALSE)</f>
        <v>#REF!</v>
      </c>
      <c r="AW149" s="208" t="e">
        <f ca="1">VLOOKUP(表格1[[#This Row],[PO+ITEM]],#REF!,4,FALSE)</f>
        <v>#REF!</v>
      </c>
      <c r="AX149" s="208" t="e" cm="1" vm="1">
        <f t="array" aca="1" ref="AX149" ca="1">VLOOKUP(AI:AI,#REF!,1,FALSE)</f>
        <v>#VALUE!</v>
      </c>
    </row>
    <row r="150" spans="1:50" ht="15.6">
      <c r="A150" s="220">
        <v>149</v>
      </c>
      <c r="B150" s="220" t="s">
        <v>3659</v>
      </c>
      <c r="C150" s="209" t="s">
        <v>16</v>
      </c>
      <c r="D150" s="209" t="s">
        <v>3648</v>
      </c>
      <c r="E150" s="209"/>
      <c r="F150" s="209"/>
      <c r="G150" s="209"/>
      <c r="H150" s="210" t="s">
        <v>4228</v>
      </c>
      <c r="I150" s="210"/>
      <c r="J150" s="211"/>
      <c r="K150" s="210"/>
      <c r="L150" s="212" t="s">
        <v>4003</v>
      </c>
      <c r="M150" s="212" t="s">
        <v>2999</v>
      </c>
      <c r="N150" s="213"/>
      <c r="O150" s="263">
        <v>4590004396</v>
      </c>
      <c r="P150" s="214">
        <v>44801</v>
      </c>
      <c r="Q150" s="334">
        <v>5</v>
      </c>
      <c r="R150" s="216">
        <v>9866.19</v>
      </c>
      <c r="S150" s="217" t="s">
        <v>2156</v>
      </c>
      <c r="T150" s="209" t="s">
        <v>4004</v>
      </c>
      <c r="U150" s="209" t="s">
        <v>4005</v>
      </c>
      <c r="V150" s="213" t="s">
        <v>4006</v>
      </c>
      <c r="W150" s="218" t="s">
        <v>3652</v>
      </c>
      <c r="X150" s="218" t="s">
        <v>3652</v>
      </c>
      <c r="Y150" s="212" t="s">
        <v>4218</v>
      </c>
      <c r="Z150" s="209" t="s">
        <v>3664</v>
      </c>
      <c r="AA150" s="219"/>
      <c r="AB150" s="218"/>
      <c r="AC150" s="217" t="e">
        <v>#N/A</v>
      </c>
      <c r="AD150" s="217">
        <v>90455</v>
      </c>
      <c r="AE150" s="217" t="s">
        <v>4229</v>
      </c>
      <c r="AF150" s="217" t="s">
        <v>4215</v>
      </c>
      <c r="AG150" s="217" t="s">
        <v>36</v>
      </c>
      <c r="AH150" s="220" t="str">
        <f t="shared" si="5"/>
        <v>4590004396_005</v>
      </c>
      <c r="AI150" s="208"/>
      <c r="AJ150" s="225">
        <v>45108</v>
      </c>
      <c r="AK150" s="221">
        <v>3946.4760000000006</v>
      </c>
      <c r="AL150" s="244">
        <v>45198</v>
      </c>
      <c r="AM150" s="208"/>
      <c r="AN150" s="220"/>
      <c r="AO150" s="222"/>
      <c r="AP150" s="227"/>
      <c r="AQ150" s="358">
        <f ca="1">IF(表格1[[#This Row],[PO$]]="","100%",表格1[[#This Row],[total amount]]/表格1[[#This Row],[PO$]])</f>
        <v>0.4</v>
      </c>
      <c r="AR150" s="223">
        <f ca="1">表格1[[#This Row],[invoice amount]]+表格1[[#This Row],[invoice amount2]]</f>
        <v>3946.4760000000006</v>
      </c>
      <c r="AS150" s="224" t="s">
        <v>3673</v>
      </c>
      <c r="AT150" s="208"/>
      <c r="AU150" s="208" t="e">
        <f ca="1">VLOOKUP(表格1[[#This Row],[PO+ITEM]],#REF!,2,FALSE)</f>
        <v>#REF!</v>
      </c>
      <c r="AV150" s="341" t="e">
        <f ca="1">VLOOKUP(表格1[[#This Row],[PO+ITEM]],#REF!,3,FALSE)</f>
        <v>#REF!</v>
      </c>
      <c r="AW150" s="208" t="e">
        <f ca="1">VLOOKUP(表格1[[#This Row],[PO+ITEM]],#REF!,4,FALSE)</f>
        <v>#REF!</v>
      </c>
      <c r="AX150" s="208" t="e" cm="1" vm="1">
        <f t="array" aca="1" ref="AX150" ca="1">VLOOKUP(AI:AI,#REF!,1,FALSE)</f>
        <v>#VALUE!</v>
      </c>
    </row>
    <row r="151" spans="1:50" ht="15.6">
      <c r="A151" s="220">
        <v>150</v>
      </c>
      <c r="B151" s="220" t="s">
        <v>3674</v>
      </c>
      <c r="C151" s="209" t="s">
        <v>16</v>
      </c>
      <c r="D151" s="209" t="s">
        <v>3648</v>
      </c>
      <c r="E151" s="209"/>
      <c r="F151" s="209"/>
      <c r="G151" s="209"/>
      <c r="H151" s="210" t="s">
        <v>4231</v>
      </c>
      <c r="I151" s="210"/>
      <c r="J151" s="211"/>
      <c r="K151" s="210"/>
      <c r="L151" s="212" t="s">
        <v>4003</v>
      </c>
      <c r="M151" s="212" t="s">
        <v>2999</v>
      </c>
      <c r="N151" s="213"/>
      <c r="O151" s="263">
        <v>4590004396</v>
      </c>
      <c r="P151" s="214">
        <v>44801</v>
      </c>
      <c r="Q151" s="334">
        <v>6</v>
      </c>
      <c r="R151" s="216">
        <v>1403.87</v>
      </c>
      <c r="S151" s="217" t="s">
        <v>2156</v>
      </c>
      <c r="T151" s="209" t="s">
        <v>4004</v>
      </c>
      <c r="U151" s="209" t="s">
        <v>4005</v>
      </c>
      <c r="V151" s="213" t="s">
        <v>4006</v>
      </c>
      <c r="W151" s="218" t="s">
        <v>3652</v>
      </c>
      <c r="X151" s="218" t="s">
        <v>3652</v>
      </c>
      <c r="Y151" s="212" t="s">
        <v>4218</v>
      </c>
      <c r="Z151" s="209" t="s">
        <v>3664</v>
      </c>
      <c r="AA151" s="219"/>
      <c r="AB151" s="218"/>
      <c r="AC151" s="217" t="e">
        <v>#N/A</v>
      </c>
      <c r="AD151" s="217">
        <v>90380</v>
      </c>
      <c r="AE151" s="217" t="s">
        <v>4232</v>
      </c>
      <c r="AF151" s="217" t="s">
        <v>4215</v>
      </c>
      <c r="AG151" s="217" t="s">
        <v>36</v>
      </c>
      <c r="AH151" s="220" t="str">
        <f t="shared" si="5"/>
        <v>4590004396_006</v>
      </c>
      <c r="AI151" s="208"/>
      <c r="AJ151" s="225">
        <v>45047</v>
      </c>
      <c r="AK151" s="221">
        <v>561.548</v>
      </c>
      <c r="AL151" s="228">
        <v>45121</v>
      </c>
      <c r="AM151" s="208" t="s">
        <v>4267</v>
      </c>
      <c r="AN151" s="227">
        <v>45496</v>
      </c>
      <c r="AO151" s="222">
        <v>842.32</v>
      </c>
      <c r="AP151" s="227"/>
      <c r="AQ151" s="358">
        <f ca="1">IF(表格1[[#This Row],[PO$]]="","100%",表格1[[#This Row],[total amount]]/表格1[[#This Row],[PO$]])</f>
        <v>0.99999857536666503</v>
      </c>
      <c r="AR151" s="223">
        <f ca="1">表格1[[#This Row],[invoice amount]]+表格1[[#This Row],[invoice amount2]]</f>
        <v>1403.8679999999999</v>
      </c>
      <c r="AS151" s="224" t="s">
        <v>4235</v>
      </c>
      <c r="AT151" s="208"/>
      <c r="AU151" s="208" t="e">
        <f ca="1">VLOOKUP(表格1[[#This Row],[PO+ITEM]],#REF!,2,FALSE)</f>
        <v>#REF!</v>
      </c>
      <c r="AV151" s="341" t="e">
        <f ca="1">VLOOKUP(表格1[[#This Row],[PO+ITEM]],#REF!,3,FALSE)</f>
        <v>#REF!</v>
      </c>
      <c r="AW151" s="208" t="e">
        <f ca="1">VLOOKUP(表格1[[#This Row],[PO+ITEM]],#REF!,4,FALSE)</f>
        <v>#REF!</v>
      </c>
      <c r="AX151" s="208" t="e" cm="1" vm="1">
        <f t="array" aca="1" ref="AX151" ca="1">VLOOKUP(AI:AI,#REF!,1,FALSE)</f>
        <v>#VALUE!</v>
      </c>
    </row>
    <row r="152" spans="1:50" ht="15.6">
      <c r="A152" s="220">
        <v>151</v>
      </c>
      <c r="B152" s="220" t="s">
        <v>3659</v>
      </c>
      <c r="C152" s="209" t="s">
        <v>16</v>
      </c>
      <c r="D152" s="209" t="s">
        <v>3648</v>
      </c>
      <c r="E152" s="209"/>
      <c r="F152" s="209"/>
      <c r="G152" s="209"/>
      <c r="H152" s="210" t="s">
        <v>4236</v>
      </c>
      <c r="I152" s="210"/>
      <c r="J152" s="211"/>
      <c r="K152" s="210"/>
      <c r="L152" s="212" t="s">
        <v>4003</v>
      </c>
      <c r="M152" s="212" t="s">
        <v>2999</v>
      </c>
      <c r="N152" s="213"/>
      <c r="O152" s="263">
        <v>4590004396</v>
      </c>
      <c r="P152" s="214">
        <v>44801</v>
      </c>
      <c r="Q152" s="334">
        <v>7</v>
      </c>
      <c r="R152" s="216">
        <v>1403.87</v>
      </c>
      <c r="S152" s="217" t="s">
        <v>2156</v>
      </c>
      <c r="T152" s="209" t="s">
        <v>4004</v>
      </c>
      <c r="U152" s="209" t="s">
        <v>4005</v>
      </c>
      <c r="V152" s="213" t="s">
        <v>4006</v>
      </c>
      <c r="W152" s="218" t="s">
        <v>3652</v>
      </c>
      <c r="X152" s="218" t="s">
        <v>3652</v>
      </c>
      <c r="Y152" s="212" t="s">
        <v>4218</v>
      </c>
      <c r="Z152" s="209" t="s">
        <v>3664</v>
      </c>
      <c r="AA152" s="219"/>
      <c r="AB152" s="218"/>
      <c r="AC152" s="217" t="e">
        <v>#N/A</v>
      </c>
      <c r="AD152" s="217">
        <v>90379</v>
      </c>
      <c r="AE152" s="217" t="s">
        <v>4237</v>
      </c>
      <c r="AF152" s="217" t="s">
        <v>4215</v>
      </c>
      <c r="AG152" s="217" t="s">
        <v>36</v>
      </c>
      <c r="AH152" s="220" t="str">
        <f t="shared" si="5"/>
        <v>4590004396_007</v>
      </c>
      <c r="AI152" s="208"/>
      <c r="AJ152" s="225">
        <v>45047</v>
      </c>
      <c r="AK152" s="221">
        <v>561.548</v>
      </c>
      <c r="AL152" s="228">
        <v>45121</v>
      </c>
      <c r="AM152" s="208"/>
      <c r="AN152" s="220"/>
      <c r="AO152" s="222"/>
      <c r="AP152" s="227"/>
      <c r="AQ152" s="358">
        <f ca="1">IF(表格1[[#This Row],[PO$]]="","100%",表格1[[#This Row],[total amount]]/表格1[[#This Row],[PO$]])</f>
        <v>0.4</v>
      </c>
      <c r="AR152" s="223">
        <f ca="1">表格1[[#This Row],[invoice amount]]+表格1[[#This Row],[invoice amount2]]</f>
        <v>561.548</v>
      </c>
      <c r="AS152" s="224" t="s">
        <v>3673</v>
      </c>
      <c r="AT152" s="208"/>
      <c r="AU152" s="208" t="e">
        <f ca="1">VLOOKUP(表格1[[#This Row],[PO+ITEM]],#REF!,2,FALSE)</f>
        <v>#REF!</v>
      </c>
      <c r="AV152" s="341" t="e">
        <f ca="1">VLOOKUP(表格1[[#This Row],[PO+ITEM]],#REF!,3,FALSE)</f>
        <v>#REF!</v>
      </c>
      <c r="AW152" s="208" t="e">
        <f ca="1">VLOOKUP(表格1[[#This Row],[PO+ITEM]],#REF!,4,FALSE)</f>
        <v>#REF!</v>
      </c>
      <c r="AX152" s="208" t="e" cm="1" vm="1">
        <f t="array" aca="1" ref="AX152" ca="1">VLOOKUP(AI:AI,#REF!,1,FALSE)</f>
        <v>#VALUE!</v>
      </c>
    </row>
    <row r="153" spans="1:50" ht="15.6">
      <c r="A153" s="220">
        <v>152</v>
      </c>
      <c r="B153" s="220" t="s">
        <v>3674</v>
      </c>
      <c r="C153" s="209" t="s">
        <v>16</v>
      </c>
      <c r="D153" s="209" t="s">
        <v>3648</v>
      </c>
      <c r="E153" s="209"/>
      <c r="F153" s="209"/>
      <c r="G153" s="209"/>
      <c r="H153" s="210" t="s">
        <v>4239</v>
      </c>
      <c r="I153" s="210"/>
      <c r="J153" s="211"/>
      <c r="K153" s="210"/>
      <c r="L153" s="212" t="s">
        <v>4003</v>
      </c>
      <c r="M153" s="212" t="s">
        <v>2999</v>
      </c>
      <c r="N153" s="213"/>
      <c r="O153" s="263">
        <v>4590004396</v>
      </c>
      <c r="P153" s="214">
        <v>44801</v>
      </c>
      <c r="Q153" s="334">
        <v>8</v>
      </c>
      <c r="R153" s="216">
        <v>2807.74</v>
      </c>
      <c r="S153" s="217" t="s">
        <v>2156</v>
      </c>
      <c r="T153" s="209" t="s">
        <v>4004</v>
      </c>
      <c r="U153" s="209" t="s">
        <v>4005</v>
      </c>
      <c r="V153" s="213" t="s">
        <v>4006</v>
      </c>
      <c r="W153" s="218" t="s">
        <v>3652</v>
      </c>
      <c r="X153" s="218" t="s">
        <v>3652</v>
      </c>
      <c r="Y153" s="212" t="s">
        <v>4218</v>
      </c>
      <c r="Z153" s="209" t="s">
        <v>3664</v>
      </c>
      <c r="AA153" s="219"/>
      <c r="AB153" s="218"/>
      <c r="AC153" s="217" t="e">
        <v>#N/A</v>
      </c>
      <c r="AD153" s="217">
        <v>90199</v>
      </c>
      <c r="AE153" s="217" t="s">
        <v>4240</v>
      </c>
      <c r="AF153" s="217" t="s">
        <v>4215</v>
      </c>
      <c r="AG153" s="217" t="s">
        <v>36</v>
      </c>
      <c r="AH153" s="220" t="str">
        <f t="shared" si="5"/>
        <v>4590004396_008</v>
      </c>
      <c r="AI153" s="208"/>
      <c r="AJ153" s="225">
        <v>45047</v>
      </c>
      <c r="AK153" s="221">
        <v>1123.096</v>
      </c>
      <c r="AL153" s="228">
        <v>45121</v>
      </c>
      <c r="AM153" s="208" t="s">
        <v>4263</v>
      </c>
      <c r="AN153" s="227">
        <v>45496</v>
      </c>
      <c r="AO153" s="222">
        <v>1684.64</v>
      </c>
      <c r="AP153" s="227"/>
      <c r="AQ153" s="358">
        <f ca="1">IF(表格1[[#This Row],[PO$]]="","100%",表格1[[#This Row],[total amount]]/表格1[[#This Row],[PO$]])</f>
        <v>0.99999857536666503</v>
      </c>
      <c r="AR153" s="223">
        <f ca="1">表格1[[#This Row],[invoice amount]]+表格1[[#This Row],[invoice amount2]]</f>
        <v>2807.7359999999999</v>
      </c>
      <c r="AS153" s="224" t="s">
        <v>4235</v>
      </c>
      <c r="AT153" s="208"/>
      <c r="AU153" s="208" t="e">
        <f ca="1">VLOOKUP(表格1[[#This Row],[PO+ITEM]],#REF!,2,FALSE)</f>
        <v>#REF!</v>
      </c>
      <c r="AV153" s="341" t="e">
        <f ca="1">VLOOKUP(表格1[[#This Row],[PO+ITEM]],#REF!,3,FALSE)</f>
        <v>#REF!</v>
      </c>
      <c r="AW153" s="208" t="e">
        <f ca="1">VLOOKUP(表格1[[#This Row],[PO+ITEM]],#REF!,4,FALSE)</f>
        <v>#REF!</v>
      </c>
      <c r="AX153" s="208" t="e" cm="1" vm="1">
        <f t="array" aca="1" ref="AX153" ca="1">VLOOKUP(AI:AI,#REF!,1,FALSE)</f>
        <v>#VALUE!</v>
      </c>
    </row>
    <row r="154" spans="1:50" ht="15.6">
      <c r="A154" s="220">
        <v>153</v>
      </c>
      <c r="B154" s="220" t="s">
        <v>3674</v>
      </c>
      <c r="C154" s="209" t="s">
        <v>16</v>
      </c>
      <c r="D154" s="209" t="s">
        <v>3648</v>
      </c>
      <c r="E154" s="209"/>
      <c r="F154" s="209"/>
      <c r="G154" s="209"/>
      <c r="H154" s="210" t="s">
        <v>4243</v>
      </c>
      <c r="I154" s="210"/>
      <c r="J154" s="211"/>
      <c r="K154" s="210"/>
      <c r="L154" s="212" t="s">
        <v>4003</v>
      </c>
      <c r="M154" s="212" t="s">
        <v>2999</v>
      </c>
      <c r="N154" s="213"/>
      <c r="O154" s="263">
        <v>4590004396</v>
      </c>
      <c r="P154" s="214">
        <v>44801</v>
      </c>
      <c r="Q154" s="334">
        <v>9</v>
      </c>
      <c r="R154" s="216">
        <v>1403.87</v>
      </c>
      <c r="S154" s="217" t="s">
        <v>2156</v>
      </c>
      <c r="T154" s="209" t="s">
        <v>4004</v>
      </c>
      <c r="U154" s="209" t="s">
        <v>4005</v>
      </c>
      <c r="V154" s="213" t="s">
        <v>4006</v>
      </c>
      <c r="W154" s="218" t="s">
        <v>3652</v>
      </c>
      <c r="X154" s="218" t="s">
        <v>3652</v>
      </c>
      <c r="Y154" s="212" t="s">
        <v>4218</v>
      </c>
      <c r="Z154" s="209" t="s">
        <v>3664</v>
      </c>
      <c r="AA154" s="219"/>
      <c r="AB154" s="218"/>
      <c r="AC154" s="217" t="e">
        <v>#N/A</v>
      </c>
      <c r="AD154" s="217">
        <v>90200</v>
      </c>
      <c r="AE154" s="217" t="s">
        <v>4244</v>
      </c>
      <c r="AF154" s="217" t="s">
        <v>4215</v>
      </c>
      <c r="AG154" s="217" t="s">
        <v>36</v>
      </c>
      <c r="AH154" s="220" t="str">
        <f t="shared" si="5"/>
        <v>4590004396_009</v>
      </c>
      <c r="AI154" s="208"/>
      <c r="AJ154" s="225">
        <v>45047</v>
      </c>
      <c r="AK154" s="221">
        <v>561.548</v>
      </c>
      <c r="AL154" s="228">
        <v>45121</v>
      </c>
      <c r="AM154" s="208" t="s">
        <v>4859</v>
      </c>
      <c r="AN154" s="227">
        <v>45496</v>
      </c>
      <c r="AO154" s="222">
        <v>842.32</v>
      </c>
      <c r="AP154" s="227"/>
      <c r="AQ154" s="358">
        <f ca="1">IF(表格1[[#This Row],[PO$]]="","100%",表格1[[#This Row],[total amount]]/表格1[[#This Row],[PO$]])</f>
        <v>0.99999857536666503</v>
      </c>
      <c r="AR154" s="223">
        <f ca="1">表格1[[#This Row],[invoice amount]]+表格1[[#This Row],[invoice amount2]]</f>
        <v>1403.8679999999999</v>
      </c>
      <c r="AS154" s="224" t="s">
        <v>4235</v>
      </c>
      <c r="AT154" s="208"/>
      <c r="AU154" s="208" t="e">
        <f ca="1">VLOOKUP(表格1[[#This Row],[PO+ITEM]],#REF!,2,FALSE)</f>
        <v>#REF!</v>
      </c>
      <c r="AV154" s="341" t="e">
        <f ca="1">VLOOKUP(表格1[[#This Row],[PO+ITEM]],#REF!,3,FALSE)</f>
        <v>#REF!</v>
      </c>
      <c r="AW154" s="208" t="e">
        <f ca="1">VLOOKUP(表格1[[#This Row],[PO+ITEM]],#REF!,4,FALSE)</f>
        <v>#REF!</v>
      </c>
      <c r="AX154" s="208" t="e" cm="1" vm="1">
        <f t="array" aca="1" ref="AX154" ca="1">VLOOKUP(AI:AI,#REF!,1,FALSE)</f>
        <v>#VALUE!</v>
      </c>
    </row>
    <row r="155" spans="1:50" ht="15.6">
      <c r="A155" s="220">
        <v>154</v>
      </c>
      <c r="B155" s="220" t="s">
        <v>3674</v>
      </c>
      <c r="C155" s="209" t="s">
        <v>16</v>
      </c>
      <c r="D155" s="209" t="s">
        <v>3648</v>
      </c>
      <c r="E155" s="209"/>
      <c r="F155" s="209"/>
      <c r="G155" s="209"/>
      <c r="H155" s="210" t="s">
        <v>4247</v>
      </c>
      <c r="I155" s="210"/>
      <c r="J155" s="211"/>
      <c r="K155" s="210"/>
      <c r="L155" s="212" t="s">
        <v>4003</v>
      </c>
      <c r="M155" s="212" t="s">
        <v>2999</v>
      </c>
      <c r="N155" s="213"/>
      <c r="O155" s="263">
        <v>4590004396</v>
      </c>
      <c r="P155" s="214">
        <v>44801</v>
      </c>
      <c r="Q155" s="334">
        <v>10</v>
      </c>
      <c r="R155" s="216">
        <v>1403.87</v>
      </c>
      <c r="S155" s="217" t="s">
        <v>2156</v>
      </c>
      <c r="T155" s="209" t="s">
        <v>4004</v>
      </c>
      <c r="U155" s="209" t="s">
        <v>4005</v>
      </c>
      <c r="V155" s="213" t="s">
        <v>4006</v>
      </c>
      <c r="W155" s="218" t="s">
        <v>3652</v>
      </c>
      <c r="X155" s="218" t="s">
        <v>3652</v>
      </c>
      <c r="Y155" s="212" t="s">
        <v>4218</v>
      </c>
      <c r="Z155" s="209" t="s">
        <v>3664</v>
      </c>
      <c r="AA155" s="219"/>
      <c r="AB155" s="218"/>
      <c r="AC155" s="217" t="e">
        <v>#N/A</v>
      </c>
      <c r="AD155" s="217">
        <v>90202</v>
      </c>
      <c r="AE155" s="217" t="s">
        <v>4248</v>
      </c>
      <c r="AF155" s="217" t="s">
        <v>4215</v>
      </c>
      <c r="AG155" s="217" t="s">
        <v>36</v>
      </c>
      <c r="AH155" s="220" t="str">
        <f t="shared" ref="AH155:AH160" si="6">O155&amp;"_0"&amp;Q155</f>
        <v>4590004396_010</v>
      </c>
      <c r="AI155" s="208"/>
      <c r="AJ155" s="225">
        <v>45047</v>
      </c>
      <c r="AK155" s="221">
        <v>561.548</v>
      </c>
      <c r="AL155" s="228">
        <v>45121</v>
      </c>
      <c r="AM155" s="208"/>
      <c r="AN155" s="220"/>
      <c r="AO155" s="222"/>
      <c r="AP155" s="227"/>
      <c r="AQ155" s="358">
        <f ca="1">IF(表格1[[#This Row],[PO$]]="","100%",表格1[[#This Row],[total amount]]/表格1[[#This Row],[PO$]])</f>
        <v>0.4</v>
      </c>
      <c r="AR155" s="223">
        <f ca="1">表格1[[#This Row],[invoice amount]]+表格1[[#This Row],[invoice amount2]]</f>
        <v>561.548</v>
      </c>
      <c r="AS155" s="224" t="s">
        <v>3673</v>
      </c>
      <c r="AT155" s="208"/>
      <c r="AU155" s="208" t="e">
        <f ca="1">VLOOKUP(表格1[[#This Row],[PO+ITEM]],#REF!,2,FALSE)</f>
        <v>#REF!</v>
      </c>
      <c r="AV155" s="341" t="e">
        <f ca="1">VLOOKUP(表格1[[#This Row],[PO+ITEM]],#REF!,3,FALSE)</f>
        <v>#REF!</v>
      </c>
      <c r="AW155" s="208" t="e">
        <f ca="1">VLOOKUP(表格1[[#This Row],[PO+ITEM]],#REF!,4,FALSE)</f>
        <v>#REF!</v>
      </c>
      <c r="AX155" s="208" t="e" cm="1" vm="1">
        <f t="array" aca="1" ref="AX155" ca="1">VLOOKUP(AI:AI,#REF!,1,FALSE)</f>
        <v>#VALUE!</v>
      </c>
    </row>
    <row r="156" spans="1:50">
      <c r="A156" s="220">
        <v>155</v>
      </c>
      <c r="B156" s="220" t="s">
        <v>3674</v>
      </c>
      <c r="C156" s="209" t="s">
        <v>16</v>
      </c>
      <c r="D156" s="209" t="s">
        <v>3648</v>
      </c>
      <c r="E156" s="209"/>
      <c r="F156" s="209"/>
      <c r="G156" s="209"/>
      <c r="H156" s="210" t="s">
        <v>4250</v>
      </c>
      <c r="I156" s="210"/>
      <c r="J156" s="211"/>
      <c r="K156" s="210"/>
      <c r="L156" s="212" t="s">
        <v>4003</v>
      </c>
      <c r="M156" s="212" t="s">
        <v>2999</v>
      </c>
      <c r="N156" s="213"/>
      <c r="O156" s="263">
        <v>4590004396</v>
      </c>
      <c r="P156" s="214">
        <v>44801</v>
      </c>
      <c r="Q156" s="334">
        <v>11</v>
      </c>
      <c r="R156" s="216">
        <v>1403.87</v>
      </c>
      <c r="S156" s="217" t="s">
        <v>2156</v>
      </c>
      <c r="T156" s="209" t="s">
        <v>4004</v>
      </c>
      <c r="U156" s="209" t="s">
        <v>4005</v>
      </c>
      <c r="V156" s="213" t="s">
        <v>4006</v>
      </c>
      <c r="W156" s="218" t="s">
        <v>3652</v>
      </c>
      <c r="X156" s="218" t="s">
        <v>3652</v>
      </c>
      <c r="Y156" s="212" t="s">
        <v>4218</v>
      </c>
      <c r="Z156" s="209" t="s">
        <v>3664</v>
      </c>
      <c r="AA156" s="219"/>
      <c r="AB156" s="218"/>
      <c r="AC156" s="217" t="e">
        <v>#N/A</v>
      </c>
      <c r="AD156" s="217">
        <v>90381</v>
      </c>
      <c r="AE156" s="217" t="s">
        <v>4251</v>
      </c>
      <c r="AF156" s="217" t="s">
        <v>4215</v>
      </c>
      <c r="AG156" s="217" t="s">
        <v>36</v>
      </c>
      <c r="AH156" s="220" t="str">
        <f t="shared" si="6"/>
        <v>4590004396_011</v>
      </c>
      <c r="AI156" s="208" t="s">
        <v>4252</v>
      </c>
      <c r="AJ156" s="227">
        <v>45496</v>
      </c>
      <c r="AK156" s="222">
        <v>1403.87</v>
      </c>
      <c r="AL156" s="227"/>
      <c r="AM156" s="208"/>
      <c r="AN156" s="227"/>
      <c r="AO156" s="222"/>
      <c r="AP156" s="227"/>
      <c r="AQ156" s="358">
        <f ca="1">IF(表格1[[#This Row],[PO$]]="","100%",表格1[[#This Row],[total amount]]/表格1[[#This Row],[PO$]])</f>
        <v>1</v>
      </c>
      <c r="AR156" s="223">
        <f ca="1">表格1[[#This Row],[invoice amount]]+表格1[[#This Row],[invoice amount2]]</f>
        <v>1403.87</v>
      </c>
      <c r="AS156" s="224" t="s">
        <v>3752</v>
      </c>
      <c r="AT156" s="208"/>
      <c r="AU156" s="208" t="e">
        <f ca="1">VLOOKUP(表格1[[#This Row],[PO+ITEM]],#REF!,2,FALSE)</f>
        <v>#REF!</v>
      </c>
      <c r="AV156" s="341" t="e">
        <f ca="1">VLOOKUP(表格1[[#This Row],[PO+ITEM]],#REF!,3,FALSE)</f>
        <v>#REF!</v>
      </c>
      <c r="AW156" s="208" t="e">
        <f ca="1">VLOOKUP(表格1[[#This Row],[PO+ITEM]],#REF!,4,FALSE)</f>
        <v>#REF!</v>
      </c>
      <c r="AX156" s="208" t="e" cm="1" vm="1">
        <f t="array" aca="1" ref="AX156" ca="1">VLOOKUP(AI:AI,#REF!,1,FALSE)</f>
        <v>#VALUE!</v>
      </c>
    </row>
    <row r="157" spans="1:50">
      <c r="A157" s="220">
        <v>156</v>
      </c>
      <c r="B157" s="220" t="s">
        <v>3674</v>
      </c>
      <c r="C157" s="209" t="s">
        <v>16</v>
      </c>
      <c r="D157" s="209" t="s">
        <v>3648</v>
      </c>
      <c r="E157" s="209"/>
      <c r="F157" s="209"/>
      <c r="G157" s="209"/>
      <c r="H157" s="210" t="s">
        <v>4253</v>
      </c>
      <c r="I157" s="210"/>
      <c r="J157" s="211"/>
      <c r="K157" s="210"/>
      <c r="L157" s="212" t="s">
        <v>4003</v>
      </c>
      <c r="M157" s="212" t="s">
        <v>2999</v>
      </c>
      <c r="N157" s="213"/>
      <c r="O157" s="263">
        <v>4590004396</v>
      </c>
      <c r="P157" s="214">
        <v>44801</v>
      </c>
      <c r="Q157" s="334">
        <v>12</v>
      </c>
      <c r="R157" s="216">
        <v>1403.87</v>
      </c>
      <c r="S157" s="217" t="s">
        <v>2156</v>
      </c>
      <c r="T157" s="209" t="s">
        <v>4004</v>
      </c>
      <c r="U157" s="209" t="s">
        <v>4005</v>
      </c>
      <c r="V157" s="213" t="s">
        <v>4006</v>
      </c>
      <c r="W157" s="218" t="s">
        <v>3652</v>
      </c>
      <c r="X157" s="218" t="s">
        <v>3652</v>
      </c>
      <c r="Y157" s="212" t="s">
        <v>4218</v>
      </c>
      <c r="Z157" s="209" t="s">
        <v>3664</v>
      </c>
      <c r="AA157" s="219"/>
      <c r="AB157" s="218"/>
      <c r="AC157" s="217" t="e">
        <v>#N/A</v>
      </c>
      <c r="AD157" s="217">
        <v>90378</v>
      </c>
      <c r="AE157" s="217" t="s">
        <v>4254</v>
      </c>
      <c r="AF157" s="217" t="s">
        <v>4215</v>
      </c>
      <c r="AG157" s="217" t="s">
        <v>36</v>
      </c>
      <c r="AH157" s="220" t="str">
        <f t="shared" si="6"/>
        <v>4590004396_012</v>
      </c>
      <c r="AI157" s="208" t="s">
        <v>4259</v>
      </c>
      <c r="AJ157" s="227">
        <v>45496</v>
      </c>
      <c r="AK157" s="222">
        <v>1403.87</v>
      </c>
      <c r="AL157" s="227"/>
      <c r="AM157" s="208"/>
      <c r="AN157" s="227"/>
      <c r="AO157" s="222"/>
      <c r="AP157" s="227"/>
      <c r="AQ157" s="358">
        <f ca="1">IF(表格1[[#This Row],[PO$]]="","100%",表格1[[#This Row],[total amount]]/表格1[[#This Row],[PO$]])</f>
        <v>1</v>
      </c>
      <c r="AR157" s="223">
        <f ca="1">表格1[[#This Row],[invoice amount]]+表格1[[#This Row],[invoice amount2]]</f>
        <v>1403.87</v>
      </c>
      <c r="AS157" s="224" t="s">
        <v>3752</v>
      </c>
      <c r="AT157" s="208"/>
      <c r="AU157" s="208" t="e">
        <f ca="1">VLOOKUP(表格1[[#This Row],[PO+ITEM]],#REF!,2,FALSE)</f>
        <v>#REF!</v>
      </c>
      <c r="AV157" s="341" t="e">
        <f ca="1">VLOOKUP(表格1[[#This Row],[PO+ITEM]],#REF!,3,FALSE)</f>
        <v>#REF!</v>
      </c>
      <c r="AW157" s="208" t="e">
        <f ca="1">VLOOKUP(表格1[[#This Row],[PO+ITEM]],#REF!,4,FALSE)</f>
        <v>#REF!</v>
      </c>
      <c r="AX157" s="208" t="e" cm="1" vm="1">
        <f t="array" aca="1" ref="AX157" ca="1">VLOOKUP(AI:AI,#REF!,1,FALSE)</f>
        <v>#VALUE!</v>
      </c>
    </row>
    <row r="158" spans="1:50" ht="15.6">
      <c r="A158" s="220">
        <v>157</v>
      </c>
      <c r="B158" s="220" t="s">
        <v>3674</v>
      </c>
      <c r="C158" s="209" t="s">
        <v>16</v>
      </c>
      <c r="D158" s="209" t="s">
        <v>3648</v>
      </c>
      <c r="E158" s="209"/>
      <c r="F158" s="209"/>
      <c r="G158" s="209"/>
      <c r="H158" s="210" t="s">
        <v>4256</v>
      </c>
      <c r="I158" s="210"/>
      <c r="J158" s="211"/>
      <c r="K158" s="210"/>
      <c r="L158" s="212" t="s">
        <v>4003</v>
      </c>
      <c r="M158" s="212" t="s">
        <v>2999</v>
      </c>
      <c r="N158" s="213"/>
      <c r="O158" s="263">
        <v>4590004396</v>
      </c>
      <c r="P158" s="214">
        <v>44801</v>
      </c>
      <c r="Q158" s="334">
        <v>13</v>
      </c>
      <c r="R158" s="216">
        <v>1403.87</v>
      </c>
      <c r="S158" s="217" t="s">
        <v>2156</v>
      </c>
      <c r="T158" s="209" t="s">
        <v>4004</v>
      </c>
      <c r="U158" s="209" t="s">
        <v>4005</v>
      </c>
      <c r="V158" s="213" t="s">
        <v>4006</v>
      </c>
      <c r="W158" s="218" t="s">
        <v>3652</v>
      </c>
      <c r="X158" s="218" t="s">
        <v>3652</v>
      </c>
      <c r="Y158" s="212" t="s">
        <v>4218</v>
      </c>
      <c r="Z158" s="209" t="s">
        <v>3664</v>
      </c>
      <c r="AA158" s="219"/>
      <c r="AB158" s="218"/>
      <c r="AC158" s="217" t="e">
        <v>#N/A</v>
      </c>
      <c r="AD158" s="217">
        <v>90377</v>
      </c>
      <c r="AE158" s="217" t="s">
        <v>4257</v>
      </c>
      <c r="AF158" s="217" t="s">
        <v>4215</v>
      </c>
      <c r="AG158" s="217" t="s">
        <v>36</v>
      </c>
      <c r="AH158" s="220" t="str">
        <f t="shared" si="6"/>
        <v>4590004396_013</v>
      </c>
      <c r="AI158" s="208"/>
      <c r="AJ158" s="225">
        <v>45047</v>
      </c>
      <c r="AK158" s="221">
        <v>561.548</v>
      </c>
      <c r="AL158" s="228">
        <v>45121</v>
      </c>
      <c r="AM158" s="208" t="s">
        <v>4255</v>
      </c>
      <c r="AN158" s="227">
        <v>45496</v>
      </c>
      <c r="AO158" s="222">
        <v>842.32</v>
      </c>
      <c r="AP158" s="227"/>
      <c r="AQ158" s="358">
        <f ca="1">IF(表格1[[#This Row],[PO$]]="","100%",表格1[[#This Row],[total amount]]/表格1[[#This Row],[PO$]])</f>
        <v>0.99999857536666503</v>
      </c>
      <c r="AR158" s="223">
        <f ca="1">表格1[[#This Row],[invoice amount]]+表格1[[#This Row],[invoice amount2]]</f>
        <v>1403.8679999999999</v>
      </c>
      <c r="AS158" s="224" t="s">
        <v>4235</v>
      </c>
      <c r="AT158" s="208"/>
      <c r="AU158" s="208" t="e">
        <f ca="1">VLOOKUP(表格1[[#This Row],[PO+ITEM]],#REF!,2,FALSE)</f>
        <v>#REF!</v>
      </c>
      <c r="AV158" s="341" t="e">
        <f ca="1">VLOOKUP(表格1[[#This Row],[PO+ITEM]],#REF!,3,FALSE)</f>
        <v>#REF!</v>
      </c>
      <c r="AW158" s="208" t="e">
        <f ca="1">VLOOKUP(表格1[[#This Row],[PO+ITEM]],#REF!,4,FALSE)</f>
        <v>#REF!</v>
      </c>
      <c r="AX158" s="208" t="e" cm="1" vm="1">
        <f t="array" aca="1" ref="AX158" ca="1">VLOOKUP(AI:AI,#REF!,1,FALSE)</f>
        <v>#VALUE!</v>
      </c>
    </row>
    <row r="159" spans="1:50" ht="15.6">
      <c r="A159" s="220">
        <v>158</v>
      </c>
      <c r="B159" s="220" t="s">
        <v>3674</v>
      </c>
      <c r="C159" s="209" t="s">
        <v>16</v>
      </c>
      <c r="D159" s="209" t="s">
        <v>3648</v>
      </c>
      <c r="E159" s="209"/>
      <c r="F159" s="209"/>
      <c r="G159" s="209"/>
      <c r="H159" s="210" t="s">
        <v>4260</v>
      </c>
      <c r="I159" s="210"/>
      <c r="J159" s="211"/>
      <c r="K159" s="210"/>
      <c r="L159" s="212" t="s">
        <v>4003</v>
      </c>
      <c r="M159" s="212" t="s">
        <v>2999</v>
      </c>
      <c r="N159" s="213"/>
      <c r="O159" s="263">
        <v>4590004396</v>
      </c>
      <c r="P159" s="214">
        <v>44801</v>
      </c>
      <c r="Q159" s="334">
        <v>14</v>
      </c>
      <c r="R159" s="216">
        <v>1403.87</v>
      </c>
      <c r="S159" s="217" t="s">
        <v>2156</v>
      </c>
      <c r="T159" s="209" t="s">
        <v>4004</v>
      </c>
      <c r="U159" s="209" t="s">
        <v>4005</v>
      </c>
      <c r="V159" s="213" t="s">
        <v>4006</v>
      </c>
      <c r="W159" s="218" t="s">
        <v>3652</v>
      </c>
      <c r="X159" s="218" t="s">
        <v>3652</v>
      </c>
      <c r="Y159" s="212" t="s">
        <v>4218</v>
      </c>
      <c r="Z159" s="209" t="s">
        <v>3664</v>
      </c>
      <c r="AA159" s="219"/>
      <c r="AB159" s="218"/>
      <c r="AC159" s="217" t="e">
        <v>#N/A</v>
      </c>
      <c r="AD159" s="217">
        <v>90376</v>
      </c>
      <c r="AE159" s="217" t="s">
        <v>4261</v>
      </c>
      <c r="AF159" s="217" t="s">
        <v>4215</v>
      </c>
      <c r="AG159" s="217" t="s">
        <v>36</v>
      </c>
      <c r="AH159" s="220" t="str">
        <f t="shared" si="6"/>
        <v>4590004396_014</v>
      </c>
      <c r="AI159" s="208"/>
      <c r="AJ159" s="225">
        <v>45047</v>
      </c>
      <c r="AK159" s="221">
        <v>561.548</v>
      </c>
      <c r="AL159" s="228">
        <v>45121</v>
      </c>
      <c r="AM159" s="208" t="s">
        <v>4242</v>
      </c>
      <c r="AN159" s="227">
        <v>45496</v>
      </c>
      <c r="AO159" s="222">
        <v>842.32</v>
      </c>
      <c r="AP159" s="227"/>
      <c r="AQ159" s="358">
        <f ca="1">IF(表格1[[#This Row],[PO$]]="","100%",表格1[[#This Row],[total amount]]/表格1[[#This Row],[PO$]])</f>
        <v>0.99999857536666503</v>
      </c>
      <c r="AR159" s="223">
        <f ca="1">表格1[[#This Row],[invoice amount]]+表格1[[#This Row],[invoice amount2]]</f>
        <v>1403.8679999999999</v>
      </c>
      <c r="AS159" s="224" t="s">
        <v>4235</v>
      </c>
      <c r="AT159" s="208"/>
      <c r="AU159" s="208" t="e">
        <f ca="1">VLOOKUP(表格1[[#This Row],[PO+ITEM]],#REF!,2,FALSE)</f>
        <v>#REF!</v>
      </c>
      <c r="AV159" s="341" t="e">
        <f ca="1">VLOOKUP(表格1[[#This Row],[PO+ITEM]],#REF!,3,FALSE)</f>
        <v>#REF!</v>
      </c>
      <c r="AW159" s="208" t="e">
        <f ca="1">VLOOKUP(表格1[[#This Row],[PO+ITEM]],#REF!,4,FALSE)</f>
        <v>#REF!</v>
      </c>
      <c r="AX159" s="208" t="e" cm="1" vm="1">
        <f t="array" aca="1" ref="AX159" ca="1">VLOOKUP(AI:AI,#REF!,1,FALSE)</f>
        <v>#VALUE!</v>
      </c>
    </row>
    <row r="160" spans="1:50" ht="15.6">
      <c r="A160" s="220">
        <v>159</v>
      </c>
      <c r="B160" s="220" t="s">
        <v>3674</v>
      </c>
      <c r="C160" s="209" t="s">
        <v>16</v>
      </c>
      <c r="D160" s="209" t="s">
        <v>3648</v>
      </c>
      <c r="E160" s="209"/>
      <c r="F160" s="209"/>
      <c r="G160" s="209"/>
      <c r="H160" s="217" t="s">
        <v>4264</v>
      </c>
      <c r="I160" s="217"/>
      <c r="J160" s="215"/>
      <c r="K160" s="217"/>
      <c r="L160" s="212" t="s">
        <v>4003</v>
      </c>
      <c r="M160" s="212" t="s">
        <v>2999</v>
      </c>
      <c r="N160" s="213"/>
      <c r="O160" s="263">
        <v>4590004396</v>
      </c>
      <c r="P160" s="214">
        <v>44801</v>
      </c>
      <c r="Q160" s="334">
        <v>15</v>
      </c>
      <c r="R160" s="216">
        <v>1403.87</v>
      </c>
      <c r="S160" s="217" t="s">
        <v>2156</v>
      </c>
      <c r="T160" s="209" t="s">
        <v>4004</v>
      </c>
      <c r="U160" s="209" t="s">
        <v>4005</v>
      </c>
      <c r="V160" s="213" t="s">
        <v>4006</v>
      </c>
      <c r="W160" s="218" t="s">
        <v>3652</v>
      </c>
      <c r="X160" s="218" t="s">
        <v>3652</v>
      </c>
      <c r="Y160" s="212" t="s">
        <v>4218</v>
      </c>
      <c r="Z160" s="209" t="s">
        <v>3664</v>
      </c>
      <c r="AA160" s="219"/>
      <c r="AB160" s="218"/>
      <c r="AC160" s="217" t="e">
        <v>#N/A</v>
      </c>
      <c r="AD160" s="217">
        <v>90375</v>
      </c>
      <c r="AE160" s="217" t="s">
        <v>4265</v>
      </c>
      <c r="AF160" s="217" t="s">
        <v>4215</v>
      </c>
      <c r="AG160" s="217" t="s">
        <v>36</v>
      </c>
      <c r="AH160" s="220" t="str">
        <f t="shared" si="6"/>
        <v>4590004396_015</v>
      </c>
      <c r="AI160" s="208"/>
      <c r="AJ160" s="225">
        <v>45047</v>
      </c>
      <c r="AK160" s="221">
        <v>561.548</v>
      </c>
      <c r="AL160" s="228">
        <v>45121</v>
      </c>
      <c r="AM160" s="208" t="s">
        <v>4234</v>
      </c>
      <c r="AN160" s="227">
        <v>45496</v>
      </c>
      <c r="AO160" s="222">
        <v>842.32</v>
      </c>
      <c r="AP160" s="227"/>
      <c r="AQ160" s="358">
        <f ca="1">IF(表格1[[#This Row],[PO$]]="","100%",表格1[[#This Row],[total amount]]/表格1[[#This Row],[PO$]])</f>
        <v>0.99999857536666503</v>
      </c>
      <c r="AR160" s="223">
        <f ca="1">表格1[[#This Row],[invoice amount]]+表格1[[#This Row],[invoice amount2]]</f>
        <v>1403.8679999999999</v>
      </c>
      <c r="AS160" s="224" t="s">
        <v>4235</v>
      </c>
      <c r="AT160" s="208"/>
      <c r="AU160" s="208" t="e">
        <f ca="1">VLOOKUP(表格1[[#This Row],[PO+ITEM]],#REF!,2,FALSE)</f>
        <v>#REF!</v>
      </c>
      <c r="AV160" s="341" t="e">
        <f ca="1">VLOOKUP(表格1[[#This Row],[PO+ITEM]],#REF!,3,FALSE)</f>
        <v>#REF!</v>
      </c>
      <c r="AW160" s="208" t="e">
        <f ca="1">VLOOKUP(表格1[[#This Row],[PO+ITEM]],#REF!,4,FALSE)</f>
        <v>#REF!</v>
      </c>
      <c r="AX160" s="208" t="e" cm="1" vm="1">
        <f t="array" aca="1" ref="AX160" ca="1">VLOOKUP(AI:AI,#REF!,1,FALSE)</f>
        <v>#VALUE!</v>
      </c>
    </row>
    <row r="161" spans="1:50" ht="15.6">
      <c r="A161" s="220">
        <v>160</v>
      </c>
      <c r="B161" s="220" t="s">
        <v>3659</v>
      </c>
      <c r="C161" s="209" t="s">
        <v>16</v>
      </c>
      <c r="D161" s="209" t="s">
        <v>3648</v>
      </c>
      <c r="E161" s="209"/>
      <c r="F161" s="209"/>
      <c r="G161" s="209"/>
      <c r="H161" s="210" t="s">
        <v>4268</v>
      </c>
      <c r="I161" s="210"/>
      <c r="J161" s="211"/>
      <c r="K161" s="210"/>
      <c r="L161" s="212" t="s">
        <v>4269</v>
      </c>
      <c r="M161" s="212" t="s">
        <v>2999</v>
      </c>
      <c r="N161" s="213"/>
      <c r="O161" s="263">
        <v>4590004397</v>
      </c>
      <c r="P161" s="214">
        <v>44801</v>
      </c>
      <c r="Q161" s="334">
        <v>1</v>
      </c>
      <c r="R161" s="216">
        <v>167327.26999999999</v>
      </c>
      <c r="S161" s="217" t="s">
        <v>2156</v>
      </c>
      <c r="T161" s="209" t="s">
        <v>3926</v>
      </c>
      <c r="U161" s="209" t="s">
        <v>3927</v>
      </c>
      <c r="V161" s="213" t="s">
        <v>3928</v>
      </c>
      <c r="W161" s="218" t="s">
        <v>3652</v>
      </c>
      <c r="X161" s="218" t="s">
        <v>3652</v>
      </c>
      <c r="Y161" s="212" t="s">
        <v>4270</v>
      </c>
      <c r="Z161" s="209" t="s">
        <v>3664</v>
      </c>
      <c r="AA161" s="219"/>
      <c r="AB161" s="218"/>
      <c r="AC161" s="217" t="e">
        <v>#N/A</v>
      </c>
      <c r="AD161" s="217">
        <v>90511</v>
      </c>
      <c r="AE161" s="217" t="s">
        <v>3322</v>
      </c>
      <c r="AF161" s="217" t="s">
        <v>4109</v>
      </c>
      <c r="AG161" s="217" t="s">
        <v>3666</v>
      </c>
      <c r="AH161" s="220" t="str">
        <f t="shared" ref="AH161:AH169" si="7">O161&amp;"_00"&amp;Q161</f>
        <v>4590004397_001</v>
      </c>
      <c r="AI161" s="208"/>
      <c r="AJ161" s="225">
        <v>45108</v>
      </c>
      <c r="AK161" s="221">
        <v>0</v>
      </c>
      <c r="AL161" s="314" t="s">
        <v>3788</v>
      </c>
      <c r="AM161" s="208"/>
      <c r="AN161" s="220"/>
      <c r="AO161" s="222"/>
      <c r="AP161" s="227"/>
      <c r="AQ161" s="358">
        <f ca="1">IF(表格1[[#This Row],[PO$]]="","100%",表格1[[#This Row],[total amount]]/表格1[[#This Row],[PO$]])</f>
        <v>0</v>
      </c>
      <c r="AR161" s="223">
        <f ca="1">表格1[[#This Row],[invoice amount]]+表格1[[#This Row],[invoice amount2]]</f>
        <v>0</v>
      </c>
      <c r="AS161" s="224" t="s">
        <v>3789</v>
      </c>
      <c r="AT161" s="208" t="s">
        <v>6718</v>
      </c>
      <c r="AU161" s="208" t="e">
        <f ca="1">VLOOKUP(表格1[[#This Row],[PO+ITEM]],#REF!,2,FALSE)</f>
        <v>#REF!</v>
      </c>
      <c r="AV161" s="341" t="e">
        <f ca="1">VLOOKUP(表格1[[#This Row],[PO+ITEM]],#REF!,3,FALSE)</f>
        <v>#REF!</v>
      </c>
      <c r="AW161" s="208" t="e">
        <f ca="1">VLOOKUP(表格1[[#This Row],[PO+ITEM]],#REF!,4,FALSE)</f>
        <v>#REF!</v>
      </c>
      <c r="AX161" s="208" t="e" cm="1" vm="1">
        <f t="array" aca="1" ref="AX161" ca="1">VLOOKUP(AI:AI,#REF!,1,FALSE)</f>
        <v>#VALUE!</v>
      </c>
    </row>
    <row r="162" spans="1:50" ht="15.6">
      <c r="A162" s="220">
        <v>161</v>
      </c>
      <c r="B162" s="220" t="s">
        <v>3674</v>
      </c>
      <c r="C162" s="209" t="s">
        <v>16</v>
      </c>
      <c r="D162" s="209" t="s">
        <v>3648</v>
      </c>
      <c r="E162" s="209"/>
      <c r="F162" s="209"/>
      <c r="G162" s="209"/>
      <c r="H162" s="210" t="s">
        <v>4272</v>
      </c>
      <c r="I162" s="210"/>
      <c r="J162" s="211"/>
      <c r="K162" s="218"/>
      <c r="L162" s="212" t="s">
        <v>4269</v>
      </c>
      <c r="M162" s="212" t="s">
        <v>2999</v>
      </c>
      <c r="N162" s="213"/>
      <c r="O162" s="263">
        <v>4590004397</v>
      </c>
      <c r="P162" s="214">
        <v>44801</v>
      </c>
      <c r="Q162" s="334">
        <v>2</v>
      </c>
      <c r="R162" s="349">
        <v>167327.26999999999</v>
      </c>
      <c r="S162" s="217" t="s">
        <v>2156</v>
      </c>
      <c r="T162" s="209" t="s">
        <v>3926</v>
      </c>
      <c r="U162" s="209" t="s">
        <v>3927</v>
      </c>
      <c r="V162" s="213" t="s">
        <v>3928</v>
      </c>
      <c r="W162" s="218" t="s">
        <v>3652</v>
      </c>
      <c r="X162" s="218" t="s">
        <v>3652</v>
      </c>
      <c r="Y162" s="212" t="s">
        <v>4270</v>
      </c>
      <c r="Z162" s="209" t="s">
        <v>3664</v>
      </c>
      <c r="AA162" s="219"/>
      <c r="AB162" s="218"/>
      <c r="AC162" s="217" t="e">
        <v>#N/A</v>
      </c>
      <c r="AD162" s="217">
        <v>90514</v>
      </c>
      <c r="AE162" s="217" t="s">
        <v>3167</v>
      </c>
      <c r="AF162" s="217" t="s">
        <v>4109</v>
      </c>
      <c r="AG162" s="217" t="s">
        <v>3666</v>
      </c>
      <c r="AH162" s="220" t="str">
        <f t="shared" si="7"/>
        <v>4590004397_002</v>
      </c>
      <c r="AI162" s="217"/>
      <c r="AJ162" s="225">
        <v>45108</v>
      </c>
      <c r="AK162" s="221">
        <v>0</v>
      </c>
      <c r="AL162" s="314" t="s">
        <v>3788</v>
      </c>
      <c r="AM162" s="217" t="s">
        <v>4273</v>
      </c>
      <c r="AN162" s="227">
        <v>45471</v>
      </c>
      <c r="AO162" s="222">
        <v>167327.26999999999</v>
      </c>
      <c r="AP162" s="227" t="s">
        <v>3805</v>
      </c>
      <c r="AQ162" s="358">
        <f ca="1">IF(表格1[[#This Row],[PO$]]="","100%",表格1[[#This Row],[total amount]]/表格1[[#This Row],[PO$]])</f>
        <v>1</v>
      </c>
      <c r="AR162" s="223">
        <f ca="1">表格1[[#This Row],[invoice amount]]+表格1[[#This Row],[invoice amount2]]</f>
        <v>167327.26999999999</v>
      </c>
      <c r="AS162" s="224" t="s">
        <v>3752</v>
      </c>
      <c r="AT162" s="208" t="s">
        <v>6718</v>
      </c>
      <c r="AU162" s="208" t="e">
        <f ca="1">VLOOKUP(表格1[[#This Row],[PO+ITEM]],#REF!,2,FALSE)</f>
        <v>#REF!</v>
      </c>
      <c r="AV162" s="341" t="e">
        <f ca="1">VLOOKUP(表格1[[#This Row],[PO+ITEM]],#REF!,3,FALSE)</f>
        <v>#REF!</v>
      </c>
      <c r="AW162" s="208" t="e">
        <f ca="1">VLOOKUP(表格1[[#This Row],[PO+ITEM]],#REF!,4,FALSE)</f>
        <v>#REF!</v>
      </c>
      <c r="AX162" s="208" t="e" cm="1" vm="1">
        <f t="array" aca="1" ref="AX162" ca="1">VLOOKUP(AI:AI,#REF!,1,FALSE)</f>
        <v>#VALUE!</v>
      </c>
    </row>
    <row r="163" spans="1:50">
      <c r="A163" s="220">
        <v>162</v>
      </c>
      <c r="B163" s="220" t="s">
        <v>3674</v>
      </c>
      <c r="C163" s="209" t="s">
        <v>16</v>
      </c>
      <c r="D163" s="209" t="s">
        <v>3648</v>
      </c>
      <c r="E163" s="209"/>
      <c r="F163" s="209"/>
      <c r="G163" s="209"/>
      <c r="H163" s="210" t="s">
        <v>4274</v>
      </c>
      <c r="I163" s="210"/>
      <c r="J163" s="211"/>
      <c r="K163" s="210"/>
      <c r="L163" s="212" t="s">
        <v>4269</v>
      </c>
      <c r="M163" s="212" t="s">
        <v>2999</v>
      </c>
      <c r="N163" s="213"/>
      <c r="O163" s="263">
        <v>4590004397</v>
      </c>
      <c r="P163" s="214">
        <v>44801</v>
      </c>
      <c r="Q163" s="334">
        <v>3</v>
      </c>
      <c r="R163" s="216">
        <v>15425.47</v>
      </c>
      <c r="S163" s="217" t="s">
        <v>2156</v>
      </c>
      <c r="T163" s="209" t="s">
        <v>3926</v>
      </c>
      <c r="U163" s="209" t="s">
        <v>3927</v>
      </c>
      <c r="V163" s="213" t="s">
        <v>3928</v>
      </c>
      <c r="W163" s="218" t="s">
        <v>3652</v>
      </c>
      <c r="X163" s="218" t="s">
        <v>3652</v>
      </c>
      <c r="Y163" s="212">
        <v>0</v>
      </c>
      <c r="Z163" s="209" t="s">
        <v>3664</v>
      </c>
      <c r="AA163" s="219"/>
      <c r="AB163" s="218"/>
      <c r="AC163" s="217" t="e">
        <v>#N/A</v>
      </c>
      <c r="AD163" s="217">
        <v>90053</v>
      </c>
      <c r="AE163" s="217" t="s">
        <v>2806</v>
      </c>
      <c r="AF163" s="217" t="s">
        <v>4109</v>
      </c>
      <c r="AG163" s="217" t="s">
        <v>32</v>
      </c>
      <c r="AH163" s="220" t="str">
        <f t="shared" si="7"/>
        <v>4590004397_003</v>
      </c>
      <c r="AI163" s="208"/>
      <c r="AJ163" s="220"/>
      <c r="AK163" s="221"/>
      <c r="AL163" s="227"/>
      <c r="AM163" s="208"/>
      <c r="AN163" s="220"/>
      <c r="AO163" s="222"/>
      <c r="AP163" s="227"/>
      <c r="AQ163" s="358">
        <f ca="1">IF(表格1[[#This Row],[PO$]]="","100%",表格1[[#This Row],[total amount]]/表格1[[#This Row],[PO$]])</f>
        <v>0</v>
      </c>
      <c r="AR163" s="223">
        <f ca="1">表格1[[#This Row],[invoice amount]]+表格1[[#This Row],[invoice amount2]]</f>
        <v>0</v>
      </c>
      <c r="AS163" s="224"/>
      <c r="AT163" s="208"/>
      <c r="AU163" s="208" t="e">
        <f ca="1">VLOOKUP(表格1[[#This Row],[PO+ITEM]],#REF!,2,FALSE)</f>
        <v>#REF!</v>
      </c>
      <c r="AV163" s="341" t="e">
        <f ca="1">VLOOKUP(表格1[[#This Row],[PO+ITEM]],#REF!,3,FALSE)</f>
        <v>#REF!</v>
      </c>
      <c r="AW163" s="208" t="e">
        <f ca="1">VLOOKUP(表格1[[#This Row],[PO+ITEM]],#REF!,4,FALSE)</f>
        <v>#REF!</v>
      </c>
      <c r="AX163" s="208" t="e" cm="1" vm="1">
        <f t="array" aca="1" ref="AX163" ca="1">VLOOKUP(AI:AI,#REF!,1,FALSE)</f>
        <v>#VALUE!</v>
      </c>
    </row>
    <row r="164" spans="1:50" ht="15.6">
      <c r="A164" s="220">
        <v>163</v>
      </c>
      <c r="B164" s="220" t="s">
        <v>3674</v>
      </c>
      <c r="C164" s="209" t="s">
        <v>16</v>
      </c>
      <c r="D164" s="209" t="s">
        <v>3648</v>
      </c>
      <c r="E164" s="209"/>
      <c r="F164" s="209"/>
      <c r="G164" s="209"/>
      <c r="H164" s="217" t="s">
        <v>4275</v>
      </c>
      <c r="I164" s="217"/>
      <c r="J164" s="215"/>
      <c r="K164" s="217"/>
      <c r="L164" s="212" t="s">
        <v>2206</v>
      </c>
      <c r="M164" s="212" t="s">
        <v>2999</v>
      </c>
      <c r="N164" s="213"/>
      <c r="O164" s="263">
        <v>4590004397</v>
      </c>
      <c r="P164" s="214">
        <v>44801</v>
      </c>
      <c r="Q164" s="334">
        <v>4</v>
      </c>
      <c r="R164" s="216">
        <v>5223.09</v>
      </c>
      <c r="S164" s="217" t="s">
        <v>2156</v>
      </c>
      <c r="T164" s="209" t="s">
        <v>3926</v>
      </c>
      <c r="U164" s="209" t="s">
        <v>3927</v>
      </c>
      <c r="V164" s="213" t="s">
        <v>3928</v>
      </c>
      <c r="W164" s="218" t="s">
        <v>3652</v>
      </c>
      <c r="X164" s="218" t="s">
        <v>3652</v>
      </c>
      <c r="Y164" s="212" t="s">
        <v>4270</v>
      </c>
      <c r="Z164" s="209" t="s">
        <v>3664</v>
      </c>
      <c r="AA164" s="219"/>
      <c r="AB164" s="218"/>
      <c r="AC164" s="217" t="e">
        <v>#N/A</v>
      </c>
      <c r="AD164" s="217">
        <v>90093</v>
      </c>
      <c r="AE164" s="217" t="s">
        <v>2673</v>
      </c>
      <c r="AF164" s="217" t="s">
        <v>3932</v>
      </c>
      <c r="AG164" s="217" t="s">
        <v>846</v>
      </c>
      <c r="AH164" s="220" t="str">
        <f t="shared" si="7"/>
        <v>4590004397_004</v>
      </c>
      <c r="AI164" s="208"/>
      <c r="AJ164" s="225">
        <v>45047</v>
      </c>
      <c r="AK164" s="221">
        <v>2089.2360000000003</v>
      </c>
      <c r="AL164" s="228">
        <v>45303</v>
      </c>
      <c r="AM164" s="208" t="s">
        <v>4278</v>
      </c>
      <c r="AN164" s="227">
        <v>45408</v>
      </c>
      <c r="AO164" s="222">
        <v>3133.8539999999998</v>
      </c>
      <c r="AP164" s="227" t="s">
        <v>6719</v>
      </c>
      <c r="AQ164" s="358">
        <f ca="1">IF(表格1[[#This Row],[PO$]]="","100%",表格1[[#This Row],[total amount]]/表格1[[#This Row],[PO$]])</f>
        <v>1</v>
      </c>
      <c r="AR164" s="317">
        <f ca="1">表格1[[#This Row],[invoice amount]]+表格1[[#This Row],[invoice amount2]]</f>
        <v>5223.09</v>
      </c>
      <c r="AS164" s="224" t="s">
        <v>3789</v>
      </c>
      <c r="AT164" s="208" t="s">
        <v>6720</v>
      </c>
      <c r="AU164" s="208" t="e">
        <f ca="1">VLOOKUP(表格1[[#This Row],[PO+ITEM]],#REF!,2,FALSE)</f>
        <v>#REF!</v>
      </c>
      <c r="AV164" s="341" t="e">
        <f ca="1">VLOOKUP(表格1[[#This Row],[PO+ITEM]],#REF!,3,FALSE)</f>
        <v>#REF!</v>
      </c>
      <c r="AW164" s="208" t="e">
        <f ca="1">VLOOKUP(表格1[[#This Row],[PO+ITEM]],#REF!,4,FALSE)</f>
        <v>#REF!</v>
      </c>
      <c r="AX164" s="208" t="e" cm="1" vm="1">
        <f t="array" aca="1" ref="AX164" ca="1">VLOOKUP(AI:AI,#REF!,1,FALSE)</f>
        <v>#VALUE!</v>
      </c>
    </row>
    <row r="165" spans="1:50" ht="15.6">
      <c r="A165" s="220">
        <v>164</v>
      </c>
      <c r="B165" s="220" t="s">
        <v>3659</v>
      </c>
      <c r="C165" s="209" t="s">
        <v>16</v>
      </c>
      <c r="D165" s="209" t="s">
        <v>3648</v>
      </c>
      <c r="E165" s="209"/>
      <c r="F165" s="209"/>
      <c r="G165" s="209"/>
      <c r="H165" s="210" t="s">
        <v>4280</v>
      </c>
      <c r="I165" s="210"/>
      <c r="J165" s="211"/>
      <c r="K165" s="210"/>
      <c r="L165" s="212" t="s">
        <v>2206</v>
      </c>
      <c r="M165" s="212" t="s">
        <v>2999</v>
      </c>
      <c r="N165" s="213"/>
      <c r="O165" s="263">
        <v>4590004397</v>
      </c>
      <c r="P165" s="214">
        <v>44801</v>
      </c>
      <c r="Q165" s="334">
        <v>5</v>
      </c>
      <c r="R165" s="216">
        <v>5223.09</v>
      </c>
      <c r="S165" s="217" t="s">
        <v>2156</v>
      </c>
      <c r="T165" s="209" t="s">
        <v>3926</v>
      </c>
      <c r="U165" s="209" t="s">
        <v>3927</v>
      </c>
      <c r="V165" s="213" t="s">
        <v>3928</v>
      </c>
      <c r="W165" s="218" t="s">
        <v>3652</v>
      </c>
      <c r="X165" s="218" t="s">
        <v>3652</v>
      </c>
      <c r="Y165" s="212" t="s">
        <v>4270</v>
      </c>
      <c r="Z165" s="209" t="s">
        <v>3664</v>
      </c>
      <c r="AA165" s="219"/>
      <c r="AB165" s="218"/>
      <c r="AC165" s="217" t="e">
        <v>#N/A</v>
      </c>
      <c r="AD165" s="217">
        <v>90926</v>
      </c>
      <c r="AE165" s="217" t="s">
        <v>4281</v>
      </c>
      <c r="AF165" s="217" t="s">
        <v>3932</v>
      </c>
      <c r="AG165" s="217" t="s">
        <v>846</v>
      </c>
      <c r="AH165" s="220" t="str">
        <f t="shared" si="7"/>
        <v>4590004397_005</v>
      </c>
      <c r="AI165" s="208"/>
      <c r="AJ165" s="225">
        <v>45047</v>
      </c>
      <c r="AK165" s="221">
        <v>2089.2360000000003</v>
      </c>
      <c r="AL165" s="228">
        <v>45303</v>
      </c>
      <c r="AM165" s="208"/>
      <c r="AN165" s="220"/>
      <c r="AO165" s="222"/>
      <c r="AP165" s="227"/>
      <c r="AQ165" s="358">
        <f ca="1">IF(表格1[[#This Row],[PO$]]="","100%",表格1[[#This Row],[total amount]]/表格1[[#This Row],[PO$]])</f>
        <v>0.40000000000000008</v>
      </c>
      <c r="AR165" s="223">
        <f ca="1">表格1[[#This Row],[invoice amount]]+表格1[[#This Row],[invoice amount2]]</f>
        <v>2089.2360000000003</v>
      </c>
      <c r="AS165" s="224" t="s">
        <v>3673</v>
      </c>
      <c r="AT165" s="208"/>
      <c r="AU165" s="208" t="e">
        <f ca="1">VLOOKUP(表格1[[#This Row],[PO+ITEM]],#REF!,2,FALSE)</f>
        <v>#REF!</v>
      </c>
      <c r="AV165" s="341" t="e">
        <f ca="1">VLOOKUP(表格1[[#This Row],[PO+ITEM]],#REF!,3,FALSE)</f>
        <v>#REF!</v>
      </c>
      <c r="AW165" s="208" t="e">
        <f ca="1">VLOOKUP(表格1[[#This Row],[PO+ITEM]],#REF!,4,FALSE)</f>
        <v>#REF!</v>
      </c>
      <c r="AX165" s="208" t="e" cm="1" vm="1">
        <f t="array" aca="1" ref="AX165" ca="1">VLOOKUP(AI:AI,#REF!,1,FALSE)</f>
        <v>#VALUE!</v>
      </c>
    </row>
    <row r="166" spans="1:50" ht="15.6">
      <c r="A166" s="220">
        <v>165</v>
      </c>
      <c r="B166" s="220" t="s">
        <v>3674</v>
      </c>
      <c r="C166" s="209" t="s">
        <v>16</v>
      </c>
      <c r="D166" s="209" t="s">
        <v>3648</v>
      </c>
      <c r="E166" s="209"/>
      <c r="F166" s="209"/>
      <c r="G166" s="209"/>
      <c r="H166" s="210" t="s">
        <v>4283</v>
      </c>
      <c r="I166" s="210"/>
      <c r="J166" s="211"/>
      <c r="K166" s="210"/>
      <c r="L166" s="212" t="s">
        <v>2206</v>
      </c>
      <c r="M166" s="212" t="s">
        <v>2999</v>
      </c>
      <c r="N166" s="213"/>
      <c r="O166" s="263">
        <v>4590004397</v>
      </c>
      <c r="P166" s="214">
        <v>44801</v>
      </c>
      <c r="Q166" s="334">
        <v>6</v>
      </c>
      <c r="R166" s="216">
        <v>2611.54</v>
      </c>
      <c r="S166" s="217" t="s">
        <v>2156</v>
      </c>
      <c r="T166" s="209" t="s">
        <v>3926</v>
      </c>
      <c r="U166" s="209" t="s">
        <v>3927</v>
      </c>
      <c r="V166" s="213" t="s">
        <v>3928</v>
      </c>
      <c r="W166" s="218" t="s">
        <v>3652</v>
      </c>
      <c r="X166" s="218" t="s">
        <v>3652</v>
      </c>
      <c r="Y166" s="212" t="s">
        <v>4270</v>
      </c>
      <c r="Z166" s="209" t="s">
        <v>3664</v>
      </c>
      <c r="AA166" s="219"/>
      <c r="AB166" s="218"/>
      <c r="AC166" s="217" t="e">
        <v>#N/A</v>
      </c>
      <c r="AD166" s="217">
        <v>90094</v>
      </c>
      <c r="AE166" s="217" t="s">
        <v>2624</v>
      </c>
      <c r="AF166" s="217" t="s">
        <v>3932</v>
      </c>
      <c r="AG166" s="217" t="s">
        <v>846</v>
      </c>
      <c r="AH166" s="220" t="str">
        <f t="shared" si="7"/>
        <v>4590004397_006</v>
      </c>
      <c r="AI166" s="208"/>
      <c r="AJ166" s="225">
        <v>45047</v>
      </c>
      <c r="AK166" s="221">
        <v>1044.616</v>
      </c>
      <c r="AL166" s="228">
        <v>45303</v>
      </c>
      <c r="AM166" s="208" t="s">
        <v>4285</v>
      </c>
      <c r="AN166" s="227">
        <v>45408</v>
      </c>
      <c r="AO166" s="222">
        <v>1566.924</v>
      </c>
      <c r="AP166" s="227" t="s">
        <v>6719</v>
      </c>
      <c r="AQ166" s="358">
        <f ca="1">IF(表格1[[#This Row],[PO$]]="","100%",表格1[[#This Row],[total amount]]/表格1[[#This Row],[PO$]])</f>
        <v>1</v>
      </c>
      <c r="AR166" s="317">
        <f ca="1">表格1[[#This Row],[invoice amount]]+表格1[[#This Row],[invoice amount2]]</f>
        <v>2611.54</v>
      </c>
      <c r="AS166" s="224" t="s">
        <v>3789</v>
      </c>
      <c r="AT166" s="277" t="s">
        <v>6720</v>
      </c>
      <c r="AU166" s="208" t="e">
        <f ca="1">VLOOKUP(表格1[[#This Row],[PO+ITEM]],#REF!,2,FALSE)</f>
        <v>#REF!</v>
      </c>
      <c r="AV166" s="341" t="e">
        <f ca="1">VLOOKUP(表格1[[#This Row],[PO+ITEM]],#REF!,3,FALSE)</f>
        <v>#REF!</v>
      </c>
      <c r="AW166" s="208" t="e">
        <f ca="1">VLOOKUP(表格1[[#This Row],[PO+ITEM]],#REF!,4,FALSE)</f>
        <v>#REF!</v>
      </c>
      <c r="AX166" s="208" t="e" cm="1" vm="1">
        <f t="array" aca="1" ref="AX166" ca="1">VLOOKUP(AI:AI,#REF!,1,FALSE)</f>
        <v>#VALUE!</v>
      </c>
    </row>
    <row r="167" spans="1:50" ht="15.6">
      <c r="A167" s="220">
        <v>166</v>
      </c>
      <c r="B167" s="220" t="s">
        <v>3659</v>
      </c>
      <c r="C167" s="209" t="s">
        <v>16</v>
      </c>
      <c r="D167" s="209" t="s">
        <v>3648</v>
      </c>
      <c r="E167" s="209"/>
      <c r="F167" s="209"/>
      <c r="G167" s="209"/>
      <c r="H167" s="210" t="s">
        <v>4286</v>
      </c>
      <c r="I167" s="210"/>
      <c r="J167" s="211"/>
      <c r="K167" s="210"/>
      <c r="L167" s="212" t="s">
        <v>2206</v>
      </c>
      <c r="M167" s="212" t="s">
        <v>2999</v>
      </c>
      <c r="N167" s="213"/>
      <c r="O167" s="263">
        <v>4590004397</v>
      </c>
      <c r="P167" s="214">
        <v>44801</v>
      </c>
      <c r="Q167" s="334">
        <v>7</v>
      </c>
      <c r="R167" s="216">
        <v>2611.54</v>
      </c>
      <c r="S167" s="217" t="s">
        <v>2156</v>
      </c>
      <c r="T167" s="209" t="s">
        <v>3926</v>
      </c>
      <c r="U167" s="209" t="s">
        <v>3927</v>
      </c>
      <c r="V167" s="213" t="s">
        <v>3928</v>
      </c>
      <c r="W167" s="218" t="s">
        <v>3652</v>
      </c>
      <c r="X167" s="218" t="s">
        <v>3652</v>
      </c>
      <c r="Y167" s="212" t="s">
        <v>4270</v>
      </c>
      <c r="Z167" s="209" t="s">
        <v>3664</v>
      </c>
      <c r="AA167" s="219"/>
      <c r="AB167" s="218"/>
      <c r="AC167" s="217" t="e">
        <v>#N/A</v>
      </c>
      <c r="AD167" s="217">
        <v>90925</v>
      </c>
      <c r="AE167" s="217" t="s">
        <v>4287</v>
      </c>
      <c r="AF167" s="217" t="s">
        <v>3932</v>
      </c>
      <c r="AG167" s="217" t="s">
        <v>846</v>
      </c>
      <c r="AH167" s="220" t="str">
        <f t="shared" si="7"/>
        <v>4590004397_007</v>
      </c>
      <c r="AI167" s="208"/>
      <c r="AJ167" s="225">
        <v>45047</v>
      </c>
      <c r="AK167" s="221">
        <v>1044.616</v>
      </c>
      <c r="AL167" s="228">
        <v>45303</v>
      </c>
      <c r="AM167" s="208"/>
      <c r="AN167" s="220"/>
      <c r="AO167" s="222"/>
      <c r="AP167" s="227"/>
      <c r="AQ167" s="358">
        <f ca="1">IF(表格1[[#This Row],[PO$]]="","100%",表格1[[#This Row],[total amount]]/表格1[[#This Row],[PO$]])</f>
        <v>0.4</v>
      </c>
      <c r="AR167" s="223">
        <f ca="1">表格1[[#This Row],[invoice amount]]+表格1[[#This Row],[invoice amount2]]</f>
        <v>1044.616</v>
      </c>
      <c r="AS167" s="224" t="s">
        <v>3673</v>
      </c>
      <c r="AT167" s="208"/>
      <c r="AU167" s="208" t="e">
        <f ca="1">VLOOKUP(表格1[[#This Row],[PO+ITEM]],#REF!,2,FALSE)</f>
        <v>#REF!</v>
      </c>
      <c r="AV167" s="341" t="e">
        <f ca="1">VLOOKUP(表格1[[#This Row],[PO+ITEM]],#REF!,3,FALSE)</f>
        <v>#REF!</v>
      </c>
      <c r="AW167" s="208" t="e">
        <f ca="1">VLOOKUP(表格1[[#This Row],[PO+ITEM]],#REF!,4,FALSE)</f>
        <v>#REF!</v>
      </c>
      <c r="AX167" s="208" t="e" cm="1" vm="1">
        <f t="array" aca="1" ref="AX167" ca="1">VLOOKUP(AI:AI,#REF!,1,FALSE)</f>
        <v>#VALUE!</v>
      </c>
    </row>
    <row r="168" spans="1:50" ht="15.6">
      <c r="A168" s="220">
        <v>167</v>
      </c>
      <c r="B168" s="220" t="s">
        <v>3674</v>
      </c>
      <c r="C168" s="209" t="s">
        <v>16</v>
      </c>
      <c r="D168" s="209" t="s">
        <v>3648</v>
      </c>
      <c r="E168" s="209"/>
      <c r="F168" s="209"/>
      <c r="G168" s="209"/>
      <c r="H168" s="217" t="s">
        <v>4289</v>
      </c>
      <c r="I168" s="217"/>
      <c r="J168" s="215"/>
      <c r="K168" s="217"/>
      <c r="L168" s="212" t="s">
        <v>2206</v>
      </c>
      <c r="M168" s="212" t="s">
        <v>2999</v>
      </c>
      <c r="N168" s="213"/>
      <c r="O168" s="263">
        <v>4590004397</v>
      </c>
      <c r="P168" s="214">
        <v>44801</v>
      </c>
      <c r="Q168" s="334">
        <v>8</v>
      </c>
      <c r="R168" s="216">
        <v>7834.63</v>
      </c>
      <c r="S168" s="217" t="s">
        <v>2156</v>
      </c>
      <c r="T168" s="209" t="s">
        <v>3926</v>
      </c>
      <c r="U168" s="209" t="s">
        <v>3927</v>
      </c>
      <c r="V168" s="213" t="s">
        <v>3928</v>
      </c>
      <c r="W168" s="218" t="s">
        <v>3652</v>
      </c>
      <c r="X168" s="218" t="s">
        <v>3652</v>
      </c>
      <c r="Y168" s="212" t="s">
        <v>4270</v>
      </c>
      <c r="Z168" s="209" t="s">
        <v>3664</v>
      </c>
      <c r="AA168" s="219"/>
      <c r="AB168" s="218"/>
      <c r="AC168" s="217" t="e">
        <v>#N/A</v>
      </c>
      <c r="AD168" s="217">
        <v>90092</v>
      </c>
      <c r="AE168" s="217" t="s">
        <v>2693</v>
      </c>
      <c r="AF168" s="217" t="s">
        <v>3932</v>
      </c>
      <c r="AG168" s="217" t="s">
        <v>846</v>
      </c>
      <c r="AH168" s="220" t="str">
        <f t="shared" si="7"/>
        <v>4590004397_008</v>
      </c>
      <c r="AI168" s="208"/>
      <c r="AJ168" s="225">
        <v>45047</v>
      </c>
      <c r="AK168" s="221">
        <v>3133.8520000000003</v>
      </c>
      <c r="AL168" s="228">
        <v>45303</v>
      </c>
      <c r="AM168" s="208" t="s">
        <v>4291</v>
      </c>
      <c r="AN168" s="227">
        <v>45408</v>
      </c>
      <c r="AO168" s="222">
        <v>4700.7780000000002</v>
      </c>
      <c r="AP168" s="227" t="s">
        <v>6719</v>
      </c>
      <c r="AQ168" s="358">
        <f ca="1">IF(表格1[[#This Row],[PO$]]="","100%",表格1[[#This Row],[total amount]]/表格1[[#This Row],[PO$]])</f>
        <v>1.0000000000000002</v>
      </c>
      <c r="AR168" s="317">
        <f ca="1">表格1[[#This Row],[invoice amount]]+表格1[[#This Row],[invoice amount2]]</f>
        <v>7834.630000000001</v>
      </c>
      <c r="AS168" s="224" t="s">
        <v>3789</v>
      </c>
      <c r="AT168" s="208" t="s">
        <v>6720</v>
      </c>
      <c r="AU168" s="208" t="e">
        <f ca="1">VLOOKUP(表格1[[#This Row],[PO+ITEM]],#REF!,2,FALSE)</f>
        <v>#REF!</v>
      </c>
      <c r="AV168" s="341" t="e">
        <f ca="1">VLOOKUP(表格1[[#This Row],[PO+ITEM]],#REF!,3,FALSE)</f>
        <v>#REF!</v>
      </c>
      <c r="AW168" s="208" t="e">
        <f ca="1">VLOOKUP(表格1[[#This Row],[PO+ITEM]],#REF!,4,FALSE)</f>
        <v>#REF!</v>
      </c>
      <c r="AX168" s="208" t="e" cm="1" vm="1">
        <f t="array" aca="1" ref="AX168" ca="1">VLOOKUP(AI:AI,#REF!,1,FALSE)</f>
        <v>#VALUE!</v>
      </c>
    </row>
    <row r="169" spans="1:50" ht="15.6">
      <c r="A169" s="220">
        <v>168</v>
      </c>
      <c r="B169" s="220" t="s">
        <v>3674</v>
      </c>
      <c r="C169" s="209" t="s">
        <v>16</v>
      </c>
      <c r="D169" s="209" t="s">
        <v>3648</v>
      </c>
      <c r="E169" s="209"/>
      <c r="F169" s="209"/>
      <c r="G169" s="209"/>
      <c r="H169" s="210" t="s">
        <v>4292</v>
      </c>
      <c r="I169" s="210"/>
      <c r="J169" s="211"/>
      <c r="K169" s="210"/>
      <c r="L169" s="212" t="s">
        <v>2206</v>
      </c>
      <c r="M169" s="212" t="s">
        <v>2999</v>
      </c>
      <c r="N169" s="213"/>
      <c r="O169" s="263">
        <v>4590004397</v>
      </c>
      <c r="P169" s="214">
        <v>44801</v>
      </c>
      <c r="Q169" s="334">
        <v>9</v>
      </c>
      <c r="R169" s="216">
        <v>67993.850000000006</v>
      </c>
      <c r="S169" s="217" t="s">
        <v>2156</v>
      </c>
      <c r="T169" s="209" t="s">
        <v>3926</v>
      </c>
      <c r="U169" s="209" t="s">
        <v>3927</v>
      </c>
      <c r="V169" s="213" t="s">
        <v>3928</v>
      </c>
      <c r="W169" s="218" t="s">
        <v>3652</v>
      </c>
      <c r="X169" s="218" t="s">
        <v>3652</v>
      </c>
      <c r="Y169" s="212" t="s">
        <v>4270</v>
      </c>
      <c r="Z169" s="209" t="s">
        <v>3664</v>
      </c>
      <c r="AA169" s="219"/>
      <c r="AB169" s="218"/>
      <c r="AC169" s="217" t="e">
        <v>#N/A</v>
      </c>
      <c r="AD169" s="217">
        <v>90681</v>
      </c>
      <c r="AE169" s="217" t="s">
        <v>2691</v>
      </c>
      <c r="AF169" s="217" t="s">
        <v>3932</v>
      </c>
      <c r="AG169" s="217" t="s">
        <v>846</v>
      </c>
      <c r="AH169" s="220" t="str">
        <f t="shared" si="7"/>
        <v>4590004397_009</v>
      </c>
      <c r="AI169" s="208"/>
      <c r="AJ169" s="225">
        <v>45017</v>
      </c>
      <c r="AK169" s="221">
        <v>0</v>
      </c>
      <c r="AL169" s="314" t="s">
        <v>3788</v>
      </c>
      <c r="AM169" s="208"/>
      <c r="AN169" s="220"/>
      <c r="AO169" s="222"/>
      <c r="AP169" s="227"/>
      <c r="AQ169" s="358">
        <f ca="1">IF(表格1[[#This Row],[PO$]]="","100%",表格1[[#This Row],[total amount]]/表格1[[#This Row],[PO$]])</f>
        <v>0</v>
      </c>
      <c r="AR169" s="223">
        <f ca="1">表格1[[#This Row],[invoice amount]]+表格1[[#This Row],[invoice amount2]]</f>
        <v>0</v>
      </c>
      <c r="AS169" s="224" t="s">
        <v>3789</v>
      </c>
      <c r="AT169" s="208" t="s">
        <v>6721</v>
      </c>
      <c r="AU169" s="208" t="e">
        <f ca="1">VLOOKUP(表格1[[#This Row],[PO+ITEM]],#REF!,2,FALSE)</f>
        <v>#REF!</v>
      </c>
      <c r="AV169" s="341" t="e">
        <f ca="1">VLOOKUP(表格1[[#This Row],[PO+ITEM]],#REF!,3,FALSE)</f>
        <v>#REF!</v>
      </c>
      <c r="AW169" s="208" t="e">
        <f ca="1">VLOOKUP(表格1[[#This Row],[PO+ITEM]],#REF!,4,FALSE)</f>
        <v>#REF!</v>
      </c>
      <c r="AX169" s="208" t="e" cm="1" vm="1">
        <f t="array" aca="1" ref="AX169" ca="1">VLOOKUP(AI:AI,#REF!,1,FALSE)</f>
        <v>#VALUE!</v>
      </c>
    </row>
    <row r="170" spans="1:50" ht="15.6">
      <c r="A170" s="220">
        <v>169</v>
      </c>
      <c r="B170" s="220" t="s">
        <v>3659</v>
      </c>
      <c r="C170" s="209" t="s">
        <v>16</v>
      </c>
      <c r="D170" s="209" t="s">
        <v>3648</v>
      </c>
      <c r="E170" s="209"/>
      <c r="F170" s="209"/>
      <c r="G170" s="209"/>
      <c r="H170" s="210" t="s">
        <v>4293</v>
      </c>
      <c r="I170" s="210"/>
      <c r="J170" s="211"/>
      <c r="K170" s="210"/>
      <c r="L170" s="212" t="s">
        <v>2206</v>
      </c>
      <c r="M170" s="212" t="s">
        <v>2999</v>
      </c>
      <c r="N170" s="213"/>
      <c r="O170" s="263">
        <v>4590004397</v>
      </c>
      <c r="P170" s="214">
        <v>44801</v>
      </c>
      <c r="Q170" s="334">
        <v>10</v>
      </c>
      <c r="R170" s="216">
        <v>67993.850000000006</v>
      </c>
      <c r="S170" s="217" t="s">
        <v>2156</v>
      </c>
      <c r="T170" s="209" t="s">
        <v>3926</v>
      </c>
      <c r="U170" s="209" t="s">
        <v>3927</v>
      </c>
      <c r="V170" s="213" t="s">
        <v>3928</v>
      </c>
      <c r="W170" s="218" t="s">
        <v>3652</v>
      </c>
      <c r="X170" s="218" t="s">
        <v>3652</v>
      </c>
      <c r="Y170" s="212" t="s">
        <v>4270</v>
      </c>
      <c r="Z170" s="209" t="s">
        <v>3664</v>
      </c>
      <c r="AA170" s="219"/>
      <c r="AB170" s="218"/>
      <c r="AC170" s="217" t="e">
        <v>#N/A</v>
      </c>
      <c r="AD170" s="217">
        <v>90682</v>
      </c>
      <c r="AE170" s="217" t="s">
        <v>4294</v>
      </c>
      <c r="AF170" s="217" t="s">
        <v>3932</v>
      </c>
      <c r="AG170" s="217" t="s">
        <v>846</v>
      </c>
      <c r="AH170" s="220" t="str">
        <f t="shared" ref="AH170:AH175" si="8">O170&amp;"_0"&amp;Q170</f>
        <v>4590004397_010</v>
      </c>
      <c r="AI170" s="208"/>
      <c r="AJ170" s="225">
        <v>45017</v>
      </c>
      <c r="AK170" s="221">
        <v>0</v>
      </c>
      <c r="AL170" s="314" t="s">
        <v>3788</v>
      </c>
      <c r="AM170" s="208"/>
      <c r="AN170" s="220"/>
      <c r="AO170" s="222"/>
      <c r="AP170" s="227"/>
      <c r="AQ170" s="358">
        <f ca="1">IF(表格1[[#This Row],[PO$]]="","100%",表格1[[#This Row],[total amount]]/表格1[[#This Row],[PO$]])</f>
        <v>0</v>
      </c>
      <c r="AR170" s="223">
        <f ca="1">表格1[[#This Row],[invoice amount]]+表格1[[#This Row],[invoice amount2]]</f>
        <v>0</v>
      </c>
      <c r="AS170" s="224" t="s">
        <v>3789</v>
      </c>
      <c r="AT170" s="208" t="s">
        <v>6721</v>
      </c>
      <c r="AU170" s="208" t="e">
        <f ca="1">VLOOKUP(表格1[[#This Row],[PO+ITEM]],#REF!,2,FALSE)</f>
        <v>#REF!</v>
      </c>
      <c r="AV170" s="341" t="e">
        <f ca="1">VLOOKUP(表格1[[#This Row],[PO+ITEM]],#REF!,3,FALSE)</f>
        <v>#REF!</v>
      </c>
      <c r="AW170" s="208" t="e">
        <f ca="1">VLOOKUP(表格1[[#This Row],[PO+ITEM]],#REF!,4,FALSE)</f>
        <v>#REF!</v>
      </c>
      <c r="AX170" s="208" t="e" cm="1" vm="1">
        <f t="array" aca="1" ref="AX170" ca="1">VLOOKUP(AI:AI,#REF!,1,FALSE)</f>
        <v>#VALUE!</v>
      </c>
    </row>
    <row r="171" spans="1:50" ht="15.6">
      <c r="A171" s="220">
        <v>170</v>
      </c>
      <c r="B171" s="220" t="s">
        <v>3674</v>
      </c>
      <c r="C171" s="209" t="s">
        <v>16</v>
      </c>
      <c r="D171" s="209" t="s">
        <v>3648</v>
      </c>
      <c r="E171" s="209"/>
      <c r="F171" s="209"/>
      <c r="G171" s="209"/>
      <c r="H171" s="210" t="s">
        <v>4295</v>
      </c>
      <c r="I171" s="210"/>
      <c r="J171" s="211"/>
      <c r="K171" s="210"/>
      <c r="L171" s="212" t="s">
        <v>4269</v>
      </c>
      <c r="M171" s="212" t="s">
        <v>2999</v>
      </c>
      <c r="N171" s="213"/>
      <c r="O171" s="263">
        <v>4590004397</v>
      </c>
      <c r="P171" s="214">
        <v>44801</v>
      </c>
      <c r="Q171" s="334">
        <v>11</v>
      </c>
      <c r="R171" s="349">
        <v>74705.69</v>
      </c>
      <c r="S171" s="217" t="s">
        <v>2156</v>
      </c>
      <c r="T171" s="209" t="s">
        <v>3926</v>
      </c>
      <c r="U171" s="209" t="s">
        <v>3927</v>
      </c>
      <c r="V171" s="213" t="s">
        <v>3928</v>
      </c>
      <c r="W171" s="218" t="s">
        <v>3652</v>
      </c>
      <c r="X171" s="218" t="s">
        <v>3652</v>
      </c>
      <c r="Y171" s="212" t="s">
        <v>4270</v>
      </c>
      <c r="Z171" s="209" t="s">
        <v>3664</v>
      </c>
      <c r="AA171" s="219"/>
      <c r="AB171" s="218"/>
      <c r="AC171" s="217" t="e">
        <v>#N/A</v>
      </c>
      <c r="AD171" s="217">
        <v>90505</v>
      </c>
      <c r="AE171" s="217" t="s">
        <v>3164</v>
      </c>
      <c r="AF171" s="217" t="s">
        <v>4109</v>
      </c>
      <c r="AG171" s="217" t="s">
        <v>3666</v>
      </c>
      <c r="AH171" s="220" t="str">
        <f t="shared" si="8"/>
        <v>4590004397_011</v>
      </c>
      <c r="AI171" s="217"/>
      <c r="AJ171" s="225">
        <v>45108</v>
      </c>
      <c r="AK171" s="221">
        <v>0</v>
      </c>
      <c r="AL171" s="314" t="s">
        <v>3788</v>
      </c>
      <c r="AM171" s="217" t="s">
        <v>4296</v>
      </c>
      <c r="AN171" s="227">
        <v>45471</v>
      </c>
      <c r="AO171" s="222">
        <v>74705.69</v>
      </c>
      <c r="AP171" s="227" t="s">
        <v>3805</v>
      </c>
      <c r="AQ171" s="358">
        <f ca="1">IF(表格1[[#This Row],[PO$]]="","100%",表格1[[#This Row],[total amount]]/表格1[[#This Row],[PO$]])</f>
        <v>1</v>
      </c>
      <c r="AR171" s="223">
        <f ca="1">表格1[[#This Row],[invoice amount]]+表格1[[#This Row],[invoice amount2]]</f>
        <v>74705.69</v>
      </c>
      <c r="AS171" s="224" t="s">
        <v>3752</v>
      </c>
      <c r="AT171" s="208" t="s">
        <v>6721</v>
      </c>
      <c r="AU171" s="208" t="e">
        <f ca="1">VLOOKUP(表格1[[#This Row],[PO+ITEM]],#REF!,2,FALSE)</f>
        <v>#REF!</v>
      </c>
      <c r="AV171" s="341" t="e">
        <f ca="1">VLOOKUP(表格1[[#This Row],[PO+ITEM]],#REF!,3,FALSE)</f>
        <v>#REF!</v>
      </c>
      <c r="AW171" s="208" t="e">
        <f ca="1">VLOOKUP(表格1[[#This Row],[PO+ITEM]],#REF!,4,FALSE)</f>
        <v>#REF!</v>
      </c>
      <c r="AX171" s="208" t="e" cm="1" vm="1">
        <f t="array" aca="1" ref="AX171" ca="1">VLOOKUP(AI:AI,#REF!,1,FALSE)</f>
        <v>#VALUE!</v>
      </c>
    </row>
    <row r="172" spans="1:50" ht="15.6">
      <c r="A172" s="220">
        <v>171</v>
      </c>
      <c r="B172" s="220" t="s">
        <v>3674</v>
      </c>
      <c r="C172" s="209" t="s">
        <v>16</v>
      </c>
      <c r="D172" s="209" t="s">
        <v>3648</v>
      </c>
      <c r="E172" s="209"/>
      <c r="F172" s="209"/>
      <c r="G172" s="209"/>
      <c r="H172" s="210" t="s">
        <v>4297</v>
      </c>
      <c r="I172" s="210"/>
      <c r="J172" s="211"/>
      <c r="K172" s="210"/>
      <c r="L172" s="212" t="s">
        <v>4269</v>
      </c>
      <c r="M172" s="212" t="s">
        <v>2999</v>
      </c>
      <c r="N172" s="213"/>
      <c r="O172" s="263">
        <v>4590004397</v>
      </c>
      <c r="P172" s="214">
        <v>44801</v>
      </c>
      <c r="Q172" s="334">
        <v>12</v>
      </c>
      <c r="R172" s="349">
        <v>74705.69</v>
      </c>
      <c r="S172" s="217" t="s">
        <v>2156</v>
      </c>
      <c r="T172" s="209" t="s">
        <v>3926</v>
      </c>
      <c r="U172" s="209" t="s">
        <v>3927</v>
      </c>
      <c r="V172" s="213" t="s">
        <v>3928</v>
      </c>
      <c r="W172" s="218" t="s">
        <v>3652</v>
      </c>
      <c r="X172" s="218" t="s">
        <v>3652</v>
      </c>
      <c r="Y172" s="212" t="s">
        <v>4270</v>
      </c>
      <c r="Z172" s="209" t="s">
        <v>3664</v>
      </c>
      <c r="AA172" s="219"/>
      <c r="AB172" s="218"/>
      <c r="AC172" s="217" t="e">
        <v>#N/A</v>
      </c>
      <c r="AD172" s="217">
        <v>90504</v>
      </c>
      <c r="AE172" s="217" t="s">
        <v>3492</v>
      </c>
      <c r="AF172" s="217" t="s">
        <v>4109</v>
      </c>
      <c r="AG172" s="217" t="s">
        <v>3666</v>
      </c>
      <c r="AH172" s="220" t="str">
        <f t="shared" si="8"/>
        <v>4590004397_012</v>
      </c>
      <c r="AI172" s="217"/>
      <c r="AJ172" s="225">
        <v>45108</v>
      </c>
      <c r="AK172" s="221">
        <v>0</v>
      </c>
      <c r="AL172" s="314" t="s">
        <v>3788</v>
      </c>
      <c r="AM172" s="217" t="s">
        <v>4298</v>
      </c>
      <c r="AN172" s="227">
        <v>45471</v>
      </c>
      <c r="AO172" s="222">
        <v>74705.69</v>
      </c>
      <c r="AP172" s="227" t="s">
        <v>3805</v>
      </c>
      <c r="AQ172" s="358">
        <f ca="1">IF(表格1[[#This Row],[PO$]]="","100%",表格1[[#This Row],[total amount]]/表格1[[#This Row],[PO$]])</f>
        <v>1</v>
      </c>
      <c r="AR172" s="223">
        <f ca="1">表格1[[#This Row],[invoice amount]]+表格1[[#This Row],[invoice amount2]]</f>
        <v>74705.69</v>
      </c>
      <c r="AS172" s="224" t="s">
        <v>3752</v>
      </c>
      <c r="AT172" s="208" t="s">
        <v>6721</v>
      </c>
      <c r="AU172" s="208" t="e">
        <f ca="1">VLOOKUP(表格1[[#This Row],[PO+ITEM]],#REF!,2,FALSE)</f>
        <v>#REF!</v>
      </c>
      <c r="AV172" s="341" t="e">
        <f ca="1">VLOOKUP(表格1[[#This Row],[PO+ITEM]],#REF!,3,FALSE)</f>
        <v>#REF!</v>
      </c>
      <c r="AW172" s="208" t="e">
        <f ca="1">VLOOKUP(表格1[[#This Row],[PO+ITEM]],#REF!,4,FALSE)</f>
        <v>#REF!</v>
      </c>
      <c r="AX172" s="208" t="e" cm="1" vm="1">
        <f t="array" aca="1" ref="AX172" ca="1">VLOOKUP(AI:AI,#REF!,1,FALSE)</f>
        <v>#VALUE!</v>
      </c>
    </row>
    <row r="173" spans="1:50" ht="15.6">
      <c r="A173" s="220">
        <v>172</v>
      </c>
      <c r="B173" s="220" t="s">
        <v>3674</v>
      </c>
      <c r="C173" s="209" t="s">
        <v>16</v>
      </c>
      <c r="D173" s="209" t="s">
        <v>3648</v>
      </c>
      <c r="E173" s="209"/>
      <c r="F173" s="209"/>
      <c r="G173" s="209"/>
      <c r="H173" s="210" t="s">
        <v>4299</v>
      </c>
      <c r="I173" s="210"/>
      <c r="J173" s="211"/>
      <c r="K173" s="210"/>
      <c r="L173" s="212" t="s">
        <v>2206</v>
      </c>
      <c r="M173" s="212" t="s">
        <v>2999</v>
      </c>
      <c r="N173" s="213"/>
      <c r="O173" s="263">
        <v>4590004397</v>
      </c>
      <c r="P173" s="214">
        <v>44801</v>
      </c>
      <c r="Q173" s="334">
        <v>13</v>
      </c>
      <c r="R173" s="216">
        <v>7834.63</v>
      </c>
      <c r="S173" s="217" t="s">
        <v>2156</v>
      </c>
      <c r="T173" s="209" t="s">
        <v>3926</v>
      </c>
      <c r="U173" s="209" t="s">
        <v>3927</v>
      </c>
      <c r="V173" s="213" t="s">
        <v>3928</v>
      </c>
      <c r="W173" s="218" t="s">
        <v>3652</v>
      </c>
      <c r="X173" s="218" t="s">
        <v>3652</v>
      </c>
      <c r="Y173" s="212" t="s">
        <v>4270</v>
      </c>
      <c r="Z173" s="209" t="s">
        <v>3664</v>
      </c>
      <c r="AA173" s="219"/>
      <c r="AB173" s="218"/>
      <c r="AC173" s="217" t="e">
        <v>#N/A</v>
      </c>
      <c r="AD173" s="217">
        <v>90146</v>
      </c>
      <c r="AE173" s="217" t="s">
        <v>2615</v>
      </c>
      <c r="AF173" s="217" t="s">
        <v>3932</v>
      </c>
      <c r="AG173" s="217" t="s">
        <v>846</v>
      </c>
      <c r="AH173" s="220" t="str">
        <f t="shared" si="8"/>
        <v>4590004397_013</v>
      </c>
      <c r="AI173" s="208"/>
      <c r="AJ173" s="225">
        <v>45047</v>
      </c>
      <c r="AK173" s="221">
        <v>3133.8520000000003</v>
      </c>
      <c r="AL173" s="228">
        <v>45303</v>
      </c>
      <c r="AM173" s="355" t="s">
        <v>4301</v>
      </c>
      <c r="AN173" s="227">
        <v>45483</v>
      </c>
      <c r="AO173" s="356">
        <v>4700.7780000000002</v>
      </c>
      <c r="AP173" s="227"/>
      <c r="AQ173" s="358">
        <f ca="1">IF(表格1[[#This Row],[PO$]]="","100%",表格1[[#This Row],[total amount]]/表格1[[#This Row],[PO$]])</f>
        <v>1.0000000000000002</v>
      </c>
      <c r="AR173" s="223">
        <f ca="1">表格1[[#This Row],[invoice amount]]+表格1[[#This Row],[invoice amount2]]</f>
        <v>7834.630000000001</v>
      </c>
      <c r="AS173" s="224" t="s">
        <v>4235</v>
      </c>
      <c r="AT173" s="208"/>
      <c r="AU173" s="208" t="e">
        <f ca="1">VLOOKUP(表格1[[#This Row],[PO+ITEM]],#REF!,2,FALSE)</f>
        <v>#REF!</v>
      </c>
      <c r="AV173" s="341" t="e">
        <f ca="1">VLOOKUP(表格1[[#This Row],[PO+ITEM]],#REF!,3,FALSE)</f>
        <v>#REF!</v>
      </c>
      <c r="AW173" s="208" t="e">
        <f ca="1">VLOOKUP(表格1[[#This Row],[PO+ITEM]],#REF!,4,FALSE)</f>
        <v>#REF!</v>
      </c>
      <c r="AX173" s="208" t="e" cm="1" vm="1">
        <f t="array" aca="1" ref="AX173" ca="1">VLOOKUP(AI:AI,#REF!,1,FALSE)</f>
        <v>#VALUE!</v>
      </c>
    </row>
    <row r="174" spans="1:50" ht="15.6">
      <c r="A174" s="220">
        <v>173</v>
      </c>
      <c r="B174" s="220" t="s">
        <v>3674</v>
      </c>
      <c r="C174" s="209" t="s">
        <v>16</v>
      </c>
      <c r="D174" s="209" t="s">
        <v>3648</v>
      </c>
      <c r="E174" s="209"/>
      <c r="F174" s="209"/>
      <c r="G174" s="209"/>
      <c r="H174" s="210" t="s">
        <v>4302</v>
      </c>
      <c r="I174" s="210"/>
      <c r="J174" s="211"/>
      <c r="K174" s="210"/>
      <c r="L174" s="212" t="s">
        <v>2206</v>
      </c>
      <c r="M174" s="212" t="s">
        <v>2999</v>
      </c>
      <c r="N174" s="213"/>
      <c r="O174" s="263">
        <v>4590004397</v>
      </c>
      <c r="P174" s="214">
        <v>44801</v>
      </c>
      <c r="Q174" s="334">
        <v>14</v>
      </c>
      <c r="R174" s="216">
        <v>7834.63</v>
      </c>
      <c r="S174" s="217" t="s">
        <v>2156</v>
      </c>
      <c r="T174" s="209" t="s">
        <v>3926</v>
      </c>
      <c r="U174" s="209" t="s">
        <v>3927</v>
      </c>
      <c r="V174" s="213" t="s">
        <v>3928</v>
      </c>
      <c r="W174" s="218" t="s">
        <v>3652</v>
      </c>
      <c r="X174" s="218" t="s">
        <v>3652</v>
      </c>
      <c r="Y174" s="212" t="s">
        <v>4270</v>
      </c>
      <c r="Z174" s="209" t="s">
        <v>3664</v>
      </c>
      <c r="AA174" s="219"/>
      <c r="AB174" s="218"/>
      <c r="AC174" s="217" t="e">
        <v>#N/A</v>
      </c>
      <c r="AD174" s="217">
        <v>90147</v>
      </c>
      <c r="AE174" s="217" t="s">
        <v>4303</v>
      </c>
      <c r="AF174" s="217" t="s">
        <v>3932</v>
      </c>
      <c r="AG174" s="217" t="s">
        <v>846</v>
      </c>
      <c r="AH174" s="220" t="str">
        <f t="shared" si="8"/>
        <v>4590004397_014</v>
      </c>
      <c r="AI174" s="208"/>
      <c r="AJ174" s="225">
        <v>45047</v>
      </c>
      <c r="AK174" s="221">
        <v>3133.8520000000003</v>
      </c>
      <c r="AL174" s="228">
        <v>45303</v>
      </c>
      <c r="AM174" s="36" t="s">
        <v>4305</v>
      </c>
      <c r="AN174" s="227">
        <v>45483</v>
      </c>
      <c r="AO174" s="356">
        <v>4700.7780000000002</v>
      </c>
      <c r="AP174" s="227"/>
      <c r="AQ174" s="358">
        <f ca="1">IF(表格1[[#This Row],[PO$]]="","100%",表格1[[#This Row],[total amount]]/表格1[[#This Row],[PO$]])</f>
        <v>1.0000000000000002</v>
      </c>
      <c r="AR174" s="223">
        <f ca="1">表格1[[#This Row],[invoice amount]]+表格1[[#This Row],[invoice amount2]]</f>
        <v>7834.630000000001</v>
      </c>
      <c r="AS174" s="224" t="s">
        <v>4235</v>
      </c>
      <c r="AT174" s="208"/>
      <c r="AU174" s="208" t="e">
        <f ca="1">VLOOKUP(表格1[[#This Row],[PO+ITEM]],#REF!,2,FALSE)</f>
        <v>#REF!</v>
      </c>
      <c r="AV174" s="341" t="e">
        <f ca="1">VLOOKUP(表格1[[#This Row],[PO+ITEM]],#REF!,3,FALSE)</f>
        <v>#REF!</v>
      </c>
      <c r="AW174" s="208" t="e">
        <f ca="1">VLOOKUP(表格1[[#This Row],[PO+ITEM]],#REF!,4,FALSE)</f>
        <v>#REF!</v>
      </c>
      <c r="AX174" s="208" t="e" cm="1" vm="1">
        <f t="array" aca="1" ref="AX174" ca="1">VLOOKUP(AI:AI,#REF!,1,FALSE)</f>
        <v>#VALUE!</v>
      </c>
    </row>
    <row r="175" spans="1:50" ht="15.6">
      <c r="A175" s="220">
        <v>174</v>
      </c>
      <c r="B175" s="220" t="s">
        <v>3674</v>
      </c>
      <c r="C175" s="209" t="s">
        <v>16</v>
      </c>
      <c r="D175" s="209" t="s">
        <v>3648</v>
      </c>
      <c r="E175" s="209"/>
      <c r="F175" s="209"/>
      <c r="G175" s="209"/>
      <c r="H175" s="210" t="s">
        <v>4306</v>
      </c>
      <c r="I175" s="210"/>
      <c r="J175" s="211"/>
      <c r="K175" s="210"/>
      <c r="L175" s="212" t="s">
        <v>2206</v>
      </c>
      <c r="M175" s="212" t="s">
        <v>2999</v>
      </c>
      <c r="N175" s="213"/>
      <c r="O175" s="263">
        <v>4590004397</v>
      </c>
      <c r="P175" s="214">
        <v>44801</v>
      </c>
      <c r="Q175" s="334">
        <v>15</v>
      </c>
      <c r="R175" s="216">
        <v>7834.63</v>
      </c>
      <c r="S175" s="217" t="s">
        <v>2156</v>
      </c>
      <c r="T175" s="209" t="s">
        <v>3926</v>
      </c>
      <c r="U175" s="209" t="s">
        <v>3927</v>
      </c>
      <c r="V175" s="213" t="s">
        <v>3928</v>
      </c>
      <c r="W175" s="218" t="s">
        <v>3652</v>
      </c>
      <c r="X175" s="218" t="s">
        <v>3652</v>
      </c>
      <c r="Y175" s="212" t="s">
        <v>4270</v>
      </c>
      <c r="Z175" s="209" t="s">
        <v>3664</v>
      </c>
      <c r="AA175" s="219"/>
      <c r="AB175" s="218"/>
      <c r="AC175" s="217" t="e">
        <v>#N/A</v>
      </c>
      <c r="AD175" s="217">
        <v>90148</v>
      </c>
      <c r="AE175" s="217" t="s">
        <v>2606</v>
      </c>
      <c r="AF175" s="217" t="s">
        <v>3932</v>
      </c>
      <c r="AG175" s="217" t="s">
        <v>846</v>
      </c>
      <c r="AH175" s="220" t="str">
        <f t="shared" si="8"/>
        <v>4590004397_015</v>
      </c>
      <c r="AI175" s="208"/>
      <c r="AJ175" s="225">
        <v>45047</v>
      </c>
      <c r="AK175" s="221">
        <v>3133.8520000000003</v>
      </c>
      <c r="AL175" s="228">
        <v>45303</v>
      </c>
      <c r="AM175" s="208"/>
      <c r="AN175" s="220"/>
      <c r="AO175" s="222"/>
      <c r="AP175" s="227"/>
      <c r="AQ175" s="358">
        <f ca="1">IF(表格1[[#This Row],[PO$]]="","100%",表格1[[#This Row],[total amount]]/表格1[[#This Row],[PO$]])</f>
        <v>0.4</v>
      </c>
      <c r="AR175" s="223">
        <f ca="1">表格1[[#This Row],[invoice amount]]+表格1[[#This Row],[invoice amount2]]</f>
        <v>3133.8520000000003</v>
      </c>
      <c r="AS175" s="224" t="s">
        <v>3673</v>
      </c>
      <c r="AT175" s="208"/>
      <c r="AU175" s="208" t="e">
        <f ca="1">VLOOKUP(表格1[[#This Row],[PO+ITEM]],#REF!,2,FALSE)</f>
        <v>#REF!</v>
      </c>
      <c r="AV175" s="341" t="e">
        <f ca="1">VLOOKUP(表格1[[#This Row],[PO+ITEM]],#REF!,3,FALSE)</f>
        <v>#REF!</v>
      </c>
      <c r="AW175" s="208" t="e">
        <f ca="1">VLOOKUP(表格1[[#This Row],[PO+ITEM]],#REF!,4,FALSE)</f>
        <v>#REF!</v>
      </c>
      <c r="AX175" s="208" t="e" cm="1" vm="1">
        <f t="array" aca="1" ref="AX175" ca="1">VLOOKUP(AI:AI,#REF!,1,FALSE)</f>
        <v>#VALUE!</v>
      </c>
    </row>
    <row r="176" spans="1:50">
      <c r="A176" s="220">
        <v>175</v>
      </c>
      <c r="B176" s="220" t="s">
        <v>3674</v>
      </c>
      <c r="C176" s="209" t="s">
        <v>16</v>
      </c>
      <c r="D176" s="209" t="s">
        <v>3648</v>
      </c>
      <c r="E176" s="209"/>
      <c r="F176" s="209"/>
      <c r="G176" s="209"/>
      <c r="H176" s="210" t="s">
        <v>4308</v>
      </c>
      <c r="I176" s="210"/>
      <c r="J176" s="211"/>
      <c r="K176" s="210"/>
      <c r="L176" s="212" t="s">
        <v>2999</v>
      </c>
      <c r="M176" s="212" t="s">
        <v>2999</v>
      </c>
      <c r="N176" s="213"/>
      <c r="O176" s="263">
        <v>4590004398</v>
      </c>
      <c r="P176" s="214">
        <v>44801</v>
      </c>
      <c r="Q176" s="334">
        <v>1</v>
      </c>
      <c r="R176" s="216">
        <v>1039.5999999999999</v>
      </c>
      <c r="S176" s="217" t="s">
        <v>2156</v>
      </c>
      <c r="T176" s="209" t="s">
        <v>3864</v>
      </c>
      <c r="U176" s="209" t="s">
        <v>3865</v>
      </c>
      <c r="V176" s="213" t="s">
        <v>3866</v>
      </c>
      <c r="W176" s="218" t="s">
        <v>3652</v>
      </c>
      <c r="X176" s="218" t="s">
        <v>3652</v>
      </c>
      <c r="Y176" s="212">
        <v>0</v>
      </c>
      <c r="Z176" s="209" t="s">
        <v>3664</v>
      </c>
      <c r="AA176" s="219"/>
      <c r="AB176" s="218"/>
      <c r="AC176" s="217" t="e">
        <v>#N/A</v>
      </c>
      <c r="AD176" s="217">
        <v>90463</v>
      </c>
      <c r="AE176" s="217" t="s">
        <v>3081</v>
      </c>
      <c r="AF176" s="217" t="s">
        <v>3770</v>
      </c>
      <c r="AG176" s="217" t="s">
        <v>4309</v>
      </c>
      <c r="AH176" s="220" t="str">
        <f t="shared" ref="AH176:AH184" si="9">O176&amp;"_00"&amp;Q176</f>
        <v>4590004398_001</v>
      </c>
      <c r="AI176" s="208"/>
      <c r="AJ176" s="220"/>
      <c r="AK176" s="221"/>
      <c r="AL176" s="227"/>
      <c r="AM176" s="208"/>
      <c r="AN176" s="220"/>
      <c r="AO176" s="222"/>
      <c r="AP176" s="227"/>
      <c r="AQ176" s="358">
        <f ca="1">IF(表格1[[#This Row],[PO$]]="","100%",表格1[[#This Row],[total amount]]/表格1[[#This Row],[PO$]])</f>
        <v>0</v>
      </c>
      <c r="AR176" s="223">
        <f ca="1">表格1[[#This Row],[invoice amount]]+表格1[[#This Row],[invoice amount2]]</f>
        <v>0</v>
      </c>
      <c r="AS176" s="224"/>
      <c r="AT176" s="208"/>
      <c r="AU176" s="208" t="e">
        <f ca="1">VLOOKUP(表格1[[#This Row],[PO+ITEM]],#REF!,2,FALSE)</f>
        <v>#REF!</v>
      </c>
      <c r="AV176" s="341" t="e">
        <f ca="1">VLOOKUP(表格1[[#This Row],[PO+ITEM]],#REF!,3,FALSE)</f>
        <v>#REF!</v>
      </c>
      <c r="AW176" s="208" t="e">
        <f ca="1">VLOOKUP(表格1[[#This Row],[PO+ITEM]],#REF!,4,FALSE)</f>
        <v>#REF!</v>
      </c>
      <c r="AX176" s="208" t="e" cm="1" vm="1">
        <f t="array" aca="1" ref="AX176" ca="1">VLOOKUP(AI:AI,#REF!,1,FALSE)</f>
        <v>#VALUE!</v>
      </c>
    </row>
    <row r="177" spans="1:50">
      <c r="A177" s="220">
        <v>176</v>
      </c>
      <c r="B177" s="220" t="s">
        <v>3674</v>
      </c>
      <c r="C177" s="209" t="s">
        <v>16</v>
      </c>
      <c r="D177" s="209" t="s">
        <v>3648</v>
      </c>
      <c r="E177" s="209"/>
      <c r="F177" s="209"/>
      <c r="G177" s="209"/>
      <c r="H177" s="210" t="s">
        <v>4311</v>
      </c>
      <c r="I177" s="210"/>
      <c r="J177" s="211"/>
      <c r="K177" s="210"/>
      <c r="L177" s="212" t="s">
        <v>2999</v>
      </c>
      <c r="M177" s="212" t="s">
        <v>2999</v>
      </c>
      <c r="N177" s="213"/>
      <c r="O177" s="263">
        <v>4590004398</v>
      </c>
      <c r="P177" s="214">
        <v>44801</v>
      </c>
      <c r="Q177" s="334">
        <v>2</v>
      </c>
      <c r="R177" s="216">
        <v>1039.5999999999999</v>
      </c>
      <c r="S177" s="217" t="s">
        <v>2156</v>
      </c>
      <c r="T177" s="209" t="s">
        <v>3864</v>
      </c>
      <c r="U177" s="209" t="s">
        <v>3865</v>
      </c>
      <c r="V177" s="213" t="s">
        <v>3866</v>
      </c>
      <c r="W177" s="218" t="s">
        <v>3652</v>
      </c>
      <c r="X177" s="218" t="s">
        <v>3652</v>
      </c>
      <c r="Y177" s="212">
        <v>0</v>
      </c>
      <c r="Z177" s="209" t="s">
        <v>3664</v>
      </c>
      <c r="AA177" s="219"/>
      <c r="AB177" s="218"/>
      <c r="AC177" s="217" t="e">
        <v>#N/A</v>
      </c>
      <c r="AD177" s="217">
        <v>90467</v>
      </c>
      <c r="AE177" s="217" t="s">
        <v>3084</v>
      </c>
      <c r="AF177" s="217" t="s">
        <v>3770</v>
      </c>
      <c r="AG177" s="217" t="s">
        <v>4309</v>
      </c>
      <c r="AH177" s="220" t="str">
        <f t="shared" si="9"/>
        <v>4590004398_002</v>
      </c>
      <c r="AI177" s="208"/>
      <c r="AJ177" s="220"/>
      <c r="AK177" s="221"/>
      <c r="AL177" s="227"/>
      <c r="AM177" s="208"/>
      <c r="AN177" s="220"/>
      <c r="AO177" s="222"/>
      <c r="AP177" s="227"/>
      <c r="AQ177" s="358">
        <f ca="1">IF(表格1[[#This Row],[PO$]]="","100%",表格1[[#This Row],[total amount]]/表格1[[#This Row],[PO$]])</f>
        <v>0</v>
      </c>
      <c r="AR177" s="223">
        <f ca="1">表格1[[#This Row],[invoice amount]]+表格1[[#This Row],[invoice amount2]]</f>
        <v>0</v>
      </c>
      <c r="AS177" s="224"/>
      <c r="AT177" s="208"/>
      <c r="AU177" s="208" t="e">
        <f ca="1">VLOOKUP(表格1[[#This Row],[PO+ITEM]],#REF!,2,FALSE)</f>
        <v>#REF!</v>
      </c>
      <c r="AV177" s="341" t="e">
        <f ca="1">VLOOKUP(表格1[[#This Row],[PO+ITEM]],#REF!,3,FALSE)</f>
        <v>#REF!</v>
      </c>
      <c r="AW177" s="208" t="e">
        <f ca="1">VLOOKUP(表格1[[#This Row],[PO+ITEM]],#REF!,4,FALSE)</f>
        <v>#REF!</v>
      </c>
      <c r="AX177" s="208" t="e" cm="1" vm="1">
        <f t="array" aca="1" ref="AX177" ca="1">VLOOKUP(AI:AI,#REF!,1,FALSE)</f>
        <v>#VALUE!</v>
      </c>
    </row>
    <row r="178" spans="1:50">
      <c r="A178" s="220">
        <v>177</v>
      </c>
      <c r="B178" s="220" t="s">
        <v>3674</v>
      </c>
      <c r="C178" s="209" t="s">
        <v>16</v>
      </c>
      <c r="D178" s="209" t="s">
        <v>3648</v>
      </c>
      <c r="E178" s="209"/>
      <c r="F178" s="209"/>
      <c r="G178" s="209"/>
      <c r="H178" s="217" t="s">
        <v>4313</v>
      </c>
      <c r="I178" s="217"/>
      <c r="J178" s="215"/>
      <c r="K178" s="217"/>
      <c r="L178" s="212" t="s">
        <v>2999</v>
      </c>
      <c r="M178" s="212" t="s">
        <v>2999</v>
      </c>
      <c r="N178" s="213"/>
      <c r="O178" s="263">
        <v>4590004398</v>
      </c>
      <c r="P178" s="214">
        <v>44801</v>
      </c>
      <c r="Q178" s="334">
        <v>3</v>
      </c>
      <c r="R178" s="216">
        <v>1039.5999999999999</v>
      </c>
      <c r="S178" s="217" t="s">
        <v>2156</v>
      </c>
      <c r="T178" s="209" t="s">
        <v>3864</v>
      </c>
      <c r="U178" s="209" t="s">
        <v>3865</v>
      </c>
      <c r="V178" s="213" t="s">
        <v>3866</v>
      </c>
      <c r="W178" s="218" t="s">
        <v>3652</v>
      </c>
      <c r="X178" s="218" t="s">
        <v>3652</v>
      </c>
      <c r="Y178" s="212">
        <v>0</v>
      </c>
      <c r="Z178" s="209" t="s">
        <v>3664</v>
      </c>
      <c r="AA178" s="219"/>
      <c r="AB178" s="218"/>
      <c r="AC178" s="217" t="e">
        <v>#N/A</v>
      </c>
      <c r="AD178" s="217">
        <v>90468</v>
      </c>
      <c r="AE178" s="217" t="s">
        <v>3085</v>
      </c>
      <c r="AF178" s="217" t="s">
        <v>3770</v>
      </c>
      <c r="AG178" s="217" t="s">
        <v>4309</v>
      </c>
      <c r="AH178" s="220" t="str">
        <f t="shared" si="9"/>
        <v>4590004398_003</v>
      </c>
      <c r="AI178" s="208"/>
      <c r="AJ178" s="220"/>
      <c r="AK178" s="221"/>
      <c r="AL178" s="227"/>
      <c r="AM178" s="208"/>
      <c r="AN178" s="220"/>
      <c r="AO178" s="222"/>
      <c r="AP178" s="227"/>
      <c r="AQ178" s="358">
        <f ca="1">IF(表格1[[#This Row],[PO$]]="","100%",表格1[[#This Row],[total amount]]/表格1[[#This Row],[PO$]])</f>
        <v>0</v>
      </c>
      <c r="AR178" s="223">
        <f ca="1">表格1[[#This Row],[invoice amount]]+表格1[[#This Row],[invoice amount2]]</f>
        <v>0</v>
      </c>
      <c r="AS178" s="224"/>
      <c r="AT178" s="208"/>
      <c r="AU178" s="208" t="e">
        <f ca="1">VLOOKUP(表格1[[#This Row],[PO+ITEM]],#REF!,2,FALSE)</f>
        <v>#REF!</v>
      </c>
      <c r="AV178" s="341" t="e">
        <f ca="1">VLOOKUP(表格1[[#This Row],[PO+ITEM]],#REF!,3,FALSE)</f>
        <v>#REF!</v>
      </c>
      <c r="AW178" s="208" t="e">
        <f ca="1">VLOOKUP(表格1[[#This Row],[PO+ITEM]],#REF!,4,FALSE)</f>
        <v>#REF!</v>
      </c>
      <c r="AX178" s="208" t="e" cm="1" vm="1">
        <f t="array" aca="1" ref="AX178" ca="1">VLOOKUP(AI:AI,#REF!,1,FALSE)</f>
        <v>#VALUE!</v>
      </c>
    </row>
    <row r="179" spans="1:50">
      <c r="A179" s="220">
        <v>178</v>
      </c>
      <c r="B179" s="220" t="s">
        <v>3674</v>
      </c>
      <c r="C179" s="209" t="s">
        <v>16</v>
      </c>
      <c r="D179" s="209" t="s">
        <v>3648</v>
      </c>
      <c r="E179" s="209"/>
      <c r="F179" s="209"/>
      <c r="G179" s="209"/>
      <c r="H179" s="210" t="s">
        <v>4315</v>
      </c>
      <c r="I179" s="210"/>
      <c r="J179" s="211"/>
      <c r="K179" s="210"/>
      <c r="L179" s="212" t="s">
        <v>2999</v>
      </c>
      <c r="M179" s="212" t="s">
        <v>2999</v>
      </c>
      <c r="N179" s="213"/>
      <c r="O179" s="263">
        <v>4590004398</v>
      </c>
      <c r="P179" s="214">
        <v>44801</v>
      </c>
      <c r="Q179" s="334">
        <v>4</v>
      </c>
      <c r="R179" s="216">
        <v>1039.5999999999999</v>
      </c>
      <c r="S179" s="217" t="s">
        <v>2156</v>
      </c>
      <c r="T179" s="209" t="s">
        <v>3864</v>
      </c>
      <c r="U179" s="209" t="s">
        <v>3865</v>
      </c>
      <c r="V179" s="213" t="s">
        <v>3866</v>
      </c>
      <c r="W179" s="218" t="s">
        <v>3652</v>
      </c>
      <c r="X179" s="218" t="s">
        <v>3652</v>
      </c>
      <c r="Y179" s="301" t="s">
        <v>4316</v>
      </c>
      <c r="Z179" s="209" t="s">
        <v>3664</v>
      </c>
      <c r="AA179" s="219"/>
      <c r="AB179" s="218"/>
      <c r="AC179" s="217" t="e">
        <v>#N/A</v>
      </c>
      <c r="AD179" s="217">
        <v>90475</v>
      </c>
      <c r="AE179" s="217" t="s">
        <v>3086</v>
      </c>
      <c r="AF179" s="217" t="s">
        <v>3770</v>
      </c>
      <c r="AG179" s="217" t="s">
        <v>4309</v>
      </c>
      <c r="AH179" s="220" t="str">
        <f t="shared" si="9"/>
        <v>4590004398_004</v>
      </c>
      <c r="AI179" s="208" t="s">
        <v>4317</v>
      </c>
      <c r="AJ179" s="227">
        <v>45422</v>
      </c>
      <c r="AK179" s="221">
        <v>1039.5999999999999</v>
      </c>
      <c r="AL179" s="227" t="s">
        <v>3805</v>
      </c>
      <c r="AM179" s="208"/>
      <c r="AN179" s="220"/>
      <c r="AO179" s="222"/>
      <c r="AP179" s="227"/>
      <c r="AQ179" s="358">
        <f ca="1">IF(表格1[[#This Row],[PO$]]="","100%",表格1[[#This Row],[total amount]]/表格1[[#This Row],[PO$]])</f>
        <v>1</v>
      </c>
      <c r="AR179" s="223">
        <f ca="1">表格1[[#This Row],[invoice amount]]+表格1[[#This Row],[invoice amount2]]</f>
        <v>1039.5999999999999</v>
      </c>
      <c r="AS179" s="224" t="s">
        <v>3701</v>
      </c>
      <c r="AT179" s="208" t="s">
        <v>3657</v>
      </c>
      <c r="AU179" s="208" t="e">
        <f ca="1">VLOOKUP(表格1[[#This Row],[PO+ITEM]],#REF!,2,FALSE)</f>
        <v>#REF!</v>
      </c>
      <c r="AV179" s="341" t="e">
        <f ca="1">VLOOKUP(表格1[[#This Row],[PO+ITEM]],#REF!,3,FALSE)</f>
        <v>#REF!</v>
      </c>
      <c r="AW179" s="208" t="e">
        <f ca="1">VLOOKUP(表格1[[#This Row],[PO+ITEM]],#REF!,4,FALSE)</f>
        <v>#REF!</v>
      </c>
      <c r="AX179" s="208" t="e" cm="1" vm="1">
        <f t="array" aca="1" ref="AX179" ca="1">VLOOKUP(AI:AI,#REF!,1,FALSE)</f>
        <v>#VALUE!</v>
      </c>
    </row>
    <row r="180" spans="1:50">
      <c r="A180" s="220">
        <v>179</v>
      </c>
      <c r="B180" s="220" t="s">
        <v>3674</v>
      </c>
      <c r="C180" s="209" t="s">
        <v>16</v>
      </c>
      <c r="D180" s="209" t="s">
        <v>3648</v>
      </c>
      <c r="E180" s="209"/>
      <c r="F180" s="209"/>
      <c r="G180" s="209"/>
      <c r="H180" s="217" t="s">
        <v>4318</v>
      </c>
      <c r="I180" s="217"/>
      <c r="J180" s="215"/>
      <c r="K180" s="217"/>
      <c r="L180" s="212" t="s">
        <v>2999</v>
      </c>
      <c r="M180" s="212" t="s">
        <v>2999</v>
      </c>
      <c r="N180" s="213"/>
      <c r="O180" s="263">
        <v>4590004398</v>
      </c>
      <c r="P180" s="214">
        <v>44801</v>
      </c>
      <c r="Q180" s="334">
        <v>5</v>
      </c>
      <c r="R180" s="216">
        <v>1039.5999999999999</v>
      </c>
      <c r="S180" s="217" t="s">
        <v>2156</v>
      </c>
      <c r="T180" s="209" t="s">
        <v>3864</v>
      </c>
      <c r="U180" s="209" t="s">
        <v>3865</v>
      </c>
      <c r="V180" s="213" t="s">
        <v>3866</v>
      </c>
      <c r="W180" s="218" t="s">
        <v>3652</v>
      </c>
      <c r="X180" s="218" t="s">
        <v>3652</v>
      </c>
      <c r="Y180" s="212">
        <v>0</v>
      </c>
      <c r="Z180" s="209" t="s">
        <v>3664</v>
      </c>
      <c r="AA180" s="219"/>
      <c r="AB180" s="218"/>
      <c r="AC180" s="217" t="e">
        <v>#N/A</v>
      </c>
      <c r="AD180" s="217">
        <v>90476</v>
      </c>
      <c r="AE180" s="217" t="s">
        <v>3087</v>
      </c>
      <c r="AF180" s="217" t="s">
        <v>3770</v>
      </c>
      <c r="AG180" s="217" t="s">
        <v>4309</v>
      </c>
      <c r="AH180" s="220" t="str">
        <f t="shared" si="9"/>
        <v>4590004398_005</v>
      </c>
      <c r="AI180" s="208"/>
      <c r="AJ180" s="220"/>
      <c r="AK180" s="221"/>
      <c r="AL180" s="227"/>
      <c r="AM180" s="208"/>
      <c r="AN180" s="220"/>
      <c r="AO180" s="222"/>
      <c r="AP180" s="227"/>
      <c r="AQ180" s="358">
        <f ca="1">IF(表格1[[#This Row],[PO$]]="","100%",表格1[[#This Row],[total amount]]/表格1[[#This Row],[PO$]])</f>
        <v>0</v>
      </c>
      <c r="AR180" s="223">
        <f ca="1">表格1[[#This Row],[invoice amount]]+表格1[[#This Row],[invoice amount2]]</f>
        <v>0</v>
      </c>
      <c r="AS180" s="224"/>
      <c r="AT180" s="208"/>
      <c r="AU180" s="208" t="e">
        <f ca="1">VLOOKUP(表格1[[#This Row],[PO+ITEM]],#REF!,2,FALSE)</f>
        <v>#REF!</v>
      </c>
      <c r="AV180" s="341" t="e">
        <f ca="1">VLOOKUP(表格1[[#This Row],[PO+ITEM]],#REF!,3,FALSE)</f>
        <v>#REF!</v>
      </c>
      <c r="AW180" s="208" t="e">
        <f ca="1">VLOOKUP(表格1[[#This Row],[PO+ITEM]],#REF!,4,FALSE)</f>
        <v>#REF!</v>
      </c>
      <c r="AX180" s="208" t="e" cm="1" vm="1">
        <f t="array" aca="1" ref="AX180" ca="1">VLOOKUP(AI:AI,#REF!,1,FALSE)</f>
        <v>#VALUE!</v>
      </c>
    </row>
    <row r="181" spans="1:50">
      <c r="A181" s="220">
        <v>180</v>
      </c>
      <c r="B181" s="220" t="s">
        <v>3674</v>
      </c>
      <c r="C181" s="209" t="s">
        <v>16</v>
      </c>
      <c r="D181" s="209" t="s">
        <v>3648</v>
      </c>
      <c r="E181" s="209"/>
      <c r="F181" s="209"/>
      <c r="G181" s="209"/>
      <c r="H181" s="210" t="s">
        <v>4320</v>
      </c>
      <c r="I181" s="210"/>
      <c r="J181" s="211"/>
      <c r="K181" s="210"/>
      <c r="L181" s="212" t="s">
        <v>2999</v>
      </c>
      <c r="M181" s="212" t="s">
        <v>2999</v>
      </c>
      <c r="N181" s="213"/>
      <c r="O181" s="263">
        <v>4590004398</v>
      </c>
      <c r="P181" s="214">
        <v>44801</v>
      </c>
      <c r="Q181" s="334">
        <v>6</v>
      </c>
      <c r="R181" s="216">
        <v>1039.5999999999999</v>
      </c>
      <c r="S181" s="217" t="s">
        <v>2156</v>
      </c>
      <c r="T181" s="209" t="s">
        <v>3864</v>
      </c>
      <c r="U181" s="209" t="s">
        <v>3865</v>
      </c>
      <c r="V181" s="213" t="s">
        <v>3866</v>
      </c>
      <c r="W181" s="218" t="s">
        <v>3652</v>
      </c>
      <c r="X181" s="218" t="s">
        <v>3652</v>
      </c>
      <c r="Y181" s="301" t="s">
        <v>4316</v>
      </c>
      <c r="Z181" s="209" t="s">
        <v>3664</v>
      </c>
      <c r="AA181" s="219"/>
      <c r="AB181" s="218"/>
      <c r="AC181" s="217" t="e">
        <v>#N/A</v>
      </c>
      <c r="AD181" s="217">
        <v>90477</v>
      </c>
      <c r="AE181" s="217" t="s">
        <v>3088</v>
      </c>
      <c r="AF181" s="217" t="s">
        <v>3770</v>
      </c>
      <c r="AG181" s="217" t="s">
        <v>4309</v>
      </c>
      <c r="AH181" s="220" t="str">
        <f t="shared" si="9"/>
        <v>4590004398_006</v>
      </c>
      <c r="AI181" s="208" t="s">
        <v>4321</v>
      </c>
      <c r="AJ181" s="227">
        <v>45422</v>
      </c>
      <c r="AK181" s="221">
        <v>1039.5999999999999</v>
      </c>
      <c r="AL181" s="227" t="s">
        <v>3805</v>
      </c>
      <c r="AM181" s="208"/>
      <c r="AN181" s="220"/>
      <c r="AO181" s="222"/>
      <c r="AP181" s="227"/>
      <c r="AQ181" s="358">
        <f ca="1">IF(表格1[[#This Row],[PO$]]="","100%",表格1[[#This Row],[total amount]]/表格1[[#This Row],[PO$]])</f>
        <v>1</v>
      </c>
      <c r="AR181" s="223">
        <f ca="1">表格1[[#This Row],[invoice amount]]+表格1[[#This Row],[invoice amount2]]</f>
        <v>1039.5999999999999</v>
      </c>
      <c r="AS181" s="224" t="s">
        <v>3701</v>
      </c>
      <c r="AT181" s="208" t="s">
        <v>3657</v>
      </c>
      <c r="AU181" s="208" t="e">
        <f ca="1">VLOOKUP(表格1[[#This Row],[PO+ITEM]],#REF!,2,FALSE)</f>
        <v>#REF!</v>
      </c>
      <c r="AV181" s="341" t="e">
        <f ca="1">VLOOKUP(表格1[[#This Row],[PO+ITEM]],#REF!,3,FALSE)</f>
        <v>#REF!</v>
      </c>
      <c r="AW181" s="208" t="e">
        <f ca="1">VLOOKUP(表格1[[#This Row],[PO+ITEM]],#REF!,4,FALSE)</f>
        <v>#REF!</v>
      </c>
      <c r="AX181" s="208" t="e" cm="1" vm="1">
        <f t="array" aca="1" ref="AX181" ca="1">VLOOKUP(AI:AI,#REF!,1,FALSE)</f>
        <v>#VALUE!</v>
      </c>
    </row>
    <row r="182" spans="1:50">
      <c r="A182" s="220">
        <v>181</v>
      </c>
      <c r="B182" s="220" t="s">
        <v>3674</v>
      </c>
      <c r="C182" s="209" t="s">
        <v>16</v>
      </c>
      <c r="D182" s="209" t="s">
        <v>3648</v>
      </c>
      <c r="E182" s="209"/>
      <c r="F182" s="209"/>
      <c r="G182" s="209"/>
      <c r="H182" s="217" t="s">
        <v>4322</v>
      </c>
      <c r="I182" s="217"/>
      <c r="J182" s="215"/>
      <c r="K182" s="217"/>
      <c r="L182" s="212" t="s">
        <v>2999</v>
      </c>
      <c r="M182" s="212" t="s">
        <v>2999</v>
      </c>
      <c r="N182" s="213"/>
      <c r="O182" s="263">
        <v>4590004398</v>
      </c>
      <c r="P182" s="214">
        <v>44801</v>
      </c>
      <c r="Q182" s="334">
        <v>7</v>
      </c>
      <c r="R182" s="216">
        <v>1039.5999999999999</v>
      </c>
      <c r="S182" s="217" t="s">
        <v>2156</v>
      </c>
      <c r="T182" s="209" t="s">
        <v>3864</v>
      </c>
      <c r="U182" s="209" t="s">
        <v>3865</v>
      </c>
      <c r="V182" s="213" t="s">
        <v>3866</v>
      </c>
      <c r="W182" s="218" t="s">
        <v>3652</v>
      </c>
      <c r="X182" s="218" t="s">
        <v>3652</v>
      </c>
      <c r="Y182" s="301" t="s">
        <v>4316</v>
      </c>
      <c r="Z182" s="209" t="s">
        <v>3664</v>
      </c>
      <c r="AA182" s="219"/>
      <c r="AB182" s="218"/>
      <c r="AC182" s="217" t="e">
        <v>#N/A</v>
      </c>
      <c r="AD182" s="217">
        <v>90478</v>
      </c>
      <c r="AE182" s="217" t="s">
        <v>3089</v>
      </c>
      <c r="AF182" s="217" t="s">
        <v>3770</v>
      </c>
      <c r="AG182" s="217" t="s">
        <v>4309</v>
      </c>
      <c r="AH182" s="220" t="str">
        <f t="shared" si="9"/>
        <v>4590004398_007</v>
      </c>
      <c r="AI182" s="208" t="s">
        <v>4323</v>
      </c>
      <c r="AJ182" s="227">
        <v>45422</v>
      </c>
      <c r="AK182" s="221">
        <v>1039.5999999999999</v>
      </c>
      <c r="AL182" s="227" t="s">
        <v>3805</v>
      </c>
      <c r="AM182" s="208"/>
      <c r="AN182" s="220"/>
      <c r="AO182" s="222"/>
      <c r="AP182" s="227"/>
      <c r="AQ182" s="358">
        <f ca="1">IF(表格1[[#This Row],[PO$]]="","100%",表格1[[#This Row],[total amount]]/表格1[[#This Row],[PO$]])</f>
        <v>1</v>
      </c>
      <c r="AR182" s="223">
        <f ca="1">表格1[[#This Row],[invoice amount]]+表格1[[#This Row],[invoice amount2]]</f>
        <v>1039.5999999999999</v>
      </c>
      <c r="AS182" s="224" t="s">
        <v>3701</v>
      </c>
      <c r="AT182" s="208" t="s">
        <v>3657</v>
      </c>
      <c r="AU182" s="208" t="e">
        <f ca="1">VLOOKUP(表格1[[#This Row],[PO+ITEM]],#REF!,2,FALSE)</f>
        <v>#REF!</v>
      </c>
      <c r="AV182" s="341" t="e">
        <f ca="1">VLOOKUP(表格1[[#This Row],[PO+ITEM]],#REF!,3,FALSE)</f>
        <v>#REF!</v>
      </c>
      <c r="AW182" s="208" t="e">
        <f ca="1">VLOOKUP(表格1[[#This Row],[PO+ITEM]],#REF!,4,FALSE)</f>
        <v>#REF!</v>
      </c>
      <c r="AX182" s="208" t="e" cm="1" vm="1">
        <f t="array" aca="1" ref="AX182" ca="1">VLOOKUP(AI:AI,#REF!,1,FALSE)</f>
        <v>#VALUE!</v>
      </c>
    </row>
    <row r="183" spans="1:50">
      <c r="A183" s="220">
        <v>182</v>
      </c>
      <c r="B183" s="220" t="s">
        <v>3659</v>
      </c>
      <c r="C183" s="209" t="s">
        <v>16</v>
      </c>
      <c r="D183" s="209" t="s">
        <v>3648</v>
      </c>
      <c r="E183" s="209"/>
      <c r="F183" s="209"/>
      <c r="G183" s="209"/>
      <c r="H183" s="210" t="s">
        <v>4324</v>
      </c>
      <c r="I183" s="210"/>
      <c r="J183" s="211"/>
      <c r="K183" s="210"/>
      <c r="L183" s="212" t="s">
        <v>2999</v>
      </c>
      <c r="M183" s="212" t="s">
        <v>2999</v>
      </c>
      <c r="N183" s="213"/>
      <c r="O183" s="263">
        <v>4590004398</v>
      </c>
      <c r="P183" s="214">
        <v>44801</v>
      </c>
      <c r="Q183" s="334">
        <v>8</v>
      </c>
      <c r="R183" s="216">
        <v>1039.5999999999999</v>
      </c>
      <c r="S183" s="217" t="s">
        <v>2156</v>
      </c>
      <c r="T183" s="209" t="s">
        <v>3864</v>
      </c>
      <c r="U183" s="209" t="s">
        <v>3865</v>
      </c>
      <c r="V183" s="213" t="s">
        <v>3866</v>
      </c>
      <c r="W183" s="218" t="s">
        <v>3652</v>
      </c>
      <c r="X183" s="218" t="s">
        <v>3652</v>
      </c>
      <c r="Y183" s="212">
        <v>0</v>
      </c>
      <c r="Z183" s="209" t="s">
        <v>3664</v>
      </c>
      <c r="AA183" s="219"/>
      <c r="AB183" s="218"/>
      <c r="AC183" s="217" t="e">
        <v>#N/A</v>
      </c>
      <c r="AD183" s="217">
        <v>90480</v>
      </c>
      <c r="AE183" s="217" t="s">
        <v>3090</v>
      </c>
      <c r="AF183" s="217" t="s">
        <v>3770</v>
      </c>
      <c r="AG183" s="217" t="s">
        <v>4309</v>
      </c>
      <c r="AH183" s="220" t="str">
        <f t="shared" si="9"/>
        <v>4590004398_008</v>
      </c>
      <c r="AI183" s="208"/>
      <c r="AJ183" s="220"/>
      <c r="AK183" s="221"/>
      <c r="AL183" s="227"/>
      <c r="AM183" s="208"/>
      <c r="AN183" s="220"/>
      <c r="AO183" s="222"/>
      <c r="AP183" s="227"/>
      <c r="AQ183" s="358">
        <f ca="1">IF(表格1[[#This Row],[PO$]]="","100%",表格1[[#This Row],[total amount]]/表格1[[#This Row],[PO$]])</f>
        <v>0</v>
      </c>
      <c r="AR183" s="223">
        <f ca="1">表格1[[#This Row],[invoice amount]]+表格1[[#This Row],[invoice amount2]]</f>
        <v>0</v>
      </c>
      <c r="AS183" s="224"/>
      <c r="AT183" s="208"/>
      <c r="AU183" s="208" t="e">
        <f ca="1">VLOOKUP(表格1[[#This Row],[PO+ITEM]],#REF!,2,FALSE)</f>
        <v>#REF!</v>
      </c>
      <c r="AV183" s="341" t="e">
        <f ca="1">VLOOKUP(表格1[[#This Row],[PO+ITEM]],#REF!,3,FALSE)</f>
        <v>#REF!</v>
      </c>
      <c r="AW183" s="208" t="e">
        <f ca="1">VLOOKUP(表格1[[#This Row],[PO+ITEM]],#REF!,4,FALSE)</f>
        <v>#REF!</v>
      </c>
      <c r="AX183" s="208" t="e" cm="1" vm="1">
        <f t="array" aca="1" ref="AX183" ca="1">VLOOKUP(AI:AI,#REF!,1,FALSE)</f>
        <v>#VALUE!</v>
      </c>
    </row>
    <row r="184" spans="1:50">
      <c r="A184" s="220">
        <v>183</v>
      </c>
      <c r="B184" s="220" t="s">
        <v>3659</v>
      </c>
      <c r="C184" s="209" t="s">
        <v>16</v>
      </c>
      <c r="D184" s="209" t="s">
        <v>3648</v>
      </c>
      <c r="E184" s="209"/>
      <c r="F184" s="209"/>
      <c r="G184" s="209"/>
      <c r="H184" s="210" t="s">
        <v>4325</v>
      </c>
      <c r="I184" s="210"/>
      <c r="J184" s="211"/>
      <c r="K184" s="210"/>
      <c r="L184" s="212" t="s">
        <v>2999</v>
      </c>
      <c r="M184" s="212" t="s">
        <v>2999</v>
      </c>
      <c r="N184" s="213"/>
      <c r="O184" s="263">
        <v>4590004398</v>
      </c>
      <c r="P184" s="214">
        <v>44801</v>
      </c>
      <c r="Q184" s="334">
        <v>9</v>
      </c>
      <c r="R184" s="216">
        <v>1039.5999999999999</v>
      </c>
      <c r="S184" s="217" t="s">
        <v>2156</v>
      </c>
      <c r="T184" s="209" t="s">
        <v>3864</v>
      </c>
      <c r="U184" s="209" t="s">
        <v>3865</v>
      </c>
      <c r="V184" s="213" t="s">
        <v>3866</v>
      </c>
      <c r="W184" s="218" t="s">
        <v>3652</v>
      </c>
      <c r="X184" s="218" t="s">
        <v>3652</v>
      </c>
      <c r="Y184" s="212">
        <v>0</v>
      </c>
      <c r="Z184" s="209" t="s">
        <v>3664</v>
      </c>
      <c r="AA184" s="219"/>
      <c r="AB184" s="218"/>
      <c r="AC184" s="217" t="e">
        <v>#N/A</v>
      </c>
      <c r="AD184" s="217">
        <v>90482</v>
      </c>
      <c r="AE184" s="217" t="s">
        <v>3091</v>
      </c>
      <c r="AF184" s="217" t="s">
        <v>3770</v>
      </c>
      <c r="AG184" s="217" t="s">
        <v>4309</v>
      </c>
      <c r="AH184" s="220" t="str">
        <f t="shared" si="9"/>
        <v>4590004398_009</v>
      </c>
      <c r="AI184" s="208"/>
      <c r="AJ184" s="220"/>
      <c r="AK184" s="221"/>
      <c r="AL184" s="227"/>
      <c r="AM184" s="208"/>
      <c r="AN184" s="220"/>
      <c r="AO184" s="222"/>
      <c r="AP184" s="227"/>
      <c r="AQ184" s="358">
        <f ca="1">IF(表格1[[#This Row],[PO$]]="","100%",表格1[[#This Row],[total amount]]/表格1[[#This Row],[PO$]])</f>
        <v>0</v>
      </c>
      <c r="AR184" s="223">
        <f ca="1">表格1[[#This Row],[invoice amount]]+表格1[[#This Row],[invoice amount2]]</f>
        <v>0</v>
      </c>
      <c r="AS184" s="224"/>
      <c r="AT184" s="208"/>
      <c r="AU184" s="208" t="e">
        <f ca="1">VLOOKUP(表格1[[#This Row],[PO+ITEM]],#REF!,2,FALSE)</f>
        <v>#REF!</v>
      </c>
      <c r="AV184" s="341" t="e">
        <f ca="1">VLOOKUP(表格1[[#This Row],[PO+ITEM]],#REF!,3,FALSE)</f>
        <v>#REF!</v>
      </c>
      <c r="AW184" s="208" t="e">
        <f ca="1">VLOOKUP(表格1[[#This Row],[PO+ITEM]],#REF!,4,FALSE)</f>
        <v>#REF!</v>
      </c>
      <c r="AX184" s="208" t="e" cm="1" vm="1">
        <f t="array" aca="1" ref="AX184" ca="1">VLOOKUP(AI:AI,#REF!,1,FALSE)</f>
        <v>#VALUE!</v>
      </c>
    </row>
    <row r="185" spans="1:50">
      <c r="A185" s="220">
        <v>184</v>
      </c>
      <c r="B185" s="220" t="s">
        <v>3674</v>
      </c>
      <c r="C185" s="209" t="s">
        <v>16</v>
      </c>
      <c r="D185" s="209" t="s">
        <v>3648</v>
      </c>
      <c r="E185" s="209"/>
      <c r="F185" s="209"/>
      <c r="G185" s="209"/>
      <c r="H185" s="210" t="s">
        <v>4326</v>
      </c>
      <c r="I185" s="210"/>
      <c r="J185" s="211"/>
      <c r="K185" s="210"/>
      <c r="L185" s="212" t="s">
        <v>2999</v>
      </c>
      <c r="M185" s="212" t="s">
        <v>2999</v>
      </c>
      <c r="N185" s="213"/>
      <c r="O185" s="263">
        <v>4590004398</v>
      </c>
      <c r="P185" s="214">
        <v>44801</v>
      </c>
      <c r="Q185" s="334">
        <v>10</v>
      </c>
      <c r="R185" s="216">
        <v>343.07</v>
      </c>
      <c r="S185" s="217" t="s">
        <v>2156</v>
      </c>
      <c r="T185" s="209" t="s">
        <v>3864</v>
      </c>
      <c r="U185" s="209" t="s">
        <v>3865</v>
      </c>
      <c r="V185" s="213" t="s">
        <v>3866</v>
      </c>
      <c r="W185" s="218" t="s">
        <v>3652</v>
      </c>
      <c r="X185" s="218" t="s">
        <v>3652</v>
      </c>
      <c r="Y185" s="212">
        <v>0</v>
      </c>
      <c r="Z185" s="209" t="s">
        <v>3664</v>
      </c>
      <c r="AA185" s="219"/>
      <c r="AB185" s="218"/>
      <c r="AC185" s="217" t="e">
        <v>#N/A</v>
      </c>
      <c r="AD185" s="217">
        <v>90481</v>
      </c>
      <c r="AE185" s="217" t="s">
        <v>3100</v>
      </c>
      <c r="AF185" s="217" t="s">
        <v>3770</v>
      </c>
      <c r="AG185" s="217" t="s">
        <v>4309</v>
      </c>
      <c r="AH185" s="220" t="str">
        <f t="shared" ref="AH185:AH202" si="10">O185&amp;"_0"&amp;Q185</f>
        <v>4590004398_010</v>
      </c>
      <c r="AI185" s="208"/>
      <c r="AJ185" s="220"/>
      <c r="AK185" s="221"/>
      <c r="AL185" s="227"/>
      <c r="AM185" s="208"/>
      <c r="AN185" s="220"/>
      <c r="AO185" s="222"/>
      <c r="AP185" s="227"/>
      <c r="AQ185" s="358">
        <f ca="1">IF(表格1[[#This Row],[PO$]]="","100%",表格1[[#This Row],[total amount]]/表格1[[#This Row],[PO$]])</f>
        <v>0</v>
      </c>
      <c r="AR185" s="223">
        <f ca="1">表格1[[#This Row],[invoice amount]]+表格1[[#This Row],[invoice amount2]]</f>
        <v>0</v>
      </c>
      <c r="AS185" s="224"/>
      <c r="AT185" s="208"/>
      <c r="AU185" s="208" t="e">
        <f ca="1">VLOOKUP(表格1[[#This Row],[PO+ITEM]],#REF!,2,FALSE)</f>
        <v>#REF!</v>
      </c>
      <c r="AV185" s="341" t="e">
        <f ca="1">VLOOKUP(表格1[[#This Row],[PO+ITEM]],#REF!,3,FALSE)</f>
        <v>#REF!</v>
      </c>
      <c r="AW185" s="208" t="e">
        <f ca="1">VLOOKUP(表格1[[#This Row],[PO+ITEM]],#REF!,4,FALSE)</f>
        <v>#REF!</v>
      </c>
      <c r="AX185" s="208" t="e" cm="1" vm="1">
        <f t="array" aca="1" ref="AX185" ca="1">VLOOKUP(AI:AI,#REF!,1,FALSE)</f>
        <v>#VALUE!</v>
      </c>
    </row>
    <row r="186" spans="1:50">
      <c r="A186" s="220">
        <v>185</v>
      </c>
      <c r="B186" s="220" t="s">
        <v>3674</v>
      </c>
      <c r="C186" s="209" t="s">
        <v>16</v>
      </c>
      <c r="D186" s="209" t="s">
        <v>3648</v>
      </c>
      <c r="E186" s="209"/>
      <c r="F186" s="209"/>
      <c r="G186" s="209"/>
      <c r="H186" s="210" t="s">
        <v>4328</v>
      </c>
      <c r="I186" s="210"/>
      <c r="J186" s="211"/>
      <c r="K186" s="210"/>
      <c r="L186" s="212" t="s">
        <v>2999</v>
      </c>
      <c r="M186" s="212" t="s">
        <v>2999</v>
      </c>
      <c r="N186" s="213"/>
      <c r="O186" s="263">
        <v>4590004398</v>
      </c>
      <c r="P186" s="214">
        <v>44801</v>
      </c>
      <c r="Q186" s="334">
        <v>11</v>
      </c>
      <c r="R186" s="349">
        <v>343.07</v>
      </c>
      <c r="S186" s="217" t="s">
        <v>2156</v>
      </c>
      <c r="T186" s="209" t="s">
        <v>3864</v>
      </c>
      <c r="U186" s="209" t="s">
        <v>3865</v>
      </c>
      <c r="V186" s="213" t="s">
        <v>3866</v>
      </c>
      <c r="W186" s="218" t="s">
        <v>3652</v>
      </c>
      <c r="X186" s="218" t="s">
        <v>3652</v>
      </c>
      <c r="Y186" s="212">
        <v>0</v>
      </c>
      <c r="Z186" s="209" t="s">
        <v>3664</v>
      </c>
      <c r="AA186" s="219"/>
      <c r="AB186" s="218"/>
      <c r="AC186" s="217" t="e">
        <v>#N/A</v>
      </c>
      <c r="AD186" s="217">
        <v>90484</v>
      </c>
      <c r="AE186" s="217" t="s">
        <v>3102</v>
      </c>
      <c r="AF186" s="217" t="s">
        <v>3770</v>
      </c>
      <c r="AG186" s="217" t="s">
        <v>4309</v>
      </c>
      <c r="AH186" s="220" t="str">
        <f t="shared" si="10"/>
        <v>4590004398_011</v>
      </c>
      <c r="AI186" s="217" t="s">
        <v>4329</v>
      </c>
      <c r="AJ186" s="227">
        <v>45471</v>
      </c>
      <c r="AK186" s="221">
        <v>343.07</v>
      </c>
      <c r="AL186" s="227"/>
      <c r="AM186" s="208"/>
      <c r="AN186" s="220"/>
      <c r="AO186" s="222"/>
      <c r="AP186" s="227"/>
      <c r="AQ186" s="358">
        <f ca="1">IF(表格1[[#This Row],[PO$]]="","100%",表格1[[#This Row],[total amount]]/表格1[[#This Row],[PO$]])</f>
        <v>1</v>
      </c>
      <c r="AR186" s="223">
        <f ca="1">表格1[[#This Row],[invoice amount]]+表格1[[#This Row],[invoice amount2]]</f>
        <v>343.07</v>
      </c>
      <c r="AS186" s="224" t="s">
        <v>3752</v>
      </c>
      <c r="AT186" s="208"/>
      <c r="AU186" s="208" t="e">
        <f ca="1">VLOOKUP(表格1[[#This Row],[PO+ITEM]],#REF!,2,FALSE)</f>
        <v>#REF!</v>
      </c>
      <c r="AV186" s="341" t="e">
        <f ca="1">VLOOKUP(表格1[[#This Row],[PO+ITEM]],#REF!,3,FALSE)</f>
        <v>#REF!</v>
      </c>
      <c r="AW186" s="208" t="e">
        <f ca="1">VLOOKUP(表格1[[#This Row],[PO+ITEM]],#REF!,4,FALSE)</f>
        <v>#REF!</v>
      </c>
      <c r="AX186" s="208" t="e" cm="1" vm="1">
        <f t="array" aca="1" ref="AX186" ca="1">VLOOKUP(AI:AI,#REF!,1,FALSE)</f>
        <v>#VALUE!</v>
      </c>
    </row>
    <row r="187" spans="1:50">
      <c r="A187" s="220">
        <v>186</v>
      </c>
      <c r="B187" s="220" t="s">
        <v>3674</v>
      </c>
      <c r="C187" s="209" t="s">
        <v>16</v>
      </c>
      <c r="D187" s="209" t="s">
        <v>3648</v>
      </c>
      <c r="E187" s="209"/>
      <c r="F187" s="209"/>
      <c r="G187" s="209"/>
      <c r="H187" s="210" t="s">
        <v>4330</v>
      </c>
      <c r="I187" s="210"/>
      <c r="J187" s="211"/>
      <c r="K187" s="210"/>
      <c r="L187" s="212" t="s">
        <v>2999</v>
      </c>
      <c r="M187" s="212" t="s">
        <v>2999</v>
      </c>
      <c r="N187" s="213"/>
      <c r="O187" s="263">
        <v>4590004398</v>
      </c>
      <c r="P187" s="214">
        <v>44801</v>
      </c>
      <c r="Q187" s="334">
        <v>12</v>
      </c>
      <c r="R187" s="216">
        <v>343.07</v>
      </c>
      <c r="S187" s="217" t="s">
        <v>2156</v>
      </c>
      <c r="T187" s="209" t="s">
        <v>3864</v>
      </c>
      <c r="U187" s="209" t="s">
        <v>3865</v>
      </c>
      <c r="V187" s="213" t="s">
        <v>3866</v>
      </c>
      <c r="W187" s="218" t="s">
        <v>3652</v>
      </c>
      <c r="X187" s="218" t="s">
        <v>3652</v>
      </c>
      <c r="Y187" s="212">
        <v>0</v>
      </c>
      <c r="Z187" s="209" t="s">
        <v>3664</v>
      </c>
      <c r="AA187" s="219"/>
      <c r="AB187" s="218"/>
      <c r="AC187" s="217" t="e">
        <v>#N/A</v>
      </c>
      <c r="AD187" s="217">
        <v>90483</v>
      </c>
      <c r="AE187" s="217" t="s">
        <v>3135</v>
      </c>
      <c r="AF187" s="217" t="s">
        <v>3770</v>
      </c>
      <c r="AG187" s="217" t="s">
        <v>4309</v>
      </c>
      <c r="AH187" s="220" t="str">
        <f t="shared" si="10"/>
        <v>4590004398_012</v>
      </c>
      <c r="AI187" s="208" t="s">
        <v>4331</v>
      </c>
      <c r="AJ187" s="227">
        <v>45401</v>
      </c>
      <c r="AK187" s="221">
        <v>343.07</v>
      </c>
      <c r="AL187" s="227" t="s">
        <v>3805</v>
      </c>
      <c r="AM187" s="208"/>
      <c r="AN187" s="220"/>
      <c r="AO187" s="222"/>
      <c r="AP187" s="227"/>
      <c r="AQ187" s="358">
        <f ca="1">IF(表格1[[#This Row],[PO$]]="","100%",表格1[[#This Row],[total amount]]/表格1[[#This Row],[PO$]])</f>
        <v>1</v>
      </c>
      <c r="AR187" s="223">
        <f ca="1">表格1[[#This Row],[invoice amount]]+表格1[[#This Row],[invoice amount2]]</f>
        <v>343.07</v>
      </c>
      <c r="AS187" s="224" t="s">
        <v>3806</v>
      </c>
      <c r="AT187" s="208"/>
      <c r="AU187" s="208" t="e">
        <f ca="1">VLOOKUP(表格1[[#This Row],[PO+ITEM]],#REF!,2,FALSE)</f>
        <v>#REF!</v>
      </c>
      <c r="AV187" s="341" t="e">
        <f ca="1">VLOOKUP(表格1[[#This Row],[PO+ITEM]],#REF!,3,FALSE)</f>
        <v>#REF!</v>
      </c>
      <c r="AW187" s="208" t="e">
        <f ca="1">VLOOKUP(表格1[[#This Row],[PO+ITEM]],#REF!,4,FALSE)</f>
        <v>#REF!</v>
      </c>
      <c r="AX187" s="208" t="e" cm="1" vm="1">
        <f t="array" aca="1" ref="AX187" ca="1">VLOOKUP(AI:AI,#REF!,1,FALSE)</f>
        <v>#VALUE!</v>
      </c>
    </row>
    <row r="188" spans="1:50">
      <c r="A188" s="220">
        <v>187</v>
      </c>
      <c r="B188" s="220" t="s">
        <v>3674</v>
      </c>
      <c r="C188" s="209" t="s">
        <v>16</v>
      </c>
      <c r="D188" s="209" t="s">
        <v>3648</v>
      </c>
      <c r="E188" s="209"/>
      <c r="F188" s="209"/>
      <c r="G188" s="209"/>
      <c r="H188" s="210" t="s">
        <v>4332</v>
      </c>
      <c r="I188" s="210"/>
      <c r="J188" s="211"/>
      <c r="K188" s="210"/>
      <c r="L188" s="212" t="s">
        <v>2999</v>
      </c>
      <c r="M188" s="212" t="s">
        <v>2999</v>
      </c>
      <c r="N188" s="213"/>
      <c r="O188" s="263">
        <v>4590004398</v>
      </c>
      <c r="P188" s="214">
        <v>44801</v>
      </c>
      <c r="Q188" s="334">
        <v>13</v>
      </c>
      <c r="R188" s="216">
        <v>343.07</v>
      </c>
      <c r="S188" s="217" t="s">
        <v>2156</v>
      </c>
      <c r="T188" s="209" t="s">
        <v>3864</v>
      </c>
      <c r="U188" s="209" t="s">
        <v>3865</v>
      </c>
      <c r="V188" s="213" t="s">
        <v>3866</v>
      </c>
      <c r="W188" s="218" t="s">
        <v>3652</v>
      </c>
      <c r="X188" s="218" t="s">
        <v>3652</v>
      </c>
      <c r="Y188" s="212">
        <v>0</v>
      </c>
      <c r="Z188" s="209" t="s">
        <v>3664</v>
      </c>
      <c r="AA188" s="219"/>
      <c r="AB188" s="218"/>
      <c r="AC188" s="217" t="e">
        <v>#N/A</v>
      </c>
      <c r="AD188" s="217">
        <v>90479</v>
      </c>
      <c r="AE188" s="217" t="s">
        <v>3137</v>
      </c>
      <c r="AF188" s="217" t="s">
        <v>3770</v>
      </c>
      <c r="AG188" s="217" t="s">
        <v>4309</v>
      </c>
      <c r="AH188" s="220" t="str">
        <f t="shared" si="10"/>
        <v>4590004398_013</v>
      </c>
      <c r="AI188" s="208" t="s">
        <v>4333</v>
      </c>
      <c r="AJ188" s="227">
        <v>45401</v>
      </c>
      <c r="AK188" s="221">
        <v>343.07</v>
      </c>
      <c r="AL188" s="227" t="s">
        <v>3805</v>
      </c>
      <c r="AM188" s="208"/>
      <c r="AN188" s="220"/>
      <c r="AO188" s="222"/>
      <c r="AP188" s="227"/>
      <c r="AQ188" s="358">
        <f ca="1">IF(表格1[[#This Row],[PO$]]="","100%",表格1[[#This Row],[total amount]]/表格1[[#This Row],[PO$]])</f>
        <v>1</v>
      </c>
      <c r="AR188" s="223">
        <f ca="1">表格1[[#This Row],[invoice amount]]+表格1[[#This Row],[invoice amount2]]</f>
        <v>343.07</v>
      </c>
      <c r="AS188" s="224" t="s">
        <v>3806</v>
      </c>
      <c r="AT188" s="208"/>
      <c r="AU188" s="208" t="e">
        <f ca="1">VLOOKUP(表格1[[#This Row],[PO+ITEM]],#REF!,2,FALSE)</f>
        <v>#REF!</v>
      </c>
      <c r="AV188" s="341" t="e">
        <f ca="1">VLOOKUP(表格1[[#This Row],[PO+ITEM]],#REF!,3,FALSE)</f>
        <v>#REF!</v>
      </c>
      <c r="AW188" s="208" t="e">
        <f ca="1">VLOOKUP(表格1[[#This Row],[PO+ITEM]],#REF!,4,FALSE)</f>
        <v>#REF!</v>
      </c>
      <c r="AX188" s="208" t="e" cm="1" vm="1">
        <f t="array" aca="1" ref="AX188" ca="1">VLOOKUP(AI:AI,#REF!,1,FALSE)</f>
        <v>#VALUE!</v>
      </c>
    </row>
    <row r="189" spans="1:50">
      <c r="A189" s="220">
        <v>188</v>
      </c>
      <c r="B189" s="220" t="s">
        <v>3674</v>
      </c>
      <c r="C189" s="209" t="s">
        <v>16</v>
      </c>
      <c r="D189" s="209" t="s">
        <v>3648</v>
      </c>
      <c r="E189" s="209"/>
      <c r="F189" s="209"/>
      <c r="G189" s="209"/>
      <c r="H189" s="210" t="s">
        <v>4334</v>
      </c>
      <c r="I189" s="210"/>
      <c r="J189" s="211"/>
      <c r="K189" s="210"/>
      <c r="L189" s="212" t="s">
        <v>2999</v>
      </c>
      <c r="M189" s="212" t="s">
        <v>2999</v>
      </c>
      <c r="N189" s="213"/>
      <c r="O189" s="263">
        <v>4590004398</v>
      </c>
      <c r="P189" s="214">
        <v>44801</v>
      </c>
      <c r="Q189" s="334">
        <v>14</v>
      </c>
      <c r="R189" s="216">
        <v>343.07</v>
      </c>
      <c r="S189" s="217" t="s">
        <v>2156</v>
      </c>
      <c r="T189" s="209" t="s">
        <v>3864</v>
      </c>
      <c r="U189" s="209" t="s">
        <v>3865</v>
      </c>
      <c r="V189" s="213" t="s">
        <v>3866</v>
      </c>
      <c r="W189" s="218" t="s">
        <v>3652</v>
      </c>
      <c r="X189" s="218" t="s">
        <v>3652</v>
      </c>
      <c r="Y189" s="212">
        <v>0</v>
      </c>
      <c r="Z189" s="209" t="s">
        <v>3664</v>
      </c>
      <c r="AA189" s="219"/>
      <c r="AB189" s="218"/>
      <c r="AC189" s="217" t="e">
        <v>#N/A</v>
      </c>
      <c r="AD189" s="217">
        <v>90474</v>
      </c>
      <c r="AE189" s="217" t="s">
        <v>3138</v>
      </c>
      <c r="AF189" s="217" t="s">
        <v>3770</v>
      </c>
      <c r="AG189" s="217" t="s">
        <v>4309</v>
      </c>
      <c r="AH189" s="220" t="str">
        <f t="shared" si="10"/>
        <v>4590004398_014</v>
      </c>
      <c r="AI189" s="208" t="s">
        <v>4335</v>
      </c>
      <c r="AJ189" s="227">
        <v>45401</v>
      </c>
      <c r="AK189" s="221">
        <v>343.07</v>
      </c>
      <c r="AL189" s="227" t="s">
        <v>3805</v>
      </c>
      <c r="AM189" s="208"/>
      <c r="AN189" s="220"/>
      <c r="AO189" s="222"/>
      <c r="AP189" s="227"/>
      <c r="AQ189" s="358">
        <f ca="1">IF(表格1[[#This Row],[PO$]]="","100%",表格1[[#This Row],[total amount]]/表格1[[#This Row],[PO$]])</f>
        <v>1</v>
      </c>
      <c r="AR189" s="223">
        <f ca="1">表格1[[#This Row],[invoice amount]]+表格1[[#This Row],[invoice amount2]]</f>
        <v>343.07</v>
      </c>
      <c r="AS189" s="224" t="s">
        <v>3806</v>
      </c>
      <c r="AT189" s="208"/>
      <c r="AU189" s="208" t="e">
        <f ca="1">VLOOKUP(表格1[[#This Row],[PO+ITEM]],#REF!,2,FALSE)</f>
        <v>#REF!</v>
      </c>
      <c r="AV189" s="341" t="e">
        <f ca="1">VLOOKUP(表格1[[#This Row],[PO+ITEM]],#REF!,3,FALSE)</f>
        <v>#REF!</v>
      </c>
      <c r="AW189" s="208" t="e">
        <f ca="1">VLOOKUP(表格1[[#This Row],[PO+ITEM]],#REF!,4,FALSE)</f>
        <v>#REF!</v>
      </c>
      <c r="AX189" s="208" t="e" cm="1" vm="1">
        <f t="array" aca="1" ref="AX189" ca="1">VLOOKUP(AI:AI,#REF!,1,FALSE)</f>
        <v>#VALUE!</v>
      </c>
    </row>
    <row r="190" spans="1:50">
      <c r="A190" s="220">
        <v>189</v>
      </c>
      <c r="B190" s="220" t="s">
        <v>3674</v>
      </c>
      <c r="C190" s="209" t="s">
        <v>16</v>
      </c>
      <c r="D190" s="209" t="s">
        <v>3648</v>
      </c>
      <c r="E190" s="209"/>
      <c r="F190" s="209"/>
      <c r="G190" s="209"/>
      <c r="H190" s="210" t="s">
        <v>4336</v>
      </c>
      <c r="I190" s="210"/>
      <c r="J190" s="211"/>
      <c r="K190" s="210"/>
      <c r="L190" s="212" t="s">
        <v>2999</v>
      </c>
      <c r="M190" s="212" t="s">
        <v>2999</v>
      </c>
      <c r="N190" s="213"/>
      <c r="O190" s="263">
        <v>4590004398</v>
      </c>
      <c r="P190" s="214">
        <v>44801</v>
      </c>
      <c r="Q190" s="334">
        <v>15</v>
      </c>
      <c r="R190" s="216">
        <v>343.07</v>
      </c>
      <c r="S190" s="217" t="s">
        <v>2156</v>
      </c>
      <c r="T190" s="209" t="s">
        <v>3864</v>
      </c>
      <c r="U190" s="209" t="s">
        <v>3865</v>
      </c>
      <c r="V190" s="213" t="s">
        <v>3866</v>
      </c>
      <c r="W190" s="218" t="s">
        <v>3652</v>
      </c>
      <c r="X190" s="218" t="s">
        <v>3652</v>
      </c>
      <c r="Y190" s="212">
        <v>0</v>
      </c>
      <c r="Z190" s="209" t="s">
        <v>3664</v>
      </c>
      <c r="AA190" s="219"/>
      <c r="AB190" s="218"/>
      <c r="AC190" s="217" t="e">
        <v>#N/A</v>
      </c>
      <c r="AD190" s="217">
        <v>90471</v>
      </c>
      <c r="AE190" s="217" t="s">
        <v>3136</v>
      </c>
      <c r="AF190" s="217" t="s">
        <v>3770</v>
      </c>
      <c r="AG190" s="217" t="s">
        <v>4309</v>
      </c>
      <c r="AH190" s="220" t="str">
        <f t="shared" si="10"/>
        <v>4590004398_015</v>
      </c>
      <c r="AI190" s="208" t="s">
        <v>4337</v>
      </c>
      <c r="AJ190" s="227">
        <v>45401</v>
      </c>
      <c r="AK190" s="221">
        <v>343.07</v>
      </c>
      <c r="AL190" s="227" t="s">
        <v>3805</v>
      </c>
      <c r="AM190" s="208"/>
      <c r="AN190" s="220"/>
      <c r="AO190" s="222"/>
      <c r="AP190" s="227"/>
      <c r="AQ190" s="358">
        <f ca="1">IF(表格1[[#This Row],[PO$]]="","100%",表格1[[#This Row],[total amount]]/表格1[[#This Row],[PO$]])</f>
        <v>1</v>
      </c>
      <c r="AR190" s="223">
        <f ca="1">表格1[[#This Row],[invoice amount]]+表格1[[#This Row],[invoice amount2]]</f>
        <v>343.07</v>
      </c>
      <c r="AS190" s="224" t="s">
        <v>3806</v>
      </c>
      <c r="AT190" s="208"/>
      <c r="AU190" s="208" t="e">
        <f ca="1">VLOOKUP(表格1[[#This Row],[PO+ITEM]],#REF!,2,FALSE)</f>
        <v>#REF!</v>
      </c>
      <c r="AV190" s="341" t="e">
        <f ca="1">VLOOKUP(表格1[[#This Row],[PO+ITEM]],#REF!,3,FALSE)</f>
        <v>#REF!</v>
      </c>
      <c r="AW190" s="208" t="e">
        <f ca="1">VLOOKUP(表格1[[#This Row],[PO+ITEM]],#REF!,4,FALSE)</f>
        <v>#REF!</v>
      </c>
      <c r="AX190" s="208" t="e" cm="1" vm="1">
        <f t="array" aca="1" ref="AX190" ca="1">VLOOKUP(AI:AI,#REF!,1,FALSE)</f>
        <v>#VALUE!</v>
      </c>
    </row>
    <row r="191" spans="1:50">
      <c r="A191" s="220">
        <v>190</v>
      </c>
      <c r="B191" s="220" t="s">
        <v>3674</v>
      </c>
      <c r="C191" s="209" t="s">
        <v>16</v>
      </c>
      <c r="D191" s="209" t="s">
        <v>3648</v>
      </c>
      <c r="E191" s="209"/>
      <c r="F191" s="209"/>
      <c r="G191" s="209"/>
      <c r="H191" s="210" t="s">
        <v>4338</v>
      </c>
      <c r="I191" s="210"/>
      <c r="J191" s="211"/>
      <c r="K191" s="210"/>
      <c r="L191" s="212" t="s">
        <v>2999</v>
      </c>
      <c r="M191" s="212" t="s">
        <v>2999</v>
      </c>
      <c r="N191" s="213"/>
      <c r="O191" s="263">
        <v>4590004398</v>
      </c>
      <c r="P191" s="214">
        <v>44801</v>
      </c>
      <c r="Q191" s="334">
        <v>16</v>
      </c>
      <c r="R191" s="349">
        <v>343.07</v>
      </c>
      <c r="S191" s="217" t="s">
        <v>2156</v>
      </c>
      <c r="T191" s="209" t="s">
        <v>3864</v>
      </c>
      <c r="U191" s="209" t="s">
        <v>3865</v>
      </c>
      <c r="V191" s="213" t="s">
        <v>3866</v>
      </c>
      <c r="W191" s="218" t="s">
        <v>3652</v>
      </c>
      <c r="X191" s="218" t="s">
        <v>3652</v>
      </c>
      <c r="Y191" s="212">
        <v>0</v>
      </c>
      <c r="Z191" s="209" t="s">
        <v>3664</v>
      </c>
      <c r="AA191" s="219"/>
      <c r="AB191" s="218"/>
      <c r="AC191" s="217" t="e">
        <v>#N/A</v>
      </c>
      <c r="AD191" s="217">
        <v>90470</v>
      </c>
      <c r="AE191" s="217" t="s">
        <v>3103</v>
      </c>
      <c r="AF191" s="217" t="s">
        <v>3770</v>
      </c>
      <c r="AG191" s="217" t="s">
        <v>4309</v>
      </c>
      <c r="AH191" s="220" t="str">
        <f t="shared" si="10"/>
        <v>4590004398_016</v>
      </c>
      <c r="AI191" s="217" t="s">
        <v>4339</v>
      </c>
      <c r="AJ191" s="227">
        <v>45471</v>
      </c>
      <c r="AK191" s="221">
        <v>343.07</v>
      </c>
      <c r="AL191" s="227"/>
      <c r="AM191" s="208"/>
      <c r="AN191" s="220"/>
      <c r="AO191" s="222"/>
      <c r="AP191" s="227"/>
      <c r="AQ191" s="358">
        <f ca="1">IF(表格1[[#This Row],[PO$]]="","100%",表格1[[#This Row],[total amount]]/表格1[[#This Row],[PO$]])</f>
        <v>1</v>
      </c>
      <c r="AR191" s="223">
        <f ca="1">表格1[[#This Row],[invoice amount]]+表格1[[#This Row],[invoice amount2]]</f>
        <v>343.07</v>
      </c>
      <c r="AS191" s="224" t="s">
        <v>3752</v>
      </c>
      <c r="AT191" s="208"/>
      <c r="AU191" s="208" t="e">
        <f ca="1">VLOOKUP(表格1[[#This Row],[PO+ITEM]],#REF!,2,FALSE)</f>
        <v>#REF!</v>
      </c>
      <c r="AV191" s="341" t="e">
        <f ca="1">VLOOKUP(表格1[[#This Row],[PO+ITEM]],#REF!,3,FALSE)</f>
        <v>#REF!</v>
      </c>
      <c r="AW191" s="208" t="e">
        <f ca="1">VLOOKUP(表格1[[#This Row],[PO+ITEM]],#REF!,4,FALSE)</f>
        <v>#REF!</v>
      </c>
      <c r="AX191" s="208" t="e" cm="1" vm="1">
        <f t="array" aca="1" ref="AX191" ca="1">VLOOKUP(AI:AI,#REF!,1,FALSE)</f>
        <v>#VALUE!</v>
      </c>
    </row>
    <row r="192" spans="1:50">
      <c r="A192" s="220">
        <v>191</v>
      </c>
      <c r="B192" s="220" t="s">
        <v>3674</v>
      </c>
      <c r="C192" s="209" t="s">
        <v>16</v>
      </c>
      <c r="D192" s="209" t="s">
        <v>3648</v>
      </c>
      <c r="E192" s="209"/>
      <c r="F192" s="209"/>
      <c r="G192" s="209"/>
      <c r="H192" s="210" t="s">
        <v>4340</v>
      </c>
      <c r="I192" s="210"/>
      <c r="J192" s="211"/>
      <c r="K192" s="210"/>
      <c r="L192" s="212" t="s">
        <v>2999</v>
      </c>
      <c r="M192" s="212" t="s">
        <v>2999</v>
      </c>
      <c r="N192" s="213"/>
      <c r="O192" s="263">
        <v>4590004398</v>
      </c>
      <c r="P192" s="214">
        <v>44801</v>
      </c>
      <c r="Q192" s="334">
        <v>17</v>
      </c>
      <c r="R192" s="216">
        <v>815.01</v>
      </c>
      <c r="S192" s="217" t="s">
        <v>2156</v>
      </c>
      <c r="T192" s="209" t="s">
        <v>3864</v>
      </c>
      <c r="U192" s="209" t="s">
        <v>3865</v>
      </c>
      <c r="V192" s="213" t="s">
        <v>3866</v>
      </c>
      <c r="W192" s="218" t="s">
        <v>3652</v>
      </c>
      <c r="X192" s="218" t="s">
        <v>3652</v>
      </c>
      <c r="Y192" s="212">
        <v>0</v>
      </c>
      <c r="Z192" s="209" t="s">
        <v>3664</v>
      </c>
      <c r="AA192" s="219"/>
      <c r="AB192" s="218"/>
      <c r="AC192" s="217" t="e">
        <v>#N/A</v>
      </c>
      <c r="AD192" s="217">
        <v>90481</v>
      </c>
      <c r="AE192" s="217" t="s">
        <v>3100</v>
      </c>
      <c r="AF192" s="217" t="s">
        <v>3770</v>
      </c>
      <c r="AG192" s="217" t="s">
        <v>4309</v>
      </c>
      <c r="AH192" s="220" t="str">
        <f t="shared" si="10"/>
        <v>4590004398_017</v>
      </c>
      <c r="AI192" s="208"/>
      <c r="AJ192" s="220"/>
      <c r="AK192" s="221"/>
      <c r="AL192" s="227"/>
      <c r="AM192" s="208"/>
      <c r="AN192" s="220"/>
      <c r="AO192" s="222"/>
      <c r="AP192" s="227"/>
      <c r="AQ192" s="358">
        <f ca="1">IF(表格1[[#This Row],[PO$]]="","100%",表格1[[#This Row],[total amount]]/表格1[[#This Row],[PO$]])</f>
        <v>0</v>
      </c>
      <c r="AR192" s="223">
        <f ca="1">表格1[[#This Row],[invoice amount]]+表格1[[#This Row],[invoice amount2]]</f>
        <v>0</v>
      </c>
      <c r="AS192" s="224"/>
      <c r="AT192" s="208"/>
      <c r="AU192" s="208" t="e">
        <f ca="1">VLOOKUP(表格1[[#This Row],[PO+ITEM]],#REF!,2,FALSE)</f>
        <v>#REF!</v>
      </c>
      <c r="AV192" s="341" t="e">
        <f ca="1">VLOOKUP(表格1[[#This Row],[PO+ITEM]],#REF!,3,FALSE)</f>
        <v>#REF!</v>
      </c>
      <c r="AW192" s="208" t="e">
        <f ca="1">VLOOKUP(表格1[[#This Row],[PO+ITEM]],#REF!,4,FALSE)</f>
        <v>#REF!</v>
      </c>
      <c r="AX192" s="208" t="e" cm="1" vm="1">
        <f t="array" aca="1" ref="AX192" ca="1">VLOOKUP(AI:AI,#REF!,1,FALSE)</f>
        <v>#VALUE!</v>
      </c>
    </row>
    <row r="193" spans="1:50">
      <c r="A193" s="220">
        <v>192</v>
      </c>
      <c r="B193" s="220" t="s">
        <v>3674</v>
      </c>
      <c r="C193" s="209" t="s">
        <v>16</v>
      </c>
      <c r="D193" s="209" t="s">
        <v>3648</v>
      </c>
      <c r="E193" s="209"/>
      <c r="F193" s="209"/>
      <c r="G193" s="209"/>
      <c r="H193" s="210" t="s">
        <v>4342</v>
      </c>
      <c r="I193" s="210"/>
      <c r="J193" s="211"/>
      <c r="K193" s="210"/>
      <c r="L193" s="212" t="s">
        <v>2999</v>
      </c>
      <c r="M193" s="212" t="s">
        <v>2999</v>
      </c>
      <c r="N193" s="213"/>
      <c r="O193" s="263">
        <v>4590004398</v>
      </c>
      <c r="P193" s="214">
        <v>44801</v>
      </c>
      <c r="Q193" s="334">
        <v>18</v>
      </c>
      <c r="R193" s="216">
        <v>815.01</v>
      </c>
      <c r="S193" s="217" t="s">
        <v>2156</v>
      </c>
      <c r="T193" s="209" t="s">
        <v>3864</v>
      </c>
      <c r="U193" s="209" t="s">
        <v>3865</v>
      </c>
      <c r="V193" s="213" t="s">
        <v>3866</v>
      </c>
      <c r="W193" s="218" t="s">
        <v>3652</v>
      </c>
      <c r="X193" s="218" t="s">
        <v>3652</v>
      </c>
      <c r="Y193" s="212">
        <v>0</v>
      </c>
      <c r="Z193" s="209" t="s">
        <v>3664</v>
      </c>
      <c r="AA193" s="219"/>
      <c r="AB193" s="218"/>
      <c r="AC193" s="217" t="e">
        <v>#N/A</v>
      </c>
      <c r="AD193" s="217">
        <v>90479</v>
      </c>
      <c r="AE193" s="217" t="s">
        <v>3137</v>
      </c>
      <c r="AF193" s="217" t="s">
        <v>3770</v>
      </c>
      <c r="AG193" s="217" t="s">
        <v>4309</v>
      </c>
      <c r="AH193" s="220" t="str">
        <f t="shared" si="10"/>
        <v>4590004398_018</v>
      </c>
      <c r="AI193" s="208"/>
      <c r="AJ193" s="220"/>
      <c r="AK193" s="221"/>
      <c r="AL193" s="227"/>
      <c r="AM193" s="208"/>
      <c r="AN193" s="220"/>
      <c r="AO193" s="222"/>
      <c r="AP193" s="227"/>
      <c r="AQ193" s="358">
        <f ca="1">IF(表格1[[#This Row],[PO$]]="","100%",表格1[[#This Row],[total amount]]/表格1[[#This Row],[PO$]])</f>
        <v>0</v>
      </c>
      <c r="AR193" s="223">
        <f ca="1">表格1[[#This Row],[invoice amount]]+表格1[[#This Row],[invoice amount2]]</f>
        <v>0</v>
      </c>
      <c r="AS193" s="224"/>
      <c r="AT193" s="208"/>
      <c r="AU193" s="208" t="e">
        <f ca="1">VLOOKUP(表格1[[#This Row],[PO+ITEM]],#REF!,2,FALSE)</f>
        <v>#REF!</v>
      </c>
      <c r="AV193" s="341" t="e">
        <f ca="1">VLOOKUP(表格1[[#This Row],[PO+ITEM]],#REF!,3,FALSE)</f>
        <v>#REF!</v>
      </c>
      <c r="AW193" s="208" t="e">
        <f ca="1">VLOOKUP(表格1[[#This Row],[PO+ITEM]],#REF!,4,FALSE)</f>
        <v>#REF!</v>
      </c>
      <c r="AX193" s="208" t="e" cm="1" vm="1">
        <f t="array" aca="1" ref="AX193" ca="1">VLOOKUP(AI:AI,#REF!,1,FALSE)</f>
        <v>#VALUE!</v>
      </c>
    </row>
    <row r="194" spans="1:50">
      <c r="A194" s="220">
        <v>193</v>
      </c>
      <c r="B194" s="220" t="s">
        <v>3674</v>
      </c>
      <c r="C194" s="209" t="s">
        <v>16</v>
      </c>
      <c r="D194" s="209" t="s">
        <v>3648</v>
      </c>
      <c r="E194" s="209"/>
      <c r="F194" s="209"/>
      <c r="G194" s="209"/>
      <c r="H194" s="210" t="s">
        <v>4344</v>
      </c>
      <c r="I194" s="210"/>
      <c r="J194" s="211"/>
      <c r="K194" s="210"/>
      <c r="L194" s="212" t="s">
        <v>2999</v>
      </c>
      <c r="M194" s="212" t="s">
        <v>2999</v>
      </c>
      <c r="N194" s="213"/>
      <c r="O194" s="263">
        <v>4590004398</v>
      </c>
      <c r="P194" s="214">
        <v>44801</v>
      </c>
      <c r="Q194" s="334">
        <v>19</v>
      </c>
      <c r="R194" s="216">
        <v>407.51</v>
      </c>
      <c r="S194" s="217" t="s">
        <v>2156</v>
      </c>
      <c r="T194" s="209" t="s">
        <v>3864</v>
      </c>
      <c r="U194" s="209" t="s">
        <v>3865</v>
      </c>
      <c r="V194" s="213" t="s">
        <v>3866</v>
      </c>
      <c r="W194" s="218" t="s">
        <v>3652</v>
      </c>
      <c r="X194" s="218" t="s">
        <v>3652</v>
      </c>
      <c r="Y194" s="212">
        <v>0</v>
      </c>
      <c r="Z194" s="209" t="s">
        <v>3664</v>
      </c>
      <c r="AA194" s="219"/>
      <c r="AB194" s="218"/>
      <c r="AC194" s="217" t="e">
        <v>#N/A</v>
      </c>
      <c r="AD194" s="217">
        <v>90474</v>
      </c>
      <c r="AE194" s="217" t="s">
        <v>3138</v>
      </c>
      <c r="AF194" s="217" t="s">
        <v>3770</v>
      </c>
      <c r="AG194" s="217" t="s">
        <v>4309</v>
      </c>
      <c r="AH194" s="220" t="str">
        <f t="shared" si="10"/>
        <v>4590004398_019</v>
      </c>
      <c r="AI194" s="208"/>
      <c r="AJ194" s="220"/>
      <c r="AK194" s="221"/>
      <c r="AL194" s="227"/>
      <c r="AM194" s="208"/>
      <c r="AN194" s="220"/>
      <c r="AO194" s="222"/>
      <c r="AP194" s="227"/>
      <c r="AQ194" s="358">
        <f ca="1">IF(表格1[[#This Row],[PO$]]="","100%",表格1[[#This Row],[total amount]]/表格1[[#This Row],[PO$]])</f>
        <v>0</v>
      </c>
      <c r="AR194" s="223">
        <f ca="1">表格1[[#This Row],[invoice amount]]+表格1[[#This Row],[invoice amount2]]</f>
        <v>0</v>
      </c>
      <c r="AS194" s="224"/>
      <c r="AT194" s="208"/>
      <c r="AU194" s="208" t="e">
        <f ca="1">VLOOKUP(表格1[[#This Row],[PO+ITEM]],#REF!,2,FALSE)</f>
        <v>#REF!</v>
      </c>
      <c r="AV194" s="341" t="e">
        <f ca="1">VLOOKUP(表格1[[#This Row],[PO+ITEM]],#REF!,3,FALSE)</f>
        <v>#REF!</v>
      </c>
      <c r="AW194" s="208" t="e">
        <f ca="1">VLOOKUP(表格1[[#This Row],[PO+ITEM]],#REF!,4,FALSE)</f>
        <v>#REF!</v>
      </c>
      <c r="AX194" s="208" t="e" cm="1" vm="1">
        <f t="array" aca="1" ref="AX194" ca="1">VLOOKUP(AI:AI,#REF!,1,FALSE)</f>
        <v>#VALUE!</v>
      </c>
    </row>
    <row r="195" spans="1:50">
      <c r="A195" s="220">
        <v>194</v>
      </c>
      <c r="B195" s="220" t="s">
        <v>3674</v>
      </c>
      <c r="C195" s="209" t="s">
        <v>16</v>
      </c>
      <c r="D195" s="209" t="s">
        <v>3648</v>
      </c>
      <c r="E195" s="209"/>
      <c r="F195" s="209"/>
      <c r="G195" s="209"/>
      <c r="H195" s="210" t="s">
        <v>4346</v>
      </c>
      <c r="I195" s="210"/>
      <c r="J195" s="211"/>
      <c r="K195" s="210"/>
      <c r="L195" s="212" t="s">
        <v>2999</v>
      </c>
      <c r="M195" s="212" t="s">
        <v>2999</v>
      </c>
      <c r="N195" s="213"/>
      <c r="O195" s="263">
        <v>4590004398</v>
      </c>
      <c r="P195" s="214">
        <v>44801</v>
      </c>
      <c r="Q195" s="334">
        <v>20</v>
      </c>
      <c r="R195" s="216">
        <v>815.01</v>
      </c>
      <c r="S195" s="217" t="s">
        <v>2156</v>
      </c>
      <c r="T195" s="209" t="s">
        <v>3864</v>
      </c>
      <c r="U195" s="209" t="s">
        <v>3865</v>
      </c>
      <c r="V195" s="213" t="s">
        <v>3866</v>
      </c>
      <c r="W195" s="218" t="s">
        <v>3652</v>
      </c>
      <c r="X195" s="218" t="s">
        <v>3652</v>
      </c>
      <c r="Y195" s="212">
        <v>0</v>
      </c>
      <c r="Z195" s="209" t="s">
        <v>3664</v>
      </c>
      <c r="AA195" s="219"/>
      <c r="AB195" s="218"/>
      <c r="AC195" s="217" t="e">
        <v>#N/A</v>
      </c>
      <c r="AD195" s="217">
        <v>90471</v>
      </c>
      <c r="AE195" s="217" t="s">
        <v>3136</v>
      </c>
      <c r="AF195" s="217" t="s">
        <v>3770</v>
      </c>
      <c r="AG195" s="217" t="s">
        <v>4309</v>
      </c>
      <c r="AH195" s="220" t="str">
        <f t="shared" si="10"/>
        <v>4590004398_020</v>
      </c>
      <c r="AI195" s="208"/>
      <c r="AJ195" s="220"/>
      <c r="AK195" s="221"/>
      <c r="AL195" s="227"/>
      <c r="AM195" s="208"/>
      <c r="AN195" s="220"/>
      <c r="AO195" s="222"/>
      <c r="AP195" s="227"/>
      <c r="AQ195" s="358">
        <f ca="1">IF(表格1[[#This Row],[PO$]]="","100%",表格1[[#This Row],[total amount]]/表格1[[#This Row],[PO$]])</f>
        <v>0</v>
      </c>
      <c r="AR195" s="223">
        <f ca="1">表格1[[#This Row],[invoice amount]]+表格1[[#This Row],[invoice amount2]]</f>
        <v>0</v>
      </c>
      <c r="AS195" s="224"/>
      <c r="AT195" s="208"/>
      <c r="AU195" s="208" t="e">
        <f ca="1">VLOOKUP(表格1[[#This Row],[PO+ITEM]],#REF!,2,FALSE)</f>
        <v>#REF!</v>
      </c>
      <c r="AV195" s="341" t="e">
        <f ca="1">VLOOKUP(表格1[[#This Row],[PO+ITEM]],#REF!,3,FALSE)</f>
        <v>#REF!</v>
      </c>
      <c r="AW195" s="208" t="e">
        <f ca="1">VLOOKUP(表格1[[#This Row],[PO+ITEM]],#REF!,4,FALSE)</f>
        <v>#REF!</v>
      </c>
      <c r="AX195" s="208" t="e" cm="1" vm="1">
        <f t="array" aca="1" ref="AX195" ca="1">VLOOKUP(AI:AI,#REF!,1,FALSE)</f>
        <v>#VALUE!</v>
      </c>
    </row>
    <row r="196" spans="1:50">
      <c r="A196" s="220">
        <v>195</v>
      </c>
      <c r="B196" s="220" t="s">
        <v>3674</v>
      </c>
      <c r="C196" s="209" t="s">
        <v>16</v>
      </c>
      <c r="D196" s="209" t="s">
        <v>3648</v>
      </c>
      <c r="E196" s="209"/>
      <c r="F196" s="209"/>
      <c r="G196" s="209"/>
      <c r="H196" s="210" t="s">
        <v>4348</v>
      </c>
      <c r="I196" s="210"/>
      <c r="J196" s="211"/>
      <c r="K196" s="210"/>
      <c r="L196" s="212" t="s">
        <v>2999</v>
      </c>
      <c r="M196" s="212" t="s">
        <v>2999</v>
      </c>
      <c r="N196" s="213"/>
      <c r="O196" s="263">
        <v>4590004398</v>
      </c>
      <c r="P196" s="214">
        <v>44801</v>
      </c>
      <c r="Q196" s="334">
        <v>21</v>
      </c>
      <c r="R196" s="349">
        <v>815.01</v>
      </c>
      <c r="S196" s="217" t="s">
        <v>2156</v>
      </c>
      <c r="T196" s="209" t="s">
        <v>3864</v>
      </c>
      <c r="U196" s="209" t="s">
        <v>3865</v>
      </c>
      <c r="V196" s="213" t="s">
        <v>3866</v>
      </c>
      <c r="W196" s="218" t="s">
        <v>3652</v>
      </c>
      <c r="X196" s="218" t="s">
        <v>3652</v>
      </c>
      <c r="Y196" s="212">
        <v>0</v>
      </c>
      <c r="Z196" s="209" t="s">
        <v>3664</v>
      </c>
      <c r="AA196" s="219"/>
      <c r="AB196" s="218"/>
      <c r="AC196" s="217" t="e">
        <v>#N/A</v>
      </c>
      <c r="AD196" s="217">
        <v>90470</v>
      </c>
      <c r="AE196" s="217" t="s">
        <v>3103</v>
      </c>
      <c r="AF196" s="217" t="s">
        <v>3770</v>
      </c>
      <c r="AG196" s="217" t="s">
        <v>4309</v>
      </c>
      <c r="AH196" s="220" t="str">
        <f t="shared" si="10"/>
        <v>4590004398_021</v>
      </c>
      <c r="AI196" s="217" t="s">
        <v>4349</v>
      </c>
      <c r="AJ196" s="227">
        <v>45471</v>
      </c>
      <c r="AK196" s="221">
        <v>815.01</v>
      </c>
      <c r="AL196" s="227"/>
      <c r="AM196" s="208"/>
      <c r="AN196" s="220"/>
      <c r="AO196" s="222"/>
      <c r="AP196" s="227"/>
      <c r="AQ196" s="358">
        <f ca="1">IF(表格1[[#This Row],[PO$]]="","100%",表格1[[#This Row],[total amount]]/表格1[[#This Row],[PO$]])</f>
        <v>1</v>
      </c>
      <c r="AR196" s="223">
        <f ca="1">表格1[[#This Row],[invoice amount]]+表格1[[#This Row],[invoice amount2]]</f>
        <v>815.01</v>
      </c>
      <c r="AS196" s="224" t="s">
        <v>3752</v>
      </c>
      <c r="AT196" s="208"/>
      <c r="AU196" s="208" t="e">
        <f ca="1">VLOOKUP(表格1[[#This Row],[PO+ITEM]],#REF!,2,FALSE)</f>
        <v>#REF!</v>
      </c>
      <c r="AV196" s="341" t="e">
        <f ca="1">VLOOKUP(表格1[[#This Row],[PO+ITEM]],#REF!,3,FALSE)</f>
        <v>#REF!</v>
      </c>
      <c r="AW196" s="208" t="e">
        <f ca="1">VLOOKUP(表格1[[#This Row],[PO+ITEM]],#REF!,4,FALSE)</f>
        <v>#REF!</v>
      </c>
      <c r="AX196" s="208" t="e" cm="1" vm="1">
        <f t="array" aca="1" ref="AX196" ca="1">VLOOKUP(AI:AI,#REF!,1,FALSE)</f>
        <v>#VALUE!</v>
      </c>
    </row>
    <row r="197" spans="1:50">
      <c r="A197" s="220">
        <v>196</v>
      </c>
      <c r="B197" s="220" t="s">
        <v>3674</v>
      </c>
      <c r="C197" s="209" t="s">
        <v>16</v>
      </c>
      <c r="D197" s="209" t="s">
        <v>3648</v>
      </c>
      <c r="E197" s="209"/>
      <c r="F197" s="209"/>
      <c r="G197" s="209"/>
      <c r="H197" s="210" t="s">
        <v>4350</v>
      </c>
      <c r="I197" s="210"/>
      <c r="J197" s="211"/>
      <c r="K197" s="210"/>
      <c r="L197" s="212" t="s">
        <v>2999</v>
      </c>
      <c r="M197" s="212" t="s">
        <v>2999</v>
      </c>
      <c r="N197" s="213"/>
      <c r="O197" s="263">
        <v>4590004398</v>
      </c>
      <c r="P197" s="214">
        <v>44801</v>
      </c>
      <c r="Q197" s="334">
        <v>22</v>
      </c>
      <c r="R197" s="216">
        <v>1164.3499999999999</v>
      </c>
      <c r="S197" s="217" t="s">
        <v>2156</v>
      </c>
      <c r="T197" s="209" t="s">
        <v>3864</v>
      </c>
      <c r="U197" s="209" t="s">
        <v>3865</v>
      </c>
      <c r="V197" s="213" t="s">
        <v>3866</v>
      </c>
      <c r="W197" s="218" t="s">
        <v>3652</v>
      </c>
      <c r="X197" s="218" t="s">
        <v>3652</v>
      </c>
      <c r="Y197" s="212">
        <v>0</v>
      </c>
      <c r="Z197" s="209" t="s">
        <v>3664</v>
      </c>
      <c r="AA197" s="219"/>
      <c r="AB197" s="218"/>
      <c r="AC197" s="217" t="e">
        <v>#N/A</v>
      </c>
      <c r="AD197" s="217">
        <v>90595</v>
      </c>
      <c r="AE197" s="217" t="s">
        <v>3013</v>
      </c>
      <c r="AF197" s="217" t="s">
        <v>3770</v>
      </c>
      <c r="AG197" s="217" t="s">
        <v>4351</v>
      </c>
      <c r="AH197" s="220" t="str">
        <f t="shared" si="10"/>
        <v>4590004398_022</v>
      </c>
      <c r="AI197" s="208"/>
      <c r="AJ197" s="220"/>
      <c r="AK197" s="221"/>
      <c r="AL197" s="227"/>
      <c r="AM197" s="208"/>
      <c r="AN197" s="220"/>
      <c r="AO197" s="222"/>
      <c r="AP197" s="227"/>
      <c r="AQ197" s="358">
        <f ca="1">IF(表格1[[#This Row],[PO$]]="","100%",表格1[[#This Row],[total amount]]/表格1[[#This Row],[PO$]])</f>
        <v>0</v>
      </c>
      <c r="AR197" s="223">
        <f ca="1">表格1[[#This Row],[invoice amount]]+表格1[[#This Row],[invoice amount2]]</f>
        <v>0</v>
      </c>
      <c r="AS197" s="224"/>
      <c r="AT197" s="208"/>
      <c r="AU197" s="208" t="e">
        <f ca="1">VLOOKUP(表格1[[#This Row],[PO+ITEM]],#REF!,2,FALSE)</f>
        <v>#REF!</v>
      </c>
      <c r="AV197" s="341" t="e">
        <f ca="1">VLOOKUP(表格1[[#This Row],[PO+ITEM]],#REF!,3,FALSE)</f>
        <v>#REF!</v>
      </c>
      <c r="AW197" s="208" t="e">
        <f ca="1">VLOOKUP(表格1[[#This Row],[PO+ITEM]],#REF!,4,FALSE)</f>
        <v>#REF!</v>
      </c>
      <c r="AX197" s="208" t="e" cm="1" vm="1">
        <f t="array" aca="1" ref="AX197" ca="1">VLOOKUP(AI:AI,#REF!,1,FALSE)</f>
        <v>#VALUE!</v>
      </c>
    </row>
    <row r="198" spans="1:50">
      <c r="A198" s="220">
        <v>197</v>
      </c>
      <c r="B198" s="220" t="s">
        <v>3674</v>
      </c>
      <c r="C198" s="209" t="s">
        <v>16</v>
      </c>
      <c r="D198" s="209" t="s">
        <v>3648</v>
      </c>
      <c r="E198" s="209"/>
      <c r="F198" s="209"/>
      <c r="G198" s="209"/>
      <c r="H198" s="210" t="s">
        <v>4353</v>
      </c>
      <c r="I198" s="210"/>
      <c r="J198" s="211"/>
      <c r="K198" s="210"/>
      <c r="L198" s="212" t="s">
        <v>2999</v>
      </c>
      <c r="M198" s="212" t="s">
        <v>2999</v>
      </c>
      <c r="N198" s="213"/>
      <c r="O198" s="263">
        <v>4590004398</v>
      </c>
      <c r="P198" s="214">
        <v>44801</v>
      </c>
      <c r="Q198" s="334">
        <v>23</v>
      </c>
      <c r="R198" s="216">
        <v>1164.3499999999999</v>
      </c>
      <c r="S198" s="217" t="s">
        <v>2156</v>
      </c>
      <c r="T198" s="209" t="s">
        <v>3864</v>
      </c>
      <c r="U198" s="209" t="s">
        <v>3865</v>
      </c>
      <c r="V198" s="213" t="s">
        <v>3866</v>
      </c>
      <c r="W198" s="218" t="s">
        <v>3652</v>
      </c>
      <c r="X198" s="218" t="s">
        <v>3652</v>
      </c>
      <c r="Y198" s="212">
        <v>0</v>
      </c>
      <c r="Z198" s="209" t="s">
        <v>3664</v>
      </c>
      <c r="AA198" s="219"/>
      <c r="AB198" s="218"/>
      <c r="AC198" s="217" t="e">
        <v>#N/A</v>
      </c>
      <c r="AD198" s="217">
        <v>90596</v>
      </c>
      <c r="AE198" s="217" t="s">
        <v>3015</v>
      </c>
      <c r="AF198" s="217" t="s">
        <v>3770</v>
      </c>
      <c r="AG198" s="217" t="s">
        <v>4351</v>
      </c>
      <c r="AH198" s="220" t="str">
        <f t="shared" si="10"/>
        <v>4590004398_023</v>
      </c>
      <c r="AI198" s="208"/>
      <c r="AJ198" s="220"/>
      <c r="AK198" s="221"/>
      <c r="AL198" s="227"/>
      <c r="AM198" s="208"/>
      <c r="AN198" s="220"/>
      <c r="AO198" s="222"/>
      <c r="AP198" s="227"/>
      <c r="AQ198" s="358">
        <f ca="1">IF(表格1[[#This Row],[PO$]]="","100%",表格1[[#This Row],[total amount]]/表格1[[#This Row],[PO$]])</f>
        <v>0</v>
      </c>
      <c r="AR198" s="223">
        <f ca="1">表格1[[#This Row],[invoice amount]]+表格1[[#This Row],[invoice amount2]]</f>
        <v>0</v>
      </c>
      <c r="AS198" s="224"/>
      <c r="AT198" s="208"/>
      <c r="AU198" s="208" t="e">
        <f ca="1">VLOOKUP(表格1[[#This Row],[PO+ITEM]],#REF!,2,FALSE)</f>
        <v>#REF!</v>
      </c>
      <c r="AV198" s="341" t="e">
        <f ca="1">VLOOKUP(表格1[[#This Row],[PO+ITEM]],#REF!,3,FALSE)</f>
        <v>#REF!</v>
      </c>
      <c r="AW198" s="208" t="e">
        <f ca="1">VLOOKUP(表格1[[#This Row],[PO+ITEM]],#REF!,4,FALSE)</f>
        <v>#REF!</v>
      </c>
      <c r="AX198" s="208" t="e" cm="1" vm="1">
        <f t="array" aca="1" ref="AX198" ca="1">VLOOKUP(AI:AI,#REF!,1,FALSE)</f>
        <v>#VALUE!</v>
      </c>
    </row>
    <row r="199" spans="1:50">
      <c r="A199" s="220">
        <v>198</v>
      </c>
      <c r="B199" s="220" t="s">
        <v>3674</v>
      </c>
      <c r="C199" s="209" t="s">
        <v>16</v>
      </c>
      <c r="D199" s="209" t="s">
        <v>3648</v>
      </c>
      <c r="E199" s="209"/>
      <c r="F199" s="209"/>
      <c r="G199" s="209"/>
      <c r="H199" s="210" t="s">
        <v>4355</v>
      </c>
      <c r="I199" s="210"/>
      <c r="J199" s="211"/>
      <c r="K199" s="210"/>
      <c r="L199" s="212" t="s">
        <v>2999</v>
      </c>
      <c r="M199" s="212" t="s">
        <v>2999</v>
      </c>
      <c r="N199" s="213"/>
      <c r="O199" s="263">
        <v>4590004398</v>
      </c>
      <c r="P199" s="214">
        <v>44801</v>
      </c>
      <c r="Q199" s="334">
        <v>24</v>
      </c>
      <c r="R199" s="216">
        <v>113844.96</v>
      </c>
      <c r="S199" s="217" t="s">
        <v>2156</v>
      </c>
      <c r="T199" s="209" t="s">
        <v>3864</v>
      </c>
      <c r="U199" s="209" t="s">
        <v>3865</v>
      </c>
      <c r="V199" s="213" t="s">
        <v>3866</v>
      </c>
      <c r="W199" s="218" t="s">
        <v>3652</v>
      </c>
      <c r="X199" s="218" t="s">
        <v>3652</v>
      </c>
      <c r="Y199" s="301" t="s">
        <v>4316</v>
      </c>
      <c r="Z199" s="209" t="s">
        <v>3664</v>
      </c>
      <c r="AA199" s="219"/>
      <c r="AB199" s="218"/>
      <c r="AC199" s="217" t="e">
        <v>#N/A</v>
      </c>
      <c r="AD199" s="217">
        <v>90475</v>
      </c>
      <c r="AE199" s="217" t="s">
        <v>3086</v>
      </c>
      <c r="AF199" s="217" t="s">
        <v>3770</v>
      </c>
      <c r="AG199" s="217" t="s">
        <v>4309</v>
      </c>
      <c r="AH199" s="220" t="str">
        <f t="shared" si="10"/>
        <v>4590004398_024</v>
      </c>
      <c r="AI199" s="208" t="s">
        <v>4356</v>
      </c>
      <c r="AJ199" s="227">
        <v>45422</v>
      </c>
      <c r="AK199" s="221">
        <v>113844.96</v>
      </c>
      <c r="AL199" s="227" t="s">
        <v>3805</v>
      </c>
      <c r="AM199" s="208"/>
      <c r="AN199" s="220"/>
      <c r="AO199" s="222"/>
      <c r="AP199" s="227"/>
      <c r="AQ199" s="358">
        <f ca="1">IF(表格1[[#This Row],[PO$]]="","100%",表格1[[#This Row],[total amount]]/表格1[[#This Row],[PO$]])</f>
        <v>1</v>
      </c>
      <c r="AR199" s="223">
        <f ca="1">表格1[[#This Row],[invoice amount]]+表格1[[#This Row],[invoice amount2]]</f>
        <v>113844.96</v>
      </c>
      <c r="AS199" s="224" t="s">
        <v>3701</v>
      </c>
      <c r="AT199" s="208" t="s">
        <v>3657</v>
      </c>
      <c r="AU199" s="208" t="e">
        <f ca="1">VLOOKUP(表格1[[#This Row],[PO+ITEM]],#REF!,2,FALSE)</f>
        <v>#REF!</v>
      </c>
      <c r="AV199" s="341" t="e">
        <f ca="1">VLOOKUP(表格1[[#This Row],[PO+ITEM]],#REF!,3,FALSE)</f>
        <v>#REF!</v>
      </c>
      <c r="AW199" s="208" t="e">
        <f ca="1">VLOOKUP(表格1[[#This Row],[PO+ITEM]],#REF!,4,FALSE)</f>
        <v>#REF!</v>
      </c>
      <c r="AX199" s="208" t="e" cm="1" vm="1">
        <f t="array" aca="1" ref="AX199" ca="1">VLOOKUP(AI:AI,#REF!,1,FALSE)</f>
        <v>#VALUE!</v>
      </c>
    </row>
    <row r="200" spans="1:50">
      <c r="A200" s="220">
        <v>199</v>
      </c>
      <c r="B200" s="220" t="s">
        <v>3674</v>
      </c>
      <c r="C200" s="209" t="s">
        <v>16</v>
      </c>
      <c r="D200" s="209" t="s">
        <v>3648</v>
      </c>
      <c r="E200" s="209"/>
      <c r="F200" s="209"/>
      <c r="G200" s="209"/>
      <c r="H200" s="210" t="s">
        <v>4357</v>
      </c>
      <c r="I200" s="210"/>
      <c r="J200" s="211"/>
      <c r="K200" s="210"/>
      <c r="L200" s="212" t="s">
        <v>2999</v>
      </c>
      <c r="M200" s="212" t="s">
        <v>2999</v>
      </c>
      <c r="N200" s="213"/>
      <c r="O200" s="263">
        <v>4590004398</v>
      </c>
      <c r="P200" s="214">
        <v>44801</v>
      </c>
      <c r="Q200" s="334">
        <v>25</v>
      </c>
      <c r="R200" s="216">
        <v>113844.96</v>
      </c>
      <c r="S200" s="217" t="s">
        <v>2156</v>
      </c>
      <c r="T200" s="209" t="s">
        <v>3864</v>
      </c>
      <c r="U200" s="209" t="s">
        <v>3865</v>
      </c>
      <c r="V200" s="213" t="s">
        <v>3866</v>
      </c>
      <c r="W200" s="218" t="s">
        <v>3652</v>
      </c>
      <c r="X200" s="218" t="s">
        <v>3652</v>
      </c>
      <c r="Y200" s="212">
        <v>0</v>
      </c>
      <c r="Z200" s="209" t="s">
        <v>3664</v>
      </c>
      <c r="AA200" s="219"/>
      <c r="AB200" s="218"/>
      <c r="AC200" s="217" t="e">
        <v>#N/A</v>
      </c>
      <c r="AD200" s="217">
        <v>90463</v>
      </c>
      <c r="AE200" s="217" t="s">
        <v>3081</v>
      </c>
      <c r="AF200" s="217" t="s">
        <v>3770</v>
      </c>
      <c r="AG200" s="217" t="s">
        <v>4309</v>
      </c>
      <c r="AH200" s="220" t="str">
        <f t="shared" si="10"/>
        <v>4590004398_025</v>
      </c>
      <c r="AI200" s="208"/>
      <c r="AJ200" s="220"/>
      <c r="AK200" s="221"/>
      <c r="AL200" s="227"/>
      <c r="AM200" s="208"/>
      <c r="AN200" s="220"/>
      <c r="AO200" s="222"/>
      <c r="AP200" s="227"/>
      <c r="AQ200" s="358">
        <f ca="1">IF(表格1[[#This Row],[PO$]]="","100%",表格1[[#This Row],[total amount]]/表格1[[#This Row],[PO$]])</f>
        <v>0</v>
      </c>
      <c r="AR200" s="223">
        <f ca="1">表格1[[#This Row],[invoice amount]]+表格1[[#This Row],[invoice amount2]]</f>
        <v>0</v>
      </c>
      <c r="AS200" s="224"/>
      <c r="AT200" s="208"/>
      <c r="AU200" s="208" t="e">
        <f ca="1">VLOOKUP(表格1[[#This Row],[PO+ITEM]],#REF!,2,FALSE)</f>
        <v>#REF!</v>
      </c>
      <c r="AV200" s="341" t="e">
        <f ca="1">VLOOKUP(表格1[[#This Row],[PO+ITEM]],#REF!,3,FALSE)</f>
        <v>#REF!</v>
      </c>
      <c r="AW200" s="208" t="e">
        <f ca="1">VLOOKUP(表格1[[#This Row],[PO+ITEM]],#REF!,4,FALSE)</f>
        <v>#REF!</v>
      </c>
      <c r="AX200" s="208" t="e" cm="1" vm="1">
        <f t="array" aca="1" ref="AX200" ca="1">VLOOKUP(AI:AI,#REF!,1,FALSE)</f>
        <v>#VALUE!</v>
      </c>
    </row>
    <row r="201" spans="1:50">
      <c r="A201" s="220">
        <v>200</v>
      </c>
      <c r="B201" s="220" t="s">
        <v>3674</v>
      </c>
      <c r="C201" s="209" t="s">
        <v>16</v>
      </c>
      <c r="D201" s="209" t="s">
        <v>3648</v>
      </c>
      <c r="E201" s="209"/>
      <c r="F201" s="209"/>
      <c r="G201" s="209"/>
      <c r="H201" s="210" t="s">
        <v>4359</v>
      </c>
      <c r="I201" s="210"/>
      <c r="J201" s="211"/>
      <c r="K201" s="210"/>
      <c r="L201" s="212" t="s">
        <v>2999</v>
      </c>
      <c r="M201" s="212" t="s">
        <v>2999</v>
      </c>
      <c r="N201" s="213"/>
      <c r="O201" s="263">
        <v>4590004398</v>
      </c>
      <c r="P201" s="214">
        <v>44801</v>
      </c>
      <c r="Q201" s="334">
        <v>26</v>
      </c>
      <c r="R201" s="216">
        <v>113844.96</v>
      </c>
      <c r="S201" s="217" t="s">
        <v>2156</v>
      </c>
      <c r="T201" s="209" t="s">
        <v>3864</v>
      </c>
      <c r="U201" s="209" t="s">
        <v>3865</v>
      </c>
      <c r="V201" s="213" t="s">
        <v>3866</v>
      </c>
      <c r="W201" s="218" t="s">
        <v>3652</v>
      </c>
      <c r="X201" s="218" t="s">
        <v>3652</v>
      </c>
      <c r="Y201" s="212">
        <v>0</v>
      </c>
      <c r="Z201" s="209" t="s">
        <v>3664</v>
      </c>
      <c r="AA201" s="219"/>
      <c r="AB201" s="218"/>
      <c r="AC201" s="217" t="e">
        <v>#N/A</v>
      </c>
      <c r="AD201" s="217">
        <v>90468</v>
      </c>
      <c r="AE201" s="217" t="s">
        <v>3085</v>
      </c>
      <c r="AF201" s="217" t="s">
        <v>3770</v>
      </c>
      <c r="AG201" s="217" t="s">
        <v>4309</v>
      </c>
      <c r="AH201" s="220" t="str">
        <f t="shared" si="10"/>
        <v>4590004398_026</v>
      </c>
      <c r="AI201" s="208"/>
      <c r="AJ201" s="220"/>
      <c r="AK201" s="221"/>
      <c r="AL201" s="227"/>
      <c r="AM201" s="208"/>
      <c r="AN201" s="220"/>
      <c r="AO201" s="222"/>
      <c r="AP201" s="227"/>
      <c r="AQ201" s="358">
        <f ca="1">IF(表格1[[#This Row],[PO$]]="","100%",表格1[[#This Row],[total amount]]/表格1[[#This Row],[PO$]])</f>
        <v>0</v>
      </c>
      <c r="AR201" s="223">
        <f ca="1">表格1[[#This Row],[invoice amount]]+表格1[[#This Row],[invoice amount2]]</f>
        <v>0</v>
      </c>
      <c r="AS201" s="224"/>
      <c r="AT201" s="208"/>
      <c r="AU201" s="208" t="e">
        <f ca="1">VLOOKUP(表格1[[#This Row],[PO+ITEM]],#REF!,2,FALSE)</f>
        <v>#REF!</v>
      </c>
      <c r="AV201" s="341" t="e">
        <f ca="1">VLOOKUP(表格1[[#This Row],[PO+ITEM]],#REF!,3,FALSE)</f>
        <v>#REF!</v>
      </c>
      <c r="AW201" s="208" t="e">
        <f ca="1">VLOOKUP(表格1[[#This Row],[PO+ITEM]],#REF!,4,FALSE)</f>
        <v>#REF!</v>
      </c>
      <c r="AX201" s="208" t="e" cm="1" vm="1">
        <f t="array" aca="1" ref="AX201" ca="1">VLOOKUP(AI:AI,#REF!,1,FALSE)</f>
        <v>#VALUE!</v>
      </c>
    </row>
    <row r="202" spans="1:50">
      <c r="A202" s="220">
        <v>201</v>
      </c>
      <c r="B202" s="220" t="s">
        <v>3674</v>
      </c>
      <c r="C202" s="209" t="s">
        <v>16</v>
      </c>
      <c r="D202" s="209" t="s">
        <v>3648</v>
      </c>
      <c r="E202" s="209"/>
      <c r="F202" s="209"/>
      <c r="G202" s="209"/>
      <c r="H202" s="210" t="s">
        <v>4361</v>
      </c>
      <c r="I202" s="210"/>
      <c r="J202" s="211"/>
      <c r="K202" s="210"/>
      <c r="L202" s="212" t="s">
        <v>2999</v>
      </c>
      <c r="M202" s="212" t="s">
        <v>2999</v>
      </c>
      <c r="N202" s="213"/>
      <c r="O202" s="263">
        <v>4590004398</v>
      </c>
      <c r="P202" s="214">
        <v>44801</v>
      </c>
      <c r="Q202" s="334">
        <v>27</v>
      </c>
      <c r="R202" s="216">
        <v>113844.96</v>
      </c>
      <c r="S202" s="217" t="s">
        <v>2156</v>
      </c>
      <c r="T202" s="209" t="s">
        <v>3864</v>
      </c>
      <c r="U202" s="209" t="s">
        <v>3865</v>
      </c>
      <c r="V202" s="213" t="s">
        <v>3866</v>
      </c>
      <c r="W202" s="218" t="s">
        <v>3652</v>
      </c>
      <c r="X202" s="218" t="s">
        <v>3652</v>
      </c>
      <c r="Y202" s="212">
        <v>0</v>
      </c>
      <c r="Z202" s="209" t="s">
        <v>3664</v>
      </c>
      <c r="AA202" s="219"/>
      <c r="AB202" s="218"/>
      <c r="AC202" s="217" t="e">
        <v>#N/A</v>
      </c>
      <c r="AD202" s="217">
        <v>90467</v>
      </c>
      <c r="AE202" s="217" t="s">
        <v>3084</v>
      </c>
      <c r="AF202" s="217" t="s">
        <v>3770</v>
      </c>
      <c r="AG202" s="217" t="s">
        <v>4309</v>
      </c>
      <c r="AH202" s="220" t="str">
        <f t="shared" si="10"/>
        <v>4590004398_027</v>
      </c>
      <c r="AI202" s="208"/>
      <c r="AJ202" s="220"/>
      <c r="AK202" s="221"/>
      <c r="AL202" s="227"/>
      <c r="AM202" s="208"/>
      <c r="AN202" s="220"/>
      <c r="AO202" s="222"/>
      <c r="AP202" s="227"/>
      <c r="AQ202" s="358">
        <f ca="1">IF(表格1[[#This Row],[PO$]]="","100%",表格1[[#This Row],[total amount]]/表格1[[#This Row],[PO$]])</f>
        <v>0</v>
      </c>
      <c r="AR202" s="223">
        <f ca="1">表格1[[#This Row],[invoice amount]]+表格1[[#This Row],[invoice amount2]]</f>
        <v>0</v>
      </c>
      <c r="AS202" s="224"/>
      <c r="AT202" s="208"/>
      <c r="AU202" s="208" t="e">
        <f ca="1">VLOOKUP(表格1[[#This Row],[PO+ITEM]],#REF!,2,FALSE)</f>
        <v>#REF!</v>
      </c>
      <c r="AV202" s="341" t="e">
        <f ca="1">VLOOKUP(表格1[[#This Row],[PO+ITEM]],#REF!,3,FALSE)</f>
        <v>#REF!</v>
      </c>
      <c r="AW202" s="208" t="e">
        <f ca="1">VLOOKUP(表格1[[#This Row],[PO+ITEM]],#REF!,4,FALSE)</f>
        <v>#REF!</v>
      </c>
      <c r="AX202" s="208" t="e" cm="1" vm="1">
        <f t="array" aca="1" ref="AX202" ca="1">VLOOKUP(AI:AI,#REF!,1,FALSE)</f>
        <v>#VALUE!</v>
      </c>
    </row>
    <row r="203" spans="1:50">
      <c r="A203" s="220">
        <v>202</v>
      </c>
      <c r="B203" s="220" t="s">
        <v>3674</v>
      </c>
      <c r="C203" s="209" t="s">
        <v>16</v>
      </c>
      <c r="D203" s="209" t="s">
        <v>3648</v>
      </c>
      <c r="E203" s="209"/>
      <c r="F203" s="209"/>
      <c r="G203" s="209"/>
      <c r="H203" s="210" t="s">
        <v>4363</v>
      </c>
      <c r="I203" s="210"/>
      <c r="J203" s="211"/>
      <c r="K203" s="210"/>
      <c r="L203" s="212" t="s">
        <v>2999</v>
      </c>
      <c r="M203" s="212" t="s">
        <v>2999</v>
      </c>
      <c r="N203" s="213"/>
      <c r="O203" s="263">
        <v>4590004399</v>
      </c>
      <c r="P203" s="214">
        <v>44801</v>
      </c>
      <c r="Q203" s="334">
        <v>1</v>
      </c>
      <c r="R203" s="216">
        <v>343.07</v>
      </c>
      <c r="S203" s="217" t="s">
        <v>2156</v>
      </c>
      <c r="T203" s="209" t="s">
        <v>3864</v>
      </c>
      <c r="U203" s="209" t="s">
        <v>3865</v>
      </c>
      <c r="V203" s="213" t="s">
        <v>3866</v>
      </c>
      <c r="W203" s="218" t="s">
        <v>3652</v>
      </c>
      <c r="X203" s="218" t="s">
        <v>3652</v>
      </c>
      <c r="Y203" s="212">
        <v>0</v>
      </c>
      <c r="Z203" s="209" t="s">
        <v>3664</v>
      </c>
      <c r="AA203" s="219"/>
      <c r="AB203" s="218"/>
      <c r="AC203" s="217" t="e">
        <v>#N/A</v>
      </c>
      <c r="AD203" s="217">
        <v>90473</v>
      </c>
      <c r="AE203" s="217" t="s">
        <v>3140</v>
      </c>
      <c r="AF203" s="217" t="s">
        <v>3770</v>
      </c>
      <c r="AG203" s="217" t="s">
        <v>4309</v>
      </c>
      <c r="AH203" s="220" t="str">
        <f t="shared" ref="AH203:AH211" si="11">O203&amp;"_00"&amp;Q203</f>
        <v>4590004399_001</v>
      </c>
      <c r="AI203" s="208" t="s">
        <v>4364</v>
      </c>
      <c r="AJ203" s="227">
        <v>45401</v>
      </c>
      <c r="AK203" s="221">
        <v>343.07</v>
      </c>
      <c r="AL203" s="227" t="s">
        <v>3805</v>
      </c>
      <c r="AM203" s="208"/>
      <c r="AN203" s="220"/>
      <c r="AO203" s="222"/>
      <c r="AP203" s="227"/>
      <c r="AQ203" s="358">
        <f ca="1">IF(表格1[[#This Row],[PO$]]="","100%",表格1[[#This Row],[total amount]]/表格1[[#This Row],[PO$]])</f>
        <v>1</v>
      </c>
      <c r="AR203" s="223">
        <f ca="1">表格1[[#This Row],[invoice amount]]+表格1[[#This Row],[invoice amount2]]</f>
        <v>343.07</v>
      </c>
      <c r="AS203" s="224" t="s">
        <v>3806</v>
      </c>
      <c r="AT203" s="208"/>
      <c r="AU203" s="208" t="e">
        <f ca="1">VLOOKUP(表格1[[#This Row],[PO+ITEM]],#REF!,2,FALSE)</f>
        <v>#REF!</v>
      </c>
      <c r="AV203" s="341" t="e">
        <f ca="1">VLOOKUP(表格1[[#This Row],[PO+ITEM]],#REF!,3,FALSE)</f>
        <v>#REF!</v>
      </c>
      <c r="AW203" s="208" t="e">
        <f ca="1">VLOOKUP(表格1[[#This Row],[PO+ITEM]],#REF!,4,FALSE)</f>
        <v>#REF!</v>
      </c>
      <c r="AX203" s="208" t="e" cm="1" vm="1">
        <f t="array" aca="1" ref="AX203" ca="1">VLOOKUP(AI:AI,#REF!,1,FALSE)</f>
        <v>#VALUE!</v>
      </c>
    </row>
    <row r="204" spans="1:50">
      <c r="A204" s="220">
        <v>203</v>
      </c>
      <c r="B204" s="220" t="s">
        <v>3674</v>
      </c>
      <c r="C204" s="209" t="s">
        <v>16</v>
      </c>
      <c r="D204" s="209" t="s">
        <v>3648</v>
      </c>
      <c r="E204" s="209"/>
      <c r="F204" s="209"/>
      <c r="G204" s="209"/>
      <c r="H204" s="210" t="s">
        <v>4365</v>
      </c>
      <c r="I204" s="210"/>
      <c r="J204" s="211"/>
      <c r="K204" s="210"/>
      <c r="L204" s="212" t="s">
        <v>2999</v>
      </c>
      <c r="M204" s="212" t="s">
        <v>2999</v>
      </c>
      <c r="N204" s="213"/>
      <c r="O204" s="263">
        <v>4590004399</v>
      </c>
      <c r="P204" s="214">
        <v>44801</v>
      </c>
      <c r="Q204" s="334">
        <v>2</v>
      </c>
      <c r="R204" s="216">
        <v>343.07</v>
      </c>
      <c r="S204" s="217" t="s">
        <v>2156</v>
      </c>
      <c r="T204" s="209" t="s">
        <v>3864</v>
      </c>
      <c r="U204" s="209" t="s">
        <v>3865</v>
      </c>
      <c r="V204" s="213" t="s">
        <v>3866</v>
      </c>
      <c r="W204" s="218" t="s">
        <v>3652</v>
      </c>
      <c r="X204" s="218" t="s">
        <v>3652</v>
      </c>
      <c r="Y204" s="212">
        <v>0</v>
      </c>
      <c r="Z204" s="209" t="s">
        <v>3664</v>
      </c>
      <c r="AA204" s="219"/>
      <c r="AB204" s="218"/>
      <c r="AC204" s="217" t="e">
        <v>#N/A</v>
      </c>
      <c r="AD204" s="217">
        <v>90472</v>
      </c>
      <c r="AE204" s="217" t="s">
        <v>3107</v>
      </c>
      <c r="AF204" s="217" t="s">
        <v>3770</v>
      </c>
      <c r="AG204" s="217" t="s">
        <v>4309</v>
      </c>
      <c r="AH204" s="220" t="str">
        <f t="shared" si="11"/>
        <v>4590004399_002</v>
      </c>
      <c r="AI204" s="208"/>
      <c r="AJ204" s="220"/>
      <c r="AK204" s="221"/>
      <c r="AL204" s="227"/>
      <c r="AM204" s="208"/>
      <c r="AN204" s="220"/>
      <c r="AO204" s="222"/>
      <c r="AP204" s="227"/>
      <c r="AQ204" s="358">
        <f ca="1">IF(表格1[[#This Row],[PO$]]="","100%",表格1[[#This Row],[total amount]]/表格1[[#This Row],[PO$]])</f>
        <v>0</v>
      </c>
      <c r="AR204" s="223">
        <f ca="1">表格1[[#This Row],[invoice amount]]+表格1[[#This Row],[invoice amount2]]</f>
        <v>0</v>
      </c>
      <c r="AS204" s="224"/>
      <c r="AT204" s="208"/>
      <c r="AU204" s="208" t="e">
        <f ca="1">VLOOKUP(表格1[[#This Row],[PO+ITEM]],#REF!,2,FALSE)</f>
        <v>#REF!</v>
      </c>
      <c r="AV204" s="341" t="e">
        <f ca="1">VLOOKUP(表格1[[#This Row],[PO+ITEM]],#REF!,3,FALSE)</f>
        <v>#REF!</v>
      </c>
      <c r="AW204" s="208" t="e">
        <f ca="1">VLOOKUP(表格1[[#This Row],[PO+ITEM]],#REF!,4,FALSE)</f>
        <v>#REF!</v>
      </c>
      <c r="AX204" s="208" t="e" cm="1" vm="1">
        <f t="array" aca="1" ref="AX204" ca="1">VLOOKUP(AI:AI,#REF!,1,FALSE)</f>
        <v>#VALUE!</v>
      </c>
    </row>
    <row r="205" spans="1:50" ht="15.6">
      <c r="A205" s="220">
        <v>204</v>
      </c>
      <c r="B205" s="220" t="s">
        <v>3674</v>
      </c>
      <c r="C205" s="209" t="s">
        <v>16</v>
      </c>
      <c r="D205" s="209" t="s">
        <v>3648</v>
      </c>
      <c r="E205" s="209"/>
      <c r="F205" s="209"/>
      <c r="G205" s="209"/>
      <c r="H205" s="210" t="s">
        <v>4367</v>
      </c>
      <c r="I205" s="210"/>
      <c r="J205" s="211"/>
      <c r="K205" s="210"/>
      <c r="L205" s="212" t="s">
        <v>2999</v>
      </c>
      <c r="M205" s="212" t="s">
        <v>2999</v>
      </c>
      <c r="N205" s="213"/>
      <c r="O205" s="263">
        <v>4590004399</v>
      </c>
      <c r="P205" s="214">
        <v>44801</v>
      </c>
      <c r="Q205" s="334">
        <v>3</v>
      </c>
      <c r="R205" s="216">
        <v>4307.99</v>
      </c>
      <c r="S205" s="217" t="s">
        <v>2156</v>
      </c>
      <c r="T205" s="209" t="s">
        <v>3864</v>
      </c>
      <c r="U205" s="209" t="s">
        <v>3865</v>
      </c>
      <c r="V205" s="213" t="s">
        <v>3866</v>
      </c>
      <c r="W205" s="218" t="s">
        <v>3652</v>
      </c>
      <c r="X205" s="218" t="s">
        <v>3652</v>
      </c>
      <c r="Y205" s="212" t="s">
        <v>3767</v>
      </c>
      <c r="Z205" s="209" t="s">
        <v>3664</v>
      </c>
      <c r="AA205" s="219"/>
      <c r="AB205" s="218"/>
      <c r="AC205" s="217" t="e">
        <v>#N/A</v>
      </c>
      <c r="AD205" s="217">
        <v>90817</v>
      </c>
      <c r="AE205" s="217" t="s">
        <v>3769</v>
      </c>
      <c r="AF205" s="217" t="s">
        <v>3770</v>
      </c>
      <c r="AG205" s="217" t="s">
        <v>3719</v>
      </c>
      <c r="AH205" s="220" t="str">
        <f t="shared" si="11"/>
        <v>4590004399_003</v>
      </c>
      <c r="AI205" s="208"/>
      <c r="AJ205" s="225">
        <v>45017</v>
      </c>
      <c r="AK205" s="221">
        <v>1723.1959999999999</v>
      </c>
      <c r="AL205" s="227">
        <v>45245</v>
      </c>
      <c r="AM205" s="208" t="s">
        <v>4368</v>
      </c>
      <c r="AN205" s="227">
        <v>45401</v>
      </c>
      <c r="AO205" s="221">
        <v>2584.79</v>
      </c>
      <c r="AP205" s="345">
        <v>45458</v>
      </c>
      <c r="AQ205" s="358">
        <f ca="1">IF(表格1[[#This Row],[PO$]]="","100%",表格1[[#This Row],[total amount]]/表格1[[#This Row],[PO$]])</f>
        <v>0.99999907149273792</v>
      </c>
      <c r="AR205" s="223">
        <f ca="1">表格1[[#This Row],[invoice amount]]+表格1[[#This Row],[invoice amount2]]</f>
        <v>4307.9859999999999</v>
      </c>
      <c r="AS205" s="224" t="s">
        <v>3725</v>
      </c>
      <c r="AT205" s="208"/>
      <c r="AU205" s="208" t="e">
        <f ca="1">VLOOKUP(表格1[[#This Row],[PO+ITEM]],#REF!,2,FALSE)</f>
        <v>#REF!</v>
      </c>
      <c r="AV205" s="341" t="e">
        <f ca="1">VLOOKUP(表格1[[#This Row],[PO+ITEM]],#REF!,3,FALSE)</f>
        <v>#REF!</v>
      </c>
      <c r="AW205" s="208" t="e">
        <f ca="1">VLOOKUP(表格1[[#This Row],[PO+ITEM]],#REF!,4,FALSE)</f>
        <v>#REF!</v>
      </c>
      <c r="AX205" s="208" t="e" cm="1" vm="1">
        <f t="array" aca="1" ref="AX205" ca="1">VLOOKUP(AI:AI,#REF!,1,FALSE)</f>
        <v>#VALUE!</v>
      </c>
    </row>
    <row r="206" spans="1:50">
      <c r="A206" s="220">
        <v>205</v>
      </c>
      <c r="B206" s="220" t="s">
        <v>3674</v>
      </c>
      <c r="C206" s="209" t="s">
        <v>16</v>
      </c>
      <c r="D206" s="209" t="s">
        <v>3648</v>
      </c>
      <c r="E206" s="209"/>
      <c r="F206" s="209"/>
      <c r="G206" s="209"/>
      <c r="H206" s="210" t="s">
        <v>4369</v>
      </c>
      <c r="I206" s="210"/>
      <c r="J206" s="211"/>
      <c r="K206" s="210"/>
      <c r="L206" s="212" t="s">
        <v>2999</v>
      </c>
      <c r="M206" s="212" t="s">
        <v>2999</v>
      </c>
      <c r="N206" s="213"/>
      <c r="O206" s="263">
        <v>4590004399</v>
      </c>
      <c r="P206" s="214">
        <v>44801</v>
      </c>
      <c r="Q206" s="334">
        <v>4</v>
      </c>
      <c r="R206" s="216">
        <v>14109.38</v>
      </c>
      <c r="S206" s="217" t="s">
        <v>2156</v>
      </c>
      <c r="T206" s="209" t="s">
        <v>3864</v>
      </c>
      <c r="U206" s="209" t="s">
        <v>3865</v>
      </c>
      <c r="V206" s="213" t="s">
        <v>3866</v>
      </c>
      <c r="W206" s="218" t="s">
        <v>3652</v>
      </c>
      <c r="X206" s="218" t="s">
        <v>3652</v>
      </c>
      <c r="Y206" s="212" t="s">
        <v>3767</v>
      </c>
      <c r="Z206" s="209" t="s">
        <v>3664</v>
      </c>
      <c r="AA206" s="219"/>
      <c r="AB206" s="218"/>
      <c r="AC206" s="217" t="e">
        <v>#N/A</v>
      </c>
      <c r="AD206" s="217">
        <v>90802</v>
      </c>
      <c r="AE206" s="217" t="s">
        <v>3808</v>
      </c>
      <c r="AF206" s="217" t="s">
        <v>3770</v>
      </c>
      <c r="AG206" s="217" t="s">
        <v>3719</v>
      </c>
      <c r="AH206" s="220" t="str">
        <f t="shared" si="11"/>
        <v>4590004399_004</v>
      </c>
      <c r="AI206" s="208"/>
      <c r="AJ206" s="225">
        <v>45017</v>
      </c>
      <c r="AK206" s="221">
        <v>5643.7520000000004</v>
      </c>
      <c r="AL206" s="227">
        <v>45245</v>
      </c>
      <c r="AM206" s="208"/>
      <c r="AN206" s="220"/>
      <c r="AO206" s="222"/>
      <c r="AP206" s="227"/>
      <c r="AQ206" s="358">
        <f ca="1">IF(表格1[[#This Row],[PO$]]="","100%",表格1[[#This Row],[total amount]]/表格1[[#This Row],[PO$]])</f>
        <v>0.40000000000000008</v>
      </c>
      <c r="AR206" s="223">
        <f ca="1">表格1[[#This Row],[invoice amount]]+表格1[[#This Row],[invoice amount2]]</f>
        <v>5643.7520000000004</v>
      </c>
      <c r="AS206" s="224" t="s">
        <v>3673</v>
      </c>
      <c r="AT206" s="208"/>
      <c r="AU206" s="208" t="e">
        <f ca="1">VLOOKUP(表格1[[#This Row],[PO+ITEM]],#REF!,2,FALSE)</f>
        <v>#REF!</v>
      </c>
      <c r="AV206" s="341" t="e">
        <f ca="1">VLOOKUP(表格1[[#This Row],[PO+ITEM]],#REF!,3,FALSE)</f>
        <v>#REF!</v>
      </c>
      <c r="AW206" s="208" t="e">
        <f ca="1">VLOOKUP(表格1[[#This Row],[PO+ITEM]],#REF!,4,FALSE)</f>
        <v>#REF!</v>
      </c>
      <c r="AX206" s="208" t="e" cm="1" vm="1">
        <f t="array" aca="1" ref="AX206" ca="1">VLOOKUP(AI:AI,#REF!,1,FALSE)</f>
        <v>#VALUE!</v>
      </c>
    </row>
    <row r="207" spans="1:50">
      <c r="A207" s="220">
        <v>206</v>
      </c>
      <c r="B207" s="220" t="s">
        <v>3674</v>
      </c>
      <c r="C207" s="209" t="s">
        <v>16</v>
      </c>
      <c r="D207" s="209" t="s">
        <v>3648</v>
      </c>
      <c r="E207" s="209"/>
      <c r="F207" s="209"/>
      <c r="G207" s="209"/>
      <c r="H207" s="210" t="s">
        <v>4372</v>
      </c>
      <c r="I207" s="210"/>
      <c r="J207" s="211"/>
      <c r="K207" s="210"/>
      <c r="L207" s="212" t="s">
        <v>2999</v>
      </c>
      <c r="M207" s="212" t="s">
        <v>2999</v>
      </c>
      <c r="N207" s="213"/>
      <c r="O207" s="263">
        <v>4590004399</v>
      </c>
      <c r="P207" s="214">
        <v>44801</v>
      </c>
      <c r="Q207" s="334">
        <v>5</v>
      </c>
      <c r="R207" s="216">
        <v>14109.38</v>
      </c>
      <c r="S207" s="217" t="s">
        <v>2156</v>
      </c>
      <c r="T207" s="209" t="s">
        <v>3864</v>
      </c>
      <c r="U207" s="209" t="s">
        <v>3865</v>
      </c>
      <c r="V207" s="213" t="s">
        <v>3866</v>
      </c>
      <c r="W207" s="218" t="s">
        <v>3652</v>
      </c>
      <c r="X207" s="218" t="s">
        <v>3652</v>
      </c>
      <c r="Y207" s="212" t="s">
        <v>3767</v>
      </c>
      <c r="Z207" s="209" t="s">
        <v>3664</v>
      </c>
      <c r="AA207" s="219"/>
      <c r="AB207" s="218"/>
      <c r="AC207" s="217" t="e">
        <v>#N/A</v>
      </c>
      <c r="AD207" s="217">
        <v>90803</v>
      </c>
      <c r="AE207" s="217" t="s">
        <v>3811</v>
      </c>
      <c r="AF207" s="217" t="s">
        <v>3770</v>
      </c>
      <c r="AG207" s="217" t="s">
        <v>3719</v>
      </c>
      <c r="AH207" s="220" t="str">
        <f t="shared" si="11"/>
        <v>4590004399_005</v>
      </c>
      <c r="AI207" s="208"/>
      <c r="AJ207" s="225">
        <v>45017</v>
      </c>
      <c r="AK207" s="221">
        <v>5643.7520000000004</v>
      </c>
      <c r="AL207" s="227">
        <v>45245</v>
      </c>
      <c r="AM207" s="208" t="s">
        <v>4373</v>
      </c>
      <c r="AN207" s="227">
        <v>45401</v>
      </c>
      <c r="AO207" s="221">
        <v>8465.6299999999992</v>
      </c>
      <c r="AP207" s="227" t="s">
        <v>3805</v>
      </c>
      <c r="AQ207" s="358">
        <f ca="1">IF(表格1[[#This Row],[PO$]]="","100%",表格1[[#This Row],[total amount]]/表格1[[#This Row],[PO$]])</f>
        <v>1.0000001417496729</v>
      </c>
      <c r="AR207" s="223">
        <f ca="1">表格1[[#This Row],[invoice amount]]+表格1[[#This Row],[invoice amount2]]</f>
        <v>14109.382</v>
      </c>
      <c r="AS207" s="224" t="s">
        <v>4371</v>
      </c>
      <c r="AT207" s="208"/>
      <c r="AU207" s="208" t="e">
        <f ca="1">VLOOKUP(表格1[[#This Row],[PO+ITEM]],#REF!,2,FALSE)</f>
        <v>#REF!</v>
      </c>
      <c r="AV207" s="341" t="e">
        <f ca="1">VLOOKUP(表格1[[#This Row],[PO+ITEM]],#REF!,3,FALSE)</f>
        <v>#REF!</v>
      </c>
      <c r="AW207" s="208" t="e">
        <f ca="1">VLOOKUP(表格1[[#This Row],[PO+ITEM]],#REF!,4,FALSE)</f>
        <v>#REF!</v>
      </c>
      <c r="AX207" s="208" t="e" cm="1" vm="1">
        <f t="array" aca="1" ref="AX207" ca="1">VLOOKUP(AI:AI,#REF!,1,FALSE)</f>
        <v>#VALUE!</v>
      </c>
    </row>
    <row r="208" spans="1:50" ht="15.6">
      <c r="A208" s="220">
        <v>207</v>
      </c>
      <c r="B208" s="220" t="s">
        <v>3674</v>
      </c>
      <c r="C208" s="209" t="s">
        <v>16</v>
      </c>
      <c r="D208" s="209" t="s">
        <v>3648</v>
      </c>
      <c r="E208" s="209"/>
      <c r="F208" s="209"/>
      <c r="G208" s="209"/>
      <c r="H208" s="210" t="s">
        <v>4374</v>
      </c>
      <c r="I208" s="210"/>
      <c r="J208" s="211"/>
      <c r="K208" s="210"/>
      <c r="L208" s="212" t="s">
        <v>2999</v>
      </c>
      <c r="M208" s="212" t="s">
        <v>2999</v>
      </c>
      <c r="N208" s="213"/>
      <c r="O208" s="263">
        <v>4590004399</v>
      </c>
      <c r="P208" s="214">
        <v>44801</v>
      </c>
      <c r="Q208" s="334">
        <v>6</v>
      </c>
      <c r="R208" s="216">
        <v>14109.38</v>
      </c>
      <c r="S208" s="217" t="s">
        <v>2156</v>
      </c>
      <c r="T208" s="209" t="s">
        <v>3864</v>
      </c>
      <c r="U208" s="209" t="s">
        <v>3865</v>
      </c>
      <c r="V208" s="213" t="s">
        <v>3866</v>
      </c>
      <c r="W208" s="218" t="s">
        <v>3652</v>
      </c>
      <c r="X208" s="218" t="s">
        <v>3652</v>
      </c>
      <c r="Y208" s="212" t="s">
        <v>3767</v>
      </c>
      <c r="Z208" s="209" t="s">
        <v>3664</v>
      </c>
      <c r="AA208" s="219"/>
      <c r="AB208" s="218"/>
      <c r="AC208" s="217" t="e">
        <v>#N/A</v>
      </c>
      <c r="AD208" s="217">
        <v>90557</v>
      </c>
      <c r="AE208" s="217" t="s">
        <v>4375</v>
      </c>
      <c r="AF208" s="217" t="s">
        <v>3770</v>
      </c>
      <c r="AG208" s="217" t="s">
        <v>3719</v>
      </c>
      <c r="AH208" s="220" t="str">
        <f t="shared" si="11"/>
        <v>4590004399_006</v>
      </c>
      <c r="AI208" s="208"/>
      <c r="AJ208" s="225">
        <v>45017</v>
      </c>
      <c r="AK208" s="221">
        <v>5643.7520000000004</v>
      </c>
      <c r="AL208" s="227">
        <v>45245</v>
      </c>
      <c r="AM208" s="208" t="s">
        <v>4376</v>
      </c>
      <c r="AN208" s="227">
        <v>45401</v>
      </c>
      <c r="AO208" s="221">
        <v>8465.6299999999992</v>
      </c>
      <c r="AP208" s="345">
        <v>45458</v>
      </c>
      <c r="AQ208" s="358">
        <f ca="1">IF(表格1[[#This Row],[PO$]]="","100%",表格1[[#This Row],[total amount]]/表格1[[#This Row],[PO$]])</f>
        <v>1.0000001417496729</v>
      </c>
      <c r="AR208" s="223">
        <f ca="1">表格1[[#This Row],[invoice amount]]+表格1[[#This Row],[invoice amount2]]</f>
        <v>14109.382</v>
      </c>
      <c r="AS208" s="224" t="s">
        <v>3725</v>
      </c>
      <c r="AT208" s="208"/>
      <c r="AU208" s="208" t="e">
        <f ca="1">VLOOKUP(表格1[[#This Row],[PO+ITEM]],#REF!,2,FALSE)</f>
        <v>#REF!</v>
      </c>
      <c r="AV208" s="341" t="e">
        <f ca="1">VLOOKUP(表格1[[#This Row],[PO+ITEM]],#REF!,3,FALSE)</f>
        <v>#REF!</v>
      </c>
      <c r="AW208" s="208" t="e">
        <f ca="1">VLOOKUP(表格1[[#This Row],[PO+ITEM]],#REF!,4,FALSE)</f>
        <v>#REF!</v>
      </c>
      <c r="AX208" s="208" t="e" cm="1" vm="1">
        <f t="array" aca="1" ref="AX208" ca="1">VLOOKUP(AI:AI,#REF!,1,FALSE)</f>
        <v>#VALUE!</v>
      </c>
    </row>
    <row r="209" spans="1:50" ht="15.6">
      <c r="A209" s="220">
        <v>208</v>
      </c>
      <c r="B209" s="220" t="s">
        <v>3674</v>
      </c>
      <c r="C209" s="209" t="s">
        <v>16</v>
      </c>
      <c r="D209" s="209" t="s">
        <v>3648</v>
      </c>
      <c r="E209" s="209"/>
      <c r="F209" s="209"/>
      <c r="G209" s="209"/>
      <c r="H209" s="210" t="s">
        <v>4377</v>
      </c>
      <c r="I209" s="210"/>
      <c r="J209" s="211"/>
      <c r="K209" s="210"/>
      <c r="L209" s="212" t="s">
        <v>2999</v>
      </c>
      <c r="M209" s="212" t="s">
        <v>2999</v>
      </c>
      <c r="N209" s="213"/>
      <c r="O209" s="263">
        <v>4590004399</v>
      </c>
      <c r="P209" s="214">
        <v>44801</v>
      </c>
      <c r="Q209" s="334">
        <v>7</v>
      </c>
      <c r="R209" s="216">
        <v>14109.38</v>
      </c>
      <c r="S209" s="217" t="s">
        <v>2156</v>
      </c>
      <c r="T209" s="209" t="s">
        <v>3864</v>
      </c>
      <c r="U209" s="209" t="s">
        <v>3865</v>
      </c>
      <c r="V209" s="213" t="s">
        <v>3866</v>
      </c>
      <c r="W209" s="218" t="s">
        <v>3652</v>
      </c>
      <c r="X209" s="218" t="s">
        <v>3652</v>
      </c>
      <c r="Y209" s="212" t="s">
        <v>3767</v>
      </c>
      <c r="Z209" s="209" t="s">
        <v>3664</v>
      </c>
      <c r="AA209" s="219"/>
      <c r="AB209" s="218"/>
      <c r="AC209" s="217" t="e">
        <v>#N/A</v>
      </c>
      <c r="AD209" s="217">
        <v>90558</v>
      </c>
      <c r="AE209" s="217" t="s">
        <v>4378</v>
      </c>
      <c r="AF209" s="217" t="s">
        <v>3770</v>
      </c>
      <c r="AG209" s="217" t="s">
        <v>3719</v>
      </c>
      <c r="AH209" s="220" t="str">
        <f t="shared" si="11"/>
        <v>4590004399_007</v>
      </c>
      <c r="AI209" s="208"/>
      <c r="AJ209" s="225">
        <v>45017</v>
      </c>
      <c r="AK209" s="221">
        <v>5643.7520000000004</v>
      </c>
      <c r="AL209" s="227">
        <v>45245</v>
      </c>
      <c r="AM209" s="208" t="s">
        <v>4379</v>
      </c>
      <c r="AN209" s="227">
        <v>45401</v>
      </c>
      <c r="AO209" s="221">
        <v>8465.6299999999992</v>
      </c>
      <c r="AP209" s="345">
        <v>45458</v>
      </c>
      <c r="AQ209" s="358">
        <f ca="1">IF(表格1[[#This Row],[PO$]]="","100%",表格1[[#This Row],[total amount]]/表格1[[#This Row],[PO$]])</f>
        <v>1.0000001417496729</v>
      </c>
      <c r="AR209" s="223">
        <f ca="1">表格1[[#This Row],[invoice amount]]+表格1[[#This Row],[invoice amount2]]</f>
        <v>14109.382</v>
      </c>
      <c r="AS209" s="224" t="s">
        <v>3725</v>
      </c>
      <c r="AT209" s="208"/>
      <c r="AU209" s="208" t="e">
        <f ca="1">VLOOKUP(表格1[[#This Row],[PO+ITEM]],#REF!,2,FALSE)</f>
        <v>#REF!</v>
      </c>
      <c r="AV209" s="341" t="e">
        <f ca="1">VLOOKUP(表格1[[#This Row],[PO+ITEM]],#REF!,3,FALSE)</f>
        <v>#REF!</v>
      </c>
      <c r="AW209" s="208" t="e">
        <f ca="1">VLOOKUP(表格1[[#This Row],[PO+ITEM]],#REF!,4,FALSE)</f>
        <v>#REF!</v>
      </c>
      <c r="AX209" s="208" t="e" cm="1" vm="1">
        <f t="array" aca="1" ref="AX209" ca="1">VLOOKUP(AI:AI,#REF!,1,FALSE)</f>
        <v>#VALUE!</v>
      </c>
    </row>
    <row r="210" spans="1:50" ht="15.6">
      <c r="A210" s="220">
        <v>209</v>
      </c>
      <c r="B210" s="220" t="s">
        <v>3674</v>
      </c>
      <c r="C210" s="209" t="s">
        <v>16</v>
      </c>
      <c r="D210" s="209" t="s">
        <v>3648</v>
      </c>
      <c r="E210" s="209"/>
      <c r="F210" s="209"/>
      <c r="G210" s="209"/>
      <c r="H210" s="210" t="s">
        <v>4380</v>
      </c>
      <c r="I210" s="210"/>
      <c r="J210" s="211"/>
      <c r="K210" s="210"/>
      <c r="L210" s="212" t="s">
        <v>2999</v>
      </c>
      <c r="M210" s="212" t="s">
        <v>2999</v>
      </c>
      <c r="N210" s="213"/>
      <c r="O210" s="263">
        <v>4590004399</v>
      </c>
      <c r="P210" s="214">
        <v>44801</v>
      </c>
      <c r="Q210" s="334">
        <v>8</v>
      </c>
      <c r="R210" s="216">
        <v>14109.38</v>
      </c>
      <c r="S210" s="217" t="s">
        <v>2156</v>
      </c>
      <c r="T210" s="209" t="s">
        <v>3864</v>
      </c>
      <c r="U210" s="209" t="s">
        <v>3865</v>
      </c>
      <c r="V210" s="213" t="s">
        <v>3866</v>
      </c>
      <c r="W210" s="218" t="s">
        <v>3652</v>
      </c>
      <c r="X210" s="218" t="s">
        <v>3652</v>
      </c>
      <c r="Y210" s="212" t="s">
        <v>3767</v>
      </c>
      <c r="Z210" s="209" t="s">
        <v>3664</v>
      </c>
      <c r="AA210" s="219"/>
      <c r="AB210" s="218"/>
      <c r="AC210" s="217" t="e">
        <v>#N/A</v>
      </c>
      <c r="AD210" s="217">
        <v>90559</v>
      </c>
      <c r="AE210" s="217" t="s">
        <v>4381</v>
      </c>
      <c r="AF210" s="217" t="s">
        <v>3770</v>
      </c>
      <c r="AG210" s="217" t="s">
        <v>3719</v>
      </c>
      <c r="AH210" s="220" t="str">
        <f t="shared" si="11"/>
        <v>4590004399_008</v>
      </c>
      <c r="AI210" s="208"/>
      <c r="AJ210" s="225">
        <v>45017</v>
      </c>
      <c r="AK210" s="221">
        <v>5643.7520000000004</v>
      </c>
      <c r="AL210" s="227">
        <v>45245</v>
      </c>
      <c r="AM210" s="208" t="s">
        <v>4382</v>
      </c>
      <c r="AN210" s="227">
        <v>45401</v>
      </c>
      <c r="AO210" s="221">
        <v>8465.6299999999992</v>
      </c>
      <c r="AP210" s="345">
        <v>45458</v>
      </c>
      <c r="AQ210" s="358">
        <f ca="1">IF(表格1[[#This Row],[PO$]]="","100%",表格1[[#This Row],[total amount]]/表格1[[#This Row],[PO$]])</f>
        <v>1.0000001417496729</v>
      </c>
      <c r="AR210" s="223">
        <f ca="1">表格1[[#This Row],[invoice amount]]+表格1[[#This Row],[invoice amount2]]</f>
        <v>14109.382</v>
      </c>
      <c r="AS210" s="224" t="s">
        <v>3725</v>
      </c>
      <c r="AT210" s="208"/>
      <c r="AU210" s="208" t="e">
        <f ca="1">VLOOKUP(表格1[[#This Row],[PO+ITEM]],#REF!,2,FALSE)</f>
        <v>#REF!</v>
      </c>
      <c r="AV210" s="341" t="e">
        <f ca="1">VLOOKUP(表格1[[#This Row],[PO+ITEM]],#REF!,3,FALSE)</f>
        <v>#REF!</v>
      </c>
      <c r="AW210" s="208" t="e">
        <f ca="1">VLOOKUP(表格1[[#This Row],[PO+ITEM]],#REF!,4,FALSE)</f>
        <v>#REF!</v>
      </c>
      <c r="AX210" s="208" t="e" cm="1" vm="1">
        <f t="array" aca="1" ref="AX210" ca="1">VLOOKUP(AI:AI,#REF!,1,FALSE)</f>
        <v>#VALUE!</v>
      </c>
    </row>
    <row r="211" spans="1:50" ht="15.6">
      <c r="A211" s="220">
        <v>210</v>
      </c>
      <c r="B211" s="220" t="s">
        <v>3674</v>
      </c>
      <c r="C211" s="209" t="s">
        <v>16</v>
      </c>
      <c r="D211" s="209" t="s">
        <v>3648</v>
      </c>
      <c r="E211" s="209"/>
      <c r="F211" s="209"/>
      <c r="G211" s="209"/>
      <c r="H211" s="210" t="s">
        <v>4383</v>
      </c>
      <c r="I211" s="210"/>
      <c r="J211" s="211"/>
      <c r="K211" s="210"/>
      <c r="L211" s="212" t="s">
        <v>2999</v>
      </c>
      <c r="M211" s="212" t="s">
        <v>2999</v>
      </c>
      <c r="N211" s="213"/>
      <c r="O211" s="263">
        <v>4590004399</v>
      </c>
      <c r="P211" s="214">
        <v>44801</v>
      </c>
      <c r="Q211" s="334">
        <v>9</v>
      </c>
      <c r="R211" s="216">
        <v>14109.38</v>
      </c>
      <c r="S211" s="217" t="s">
        <v>2156</v>
      </c>
      <c r="T211" s="209" t="s">
        <v>3864</v>
      </c>
      <c r="U211" s="209" t="s">
        <v>3865</v>
      </c>
      <c r="V211" s="213" t="s">
        <v>3866</v>
      </c>
      <c r="W211" s="218" t="s">
        <v>3652</v>
      </c>
      <c r="X211" s="218" t="s">
        <v>3652</v>
      </c>
      <c r="Y211" s="212" t="s">
        <v>3767</v>
      </c>
      <c r="Z211" s="209" t="s">
        <v>3664</v>
      </c>
      <c r="AA211" s="219"/>
      <c r="AB211" s="218"/>
      <c r="AC211" s="217" t="e">
        <v>#N/A</v>
      </c>
      <c r="AD211" s="217">
        <v>90560</v>
      </c>
      <c r="AE211" s="217" t="s">
        <v>4384</v>
      </c>
      <c r="AF211" s="217" t="s">
        <v>3770</v>
      </c>
      <c r="AG211" s="217" t="s">
        <v>3719</v>
      </c>
      <c r="AH211" s="220" t="str">
        <f t="shared" si="11"/>
        <v>4590004399_009</v>
      </c>
      <c r="AI211" s="208"/>
      <c r="AJ211" s="225">
        <v>45017</v>
      </c>
      <c r="AK211" s="221">
        <v>5643.7520000000004</v>
      </c>
      <c r="AL211" s="227">
        <v>45245</v>
      </c>
      <c r="AM211" s="208" t="s">
        <v>4385</v>
      </c>
      <c r="AN211" s="227">
        <v>45401</v>
      </c>
      <c r="AO211" s="221">
        <v>8465.6299999999992</v>
      </c>
      <c r="AP211" s="345">
        <v>45458</v>
      </c>
      <c r="AQ211" s="358">
        <f ca="1">IF(表格1[[#This Row],[PO$]]="","100%",表格1[[#This Row],[total amount]]/表格1[[#This Row],[PO$]])</f>
        <v>1.0000001417496729</v>
      </c>
      <c r="AR211" s="223">
        <f ca="1">表格1[[#This Row],[invoice amount]]+表格1[[#This Row],[invoice amount2]]</f>
        <v>14109.382</v>
      </c>
      <c r="AS211" s="224" t="s">
        <v>3725</v>
      </c>
      <c r="AT211" s="208"/>
      <c r="AU211" s="208" t="e">
        <f ca="1">VLOOKUP(表格1[[#This Row],[PO+ITEM]],#REF!,2,FALSE)</f>
        <v>#REF!</v>
      </c>
      <c r="AV211" s="341" t="e">
        <f ca="1">VLOOKUP(表格1[[#This Row],[PO+ITEM]],#REF!,3,FALSE)</f>
        <v>#REF!</v>
      </c>
      <c r="AW211" s="208" t="e">
        <f ca="1">VLOOKUP(表格1[[#This Row],[PO+ITEM]],#REF!,4,FALSE)</f>
        <v>#REF!</v>
      </c>
      <c r="AX211" s="208" t="e" cm="1" vm="1">
        <f t="array" aca="1" ref="AX211" ca="1">VLOOKUP(AI:AI,#REF!,1,FALSE)</f>
        <v>#VALUE!</v>
      </c>
    </row>
    <row r="212" spans="1:50" ht="15.6">
      <c r="A212" s="220">
        <v>211</v>
      </c>
      <c r="B212" s="220" t="s">
        <v>3674</v>
      </c>
      <c r="C212" s="209" t="s">
        <v>16</v>
      </c>
      <c r="D212" s="209" t="s">
        <v>3648</v>
      </c>
      <c r="E212" s="209"/>
      <c r="F212" s="209"/>
      <c r="G212" s="209"/>
      <c r="H212" s="210" t="s">
        <v>4386</v>
      </c>
      <c r="I212" s="210"/>
      <c r="J212" s="211"/>
      <c r="K212" s="210"/>
      <c r="L212" s="212" t="s">
        <v>2999</v>
      </c>
      <c r="M212" s="212" t="s">
        <v>2999</v>
      </c>
      <c r="N212" s="213"/>
      <c r="O212" s="263">
        <v>4590004399</v>
      </c>
      <c r="P212" s="214">
        <v>44801</v>
      </c>
      <c r="Q212" s="334">
        <v>10</v>
      </c>
      <c r="R212" s="216">
        <v>14109.38</v>
      </c>
      <c r="S212" s="217" t="s">
        <v>2156</v>
      </c>
      <c r="T212" s="209" t="s">
        <v>3864</v>
      </c>
      <c r="U212" s="209" t="s">
        <v>3865</v>
      </c>
      <c r="V212" s="213" t="s">
        <v>3866</v>
      </c>
      <c r="W212" s="218" t="s">
        <v>3652</v>
      </c>
      <c r="X212" s="218" t="s">
        <v>3652</v>
      </c>
      <c r="Y212" s="212" t="s">
        <v>3767</v>
      </c>
      <c r="Z212" s="209" t="s">
        <v>3664</v>
      </c>
      <c r="AA212" s="219"/>
      <c r="AB212" s="218"/>
      <c r="AC212" s="217" t="e">
        <v>#N/A</v>
      </c>
      <c r="AD212" s="217">
        <v>90555</v>
      </c>
      <c r="AE212" s="217" t="s">
        <v>3820</v>
      </c>
      <c r="AF212" s="217" t="s">
        <v>3770</v>
      </c>
      <c r="AG212" s="217" t="s">
        <v>3719</v>
      </c>
      <c r="AH212" s="220" t="str">
        <f t="shared" ref="AH212:AH231" si="12">O212&amp;"_0"&amp;Q212</f>
        <v>4590004399_010</v>
      </c>
      <c r="AI212" s="208"/>
      <c r="AJ212" s="225">
        <v>45017</v>
      </c>
      <c r="AK212" s="221">
        <v>5643.7520000000004</v>
      </c>
      <c r="AL212" s="227">
        <v>45245</v>
      </c>
      <c r="AM212" s="208" t="s">
        <v>4387</v>
      </c>
      <c r="AN212" s="227">
        <v>45401</v>
      </c>
      <c r="AO212" s="221">
        <v>8465.6299999999992</v>
      </c>
      <c r="AP212" s="345">
        <v>45458</v>
      </c>
      <c r="AQ212" s="358">
        <f ca="1">IF(表格1[[#This Row],[PO$]]="","100%",表格1[[#This Row],[total amount]]/表格1[[#This Row],[PO$]])</f>
        <v>1.0000001417496729</v>
      </c>
      <c r="AR212" s="223">
        <f ca="1">表格1[[#This Row],[invoice amount]]+表格1[[#This Row],[invoice amount2]]</f>
        <v>14109.382</v>
      </c>
      <c r="AS212" s="224" t="s">
        <v>3725</v>
      </c>
      <c r="AT212" s="208"/>
      <c r="AU212" s="208" t="e">
        <f ca="1">VLOOKUP(表格1[[#This Row],[PO+ITEM]],#REF!,2,FALSE)</f>
        <v>#REF!</v>
      </c>
      <c r="AV212" s="341" t="e">
        <f ca="1">VLOOKUP(表格1[[#This Row],[PO+ITEM]],#REF!,3,FALSE)</f>
        <v>#REF!</v>
      </c>
      <c r="AW212" s="208" t="e">
        <f ca="1">VLOOKUP(表格1[[#This Row],[PO+ITEM]],#REF!,4,FALSE)</f>
        <v>#REF!</v>
      </c>
      <c r="AX212" s="208" t="e" cm="1" vm="1">
        <f t="array" aca="1" ref="AX212" ca="1">VLOOKUP(AI:AI,#REF!,1,FALSE)</f>
        <v>#VALUE!</v>
      </c>
    </row>
    <row r="213" spans="1:50" ht="15.6">
      <c r="A213" s="220">
        <v>212</v>
      </c>
      <c r="B213" s="220" t="s">
        <v>3674</v>
      </c>
      <c r="C213" s="209" t="s">
        <v>16</v>
      </c>
      <c r="D213" s="209" t="s">
        <v>3648</v>
      </c>
      <c r="E213" s="209"/>
      <c r="F213" s="209"/>
      <c r="G213" s="209"/>
      <c r="H213" s="210" t="s">
        <v>4388</v>
      </c>
      <c r="I213" s="210"/>
      <c r="J213" s="211"/>
      <c r="K213" s="210"/>
      <c r="L213" s="212" t="s">
        <v>2999</v>
      </c>
      <c r="M213" s="212" t="s">
        <v>2999</v>
      </c>
      <c r="N213" s="213"/>
      <c r="O213" s="263">
        <v>4590004399</v>
      </c>
      <c r="P213" s="214">
        <v>44801</v>
      </c>
      <c r="Q213" s="334">
        <v>11</v>
      </c>
      <c r="R213" s="216">
        <v>14109.38</v>
      </c>
      <c r="S213" s="217" t="s">
        <v>2156</v>
      </c>
      <c r="T213" s="209" t="s">
        <v>3864</v>
      </c>
      <c r="U213" s="209" t="s">
        <v>3865</v>
      </c>
      <c r="V213" s="213" t="s">
        <v>3866</v>
      </c>
      <c r="W213" s="218" t="s">
        <v>3652</v>
      </c>
      <c r="X213" s="218" t="s">
        <v>3652</v>
      </c>
      <c r="Y213" s="212" t="s">
        <v>3767</v>
      </c>
      <c r="Z213" s="209" t="s">
        <v>3664</v>
      </c>
      <c r="AA213" s="219"/>
      <c r="AB213" s="218"/>
      <c r="AC213" s="217" t="e">
        <v>#N/A</v>
      </c>
      <c r="AD213" s="217">
        <v>90556</v>
      </c>
      <c r="AE213" s="217" t="s">
        <v>3823</v>
      </c>
      <c r="AF213" s="217" t="s">
        <v>3770</v>
      </c>
      <c r="AG213" s="217" t="s">
        <v>3719</v>
      </c>
      <c r="AH213" s="220" t="str">
        <f t="shared" si="12"/>
        <v>4590004399_011</v>
      </c>
      <c r="AI213" s="208"/>
      <c r="AJ213" s="225">
        <v>45017</v>
      </c>
      <c r="AK213" s="221">
        <v>5643.7520000000004</v>
      </c>
      <c r="AL213" s="227">
        <v>45245</v>
      </c>
      <c r="AM213" s="208" t="s">
        <v>4389</v>
      </c>
      <c r="AN213" s="227">
        <v>45401</v>
      </c>
      <c r="AO213" s="221">
        <v>8465.6299999999992</v>
      </c>
      <c r="AP213" s="345">
        <v>45458</v>
      </c>
      <c r="AQ213" s="358">
        <f ca="1">IF(表格1[[#This Row],[PO$]]="","100%",表格1[[#This Row],[total amount]]/表格1[[#This Row],[PO$]])</f>
        <v>1.0000001417496729</v>
      </c>
      <c r="AR213" s="223">
        <f ca="1">表格1[[#This Row],[invoice amount]]+表格1[[#This Row],[invoice amount2]]</f>
        <v>14109.382</v>
      </c>
      <c r="AS213" s="224" t="s">
        <v>3725</v>
      </c>
      <c r="AT213" s="208"/>
      <c r="AU213" s="208" t="e">
        <f ca="1">VLOOKUP(表格1[[#This Row],[PO+ITEM]],#REF!,2,FALSE)</f>
        <v>#REF!</v>
      </c>
      <c r="AV213" s="341" t="e">
        <f ca="1">VLOOKUP(表格1[[#This Row],[PO+ITEM]],#REF!,3,FALSE)</f>
        <v>#REF!</v>
      </c>
      <c r="AW213" s="208" t="e">
        <f ca="1">VLOOKUP(表格1[[#This Row],[PO+ITEM]],#REF!,4,FALSE)</f>
        <v>#REF!</v>
      </c>
      <c r="AX213" s="208" t="e" cm="1" vm="1">
        <f t="array" aca="1" ref="AX213" ca="1">VLOOKUP(AI:AI,#REF!,1,FALSE)</f>
        <v>#VALUE!</v>
      </c>
    </row>
    <row r="214" spans="1:50" ht="15.6">
      <c r="A214" s="220">
        <v>213</v>
      </c>
      <c r="B214" s="220" t="s">
        <v>3674</v>
      </c>
      <c r="C214" s="209" t="s">
        <v>16</v>
      </c>
      <c r="D214" s="209" t="s">
        <v>3648</v>
      </c>
      <c r="E214" s="209"/>
      <c r="F214" s="209"/>
      <c r="G214" s="209"/>
      <c r="H214" s="210" t="s">
        <v>4390</v>
      </c>
      <c r="I214" s="210"/>
      <c r="J214" s="211"/>
      <c r="K214" s="210"/>
      <c r="L214" s="212" t="s">
        <v>2999</v>
      </c>
      <c r="M214" s="212" t="s">
        <v>2999</v>
      </c>
      <c r="N214" s="213"/>
      <c r="O214" s="263">
        <v>4590004399</v>
      </c>
      <c r="P214" s="214">
        <v>44801</v>
      </c>
      <c r="Q214" s="334">
        <v>12</v>
      </c>
      <c r="R214" s="216">
        <v>14109.38</v>
      </c>
      <c r="S214" s="217" t="s">
        <v>2156</v>
      </c>
      <c r="T214" s="209" t="s">
        <v>3864</v>
      </c>
      <c r="U214" s="209" t="s">
        <v>3865</v>
      </c>
      <c r="V214" s="213" t="s">
        <v>3866</v>
      </c>
      <c r="W214" s="218" t="s">
        <v>3652</v>
      </c>
      <c r="X214" s="218" t="s">
        <v>3652</v>
      </c>
      <c r="Y214" s="212" t="s">
        <v>3767</v>
      </c>
      <c r="Z214" s="209" t="s">
        <v>3664</v>
      </c>
      <c r="AA214" s="219"/>
      <c r="AB214" s="218"/>
      <c r="AC214" s="217" t="e">
        <v>#N/A</v>
      </c>
      <c r="AD214" s="217">
        <v>90569</v>
      </c>
      <c r="AE214" s="217" t="s">
        <v>4391</v>
      </c>
      <c r="AF214" s="217" t="s">
        <v>3770</v>
      </c>
      <c r="AG214" s="217" t="s">
        <v>3719</v>
      </c>
      <c r="AH214" s="220" t="str">
        <f t="shared" si="12"/>
        <v>4590004399_012</v>
      </c>
      <c r="AI214" s="208"/>
      <c r="AJ214" s="225">
        <v>45017</v>
      </c>
      <c r="AK214" s="221">
        <v>5643.7520000000004</v>
      </c>
      <c r="AL214" s="227">
        <v>45245</v>
      </c>
      <c r="AM214" s="208" t="s">
        <v>4392</v>
      </c>
      <c r="AN214" s="227">
        <v>45401</v>
      </c>
      <c r="AO214" s="221">
        <v>8465.6299999999992</v>
      </c>
      <c r="AP214" s="345">
        <v>45458</v>
      </c>
      <c r="AQ214" s="358">
        <f ca="1">IF(表格1[[#This Row],[PO$]]="","100%",表格1[[#This Row],[total amount]]/表格1[[#This Row],[PO$]])</f>
        <v>1.0000001417496729</v>
      </c>
      <c r="AR214" s="223">
        <f ca="1">表格1[[#This Row],[invoice amount]]+表格1[[#This Row],[invoice amount2]]</f>
        <v>14109.382</v>
      </c>
      <c r="AS214" s="224" t="s">
        <v>3725</v>
      </c>
      <c r="AT214" s="208"/>
      <c r="AU214" s="208" t="e">
        <f ca="1">VLOOKUP(表格1[[#This Row],[PO+ITEM]],#REF!,2,FALSE)</f>
        <v>#REF!</v>
      </c>
      <c r="AV214" s="341" t="e">
        <f ca="1">VLOOKUP(表格1[[#This Row],[PO+ITEM]],#REF!,3,FALSE)</f>
        <v>#REF!</v>
      </c>
      <c r="AW214" s="208" t="e">
        <f ca="1">VLOOKUP(表格1[[#This Row],[PO+ITEM]],#REF!,4,FALSE)</f>
        <v>#REF!</v>
      </c>
      <c r="AX214" s="208" t="e" cm="1" vm="1">
        <f t="array" aca="1" ref="AX214" ca="1">VLOOKUP(AI:AI,#REF!,1,FALSE)</f>
        <v>#VALUE!</v>
      </c>
    </row>
    <row r="215" spans="1:50">
      <c r="A215" s="220">
        <v>214</v>
      </c>
      <c r="B215" s="220" t="s">
        <v>3674</v>
      </c>
      <c r="C215" s="209" t="s">
        <v>16</v>
      </c>
      <c r="D215" s="209" t="s">
        <v>3648</v>
      </c>
      <c r="E215" s="209"/>
      <c r="F215" s="209"/>
      <c r="G215" s="209"/>
      <c r="H215" s="210" t="s">
        <v>4393</v>
      </c>
      <c r="I215" s="210"/>
      <c r="J215" s="211"/>
      <c r="K215" s="210"/>
      <c r="L215" s="212" t="s">
        <v>2999</v>
      </c>
      <c r="M215" s="212" t="s">
        <v>2999</v>
      </c>
      <c r="N215" s="213"/>
      <c r="O215" s="263">
        <v>4590004399</v>
      </c>
      <c r="P215" s="214">
        <v>44801</v>
      </c>
      <c r="Q215" s="334">
        <v>13</v>
      </c>
      <c r="R215" s="216">
        <v>13701.87</v>
      </c>
      <c r="S215" s="217" t="s">
        <v>2156</v>
      </c>
      <c r="T215" s="209" t="s">
        <v>3864</v>
      </c>
      <c r="U215" s="209" t="s">
        <v>3865</v>
      </c>
      <c r="V215" s="213" t="s">
        <v>3866</v>
      </c>
      <c r="W215" s="218" t="s">
        <v>3652</v>
      </c>
      <c r="X215" s="218" t="s">
        <v>3652</v>
      </c>
      <c r="Y215" s="212" t="s">
        <v>3767</v>
      </c>
      <c r="Z215" s="209" t="s">
        <v>3664</v>
      </c>
      <c r="AA215" s="219"/>
      <c r="AB215" s="218"/>
      <c r="AC215" s="217" t="e">
        <v>#N/A</v>
      </c>
      <c r="AD215" s="217">
        <v>90570</v>
      </c>
      <c r="AE215" s="217" t="s">
        <v>3798</v>
      </c>
      <c r="AF215" s="217" t="s">
        <v>3770</v>
      </c>
      <c r="AG215" s="217" t="s">
        <v>3719</v>
      </c>
      <c r="AH215" s="220" t="str">
        <f t="shared" si="12"/>
        <v>4590004399_013</v>
      </c>
      <c r="AI215" s="217"/>
      <c r="AJ215" s="225">
        <v>45017</v>
      </c>
      <c r="AK215" s="221">
        <v>5480.7480000000005</v>
      </c>
      <c r="AL215" s="227">
        <v>45245</v>
      </c>
      <c r="AM215" s="217" t="s">
        <v>4394</v>
      </c>
      <c r="AN215" s="227">
        <v>45471</v>
      </c>
      <c r="AO215" s="222">
        <v>8221.1200000000008</v>
      </c>
      <c r="AP215" s="227"/>
      <c r="AQ215" s="358">
        <f ca="1">IF(表格1[[#This Row],[PO$]]="","100%",表格1[[#This Row],[total amount]]/表格1[[#This Row],[PO$]])</f>
        <v>0.99999985403452241</v>
      </c>
      <c r="AR215" s="223">
        <f ca="1">表格1[[#This Row],[invoice amount]]+表格1[[#This Row],[invoice amount2]]</f>
        <v>13701.868000000002</v>
      </c>
      <c r="AS215" s="224" t="s">
        <v>4235</v>
      </c>
      <c r="AT215" s="208"/>
      <c r="AU215" s="208" t="e">
        <f ca="1">VLOOKUP(表格1[[#This Row],[PO+ITEM]],#REF!,2,FALSE)</f>
        <v>#REF!</v>
      </c>
      <c r="AV215" s="341" t="e">
        <f ca="1">VLOOKUP(表格1[[#This Row],[PO+ITEM]],#REF!,3,FALSE)</f>
        <v>#REF!</v>
      </c>
      <c r="AW215" s="208" t="e">
        <f ca="1">VLOOKUP(表格1[[#This Row],[PO+ITEM]],#REF!,4,FALSE)</f>
        <v>#REF!</v>
      </c>
      <c r="AX215" s="208" t="e" cm="1" vm="1">
        <f t="array" aca="1" ref="AX215" ca="1">VLOOKUP(AI:AI,#REF!,1,FALSE)</f>
        <v>#VALUE!</v>
      </c>
    </row>
    <row r="216" spans="1:50" ht="15.6">
      <c r="A216" s="220">
        <v>215</v>
      </c>
      <c r="B216" s="220" t="s">
        <v>3674</v>
      </c>
      <c r="C216" s="209" t="s">
        <v>16</v>
      </c>
      <c r="D216" s="209" t="s">
        <v>3648</v>
      </c>
      <c r="E216" s="209"/>
      <c r="F216" s="209"/>
      <c r="G216" s="209"/>
      <c r="H216" s="210" t="s">
        <v>4395</v>
      </c>
      <c r="I216" s="210"/>
      <c r="J216" s="211"/>
      <c r="K216" s="210"/>
      <c r="L216" s="212" t="s">
        <v>2999</v>
      </c>
      <c r="M216" s="212" t="s">
        <v>2999</v>
      </c>
      <c r="N216" s="213"/>
      <c r="O216" s="263">
        <v>4590004399</v>
      </c>
      <c r="P216" s="214">
        <v>44801</v>
      </c>
      <c r="Q216" s="334">
        <v>14</v>
      </c>
      <c r="R216" s="216">
        <v>14109.38</v>
      </c>
      <c r="S216" s="217" t="s">
        <v>2156</v>
      </c>
      <c r="T216" s="209" t="s">
        <v>3864</v>
      </c>
      <c r="U216" s="209" t="s">
        <v>3865</v>
      </c>
      <c r="V216" s="213" t="s">
        <v>3866</v>
      </c>
      <c r="W216" s="218" t="s">
        <v>3652</v>
      </c>
      <c r="X216" s="218" t="s">
        <v>3652</v>
      </c>
      <c r="Y216" s="212" t="s">
        <v>3767</v>
      </c>
      <c r="Z216" s="209" t="s">
        <v>3664</v>
      </c>
      <c r="AA216" s="219"/>
      <c r="AB216" s="218"/>
      <c r="AC216" s="217" t="e">
        <v>#N/A</v>
      </c>
      <c r="AD216" s="217">
        <v>90813</v>
      </c>
      <c r="AE216" s="217" t="s">
        <v>4396</v>
      </c>
      <c r="AF216" s="217" t="s">
        <v>3770</v>
      </c>
      <c r="AG216" s="217" t="s">
        <v>3719</v>
      </c>
      <c r="AH216" s="220" t="str">
        <f t="shared" si="12"/>
        <v>4590004399_014</v>
      </c>
      <c r="AI216" s="208"/>
      <c r="AJ216" s="225">
        <v>45017</v>
      </c>
      <c r="AK216" s="221">
        <v>5643.7520000000004</v>
      </c>
      <c r="AL216" s="227">
        <v>45245</v>
      </c>
      <c r="AM216" s="208" t="s">
        <v>4397</v>
      </c>
      <c r="AN216" s="227">
        <v>45401</v>
      </c>
      <c r="AO216" s="221">
        <v>8465.6299999999992</v>
      </c>
      <c r="AP216" s="345">
        <v>45458</v>
      </c>
      <c r="AQ216" s="358">
        <f ca="1">IF(表格1[[#This Row],[PO$]]="","100%",表格1[[#This Row],[total amount]]/表格1[[#This Row],[PO$]])</f>
        <v>1.0000001417496729</v>
      </c>
      <c r="AR216" s="223">
        <f ca="1">表格1[[#This Row],[invoice amount]]+表格1[[#This Row],[invoice amount2]]</f>
        <v>14109.382</v>
      </c>
      <c r="AS216" s="224" t="s">
        <v>3725</v>
      </c>
      <c r="AT216" s="208"/>
      <c r="AU216" s="208" t="e">
        <f ca="1">VLOOKUP(表格1[[#This Row],[PO+ITEM]],#REF!,2,FALSE)</f>
        <v>#REF!</v>
      </c>
      <c r="AV216" s="341" t="e">
        <f ca="1">VLOOKUP(表格1[[#This Row],[PO+ITEM]],#REF!,3,FALSE)</f>
        <v>#REF!</v>
      </c>
      <c r="AW216" s="208" t="e">
        <f ca="1">VLOOKUP(表格1[[#This Row],[PO+ITEM]],#REF!,4,FALSE)</f>
        <v>#REF!</v>
      </c>
      <c r="AX216" s="208" t="e" cm="1" vm="1">
        <f t="array" aca="1" ref="AX216" ca="1">VLOOKUP(AI:AI,#REF!,1,FALSE)</f>
        <v>#VALUE!</v>
      </c>
    </row>
    <row r="217" spans="1:50">
      <c r="A217" s="220">
        <v>216</v>
      </c>
      <c r="B217" s="220" t="s">
        <v>3674</v>
      </c>
      <c r="C217" s="209" t="s">
        <v>16</v>
      </c>
      <c r="D217" s="209" t="s">
        <v>3648</v>
      </c>
      <c r="E217" s="209"/>
      <c r="F217" s="209"/>
      <c r="G217" s="209"/>
      <c r="H217" s="210" t="s">
        <v>4398</v>
      </c>
      <c r="I217" s="210"/>
      <c r="J217" s="211"/>
      <c r="K217" s="210"/>
      <c r="L217" s="212" t="s">
        <v>2999</v>
      </c>
      <c r="M217" s="212" t="s">
        <v>2999</v>
      </c>
      <c r="N217" s="213"/>
      <c r="O217" s="263">
        <v>4590004399</v>
      </c>
      <c r="P217" s="214">
        <v>44801</v>
      </c>
      <c r="Q217" s="334">
        <v>15</v>
      </c>
      <c r="R217" s="216">
        <v>14109.38</v>
      </c>
      <c r="S217" s="217" t="s">
        <v>2156</v>
      </c>
      <c r="T217" s="209" t="s">
        <v>3864</v>
      </c>
      <c r="U217" s="209" t="s">
        <v>3865</v>
      </c>
      <c r="V217" s="213" t="s">
        <v>3866</v>
      </c>
      <c r="W217" s="218" t="s">
        <v>3652</v>
      </c>
      <c r="X217" s="218" t="s">
        <v>3652</v>
      </c>
      <c r="Y217" s="212" t="s">
        <v>3767</v>
      </c>
      <c r="Z217" s="209" t="s">
        <v>3664</v>
      </c>
      <c r="AA217" s="219"/>
      <c r="AB217" s="218"/>
      <c r="AC217" s="217" t="e">
        <v>#N/A</v>
      </c>
      <c r="AD217" s="217">
        <v>90814</v>
      </c>
      <c r="AE217" s="217" t="s">
        <v>4399</v>
      </c>
      <c r="AF217" s="217" t="s">
        <v>3770</v>
      </c>
      <c r="AG217" s="217" t="s">
        <v>3719</v>
      </c>
      <c r="AH217" s="220" t="str">
        <f t="shared" si="12"/>
        <v>4590004399_015</v>
      </c>
      <c r="AI217" s="217"/>
      <c r="AJ217" s="225">
        <v>45017</v>
      </c>
      <c r="AK217" s="221">
        <v>5643.7520000000004</v>
      </c>
      <c r="AL217" s="227">
        <v>45245</v>
      </c>
      <c r="AM217" s="217" t="s">
        <v>4400</v>
      </c>
      <c r="AN217" s="227">
        <v>45471</v>
      </c>
      <c r="AO217" s="222">
        <v>8465.6299999999992</v>
      </c>
      <c r="AP217" s="227"/>
      <c r="AQ217" s="358">
        <f ca="1">IF(表格1[[#This Row],[PO$]]="","100%",表格1[[#This Row],[total amount]]/表格1[[#This Row],[PO$]])</f>
        <v>1.0000001417496729</v>
      </c>
      <c r="AR217" s="223">
        <f ca="1">表格1[[#This Row],[invoice amount]]+表格1[[#This Row],[invoice amount2]]</f>
        <v>14109.382</v>
      </c>
      <c r="AS217" s="224" t="s">
        <v>4235</v>
      </c>
      <c r="AT217" s="208"/>
      <c r="AU217" s="208" t="e">
        <f ca="1">VLOOKUP(表格1[[#This Row],[PO+ITEM]],#REF!,2,FALSE)</f>
        <v>#REF!</v>
      </c>
      <c r="AV217" s="341" t="e">
        <f ca="1">VLOOKUP(表格1[[#This Row],[PO+ITEM]],#REF!,3,FALSE)</f>
        <v>#REF!</v>
      </c>
      <c r="AW217" s="208" t="e">
        <f ca="1">VLOOKUP(表格1[[#This Row],[PO+ITEM]],#REF!,4,FALSE)</f>
        <v>#REF!</v>
      </c>
      <c r="AX217" s="208" t="e" cm="1" vm="1">
        <f t="array" aca="1" ref="AX217" ca="1">VLOOKUP(AI:AI,#REF!,1,FALSE)</f>
        <v>#VALUE!</v>
      </c>
    </row>
    <row r="218" spans="1:50">
      <c r="A218" s="220">
        <v>217</v>
      </c>
      <c r="B218" s="220" t="s">
        <v>3674</v>
      </c>
      <c r="C218" s="209" t="s">
        <v>16</v>
      </c>
      <c r="D218" s="209" t="s">
        <v>3648</v>
      </c>
      <c r="E218" s="209"/>
      <c r="F218" s="209"/>
      <c r="G218" s="209"/>
      <c r="H218" s="217" t="s">
        <v>4401</v>
      </c>
      <c r="I218" s="217"/>
      <c r="J218" s="215"/>
      <c r="K218" s="217"/>
      <c r="L218" s="212" t="s">
        <v>2999</v>
      </c>
      <c r="M218" s="212" t="s">
        <v>2999</v>
      </c>
      <c r="N218" s="213"/>
      <c r="O218" s="263">
        <v>4590004399</v>
      </c>
      <c r="P218" s="214">
        <v>44801</v>
      </c>
      <c r="Q218" s="334">
        <v>16</v>
      </c>
      <c r="R218" s="216">
        <v>14109.38</v>
      </c>
      <c r="S218" s="217" t="s">
        <v>2156</v>
      </c>
      <c r="T218" s="209" t="s">
        <v>3864</v>
      </c>
      <c r="U218" s="209" t="s">
        <v>3865</v>
      </c>
      <c r="V218" s="213" t="s">
        <v>3866</v>
      </c>
      <c r="W218" s="218" t="s">
        <v>3652</v>
      </c>
      <c r="X218" s="218" t="s">
        <v>3652</v>
      </c>
      <c r="Y218" s="212" t="s">
        <v>3767</v>
      </c>
      <c r="Z218" s="209" t="s">
        <v>3664</v>
      </c>
      <c r="AA218" s="219"/>
      <c r="AB218" s="218"/>
      <c r="AC218" s="217" t="e">
        <v>#N/A</v>
      </c>
      <c r="AD218" s="217">
        <v>90791</v>
      </c>
      <c r="AE218" s="217" t="s">
        <v>4402</v>
      </c>
      <c r="AF218" s="217" t="s">
        <v>3770</v>
      </c>
      <c r="AG218" s="217" t="s">
        <v>3719</v>
      </c>
      <c r="AH218" s="220" t="str">
        <f t="shared" si="12"/>
        <v>4590004399_016</v>
      </c>
      <c r="AI218" s="208"/>
      <c r="AJ218" s="225">
        <v>45017</v>
      </c>
      <c r="AK218" s="221">
        <v>5643.7520000000004</v>
      </c>
      <c r="AL218" s="227">
        <v>45245</v>
      </c>
      <c r="AM218" s="208"/>
      <c r="AN218" s="220"/>
      <c r="AO218" s="222"/>
      <c r="AP218" s="227"/>
      <c r="AQ218" s="358">
        <f ca="1">IF(表格1[[#This Row],[PO$]]="","100%",表格1[[#This Row],[total amount]]/表格1[[#This Row],[PO$]])</f>
        <v>0.40000000000000008</v>
      </c>
      <c r="AR218" s="223">
        <f ca="1">表格1[[#This Row],[invoice amount]]+表格1[[#This Row],[invoice amount2]]</f>
        <v>5643.7520000000004</v>
      </c>
      <c r="AS218" s="224" t="s">
        <v>3673</v>
      </c>
      <c r="AT218" s="208"/>
      <c r="AU218" s="208" t="e">
        <f ca="1">VLOOKUP(表格1[[#This Row],[PO+ITEM]],#REF!,2,FALSE)</f>
        <v>#REF!</v>
      </c>
      <c r="AV218" s="341" t="e">
        <f ca="1">VLOOKUP(表格1[[#This Row],[PO+ITEM]],#REF!,3,FALSE)</f>
        <v>#REF!</v>
      </c>
      <c r="AW218" s="208" t="e">
        <f ca="1">VLOOKUP(表格1[[#This Row],[PO+ITEM]],#REF!,4,FALSE)</f>
        <v>#REF!</v>
      </c>
      <c r="AX218" s="208" t="e" cm="1" vm="1">
        <f t="array" aca="1" ref="AX218" ca="1">VLOOKUP(AI:AI,#REF!,1,FALSE)</f>
        <v>#VALUE!</v>
      </c>
    </row>
    <row r="219" spans="1:50" ht="15.6">
      <c r="A219" s="220">
        <v>218</v>
      </c>
      <c r="B219" s="220" t="s">
        <v>3674</v>
      </c>
      <c r="C219" s="209" t="s">
        <v>16</v>
      </c>
      <c r="D219" s="209" t="s">
        <v>3648</v>
      </c>
      <c r="E219" s="209"/>
      <c r="F219" s="209"/>
      <c r="G219" s="209"/>
      <c r="H219" s="210" t="s">
        <v>4404</v>
      </c>
      <c r="I219" s="210"/>
      <c r="J219" s="211"/>
      <c r="K219" s="210"/>
      <c r="L219" s="212" t="s">
        <v>2999</v>
      </c>
      <c r="M219" s="212" t="s">
        <v>2999</v>
      </c>
      <c r="N219" s="213"/>
      <c r="O219" s="263">
        <v>4590004399</v>
      </c>
      <c r="P219" s="214">
        <v>44801</v>
      </c>
      <c r="Q219" s="334">
        <v>17</v>
      </c>
      <c r="R219" s="216">
        <v>14109.38</v>
      </c>
      <c r="S219" s="217" t="s">
        <v>2156</v>
      </c>
      <c r="T219" s="209" t="s">
        <v>3864</v>
      </c>
      <c r="U219" s="209" t="s">
        <v>3865</v>
      </c>
      <c r="V219" s="213" t="s">
        <v>3866</v>
      </c>
      <c r="W219" s="218" t="s">
        <v>3652</v>
      </c>
      <c r="X219" s="218" t="s">
        <v>3652</v>
      </c>
      <c r="Y219" s="212" t="s">
        <v>3767</v>
      </c>
      <c r="Z219" s="209" t="s">
        <v>3664</v>
      </c>
      <c r="AA219" s="219"/>
      <c r="AB219" s="218"/>
      <c r="AC219" s="217" t="e">
        <v>#N/A</v>
      </c>
      <c r="AD219" s="217">
        <v>90792</v>
      </c>
      <c r="AE219" s="217" t="s">
        <v>4405</v>
      </c>
      <c r="AF219" s="217" t="s">
        <v>3770</v>
      </c>
      <c r="AG219" s="217" t="s">
        <v>3719</v>
      </c>
      <c r="AH219" s="220" t="str">
        <f t="shared" si="12"/>
        <v>4590004399_017</v>
      </c>
      <c r="AI219" s="208"/>
      <c r="AJ219" s="225">
        <v>45017</v>
      </c>
      <c r="AK219" s="221">
        <v>5643.7520000000004</v>
      </c>
      <c r="AL219" s="227">
        <v>45245</v>
      </c>
      <c r="AM219" s="208" t="s">
        <v>4406</v>
      </c>
      <c r="AN219" s="227">
        <v>45401</v>
      </c>
      <c r="AO219" s="221">
        <v>8465.6299999999992</v>
      </c>
      <c r="AP219" s="345">
        <v>45458</v>
      </c>
      <c r="AQ219" s="358">
        <f ca="1">IF(表格1[[#This Row],[PO$]]="","100%",表格1[[#This Row],[total amount]]/表格1[[#This Row],[PO$]])</f>
        <v>1.0000001417496729</v>
      </c>
      <c r="AR219" s="223">
        <f ca="1">表格1[[#This Row],[invoice amount]]+表格1[[#This Row],[invoice amount2]]</f>
        <v>14109.382</v>
      </c>
      <c r="AS219" s="224" t="s">
        <v>3725</v>
      </c>
      <c r="AT219" s="208"/>
      <c r="AU219" s="208" t="e">
        <f ca="1">VLOOKUP(表格1[[#This Row],[PO+ITEM]],#REF!,2,FALSE)</f>
        <v>#REF!</v>
      </c>
      <c r="AV219" s="341" t="e">
        <f ca="1">VLOOKUP(表格1[[#This Row],[PO+ITEM]],#REF!,3,FALSE)</f>
        <v>#REF!</v>
      </c>
      <c r="AW219" s="208" t="e">
        <f ca="1">VLOOKUP(表格1[[#This Row],[PO+ITEM]],#REF!,4,FALSE)</f>
        <v>#REF!</v>
      </c>
      <c r="AX219" s="208" t="e" cm="1" vm="1">
        <f t="array" aca="1" ref="AX219" ca="1">VLOOKUP(AI:AI,#REF!,1,FALSE)</f>
        <v>#VALUE!</v>
      </c>
    </row>
    <row r="220" spans="1:50">
      <c r="A220" s="220">
        <v>219</v>
      </c>
      <c r="B220" s="220" t="s">
        <v>3674</v>
      </c>
      <c r="C220" s="209" t="s">
        <v>16</v>
      </c>
      <c r="D220" s="209" t="s">
        <v>3648</v>
      </c>
      <c r="E220" s="209"/>
      <c r="F220" s="209"/>
      <c r="G220" s="209"/>
      <c r="H220" s="217" t="s">
        <v>4407</v>
      </c>
      <c r="I220" s="217"/>
      <c r="J220" s="215"/>
      <c r="K220" s="217"/>
      <c r="L220" s="212" t="s">
        <v>2999</v>
      </c>
      <c r="M220" s="212" t="s">
        <v>2999</v>
      </c>
      <c r="N220" s="213"/>
      <c r="O220" s="263">
        <v>4590004399</v>
      </c>
      <c r="P220" s="214">
        <v>44801</v>
      </c>
      <c r="Q220" s="334">
        <v>18</v>
      </c>
      <c r="R220" s="216">
        <v>14109.38</v>
      </c>
      <c r="S220" s="217" t="s">
        <v>2156</v>
      </c>
      <c r="T220" s="209" t="s">
        <v>3864</v>
      </c>
      <c r="U220" s="209" t="s">
        <v>3865</v>
      </c>
      <c r="V220" s="213" t="s">
        <v>3866</v>
      </c>
      <c r="W220" s="218" t="s">
        <v>3652</v>
      </c>
      <c r="X220" s="218" t="s">
        <v>3652</v>
      </c>
      <c r="Y220" s="212" t="s">
        <v>3767</v>
      </c>
      <c r="Z220" s="209" t="s">
        <v>3664</v>
      </c>
      <c r="AA220" s="219"/>
      <c r="AB220" s="218"/>
      <c r="AC220" s="217" t="e">
        <v>#N/A</v>
      </c>
      <c r="AD220" s="217">
        <v>90793</v>
      </c>
      <c r="AE220" s="217" t="s">
        <v>4408</v>
      </c>
      <c r="AF220" s="217" t="s">
        <v>3770</v>
      </c>
      <c r="AG220" s="217" t="s">
        <v>3719</v>
      </c>
      <c r="AH220" s="220" t="str">
        <f t="shared" si="12"/>
        <v>4590004399_018</v>
      </c>
      <c r="AI220" s="208"/>
      <c r="AJ220" s="225">
        <v>45017</v>
      </c>
      <c r="AK220" s="221">
        <v>5643.7520000000004</v>
      </c>
      <c r="AL220" s="227">
        <v>45245</v>
      </c>
      <c r="AM220" s="208" t="s">
        <v>4409</v>
      </c>
      <c r="AN220" s="227">
        <v>45436</v>
      </c>
      <c r="AO220" s="222">
        <v>8465.6279999999988</v>
      </c>
      <c r="AP220" s="227" t="s">
        <v>3805</v>
      </c>
      <c r="AQ220" s="358">
        <f ca="1">IF(表格1[[#This Row],[PO$]]="","100%",表格1[[#This Row],[total amount]]/表格1[[#This Row],[PO$]])</f>
        <v>1</v>
      </c>
      <c r="AR220" s="223">
        <f ca="1">表格1[[#This Row],[invoice amount]]+表格1[[#This Row],[invoice amount2]]</f>
        <v>14109.38</v>
      </c>
      <c r="AS220" s="224" t="s">
        <v>4371</v>
      </c>
      <c r="AT220" s="208"/>
      <c r="AU220" s="208" t="e">
        <f ca="1">VLOOKUP(表格1[[#This Row],[PO+ITEM]],#REF!,2,FALSE)</f>
        <v>#REF!</v>
      </c>
      <c r="AV220" s="341" t="e">
        <f ca="1">VLOOKUP(表格1[[#This Row],[PO+ITEM]],#REF!,3,FALSE)</f>
        <v>#REF!</v>
      </c>
      <c r="AW220" s="208" t="e">
        <f ca="1">VLOOKUP(表格1[[#This Row],[PO+ITEM]],#REF!,4,FALSE)</f>
        <v>#REF!</v>
      </c>
      <c r="AX220" s="208" t="e" cm="1" vm="1">
        <f t="array" aca="1" ref="AX220" ca="1">VLOOKUP(AI:AI,#REF!,1,FALSE)</f>
        <v>#VALUE!</v>
      </c>
    </row>
    <row r="221" spans="1:50">
      <c r="A221" s="220">
        <v>220</v>
      </c>
      <c r="B221" s="220" t="s">
        <v>3659</v>
      </c>
      <c r="C221" s="209" t="s">
        <v>16</v>
      </c>
      <c r="D221" s="209" t="s">
        <v>3648</v>
      </c>
      <c r="E221" s="209"/>
      <c r="F221" s="209"/>
      <c r="G221" s="209"/>
      <c r="H221" s="217" t="s">
        <v>4410</v>
      </c>
      <c r="I221" s="217"/>
      <c r="J221" s="215"/>
      <c r="K221" s="217"/>
      <c r="L221" s="212" t="s">
        <v>2999</v>
      </c>
      <c r="M221" s="212" t="s">
        <v>2999</v>
      </c>
      <c r="N221" s="213"/>
      <c r="O221" s="263">
        <v>4590004399</v>
      </c>
      <c r="P221" s="214">
        <v>44801</v>
      </c>
      <c r="Q221" s="334">
        <v>19</v>
      </c>
      <c r="R221" s="216">
        <v>14109.38</v>
      </c>
      <c r="S221" s="217" t="s">
        <v>2156</v>
      </c>
      <c r="T221" s="209" t="s">
        <v>3864</v>
      </c>
      <c r="U221" s="209" t="s">
        <v>3865</v>
      </c>
      <c r="V221" s="213" t="s">
        <v>3866</v>
      </c>
      <c r="W221" s="218" t="s">
        <v>3652</v>
      </c>
      <c r="X221" s="218" t="s">
        <v>3652</v>
      </c>
      <c r="Y221" s="212" t="s">
        <v>3767</v>
      </c>
      <c r="Z221" s="209" t="s">
        <v>3664</v>
      </c>
      <c r="AA221" s="219"/>
      <c r="AB221" s="218"/>
      <c r="AC221" s="217" t="e">
        <v>#N/A</v>
      </c>
      <c r="AD221" s="217">
        <v>90794</v>
      </c>
      <c r="AE221" s="217" t="s">
        <v>4411</v>
      </c>
      <c r="AF221" s="217" t="s">
        <v>3770</v>
      </c>
      <c r="AG221" s="217" t="s">
        <v>3719</v>
      </c>
      <c r="AH221" s="220" t="str">
        <f t="shared" si="12"/>
        <v>4590004399_019</v>
      </c>
      <c r="AI221" s="208"/>
      <c r="AJ221" s="225">
        <v>45017</v>
      </c>
      <c r="AK221" s="221">
        <v>5643.7520000000004</v>
      </c>
      <c r="AL221" s="227">
        <v>45245</v>
      </c>
      <c r="AM221" s="208"/>
      <c r="AN221" s="220"/>
      <c r="AO221" s="222"/>
      <c r="AP221" s="227"/>
      <c r="AQ221" s="358">
        <f ca="1">IF(表格1[[#This Row],[PO$]]="","100%",表格1[[#This Row],[total amount]]/表格1[[#This Row],[PO$]])</f>
        <v>0.40000000000000008</v>
      </c>
      <c r="AR221" s="223">
        <f ca="1">表格1[[#This Row],[invoice amount]]+表格1[[#This Row],[invoice amount2]]</f>
        <v>5643.7520000000004</v>
      </c>
      <c r="AS221" s="224" t="s">
        <v>3673</v>
      </c>
      <c r="AT221" s="208"/>
      <c r="AU221" s="208" t="e">
        <f ca="1">VLOOKUP(表格1[[#This Row],[PO+ITEM]],#REF!,2,FALSE)</f>
        <v>#REF!</v>
      </c>
      <c r="AV221" s="341" t="e">
        <f ca="1">VLOOKUP(表格1[[#This Row],[PO+ITEM]],#REF!,3,FALSE)</f>
        <v>#REF!</v>
      </c>
      <c r="AW221" s="208" t="e">
        <f ca="1">VLOOKUP(表格1[[#This Row],[PO+ITEM]],#REF!,4,FALSE)</f>
        <v>#REF!</v>
      </c>
      <c r="AX221" s="208" t="e" cm="1" vm="1">
        <f t="array" aca="1" ref="AX221" ca="1">VLOOKUP(AI:AI,#REF!,1,FALSE)</f>
        <v>#VALUE!</v>
      </c>
    </row>
    <row r="222" spans="1:50">
      <c r="A222" s="220">
        <v>221</v>
      </c>
      <c r="B222" s="220" t="s">
        <v>3674</v>
      </c>
      <c r="C222" s="209" t="s">
        <v>16</v>
      </c>
      <c r="D222" s="209" t="s">
        <v>3648</v>
      </c>
      <c r="E222" s="209"/>
      <c r="F222" s="209"/>
      <c r="G222" s="209"/>
      <c r="H222" s="210" t="s">
        <v>4412</v>
      </c>
      <c r="I222" s="210"/>
      <c r="J222" s="211"/>
      <c r="K222" s="210"/>
      <c r="L222" s="212" t="s">
        <v>2999</v>
      </c>
      <c r="M222" s="212" t="s">
        <v>2999</v>
      </c>
      <c r="N222" s="213"/>
      <c r="O222" s="263">
        <v>4590004399</v>
      </c>
      <c r="P222" s="214">
        <v>44801</v>
      </c>
      <c r="Q222" s="334">
        <v>20</v>
      </c>
      <c r="R222" s="216">
        <v>14109.38</v>
      </c>
      <c r="S222" s="217" t="s">
        <v>2156</v>
      </c>
      <c r="T222" s="209" t="s">
        <v>3864</v>
      </c>
      <c r="U222" s="209" t="s">
        <v>3865</v>
      </c>
      <c r="V222" s="213" t="s">
        <v>3866</v>
      </c>
      <c r="W222" s="218" t="s">
        <v>3652</v>
      </c>
      <c r="X222" s="218" t="s">
        <v>3652</v>
      </c>
      <c r="Y222" s="212" t="s">
        <v>3767</v>
      </c>
      <c r="Z222" s="209" t="s">
        <v>3664</v>
      </c>
      <c r="AA222" s="219"/>
      <c r="AB222" s="218"/>
      <c r="AC222" s="217" t="e">
        <v>#N/A</v>
      </c>
      <c r="AD222" s="217">
        <v>90566</v>
      </c>
      <c r="AE222" s="217" t="s">
        <v>3783</v>
      </c>
      <c r="AF222" s="217" t="s">
        <v>3770</v>
      </c>
      <c r="AG222" s="217" t="s">
        <v>3719</v>
      </c>
      <c r="AH222" s="220" t="str">
        <f t="shared" si="12"/>
        <v>4590004399_020</v>
      </c>
      <c r="AI222" s="208"/>
      <c r="AJ222" s="225">
        <v>45017</v>
      </c>
      <c r="AK222" s="221">
        <v>5643.7520000000004</v>
      </c>
      <c r="AL222" s="227">
        <v>45245</v>
      </c>
      <c r="AM222" s="208"/>
      <c r="AN222" s="220"/>
      <c r="AO222" s="222"/>
      <c r="AP222" s="227"/>
      <c r="AQ222" s="358">
        <f ca="1">IF(表格1[[#This Row],[PO$]]="","100%",表格1[[#This Row],[total amount]]/表格1[[#This Row],[PO$]])</f>
        <v>0.40000000000000008</v>
      </c>
      <c r="AR222" s="223">
        <f ca="1">表格1[[#This Row],[invoice amount]]+表格1[[#This Row],[invoice amount2]]</f>
        <v>5643.7520000000004</v>
      </c>
      <c r="AS222" s="224" t="s">
        <v>3673</v>
      </c>
      <c r="AT222" s="208"/>
      <c r="AU222" s="208" t="e">
        <f ca="1">VLOOKUP(表格1[[#This Row],[PO+ITEM]],#REF!,2,FALSE)</f>
        <v>#REF!</v>
      </c>
      <c r="AV222" s="341" t="e">
        <f ca="1">VLOOKUP(表格1[[#This Row],[PO+ITEM]],#REF!,3,FALSE)</f>
        <v>#REF!</v>
      </c>
      <c r="AW222" s="208" t="e">
        <f ca="1">VLOOKUP(表格1[[#This Row],[PO+ITEM]],#REF!,4,FALSE)</f>
        <v>#REF!</v>
      </c>
      <c r="AX222" s="208" t="e" cm="1" vm="1">
        <f t="array" aca="1" ref="AX222" ca="1">VLOOKUP(AI:AI,#REF!,1,FALSE)</f>
        <v>#VALUE!</v>
      </c>
    </row>
    <row r="223" spans="1:50">
      <c r="A223" s="220">
        <v>222</v>
      </c>
      <c r="B223" s="220" t="s">
        <v>3674</v>
      </c>
      <c r="C223" s="209" t="s">
        <v>16</v>
      </c>
      <c r="D223" s="209" t="s">
        <v>3648</v>
      </c>
      <c r="E223" s="209"/>
      <c r="F223" s="209"/>
      <c r="G223" s="209"/>
      <c r="H223" s="217" t="s">
        <v>4414</v>
      </c>
      <c r="I223" s="217"/>
      <c r="J223" s="215"/>
      <c r="K223" s="217"/>
      <c r="L223" s="212" t="s">
        <v>2999</v>
      </c>
      <c r="M223" s="212" t="s">
        <v>2999</v>
      </c>
      <c r="N223" s="213"/>
      <c r="O223" s="263">
        <v>4590004399</v>
      </c>
      <c r="P223" s="214">
        <v>44801</v>
      </c>
      <c r="Q223" s="334">
        <v>21</v>
      </c>
      <c r="R223" s="216">
        <v>20621.14</v>
      </c>
      <c r="S223" s="217" t="s">
        <v>2156</v>
      </c>
      <c r="T223" s="209" t="s">
        <v>3864</v>
      </c>
      <c r="U223" s="209" t="s">
        <v>3865</v>
      </c>
      <c r="V223" s="213" t="s">
        <v>3866</v>
      </c>
      <c r="W223" s="218" t="s">
        <v>3652</v>
      </c>
      <c r="X223" s="218" t="s">
        <v>3652</v>
      </c>
      <c r="Y223" s="212" t="s">
        <v>3767</v>
      </c>
      <c r="Z223" s="209" t="s">
        <v>3664</v>
      </c>
      <c r="AA223" s="219"/>
      <c r="AB223" s="218"/>
      <c r="AC223" s="217" t="e">
        <v>#N/A</v>
      </c>
      <c r="AD223" s="217">
        <v>90566</v>
      </c>
      <c r="AE223" s="217" t="s">
        <v>3783</v>
      </c>
      <c r="AF223" s="217" t="s">
        <v>3770</v>
      </c>
      <c r="AG223" s="217" t="s">
        <v>3719</v>
      </c>
      <c r="AH223" s="220" t="str">
        <f t="shared" si="12"/>
        <v>4590004399_021</v>
      </c>
      <c r="AI223" s="208"/>
      <c r="AJ223" s="225">
        <v>45047</v>
      </c>
      <c r="AK223" s="221">
        <v>8248.4560000000001</v>
      </c>
      <c r="AL223" s="227">
        <v>45168</v>
      </c>
      <c r="AM223" s="208"/>
      <c r="AN223" s="220"/>
      <c r="AO223" s="222"/>
      <c r="AP223" s="227"/>
      <c r="AQ223" s="358">
        <f ca="1">IF(表格1[[#This Row],[PO$]]="","100%",表格1[[#This Row],[total amount]]/表格1[[#This Row],[PO$]])</f>
        <v>0.4</v>
      </c>
      <c r="AR223" s="223">
        <f ca="1">表格1[[#This Row],[invoice amount]]+表格1[[#This Row],[invoice amount2]]</f>
        <v>8248.4560000000001</v>
      </c>
      <c r="AS223" s="224" t="s">
        <v>3673</v>
      </c>
      <c r="AT223" s="208"/>
      <c r="AU223" s="208" t="e">
        <f ca="1">VLOOKUP(表格1[[#This Row],[PO+ITEM]],#REF!,2,FALSE)</f>
        <v>#REF!</v>
      </c>
      <c r="AV223" s="341" t="e">
        <f ca="1">VLOOKUP(表格1[[#This Row],[PO+ITEM]],#REF!,3,FALSE)</f>
        <v>#REF!</v>
      </c>
      <c r="AW223" s="208" t="e">
        <f ca="1">VLOOKUP(表格1[[#This Row],[PO+ITEM]],#REF!,4,FALSE)</f>
        <v>#REF!</v>
      </c>
      <c r="AX223" s="208" t="e" cm="1" vm="1">
        <f t="array" aca="1" ref="AX223" ca="1">VLOOKUP(AI:AI,#REF!,1,FALSE)</f>
        <v>#VALUE!</v>
      </c>
    </row>
    <row r="224" spans="1:50">
      <c r="A224" s="220">
        <v>223</v>
      </c>
      <c r="B224" s="220" t="s">
        <v>3674</v>
      </c>
      <c r="C224" s="209" t="s">
        <v>16</v>
      </c>
      <c r="D224" s="209" t="s">
        <v>3648</v>
      </c>
      <c r="E224" s="209"/>
      <c r="F224" s="209"/>
      <c r="G224" s="209"/>
      <c r="H224" s="210" t="s">
        <v>4416</v>
      </c>
      <c r="I224" s="210"/>
      <c r="J224" s="211"/>
      <c r="K224" s="210"/>
      <c r="L224" s="212" t="s">
        <v>2999</v>
      </c>
      <c r="M224" s="212" t="s">
        <v>2999</v>
      </c>
      <c r="N224" s="213"/>
      <c r="O224" s="263">
        <v>4590004399</v>
      </c>
      <c r="P224" s="214">
        <v>44801</v>
      </c>
      <c r="Q224" s="334">
        <v>22</v>
      </c>
      <c r="R224" s="216">
        <v>14516.89</v>
      </c>
      <c r="S224" s="217" t="s">
        <v>2156</v>
      </c>
      <c r="T224" s="209" t="s">
        <v>3864</v>
      </c>
      <c r="U224" s="209" t="s">
        <v>3865</v>
      </c>
      <c r="V224" s="213" t="s">
        <v>3866</v>
      </c>
      <c r="W224" s="218" t="s">
        <v>3652</v>
      </c>
      <c r="X224" s="218" t="s">
        <v>3652</v>
      </c>
      <c r="Y224" s="212" t="s">
        <v>3767</v>
      </c>
      <c r="Z224" s="209" t="s">
        <v>3664</v>
      </c>
      <c r="AA224" s="219"/>
      <c r="AB224" s="218"/>
      <c r="AC224" s="217" t="e">
        <v>#N/A</v>
      </c>
      <c r="AD224" s="217">
        <v>90807</v>
      </c>
      <c r="AE224" s="217" t="s">
        <v>4417</v>
      </c>
      <c r="AF224" s="217" t="s">
        <v>3770</v>
      </c>
      <c r="AG224" s="217" t="s">
        <v>3719</v>
      </c>
      <c r="AH224" s="220" t="str">
        <f t="shared" si="12"/>
        <v>4590004399_022</v>
      </c>
      <c r="AI224" s="208"/>
      <c r="AJ224" s="225">
        <v>45017</v>
      </c>
      <c r="AK224" s="221">
        <v>5806.7560000000003</v>
      </c>
      <c r="AL224" s="227">
        <v>45245</v>
      </c>
      <c r="AM224" s="208"/>
      <c r="AN224" s="220"/>
      <c r="AO224" s="222"/>
      <c r="AP224" s="227"/>
      <c r="AQ224" s="358">
        <f ca="1">IF(表格1[[#This Row],[PO$]]="","100%",表格1[[#This Row],[total amount]]/表格1[[#This Row],[PO$]])</f>
        <v>0.4</v>
      </c>
      <c r="AR224" s="223">
        <f ca="1">表格1[[#This Row],[invoice amount]]+表格1[[#This Row],[invoice amount2]]</f>
        <v>5806.7560000000003</v>
      </c>
      <c r="AS224" s="224" t="s">
        <v>3673</v>
      </c>
      <c r="AT224" s="208"/>
      <c r="AU224" s="208" t="e">
        <f ca="1">VLOOKUP(表格1[[#This Row],[PO+ITEM]],#REF!,2,FALSE)</f>
        <v>#REF!</v>
      </c>
      <c r="AV224" s="341" t="e">
        <f ca="1">VLOOKUP(表格1[[#This Row],[PO+ITEM]],#REF!,3,FALSE)</f>
        <v>#REF!</v>
      </c>
      <c r="AW224" s="208" t="e">
        <f ca="1">VLOOKUP(表格1[[#This Row],[PO+ITEM]],#REF!,4,FALSE)</f>
        <v>#REF!</v>
      </c>
      <c r="AX224" s="208" t="e" cm="1" vm="1">
        <f t="array" aca="1" ref="AX224" ca="1">VLOOKUP(AI:AI,#REF!,1,FALSE)</f>
        <v>#VALUE!</v>
      </c>
    </row>
    <row r="225" spans="1:50">
      <c r="A225" s="220">
        <v>224</v>
      </c>
      <c r="B225" s="220" t="s">
        <v>3674</v>
      </c>
      <c r="C225" s="209" t="s">
        <v>16</v>
      </c>
      <c r="D225" s="209" t="s">
        <v>3648</v>
      </c>
      <c r="E225" s="209"/>
      <c r="F225" s="209"/>
      <c r="G225" s="209"/>
      <c r="H225" s="217" t="s">
        <v>4419</v>
      </c>
      <c r="I225" s="217"/>
      <c r="J225" s="215"/>
      <c r="K225" s="217"/>
      <c r="L225" s="212" t="s">
        <v>2999</v>
      </c>
      <c r="M225" s="212" t="s">
        <v>2999</v>
      </c>
      <c r="N225" s="213"/>
      <c r="O225" s="263">
        <v>4590004399</v>
      </c>
      <c r="P225" s="214">
        <v>44801</v>
      </c>
      <c r="Q225" s="334">
        <v>23</v>
      </c>
      <c r="R225" s="216">
        <v>14516.89</v>
      </c>
      <c r="S225" s="217" t="s">
        <v>2156</v>
      </c>
      <c r="T225" s="209" t="s">
        <v>3864</v>
      </c>
      <c r="U225" s="209" t="s">
        <v>3865</v>
      </c>
      <c r="V225" s="213" t="s">
        <v>3866</v>
      </c>
      <c r="W225" s="218" t="s">
        <v>3652</v>
      </c>
      <c r="X225" s="218" t="s">
        <v>3652</v>
      </c>
      <c r="Y225" s="212" t="s">
        <v>3767</v>
      </c>
      <c r="Z225" s="209" t="s">
        <v>3664</v>
      </c>
      <c r="AA225" s="219"/>
      <c r="AB225" s="218"/>
      <c r="AC225" s="217" t="e">
        <v>#N/A</v>
      </c>
      <c r="AD225" s="217">
        <v>90808</v>
      </c>
      <c r="AE225" s="217" t="s">
        <v>4420</v>
      </c>
      <c r="AF225" s="217" t="s">
        <v>3770</v>
      </c>
      <c r="AG225" s="217" t="s">
        <v>3719</v>
      </c>
      <c r="AH225" s="220" t="str">
        <f t="shared" si="12"/>
        <v>4590004399_023</v>
      </c>
      <c r="AI225" s="208"/>
      <c r="AJ225" s="225">
        <v>45017</v>
      </c>
      <c r="AK225" s="221">
        <v>5806.7560000000003</v>
      </c>
      <c r="AL225" s="227">
        <v>45245</v>
      </c>
      <c r="AM225" s="208" t="s">
        <v>4421</v>
      </c>
      <c r="AN225" s="227">
        <v>45422</v>
      </c>
      <c r="AO225" s="222">
        <v>8710.1339999999982</v>
      </c>
      <c r="AP225" s="227" t="s">
        <v>3805</v>
      </c>
      <c r="AQ225" s="358">
        <f ca="1">IF(表格1[[#This Row],[PO$]]="","100%",表格1[[#This Row],[total amount]]/表格1[[#This Row],[PO$]])</f>
        <v>1</v>
      </c>
      <c r="AR225" s="223">
        <f ca="1">表格1[[#This Row],[invoice amount]]+表格1[[#This Row],[invoice amount2]]</f>
        <v>14516.89</v>
      </c>
      <c r="AS225" s="224" t="s">
        <v>4371</v>
      </c>
      <c r="AT225" s="208" t="s">
        <v>3657</v>
      </c>
      <c r="AU225" s="208" t="e">
        <f ca="1">VLOOKUP(表格1[[#This Row],[PO+ITEM]],#REF!,2,FALSE)</f>
        <v>#REF!</v>
      </c>
      <c r="AV225" s="341" t="e">
        <f ca="1">VLOOKUP(表格1[[#This Row],[PO+ITEM]],#REF!,3,FALSE)</f>
        <v>#REF!</v>
      </c>
      <c r="AW225" s="208" t="e">
        <f ca="1">VLOOKUP(表格1[[#This Row],[PO+ITEM]],#REF!,4,FALSE)</f>
        <v>#REF!</v>
      </c>
      <c r="AX225" s="208" t="e" cm="1" vm="1">
        <f t="array" aca="1" ref="AX225" ca="1">VLOOKUP(AI:AI,#REF!,1,FALSE)</f>
        <v>#VALUE!</v>
      </c>
    </row>
    <row r="226" spans="1:50">
      <c r="A226" s="220">
        <v>225</v>
      </c>
      <c r="B226" s="220" t="s">
        <v>3674</v>
      </c>
      <c r="C226" s="209" t="s">
        <v>16</v>
      </c>
      <c r="D226" s="209" t="s">
        <v>3648</v>
      </c>
      <c r="E226" s="209"/>
      <c r="F226" s="209"/>
      <c r="G226" s="209"/>
      <c r="H226" s="210" t="s">
        <v>4422</v>
      </c>
      <c r="I226" s="210"/>
      <c r="J226" s="211"/>
      <c r="K226" s="210"/>
      <c r="L226" s="212" t="s">
        <v>2999</v>
      </c>
      <c r="M226" s="212" t="s">
        <v>2999</v>
      </c>
      <c r="N226" s="213"/>
      <c r="O226" s="263">
        <v>4590004399</v>
      </c>
      <c r="P226" s="214">
        <v>44801</v>
      </c>
      <c r="Q226" s="334">
        <v>24</v>
      </c>
      <c r="R226" s="216">
        <v>14516.89</v>
      </c>
      <c r="S226" s="217" t="s">
        <v>2156</v>
      </c>
      <c r="T226" s="209" t="s">
        <v>3864</v>
      </c>
      <c r="U226" s="209" t="s">
        <v>3865</v>
      </c>
      <c r="V226" s="213" t="s">
        <v>3866</v>
      </c>
      <c r="W226" s="218" t="s">
        <v>3652</v>
      </c>
      <c r="X226" s="218" t="s">
        <v>3652</v>
      </c>
      <c r="Y226" s="212" t="s">
        <v>3767</v>
      </c>
      <c r="Z226" s="209" t="s">
        <v>3664</v>
      </c>
      <c r="AA226" s="219"/>
      <c r="AB226" s="218"/>
      <c r="AC226" s="217" t="e">
        <v>#N/A</v>
      </c>
      <c r="AD226" s="217">
        <v>90809</v>
      </c>
      <c r="AE226" s="217" t="s">
        <v>4423</v>
      </c>
      <c r="AF226" s="217" t="s">
        <v>3770</v>
      </c>
      <c r="AG226" s="217" t="s">
        <v>3719</v>
      </c>
      <c r="AH226" s="220" t="str">
        <f t="shared" si="12"/>
        <v>4590004399_024</v>
      </c>
      <c r="AI226" s="208"/>
      <c r="AJ226" s="225">
        <v>45017</v>
      </c>
      <c r="AK226" s="221">
        <v>5806.7560000000003</v>
      </c>
      <c r="AL226" s="227">
        <v>45245</v>
      </c>
      <c r="AM226" s="208"/>
      <c r="AN226" s="220"/>
      <c r="AO226" s="222"/>
      <c r="AP226" s="227"/>
      <c r="AQ226" s="358">
        <f ca="1">IF(表格1[[#This Row],[PO$]]="","100%",表格1[[#This Row],[total amount]]/表格1[[#This Row],[PO$]])</f>
        <v>0.4</v>
      </c>
      <c r="AR226" s="223">
        <f ca="1">表格1[[#This Row],[invoice amount]]+表格1[[#This Row],[invoice amount2]]</f>
        <v>5806.7560000000003</v>
      </c>
      <c r="AS226" s="224" t="s">
        <v>3673</v>
      </c>
      <c r="AT226" s="208"/>
      <c r="AU226" s="208" t="e">
        <f ca="1">VLOOKUP(表格1[[#This Row],[PO+ITEM]],#REF!,2,FALSE)</f>
        <v>#REF!</v>
      </c>
      <c r="AV226" s="341" t="e">
        <f ca="1">VLOOKUP(表格1[[#This Row],[PO+ITEM]],#REF!,3,FALSE)</f>
        <v>#REF!</v>
      </c>
      <c r="AW226" s="208" t="e">
        <f ca="1">VLOOKUP(表格1[[#This Row],[PO+ITEM]],#REF!,4,FALSE)</f>
        <v>#REF!</v>
      </c>
      <c r="AX226" s="208" t="e" cm="1" vm="1">
        <f t="array" aca="1" ref="AX226" ca="1">VLOOKUP(AI:AI,#REF!,1,FALSE)</f>
        <v>#VALUE!</v>
      </c>
    </row>
    <row r="227" spans="1:50">
      <c r="A227" s="220">
        <v>226</v>
      </c>
      <c r="B227" s="220" t="s">
        <v>3674</v>
      </c>
      <c r="C227" s="209" t="s">
        <v>16</v>
      </c>
      <c r="D227" s="209" t="s">
        <v>3648</v>
      </c>
      <c r="E227" s="209"/>
      <c r="F227" s="209"/>
      <c r="G227" s="209"/>
      <c r="H227" s="217" t="s">
        <v>4425</v>
      </c>
      <c r="I227" s="217"/>
      <c r="J227" s="215"/>
      <c r="K227" s="217"/>
      <c r="L227" s="212" t="s">
        <v>2999</v>
      </c>
      <c r="M227" s="212" t="s">
        <v>2999</v>
      </c>
      <c r="N227" s="213"/>
      <c r="O227" s="263">
        <v>4590004399</v>
      </c>
      <c r="P227" s="214">
        <v>44801</v>
      </c>
      <c r="Q227" s="334">
        <v>25</v>
      </c>
      <c r="R227" s="216">
        <v>20621.14</v>
      </c>
      <c r="S227" s="217" t="s">
        <v>2156</v>
      </c>
      <c r="T227" s="209" t="s">
        <v>3864</v>
      </c>
      <c r="U227" s="209" t="s">
        <v>3865</v>
      </c>
      <c r="V227" s="213" t="s">
        <v>3866</v>
      </c>
      <c r="W227" s="218" t="s">
        <v>3652</v>
      </c>
      <c r="X227" s="218" t="s">
        <v>3652</v>
      </c>
      <c r="Y227" s="212" t="s">
        <v>3767</v>
      </c>
      <c r="Z227" s="209" t="s">
        <v>3664</v>
      </c>
      <c r="AA227" s="219"/>
      <c r="AB227" s="218"/>
      <c r="AC227" s="217" t="e">
        <v>#N/A</v>
      </c>
      <c r="AD227" s="217">
        <v>90807</v>
      </c>
      <c r="AE227" s="217" t="s">
        <v>4417</v>
      </c>
      <c r="AF227" s="217" t="s">
        <v>3770</v>
      </c>
      <c r="AG227" s="217" t="s">
        <v>3719</v>
      </c>
      <c r="AH227" s="220" t="str">
        <f t="shared" si="12"/>
        <v>4590004399_025</v>
      </c>
      <c r="AI227" s="208"/>
      <c r="AJ227" s="225">
        <v>45047</v>
      </c>
      <c r="AK227" s="221">
        <v>8248.4560000000001</v>
      </c>
      <c r="AL227" s="227">
        <v>45168</v>
      </c>
      <c r="AM227" s="208"/>
      <c r="AN227" s="220"/>
      <c r="AO227" s="222"/>
      <c r="AP227" s="227"/>
      <c r="AQ227" s="358">
        <f ca="1">IF(表格1[[#This Row],[PO$]]="","100%",表格1[[#This Row],[total amount]]/表格1[[#This Row],[PO$]])</f>
        <v>0.4</v>
      </c>
      <c r="AR227" s="223">
        <f ca="1">表格1[[#This Row],[invoice amount]]+表格1[[#This Row],[invoice amount2]]</f>
        <v>8248.4560000000001</v>
      </c>
      <c r="AS227" s="224" t="s">
        <v>3673</v>
      </c>
      <c r="AT227" s="208"/>
      <c r="AU227" s="208" t="e">
        <f ca="1">VLOOKUP(表格1[[#This Row],[PO+ITEM]],#REF!,2,FALSE)</f>
        <v>#REF!</v>
      </c>
      <c r="AV227" s="341" t="e">
        <f ca="1">VLOOKUP(表格1[[#This Row],[PO+ITEM]],#REF!,3,FALSE)</f>
        <v>#REF!</v>
      </c>
      <c r="AW227" s="208" t="e">
        <f ca="1">VLOOKUP(表格1[[#This Row],[PO+ITEM]],#REF!,4,FALSE)</f>
        <v>#REF!</v>
      </c>
      <c r="AX227" s="208" t="e" cm="1" vm="1">
        <f t="array" aca="1" ref="AX227" ca="1">VLOOKUP(AI:AI,#REF!,1,FALSE)</f>
        <v>#VALUE!</v>
      </c>
    </row>
    <row r="228" spans="1:50">
      <c r="A228" s="220">
        <v>227</v>
      </c>
      <c r="B228" s="220" t="s">
        <v>3674</v>
      </c>
      <c r="C228" s="209" t="s">
        <v>16</v>
      </c>
      <c r="D228" s="209" t="s">
        <v>3648</v>
      </c>
      <c r="E228" s="209"/>
      <c r="F228" s="209"/>
      <c r="G228" s="209"/>
      <c r="H228" s="210" t="s">
        <v>4427</v>
      </c>
      <c r="I228" s="210"/>
      <c r="J228" s="211"/>
      <c r="K228" s="210"/>
      <c r="L228" s="212" t="s">
        <v>2999</v>
      </c>
      <c r="M228" s="212" t="s">
        <v>2999</v>
      </c>
      <c r="N228" s="213"/>
      <c r="O228" s="263">
        <v>4590004399</v>
      </c>
      <c r="P228" s="214">
        <v>44801</v>
      </c>
      <c r="Q228" s="334">
        <v>26</v>
      </c>
      <c r="R228" s="216">
        <v>13701.87</v>
      </c>
      <c r="S228" s="217" t="s">
        <v>2156</v>
      </c>
      <c r="T228" s="209" t="s">
        <v>3864</v>
      </c>
      <c r="U228" s="209" t="s">
        <v>3865</v>
      </c>
      <c r="V228" s="213" t="s">
        <v>3866</v>
      </c>
      <c r="W228" s="218" t="s">
        <v>3652</v>
      </c>
      <c r="X228" s="218" t="s">
        <v>3652</v>
      </c>
      <c r="Y228" s="212" t="s">
        <v>3767</v>
      </c>
      <c r="Z228" s="209" t="s">
        <v>3664</v>
      </c>
      <c r="AA228" s="219"/>
      <c r="AB228" s="218"/>
      <c r="AC228" s="217" t="e">
        <v>#N/A</v>
      </c>
      <c r="AD228" s="217">
        <v>90815</v>
      </c>
      <c r="AE228" s="217" t="s">
        <v>3775</v>
      </c>
      <c r="AF228" s="217" t="s">
        <v>3770</v>
      </c>
      <c r="AG228" s="217" t="s">
        <v>3719</v>
      </c>
      <c r="AH228" s="220" t="str">
        <f t="shared" si="12"/>
        <v>4590004399_026</v>
      </c>
      <c r="AI228" s="208"/>
      <c r="AJ228" s="225">
        <v>45017</v>
      </c>
      <c r="AK228" s="221">
        <v>5480.7480000000005</v>
      </c>
      <c r="AL228" s="227">
        <v>45245</v>
      </c>
      <c r="AM228" s="208" t="s">
        <v>4428</v>
      </c>
      <c r="AN228" s="227">
        <v>45401</v>
      </c>
      <c r="AO228" s="221">
        <v>8221.1200000000008</v>
      </c>
      <c r="AP228" s="227" t="s">
        <v>3805</v>
      </c>
      <c r="AQ228" s="358">
        <f ca="1">IF(表格1[[#This Row],[PO$]]="","100%",表格1[[#This Row],[total amount]]/表格1[[#This Row],[PO$]])</f>
        <v>0.99999985403452241</v>
      </c>
      <c r="AR228" s="223">
        <f ca="1">表格1[[#This Row],[invoice amount]]+表格1[[#This Row],[invoice amount2]]</f>
        <v>13701.868000000002</v>
      </c>
      <c r="AS228" s="224" t="s">
        <v>4371</v>
      </c>
      <c r="AT228" s="208"/>
      <c r="AU228" s="208" t="e">
        <f ca="1">VLOOKUP(表格1[[#This Row],[PO+ITEM]],#REF!,2,FALSE)</f>
        <v>#REF!</v>
      </c>
      <c r="AV228" s="341" t="e">
        <f ca="1">VLOOKUP(表格1[[#This Row],[PO+ITEM]],#REF!,3,FALSE)</f>
        <v>#REF!</v>
      </c>
      <c r="AW228" s="208" t="e">
        <f ca="1">VLOOKUP(表格1[[#This Row],[PO+ITEM]],#REF!,4,FALSE)</f>
        <v>#REF!</v>
      </c>
      <c r="AX228" s="208" t="e" cm="1" vm="1">
        <f t="array" aca="1" ref="AX228" ca="1">VLOOKUP(AI:AI,#REF!,1,FALSE)</f>
        <v>#VALUE!</v>
      </c>
    </row>
    <row r="229" spans="1:50">
      <c r="A229" s="220">
        <v>228</v>
      </c>
      <c r="B229" s="220" t="s">
        <v>3674</v>
      </c>
      <c r="C229" s="209" t="s">
        <v>16</v>
      </c>
      <c r="D229" s="209" t="s">
        <v>3648</v>
      </c>
      <c r="E229" s="209"/>
      <c r="F229" s="209"/>
      <c r="G229" s="209"/>
      <c r="H229" s="210" t="s">
        <v>4429</v>
      </c>
      <c r="I229" s="210"/>
      <c r="J229" s="211"/>
      <c r="K229" s="210"/>
      <c r="L229" s="212" t="s">
        <v>2999</v>
      </c>
      <c r="M229" s="212" t="s">
        <v>2999</v>
      </c>
      <c r="N229" s="213"/>
      <c r="O229" s="263">
        <v>4590004399</v>
      </c>
      <c r="P229" s="214">
        <v>44801</v>
      </c>
      <c r="Q229" s="334">
        <v>27</v>
      </c>
      <c r="R229" s="216">
        <v>13701.87</v>
      </c>
      <c r="S229" s="217" t="s">
        <v>2156</v>
      </c>
      <c r="T229" s="209" t="s">
        <v>3864</v>
      </c>
      <c r="U229" s="209" t="s">
        <v>3865</v>
      </c>
      <c r="V229" s="213" t="s">
        <v>3866</v>
      </c>
      <c r="W229" s="218" t="s">
        <v>3652</v>
      </c>
      <c r="X229" s="218" t="s">
        <v>3652</v>
      </c>
      <c r="Y229" s="212" t="s">
        <v>3767</v>
      </c>
      <c r="Z229" s="209" t="s">
        <v>3664</v>
      </c>
      <c r="AA229" s="219"/>
      <c r="AB229" s="218"/>
      <c r="AC229" s="217" t="e">
        <v>#N/A</v>
      </c>
      <c r="AD229" s="217">
        <v>90816</v>
      </c>
      <c r="AE229" s="217" t="s">
        <v>3778</v>
      </c>
      <c r="AF229" s="217" t="s">
        <v>3770</v>
      </c>
      <c r="AG229" s="217" t="s">
        <v>3719</v>
      </c>
      <c r="AH229" s="220" t="str">
        <f t="shared" si="12"/>
        <v>4590004399_027</v>
      </c>
      <c r="AI229" s="208"/>
      <c r="AJ229" s="225">
        <v>45017</v>
      </c>
      <c r="AK229" s="221">
        <v>5480.7480000000005</v>
      </c>
      <c r="AL229" s="227">
        <v>45245</v>
      </c>
      <c r="AM229" s="208" t="s">
        <v>4430</v>
      </c>
      <c r="AN229" s="227">
        <v>45422</v>
      </c>
      <c r="AO229" s="222">
        <v>8221.1219999999994</v>
      </c>
      <c r="AP229" s="227" t="s">
        <v>3805</v>
      </c>
      <c r="AQ229" s="358">
        <f ca="1">IF(表格1[[#This Row],[PO$]]="","100%",表格1[[#This Row],[total amount]]/表格1[[#This Row],[PO$]])</f>
        <v>0.99999999999999989</v>
      </c>
      <c r="AR229" s="223">
        <f ca="1">表格1[[#This Row],[invoice amount]]+表格1[[#This Row],[invoice amount2]]</f>
        <v>13701.869999999999</v>
      </c>
      <c r="AS229" s="224" t="s">
        <v>4371</v>
      </c>
      <c r="AT229" s="208" t="s">
        <v>3657</v>
      </c>
      <c r="AU229" s="208" t="e">
        <f ca="1">VLOOKUP(表格1[[#This Row],[PO+ITEM]],#REF!,2,FALSE)</f>
        <v>#REF!</v>
      </c>
      <c r="AV229" s="341" t="e">
        <f ca="1">VLOOKUP(表格1[[#This Row],[PO+ITEM]],#REF!,3,FALSE)</f>
        <v>#REF!</v>
      </c>
      <c r="AW229" s="208" t="e">
        <f ca="1">VLOOKUP(表格1[[#This Row],[PO+ITEM]],#REF!,4,FALSE)</f>
        <v>#REF!</v>
      </c>
      <c r="AX229" s="208" t="e" cm="1" vm="1">
        <f t="array" aca="1" ref="AX229" ca="1">VLOOKUP(AI:AI,#REF!,1,FALSE)</f>
        <v>#VALUE!</v>
      </c>
    </row>
    <row r="230" spans="1:50">
      <c r="A230" s="220">
        <v>229</v>
      </c>
      <c r="B230" s="220" t="s">
        <v>3674</v>
      </c>
      <c r="C230" s="209" t="s">
        <v>16</v>
      </c>
      <c r="D230" s="209" t="s">
        <v>3648</v>
      </c>
      <c r="E230" s="209"/>
      <c r="F230" s="209"/>
      <c r="G230" s="209"/>
      <c r="H230" s="210" t="s">
        <v>4431</v>
      </c>
      <c r="I230" s="210"/>
      <c r="J230" s="211"/>
      <c r="K230" s="210"/>
      <c r="L230" s="212" t="s">
        <v>2999</v>
      </c>
      <c r="M230" s="212" t="s">
        <v>2999</v>
      </c>
      <c r="N230" s="213"/>
      <c r="O230" s="263">
        <v>4590004399</v>
      </c>
      <c r="P230" s="214">
        <v>44801</v>
      </c>
      <c r="Q230" s="334">
        <v>28</v>
      </c>
      <c r="R230" s="216">
        <v>13701.87</v>
      </c>
      <c r="S230" s="217" t="s">
        <v>2156</v>
      </c>
      <c r="T230" s="209" t="s">
        <v>3864</v>
      </c>
      <c r="U230" s="209" t="s">
        <v>3865</v>
      </c>
      <c r="V230" s="213" t="s">
        <v>3866</v>
      </c>
      <c r="W230" s="218" t="s">
        <v>3652</v>
      </c>
      <c r="X230" s="218" t="s">
        <v>3652</v>
      </c>
      <c r="Y230" s="212" t="s">
        <v>3767</v>
      </c>
      <c r="Z230" s="209" t="s">
        <v>3664</v>
      </c>
      <c r="AA230" s="219"/>
      <c r="AB230" s="218"/>
      <c r="AC230" s="217" t="e">
        <v>#N/A</v>
      </c>
      <c r="AD230" s="217">
        <v>90567</v>
      </c>
      <c r="AE230" s="217" t="s">
        <v>3792</v>
      </c>
      <c r="AF230" s="217" t="s">
        <v>3770</v>
      </c>
      <c r="AG230" s="217" t="s">
        <v>3719</v>
      </c>
      <c r="AH230" s="220" t="str">
        <f t="shared" si="12"/>
        <v>4590004399_028</v>
      </c>
      <c r="AI230" s="208"/>
      <c r="AJ230" s="225">
        <v>45017</v>
      </c>
      <c r="AK230" s="221">
        <v>5480.7480000000005</v>
      </c>
      <c r="AL230" s="227">
        <v>45153</v>
      </c>
      <c r="AM230" s="208"/>
      <c r="AN230" s="220"/>
      <c r="AO230" s="222"/>
      <c r="AP230" s="227"/>
      <c r="AQ230" s="358">
        <f ca="1">IF(表格1[[#This Row],[PO$]]="","100%",表格1[[#This Row],[total amount]]/表格1[[#This Row],[PO$]])</f>
        <v>0.4</v>
      </c>
      <c r="AR230" s="223">
        <f ca="1">表格1[[#This Row],[invoice amount]]+表格1[[#This Row],[invoice amount2]]</f>
        <v>5480.7480000000005</v>
      </c>
      <c r="AS230" s="224" t="s">
        <v>3673</v>
      </c>
      <c r="AT230" s="208"/>
      <c r="AU230" s="208" t="e">
        <f ca="1">VLOOKUP(表格1[[#This Row],[PO+ITEM]],#REF!,2,FALSE)</f>
        <v>#REF!</v>
      </c>
      <c r="AV230" s="341" t="e">
        <f ca="1">VLOOKUP(表格1[[#This Row],[PO+ITEM]],#REF!,3,FALSE)</f>
        <v>#REF!</v>
      </c>
      <c r="AW230" s="208" t="e">
        <f ca="1">VLOOKUP(表格1[[#This Row],[PO+ITEM]],#REF!,4,FALSE)</f>
        <v>#REF!</v>
      </c>
      <c r="AX230" s="208" t="e" cm="1" vm="1">
        <f t="array" aca="1" ref="AX230" ca="1">VLOOKUP(AI:AI,#REF!,1,FALSE)</f>
        <v>#VALUE!</v>
      </c>
    </row>
    <row r="231" spans="1:50" ht="15.6">
      <c r="A231" s="220">
        <v>230</v>
      </c>
      <c r="B231" s="220" t="s">
        <v>3674</v>
      </c>
      <c r="C231" s="209" t="s">
        <v>16</v>
      </c>
      <c r="D231" s="209" t="s">
        <v>3648</v>
      </c>
      <c r="E231" s="209"/>
      <c r="F231" s="209"/>
      <c r="G231" s="209"/>
      <c r="H231" s="210" t="s">
        <v>4433</v>
      </c>
      <c r="I231" s="210"/>
      <c r="J231" s="211"/>
      <c r="K231" s="210"/>
      <c r="L231" s="212" t="s">
        <v>2999</v>
      </c>
      <c r="M231" s="212" t="s">
        <v>2999</v>
      </c>
      <c r="N231" s="213"/>
      <c r="O231" s="263">
        <v>4590004399</v>
      </c>
      <c r="P231" s="214">
        <v>44801</v>
      </c>
      <c r="Q231" s="334">
        <v>29</v>
      </c>
      <c r="R231" s="216">
        <v>13701.87</v>
      </c>
      <c r="S231" s="217" t="s">
        <v>2156</v>
      </c>
      <c r="T231" s="209" t="s">
        <v>3864</v>
      </c>
      <c r="U231" s="209" t="s">
        <v>3865</v>
      </c>
      <c r="V231" s="213" t="s">
        <v>3866</v>
      </c>
      <c r="W231" s="218" t="s">
        <v>3652</v>
      </c>
      <c r="X231" s="218" t="s">
        <v>3652</v>
      </c>
      <c r="Y231" s="212" t="s">
        <v>3767</v>
      </c>
      <c r="Z231" s="209" t="s">
        <v>3664</v>
      </c>
      <c r="AA231" s="219"/>
      <c r="AB231" s="218"/>
      <c r="AC231" s="217" t="e">
        <v>#N/A</v>
      </c>
      <c r="AD231" s="217">
        <v>90568</v>
      </c>
      <c r="AE231" s="217" t="s">
        <v>3795</v>
      </c>
      <c r="AF231" s="217" t="s">
        <v>3770</v>
      </c>
      <c r="AG231" s="217" t="s">
        <v>3719</v>
      </c>
      <c r="AH231" s="220" t="str">
        <f t="shared" si="12"/>
        <v>4590004399_029</v>
      </c>
      <c r="AI231" s="208"/>
      <c r="AJ231" s="225">
        <v>45017</v>
      </c>
      <c r="AK231" s="221">
        <v>5480.7480000000005</v>
      </c>
      <c r="AL231" s="227">
        <v>45245</v>
      </c>
      <c r="AM231" s="208" t="s">
        <v>4434</v>
      </c>
      <c r="AN231" s="227">
        <v>45414</v>
      </c>
      <c r="AO231" s="221">
        <v>8221.1200000000008</v>
      </c>
      <c r="AP231" s="345">
        <v>45458</v>
      </c>
      <c r="AQ231" s="358">
        <f ca="1">IF(表格1[[#This Row],[PO$]]="","100%",表格1[[#This Row],[total amount]]/表格1[[#This Row],[PO$]])</f>
        <v>0.99999985403452241</v>
      </c>
      <c r="AR231" s="223">
        <f ca="1">表格1[[#This Row],[invoice amount]]+表格1[[#This Row],[invoice amount2]]</f>
        <v>13701.868000000002</v>
      </c>
      <c r="AS231" s="224" t="s">
        <v>3725</v>
      </c>
      <c r="AT231" s="208" t="s">
        <v>4435</v>
      </c>
      <c r="AU231" s="208" t="e">
        <f ca="1">VLOOKUP(表格1[[#This Row],[PO+ITEM]],#REF!,2,FALSE)</f>
        <v>#REF!</v>
      </c>
      <c r="AV231" s="341" t="e">
        <f ca="1">VLOOKUP(表格1[[#This Row],[PO+ITEM]],#REF!,3,FALSE)</f>
        <v>#REF!</v>
      </c>
      <c r="AW231" s="208" t="e">
        <f ca="1">VLOOKUP(表格1[[#This Row],[PO+ITEM]],#REF!,4,FALSE)</f>
        <v>#REF!</v>
      </c>
      <c r="AX231" s="208" t="e" cm="1" vm="1">
        <f t="array" aca="1" ref="AX231" ca="1">VLOOKUP(AI:AI,#REF!,1,FALSE)</f>
        <v>#VALUE!</v>
      </c>
    </row>
    <row r="232" spans="1:50" ht="15.6">
      <c r="A232" s="220">
        <v>231</v>
      </c>
      <c r="B232" s="220" t="s">
        <v>3674</v>
      </c>
      <c r="C232" s="209" t="s">
        <v>16</v>
      </c>
      <c r="D232" s="209" t="s">
        <v>3648</v>
      </c>
      <c r="E232" s="209"/>
      <c r="F232" s="209"/>
      <c r="G232" s="209"/>
      <c r="H232" s="210" t="s">
        <v>4436</v>
      </c>
      <c r="I232" s="210"/>
      <c r="J232" s="211"/>
      <c r="K232" s="210"/>
      <c r="L232" s="212" t="s">
        <v>2206</v>
      </c>
      <c r="M232" s="212" t="s">
        <v>2999</v>
      </c>
      <c r="N232" s="213"/>
      <c r="O232" s="263">
        <v>4590004400</v>
      </c>
      <c r="P232" s="214">
        <v>44801</v>
      </c>
      <c r="Q232" s="334">
        <v>1</v>
      </c>
      <c r="R232" s="216">
        <v>2452.0500000000002</v>
      </c>
      <c r="S232" s="217" t="s">
        <v>2156</v>
      </c>
      <c r="T232" s="209" t="s">
        <v>3864</v>
      </c>
      <c r="U232" s="209" t="s">
        <v>3865</v>
      </c>
      <c r="V232" s="213" t="s">
        <v>3866</v>
      </c>
      <c r="W232" s="218" t="s">
        <v>3652</v>
      </c>
      <c r="X232" s="218" t="s">
        <v>3652</v>
      </c>
      <c r="Y232" s="212" t="s">
        <v>4437</v>
      </c>
      <c r="Z232" s="209" t="s">
        <v>3664</v>
      </c>
      <c r="AA232" s="219"/>
      <c r="AB232" s="218"/>
      <c r="AC232" s="217" t="e">
        <v>#N/A</v>
      </c>
      <c r="AD232" s="217">
        <v>90833</v>
      </c>
      <c r="AE232" s="217" t="s">
        <v>4438</v>
      </c>
      <c r="AF232" s="217" t="s">
        <v>3681</v>
      </c>
      <c r="AG232" s="217" t="s">
        <v>846</v>
      </c>
      <c r="AH232" s="220" t="str">
        <f t="shared" ref="AH232:AH240" si="13">O232&amp;"_00"&amp;Q232</f>
        <v>4590004400_001</v>
      </c>
      <c r="AI232" s="208"/>
      <c r="AJ232" s="225">
        <v>45170</v>
      </c>
      <c r="AK232" s="221">
        <v>2452.0500000000002</v>
      </c>
      <c r="AL232" s="228">
        <v>45303</v>
      </c>
      <c r="AM232" s="208"/>
      <c r="AN232" s="220"/>
      <c r="AO232" s="222"/>
      <c r="AP232" s="227"/>
      <c r="AQ232" s="358">
        <f ca="1">IF(表格1[[#This Row],[PO$]]="","100%",表格1[[#This Row],[total amount]]/表格1[[#This Row],[PO$]])</f>
        <v>1</v>
      </c>
      <c r="AR232" s="223">
        <f ca="1">表格1[[#This Row],[invoice amount]]+表格1[[#This Row],[invoice amount2]]</f>
        <v>2452.0500000000002</v>
      </c>
      <c r="AS232" s="224" t="s">
        <v>3673</v>
      </c>
      <c r="AT232" s="208"/>
      <c r="AU232" s="208" t="e">
        <f ca="1">VLOOKUP(表格1[[#This Row],[PO+ITEM]],#REF!,2,FALSE)</f>
        <v>#REF!</v>
      </c>
      <c r="AV232" s="341" t="e">
        <f ca="1">VLOOKUP(表格1[[#This Row],[PO+ITEM]],#REF!,3,FALSE)</f>
        <v>#REF!</v>
      </c>
      <c r="AW232" s="208" t="e">
        <f ca="1">VLOOKUP(表格1[[#This Row],[PO+ITEM]],#REF!,4,FALSE)</f>
        <v>#REF!</v>
      </c>
      <c r="AX232" s="208" t="e" cm="1" vm="1">
        <f t="array" aca="1" ref="AX232" ca="1">VLOOKUP(AI:AI,#REF!,1,FALSE)</f>
        <v>#VALUE!</v>
      </c>
    </row>
    <row r="233" spans="1:50">
      <c r="A233" s="220">
        <v>232</v>
      </c>
      <c r="B233" s="220" t="s">
        <v>3674</v>
      </c>
      <c r="C233" s="209" t="s">
        <v>16</v>
      </c>
      <c r="D233" s="209" t="s">
        <v>3648</v>
      </c>
      <c r="E233" s="209"/>
      <c r="F233" s="209"/>
      <c r="G233" s="209"/>
      <c r="H233" s="210" t="s">
        <v>4439</v>
      </c>
      <c r="I233" s="210"/>
      <c r="J233" s="211"/>
      <c r="K233" s="210"/>
      <c r="L233" s="212" t="s">
        <v>4440</v>
      </c>
      <c r="M233" s="212" t="s">
        <v>2999</v>
      </c>
      <c r="N233" s="213"/>
      <c r="O233" s="263">
        <v>4590004400</v>
      </c>
      <c r="P233" s="214">
        <v>44801</v>
      </c>
      <c r="Q233" s="334">
        <v>2</v>
      </c>
      <c r="R233" s="216">
        <v>82970.73</v>
      </c>
      <c r="S233" s="217" t="s">
        <v>2156</v>
      </c>
      <c r="T233" s="209" t="s">
        <v>3864</v>
      </c>
      <c r="U233" s="209" t="s">
        <v>3865</v>
      </c>
      <c r="V233" s="213" t="s">
        <v>3866</v>
      </c>
      <c r="W233" s="218" t="s">
        <v>3652</v>
      </c>
      <c r="X233" s="218" t="s">
        <v>3652</v>
      </c>
      <c r="Y233" s="212">
        <v>0</v>
      </c>
      <c r="Z233" s="209" t="s">
        <v>3664</v>
      </c>
      <c r="AA233" s="219"/>
      <c r="AB233" s="218"/>
      <c r="AC233" s="217" t="e">
        <v>#N/A</v>
      </c>
      <c r="AD233" s="217">
        <v>90048</v>
      </c>
      <c r="AE233" s="217" t="s">
        <v>2870</v>
      </c>
      <c r="AF233" s="217" t="s">
        <v>3681</v>
      </c>
      <c r="AG233" s="217" t="s">
        <v>32</v>
      </c>
      <c r="AH233" s="220" t="str">
        <f t="shared" si="13"/>
        <v>4590004400_002</v>
      </c>
      <c r="AI233" s="208" t="s">
        <v>4441</v>
      </c>
      <c r="AJ233" s="227">
        <v>45408</v>
      </c>
      <c r="AK233" s="265">
        <v>82970.73</v>
      </c>
      <c r="AL233" s="227">
        <v>45488</v>
      </c>
      <c r="AM233" s="208"/>
      <c r="AN233" s="220"/>
      <c r="AP233" s="227"/>
      <c r="AQ233" s="358">
        <f ca="1">IF(表格1[[#This Row],[PO$]]="","100%",表格1[[#This Row],[total amount]]/表格1[[#This Row],[PO$]])</f>
        <v>1</v>
      </c>
      <c r="AR233" s="223">
        <f ca="1">表格1[[#This Row],[invoice amount]]+表格1[[#This Row],[invoice amount2]]</f>
        <v>82970.73</v>
      </c>
      <c r="AS233" s="224" t="s">
        <v>3673</v>
      </c>
      <c r="AT233" s="208"/>
      <c r="AU233" s="208" t="e">
        <f ca="1">VLOOKUP(表格1[[#This Row],[PO+ITEM]],#REF!,2,FALSE)</f>
        <v>#REF!</v>
      </c>
      <c r="AV233" s="341" t="e">
        <f ca="1">VLOOKUP(表格1[[#This Row],[PO+ITEM]],#REF!,3,FALSE)</f>
        <v>#REF!</v>
      </c>
      <c r="AW233" s="208" t="e">
        <f ca="1">VLOOKUP(表格1[[#This Row],[PO+ITEM]],#REF!,4,FALSE)</f>
        <v>#REF!</v>
      </c>
      <c r="AX233" s="208" t="e" cm="1" vm="1">
        <f t="array" aca="1" ref="AX233" ca="1">VLOOKUP(AI:AI,#REF!,1,FALSE)</f>
        <v>#VALUE!</v>
      </c>
    </row>
    <row r="234" spans="1:50">
      <c r="A234" s="220">
        <v>233</v>
      </c>
      <c r="B234" s="220" t="s">
        <v>3659</v>
      </c>
      <c r="C234" s="209" t="s">
        <v>16</v>
      </c>
      <c r="D234" s="209" t="s">
        <v>3648</v>
      </c>
      <c r="E234" s="209"/>
      <c r="F234" s="209"/>
      <c r="G234" s="209"/>
      <c r="H234" s="210" t="s">
        <v>4442</v>
      </c>
      <c r="I234" s="210"/>
      <c r="J234" s="211"/>
      <c r="K234" s="210"/>
      <c r="L234" s="212" t="s">
        <v>4440</v>
      </c>
      <c r="M234" s="212" t="s">
        <v>2999</v>
      </c>
      <c r="N234" s="213"/>
      <c r="O234" s="263">
        <v>4590004400</v>
      </c>
      <c r="P234" s="214">
        <v>44801</v>
      </c>
      <c r="Q234" s="334">
        <v>3</v>
      </c>
      <c r="R234" s="216">
        <v>82970.73</v>
      </c>
      <c r="S234" s="217" t="s">
        <v>2156</v>
      </c>
      <c r="T234" s="209" t="s">
        <v>3864</v>
      </c>
      <c r="U234" s="209" t="s">
        <v>3865</v>
      </c>
      <c r="V234" s="213" t="s">
        <v>3866</v>
      </c>
      <c r="W234" s="218" t="s">
        <v>3652</v>
      </c>
      <c r="X234" s="218" t="s">
        <v>3652</v>
      </c>
      <c r="Y234" s="212">
        <v>0</v>
      </c>
      <c r="Z234" s="209" t="s">
        <v>3664</v>
      </c>
      <c r="AA234" s="219"/>
      <c r="AB234" s="218"/>
      <c r="AC234" s="217" t="e">
        <v>#N/A</v>
      </c>
      <c r="AD234" s="217">
        <v>90049</v>
      </c>
      <c r="AE234" s="217" t="s">
        <v>2874</v>
      </c>
      <c r="AF234" s="217" t="s">
        <v>3681</v>
      </c>
      <c r="AG234" s="217" t="s">
        <v>32</v>
      </c>
      <c r="AH234" s="220" t="str">
        <f t="shared" si="13"/>
        <v>4590004400_003</v>
      </c>
      <c r="AI234" s="208"/>
      <c r="AJ234" s="220"/>
      <c r="AK234" s="221"/>
      <c r="AL234" s="227"/>
      <c r="AM234" s="208"/>
      <c r="AN234" s="220"/>
      <c r="AO234" s="222"/>
      <c r="AP234" s="227"/>
      <c r="AQ234" s="358">
        <f ca="1">IF(表格1[[#This Row],[PO$]]="","100%",表格1[[#This Row],[total amount]]/表格1[[#This Row],[PO$]])</f>
        <v>0</v>
      </c>
      <c r="AR234" s="223">
        <f ca="1">表格1[[#This Row],[invoice amount]]+表格1[[#This Row],[invoice amount2]]</f>
        <v>0</v>
      </c>
      <c r="AS234" s="224"/>
      <c r="AT234" s="208"/>
      <c r="AU234" s="208" t="e">
        <f ca="1">VLOOKUP(表格1[[#This Row],[PO+ITEM]],#REF!,2,FALSE)</f>
        <v>#REF!</v>
      </c>
      <c r="AV234" s="341" t="e">
        <f ca="1">VLOOKUP(表格1[[#This Row],[PO+ITEM]],#REF!,3,FALSE)</f>
        <v>#REF!</v>
      </c>
      <c r="AW234" s="208" t="e">
        <f ca="1">VLOOKUP(表格1[[#This Row],[PO+ITEM]],#REF!,4,FALSE)</f>
        <v>#REF!</v>
      </c>
      <c r="AX234" s="208" t="e" cm="1" vm="1">
        <f t="array" aca="1" ref="AX234" ca="1">VLOOKUP(AI:AI,#REF!,1,FALSE)</f>
        <v>#VALUE!</v>
      </c>
    </row>
    <row r="235" spans="1:50" ht="15.6">
      <c r="A235" s="220">
        <v>234</v>
      </c>
      <c r="B235" s="220" t="s">
        <v>3674</v>
      </c>
      <c r="C235" s="209" t="s">
        <v>16</v>
      </c>
      <c r="D235" s="209" t="s">
        <v>3648</v>
      </c>
      <c r="E235" s="209"/>
      <c r="F235" s="209"/>
      <c r="G235" s="209"/>
      <c r="H235" s="210" t="s">
        <v>4443</v>
      </c>
      <c r="I235" s="210"/>
      <c r="J235" s="211"/>
      <c r="K235" s="210"/>
      <c r="L235" s="212" t="s">
        <v>4440</v>
      </c>
      <c r="M235" s="212" t="s">
        <v>2999</v>
      </c>
      <c r="N235" s="213"/>
      <c r="O235" s="263">
        <v>4590004400</v>
      </c>
      <c r="P235" s="214">
        <v>44801</v>
      </c>
      <c r="Q235" s="334">
        <v>4</v>
      </c>
      <c r="R235" s="216">
        <v>12411</v>
      </c>
      <c r="S235" s="217" t="s">
        <v>2156</v>
      </c>
      <c r="T235" s="209" t="s">
        <v>3864</v>
      </c>
      <c r="U235" s="209" t="s">
        <v>3865</v>
      </c>
      <c r="V235" s="213" t="s">
        <v>3866</v>
      </c>
      <c r="W235" s="218" t="s">
        <v>3652</v>
      </c>
      <c r="X235" s="218" t="s">
        <v>3652</v>
      </c>
      <c r="Y235" s="212" t="s">
        <v>4437</v>
      </c>
      <c r="Z235" s="209" t="s">
        <v>3664</v>
      </c>
      <c r="AA235" s="219"/>
      <c r="AB235" s="218"/>
      <c r="AC235" s="217" t="e">
        <v>#N/A</v>
      </c>
      <c r="AD235" s="217">
        <v>90242</v>
      </c>
      <c r="AE235" s="217" t="s">
        <v>3533</v>
      </c>
      <c r="AF235" s="217" t="s">
        <v>3681</v>
      </c>
      <c r="AG235" s="217" t="s">
        <v>4444</v>
      </c>
      <c r="AH235" s="220" t="str">
        <f t="shared" si="13"/>
        <v>4590004400_004</v>
      </c>
      <c r="AI235" s="208"/>
      <c r="AJ235" s="225">
        <v>45108</v>
      </c>
      <c r="AK235" s="221">
        <v>4964.4000000000005</v>
      </c>
      <c r="AL235" s="244">
        <v>45351</v>
      </c>
      <c r="AM235" s="208"/>
      <c r="AN235" s="220"/>
      <c r="AO235" s="222"/>
      <c r="AP235" s="227"/>
      <c r="AQ235" s="358">
        <f ca="1">IF(表格1[[#This Row],[PO$]]="","100%",表格1[[#This Row],[total amount]]/表格1[[#This Row],[PO$]])</f>
        <v>0.4</v>
      </c>
      <c r="AR235" s="223">
        <f ca="1">表格1[[#This Row],[invoice amount]]+表格1[[#This Row],[invoice amount2]]</f>
        <v>4964.4000000000005</v>
      </c>
      <c r="AS235" s="224" t="s">
        <v>3673</v>
      </c>
      <c r="AT235" s="208"/>
      <c r="AU235" s="208" t="e">
        <f ca="1">VLOOKUP(表格1[[#This Row],[PO+ITEM]],#REF!,2,FALSE)</f>
        <v>#REF!</v>
      </c>
      <c r="AV235" s="341" t="e">
        <f ca="1">VLOOKUP(表格1[[#This Row],[PO+ITEM]],#REF!,3,FALSE)</f>
        <v>#REF!</v>
      </c>
      <c r="AW235" s="208" t="e">
        <f ca="1">VLOOKUP(表格1[[#This Row],[PO+ITEM]],#REF!,4,FALSE)</f>
        <v>#REF!</v>
      </c>
      <c r="AX235" s="208" t="e" cm="1" vm="1">
        <f t="array" aca="1" ref="AX235" ca="1">VLOOKUP(AI:AI,#REF!,1,FALSE)</f>
        <v>#VALUE!</v>
      </c>
    </row>
    <row r="236" spans="1:50">
      <c r="A236" s="220">
        <v>235</v>
      </c>
      <c r="B236" s="220" t="s">
        <v>3659</v>
      </c>
      <c r="C236" s="209" t="s">
        <v>16</v>
      </c>
      <c r="D236" s="209" t="s">
        <v>3648</v>
      </c>
      <c r="E236" s="209"/>
      <c r="F236" s="209"/>
      <c r="G236" s="209"/>
      <c r="H236" s="210" t="s">
        <v>4446</v>
      </c>
      <c r="I236" s="210"/>
      <c r="J236" s="211"/>
      <c r="K236" s="210"/>
      <c r="L236" s="212" t="s">
        <v>4440</v>
      </c>
      <c r="M236" s="212" t="s">
        <v>2999</v>
      </c>
      <c r="N236" s="213"/>
      <c r="O236" s="263">
        <v>4590004400</v>
      </c>
      <c r="P236" s="214">
        <v>44801</v>
      </c>
      <c r="Q236" s="334">
        <v>5</v>
      </c>
      <c r="R236" s="216">
        <v>12411</v>
      </c>
      <c r="S236" s="217" t="s">
        <v>2156</v>
      </c>
      <c r="T236" s="209" t="s">
        <v>3864</v>
      </c>
      <c r="U236" s="209" t="s">
        <v>3865</v>
      </c>
      <c r="V236" s="213" t="s">
        <v>3866</v>
      </c>
      <c r="W236" s="218" t="s">
        <v>3652</v>
      </c>
      <c r="X236" s="218" t="s">
        <v>3652</v>
      </c>
      <c r="Y236" s="212">
        <v>0</v>
      </c>
      <c r="Z236" s="209" t="s">
        <v>3664</v>
      </c>
      <c r="AA236" s="219"/>
      <c r="AB236" s="218"/>
      <c r="AC236" s="217" t="e">
        <v>#N/A</v>
      </c>
      <c r="AD236" s="217">
        <v>90240</v>
      </c>
      <c r="AE236" s="217" t="s">
        <v>4447</v>
      </c>
      <c r="AF236" s="217" t="s">
        <v>3681</v>
      </c>
      <c r="AG236" s="217" t="s">
        <v>4444</v>
      </c>
      <c r="AH236" s="220" t="str">
        <f t="shared" si="13"/>
        <v>4590004400_005</v>
      </c>
      <c r="AI236" s="208"/>
      <c r="AJ236" s="220"/>
      <c r="AK236" s="221"/>
      <c r="AL236" s="227"/>
      <c r="AM236" s="208"/>
      <c r="AN236" s="220"/>
      <c r="AO236" s="222"/>
      <c r="AP236" s="227"/>
      <c r="AQ236" s="358">
        <f ca="1">IF(表格1[[#This Row],[PO$]]="","100%",表格1[[#This Row],[total amount]]/表格1[[#This Row],[PO$]])</f>
        <v>0</v>
      </c>
      <c r="AR236" s="223">
        <f ca="1">表格1[[#This Row],[invoice amount]]+表格1[[#This Row],[invoice amount2]]</f>
        <v>0</v>
      </c>
      <c r="AS236" s="224"/>
      <c r="AT236" s="208"/>
      <c r="AU236" s="208" t="e">
        <f ca="1">VLOOKUP(表格1[[#This Row],[PO+ITEM]],#REF!,2,FALSE)</f>
        <v>#REF!</v>
      </c>
      <c r="AV236" s="341" t="e">
        <f ca="1">VLOOKUP(表格1[[#This Row],[PO+ITEM]],#REF!,3,FALSE)</f>
        <v>#REF!</v>
      </c>
      <c r="AW236" s="208" t="e">
        <f ca="1">VLOOKUP(表格1[[#This Row],[PO+ITEM]],#REF!,4,FALSE)</f>
        <v>#REF!</v>
      </c>
      <c r="AX236" s="208" t="e" cm="1" vm="1">
        <f t="array" aca="1" ref="AX236" ca="1">VLOOKUP(AI:AI,#REF!,1,FALSE)</f>
        <v>#VALUE!</v>
      </c>
    </row>
    <row r="237" spans="1:50" ht="15.6">
      <c r="A237" s="220">
        <v>236</v>
      </c>
      <c r="B237" s="220" t="s">
        <v>3674</v>
      </c>
      <c r="C237" s="209" t="s">
        <v>16</v>
      </c>
      <c r="D237" s="209" t="s">
        <v>3648</v>
      </c>
      <c r="E237" s="209"/>
      <c r="F237" s="209"/>
      <c r="G237" s="209"/>
      <c r="H237" s="210" t="s">
        <v>4448</v>
      </c>
      <c r="I237" s="210"/>
      <c r="J237" s="211"/>
      <c r="K237" s="210"/>
      <c r="L237" s="212" t="s">
        <v>4440</v>
      </c>
      <c r="M237" s="212" t="s">
        <v>2999</v>
      </c>
      <c r="N237" s="213"/>
      <c r="O237" s="263">
        <v>4590004400</v>
      </c>
      <c r="P237" s="214">
        <v>44801</v>
      </c>
      <c r="Q237" s="334">
        <v>6</v>
      </c>
      <c r="R237" s="216">
        <v>12411</v>
      </c>
      <c r="S237" s="217" t="s">
        <v>2156</v>
      </c>
      <c r="T237" s="209" t="s">
        <v>3864</v>
      </c>
      <c r="U237" s="209" t="s">
        <v>3865</v>
      </c>
      <c r="V237" s="213" t="s">
        <v>3866</v>
      </c>
      <c r="W237" s="218" t="s">
        <v>3652</v>
      </c>
      <c r="X237" s="218" t="s">
        <v>3652</v>
      </c>
      <c r="Y237" s="212" t="s">
        <v>4437</v>
      </c>
      <c r="Z237" s="209" t="s">
        <v>3664</v>
      </c>
      <c r="AA237" s="219"/>
      <c r="AB237" s="218"/>
      <c r="AC237" s="217" t="e">
        <v>#N/A</v>
      </c>
      <c r="AD237" s="217">
        <v>90241</v>
      </c>
      <c r="AE237" s="217" t="s">
        <v>3515</v>
      </c>
      <c r="AF237" s="217" t="s">
        <v>3681</v>
      </c>
      <c r="AG237" s="217" t="s">
        <v>4444</v>
      </c>
      <c r="AH237" s="220" t="str">
        <f t="shared" si="13"/>
        <v>4590004400_006</v>
      </c>
      <c r="AI237" s="208"/>
      <c r="AJ237" s="225">
        <v>45108</v>
      </c>
      <c r="AK237" s="221">
        <v>4964.4000000000005</v>
      </c>
      <c r="AL237" s="244">
        <v>45351</v>
      </c>
      <c r="AM237" s="208"/>
      <c r="AN237" s="220"/>
      <c r="AO237" s="222"/>
      <c r="AP237" s="227"/>
      <c r="AQ237" s="358">
        <f ca="1">IF(表格1[[#This Row],[PO$]]="","100%",表格1[[#This Row],[total amount]]/表格1[[#This Row],[PO$]])</f>
        <v>0.4</v>
      </c>
      <c r="AR237" s="223">
        <f ca="1">表格1[[#This Row],[invoice amount]]+表格1[[#This Row],[invoice amount2]]</f>
        <v>4964.4000000000005</v>
      </c>
      <c r="AS237" s="224" t="s">
        <v>3673</v>
      </c>
      <c r="AT237" s="208"/>
      <c r="AU237" s="208" t="e">
        <f ca="1">VLOOKUP(表格1[[#This Row],[PO+ITEM]],#REF!,2,FALSE)</f>
        <v>#REF!</v>
      </c>
      <c r="AV237" s="341" t="e">
        <f ca="1">VLOOKUP(表格1[[#This Row],[PO+ITEM]],#REF!,3,FALSE)</f>
        <v>#REF!</v>
      </c>
      <c r="AW237" s="208" t="e">
        <f ca="1">VLOOKUP(表格1[[#This Row],[PO+ITEM]],#REF!,4,FALSE)</f>
        <v>#REF!</v>
      </c>
      <c r="AX237" s="208" t="e" cm="1" vm="1">
        <f t="array" aca="1" ref="AX237" ca="1">VLOOKUP(AI:AI,#REF!,1,FALSE)</f>
        <v>#VALUE!</v>
      </c>
    </row>
    <row r="238" spans="1:50" ht="15.6">
      <c r="A238" s="220">
        <v>237</v>
      </c>
      <c r="B238" s="220" t="s">
        <v>3674</v>
      </c>
      <c r="C238" s="209" t="s">
        <v>16</v>
      </c>
      <c r="D238" s="209" t="s">
        <v>3648</v>
      </c>
      <c r="E238" s="209"/>
      <c r="F238" s="209"/>
      <c r="G238" s="209"/>
      <c r="H238" s="210" t="s">
        <v>4450</v>
      </c>
      <c r="I238" s="210"/>
      <c r="J238" s="211"/>
      <c r="K238" s="210"/>
      <c r="L238" s="212" t="s">
        <v>2206</v>
      </c>
      <c r="M238" s="212" t="s">
        <v>2999</v>
      </c>
      <c r="N238" s="213"/>
      <c r="O238" s="263">
        <v>4590004400</v>
      </c>
      <c r="P238" s="214">
        <v>44801</v>
      </c>
      <c r="Q238" s="334">
        <v>7</v>
      </c>
      <c r="R238" s="216">
        <v>2452.0500000000002</v>
      </c>
      <c r="S238" s="217" t="s">
        <v>2156</v>
      </c>
      <c r="T238" s="209" t="s">
        <v>3864</v>
      </c>
      <c r="U238" s="209" t="s">
        <v>3865</v>
      </c>
      <c r="V238" s="213" t="s">
        <v>3866</v>
      </c>
      <c r="W238" s="218" t="s">
        <v>3652</v>
      </c>
      <c r="X238" s="218" t="s">
        <v>3652</v>
      </c>
      <c r="Y238" s="212" t="s">
        <v>4437</v>
      </c>
      <c r="Z238" s="209" t="s">
        <v>3664</v>
      </c>
      <c r="AA238" s="219"/>
      <c r="AB238" s="218"/>
      <c r="AC238" s="217" t="e">
        <v>#N/A</v>
      </c>
      <c r="AD238" s="217">
        <v>90787</v>
      </c>
      <c r="AE238" s="217" t="s">
        <v>4451</v>
      </c>
      <c r="AF238" s="217" t="s">
        <v>3681</v>
      </c>
      <c r="AG238" s="217" t="s">
        <v>846</v>
      </c>
      <c r="AH238" s="220" t="str">
        <f t="shared" si="13"/>
        <v>4590004400_007</v>
      </c>
      <c r="AI238" s="208"/>
      <c r="AJ238" s="225">
        <v>45047</v>
      </c>
      <c r="AK238" s="221">
        <v>980.82000000000016</v>
      </c>
      <c r="AL238" s="228">
        <v>45303</v>
      </c>
      <c r="AM238" s="208" t="s">
        <v>4452</v>
      </c>
      <c r="AN238" s="227">
        <v>45372</v>
      </c>
      <c r="AO238" s="222">
        <v>1471.23</v>
      </c>
      <c r="AP238" s="345">
        <v>45458</v>
      </c>
      <c r="AQ238" s="358">
        <f ca="1">IF(表格1[[#This Row],[PO$]]="","100%",表格1[[#This Row],[total amount]]/表格1[[#This Row],[PO$]])</f>
        <v>1</v>
      </c>
      <c r="AR238" s="223">
        <f ca="1">表格1[[#This Row],[invoice amount]]+表格1[[#This Row],[invoice amount2]]</f>
        <v>2452.0500000000002</v>
      </c>
      <c r="AS238" s="224" t="s">
        <v>3725</v>
      </c>
      <c r="AT238" s="208"/>
      <c r="AU238" s="208" t="e">
        <f ca="1">VLOOKUP(表格1[[#This Row],[PO+ITEM]],#REF!,2,FALSE)</f>
        <v>#REF!</v>
      </c>
      <c r="AV238" s="341" t="e">
        <f ca="1">VLOOKUP(表格1[[#This Row],[PO+ITEM]],#REF!,3,FALSE)</f>
        <v>#REF!</v>
      </c>
      <c r="AW238" s="208" t="e">
        <f ca="1">VLOOKUP(表格1[[#This Row],[PO+ITEM]],#REF!,4,FALSE)</f>
        <v>#REF!</v>
      </c>
      <c r="AX238" s="208" t="e" cm="1" vm="1">
        <f t="array" aca="1" ref="AX238" ca="1">VLOOKUP(AI:AI,#REF!,1,FALSE)</f>
        <v>#VALUE!</v>
      </c>
    </row>
    <row r="239" spans="1:50" ht="15.6">
      <c r="A239" s="220">
        <v>238</v>
      </c>
      <c r="B239" s="220" t="s">
        <v>3674</v>
      </c>
      <c r="C239" s="209" t="s">
        <v>16</v>
      </c>
      <c r="D239" s="209" t="s">
        <v>3648</v>
      </c>
      <c r="E239" s="209"/>
      <c r="F239" s="209"/>
      <c r="G239" s="209"/>
      <c r="H239" s="210" t="s">
        <v>4453</v>
      </c>
      <c r="I239" s="210"/>
      <c r="J239" s="211"/>
      <c r="K239" s="210"/>
      <c r="L239" s="212" t="s">
        <v>2206</v>
      </c>
      <c r="M239" s="212" t="s">
        <v>2999</v>
      </c>
      <c r="N239" s="213"/>
      <c r="O239" s="263">
        <v>4590004400</v>
      </c>
      <c r="P239" s="214">
        <v>44801</v>
      </c>
      <c r="Q239" s="334">
        <v>8</v>
      </c>
      <c r="R239" s="216">
        <v>6719.7</v>
      </c>
      <c r="S239" s="217" t="s">
        <v>2156</v>
      </c>
      <c r="T239" s="209" t="s">
        <v>3864</v>
      </c>
      <c r="U239" s="209" t="s">
        <v>3865</v>
      </c>
      <c r="V239" s="213" t="s">
        <v>3866</v>
      </c>
      <c r="W239" s="218" t="s">
        <v>3652</v>
      </c>
      <c r="X239" s="218" t="s">
        <v>3652</v>
      </c>
      <c r="Y239" s="212" t="s">
        <v>4437</v>
      </c>
      <c r="Z239" s="209" t="s">
        <v>3664</v>
      </c>
      <c r="AA239" s="219"/>
      <c r="AB239" s="218"/>
      <c r="AC239" s="217" t="e">
        <v>#N/A</v>
      </c>
      <c r="AD239" s="217">
        <v>90232</v>
      </c>
      <c r="AE239" s="217" t="s">
        <v>2634</v>
      </c>
      <c r="AF239" s="217" t="s">
        <v>3681</v>
      </c>
      <c r="AG239" s="217" t="s">
        <v>846</v>
      </c>
      <c r="AH239" s="220" t="str">
        <f t="shared" si="13"/>
        <v>4590004400_008</v>
      </c>
      <c r="AI239" s="208"/>
      <c r="AJ239" s="225">
        <v>45078</v>
      </c>
      <c r="AK239" s="221">
        <v>2687.88</v>
      </c>
      <c r="AL239" s="244">
        <v>45351</v>
      </c>
      <c r="AM239" s="208" t="s">
        <v>4454</v>
      </c>
      <c r="AN239" s="227">
        <v>45345</v>
      </c>
      <c r="AO239" s="222">
        <v>4031.8199999999997</v>
      </c>
      <c r="AP239" s="227">
        <v>45442</v>
      </c>
      <c r="AQ239" s="358">
        <f ca="1">IF(表格1[[#This Row],[PO$]]="","100%",表格1[[#This Row],[total amount]]/表格1[[#This Row],[PO$]])</f>
        <v>1</v>
      </c>
      <c r="AR239" s="223">
        <f ca="1">表格1[[#This Row],[invoice amount]]+表格1[[#This Row],[invoice amount2]]</f>
        <v>6719.7</v>
      </c>
      <c r="AS239" s="224" t="s">
        <v>3673</v>
      </c>
      <c r="AT239" s="208"/>
      <c r="AU239" s="208" t="e">
        <f ca="1">VLOOKUP(表格1[[#This Row],[PO+ITEM]],#REF!,2,FALSE)</f>
        <v>#REF!</v>
      </c>
      <c r="AV239" s="341" t="e">
        <f ca="1">VLOOKUP(表格1[[#This Row],[PO+ITEM]],#REF!,3,FALSE)</f>
        <v>#REF!</v>
      </c>
      <c r="AW239" s="208" t="e">
        <f ca="1">VLOOKUP(表格1[[#This Row],[PO+ITEM]],#REF!,4,FALSE)</f>
        <v>#REF!</v>
      </c>
      <c r="AX239" s="208" t="e" cm="1" vm="1">
        <f t="array" aca="1" ref="AX239" ca="1">VLOOKUP(AI:AI,#REF!,1,FALSE)</f>
        <v>#VALUE!</v>
      </c>
    </row>
    <row r="240" spans="1:50" ht="15.6">
      <c r="A240" s="220">
        <v>239</v>
      </c>
      <c r="B240" s="220" t="s">
        <v>3659</v>
      </c>
      <c r="C240" s="209" t="s">
        <v>16</v>
      </c>
      <c r="D240" s="209" t="s">
        <v>3648</v>
      </c>
      <c r="E240" s="209"/>
      <c r="F240" s="209"/>
      <c r="G240" s="209"/>
      <c r="H240" s="210" t="s">
        <v>4455</v>
      </c>
      <c r="I240" s="210"/>
      <c r="J240" s="211"/>
      <c r="K240" s="210"/>
      <c r="L240" s="212" t="s">
        <v>2206</v>
      </c>
      <c r="M240" s="212" t="s">
        <v>2999</v>
      </c>
      <c r="N240" s="213"/>
      <c r="O240" s="263">
        <v>4590004400</v>
      </c>
      <c r="P240" s="214">
        <v>44801</v>
      </c>
      <c r="Q240" s="334">
        <v>9</v>
      </c>
      <c r="R240" s="216">
        <v>6719.7</v>
      </c>
      <c r="S240" s="217" t="s">
        <v>2156</v>
      </c>
      <c r="T240" s="209" t="s">
        <v>3864</v>
      </c>
      <c r="U240" s="209" t="s">
        <v>3865</v>
      </c>
      <c r="V240" s="213" t="s">
        <v>3866</v>
      </c>
      <c r="W240" s="218" t="s">
        <v>3652</v>
      </c>
      <c r="X240" s="218" t="s">
        <v>3652</v>
      </c>
      <c r="Y240" s="212" t="s">
        <v>4437</v>
      </c>
      <c r="Z240" s="209" t="s">
        <v>3664</v>
      </c>
      <c r="AA240" s="219"/>
      <c r="AB240" s="218"/>
      <c r="AC240" s="217" t="e">
        <v>#N/A</v>
      </c>
      <c r="AD240" s="217">
        <v>90233</v>
      </c>
      <c r="AE240" s="217" t="s">
        <v>4456</v>
      </c>
      <c r="AF240" s="217" t="s">
        <v>3681</v>
      </c>
      <c r="AG240" s="217" t="s">
        <v>846</v>
      </c>
      <c r="AH240" s="220" t="str">
        <f t="shared" si="13"/>
        <v>4590004400_009</v>
      </c>
      <c r="AI240" s="208"/>
      <c r="AJ240" s="225">
        <v>45047</v>
      </c>
      <c r="AK240" s="221">
        <v>2687.88</v>
      </c>
      <c r="AL240" s="228">
        <v>45303</v>
      </c>
      <c r="AM240" s="208"/>
      <c r="AN240" s="220"/>
      <c r="AO240" s="222"/>
      <c r="AP240" s="227"/>
      <c r="AQ240" s="358">
        <f ca="1">IF(表格1[[#This Row],[PO$]]="","100%",表格1[[#This Row],[total amount]]/表格1[[#This Row],[PO$]])</f>
        <v>0.4</v>
      </c>
      <c r="AR240" s="223">
        <f ca="1">表格1[[#This Row],[invoice amount]]+表格1[[#This Row],[invoice amount2]]</f>
        <v>2687.88</v>
      </c>
      <c r="AS240" s="224" t="s">
        <v>3673</v>
      </c>
      <c r="AT240" s="208"/>
      <c r="AU240" s="208" t="e">
        <f ca="1">VLOOKUP(表格1[[#This Row],[PO+ITEM]],#REF!,2,FALSE)</f>
        <v>#REF!</v>
      </c>
      <c r="AV240" s="341" t="e">
        <f ca="1">VLOOKUP(表格1[[#This Row],[PO+ITEM]],#REF!,3,FALSE)</f>
        <v>#REF!</v>
      </c>
      <c r="AW240" s="208" t="e">
        <f ca="1">VLOOKUP(表格1[[#This Row],[PO+ITEM]],#REF!,4,FALSE)</f>
        <v>#REF!</v>
      </c>
      <c r="AX240" s="208" t="e" cm="1" vm="1">
        <f t="array" aca="1" ref="AX240" ca="1">VLOOKUP(AI:AI,#REF!,1,FALSE)</f>
        <v>#VALUE!</v>
      </c>
    </row>
    <row r="241" spans="1:50" ht="15.6">
      <c r="A241" s="220">
        <v>240</v>
      </c>
      <c r="B241" s="220" t="s">
        <v>3674</v>
      </c>
      <c r="C241" s="209" t="s">
        <v>16</v>
      </c>
      <c r="D241" s="209" t="s">
        <v>3648</v>
      </c>
      <c r="E241" s="209"/>
      <c r="F241" s="209"/>
      <c r="G241" s="209"/>
      <c r="H241" s="210" t="s">
        <v>4457</v>
      </c>
      <c r="I241" s="210"/>
      <c r="J241" s="211"/>
      <c r="K241" s="210"/>
      <c r="L241" s="212" t="s">
        <v>2206</v>
      </c>
      <c r="M241" s="212" t="s">
        <v>2999</v>
      </c>
      <c r="N241" s="213"/>
      <c r="O241" s="263">
        <v>4590004400</v>
      </c>
      <c r="P241" s="214">
        <v>44801</v>
      </c>
      <c r="Q241" s="334">
        <v>10</v>
      </c>
      <c r="R241" s="216">
        <v>6719.7</v>
      </c>
      <c r="S241" s="217" t="s">
        <v>2156</v>
      </c>
      <c r="T241" s="209" t="s">
        <v>3864</v>
      </c>
      <c r="U241" s="209" t="s">
        <v>3865</v>
      </c>
      <c r="V241" s="213" t="s">
        <v>3866</v>
      </c>
      <c r="W241" s="218" t="s">
        <v>3652</v>
      </c>
      <c r="X241" s="218" t="s">
        <v>3652</v>
      </c>
      <c r="Y241" s="212" t="s">
        <v>4437</v>
      </c>
      <c r="Z241" s="209" t="s">
        <v>3664</v>
      </c>
      <c r="AA241" s="219"/>
      <c r="AB241" s="218"/>
      <c r="AC241" s="217" t="e">
        <v>#N/A</v>
      </c>
      <c r="AD241" s="217">
        <v>90234</v>
      </c>
      <c r="AE241" s="217" t="s">
        <v>2763</v>
      </c>
      <c r="AF241" s="217" t="s">
        <v>3681</v>
      </c>
      <c r="AG241" s="217" t="s">
        <v>846</v>
      </c>
      <c r="AH241" s="220" t="str">
        <f t="shared" ref="AH241:AH246" si="14">O241&amp;"_0"&amp;Q241</f>
        <v>4590004400_010</v>
      </c>
      <c r="AI241" s="208"/>
      <c r="AJ241" s="225">
        <v>45047</v>
      </c>
      <c r="AK241" s="221">
        <v>2687.88</v>
      </c>
      <c r="AL241" s="228">
        <v>45303</v>
      </c>
      <c r="AM241" s="208" t="s">
        <v>4458</v>
      </c>
      <c r="AN241" s="227">
        <v>45372</v>
      </c>
      <c r="AO241" s="222">
        <v>4031.7999999999997</v>
      </c>
      <c r="AP241" s="227" t="s">
        <v>5710</v>
      </c>
      <c r="AQ241" s="358">
        <f ca="1">IF(表格1[[#This Row],[PO$]]="","100%",表格1[[#This Row],[total amount]]/表格1[[#This Row],[PO$]])</f>
        <v>0.99999702367665233</v>
      </c>
      <c r="AR241" s="223">
        <f ca="1">表格1[[#This Row],[invoice amount]]+表格1[[#This Row],[invoice amount2]]</f>
        <v>6719.68</v>
      </c>
      <c r="AS241" s="224" t="s">
        <v>4371</v>
      </c>
      <c r="AT241" s="208"/>
      <c r="AU241" s="208" t="e">
        <f ca="1">VLOOKUP(表格1[[#This Row],[PO+ITEM]],#REF!,2,FALSE)</f>
        <v>#REF!</v>
      </c>
      <c r="AV241" s="341" t="e">
        <f ca="1">VLOOKUP(表格1[[#This Row],[PO+ITEM]],#REF!,3,FALSE)</f>
        <v>#REF!</v>
      </c>
      <c r="AW241" s="208" t="e">
        <f ca="1">VLOOKUP(表格1[[#This Row],[PO+ITEM]],#REF!,4,FALSE)</f>
        <v>#REF!</v>
      </c>
      <c r="AX241" s="208" t="e" cm="1" vm="1">
        <f t="array" aca="1" ref="AX241" ca="1">VLOOKUP(AI:AI,#REF!,1,FALSE)</f>
        <v>#VALUE!</v>
      </c>
    </row>
    <row r="242" spans="1:50" ht="15.6">
      <c r="A242" s="220">
        <v>241</v>
      </c>
      <c r="B242" s="220" t="s">
        <v>3674</v>
      </c>
      <c r="C242" s="209" t="s">
        <v>16</v>
      </c>
      <c r="D242" s="209" t="s">
        <v>3648</v>
      </c>
      <c r="E242" s="209"/>
      <c r="F242" s="209"/>
      <c r="G242" s="209"/>
      <c r="H242" s="210" t="s">
        <v>4459</v>
      </c>
      <c r="I242" s="210"/>
      <c r="J242" s="211"/>
      <c r="K242" s="210"/>
      <c r="L242" s="212" t="s">
        <v>2206</v>
      </c>
      <c r="M242" s="212" t="s">
        <v>2999</v>
      </c>
      <c r="N242" s="213"/>
      <c r="O242" s="263">
        <v>4590004400</v>
      </c>
      <c r="P242" s="214">
        <v>44801</v>
      </c>
      <c r="Q242" s="334">
        <v>11</v>
      </c>
      <c r="R242" s="216">
        <v>6719.7</v>
      </c>
      <c r="S242" s="217" t="s">
        <v>2156</v>
      </c>
      <c r="T242" s="209" t="s">
        <v>3864</v>
      </c>
      <c r="U242" s="209" t="s">
        <v>3865</v>
      </c>
      <c r="V242" s="213" t="s">
        <v>3866</v>
      </c>
      <c r="W242" s="218" t="s">
        <v>3652</v>
      </c>
      <c r="X242" s="218" t="s">
        <v>3652</v>
      </c>
      <c r="Y242" s="212" t="s">
        <v>4437</v>
      </c>
      <c r="Z242" s="209" t="s">
        <v>3664</v>
      </c>
      <c r="AA242" s="219"/>
      <c r="AB242" s="218"/>
      <c r="AC242" s="217" t="e">
        <v>#N/A</v>
      </c>
      <c r="AD242" s="217">
        <v>90235</v>
      </c>
      <c r="AE242" s="217" t="s">
        <v>2737</v>
      </c>
      <c r="AF242" s="217" t="s">
        <v>3681</v>
      </c>
      <c r="AG242" s="217" t="s">
        <v>846</v>
      </c>
      <c r="AH242" s="220" t="str">
        <f t="shared" si="14"/>
        <v>4590004400_011</v>
      </c>
      <c r="AI242" s="208"/>
      <c r="AJ242" s="225">
        <v>45047</v>
      </c>
      <c r="AK242" s="221">
        <v>2687.88</v>
      </c>
      <c r="AL242" s="228">
        <v>45303</v>
      </c>
      <c r="AM242" s="208"/>
      <c r="AN242" s="220"/>
      <c r="AO242" s="222"/>
      <c r="AP242" s="227"/>
      <c r="AQ242" s="358">
        <f ca="1">IF(表格1[[#This Row],[PO$]]="","100%",表格1[[#This Row],[total amount]]/表格1[[#This Row],[PO$]])</f>
        <v>0.4</v>
      </c>
      <c r="AR242" s="223">
        <f ca="1">表格1[[#This Row],[invoice amount]]+表格1[[#This Row],[invoice amount2]]</f>
        <v>2687.88</v>
      </c>
      <c r="AS242" s="224" t="s">
        <v>3673</v>
      </c>
      <c r="AT242" s="208"/>
      <c r="AU242" s="208" t="e">
        <f ca="1">VLOOKUP(表格1[[#This Row],[PO+ITEM]],#REF!,2,FALSE)</f>
        <v>#REF!</v>
      </c>
      <c r="AV242" s="341" t="e">
        <f ca="1">VLOOKUP(表格1[[#This Row],[PO+ITEM]],#REF!,3,FALSE)</f>
        <v>#REF!</v>
      </c>
      <c r="AW242" s="208" t="e">
        <f ca="1">VLOOKUP(表格1[[#This Row],[PO+ITEM]],#REF!,4,FALSE)</f>
        <v>#REF!</v>
      </c>
      <c r="AX242" s="208" t="e" cm="1" vm="1">
        <f t="array" aca="1" ref="AX242" ca="1">VLOOKUP(AI:AI,#REF!,1,FALSE)</f>
        <v>#VALUE!</v>
      </c>
    </row>
    <row r="243" spans="1:50" ht="15.6">
      <c r="A243" s="220">
        <v>242</v>
      </c>
      <c r="B243" s="220" t="s">
        <v>3674</v>
      </c>
      <c r="C243" s="209" t="s">
        <v>16</v>
      </c>
      <c r="D243" s="209" t="s">
        <v>3648</v>
      </c>
      <c r="E243" s="209"/>
      <c r="F243" s="209"/>
      <c r="G243" s="209"/>
      <c r="H243" s="217" t="s">
        <v>4461</v>
      </c>
      <c r="I243" s="217"/>
      <c r="J243" s="215"/>
      <c r="K243" s="217"/>
      <c r="L243" s="212" t="s">
        <v>2206</v>
      </c>
      <c r="M243" s="212" t="s">
        <v>2999</v>
      </c>
      <c r="N243" s="213"/>
      <c r="O243" s="263">
        <v>4590004400</v>
      </c>
      <c r="P243" s="214">
        <v>44801</v>
      </c>
      <c r="Q243" s="334">
        <v>12</v>
      </c>
      <c r="R243" s="216">
        <v>6719.7</v>
      </c>
      <c r="S243" s="217" t="s">
        <v>2156</v>
      </c>
      <c r="T243" s="209" t="s">
        <v>3864</v>
      </c>
      <c r="U243" s="209" t="s">
        <v>3865</v>
      </c>
      <c r="V243" s="213" t="s">
        <v>3866</v>
      </c>
      <c r="W243" s="218" t="s">
        <v>3652</v>
      </c>
      <c r="X243" s="218" t="s">
        <v>3652</v>
      </c>
      <c r="Y243" s="212" t="s">
        <v>4437</v>
      </c>
      <c r="Z243" s="209" t="s">
        <v>3664</v>
      </c>
      <c r="AA243" s="219"/>
      <c r="AB243" s="218"/>
      <c r="AC243" s="217" t="e">
        <v>#N/A</v>
      </c>
      <c r="AD243" s="217">
        <v>90231</v>
      </c>
      <c r="AE243" s="217" t="s">
        <v>2585</v>
      </c>
      <c r="AF243" s="217" t="s">
        <v>3681</v>
      </c>
      <c r="AG243" s="217" t="s">
        <v>846</v>
      </c>
      <c r="AH243" s="220" t="str">
        <f t="shared" si="14"/>
        <v>4590004400_012</v>
      </c>
      <c r="AI243" s="208"/>
      <c r="AJ243" s="225">
        <v>45047</v>
      </c>
      <c r="AK243" s="221">
        <v>2687.88</v>
      </c>
      <c r="AL243" s="228">
        <v>45303</v>
      </c>
      <c r="AM243" s="208"/>
      <c r="AN243" s="220"/>
      <c r="AO243" s="222"/>
      <c r="AP243" s="227"/>
      <c r="AQ243" s="358">
        <f ca="1">IF(表格1[[#This Row],[PO$]]="","100%",表格1[[#This Row],[total amount]]/表格1[[#This Row],[PO$]])</f>
        <v>0.4</v>
      </c>
      <c r="AR243" s="223">
        <f ca="1">表格1[[#This Row],[invoice amount]]+表格1[[#This Row],[invoice amount2]]</f>
        <v>2687.88</v>
      </c>
      <c r="AS243" s="224" t="s">
        <v>3673</v>
      </c>
      <c r="AT243" s="208"/>
      <c r="AU243" s="208" t="e">
        <f ca="1">VLOOKUP(表格1[[#This Row],[PO+ITEM]],#REF!,2,FALSE)</f>
        <v>#REF!</v>
      </c>
      <c r="AV243" s="341" t="e">
        <f ca="1">VLOOKUP(表格1[[#This Row],[PO+ITEM]],#REF!,3,FALSE)</f>
        <v>#REF!</v>
      </c>
      <c r="AW243" s="208" t="e">
        <f ca="1">VLOOKUP(表格1[[#This Row],[PO+ITEM]],#REF!,4,FALSE)</f>
        <v>#REF!</v>
      </c>
      <c r="AX243" s="208" t="e" cm="1" vm="1">
        <f t="array" aca="1" ref="AX243" ca="1">VLOOKUP(AI:AI,#REF!,1,FALSE)</f>
        <v>#VALUE!</v>
      </c>
    </row>
    <row r="244" spans="1:50" ht="15.6">
      <c r="A244" s="220">
        <v>243</v>
      </c>
      <c r="B244" s="220" t="s">
        <v>3674</v>
      </c>
      <c r="C244" s="209" t="s">
        <v>16</v>
      </c>
      <c r="D244" s="209" t="s">
        <v>3648</v>
      </c>
      <c r="E244" s="209"/>
      <c r="F244" s="209"/>
      <c r="G244" s="209"/>
      <c r="H244" s="210" t="s">
        <v>4462</v>
      </c>
      <c r="I244" s="210"/>
      <c r="J244" s="211"/>
      <c r="K244" s="210"/>
      <c r="L244" s="212" t="s">
        <v>2206</v>
      </c>
      <c r="M244" s="212" t="s">
        <v>2999</v>
      </c>
      <c r="N244" s="213"/>
      <c r="O244" s="263">
        <v>4590004400</v>
      </c>
      <c r="P244" s="214">
        <v>44801</v>
      </c>
      <c r="Q244" s="334">
        <v>13</v>
      </c>
      <c r="R244" s="216">
        <v>6719.7</v>
      </c>
      <c r="S244" s="217" t="s">
        <v>2156</v>
      </c>
      <c r="T244" s="209" t="s">
        <v>3864</v>
      </c>
      <c r="U244" s="209" t="s">
        <v>3865</v>
      </c>
      <c r="V244" s="213" t="s">
        <v>3866</v>
      </c>
      <c r="W244" s="218" t="s">
        <v>3652</v>
      </c>
      <c r="X244" s="218" t="s">
        <v>3652</v>
      </c>
      <c r="Y244" s="212" t="s">
        <v>4437</v>
      </c>
      <c r="Z244" s="209" t="s">
        <v>3664</v>
      </c>
      <c r="AA244" s="219"/>
      <c r="AB244" s="218"/>
      <c r="AC244" s="217" t="e">
        <v>#N/A</v>
      </c>
      <c r="AD244" s="217">
        <v>90497</v>
      </c>
      <c r="AE244" s="217" t="s">
        <v>2637</v>
      </c>
      <c r="AF244" s="217" t="s">
        <v>3681</v>
      </c>
      <c r="AG244" s="217" t="s">
        <v>846</v>
      </c>
      <c r="AH244" s="220" t="str">
        <f t="shared" si="14"/>
        <v>4590004400_013</v>
      </c>
      <c r="AI244" s="208"/>
      <c r="AJ244" s="225">
        <v>45047</v>
      </c>
      <c r="AK244" s="221">
        <v>2687.88</v>
      </c>
      <c r="AL244" s="228">
        <v>45303</v>
      </c>
      <c r="AM244" s="208"/>
      <c r="AN244" s="220"/>
      <c r="AO244" s="222"/>
      <c r="AP244" s="227"/>
      <c r="AQ244" s="358">
        <f ca="1">IF(表格1[[#This Row],[PO$]]="","100%",表格1[[#This Row],[total amount]]/表格1[[#This Row],[PO$]])</f>
        <v>0.4</v>
      </c>
      <c r="AR244" s="223">
        <f ca="1">表格1[[#This Row],[invoice amount]]+表格1[[#This Row],[invoice amount2]]</f>
        <v>2687.88</v>
      </c>
      <c r="AS244" s="224" t="s">
        <v>3673</v>
      </c>
      <c r="AT244" s="208"/>
      <c r="AU244" s="208" t="e">
        <f ca="1">VLOOKUP(表格1[[#This Row],[PO+ITEM]],#REF!,2,FALSE)</f>
        <v>#REF!</v>
      </c>
      <c r="AV244" s="341" t="e">
        <f ca="1">VLOOKUP(表格1[[#This Row],[PO+ITEM]],#REF!,3,FALSE)</f>
        <v>#REF!</v>
      </c>
      <c r="AW244" s="208" t="e">
        <f ca="1">VLOOKUP(表格1[[#This Row],[PO+ITEM]],#REF!,4,FALSE)</f>
        <v>#REF!</v>
      </c>
      <c r="AX244" s="208" t="e" cm="1" vm="1">
        <f t="array" aca="1" ref="AX244" ca="1">VLOOKUP(AI:AI,#REF!,1,FALSE)</f>
        <v>#VALUE!</v>
      </c>
    </row>
    <row r="245" spans="1:50" ht="15.6">
      <c r="A245" s="220">
        <v>244</v>
      </c>
      <c r="B245" s="220" t="s">
        <v>3674</v>
      </c>
      <c r="C245" s="209" t="s">
        <v>16</v>
      </c>
      <c r="D245" s="209" t="s">
        <v>3648</v>
      </c>
      <c r="E245" s="209"/>
      <c r="F245" s="209"/>
      <c r="G245" s="209"/>
      <c r="H245" s="217" t="s">
        <v>4463</v>
      </c>
      <c r="I245" s="217"/>
      <c r="J245" s="215"/>
      <c r="K245" s="217"/>
      <c r="L245" s="212" t="s">
        <v>2206</v>
      </c>
      <c r="M245" s="212" t="s">
        <v>2999</v>
      </c>
      <c r="N245" s="213"/>
      <c r="O245" s="263">
        <v>4590004400</v>
      </c>
      <c r="P245" s="214">
        <v>44801</v>
      </c>
      <c r="Q245" s="334">
        <v>14</v>
      </c>
      <c r="R245" s="216">
        <v>1679.93</v>
      </c>
      <c r="S245" s="217" t="s">
        <v>2156</v>
      </c>
      <c r="T245" s="209" t="s">
        <v>3864</v>
      </c>
      <c r="U245" s="209" t="s">
        <v>3865</v>
      </c>
      <c r="V245" s="213" t="s">
        <v>3866</v>
      </c>
      <c r="W245" s="218" t="s">
        <v>3652</v>
      </c>
      <c r="X245" s="218" t="s">
        <v>3652</v>
      </c>
      <c r="Y245" s="212" t="s">
        <v>4437</v>
      </c>
      <c r="Z245" s="209" t="s">
        <v>3664</v>
      </c>
      <c r="AA245" s="219"/>
      <c r="AB245" s="218"/>
      <c r="AC245" s="217" t="e">
        <v>#N/A</v>
      </c>
      <c r="AD245" s="217">
        <v>90776</v>
      </c>
      <c r="AE245" s="217" t="s">
        <v>2602</v>
      </c>
      <c r="AF245" s="217" t="s">
        <v>3681</v>
      </c>
      <c r="AG245" s="217" t="s">
        <v>846</v>
      </c>
      <c r="AH245" s="220" t="str">
        <f t="shared" si="14"/>
        <v>4590004400_014</v>
      </c>
      <c r="AI245" s="208"/>
      <c r="AJ245" s="225">
        <v>45047</v>
      </c>
      <c r="AK245" s="221">
        <v>671.97200000000009</v>
      </c>
      <c r="AL245" s="228">
        <v>45303</v>
      </c>
      <c r="AM245" s="208" t="s">
        <v>4464</v>
      </c>
      <c r="AN245" s="227">
        <v>45372</v>
      </c>
      <c r="AO245" s="222">
        <v>1007.96</v>
      </c>
      <c r="AP245" s="345">
        <v>45458</v>
      </c>
      <c r="AQ245" s="358">
        <f ca="1">IF(表格1[[#This Row],[PO$]]="","100%",表格1[[#This Row],[total amount]]/表格1[[#This Row],[PO$]])</f>
        <v>1.0000011905257957</v>
      </c>
      <c r="AR245" s="223">
        <f ca="1">表格1[[#This Row],[invoice amount]]+表格1[[#This Row],[invoice amount2]]</f>
        <v>1679.9320000000002</v>
      </c>
      <c r="AS245" s="224" t="s">
        <v>3725</v>
      </c>
      <c r="AT245" s="208"/>
      <c r="AU245" s="208" t="e">
        <f ca="1">VLOOKUP(表格1[[#This Row],[PO+ITEM]],#REF!,2,FALSE)</f>
        <v>#REF!</v>
      </c>
      <c r="AV245" s="341" t="e">
        <f ca="1">VLOOKUP(表格1[[#This Row],[PO+ITEM]],#REF!,3,FALSE)</f>
        <v>#REF!</v>
      </c>
      <c r="AW245" s="208" t="e">
        <f ca="1">VLOOKUP(表格1[[#This Row],[PO+ITEM]],#REF!,4,FALSE)</f>
        <v>#REF!</v>
      </c>
      <c r="AX245" s="208" t="e" cm="1" vm="1">
        <f t="array" aca="1" ref="AX245" ca="1">VLOOKUP(AI:AI,#REF!,1,FALSE)</f>
        <v>#VALUE!</v>
      </c>
    </row>
    <row r="246" spans="1:50" ht="15.6">
      <c r="A246" s="220">
        <v>245</v>
      </c>
      <c r="B246" s="220" t="s">
        <v>3659</v>
      </c>
      <c r="C246" s="209" t="s">
        <v>16</v>
      </c>
      <c r="D246" s="209" t="s">
        <v>3648</v>
      </c>
      <c r="E246" s="209"/>
      <c r="F246" s="209"/>
      <c r="G246" s="209"/>
      <c r="H246" s="217" t="s">
        <v>4465</v>
      </c>
      <c r="I246" s="217"/>
      <c r="J246" s="215"/>
      <c r="K246" s="217"/>
      <c r="L246" s="212" t="s">
        <v>2206</v>
      </c>
      <c r="M246" s="212" t="s">
        <v>2999</v>
      </c>
      <c r="N246" s="213"/>
      <c r="O246" s="263">
        <v>4590004400</v>
      </c>
      <c r="P246" s="214">
        <v>44801</v>
      </c>
      <c r="Q246" s="334">
        <v>15</v>
      </c>
      <c r="R246" s="216">
        <v>1679.93</v>
      </c>
      <c r="S246" s="217" t="s">
        <v>2156</v>
      </c>
      <c r="T246" s="209" t="s">
        <v>3864</v>
      </c>
      <c r="U246" s="209" t="s">
        <v>3865</v>
      </c>
      <c r="V246" s="213" t="s">
        <v>3866</v>
      </c>
      <c r="W246" s="218" t="s">
        <v>3652</v>
      </c>
      <c r="X246" s="218" t="s">
        <v>3652</v>
      </c>
      <c r="Y246" s="212" t="s">
        <v>4437</v>
      </c>
      <c r="Z246" s="209" t="s">
        <v>3664</v>
      </c>
      <c r="AA246" s="219"/>
      <c r="AB246" s="218"/>
      <c r="AC246" s="217" t="e">
        <v>#N/A</v>
      </c>
      <c r="AD246" s="217">
        <v>90777</v>
      </c>
      <c r="AE246" s="217" t="s">
        <v>4466</v>
      </c>
      <c r="AF246" s="217" t="s">
        <v>3681</v>
      </c>
      <c r="AG246" s="217" t="s">
        <v>846</v>
      </c>
      <c r="AH246" s="220" t="str">
        <f t="shared" si="14"/>
        <v>4590004400_015</v>
      </c>
      <c r="AI246" s="208"/>
      <c r="AJ246" s="225">
        <v>45047</v>
      </c>
      <c r="AK246" s="221">
        <v>671.97200000000009</v>
      </c>
      <c r="AL246" s="228">
        <v>45303</v>
      </c>
      <c r="AM246" s="208"/>
      <c r="AN246" s="220"/>
      <c r="AO246" s="222"/>
      <c r="AP246" s="227"/>
      <c r="AQ246" s="358">
        <f ca="1">IF(表格1[[#This Row],[PO$]]="","100%",表格1[[#This Row],[total amount]]/表格1[[#This Row],[PO$]])</f>
        <v>0.4</v>
      </c>
      <c r="AR246" s="223">
        <f ca="1">表格1[[#This Row],[invoice amount]]+表格1[[#This Row],[invoice amount2]]</f>
        <v>671.97200000000009</v>
      </c>
      <c r="AS246" s="224" t="s">
        <v>3673</v>
      </c>
      <c r="AT246" s="208"/>
      <c r="AU246" s="208" t="e">
        <f ca="1">VLOOKUP(表格1[[#This Row],[PO+ITEM]],#REF!,2,FALSE)</f>
        <v>#REF!</v>
      </c>
      <c r="AV246" s="341" t="e">
        <f ca="1">VLOOKUP(表格1[[#This Row],[PO+ITEM]],#REF!,3,FALSE)</f>
        <v>#REF!</v>
      </c>
      <c r="AW246" s="208" t="e">
        <f ca="1">VLOOKUP(表格1[[#This Row],[PO+ITEM]],#REF!,4,FALSE)</f>
        <v>#REF!</v>
      </c>
      <c r="AX246" s="208" t="e" cm="1" vm="1">
        <f t="array" aca="1" ref="AX246" ca="1">VLOOKUP(AI:AI,#REF!,1,FALSE)</f>
        <v>#VALUE!</v>
      </c>
    </row>
    <row r="247" spans="1:50">
      <c r="A247" s="220">
        <v>246</v>
      </c>
      <c r="B247" s="220" t="s">
        <v>3674</v>
      </c>
      <c r="C247" s="209" t="s">
        <v>16</v>
      </c>
      <c r="D247" s="209" t="s">
        <v>3648</v>
      </c>
      <c r="E247" s="209"/>
      <c r="F247" s="209"/>
      <c r="G247" s="209"/>
      <c r="H247" s="210" t="s">
        <v>4467</v>
      </c>
      <c r="I247" s="210"/>
      <c r="J247" s="211"/>
      <c r="K247" s="210"/>
      <c r="L247" s="212" t="s">
        <v>2206</v>
      </c>
      <c r="M247" s="212" t="s">
        <v>2999</v>
      </c>
      <c r="N247" s="213"/>
      <c r="O247" s="263">
        <v>4590004401</v>
      </c>
      <c r="P247" s="214">
        <v>44801</v>
      </c>
      <c r="Q247" s="338">
        <v>1</v>
      </c>
      <c r="R247" s="266">
        <v>3788.33</v>
      </c>
      <c r="S247" s="267" t="s">
        <v>2156</v>
      </c>
      <c r="T247" s="209" t="s">
        <v>4468</v>
      </c>
      <c r="U247" s="209" t="s">
        <v>4469</v>
      </c>
      <c r="V247" s="213" t="s">
        <v>4470</v>
      </c>
      <c r="W247" s="218" t="s">
        <v>3652</v>
      </c>
      <c r="X247" s="218" t="s">
        <v>3652</v>
      </c>
      <c r="Y247" s="212">
        <v>0</v>
      </c>
      <c r="Z247" s="209" t="s">
        <v>3664</v>
      </c>
      <c r="AA247" s="219"/>
      <c r="AB247" s="218"/>
      <c r="AC247" s="217" t="e">
        <v>#N/A</v>
      </c>
      <c r="AD247" s="217">
        <v>90059</v>
      </c>
      <c r="AE247" s="217" t="s">
        <v>2587</v>
      </c>
      <c r="AF247" s="217" t="s">
        <v>4102</v>
      </c>
      <c r="AG247" s="217" t="s">
        <v>846</v>
      </c>
      <c r="AH247" s="220" t="str">
        <f t="shared" ref="AH247:AH260" si="15">O247&amp;"_00"&amp;Q247</f>
        <v>4590004401_001</v>
      </c>
      <c r="AI247" s="208"/>
      <c r="AJ247" s="220"/>
      <c r="AK247" s="221"/>
      <c r="AL247" s="227"/>
      <c r="AM247" s="208"/>
      <c r="AN247" s="220"/>
      <c r="AO247" s="222"/>
      <c r="AP247" s="227"/>
      <c r="AQ247" s="358">
        <f ca="1">IF(表格1[[#This Row],[PO$]]="","100%",表格1[[#This Row],[total amount]]/表格1[[#This Row],[PO$]])</f>
        <v>0</v>
      </c>
      <c r="AR247" s="223">
        <f ca="1">表格1[[#This Row],[invoice amount]]+表格1[[#This Row],[invoice amount2]]</f>
        <v>0</v>
      </c>
      <c r="AS247" s="224"/>
      <c r="AT247" s="208"/>
      <c r="AU247" s="208" t="e">
        <f ca="1">VLOOKUP(表格1[[#This Row],[PO+ITEM]],#REF!,2,FALSE)</f>
        <v>#REF!</v>
      </c>
      <c r="AV247" s="341" t="e">
        <f ca="1">VLOOKUP(表格1[[#This Row],[PO+ITEM]],#REF!,3,FALSE)</f>
        <v>#REF!</v>
      </c>
      <c r="AW247" s="208" t="e">
        <f ca="1">VLOOKUP(表格1[[#This Row],[PO+ITEM]],#REF!,4,FALSE)</f>
        <v>#REF!</v>
      </c>
      <c r="AX247" s="208" t="e" cm="1" vm="1">
        <f t="array" aca="1" ref="AX247" ca="1">VLOOKUP(AI:AI,#REF!,1,FALSE)</f>
        <v>#VALUE!</v>
      </c>
    </row>
    <row r="248" spans="1:50">
      <c r="A248" s="220">
        <v>247</v>
      </c>
      <c r="B248" s="220" t="s">
        <v>3674</v>
      </c>
      <c r="C248" s="209" t="s">
        <v>16</v>
      </c>
      <c r="D248" s="209" t="s">
        <v>3648</v>
      </c>
      <c r="E248" s="209"/>
      <c r="F248" s="209"/>
      <c r="G248" s="209"/>
      <c r="H248" s="217" t="s">
        <v>4472</v>
      </c>
      <c r="I248" s="217"/>
      <c r="J248" s="215"/>
      <c r="K248" s="217"/>
      <c r="L248" s="212" t="s">
        <v>2206</v>
      </c>
      <c r="M248" s="212" t="s">
        <v>2999</v>
      </c>
      <c r="N248" s="213"/>
      <c r="O248" s="263">
        <v>4590004401</v>
      </c>
      <c r="P248" s="214">
        <v>44801</v>
      </c>
      <c r="Q248" s="338">
        <v>2</v>
      </c>
      <c r="R248" s="266">
        <v>3788.33</v>
      </c>
      <c r="S248" s="267" t="s">
        <v>2156</v>
      </c>
      <c r="T248" s="209" t="s">
        <v>4468</v>
      </c>
      <c r="U248" s="209" t="s">
        <v>4469</v>
      </c>
      <c r="V248" s="213" t="s">
        <v>4470</v>
      </c>
      <c r="W248" s="218" t="s">
        <v>3652</v>
      </c>
      <c r="X248" s="218" t="s">
        <v>3652</v>
      </c>
      <c r="Y248" s="212">
        <v>0</v>
      </c>
      <c r="Z248" s="209" t="s">
        <v>3664</v>
      </c>
      <c r="AA248" s="219"/>
      <c r="AB248" s="218"/>
      <c r="AC248" s="217" t="e">
        <v>#N/A</v>
      </c>
      <c r="AD248" s="217">
        <v>90058</v>
      </c>
      <c r="AE248" s="217" t="s">
        <v>2627</v>
      </c>
      <c r="AF248" s="217" t="s">
        <v>4102</v>
      </c>
      <c r="AG248" s="217" t="s">
        <v>846</v>
      </c>
      <c r="AH248" s="220" t="str">
        <f t="shared" si="15"/>
        <v>4590004401_002</v>
      </c>
      <c r="AI248" s="208"/>
      <c r="AJ248" s="220"/>
      <c r="AK248" s="221"/>
      <c r="AL248" s="227"/>
      <c r="AM248" s="208"/>
      <c r="AN248" s="220"/>
      <c r="AO248" s="222"/>
      <c r="AP248" s="227"/>
      <c r="AQ248" s="358">
        <f ca="1">IF(表格1[[#This Row],[PO$]]="","100%",表格1[[#This Row],[total amount]]/表格1[[#This Row],[PO$]])</f>
        <v>0</v>
      </c>
      <c r="AR248" s="223">
        <f ca="1">表格1[[#This Row],[invoice amount]]+表格1[[#This Row],[invoice amount2]]</f>
        <v>0</v>
      </c>
      <c r="AS248" s="224"/>
      <c r="AT248" s="208"/>
      <c r="AU248" s="208" t="e">
        <f ca="1">VLOOKUP(表格1[[#This Row],[PO+ITEM]],#REF!,2,FALSE)</f>
        <v>#REF!</v>
      </c>
      <c r="AV248" s="341" t="e">
        <f ca="1">VLOOKUP(表格1[[#This Row],[PO+ITEM]],#REF!,3,FALSE)</f>
        <v>#REF!</v>
      </c>
      <c r="AW248" s="208" t="e">
        <f ca="1">VLOOKUP(表格1[[#This Row],[PO+ITEM]],#REF!,4,FALSE)</f>
        <v>#REF!</v>
      </c>
      <c r="AX248" s="208" t="e" cm="1" vm="1">
        <f t="array" aca="1" ref="AX248" ca="1">VLOOKUP(AI:AI,#REF!,1,FALSE)</f>
        <v>#VALUE!</v>
      </c>
    </row>
    <row r="249" spans="1:50">
      <c r="A249" s="220">
        <v>248</v>
      </c>
      <c r="B249" s="220" t="s">
        <v>3674</v>
      </c>
      <c r="C249" s="209" t="s">
        <v>16</v>
      </c>
      <c r="D249" s="209" t="s">
        <v>3648</v>
      </c>
      <c r="E249" s="209"/>
      <c r="F249" s="209"/>
      <c r="G249" s="209"/>
      <c r="H249" s="210" t="s">
        <v>4474</v>
      </c>
      <c r="I249" s="210"/>
      <c r="J249" s="211"/>
      <c r="K249" s="210"/>
      <c r="L249" s="212" t="s">
        <v>2206</v>
      </c>
      <c r="M249" s="212" t="s">
        <v>2999</v>
      </c>
      <c r="N249" s="213"/>
      <c r="O249" s="263">
        <v>4590004401</v>
      </c>
      <c r="P249" s="214">
        <v>44801</v>
      </c>
      <c r="Q249" s="338">
        <v>3</v>
      </c>
      <c r="R249" s="266">
        <v>2664.88</v>
      </c>
      <c r="S249" s="267" t="s">
        <v>2156</v>
      </c>
      <c r="T249" s="209" t="s">
        <v>4468</v>
      </c>
      <c r="U249" s="209" t="s">
        <v>4469</v>
      </c>
      <c r="V249" s="213" t="s">
        <v>4470</v>
      </c>
      <c r="W249" s="218" t="s">
        <v>3652</v>
      </c>
      <c r="X249" s="218" t="s">
        <v>3652</v>
      </c>
      <c r="Y249" s="212">
        <v>0</v>
      </c>
      <c r="Z249" s="209" t="s">
        <v>3664</v>
      </c>
      <c r="AA249" s="219"/>
      <c r="AB249" s="218"/>
      <c r="AC249" s="217" t="e">
        <v>#N/A</v>
      </c>
      <c r="AD249" s="217">
        <v>90061</v>
      </c>
      <c r="AE249" s="217" t="s">
        <v>2589</v>
      </c>
      <c r="AF249" s="217" t="s">
        <v>4102</v>
      </c>
      <c r="AG249" s="217" t="s">
        <v>846</v>
      </c>
      <c r="AH249" s="220" t="str">
        <f t="shared" si="15"/>
        <v>4590004401_003</v>
      </c>
      <c r="AI249" s="208"/>
      <c r="AJ249" s="220"/>
      <c r="AK249" s="221"/>
      <c r="AL249" s="227"/>
      <c r="AM249" s="208"/>
      <c r="AN249" s="220"/>
      <c r="AO249" s="222"/>
      <c r="AP249" s="227"/>
      <c r="AQ249" s="358">
        <f ca="1">IF(表格1[[#This Row],[PO$]]="","100%",表格1[[#This Row],[total amount]]/表格1[[#This Row],[PO$]])</f>
        <v>0</v>
      </c>
      <c r="AR249" s="223">
        <f ca="1">表格1[[#This Row],[invoice amount]]+表格1[[#This Row],[invoice amount2]]</f>
        <v>0</v>
      </c>
      <c r="AS249" s="224"/>
      <c r="AT249" s="208"/>
      <c r="AU249" s="208" t="e">
        <f ca="1">VLOOKUP(表格1[[#This Row],[PO+ITEM]],#REF!,2,FALSE)</f>
        <v>#REF!</v>
      </c>
      <c r="AV249" s="341" t="e">
        <f ca="1">VLOOKUP(表格1[[#This Row],[PO+ITEM]],#REF!,3,FALSE)</f>
        <v>#REF!</v>
      </c>
      <c r="AW249" s="208" t="e">
        <f ca="1">VLOOKUP(表格1[[#This Row],[PO+ITEM]],#REF!,4,FALSE)</f>
        <v>#REF!</v>
      </c>
      <c r="AX249" s="208" t="e" cm="1" vm="1">
        <f t="array" aca="1" ref="AX249" ca="1">VLOOKUP(AI:AI,#REF!,1,FALSE)</f>
        <v>#VALUE!</v>
      </c>
    </row>
    <row r="250" spans="1:50">
      <c r="A250" s="220">
        <v>249</v>
      </c>
      <c r="B250" s="220" t="s">
        <v>3674</v>
      </c>
      <c r="C250" s="209" t="s">
        <v>16</v>
      </c>
      <c r="D250" s="209" t="s">
        <v>3648</v>
      </c>
      <c r="E250" s="209"/>
      <c r="F250" s="209"/>
      <c r="G250" s="209"/>
      <c r="H250" s="217" t="s">
        <v>4476</v>
      </c>
      <c r="I250" s="217"/>
      <c r="J250" s="215"/>
      <c r="K250" s="217"/>
      <c r="L250" s="212" t="s">
        <v>2206</v>
      </c>
      <c r="M250" s="212" t="s">
        <v>2999</v>
      </c>
      <c r="N250" s="213"/>
      <c r="O250" s="263">
        <v>4590004401</v>
      </c>
      <c r="P250" s="214">
        <v>44801</v>
      </c>
      <c r="Q250" s="338">
        <v>4</v>
      </c>
      <c r="R250" s="266">
        <v>2664.88</v>
      </c>
      <c r="S250" s="267" t="s">
        <v>2156</v>
      </c>
      <c r="T250" s="209" t="s">
        <v>4468</v>
      </c>
      <c r="U250" s="209" t="s">
        <v>4469</v>
      </c>
      <c r="V250" s="213" t="s">
        <v>4470</v>
      </c>
      <c r="W250" s="218" t="s">
        <v>3652</v>
      </c>
      <c r="X250" s="218" t="s">
        <v>3652</v>
      </c>
      <c r="Y250" s="212">
        <v>0</v>
      </c>
      <c r="Z250" s="209" t="s">
        <v>3664</v>
      </c>
      <c r="AA250" s="219"/>
      <c r="AB250" s="218"/>
      <c r="AC250" s="217" t="e">
        <v>#N/A</v>
      </c>
      <c r="AD250" s="217">
        <v>90060</v>
      </c>
      <c r="AE250" s="217" t="s">
        <v>2594</v>
      </c>
      <c r="AF250" s="217" t="s">
        <v>4102</v>
      </c>
      <c r="AG250" s="217" t="s">
        <v>846</v>
      </c>
      <c r="AH250" s="220" t="str">
        <f t="shared" si="15"/>
        <v>4590004401_004</v>
      </c>
      <c r="AI250" s="208"/>
      <c r="AJ250" s="220"/>
      <c r="AK250" s="221"/>
      <c r="AL250" s="227"/>
      <c r="AM250" s="208"/>
      <c r="AN250" s="220"/>
      <c r="AO250" s="222"/>
      <c r="AP250" s="227"/>
      <c r="AQ250" s="358">
        <f ca="1">IF(表格1[[#This Row],[PO$]]="","100%",表格1[[#This Row],[total amount]]/表格1[[#This Row],[PO$]])</f>
        <v>0</v>
      </c>
      <c r="AR250" s="223">
        <f ca="1">表格1[[#This Row],[invoice amount]]+表格1[[#This Row],[invoice amount2]]</f>
        <v>0</v>
      </c>
      <c r="AS250" s="224"/>
      <c r="AT250" s="208"/>
      <c r="AU250" s="208" t="e">
        <f ca="1">VLOOKUP(表格1[[#This Row],[PO+ITEM]],#REF!,2,FALSE)</f>
        <v>#REF!</v>
      </c>
      <c r="AV250" s="341" t="e">
        <f ca="1">VLOOKUP(表格1[[#This Row],[PO+ITEM]],#REF!,3,FALSE)</f>
        <v>#REF!</v>
      </c>
      <c r="AW250" s="208" t="e">
        <f ca="1">VLOOKUP(表格1[[#This Row],[PO+ITEM]],#REF!,4,FALSE)</f>
        <v>#REF!</v>
      </c>
      <c r="AX250" s="208" t="e" cm="1" vm="1">
        <f t="array" aca="1" ref="AX250" ca="1">VLOOKUP(AI:AI,#REF!,1,FALSE)</f>
        <v>#VALUE!</v>
      </c>
    </row>
    <row r="251" spans="1:50">
      <c r="A251" s="220">
        <v>250</v>
      </c>
      <c r="B251" s="220" t="s">
        <v>3674</v>
      </c>
      <c r="C251" s="209" t="s">
        <v>16</v>
      </c>
      <c r="D251" s="209" t="s">
        <v>3648</v>
      </c>
      <c r="E251" s="209"/>
      <c r="F251" s="209"/>
      <c r="G251" s="209"/>
      <c r="H251" s="210" t="s">
        <v>4478</v>
      </c>
      <c r="I251" s="210"/>
      <c r="J251" s="211"/>
      <c r="K251" s="210"/>
      <c r="L251" s="212" t="s">
        <v>2206</v>
      </c>
      <c r="M251" s="212" t="s">
        <v>2999</v>
      </c>
      <c r="N251" s="213"/>
      <c r="O251" s="263">
        <v>4590004401</v>
      </c>
      <c r="P251" s="214">
        <v>44801</v>
      </c>
      <c r="Q251" s="334">
        <v>5</v>
      </c>
      <c r="R251" s="216">
        <v>2664.88</v>
      </c>
      <c r="S251" s="217" t="s">
        <v>2156</v>
      </c>
      <c r="T251" s="209" t="s">
        <v>4468</v>
      </c>
      <c r="U251" s="209" t="s">
        <v>4469</v>
      </c>
      <c r="V251" s="213" t="s">
        <v>4470</v>
      </c>
      <c r="W251" s="218" t="s">
        <v>3652</v>
      </c>
      <c r="X251" s="218" t="s">
        <v>3652</v>
      </c>
      <c r="Y251" s="212">
        <v>0</v>
      </c>
      <c r="Z251" s="209" t="s">
        <v>3664</v>
      </c>
      <c r="AA251" s="219"/>
      <c r="AB251" s="218"/>
      <c r="AC251" s="217" t="e">
        <v>#N/A</v>
      </c>
      <c r="AD251" s="217">
        <v>90057</v>
      </c>
      <c r="AE251" s="217" t="s">
        <v>4479</v>
      </c>
      <c r="AF251" s="217" t="s">
        <v>4102</v>
      </c>
      <c r="AG251" s="217" t="s">
        <v>846</v>
      </c>
      <c r="AH251" s="220" t="str">
        <f t="shared" si="15"/>
        <v>4590004401_005</v>
      </c>
      <c r="AI251" s="208"/>
      <c r="AJ251" s="220"/>
      <c r="AK251" s="221"/>
      <c r="AL251" s="227"/>
      <c r="AM251" s="208"/>
      <c r="AN251" s="220"/>
      <c r="AO251" s="222"/>
      <c r="AP251" s="227"/>
      <c r="AQ251" s="358">
        <f ca="1">IF(表格1[[#This Row],[PO$]]="","100%",表格1[[#This Row],[total amount]]/表格1[[#This Row],[PO$]])</f>
        <v>0</v>
      </c>
      <c r="AR251" s="223">
        <f ca="1">表格1[[#This Row],[invoice amount]]+表格1[[#This Row],[invoice amount2]]</f>
        <v>0</v>
      </c>
      <c r="AS251" s="224"/>
      <c r="AT251" s="208"/>
      <c r="AU251" s="208" t="e">
        <f ca="1">VLOOKUP(表格1[[#This Row],[PO+ITEM]],#REF!,2,FALSE)</f>
        <v>#REF!</v>
      </c>
      <c r="AV251" s="341" t="e">
        <f ca="1">VLOOKUP(表格1[[#This Row],[PO+ITEM]],#REF!,3,FALSE)</f>
        <v>#REF!</v>
      </c>
      <c r="AW251" s="208" t="e">
        <f ca="1">VLOOKUP(表格1[[#This Row],[PO+ITEM]],#REF!,4,FALSE)</f>
        <v>#REF!</v>
      </c>
      <c r="AX251" s="208" t="e" cm="1" vm="1">
        <f t="array" aca="1" ref="AX251" ca="1">VLOOKUP(AI:AI,#REF!,1,FALSE)</f>
        <v>#VALUE!</v>
      </c>
    </row>
    <row r="252" spans="1:50" ht="15.6">
      <c r="A252" s="220">
        <v>251</v>
      </c>
      <c r="B252" s="220" t="s">
        <v>3674</v>
      </c>
      <c r="C252" s="209" t="s">
        <v>16</v>
      </c>
      <c r="D252" s="209" t="s">
        <v>3648</v>
      </c>
      <c r="E252" s="209"/>
      <c r="F252" s="209"/>
      <c r="G252" s="209"/>
      <c r="H252" s="210" t="s">
        <v>4481</v>
      </c>
      <c r="I252" s="210"/>
      <c r="J252" s="211"/>
      <c r="K252" s="210"/>
      <c r="L252" s="212" t="s">
        <v>2999</v>
      </c>
      <c r="M252" s="212" t="s">
        <v>2999</v>
      </c>
      <c r="N252" s="213"/>
      <c r="O252" s="263">
        <v>4590004402</v>
      </c>
      <c r="P252" s="214">
        <v>44801</v>
      </c>
      <c r="Q252" s="334">
        <v>1</v>
      </c>
      <c r="R252" s="216">
        <v>3908.12</v>
      </c>
      <c r="S252" s="217" t="s">
        <v>2156</v>
      </c>
      <c r="T252" s="209" t="s">
        <v>3661</v>
      </c>
      <c r="U252" s="209" t="s">
        <v>3662</v>
      </c>
      <c r="V252" s="213" t="s">
        <v>3663</v>
      </c>
      <c r="W252" s="218" t="s">
        <v>3652</v>
      </c>
      <c r="X252" s="218" t="s">
        <v>3652</v>
      </c>
      <c r="Y252" s="212" t="s">
        <v>4482</v>
      </c>
      <c r="Z252" s="209" t="s">
        <v>3664</v>
      </c>
      <c r="AA252" s="219"/>
      <c r="AB252" s="218"/>
      <c r="AC252" s="217" t="e">
        <v>#N/A</v>
      </c>
      <c r="AD252" s="217">
        <v>90134</v>
      </c>
      <c r="AE252" s="217" t="s">
        <v>4483</v>
      </c>
      <c r="AF252" s="217" t="s">
        <v>3665</v>
      </c>
      <c r="AG252" s="217" t="s">
        <v>3719</v>
      </c>
      <c r="AH252" s="220" t="str">
        <f t="shared" si="15"/>
        <v>4590004402_001</v>
      </c>
      <c r="AI252" s="208"/>
      <c r="AJ252" s="225">
        <v>45047</v>
      </c>
      <c r="AK252" s="221">
        <v>1563.248</v>
      </c>
      <c r="AL252" s="226">
        <v>45153</v>
      </c>
      <c r="AM252" s="208" t="s">
        <v>4484</v>
      </c>
      <c r="AN252" s="227">
        <v>45506</v>
      </c>
      <c r="AO252" s="222">
        <v>2344.87</v>
      </c>
      <c r="AP252" s="227"/>
      <c r="AQ252" s="358">
        <f ca="1">IF(表格1[[#This Row],[PO$]]="","100%",表格1[[#This Row],[total amount]]/表格1[[#This Row],[PO$]])</f>
        <v>0.99999948824498741</v>
      </c>
      <c r="AR252" s="223">
        <f ca="1">表格1[[#This Row],[invoice amount]]+表格1[[#This Row],[invoice amount2]]</f>
        <v>3908.1179999999999</v>
      </c>
      <c r="AS252" s="224" t="s">
        <v>4235</v>
      </c>
      <c r="AT252" s="208"/>
      <c r="AU252" s="220" t="e">
        <f ca="1">VLOOKUP(表格1[[#This Row],[PO+ITEM]],#REF!,2,FALSE)</f>
        <v>#REF!</v>
      </c>
      <c r="AV252" s="341" t="e">
        <f ca="1">VLOOKUP(表格1[[#This Row],[PO+ITEM]],#REF!,3,FALSE)</f>
        <v>#REF!</v>
      </c>
      <c r="AW252" s="208" t="e">
        <f ca="1">VLOOKUP(表格1[[#This Row],[PO+ITEM]],#REF!,4,FALSE)</f>
        <v>#REF!</v>
      </c>
      <c r="AX252" s="208" t="e" cm="1" vm="1">
        <f t="array" aca="1" ref="AX252" ca="1">VLOOKUP(AI:AI,#REF!,1,FALSE)</f>
        <v>#VALUE!</v>
      </c>
    </row>
    <row r="253" spans="1:50" ht="15.6">
      <c r="A253" s="220">
        <v>252</v>
      </c>
      <c r="B253" s="220" t="s">
        <v>3674</v>
      </c>
      <c r="C253" s="209" t="s">
        <v>16</v>
      </c>
      <c r="D253" s="209" t="s">
        <v>3648</v>
      </c>
      <c r="E253" s="209"/>
      <c r="F253" s="209"/>
      <c r="G253" s="209"/>
      <c r="H253" s="210" t="s">
        <v>4485</v>
      </c>
      <c r="I253" s="210"/>
      <c r="J253" s="211"/>
      <c r="K253" s="210"/>
      <c r="L253" s="212" t="s">
        <v>2999</v>
      </c>
      <c r="M253" s="212" t="s">
        <v>2999</v>
      </c>
      <c r="N253" s="213"/>
      <c r="O253" s="263">
        <v>4590004402</v>
      </c>
      <c r="P253" s="214">
        <v>44801</v>
      </c>
      <c r="Q253" s="334">
        <v>2</v>
      </c>
      <c r="R253" s="216">
        <v>3908.12</v>
      </c>
      <c r="S253" s="217" t="s">
        <v>2156</v>
      </c>
      <c r="T253" s="209" t="s">
        <v>3661</v>
      </c>
      <c r="U253" s="209" t="s">
        <v>3662</v>
      </c>
      <c r="V253" s="213" t="s">
        <v>3663</v>
      </c>
      <c r="W253" s="218" t="s">
        <v>3652</v>
      </c>
      <c r="X253" s="218" t="s">
        <v>3652</v>
      </c>
      <c r="Y253" s="212" t="s">
        <v>4482</v>
      </c>
      <c r="Z253" s="209" t="s">
        <v>3664</v>
      </c>
      <c r="AA253" s="219"/>
      <c r="AB253" s="218"/>
      <c r="AC253" s="217" t="e">
        <v>#N/A</v>
      </c>
      <c r="AD253" s="217">
        <v>90135</v>
      </c>
      <c r="AE253" s="217" t="s">
        <v>4487</v>
      </c>
      <c r="AF253" s="217" t="s">
        <v>3665</v>
      </c>
      <c r="AG253" s="217" t="s">
        <v>3719</v>
      </c>
      <c r="AH253" s="220" t="str">
        <f t="shared" si="15"/>
        <v>4590004402_002</v>
      </c>
      <c r="AI253" s="208"/>
      <c r="AJ253" s="225">
        <v>45047</v>
      </c>
      <c r="AK253" s="221">
        <v>1563.248</v>
      </c>
      <c r="AL253" s="226">
        <v>45153</v>
      </c>
      <c r="AM253" s="208"/>
      <c r="AN253" s="220"/>
      <c r="AO253" s="222"/>
      <c r="AP253" s="227"/>
      <c r="AQ253" s="358">
        <f ca="1">IF(表格1[[#This Row],[PO$]]="","100%",表格1[[#This Row],[total amount]]/表格1[[#This Row],[PO$]])</f>
        <v>0.4</v>
      </c>
      <c r="AR253" s="223">
        <f ca="1">表格1[[#This Row],[invoice amount]]+表格1[[#This Row],[invoice amount2]]</f>
        <v>1563.248</v>
      </c>
      <c r="AS253" s="224" t="s">
        <v>3673</v>
      </c>
      <c r="AT253" s="208"/>
      <c r="AU253" s="208" t="e">
        <f ca="1">VLOOKUP(表格1[[#This Row],[PO+ITEM]],#REF!,2,FALSE)</f>
        <v>#REF!</v>
      </c>
      <c r="AV253" s="341" t="e">
        <f ca="1">VLOOKUP(表格1[[#This Row],[PO+ITEM]],#REF!,3,FALSE)</f>
        <v>#REF!</v>
      </c>
      <c r="AW253" s="208" t="e">
        <f ca="1">VLOOKUP(表格1[[#This Row],[PO+ITEM]],#REF!,4,FALSE)</f>
        <v>#REF!</v>
      </c>
      <c r="AX253" s="208" t="e" cm="1" vm="1">
        <f t="array" aca="1" ref="AX253" ca="1">VLOOKUP(AI:AI,#REF!,1,FALSE)</f>
        <v>#VALUE!</v>
      </c>
    </row>
    <row r="254" spans="1:50" ht="15.6">
      <c r="A254" s="220">
        <v>253</v>
      </c>
      <c r="B254" s="220" t="s">
        <v>3674</v>
      </c>
      <c r="C254" s="209" t="s">
        <v>16</v>
      </c>
      <c r="D254" s="209" t="s">
        <v>3648</v>
      </c>
      <c r="E254" s="209"/>
      <c r="F254" s="209"/>
      <c r="G254" s="209"/>
      <c r="H254" s="210" t="s">
        <v>4489</v>
      </c>
      <c r="I254" s="210"/>
      <c r="J254" s="211"/>
      <c r="K254" s="210"/>
      <c r="L254" s="212" t="s">
        <v>2999</v>
      </c>
      <c r="M254" s="212" t="s">
        <v>2999</v>
      </c>
      <c r="N254" s="213"/>
      <c r="O254" s="263">
        <v>4590004402</v>
      </c>
      <c r="P254" s="214">
        <v>44801</v>
      </c>
      <c r="Q254" s="334">
        <v>3</v>
      </c>
      <c r="R254" s="216">
        <v>3908.12</v>
      </c>
      <c r="S254" s="217" t="s">
        <v>2156</v>
      </c>
      <c r="T254" s="209" t="s">
        <v>3661</v>
      </c>
      <c r="U254" s="209" t="s">
        <v>3662</v>
      </c>
      <c r="V254" s="213" t="s">
        <v>3663</v>
      </c>
      <c r="W254" s="218" t="s">
        <v>3652</v>
      </c>
      <c r="X254" s="218" t="s">
        <v>3652</v>
      </c>
      <c r="Y254" s="212" t="s">
        <v>4482</v>
      </c>
      <c r="Z254" s="209" t="s">
        <v>3664</v>
      </c>
      <c r="AA254" s="219"/>
      <c r="AB254" s="218"/>
      <c r="AC254" s="217" t="e">
        <v>#N/A</v>
      </c>
      <c r="AD254" s="217">
        <v>90131</v>
      </c>
      <c r="AE254" s="217" t="s">
        <v>4490</v>
      </c>
      <c r="AF254" s="217" t="s">
        <v>3665</v>
      </c>
      <c r="AG254" s="217" t="s">
        <v>3719</v>
      </c>
      <c r="AH254" s="220" t="str">
        <f t="shared" si="15"/>
        <v>4590004402_003</v>
      </c>
      <c r="AI254" s="208"/>
      <c r="AJ254" s="225">
        <v>45047</v>
      </c>
      <c r="AK254" s="221">
        <v>1563.248</v>
      </c>
      <c r="AL254" s="226">
        <v>45153</v>
      </c>
      <c r="AM254" s="208"/>
      <c r="AN254" s="220"/>
      <c r="AO254" s="222"/>
      <c r="AP254" s="227"/>
      <c r="AQ254" s="358">
        <f ca="1">IF(表格1[[#This Row],[PO$]]="","100%",表格1[[#This Row],[total amount]]/表格1[[#This Row],[PO$]])</f>
        <v>0.4</v>
      </c>
      <c r="AR254" s="223">
        <f ca="1">表格1[[#This Row],[invoice amount]]+表格1[[#This Row],[invoice amount2]]</f>
        <v>1563.248</v>
      </c>
      <c r="AS254" s="224" t="s">
        <v>3673</v>
      </c>
      <c r="AT254" s="208"/>
      <c r="AU254" s="208" t="e">
        <f ca="1">VLOOKUP(表格1[[#This Row],[PO+ITEM]],#REF!,2,FALSE)</f>
        <v>#REF!</v>
      </c>
      <c r="AV254" s="341" t="e">
        <f ca="1">VLOOKUP(表格1[[#This Row],[PO+ITEM]],#REF!,3,FALSE)</f>
        <v>#REF!</v>
      </c>
      <c r="AW254" s="208" t="e">
        <f ca="1">VLOOKUP(表格1[[#This Row],[PO+ITEM]],#REF!,4,FALSE)</f>
        <v>#REF!</v>
      </c>
      <c r="AX254" s="208" t="e" cm="1" vm="1">
        <f t="array" aca="1" ref="AX254" ca="1">VLOOKUP(AI:AI,#REF!,1,FALSE)</f>
        <v>#VALUE!</v>
      </c>
    </row>
    <row r="255" spans="1:50" ht="15.6">
      <c r="A255" s="220">
        <v>254</v>
      </c>
      <c r="B255" s="220" t="s">
        <v>3674</v>
      </c>
      <c r="C255" s="209" t="s">
        <v>16</v>
      </c>
      <c r="D255" s="209" t="s">
        <v>3648</v>
      </c>
      <c r="E255" s="209"/>
      <c r="F255" s="209"/>
      <c r="G255" s="209"/>
      <c r="H255" s="210" t="s">
        <v>4492</v>
      </c>
      <c r="I255" s="210"/>
      <c r="J255" s="211"/>
      <c r="K255" s="210"/>
      <c r="L255" s="212" t="s">
        <v>2999</v>
      </c>
      <c r="M255" s="212" t="s">
        <v>2999</v>
      </c>
      <c r="N255" s="213"/>
      <c r="O255" s="263">
        <v>4590004402</v>
      </c>
      <c r="P255" s="214">
        <v>44801</v>
      </c>
      <c r="Q255" s="334">
        <v>4</v>
      </c>
      <c r="R255" s="216">
        <v>3908.12</v>
      </c>
      <c r="S255" s="217" t="s">
        <v>2156</v>
      </c>
      <c r="T255" s="209" t="s">
        <v>3661</v>
      </c>
      <c r="U255" s="209" t="s">
        <v>3662</v>
      </c>
      <c r="V255" s="213" t="s">
        <v>3663</v>
      </c>
      <c r="W255" s="218" t="s">
        <v>3652</v>
      </c>
      <c r="X255" s="218" t="s">
        <v>3652</v>
      </c>
      <c r="Y255" s="212" t="s">
        <v>4482</v>
      </c>
      <c r="Z255" s="209" t="s">
        <v>3664</v>
      </c>
      <c r="AA255" s="219"/>
      <c r="AB255" s="218"/>
      <c r="AC255" s="217" t="e">
        <v>#N/A</v>
      </c>
      <c r="AD255" s="217">
        <v>90133</v>
      </c>
      <c r="AE255" s="217" t="s">
        <v>4493</v>
      </c>
      <c r="AF255" s="217" t="s">
        <v>3665</v>
      </c>
      <c r="AG255" s="217" t="s">
        <v>3719</v>
      </c>
      <c r="AH255" s="220" t="str">
        <f t="shared" si="15"/>
        <v>4590004402_004</v>
      </c>
      <c r="AI255" s="208"/>
      <c r="AJ255" s="225">
        <v>45047</v>
      </c>
      <c r="AK255" s="221">
        <v>1563.248</v>
      </c>
      <c r="AL255" s="226">
        <v>45153</v>
      </c>
      <c r="AM255" s="208"/>
      <c r="AN255" s="220"/>
      <c r="AO255" s="222"/>
      <c r="AP255" s="227"/>
      <c r="AQ255" s="358">
        <f ca="1">IF(表格1[[#This Row],[PO$]]="","100%",表格1[[#This Row],[total amount]]/表格1[[#This Row],[PO$]])</f>
        <v>0.4</v>
      </c>
      <c r="AR255" s="223">
        <f ca="1">表格1[[#This Row],[invoice amount]]+表格1[[#This Row],[invoice amount2]]</f>
        <v>1563.248</v>
      </c>
      <c r="AS255" s="224" t="s">
        <v>3673</v>
      </c>
      <c r="AT255" s="208"/>
      <c r="AU255" s="208" t="e">
        <f ca="1">VLOOKUP(表格1[[#This Row],[PO+ITEM]],#REF!,2,FALSE)</f>
        <v>#REF!</v>
      </c>
      <c r="AV255" s="341" t="e">
        <f ca="1">VLOOKUP(表格1[[#This Row],[PO+ITEM]],#REF!,3,FALSE)</f>
        <v>#REF!</v>
      </c>
      <c r="AW255" s="208" t="e">
        <f ca="1">VLOOKUP(表格1[[#This Row],[PO+ITEM]],#REF!,4,FALSE)</f>
        <v>#REF!</v>
      </c>
      <c r="AX255" s="208" t="e" cm="1" vm="1">
        <f t="array" aca="1" ref="AX255" ca="1">VLOOKUP(AI:AI,#REF!,1,FALSE)</f>
        <v>#VALUE!</v>
      </c>
    </row>
    <row r="256" spans="1:50">
      <c r="A256" s="220">
        <v>255</v>
      </c>
      <c r="B256" s="220" t="s">
        <v>3674</v>
      </c>
      <c r="C256" s="209" t="s">
        <v>16</v>
      </c>
      <c r="D256" s="209" t="s">
        <v>3648</v>
      </c>
      <c r="E256" s="209"/>
      <c r="F256" s="209"/>
      <c r="G256" s="209"/>
      <c r="H256" s="210" t="s">
        <v>4495</v>
      </c>
      <c r="I256" s="210"/>
      <c r="J256" s="211"/>
      <c r="K256" s="210"/>
      <c r="L256" s="212" t="s">
        <v>2999</v>
      </c>
      <c r="M256" s="212" t="s">
        <v>2999</v>
      </c>
      <c r="N256" s="213"/>
      <c r="O256" s="263">
        <v>4590004402</v>
      </c>
      <c r="P256" s="214">
        <v>44801</v>
      </c>
      <c r="Q256" s="334">
        <v>5</v>
      </c>
      <c r="R256" s="216">
        <v>1369.77</v>
      </c>
      <c r="S256" s="217" t="s">
        <v>2156</v>
      </c>
      <c r="T256" s="209" t="s">
        <v>3661</v>
      </c>
      <c r="U256" s="209" t="s">
        <v>3662</v>
      </c>
      <c r="V256" s="213" t="s">
        <v>3663</v>
      </c>
      <c r="W256" s="218" t="s">
        <v>3652</v>
      </c>
      <c r="X256" s="218" t="s">
        <v>3652</v>
      </c>
      <c r="Y256" s="212" t="s">
        <v>4482</v>
      </c>
      <c r="Z256" s="209" t="s">
        <v>3664</v>
      </c>
      <c r="AA256" s="219"/>
      <c r="AB256" s="218"/>
      <c r="AC256" s="217" t="e">
        <v>#N/A</v>
      </c>
      <c r="AD256" s="217">
        <v>90489</v>
      </c>
      <c r="AE256" s="217" t="s">
        <v>4496</v>
      </c>
      <c r="AF256" s="217" t="s">
        <v>3665</v>
      </c>
      <c r="AG256" s="217" t="s">
        <v>3719</v>
      </c>
      <c r="AH256" s="220" t="str">
        <f t="shared" si="15"/>
        <v>4590004402_005</v>
      </c>
      <c r="AI256" s="208"/>
      <c r="AJ256" s="225">
        <v>45108</v>
      </c>
      <c r="AK256" s="221">
        <v>547.90800000000002</v>
      </c>
      <c r="AL256" s="227">
        <v>45229</v>
      </c>
      <c r="AM256" s="208" t="s">
        <v>4497</v>
      </c>
      <c r="AN256" s="227">
        <v>45506</v>
      </c>
      <c r="AO256" s="222">
        <v>821.86</v>
      </c>
      <c r="AP256" s="227"/>
      <c r="AQ256" s="358">
        <f ca="1">IF(表格1[[#This Row],[PO$]]="","100%",表格1[[#This Row],[total amount]]/表格1[[#This Row],[PO$]])</f>
        <v>0.9999985399008593</v>
      </c>
      <c r="AR256" s="223">
        <f ca="1">表格1[[#This Row],[invoice amount]]+表格1[[#This Row],[invoice amount2]]</f>
        <v>1369.768</v>
      </c>
      <c r="AS256" s="224" t="s">
        <v>4235</v>
      </c>
      <c r="AT256" s="208"/>
      <c r="AU256" s="220" t="e">
        <f ca="1">VLOOKUP(表格1[[#This Row],[PO+ITEM]],#REF!,2,FALSE)</f>
        <v>#REF!</v>
      </c>
      <c r="AV256" s="341" t="e">
        <f ca="1">VLOOKUP(表格1[[#This Row],[PO+ITEM]],#REF!,3,FALSE)</f>
        <v>#REF!</v>
      </c>
      <c r="AW256" s="208" t="e">
        <f ca="1">VLOOKUP(表格1[[#This Row],[PO+ITEM]],#REF!,4,FALSE)</f>
        <v>#REF!</v>
      </c>
      <c r="AX256" s="208" t="e" cm="1" vm="1">
        <f t="array" aca="1" ref="AX256" ca="1">VLOOKUP(AI:AI,#REF!,1,FALSE)</f>
        <v>#VALUE!</v>
      </c>
    </row>
    <row r="257" spans="1:50">
      <c r="A257" s="220">
        <v>256</v>
      </c>
      <c r="B257" s="220" t="s">
        <v>3674</v>
      </c>
      <c r="C257" s="209" t="s">
        <v>16</v>
      </c>
      <c r="D257" s="209" t="s">
        <v>3648</v>
      </c>
      <c r="E257" s="209"/>
      <c r="F257" s="209"/>
      <c r="G257" s="209"/>
      <c r="H257" s="210" t="s">
        <v>4498</v>
      </c>
      <c r="I257" s="210"/>
      <c r="J257" s="211"/>
      <c r="K257" s="210"/>
      <c r="L257" s="212" t="s">
        <v>2999</v>
      </c>
      <c r="M257" s="212" t="s">
        <v>2999</v>
      </c>
      <c r="N257" s="213"/>
      <c r="O257" s="263">
        <v>4590004402</v>
      </c>
      <c r="P257" s="214">
        <v>44801</v>
      </c>
      <c r="Q257" s="334">
        <v>6</v>
      </c>
      <c r="R257" s="216">
        <v>1369.77</v>
      </c>
      <c r="S257" s="217" t="s">
        <v>2156</v>
      </c>
      <c r="T257" s="209" t="s">
        <v>3661</v>
      </c>
      <c r="U257" s="209" t="s">
        <v>3662</v>
      </c>
      <c r="V257" s="213" t="s">
        <v>3663</v>
      </c>
      <c r="W257" s="218" t="s">
        <v>3652</v>
      </c>
      <c r="X257" s="218" t="s">
        <v>3652</v>
      </c>
      <c r="Y257" s="212" t="s">
        <v>4482</v>
      </c>
      <c r="Z257" s="209" t="s">
        <v>3664</v>
      </c>
      <c r="AA257" s="219"/>
      <c r="AB257" s="218"/>
      <c r="AC257" s="217" t="e">
        <v>#N/A</v>
      </c>
      <c r="AD257" s="217">
        <v>90082</v>
      </c>
      <c r="AE257" s="217" t="s">
        <v>4499</v>
      </c>
      <c r="AF257" s="217" t="s">
        <v>3665</v>
      </c>
      <c r="AG257" s="217" t="s">
        <v>3719</v>
      </c>
      <c r="AH257" s="220" t="str">
        <f t="shared" si="15"/>
        <v>4590004402_006</v>
      </c>
      <c r="AI257" s="208"/>
      <c r="AJ257" s="225">
        <v>45047</v>
      </c>
      <c r="AK257" s="221">
        <v>547.90800000000002</v>
      </c>
      <c r="AL257" s="227">
        <v>45153</v>
      </c>
      <c r="AM257" s="208"/>
      <c r="AN257" s="220"/>
      <c r="AO257" s="222"/>
      <c r="AP257" s="227"/>
      <c r="AQ257" s="358">
        <f ca="1">IF(表格1[[#This Row],[PO$]]="","100%",表格1[[#This Row],[total amount]]/表格1[[#This Row],[PO$]])</f>
        <v>0.4</v>
      </c>
      <c r="AR257" s="223">
        <f ca="1">表格1[[#This Row],[invoice amount]]+表格1[[#This Row],[invoice amount2]]</f>
        <v>547.90800000000002</v>
      </c>
      <c r="AS257" s="224" t="s">
        <v>3673</v>
      </c>
      <c r="AT257" s="208"/>
      <c r="AU257" s="208" t="e">
        <f ca="1">VLOOKUP(表格1[[#This Row],[PO+ITEM]],#REF!,2,FALSE)</f>
        <v>#REF!</v>
      </c>
      <c r="AV257" s="341" t="e">
        <f ca="1">VLOOKUP(表格1[[#This Row],[PO+ITEM]],#REF!,3,FALSE)</f>
        <v>#REF!</v>
      </c>
      <c r="AW257" s="208" t="e">
        <f ca="1">VLOOKUP(表格1[[#This Row],[PO+ITEM]],#REF!,4,FALSE)</f>
        <v>#REF!</v>
      </c>
      <c r="AX257" s="208" t="e" cm="1" vm="1">
        <f t="array" aca="1" ref="AX257" ca="1">VLOOKUP(AI:AI,#REF!,1,FALSE)</f>
        <v>#VALUE!</v>
      </c>
    </row>
    <row r="258" spans="1:50">
      <c r="A258" s="220">
        <v>257</v>
      </c>
      <c r="B258" s="220" t="s">
        <v>3659</v>
      </c>
      <c r="C258" s="209" t="s">
        <v>16</v>
      </c>
      <c r="D258" s="209" t="s">
        <v>3648</v>
      </c>
      <c r="E258" s="209"/>
      <c r="F258" s="209"/>
      <c r="G258" s="209"/>
      <c r="H258" s="210" t="s">
        <v>4501</v>
      </c>
      <c r="I258" s="210"/>
      <c r="J258" s="211"/>
      <c r="K258" s="210"/>
      <c r="L258" s="212" t="s">
        <v>2999</v>
      </c>
      <c r="M258" s="212" t="s">
        <v>2999</v>
      </c>
      <c r="N258" s="213"/>
      <c r="O258" s="263">
        <v>4590004402</v>
      </c>
      <c r="P258" s="214">
        <v>44801</v>
      </c>
      <c r="Q258" s="334">
        <v>7</v>
      </c>
      <c r="R258" s="216">
        <v>1369.77</v>
      </c>
      <c r="S258" s="217" t="s">
        <v>2156</v>
      </c>
      <c r="T258" s="209" t="s">
        <v>3661</v>
      </c>
      <c r="U258" s="209" t="s">
        <v>3662</v>
      </c>
      <c r="V258" s="213" t="s">
        <v>3663</v>
      </c>
      <c r="W258" s="218" t="s">
        <v>3652</v>
      </c>
      <c r="X258" s="218" t="s">
        <v>3652</v>
      </c>
      <c r="Y258" s="212" t="s">
        <v>4482</v>
      </c>
      <c r="Z258" s="209" t="s">
        <v>3664</v>
      </c>
      <c r="AA258" s="219"/>
      <c r="AB258" s="218"/>
      <c r="AC258" s="217" t="e">
        <v>#N/A</v>
      </c>
      <c r="AD258" s="217">
        <v>90083</v>
      </c>
      <c r="AE258" s="217" t="s">
        <v>4502</v>
      </c>
      <c r="AF258" s="217" t="s">
        <v>3665</v>
      </c>
      <c r="AG258" s="217" t="s">
        <v>3719</v>
      </c>
      <c r="AH258" s="220" t="str">
        <f t="shared" si="15"/>
        <v>4590004402_007</v>
      </c>
      <c r="AI258" s="208"/>
      <c r="AJ258" s="225">
        <v>45047</v>
      </c>
      <c r="AK258" s="221">
        <v>547.90800000000002</v>
      </c>
      <c r="AL258" s="227">
        <v>45153</v>
      </c>
      <c r="AM258" s="208"/>
      <c r="AN258" s="220"/>
      <c r="AO258" s="222"/>
      <c r="AP258" s="227"/>
      <c r="AQ258" s="358">
        <f ca="1">IF(表格1[[#This Row],[PO$]]="","100%",表格1[[#This Row],[total amount]]/表格1[[#This Row],[PO$]])</f>
        <v>0.4</v>
      </c>
      <c r="AR258" s="223">
        <f ca="1">表格1[[#This Row],[invoice amount]]+表格1[[#This Row],[invoice amount2]]</f>
        <v>547.90800000000002</v>
      </c>
      <c r="AS258" s="224" t="s">
        <v>3673</v>
      </c>
      <c r="AT258" s="208"/>
      <c r="AU258" s="208" t="e">
        <f ca="1">VLOOKUP(表格1[[#This Row],[PO+ITEM]],#REF!,2,FALSE)</f>
        <v>#REF!</v>
      </c>
      <c r="AV258" s="341" t="e">
        <f ca="1">VLOOKUP(表格1[[#This Row],[PO+ITEM]],#REF!,3,FALSE)</f>
        <v>#REF!</v>
      </c>
      <c r="AW258" s="208" t="e">
        <f ca="1">VLOOKUP(表格1[[#This Row],[PO+ITEM]],#REF!,4,FALSE)</f>
        <v>#REF!</v>
      </c>
      <c r="AX258" s="208" t="e" cm="1" vm="1">
        <f t="array" aca="1" ref="AX258" ca="1">VLOOKUP(AI:AI,#REF!,1,FALSE)</f>
        <v>#VALUE!</v>
      </c>
    </row>
    <row r="259" spans="1:50">
      <c r="A259" s="220">
        <v>258</v>
      </c>
      <c r="B259" s="220" t="s">
        <v>3674</v>
      </c>
      <c r="C259" s="209" t="s">
        <v>16</v>
      </c>
      <c r="D259" s="209" t="s">
        <v>3648</v>
      </c>
      <c r="E259" s="209"/>
      <c r="F259" s="209"/>
      <c r="G259" s="209"/>
      <c r="H259" s="210" t="s">
        <v>4503</v>
      </c>
      <c r="I259" s="210"/>
      <c r="J259" s="211"/>
      <c r="K259" s="210"/>
      <c r="L259" s="212" t="s">
        <v>2999</v>
      </c>
      <c r="M259" s="212" t="s">
        <v>2999</v>
      </c>
      <c r="N259" s="213"/>
      <c r="O259" s="263">
        <v>4590004402</v>
      </c>
      <c r="P259" s="214">
        <v>44801</v>
      </c>
      <c r="Q259" s="334">
        <v>8</v>
      </c>
      <c r="R259" s="216">
        <v>1369.77</v>
      </c>
      <c r="S259" s="217" t="s">
        <v>2156</v>
      </c>
      <c r="T259" s="209" t="s">
        <v>3661</v>
      </c>
      <c r="U259" s="209" t="s">
        <v>3662</v>
      </c>
      <c r="V259" s="213" t="s">
        <v>3663</v>
      </c>
      <c r="W259" s="218" t="s">
        <v>3652</v>
      </c>
      <c r="X259" s="218" t="s">
        <v>3652</v>
      </c>
      <c r="Y259" s="212" t="s">
        <v>4482</v>
      </c>
      <c r="Z259" s="209" t="s">
        <v>3664</v>
      </c>
      <c r="AA259" s="219"/>
      <c r="AB259" s="218"/>
      <c r="AC259" s="217" t="e">
        <v>#N/A</v>
      </c>
      <c r="AD259" s="217">
        <v>90084</v>
      </c>
      <c r="AE259" s="217" t="s">
        <v>4150</v>
      </c>
      <c r="AF259" s="217" t="s">
        <v>3665</v>
      </c>
      <c r="AG259" s="217" t="s">
        <v>3719</v>
      </c>
      <c r="AH259" s="220" t="str">
        <f t="shared" si="15"/>
        <v>4590004402_008</v>
      </c>
      <c r="AI259" s="208"/>
      <c r="AJ259" s="225">
        <v>45047</v>
      </c>
      <c r="AK259" s="221">
        <v>547.90800000000002</v>
      </c>
      <c r="AL259" s="227">
        <v>45153</v>
      </c>
      <c r="AM259" s="208" t="s">
        <v>4504</v>
      </c>
      <c r="AN259" s="227">
        <v>45506</v>
      </c>
      <c r="AO259" s="222">
        <v>821.86</v>
      </c>
      <c r="AP259" s="227"/>
      <c r="AQ259" s="358">
        <f ca="1">IF(表格1[[#This Row],[PO$]]="","100%",表格1[[#This Row],[total amount]]/表格1[[#This Row],[PO$]])</f>
        <v>0.9999985399008593</v>
      </c>
      <c r="AR259" s="223">
        <f ca="1">表格1[[#This Row],[invoice amount]]+表格1[[#This Row],[invoice amount2]]</f>
        <v>1369.768</v>
      </c>
      <c r="AS259" s="224" t="s">
        <v>4235</v>
      </c>
      <c r="AT259" s="208"/>
      <c r="AU259" s="220" t="e">
        <f ca="1">VLOOKUP(表格1[[#This Row],[PO+ITEM]],#REF!,2,FALSE)</f>
        <v>#REF!</v>
      </c>
      <c r="AV259" s="341" t="e">
        <f ca="1">VLOOKUP(表格1[[#This Row],[PO+ITEM]],#REF!,3,FALSE)</f>
        <v>#REF!</v>
      </c>
      <c r="AW259" s="208" t="e">
        <f ca="1">VLOOKUP(表格1[[#This Row],[PO+ITEM]],#REF!,4,FALSE)</f>
        <v>#REF!</v>
      </c>
      <c r="AX259" s="208" t="e" cm="1" vm="1">
        <f t="array" aca="1" ref="AX259" ca="1">VLOOKUP(AI:AI,#REF!,1,FALSE)</f>
        <v>#VALUE!</v>
      </c>
    </row>
    <row r="260" spans="1:50">
      <c r="A260" s="220">
        <v>259</v>
      </c>
      <c r="B260" s="220" t="s">
        <v>3674</v>
      </c>
      <c r="C260" s="209" t="s">
        <v>16</v>
      </c>
      <c r="D260" s="209" t="s">
        <v>3648</v>
      </c>
      <c r="E260" s="209"/>
      <c r="F260" s="209"/>
      <c r="G260" s="209"/>
      <c r="H260" s="210" t="s">
        <v>4505</v>
      </c>
      <c r="I260" s="210"/>
      <c r="J260" s="211"/>
      <c r="K260" s="210"/>
      <c r="L260" s="212" t="s">
        <v>2999</v>
      </c>
      <c r="M260" s="212" t="s">
        <v>2999</v>
      </c>
      <c r="N260" s="213"/>
      <c r="O260" s="263">
        <v>4590004402</v>
      </c>
      <c r="P260" s="214">
        <v>44801</v>
      </c>
      <c r="Q260" s="334">
        <v>9</v>
      </c>
      <c r="R260" s="216">
        <v>1369.77</v>
      </c>
      <c r="S260" s="217" t="s">
        <v>2156</v>
      </c>
      <c r="T260" s="209" t="s">
        <v>3661</v>
      </c>
      <c r="U260" s="209" t="s">
        <v>3662</v>
      </c>
      <c r="V260" s="213" t="s">
        <v>3663</v>
      </c>
      <c r="W260" s="218" t="s">
        <v>3652</v>
      </c>
      <c r="X260" s="218" t="s">
        <v>3652</v>
      </c>
      <c r="Y260" s="212" t="s">
        <v>4482</v>
      </c>
      <c r="Z260" s="209" t="s">
        <v>3664</v>
      </c>
      <c r="AA260" s="219"/>
      <c r="AB260" s="218"/>
      <c r="AC260" s="217" t="e">
        <v>#N/A</v>
      </c>
      <c r="AD260" s="217">
        <v>90299</v>
      </c>
      <c r="AE260" s="217" t="s">
        <v>4506</v>
      </c>
      <c r="AF260" s="217" t="s">
        <v>3665</v>
      </c>
      <c r="AG260" s="217" t="s">
        <v>3719</v>
      </c>
      <c r="AH260" s="220" t="str">
        <f t="shared" si="15"/>
        <v>4590004402_009</v>
      </c>
      <c r="AI260" s="208"/>
      <c r="AJ260" s="225">
        <v>45047</v>
      </c>
      <c r="AK260" s="221">
        <v>547.90800000000002</v>
      </c>
      <c r="AL260" s="227">
        <v>45153</v>
      </c>
      <c r="AM260" s="208"/>
      <c r="AN260" s="220"/>
      <c r="AO260" s="222"/>
      <c r="AP260" s="227"/>
      <c r="AQ260" s="358">
        <f ca="1">IF(表格1[[#This Row],[PO$]]="","100%",表格1[[#This Row],[total amount]]/表格1[[#This Row],[PO$]])</f>
        <v>0.4</v>
      </c>
      <c r="AR260" s="223">
        <f ca="1">表格1[[#This Row],[invoice amount]]+表格1[[#This Row],[invoice amount2]]</f>
        <v>547.90800000000002</v>
      </c>
      <c r="AS260" s="224" t="s">
        <v>3673</v>
      </c>
      <c r="AT260" s="208"/>
      <c r="AU260" s="208" t="e">
        <f ca="1">VLOOKUP(表格1[[#This Row],[PO+ITEM]],#REF!,2,FALSE)</f>
        <v>#REF!</v>
      </c>
      <c r="AV260" s="341" t="e">
        <f ca="1">VLOOKUP(表格1[[#This Row],[PO+ITEM]],#REF!,3,FALSE)</f>
        <v>#REF!</v>
      </c>
      <c r="AW260" s="208" t="e">
        <f ca="1">VLOOKUP(表格1[[#This Row],[PO+ITEM]],#REF!,4,FALSE)</f>
        <v>#REF!</v>
      </c>
      <c r="AX260" s="208" t="e" cm="1" vm="1">
        <f t="array" aca="1" ref="AX260" ca="1">VLOOKUP(AI:AI,#REF!,1,FALSE)</f>
        <v>#VALUE!</v>
      </c>
    </row>
    <row r="261" spans="1:50">
      <c r="A261" s="220">
        <v>260</v>
      </c>
      <c r="B261" s="220" t="s">
        <v>3674</v>
      </c>
      <c r="C261" s="209" t="s">
        <v>16</v>
      </c>
      <c r="D261" s="209" t="s">
        <v>3648</v>
      </c>
      <c r="E261" s="209"/>
      <c r="F261" s="209"/>
      <c r="G261" s="209"/>
      <c r="H261" s="210" t="s">
        <v>4508</v>
      </c>
      <c r="I261" s="210"/>
      <c r="J261" s="211"/>
      <c r="K261" s="210"/>
      <c r="L261" s="212" t="s">
        <v>2999</v>
      </c>
      <c r="M261" s="212" t="s">
        <v>2999</v>
      </c>
      <c r="N261" s="213"/>
      <c r="O261" s="263">
        <v>4590004402</v>
      </c>
      <c r="P261" s="214">
        <v>44801</v>
      </c>
      <c r="Q261" s="334">
        <v>10</v>
      </c>
      <c r="R261" s="216">
        <v>1369.77</v>
      </c>
      <c r="S261" s="217" t="s">
        <v>2156</v>
      </c>
      <c r="T261" s="209" t="s">
        <v>3661</v>
      </c>
      <c r="U261" s="209" t="s">
        <v>3662</v>
      </c>
      <c r="V261" s="213" t="s">
        <v>3663</v>
      </c>
      <c r="W261" s="218" t="s">
        <v>3652</v>
      </c>
      <c r="X261" s="218" t="s">
        <v>3652</v>
      </c>
      <c r="Y261" s="212" t="s">
        <v>4482</v>
      </c>
      <c r="Z261" s="209" t="s">
        <v>3664</v>
      </c>
      <c r="AA261" s="219"/>
      <c r="AB261" s="218"/>
      <c r="AC261" s="217" t="e">
        <v>#N/A</v>
      </c>
      <c r="AD261" s="217">
        <v>90298</v>
      </c>
      <c r="AE261" s="217" t="s">
        <v>4509</v>
      </c>
      <c r="AF261" s="217" t="s">
        <v>3665</v>
      </c>
      <c r="AG261" s="217" t="s">
        <v>3719</v>
      </c>
      <c r="AH261" s="220" t="str">
        <f>O261&amp;"_0"&amp;Q261</f>
        <v>4590004402_010</v>
      </c>
      <c r="AI261" s="208"/>
      <c r="AJ261" s="225">
        <v>45047</v>
      </c>
      <c r="AK261" s="221">
        <v>547.90800000000002</v>
      </c>
      <c r="AL261" s="227">
        <v>45153</v>
      </c>
      <c r="AM261" s="208" t="s">
        <v>4510</v>
      </c>
      <c r="AN261" s="363">
        <v>45498</v>
      </c>
      <c r="AO261" s="298">
        <v>821.86</v>
      </c>
      <c r="AP261" s="227"/>
      <c r="AQ261" s="358">
        <f ca="1">IF(表格1[[#This Row],[PO$]]="","100%",表格1[[#This Row],[total amount]]/表格1[[#This Row],[PO$]])</f>
        <v>0.9999985399008593</v>
      </c>
      <c r="AR261" s="223">
        <f ca="1">表格1[[#This Row],[invoice amount]]+表格1[[#This Row],[invoice amount2]]</f>
        <v>1369.768</v>
      </c>
      <c r="AS261" s="224" t="s">
        <v>4235</v>
      </c>
      <c r="AT261" s="208"/>
      <c r="AU261" s="208" t="e">
        <f ca="1">VLOOKUP(表格1[[#This Row],[PO+ITEM]],#REF!,2,FALSE)</f>
        <v>#REF!</v>
      </c>
      <c r="AV261" s="341" t="e">
        <f ca="1">VLOOKUP(表格1[[#This Row],[PO+ITEM]],#REF!,3,FALSE)</f>
        <v>#REF!</v>
      </c>
      <c r="AW261" s="208" t="e">
        <f ca="1">VLOOKUP(表格1[[#This Row],[PO+ITEM]],#REF!,4,FALSE)</f>
        <v>#REF!</v>
      </c>
      <c r="AX261" s="208" t="e" cm="1" vm="1">
        <f t="array" aca="1" ref="AX261" ca="1">VLOOKUP(AI:AI,#REF!,1,FALSE)</f>
        <v>#VALUE!</v>
      </c>
    </row>
    <row r="262" spans="1:50" ht="15.6">
      <c r="A262" s="220">
        <v>261</v>
      </c>
      <c r="B262" s="220" t="s">
        <v>3674</v>
      </c>
      <c r="C262" s="209" t="s">
        <v>16</v>
      </c>
      <c r="D262" s="209" t="s">
        <v>3648</v>
      </c>
      <c r="E262" s="209"/>
      <c r="F262" s="209"/>
      <c r="G262" s="209"/>
      <c r="H262" s="217" t="s">
        <v>4511</v>
      </c>
      <c r="I262" s="217"/>
      <c r="J262" s="215"/>
      <c r="K262" s="217"/>
      <c r="L262" s="212" t="s">
        <v>2206</v>
      </c>
      <c r="M262" s="212" t="s">
        <v>2999</v>
      </c>
      <c r="N262" s="213"/>
      <c r="O262" s="263">
        <v>4590004402</v>
      </c>
      <c r="P262" s="214">
        <v>44801</v>
      </c>
      <c r="Q262" s="334">
        <v>11</v>
      </c>
      <c r="R262" s="216">
        <v>3806.44</v>
      </c>
      <c r="S262" s="217" t="s">
        <v>2156</v>
      </c>
      <c r="T262" s="209" t="s">
        <v>3661</v>
      </c>
      <c r="U262" s="209" t="s">
        <v>3662</v>
      </c>
      <c r="V262" s="213" t="s">
        <v>3663</v>
      </c>
      <c r="W262" s="218" t="s">
        <v>3652</v>
      </c>
      <c r="X262" s="218" t="s">
        <v>3652</v>
      </c>
      <c r="Y262" s="212" t="s">
        <v>4482</v>
      </c>
      <c r="Z262" s="209" t="s">
        <v>3664</v>
      </c>
      <c r="AA262" s="219"/>
      <c r="AB262" s="218"/>
      <c r="AC262" s="217" t="e">
        <v>#N/A</v>
      </c>
      <c r="AD262" s="217">
        <v>90155</v>
      </c>
      <c r="AE262" s="217" t="s">
        <v>2571</v>
      </c>
      <c r="AF262" s="217" t="s">
        <v>3665</v>
      </c>
      <c r="AG262" s="217" t="s">
        <v>846</v>
      </c>
      <c r="AH262" s="220" t="str">
        <f>O262&amp;"_0"&amp;Q262</f>
        <v>4590004402_011</v>
      </c>
      <c r="AI262" s="208"/>
      <c r="AJ262" s="225">
        <v>45047</v>
      </c>
      <c r="AK262" s="221">
        <v>1522.576</v>
      </c>
      <c r="AL262" s="226">
        <v>45153</v>
      </c>
      <c r="AM262" s="208"/>
      <c r="AN262" s="220"/>
      <c r="AO262" s="222"/>
      <c r="AP262" s="227"/>
      <c r="AQ262" s="358">
        <f ca="1">IF(表格1[[#This Row],[PO$]]="","100%",表格1[[#This Row],[total amount]]/表格1[[#This Row],[PO$]])</f>
        <v>0.4</v>
      </c>
      <c r="AR262" s="223">
        <f ca="1">表格1[[#This Row],[invoice amount]]+表格1[[#This Row],[invoice amount2]]</f>
        <v>1522.576</v>
      </c>
      <c r="AS262" s="224" t="s">
        <v>3673</v>
      </c>
      <c r="AT262" s="208"/>
      <c r="AU262" s="208" t="e">
        <f ca="1">VLOOKUP(表格1[[#This Row],[PO+ITEM]],#REF!,2,FALSE)</f>
        <v>#REF!</v>
      </c>
      <c r="AV262" s="341" t="e">
        <f ca="1">VLOOKUP(表格1[[#This Row],[PO+ITEM]],#REF!,3,FALSE)</f>
        <v>#REF!</v>
      </c>
      <c r="AW262" s="208" t="e">
        <f ca="1">VLOOKUP(表格1[[#This Row],[PO+ITEM]],#REF!,4,FALSE)</f>
        <v>#REF!</v>
      </c>
      <c r="AX262" s="208" t="e" cm="1" vm="1">
        <f t="array" aca="1" ref="AX262" ca="1">VLOOKUP(AI:AI,#REF!,1,FALSE)</f>
        <v>#VALUE!</v>
      </c>
    </row>
    <row r="263" spans="1:50">
      <c r="A263" s="220">
        <v>262</v>
      </c>
      <c r="B263" s="220" t="s">
        <v>3674</v>
      </c>
      <c r="C263" s="209" t="s">
        <v>16</v>
      </c>
      <c r="D263" s="209" t="s">
        <v>3648</v>
      </c>
      <c r="E263" s="209"/>
      <c r="F263" s="209"/>
      <c r="G263" s="209"/>
      <c r="H263" s="210" t="s">
        <v>4512</v>
      </c>
      <c r="I263" s="210"/>
      <c r="J263" s="211"/>
      <c r="K263" s="210"/>
      <c r="L263" s="212" t="s">
        <v>2206</v>
      </c>
      <c r="M263" s="212" t="s">
        <v>2999</v>
      </c>
      <c r="N263" s="213"/>
      <c r="O263" s="263">
        <v>4590004402</v>
      </c>
      <c r="P263" s="214">
        <v>44801</v>
      </c>
      <c r="Q263" s="334">
        <v>12</v>
      </c>
      <c r="R263" s="216">
        <v>1369.77</v>
      </c>
      <c r="S263" s="217" t="s">
        <v>2156</v>
      </c>
      <c r="T263" s="209" t="s">
        <v>3661</v>
      </c>
      <c r="U263" s="209" t="s">
        <v>3662</v>
      </c>
      <c r="V263" s="213" t="s">
        <v>3663</v>
      </c>
      <c r="W263" s="218" t="s">
        <v>3652</v>
      </c>
      <c r="X263" s="218" t="s">
        <v>3652</v>
      </c>
      <c r="Y263" s="212" t="s">
        <v>4482</v>
      </c>
      <c r="Z263" s="209" t="s">
        <v>3664</v>
      </c>
      <c r="AA263" s="219"/>
      <c r="AB263" s="218"/>
      <c r="AC263" s="217" t="e">
        <v>#N/A</v>
      </c>
      <c r="AD263" s="217">
        <v>90394</v>
      </c>
      <c r="AE263" s="217" t="s">
        <v>2598</v>
      </c>
      <c r="AF263" s="217" t="s">
        <v>3665</v>
      </c>
      <c r="AG263" s="217" t="s">
        <v>846</v>
      </c>
      <c r="AH263" s="220" t="str">
        <f>O263&amp;"_0"&amp;Q263</f>
        <v>4590004402_012</v>
      </c>
      <c r="AI263" s="208"/>
      <c r="AJ263" s="225">
        <v>45047</v>
      </c>
      <c r="AK263" s="221">
        <v>547.90800000000002</v>
      </c>
      <c r="AL263" s="227">
        <v>45153</v>
      </c>
      <c r="AM263" s="208"/>
      <c r="AN263" s="220"/>
      <c r="AO263" s="222"/>
      <c r="AP263" s="227"/>
      <c r="AQ263" s="358">
        <f ca="1">IF(表格1[[#This Row],[PO$]]="","100%",表格1[[#This Row],[total amount]]/表格1[[#This Row],[PO$]])</f>
        <v>0.4</v>
      </c>
      <c r="AR263" s="223">
        <f ca="1">表格1[[#This Row],[invoice amount]]+表格1[[#This Row],[invoice amount2]]</f>
        <v>547.90800000000002</v>
      </c>
      <c r="AS263" s="224" t="s">
        <v>3673</v>
      </c>
      <c r="AT263" s="208"/>
      <c r="AU263" s="208" t="e">
        <f ca="1">VLOOKUP(表格1[[#This Row],[PO+ITEM]],#REF!,2,FALSE)</f>
        <v>#REF!</v>
      </c>
      <c r="AV263" s="341" t="e">
        <f ca="1">VLOOKUP(表格1[[#This Row],[PO+ITEM]],#REF!,3,FALSE)</f>
        <v>#REF!</v>
      </c>
      <c r="AW263" s="208" t="e">
        <f ca="1">VLOOKUP(表格1[[#This Row],[PO+ITEM]],#REF!,4,FALSE)</f>
        <v>#REF!</v>
      </c>
      <c r="AX263" s="208" t="e" cm="1" vm="1">
        <f t="array" aca="1" ref="AX263" ca="1">VLOOKUP(AI:AI,#REF!,1,FALSE)</f>
        <v>#VALUE!</v>
      </c>
    </row>
    <row r="264" spans="1:50">
      <c r="A264" s="220">
        <v>263</v>
      </c>
      <c r="B264" s="220" t="s">
        <v>3674</v>
      </c>
      <c r="C264" s="209" t="s">
        <v>16</v>
      </c>
      <c r="D264" s="209" t="s">
        <v>3648</v>
      </c>
      <c r="E264" s="209"/>
      <c r="F264" s="209"/>
      <c r="G264" s="209"/>
      <c r="H264" s="210" t="s">
        <v>4513</v>
      </c>
      <c r="I264" s="210"/>
      <c r="J264" s="211"/>
      <c r="K264" s="210"/>
      <c r="L264" s="212" t="s">
        <v>2206</v>
      </c>
      <c r="M264" s="212" t="s">
        <v>2999</v>
      </c>
      <c r="N264" s="213"/>
      <c r="O264" s="263">
        <v>4590004402</v>
      </c>
      <c r="P264" s="214">
        <v>44801</v>
      </c>
      <c r="Q264" s="334">
        <v>13</v>
      </c>
      <c r="R264" s="216">
        <v>1369.77</v>
      </c>
      <c r="S264" s="217" t="s">
        <v>2156</v>
      </c>
      <c r="T264" s="209" t="s">
        <v>3661</v>
      </c>
      <c r="U264" s="209" t="s">
        <v>3662</v>
      </c>
      <c r="V264" s="213" t="s">
        <v>3663</v>
      </c>
      <c r="W264" s="218" t="s">
        <v>3652</v>
      </c>
      <c r="X264" s="218" t="s">
        <v>3652</v>
      </c>
      <c r="Y264" s="212" t="s">
        <v>4482</v>
      </c>
      <c r="Z264" s="209" t="s">
        <v>3664</v>
      </c>
      <c r="AA264" s="219"/>
      <c r="AB264" s="218"/>
      <c r="AC264" s="217" t="e">
        <v>#N/A</v>
      </c>
      <c r="AD264" s="217">
        <v>90608</v>
      </c>
      <c r="AE264" s="217" t="s">
        <v>2580</v>
      </c>
      <c r="AF264" s="217" t="s">
        <v>3665</v>
      </c>
      <c r="AG264" s="217" t="s">
        <v>846</v>
      </c>
      <c r="AH264" s="220" t="str">
        <f>O264&amp;"_0"&amp;Q264</f>
        <v>4590004402_013</v>
      </c>
      <c r="AI264" s="208"/>
      <c r="AJ264" s="225">
        <v>45047</v>
      </c>
      <c r="AK264" s="221">
        <v>547.90800000000002</v>
      </c>
      <c r="AL264" s="227">
        <v>45153</v>
      </c>
      <c r="AM264" s="208"/>
      <c r="AN264" s="220"/>
      <c r="AO264" s="222"/>
      <c r="AP264" s="227"/>
      <c r="AQ264" s="358">
        <f ca="1">IF(表格1[[#This Row],[PO$]]="","100%",表格1[[#This Row],[total amount]]/表格1[[#This Row],[PO$]])</f>
        <v>0.4</v>
      </c>
      <c r="AR264" s="223">
        <f ca="1">表格1[[#This Row],[invoice amount]]+表格1[[#This Row],[invoice amount2]]</f>
        <v>547.90800000000002</v>
      </c>
      <c r="AS264" s="224" t="s">
        <v>3673</v>
      </c>
      <c r="AT264" s="208"/>
      <c r="AU264" s="208" t="e">
        <f ca="1">VLOOKUP(表格1[[#This Row],[PO+ITEM]],#REF!,2,FALSE)</f>
        <v>#REF!</v>
      </c>
      <c r="AV264" s="341" t="e">
        <f ca="1">VLOOKUP(表格1[[#This Row],[PO+ITEM]],#REF!,3,FALSE)</f>
        <v>#REF!</v>
      </c>
      <c r="AW264" s="208" t="e">
        <f ca="1">VLOOKUP(表格1[[#This Row],[PO+ITEM]],#REF!,4,FALSE)</f>
        <v>#REF!</v>
      </c>
      <c r="AX264" s="208" t="e" cm="1" vm="1">
        <f t="array" aca="1" ref="AX264" ca="1">VLOOKUP(AI:AI,#REF!,1,FALSE)</f>
        <v>#VALUE!</v>
      </c>
    </row>
    <row r="265" spans="1:50">
      <c r="A265" s="220">
        <v>264</v>
      </c>
      <c r="B265" s="220" t="s">
        <v>3659</v>
      </c>
      <c r="C265" s="209" t="s">
        <v>16</v>
      </c>
      <c r="D265" s="209" t="s">
        <v>3648</v>
      </c>
      <c r="E265" s="209"/>
      <c r="F265" s="209"/>
      <c r="G265" s="209"/>
      <c r="H265" s="210" t="s">
        <v>4514</v>
      </c>
      <c r="I265" s="210"/>
      <c r="J265" s="211"/>
      <c r="K265" s="210"/>
      <c r="L265" s="212" t="s">
        <v>2206</v>
      </c>
      <c r="M265" s="212" t="s">
        <v>2999</v>
      </c>
      <c r="N265" s="213"/>
      <c r="O265" s="263">
        <v>4590004402</v>
      </c>
      <c r="P265" s="214">
        <v>44801</v>
      </c>
      <c r="Q265" s="334">
        <v>14</v>
      </c>
      <c r="R265" s="216">
        <v>1369.77</v>
      </c>
      <c r="S265" s="217" t="s">
        <v>2156</v>
      </c>
      <c r="T265" s="209" t="s">
        <v>3661</v>
      </c>
      <c r="U265" s="209" t="s">
        <v>3662</v>
      </c>
      <c r="V265" s="213" t="s">
        <v>3663</v>
      </c>
      <c r="W265" s="218" t="s">
        <v>3652</v>
      </c>
      <c r="X265" s="218" t="s">
        <v>3652</v>
      </c>
      <c r="Y265" s="212" t="s">
        <v>4482</v>
      </c>
      <c r="Z265" s="209" t="s">
        <v>3664</v>
      </c>
      <c r="AA265" s="219"/>
      <c r="AB265" s="218"/>
      <c r="AC265" s="217" t="e">
        <v>#N/A</v>
      </c>
      <c r="AD265" s="217">
        <v>90607</v>
      </c>
      <c r="AE265" s="217" t="s">
        <v>4515</v>
      </c>
      <c r="AF265" s="217" t="s">
        <v>3665</v>
      </c>
      <c r="AG265" s="217" t="s">
        <v>846</v>
      </c>
      <c r="AH265" s="220" t="str">
        <f>O265&amp;"_0"&amp;Q265</f>
        <v>4590004402_014</v>
      </c>
      <c r="AI265" s="208"/>
      <c r="AJ265" s="225">
        <v>45047</v>
      </c>
      <c r="AK265" s="221">
        <v>547.90800000000002</v>
      </c>
      <c r="AL265" s="227">
        <v>45153</v>
      </c>
      <c r="AM265" s="208"/>
      <c r="AN265" s="220"/>
      <c r="AO265" s="222"/>
      <c r="AP265" s="227"/>
      <c r="AQ265" s="358">
        <f ca="1">IF(表格1[[#This Row],[PO$]]="","100%",表格1[[#This Row],[total amount]]/表格1[[#This Row],[PO$]])</f>
        <v>0.4</v>
      </c>
      <c r="AR265" s="223">
        <f ca="1">表格1[[#This Row],[invoice amount]]+表格1[[#This Row],[invoice amount2]]</f>
        <v>547.90800000000002</v>
      </c>
      <c r="AS265" s="224" t="s">
        <v>3673</v>
      </c>
      <c r="AT265" s="208"/>
      <c r="AU265" s="208" t="e">
        <f ca="1">VLOOKUP(表格1[[#This Row],[PO+ITEM]],#REF!,2,FALSE)</f>
        <v>#REF!</v>
      </c>
      <c r="AV265" s="341" t="e">
        <f ca="1">VLOOKUP(表格1[[#This Row],[PO+ITEM]],#REF!,3,FALSE)</f>
        <v>#REF!</v>
      </c>
      <c r="AW265" s="208" t="e">
        <f ca="1">VLOOKUP(表格1[[#This Row],[PO+ITEM]],#REF!,4,FALSE)</f>
        <v>#REF!</v>
      </c>
      <c r="AX265" s="208" t="e" cm="1" vm="1">
        <f t="array" aca="1" ref="AX265" ca="1">VLOOKUP(AI:AI,#REF!,1,FALSE)</f>
        <v>#VALUE!</v>
      </c>
    </row>
    <row r="266" spans="1:50" ht="15.6">
      <c r="A266" s="220">
        <v>265</v>
      </c>
      <c r="B266" s="220" t="s">
        <v>3674</v>
      </c>
      <c r="C266" s="209" t="s">
        <v>16</v>
      </c>
      <c r="D266" s="209" t="s">
        <v>3648</v>
      </c>
      <c r="E266" s="209"/>
      <c r="F266" s="209"/>
      <c r="G266" s="209"/>
      <c r="H266" s="210" t="s">
        <v>4516</v>
      </c>
      <c r="I266" s="210"/>
      <c r="J266" s="211"/>
      <c r="K266" s="210"/>
      <c r="L266" s="212" t="s">
        <v>4517</v>
      </c>
      <c r="M266" s="212" t="s">
        <v>2999</v>
      </c>
      <c r="N266" s="213"/>
      <c r="O266" s="263">
        <v>4590004403</v>
      </c>
      <c r="P266" s="214">
        <v>44801</v>
      </c>
      <c r="Q266" s="334">
        <v>1</v>
      </c>
      <c r="R266" s="216">
        <v>2588.64</v>
      </c>
      <c r="S266" s="217" t="s">
        <v>2156</v>
      </c>
      <c r="T266" s="209" t="s">
        <v>3661</v>
      </c>
      <c r="U266" s="209" t="s">
        <v>3662</v>
      </c>
      <c r="V266" s="213" t="s">
        <v>3663</v>
      </c>
      <c r="W266" s="218" t="s">
        <v>3652</v>
      </c>
      <c r="X266" s="218" t="s">
        <v>3652</v>
      </c>
      <c r="Y266" s="212" t="s">
        <v>4518</v>
      </c>
      <c r="Z266" s="209" t="s">
        <v>3664</v>
      </c>
      <c r="AA266" s="219"/>
      <c r="AB266" s="218"/>
      <c r="AC266" s="217" t="e">
        <v>#N/A</v>
      </c>
      <c r="AD266" s="217">
        <v>90626</v>
      </c>
      <c r="AE266" s="217" t="s">
        <v>3193</v>
      </c>
      <c r="AF266" s="217" t="s">
        <v>3665</v>
      </c>
      <c r="AG266" s="217" t="s">
        <v>3666</v>
      </c>
      <c r="AH266" s="220" t="str">
        <f t="shared" ref="AH266:AH274" si="16">O266&amp;"_00"&amp;Q266</f>
        <v>4590004403_001</v>
      </c>
      <c r="AI266" s="208"/>
      <c r="AJ266" s="225">
        <v>45047</v>
      </c>
      <c r="AK266" s="221">
        <v>1035.4559999999999</v>
      </c>
      <c r="AL266" s="226">
        <v>45168</v>
      </c>
      <c r="AM266" s="208" t="s">
        <v>4519</v>
      </c>
      <c r="AN266" s="227">
        <v>45506</v>
      </c>
      <c r="AO266" s="222">
        <v>1553.18</v>
      </c>
      <c r="AP266" s="227"/>
      <c r="AQ266" s="358">
        <f ca="1">IF(表格1[[#This Row],[PO$]]="","100%",表格1[[#This Row],[total amount]]/表格1[[#This Row],[PO$]])</f>
        <v>0.99999845478706972</v>
      </c>
      <c r="AR266" s="223">
        <f ca="1">表格1[[#This Row],[invoice amount]]+表格1[[#This Row],[invoice amount2]]</f>
        <v>2588.636</v>
      </c>
      <c r="AS266" s="224" t="s">
        <v>4235</v>
      </c>
      <c r="AT266" s="208"/>
      <c r="AU266" s="220" t="e">
        <f ca="1">VLOOKUP(表格1[[#This Row],[PO+ITEM]],#REF!,2,FALSE)</f>
        <v>#REF!</v>
      </c>
      <c r="AV266" s="341" t="e">
        <f ca="1">VLOOKUP(表格1[[#This Row],[PO+ITEM]],#REF!,3,FALSE)</f>
        <v>#REF!</v>
      </c>
      <c r="AW266" s="208" t="e">
        <f ca="1">VLOOKUP(表格1[[#This Row],[PO+ITEM]],#REF!,4,FALSE)</f>
        <v>#REF!</v>
      </c>
      <c r="AX266" s="208" t="e" cm="1" vm="1">
        <f t="array" aca="1" ref="AX266" ca="1">VLOOKUP(AI:AI,#REF!,1,FALSE)</f>
        <v>#VALUE!</v>
      </c>
    </row>
    <row r="267" spans="1:50" ht="15.6">
      <c r="A267" s="220">
        <v>266</v>
      </c>
      <c r="B267" s="220" t="s">
        <v>3674</v>
      </c>
      <c r="C267" s="209" t="s">
        <v>16</v>
      </c>
      <c r="D267" s="209" t="s">
        <v>3648</v>
      </c>
      <c r="E267" s="209"/>
      <c r="F267" s="209"/>
      <c r="G267" s="209"/>
      <c r="H267" s="217" t="s">
        <v>4520</v>
      </c>
      <c r="I267" s="217"/>
      <c r="J267" s="215"/>
      <c r="K267" s="217"/>
      <c r="L267" s="212" t="s">
        <v>4517</v>
      </c>
      <c r="M267" s="212" t="s">
        <v>2999</v>
      </c>
      <c r="N267" s="213"/>
      <c r="O267" s="263">
        <v>4590004403</v>
      </c>
      <c r="P267" s="214">
        <v>44801</v>
      </c>
      <c r="Q267" s="334">
        <v>2</v>
      </c>
      <c r="R267" s="216">
        <v>2588.64</v>
      </c>
      <c r="S267" s="217" t="s">
        <v>2156</v>
      </c>
      <c r="T267" s="209" t="s">
        <v>3661</v>
      </c>
      <c r="U267" s="209" t="s">
        <v>3662</v>
      </c>
      <c r="V267" s="213" t="s">
        <v>3663</v>
      </c>
      <c r="W267" s="218" t="s">
        <v>3652</v>
      </c>
      <c r="X267" s="218" t="s">
        <v>3652</v>
      </c>
      <c r="Y267" s="212" t="s">
        <v>4518</v>
      </c>
      <c r="Z267" s="209" t="s">
        <v>3664</v>
      </c>
      <c r="AA267" s="219"/>
      <c r="AB267" s="218"/>
      <c r="AC267" s="217" t="e">
        <v>#N/A</v>
      </c>
      <c r="AD267" s="217">
        <v>90625</v>
      </c>
      <c r="AE267" s="217" t="s">
        <v>3291</v>
      </c>
      <c r="AF267" s="217" t="s">
        <v>3665</v>
      </c>
      <c r="AG267" s="217" t="s">
        <v>3666</v>
      </c>
      <c r="AH267" s="220" t="str">
        <f t="shared" si="16"/>
        <v>4590004403_002</v>
      </c>
      <c r="AI267" s="208"/>
      <c r="AJ267" s="225">
        <v>45047</v>
      </c>
      <c r="AK267" s="221">
        <v>1035.4559999999999</v>
      </c>
      <c r="AL267" s="226">
        <v>45168</v>
      </c>
      <c r="AM267" s="208"/>
      <c r="AN267" s="220"/>
      <c r="AO267" s="222"/>
      <c r="AP267" s="227"/>
      <c r="AQ267" s="358">
        <f ca="1">IF(表格1[[#This Row],[PO$]]="","100%",表格1[[#This Row],[total amount]]/表格1[[#This Row],[PO$]])</f>
        <v>0.39999999999999997</v>
      </c>
      <c r="AR267" s="223">
        <f ca="1">表格1[[#This Row],[invoice amount]]+表格1[[#This Row],[invoice amount2]]</f>
        <v>1035.4559999999999</v>
      </c>
      <c r="AS267" s="224" t="s">
        <v>3673</v>
      </c>
      <c r="AT267" s="208"/>
      <c r="AU267" s="208" t="e">
        <f ca="1">VLOOKUP(表格1[[#This Row],[PO+ITEM]],#REF!,2,FALSE)</f>
        <v>#REF!</v>
      </c>
      <c r="AV267" s="341" t="e">
        <f ca="1">VLOOKUP(表格1[[#This Row],[PO+ITEM]],#REF!,3,FALSE)</f>
        <v>#REF!</v>
      </c>
      <c r="AW267" s="208" t="e">
        <f ca="1">VLOOKUP(表格1[[#This Row],[PO+ITEM]],#REF!,4,FALSE)</f>
        <v>#REF!</v>
      </c>
      <c r="AX267" s="208" t="e" cm="1" vm="1">
        <f t="array" aca="1" ref="AX267" ca="1">VLOOKUP(AI:AI,#REF!,1,FALSE)</f>
        <v>#VALUE!</v>
      </c>
    </row>
    <row r="268" spans="1:50" ht="15.6">
      <c r="A268" s="220">
        <v>267</v>
      </c>
      <c r="B268" s="220" t="s">
        <v>3674</v>
      </c>
      <c r="C268" s="209" t="s">
        <v>16</v>
      </c>
      <c r="D268" s="209" t="s">
        <v>3648</v>
      </c>
      <c r="E268" s="209"/>
      <c r="F268" s="209"/>
      <c r="G268" s="209"/>
      <c r="H268" s="210" t="s">
        <v>4522</v>
      </c>
      <c r="I268" s="210"/>
      <c r="J268" s="211"/>
      <c r="K268" s="210"/>
      <c r="L268" s="212" t="s">
        <v>4517</v>
      </c>
      <c r="M268" s="212" t="s">
        <v>2999</v>
      </c>
      <c r="N268" s="213"/>
      <c r="O268" s="263">
        <v>4590004403</v>
      </c>
      <c r="P268" s="214">
        <v>44801</v>
      </c>
      <c r="Q268" s="334">
        <v>3</v>
      </c>
      <c r="R268" s="216">
        <v>2588.64</v>
      </c>
      <c r="S268" s="217" t="s">
        <v>2156</v>
      </c>
      <c r="T268" s="209" t="s">
        <v>3661</v>
      </c>
      <c r="U268" s="209" t="s">
        <v>3662</v>
      </c>
      <c r="V268" s="213" t="s">
        <v>3663</v>
      </c>
      <c r="W268" s="218" t="s">
        <v>3652</v>
      </c>
      <c r="X268" s="218" t="s">
        <v>3652</v>
      </c>
      <c r="Y268" s="212" t="s">
        <v>4518</v>
      </c>
      <c r="Z268" s="209" t="s">
        <v>3664</v>
      </c>
      <c r="AA268" s="219"/>
      <c r="AB268" s="218"/>
      <c r="AC268" s="217" t="e">
        <v>#N/A</v>
      </c>
      <c r="AD268" s="217">
        <v>90643</v>
      </c>
      <c r="AE268" s="217" t="s">
        <v>3440</v>
      </c>
      <c r="AF268" s="217" t="s">
        <v>3665</v>
      </c>
      <c r="AG268" s="217" t="s">
        <v>3666</v>
      </c>
      <c r="AH268" s="220" t="str">
        <f t="shared" si="16"/>
        <v>4590004403_003</v>
      </c>
      <c r="AI268" s="208"/>
      <c r="AJ268" s="225">
        <v>45047</v>
      </c>
      <c r="AK268" s="221">
        <v>1035.4559999999999</v>
      </c>
      <c r="AL268" s="226">
        <v>45168</v>
      </c>
      <c r="AM268" s="208" t="s">
        <v>4523</v>
      </c>
      <c r="AN268" s="227">
        <v>45506</v>
      </c>
      <c r="AO268" s="222">
        <v>1553.18</v>
      </c>
      <c r="AP268" s="227"/>
      <c r="AQ268" s="358">
        <f ca="1">IF(表格1[[#This Row],[PO$]]="","100%",表格1[[#This Row],[total amount]]/表格1[[#This Row],[PO$]])</f>
        <v>0.99999845478706972</v>
      </c>
      <c r="AR268" s="223">
        <f ca="1">表格1[[#This Row],[invoice amount]]+表格1[[#This Row],[invoice amount2]]</f>
        <v>2588.636</v>
      </c>
      <c r="AS268" s="224" t="s">
        <v>4235</v>
      </c>
      <c r="AT268" s="208"/>
      <c r="AU268" s="220" t="e">
        <f ca="1">VLOOKUP(表格1[[#This Row],[PO+ITEM]],#REF!,2,FALSE)</f>
        <v>#REF!</v>
      </c>
      <c r="AV268" s="341" t="e">
        <f ca="1">VLOOKUP(表格1[[#This Row],[PO+ITEM]],#REF!,3,FALSE)</f>
        <v>#REF!</v>
      </c>
      <c r="AW268" s="208" t="e">
        <f ca="1">VLOOKUP(表格1[[#This Row],[PO+ITEM]],#REF!,4,FALSE)</f>
        <v>#REF!</v>
      </c>
      <c r="AX268" s="208" t="e" cm="1" vm="1">
        <f t="array" aca="1" ref="AX268" ca="1">VLOOKUP(AI:AI,#REF!,1,FALSE)</f>
        <v>#VALUE!</v>
      </c>
    </row>
    <row r="269" spans="1:50" ht="15.6">
      <c r="A269" s="220">
        <v>268</v>
      </c>
      <c r="B269" s="220" t="s">
        <v>3674</v>
      </c>
      <c r="C269" s="209" t="s">
        <v>16</v>
      </c>
      <c r="D269" s="209" t="s">
        <v>3648</v>
      </c>
      <c r="E269" s="209"/>
      <c r="F269" s="209"/>
      <c r="G269" s="209"/>
      <c r="H269" s="210" t="s">
        <v>4524</v>
      </c>
      <c r="I269" s="210"/>
      <c r="J269" s="211"/>
      <c r="K269" s="210"/>
      <c r="L269" s="212" t="s">
        <v>4517</v>
      </c>
      <c r="M269" s="212" t="s">
        <v>2999</v>
      </c>
      <c r="N269" s="213"/>
      <c r="O269" s="263">
        <v>4590004403</v>
      </c>
      <c r="P269" s="214">
        <v>44801</v>
      </c>
      <c r="Q269" s="334">
        <v>4</v>
      </c>
      <c r="R269" s="216">
        <v>2588.64</v>
      </c>
      <c r="S269" s="217" t="s">
        <v>2156</v>
      </c>
      <c r="T269" s="209" t="s">
        <v>3661</v>
      </c>
      <c r="U269" s="209" t="s">
        <v>3662</v>
      </c>
      <c r="V269" s="213" t="s">
        <v>3663</v>
      </c>
      <c r="W269" s="218" t="s">
        <v>3652</v>
      </c>
      <c r="X269" s="218" t="s">
        <v>3652</v>
      </c>
      <c r="Y269" s="212" t="s">
        <v>4518</v>
      </c>
      <c r="Z269" s="209" t="s">
        <v>3664</v>
      </c>
      <c r="AA269" s="219"/>
      <c r="AB269" s="218"/>
      <c r="AC269" s="217" t="e">
        <v>#N/A</v>
      </c>
      <c r="AD269" s="217">
        <v>90635</v>
      </c>
      <c r="AE269" s="217" t="s">
        <v>3405</v>
      </c>
      <c r="AF269" s="217" t="s">
        <v>3665</v>
      </c>
      <c r="AG269" s="217" t="s">
        <v>3666</v>
      </c>
      <c r="AH269" s="220" t="str">
        <f t="shared" si="16"/>
        <v>4590004403_004</v>
      </c>
      <c r="AI269" s="208"/>
      <c r="AJ269" s="225">
        <v>45047</v>
      </c>
      <c r="AK269" s="221">
        <v>1035.4559999999999</v>
      </c>
      <c r="AL269" s="226">
        <v>45168</v>
      </c>
      <c r="AM269" s="208" t="s">
        <v>4525</v>
      </c>
      <c r="AN269" s="227">
        <v>45506</v>
      </c>
      <c r="AO269" s="222">
        <v>1553.18</v>
      </c>
      <c r="AP269" s="227"/>
      <c r="AQ269" s="358">
        <f ca="1">IF(表格1[[#This Row],[PO$]]="","100%",表格1[[#This Row],[total amount]]/表格1[[#This Row],[PO$]])</f>
        <v>0.99999845478706972</v>
      </c>
      <c r="AR269" s="223">
        <f ca="1">表格1[[#This Row],[invoice amount]]+表格1[[#This Row],[invoice amount2]]</f>
        <v>2588.636</v>
      </c>
      <c r="AS269" s="224" t="s">
        <v>4235</v>
      </c>
      <c r="AT269" s="208"/>
      <c r="AU269" s="220" t="e">
        <f ca="1">VLOOKUP(表格1[[#This Row],[PO+ITEM]],#REF!,2,FALSE)</f>
        <v>#REF!</v>
      </c>
      <c r="AV269" s="341" t="e">
        <f ca="1">VLOOKUP(表格1[[#This Row],[PO+ITEM]],#REF!,3,FALSE)</f>
        <v>#REF!</v>
      </c>
      <c r="AW269" s="208" t="e">
        <f ca="1">VLOOKUP(表格1[[#This Row],[PO+ITEM]],#REF!,4,FALSE)</f>
        <v>#REF!</v>
      </c>
      <c r="AX269" s="208" t="e" cm="1" vm="1">
        <f t="array" aca="1" ref="AX269" ca="1">VLOOKUP(AI:AI,#REF!,1,FALSE)</f>
        <v>#VALUE!</v>
      </c>
    </row>
    <row r="270" spans="1:50" ht="15.6">
      <c r="A270" s="220">
        <v>269</v>
      </c>
      <c r="B270" s="220" t="s">
        <v>3674</v>
      </c>
      <c r="C270" s="209" t="s">
        <v>16</v>
      </c>
      <c r="D270" s="209" t="s">
        <v>3648</v>
      </c>
      <c r="E270" s="209"/>
      <c r="F270" s="209"/>
      <c r="G270" s="209"/>
      <c r="H270" s="210" t="s">
        <v>4526</v>
      </c>
      <c r="I270" s="210"/>
      <c r="J270" s="211"/>
      <c r="K270" s="210"/>
      <c r="L270" s="212" t="s">
        <v>4517</v>
      </c>
      <c r="M270" s="212" t="s">
        <v>2999</v>
      </c>
      <c r="N270" s="213"/>
      <c r="O270" s="263">
        <v>4590004403</v>
      </c>
      <c r="P270" s="214">
        <v>44801</v>
      </c>
      <c r="Q270" s="334">
        <v>5</v>
      </c>
      <c r="R270" s="216">
        <v>2588.64</v>
      </c>
      <c r="S270" s="217" t="s">
        <v>2156</v>
      </c>
      <c r="T270" s="209" t="s">
        <v>3661</v>
      </c>
      <c r="U270" s="209" t="s">
        <v>3662</v>
      </c>
      <c r="V270" s="213" t="s">
        <v>3663</v>
      </c>
      <c r="W270" s="218" t="s">
        <v>3652</v>
      </c>
      <c r="X270" s="218" t="s">
        <v>3652</v>
      </c>
      <c r="Y270" s="212" t="s">
        <v>4527</v>
      </c>
      <c r="Z270" s="209" t="s">
        <v>3664</v>
      </c>
      <c r="AA270" s="219"/>
      <c r="AB270" s="218"/>
      <c r="AC270" s="217" t="e">
        <v>#N/A</v>
      </c>
      <c r="AD270" s="217">
        <v>90636</v>
      </c>
      <c r="AE270" s="217" t="s">
        <v>3206</v>
      </c>
      <c r="AF270" s="217" t="s">
        <v>3665</v>
      </c>
      <c r="AG270" s="217" t="s">
        <v>3666</v>
      </c>
      <c r="AH270" s="220" t="str">
        <f t="shared" si="16"/>
        <v>4590004403_005</v>
      </c>
      <c r="AI270" s="208"/>
      <c r="AJ270" s="225">
        <v>45108</v>
      </c>
      <c r="AK270" s="221">
        <v>1035.4559999999999</v>
      </c>
      <c r="AL270" s="226">
        <v>45168</v>
      </c>
      <c r="AM270" s="208" t="s">
        <v>4528</v>
      </c>
      <c r="AN270" s="227">
        <v>45506</v>
      </c>
      <c r="AO270" s="222">
        <v>1553.18</v>
      </c>
      <c r="AP270" s="227"/>
      <c r="AQ270" s="358">
        <f ca="1">IF(表格1[[#This Row],[PO$]]="","100%",表格1[[#This Row],[total amount]]/表格1[[#This Row],[PO$]])</f>
        <v>0.99999845478706972</v>
      </c>
      <c r="AR270" s="223">
        <f ca="1">表格1[[#This Row],[invoice amount]]+表格1[[#This Row],[invoice amount2]]</f>
        <v>2588.636</v>
      </c>
      <c r="AS270" s="224" t="s">
        <v>4235</v>
      </c>
      <c r="AT270" s="208"/>
      <c r="AU270" s="220" t="e">
        <f ca="1">VLOOKUP(表格1[[#This Row],[PO+ITEM]],#REF!,2,FALSE)</f>
        <v>#REF!</v>
      </c>
      <c r="AV270" s="341" t="e">
        <f ca="1">VLOOKUP(表格1[[#This Row],[PO+ITEM]],#REF!,3,FALSE)</f>
        <v>#REF!</v>
      </c>
      <c r="AW270" s="208" t="e">
        <f ca="1">VLOOKUP(表格1[[#This Row],[PO+ITEM]],#REF!,4,FALSE)</f>
        <v>#REF!</v>
      </c>
      <c r="AX270" s="208" t="e" cm="1" vm="1">
        <f t="array" aca="1" ref="AX270" ca="1">VLOOKUP(AI:AI,#REF!,1,FALSE)</f>
        <v>#VALUE!</v>
      </c>
    </row>
    <row r="271" spans="1:50" ht="15.6">
      <c r="A271" s="220">
        <v>270</v>
      </c>
      <c r="B271" s="220" t="s">
        <v>3674</v>
      </c>
      <c r="C271" s="209" t="s">
        <v>16</v>
      </c>
      <c r="D271" s="209" t="s">
        <v>3648</v>
      </c>
      <c r="E271" s="209"/>
      <c r="F271" s="209"/>
      <c r="G271" s="209"/>
      <c r="H271" s="217" t="s">
        <v>4529</v>
      </c>
      <c r="I271" s="217"/>
      <c r="J271" s="215"/>
      <c r="K271" s="217"/>
      <c r="L271" s="212" t="s">
        <v>4517</v>
      </c>
      <c r="M271" s="212" t="s">
        <v>2999</v>
      </c>
      <c r="N271" s="213"/>
      <c r="O271" s="263">
        <v>4590004403</v>
      </c>
      <c r="P271" s="214">
        <v>44801</v>
      </c>
      <c r="Q271" s="334">
        <v>6</v>
      </c>
      <c r="R271" s="216">
        <v>1319.47</v>
      </c>
      <c r="S271" s="217" t="s">
        <v>2156</v>
      </c>
      <c r="T271" s="209" t="s">
        <v>3661</v>
      </c>
      <c r="U271" s="209" t="s">
        <v>3662</v>
      </c>
      <c r="V271" s="213" t="s">
        <v>3663</v>
      </c>
      <c r="W271" s="218" t="s">
        <v>3652</v>
      </c>
      <c r="X271" s="218" t="s">
        <v>3652</v>
      </c>
      <c r="Y271" s="212" t="s">
        <v>4518</v>
      </c>
      <c r="Z271" s="209" t="s">
        <v>3664</v>
      </c>
      <c r="AA271" s="219"/>
      <c r="AB271" s="218"/>
      <c r="AC271" s="217" t="e">
        <v>#N/A</v>
      </c>
      <c r="AD271" s="217">
        <v>90770</v>
      </c>
      <c r="AE271" s="217" t="s">
        <v>3275</v>
      </c>
      <c r="AF271" s="217" t="s">
        <v>3665</v>
      </c>
      <c r="AG271" s="217" t="s">
        <v>3666</v>
      </c>
      <c r="AH271" s="220" t="str">
        <f t="shared" si="16"/>
        <v>4590004403_006</v>
      </c>
      <c r="AI271" s="208"/>
      <c r="AJ271" s="225">
        <v>45047</v>
      </c>
      <c r="AK271" s="221">
        <v>527.78800000000001</v>
      </c>
      <c r="AL271" s="226">
        <v>45168</v>
      </c>
      <c r="AM271" s="208" t="s">
        <v>4530</v>
      </c>
      <c r="AN271" s="227">
        <v>45506</v>
      </c>
      <c r="AO271" s="222">
        <v>791.68</v>
      </c>
      <c r="AP271" s="227"/>
      <c r="AQ271" s="358">
        <f ca="1">IF(表格1[[#This Row],[PO$]]="","100%",表格1[[#This Row],[total amount]]/表格1[[#This Row],[PO$]])</f>
        <v>0.99999848423988402</v>
      </c>
      <c r="AR271" s="223">
        <f ca="1">表格1[[#This Row],[invoice amount]]+表格1[[#This Row],[invoice amount2]]</f>
        <v>1319.4679999999998</v>
      </c>
      <c r="AS271" s="224" t="s">
        <v>4235</v>
      </c>
      <c r="AT271" s="208"/>
      <c r="AU271" s="220" t="e">
        <f ca="1">VLOOKUP(表格1[[#This Row],[PO+ITEM]],#REF!,2,FALSE)</f>
        <v>#REF!</v>
      </c>
      <c r="AV271" s="341" t="e">
        <f ca="1">VLOOKUP(表格1[[#This Row],[PO+ITEM]],#REF!,3,FALSE)</f>
        <v>#REF!</v>
      </c>
      <c r="AW271" s="208" t="e">
        <f ca="1">VLOOKUP(表格1[[#This Row],[PO+ITEM]],#REF!,4,FALSE)</f>
        <v>#REF!</v>
      </c>
      <c r="AX271" s="208" t="e" cm="1" vm="1">
        <f t="array" aca="1" ref="AX271" ca="1">VLOOKUP(AI:AI,#REF!,1,FALSE)</f>
        <v>#VALUE!</v>
      </c>
    </row>
    <row r="272" spans="1:50" ht="15.6">
      <c r="A272" s="220">
        <v>271</v>
      </c>
      <c r="B272" s="220" t="s">
        <v>3659</v>
      </c>
      <c r="C272" s="209" t="s">
        <v>16</v>
      </c>
      <c r="D272" s="209" t="s">
        <v>3648</v>
      </c>
      <c r="E272" s="209"/>
      <c r="F272" s="209"/>
      <c r="G272" s="209"/>
      <c r="H272" s="210" t="s">
        <v>4531</v>
      </c>
      <c r="I272" s="210"/>
      <c r="J272" s="211"/>
      <c r="K272" s="210"/>
      <c r="L272" s="212" t="s">
        <v>4517</v>
      </c>
      <c r="M272" s="212" t="s">
        <v>2999</v>
      </c>
      <c r="N272" s="213"/>
      <c r="O272" s="263">
        <v>4590004403</v>
      </c>
      <c r="P272" s="214">
        <v>44801</v>
      </c>
      <c r="Q272" s="334">
        <v>7</v>
      </c>
      <c r="R272" s="216">
        <v>1319.47</v>
      </c>
      <c r="S272" s="217" t="s">
        <v>2156</v>
      </c>
      <c r="T272" s="209" t="s">
        <v>3661</v>
      </c>
      <c r="U272" s="209" t="s">
        <v>3662</v>
      </c>
      <c r="V272" s="213" t="s">
        <v>3663</v>
      </c>
      <c r="W272" s="218" t="s">
        <v>3652</v>
      </c>
      <c r="X272" s="218" t="s">
        <v>3652</v>
      </c>
      <c r="Y272" s="212" t="s">
        <v>4527</v>
      </c>
      <c r="Z272" s="209" t="s">
        <v>3664</v>
      </c>
      <c r="AA272" s="219"/>
      <c r="AB272" s="218"/>
      <c r="AC272" s="217" t="e">
        <v>#N/A</v>
      </c>
      <c r="AD272" s="217">
        <v>90771</v>
      </c>
      <c r="AE272" s="217" t="s">
        <v>3185</v>
      </c>
      <c r="AF272" s="217" t="s">
        <v>3665</v>
      </c>
      <c r="AG272" s="217" t="s">
        <v>3666</v>
      </c>
      <c r="AH272" s="220" t="str">
        <f t="shared" si="16"/>
        <v>4590004403_007</v>
      </c>
      <c r="AI272" s="208"/>
      <c r="AJ272" s="225">
        <v>45108</v>
      </c>
      <c r="AK272" s="221">
        <v>527.78800000000001</v>
      </c>
      <c r="AL272" s="226">
        <v>45168</v>
      </c>
      <c r="AM272" s="208"/>
      <c r="AN272" s="220"/>
      <c r="AO272" s="222"/>
      <c r="AP272" s="227"/>
      <c r="AQ272" s="358">
        <f ca="1">IF(表格1[[#This Row],[PO$]]="","100%",表格1[[#This Row],[total amount]]/表格1[[#This Row],[PO$]])</f>
        <v>0.4</v>
      </c>
      <c r="AR272" s="223">
        <f ca="1">表格1[[#This Row],[invoice amount]]+表格1[[#This Row],[invoice amount2]]</f>
        <v>527.78800000000001</v>
      </c>
      <c r="AS272" s="224" t="s">
        <v>3673</v>
      </c>
      <c r="AT272" s="208"/>
      <c r="AU272" s="208" t="e">
        <f ca="1">VLOOKUP(表格1[[#This Row],[PO+ITEM]],#REF!,2,FALSE)</f>
        <v>#REF!</v>
      </c>
      <c r="AV272" s="341" t="e">
        <f ca="1">VLOOKUP(表格1[[#This Row],[PO+ITEM]],#REF!,3,FALSE)</f>
        <v>#REF!</v>
      </c>
      <c r="AW272" s="208" t="e">
        <f ca="1">VLOOKUP(表格1[[#This Row],[PO+ITEM]],#REF!,4,FALSE)</f>
        <v>#REF!</v>
      </c>
      <c r="AX272" s="208" t="e" cm="1" vm="1">
        <f t="array" aca="1" ref="AX272" ca="1">VLOOKUP(AI:AI,#REF!,1,FALSE)</f>
        <v>#VALUE!</v>
      </c>
    </row>
    <row r="273" spans="1:50" ht="15.6">
      <c r="A273" s="220">
        <v>272</v>
      </c>
      <c r="B273" s="220" t="s">
        <v>3674</v>
      </c>
      <c r="C273" s="209" t="s">
        <v>16</v>
      </c>
      <c r="D273" s="209" t="s">
        <v>3648</v>
      </c>
      <c r="E273" s="209"/>
      <c r="F273" s="209"/>
      <c r="G273" s="209"/>
      <c r="H273" s="210" t="s">
        <v>4532</v>
      </c>
      <c r="I273" s="210"/>
      <c r="J273" s="211"/>
      <c r="K273" s="210"/>
      <c r="L273" s="212" t="s">
        <v>4517</v>
      </c>
      <c r="M273" s="212" t="s">
        <v>2999</v>
      </c>
      <c r="N273" s="213"/>
      <c r="O273" s="263">
        <v>4590004403</v>
      </c>
      <c r="P273" s="214">
        <v>44801</v>
      </c>
      <c r="Q273" s="334">
        <v>8</v>
      </c>
      <c r="R273" s="216">
        <v>2588.64</v>
      </c>
      <c r="S273" s="217" t="s">
        <v>2156</v>
      </c>
      <c r="T273" s="209" t="s">
        <v>3661</v>
      </c>
      <c r="U273" s="209" t="s">
        <v>3662</v>
      </c>
      <c r="V273" s="213" t="s">
        <v>3663</v>
      </c>
      <c r="W273" s="218" t="s">
        <v>3652</v>
      </c>
      <c r="X273" s="218" t="s">
        <v>3652</v>
      </c>
      <c r="Y273" s="212" t="s">
        <v>4518</v>
      </c>
      <c r="Z273" s="209" t="s">
        <v>3664</v>
      </c>
      <c r="AA273" s="219"/>
      <c r="AB273" s="218"/>
      <c r="AC273" s="217" t="e">
        <v>#N/A</v>
      </c>
      <c r="AD273" s="217">
        <v>90622</v>
      </c>
      <c r="AE273" s="217" t="s">
        <v>3295</v>
      </c>
      <c r="AF273" s="217" t="s">
        <v>3665</v>
      </c>
      <c r="AG273" s="217" t="s">
        <v>3666</v>
      </c>
      <c r="AH273" s="220" t="str">
        <f t="shared" si="16"/>
        <v>4590004403_008</v>
      </c>
      <c r="AI273" s="208"/>
      <c r="AJ273" s="225">
        <v>45047</v>
      </c>
      <c r="AK273" s="221">
        <v>1035.4559999999999</v>
      </c>
      <c r="AL273" s="226">
        <v>45168</v>
      </c>
      <c r="AM273" s="208" t="s">
        <v>4533</v>
      </c>
      <c r="AN273" s="227">
        <v>45506</v>
      </c>
      <c r="AO273" s="222">
        <v>1553.18</v>
      </c>
      <c r="AP273" s="227"/>
      <c r="AQ273" s="358">
        <f ca="1">IF(表格1[[#This Row],[PO$]]="","100%",表格1[[#This Row],[total amount]]/表格1[[#This Row],[PO$]])</f>
        <v>0.99999845478706972</v>
      </c>
      <c r="AR273" s="223">
        <f ca="1">表格1[[#This Row],[invoice amount]]+表格1[[#This Row],[invoice amount2]]</f>
        <v>2588.636</v>
      </c>
      <c r="AS273" s="224" t="s">
        <v>4235</v>
      </c>
      <c r="AT273" s="208"/>
      <c r="AU273" s="220" t="e">
        <f ca="1">VLOOKUP(表格1[[#This Row],[PO+ITEM]],#REF!,2,FALSE)</f>
        <v>#REF!</v>
      </c>
      <c r="AV273" s="341" t="e">
        <f ca="1">VLOOKUP(表格1[[#This Row],[PO+ITEM]],#REF!,3,FALSE)</f>
        <v>#REF!</v>
      </c>
      <c r="AW273" s="208" t="e">
        <f ca="1">VLOOKUP(表格1[[#This Row],[PO+ITEM]],#REF!,4,FALSE)</f>
        <v>#REF!</v>
      </c>
      <c r="AX273" s="208" t="e" cm="1" vm="1">
        <f t="array" aca="1" ref="AX273" ca="1">VLOOKUP(AI:AI,#REF!,1,FALSE)</f>
        <v>#VALUE!</v>
      </c>
    </row>
    <row r="274" spans="1:50" ht="15.6">
      <c r="A274" s="220">
        <v>273</v>
      </c>
      <c r="B274" s="220" t="s">
        <v>3674</v>
      </c>
      <c r="C274" s="209" t="s">
        <v>16</v>
      </c>
      <c r="D274" s="209" t="s">
        <v>3648</v>
      </c>
      <c r="E274" s="209"/>
      <c r="F274" s="209"/>
      <c r="G274" s="209"/>
      <c r="H274" s="210" t="s">
        <v>4534</v>
      </c>
      <c r="I274" s="210"/>
      <c r="J274" s="211"/>
      <c r="K274" s="210"/>
      <c r="L274" s="212" t="s">
        <v>4517</v>
      </c>
      <c r="M274" s="212" t="s">
        <v>2999</v>
      </c>
      <c r="N274" s="213"/>
      <c r="O274" s="263">
        <v>4590004403</v>
      </c>
      <c r="P274" s="214">
        <v>44801</v>
      </c>
      <c r="Q274" s="334">
        <v>9</v>
      </c>
      <c r="R274" s="216">
        <v>2588.64</v>
      </c>
      <c r="S274" s="217" t="s">
        <v>2156</v>
      </c>
      <c r="T274" s="209" t="s">
        <v>3661</v>
      </c>
      <c r="U274" s="209" t="s">
        <v>3662</v>
      </c>
      <c r="V274" s="213" t="s">
        <v>3663</v>
      </c>
      <c r="W274" s="218" t="s">
        <v>3652</v>
      </c>
      <c r="X274" s="218" t="s">
        <v>3652</v>
      </c>
      <c r="Y274" s="212" t="s">
        <v>4518</v>
      </c>
      <c r="Z274" s="209" t="s">
        <v>3664</v>
      </c>
      <c r="AA274" s="219"/>
      <c r="AB274" s="218"/>
      <c r="AC274" s="217" t="e">
        <v>#N/A</v>
      </c>
      <c r="AD274" s="217">
        <v>90618</v>
      </c>
      <c r="AE274" s="217" t="s">
        <v>3297</v>
      </c>
      <c r="AF274" s="217" t="s">
        <v>3665</v>
      </c>
      <c r="AG274" s="217" t="s">
        <v>3666</v>
      </c>
      <c r="AH274" s="220" t="str">
        <f t="shared" si="16"/>
        <v>4590004403_009</v>
      </c>
      <c r="AI274" s="208"/>
      <c r="AJ274" s="225">
        <v>45047</v>
      </c>
      <c r="AK274" s="221">
        <v>1035.4559999999999</v>
      </c>
      <c r="AL274" s="226">
        <v>45168</v>
      </c>
      <c r="AM274" s="208"/>
      <c r="AN274" s="220"/>
      <c r="AO274" s="222"/>
      <c r="AP274" s="227"/>
      <c r="AQ274" s="358">
        <f ca="1">IF(表格1[[#This Row],[PO$]]="","100%",表格1[[#This Row],[total amount]]/表格1[[#This Row],[PO$]])</f>
        <v>0.39999999999999997</v>
      </c>
      <c r="AR274" s="223">
        <f ca="1">表格1[[#This Row],[invoice amount]]+表格1[[#This Row],[invoice amount2]]</f>
        <v>1035.4559999999999</v>
      </c>
      <c r="AS274" s="224" t="s">
        <v>3673</v>
      </c>
      <c r="AT274" s="208"/>
      <c r="AU274" s="208" t="e">
        <f ca="1">VLOOKUP(表格1[[#This Row],[PO+ITEM]],#REF!,2,FALSE)</f>
        <v>#REF!</v>
      </c>
      <c r="AV274" s="341" t="e">
        <f ca="1">VLOOKUP(表格1[[#This Row],[PO+ITEM]],#REF!,3,FALSE)</f>
        <v>#REF!</v>
      </c>
      <c r="AW274" s="208" t="e">
        <f ca="1">VLOOKUP(表格1[[#This Row],[PO+ITEM]],#REF!,4,FALSE)</f>
        <v>#REF!</v>
      </c>
      <c r="AX274" s="208" t="e" cm="1" vm="1">
        <f t="array" aca="1" ref="AX274" ca="1">VLOOKUP(AI:AI,#REF!,1,FALSE)</f>
        <v>#VALUE!</v>
      </c>
    </row>
    <row r="275" spans="1:50" ht="15.6">
      <c r="A275" s="220">
        <v>274</v>
      </c>
      <c r="B275" s="220" t="s">
        <v>3674</v>
      </c>
      <c r="C275" s="209" t="s">
        <v>16</v>
      </c>
      <c r="D275" s="209" t="s">
        <v>3648</v>
      </c>
      <c r="E275" s="209"/>
      <c r="F275" s="209"/>
      <c r="G275" s="209"/>
      <c r="H275" s="217" t="s">
        <v>4536</v>
      </c>
      <c r="I275" s="217"/>
      <c r="J275" s="215"/>
      <c r="K275" s="217"/>
      <c r="L275" s="212" t="s">
        <v>4517</v>
      </c>
      <c r="M275" s="212" t="s">
        <v>2999</v>
      </c>
      <c r="N275" s="213"/>
      <c r="O275" s="263">
        <v>4590004403</v>
      </c>
      <c r="P275" s="214">
        <v>44801</v>
      </c>
      <c r="Q275" s="334">
        <v>10</v>
      </c>
      <c r="R275" s="216">
        <v>2588.64</v>
      </c>
      <c r="S275" s="217" t="s">
        <v>2156</v>
      </c>
      <c r="T275" s="209" t="s">
        <v>3661</v>
      </c>
      <c r="U275" s="209" t="s">
        <v>3662</v>
      </c>
      <c r="V275" s="213" t="s">
        <v>3663</v>
      </c>
      <c r="W275" s="218" t="s">
        <v>3652</v>
      </c>
      <c r="X275" s="218" t="s">
        <v>3652</v>
      </c>
      <c r="Y275" s="212" t="s">
        <v>4518</v>
      </c>
      <c r="Z275" s="209" t="s">
        <v>3664</v>
      </c>
      <c r="AA275" s="219"/>
      <c r="AB275" s="218"/>
      <c r="AC275" s="217" t="e">
        <v>#N/A</v>
      </c>
      <c r="AD275" s="217">
        <v>90617</v>
      </c>
      <c r="AE275" s="217" t="s">
        <v>3197</v>
      </c>
      <c r="AF275" s="217" t="s">
        <v>3665</v>
      </c>
      <c r="AG275" s="217" t="s">
        <v>3666</v>
      </c>
      <c r="AH275" s="220" t="str">
        <f t="shared" ref="AH275:AH285" si="17">O275&amp;"_0"&amp;Q275</f>
        <v>4590004403_010</v>
      </c>
      <c r="AI275" s="208"/>
      <c r="AJ275" s="225">
        <v>45047</v>
      </c>
      <c r="AK275" s="221">
        <v>1035.4559999999999</v>
      </c>
      <c r="AL275" s="226">
        <v>45168</v>
      </c>
      <c r="AM275" s="208" t="s">
        <v>4537</v>
      </c>
      <c r="AN275" s="227">
        <v>45506</v>
      </c>
      <c r="AO275" s="222">
        <v>1553.18</v>
      </c>
      <c r="AP275" s="227"/>
      <c r="AQ275" s="358">
        <f ca="1">IF(表格1[[#This Row],[PO$]]="","100%",表格1[[#This Row],[total amount]]/表格1[[#This Row],[PO$]])</f>
        <v>0.99999845478706972</v>
      </c>
      <c r="AR275" s="223">
        <f ca="1">表格1[[#This Row],[invoice amount]]+表格1[[#This Row],[invoice amount2]]</f>
        <v>2588.636</v>
      </c>
      <c r="AS275" s="224" t="s">
        <v>4235</v>
      </c>
      <c r="AT275" s="208"/>
      <c r="AU275" s="220" t="e">
        <f ca="1">VLOOKUP(表格1[[#This Row],[PO+ITEM]],#REF!,2,FALSE)</f>
        <v>#REF!</v>
      </c>
      <c r="AV275" s="341" t="e">
        <f ca="1">VLOOKUP(表格1[[#This Row],[PO+ITEM]],#REF!,3,FALSE)</f>
        <v>#REF!</v>
      </c>
      <c r="AW275" s="208" t="e">
        <f ca="1">VLOOKUP(表格1[[#This Row],[PO+ITEM]],#REF!,4,FALSE)</f>
        <v>#REF!</v>
      </c>
      <c r="AX275" s="208" t="e" cm="1" vm="1">
        <f t="array" aca="1" ref="AX275" ca="1">VLOOKUP(AI:AI,#REF!,1,FALSE)</f>
        <v>#VALUE!</v>
      </c>
    </row>
    <row r="276" spans="1:50" ht="15.6">
      <c r="A276" s="220">
        <v>275</v>
      </c>
      <c r="B276" s="220" t="s">
        <v>3659</v>
      </c>
      <c r="C276" s="209" t="s">
        <v>16</v>
      </c>
      <c r="D276" s="209" t="s">
        <v>3648</v>
      </c>
      <c r="E276" s="209"/>
      <c r="F276" s="209"/>
      <c r="G276" s="209"/>
      <c r="H276" s="210" t="s">
        <v>4538</v>
      </c>
      <c r="I276" s="210"/>
      <c r="J276" s="211"/>
      <c r="K276" s="210"/>
      <c r="L276" s="212" t="s">
        <v>4517</v>
      </c>
      <c r="M276" s="212" t="s">
        <v>2999</v>
      </c>
      <c r="N276" s="213"/>
      <c r="O276" s="263">
        <v>4590004403</v>
      </c>
      <c r="P276" s="214">
        <v>44801</v>
      </c>
      <c r="Q276" s="334">
        <v>11</v>
      </c>
      <c r="R276" s="216">
        <v>2588.64</v>
      </c>
      <c r="S276" s="217" t="s">
        <v>2156</v>
      </c>
      <c r="T276" s="209" t="s">
        <v>3661</v>
      </c>
      <c r="U276" s="209" t="s">
        <v>3662</v>
      </c>
      <c r="V276" s="213" t="s">
        <v>3663</v>
      </c>
      <c r="W276" s="218" t="s">
        <v>3652</v>
      </c>
      <c r="X276" s="218" t="s">
        <v>3652</v>
      </c>
      <c r="Y276" s="212" t="s">
        <v>4518</v>
      </c>
      <c r="Z276" s="209" t="s">
        <v>3664</v>
      </c>
      <c r="AA276" s="219"/>
      <c r="AB276" s="218"/>
      <c r="AC276" s="217" t="e">
        <v>#N/A</v>
      </c>
      <c r="AD276" s="217">
        <v>90616</v>
      </c>
      <c r="AE276" s="217" t="s">
        <v>3199</v>
      </c>
      <c r="AF276" s="217" t="s">
        <v>3665</v>
      </c>
      <c r="AG276" s="217" t="s">
        <v>3666</v>
      </c>
      <c r="AH276" s="220" t="str">
        <f t="shared" si="17"/>
        <v>4590004403_011</v>
      </c>
      <c r="AI276" s="208"/>
      <c r="AJ276" s="225">
        <v>45047</v>
      </c>
      <c r="AK276" s="221">
        <v>1035.4559999999999</v>
      </c>
      <c r="AL276" s="226">
        <v>45168</v>
      </c>
      <c r="AM276" s="208"/>
      <c r="AN276" s="220"/>
      <c r="AO276" s="222"/>
      <c r="AP276" s="227"/>
      <c r="AQ276" s="358">
        <f ca="1">IF(表格1[[#This Row],[PO$]]="","100%",表格1[[#This Row],[total amount]]/表格1[[#This Row],[PO$]])</f>
        <v>0.39999999999999997</v>
      </c>
      <c r="AR276" s="223">
        <f ca="1">表格1[[#This Row],[invoice amount]]+表格1[[#This Row],[invoice amount2]]</f>
        <v>1035.4559999999999</v>
      </c>
      <c r="AS276" s="224" t="s">
        <v>3673</v>
      </c>
      <c r="AT276" s="208"/>
      <c r="AU276" s="208" t="e">
        <f ca="1">VLOOKUP(表格1[[#This Row],[PO+ITEM]],#REF!,2,FALSE)</f>
        <v>#REF!</v>
      </c>
      <c r="AV276" s="341" t="e">
        <f ca="1">VLOOKUP(表格1[[#This Row],[PO+ITEM]],#REF!,3,FALSE)</f>
        <v>#REF!</v>
      </c>
      <c r="AW276" s="208" t="e">
        <f ca="1">VLOOKUP(表格1[[#This Row],[PO+ITEM]],#REF!,4,FALSE)</f>
        <v>#REF!</v>
      </c>
      <c r="AX276" s="208" t="e" cm="1" vm="1">
        <f t="array" aca="1" ref="AX276" ca="1">VLOOKUP(AI:AI,#REF!,1,FALSE)</f>
        <v>#VALUE!</v>
      </c>
    </row>
    <row r="277" spans="1:50" ht="15.6">
      <c r="A277" s="220">
        <v>276</v>
      </c>
      <c r="B277" s="220" t="s">
        <v>3674</v>
      </c>
      <c r="C277" s="209" t="s">
        <v>16</v>
      </c>
      <c r="D277" s="209" t="s">
        <v>3648</v>
      </c>
      <c r="E277" s="209"/>
      <c r="F277" s="209"/>
      <c r="G277" s="209"/>
      <c r="H277" s="217" t="s">
        <v>4539</v>
      </c>
      <c r="I277" s="217"/>
      <c r="J277" s="215"/>
      <c r="K277" s="217"/>
      <c r="L277" s="212" t="s">
        <v>4517</v>
      </c>
      <c r="M277" s="212" t="s">
        <v>2999</v>
      </c>
      <c r="N277" s="213"/>
      <c r="O277" s="263">
        <v>4590004403</v>
      </c>
      <c r="P277" s="214">
        <v>44801</v>
      </c>
      <c r="Q277" s="334">
        <v>12</v>
      </c>
      <c r="R277" s="216">
        <v>2588.64</v>
      </c>
      <c r="S277" s="217" t="s">
        <v>2156</v>
      </c>
      <c r="T277" s="209" t="s">
        <v>3661</v>
      </c>
      <c r="U277" s="209" t="s">
        <v>3662</v>
      </c>
      <c r="V277" s="213" t="s">
        <v>3663</v>
      </c>
      <c r="W277" s="218" t="s">
        <v>3652</v>
      </c>
      <c r="X277" s="218" t="s">
        <v>3652</v>
      </c>
      <c r="Y277" s="212" t="s">
        <v>4518</v>
      </c>
      <c r="Z277" s="209" t="s">
        <v>3664</v>
      </c>
      <c r="AA277" s="219"/>
      <c r="AB277" s="218"/>
      <c r="AC277" s="217" t="e">
        <v>#N/A</v>
      </c>
      <c r="AD277" s="217">
        <v>90624</v>
      </c>
      <c r="AE277" s="217" t="s">
        <v>3293</v>
      </c>
      <c r="AF277" s="217" t="s">
        <v>3665</v>
      </c>
      <c r="AG277" s="217" t="s">
        <v>3666</v>
      </c>
      <c r="AH277" s="220" t="str">
        <f t="shared" si="17"/>
        <v>4590004403_012</v>
      </c>
      <c r="AI277" s="208"/>
      <c r="AJ277" s="225">
        <v>45047</v>
      </c>
      <c r="AK277" s="221">
        <v>1035.4559999999999</v>
      </c>
      <c r="AL277" s="226">
        <v>45168</v>
      </c>
      <c r="AM277" s="208" t="s">
        <v>4540</v>
      </c>
      <c r="AN277" s="227">
        <v>45506</v>
      </c>
      <c r="AO277" s="222">
        <v>1553.18</v>
      </c>
      <c r="AP277" s="227"/>
      <c r="AQ277" s="358">
        <f ca="1">IF(表格1[[#This Row],[PO$]]="","100%",表格1[[#This Row],[total amount]]/表格1[[#This Row],[PO$]])</f>
        <v>0.99999845478706972</v>
      </c>
      <c r="AR277" s="223">
        <f ca="1">表格1[[#This Row],[invoice amount]]+表格1[[#This Row],[invoice amount2]]</f>
        <v>2588.636</v>
      </c>
      <c r="AS277" s="224" t="s">
        <v>4235</v>
      </c>
      <c r="AT277" s="208"/>
      <c r="AU277" s="220" t="e">
        <f ca="1">VLOOKUP(表格1[[#This Row],[PO+ITEM]],#REF!,2,FALSE)</f>
        <v>#REF!</v>
      </c>
      <c r="AV277" s="341" t="e">
        <f ca="1">VLOOKUP(表格1[[#This Row],[PO+ITEM]],#REF!,3,FALSE)</f>
        <v>#REF!</v>
      </c>
      <c r="AW277" s="208" t="e">
        <f ca="1">VLOOKUP(表格1[[#This Row],[PO+ITEM]],#REF!,4,FALSE)</f>
        <v>#REF!</v>
      </c>
      <c r="AX277" s="208" t="e" cm="1" vm="1">
        <f t="array" aca="1" ref="AX277" ca="1">VLOOKUP(AI:AI,#REF!,1,FALSE)</f>
        <v>#VALUE!</v>
      </c>
    </row>
    <row r="278" spans="1:50" ht="15.6">
      <c r="A278" s="220">
        <v>277</v>
      </c>
      <c r="B278" s="220" t="s">
        <v>3674</v>
      </c>
      <c r="C278" s="209" t="s">
        <v>16</v>
      </c>
      <c r="D278" s="209" t="s">
        <v>3648</v>
      </c>
      <c r="E278" s="209"/>
      <c r="F278" s="209"/>
      <c r="G278" s="209"/>
      <c r="H278" s="210" t="s">
        <v>4541</v>
      </c>
      <c r="I278" s="210"/>
      <c r="J278" s="211"/>
      <c r="K278" s="210"/>
      <c r="L278" s="212" t="s">
        <v>4517</v>
      </c>
      <c r="M278" s="212" t="s">
        <v>2999</v>
      </c>
      <c r="N278" s="213"/>
      <c r="O278" s="263">
        <v>4590004403</v>
      </c>
      <c r="P278" s="214">
        <v>44801</v>
      </c>
      <c r="Q278" s="334">
        <v>13</v>
      </c>
      <c r="R278" s="216">
        <v>2588.64</v>
      </c>
      <c r="S278" s="217" t="s">
        <v>2156</v>
      </c>
      <c r="T278" s="209" t="s">
        <v>3661</v>
      </c>
      <c r="U278" s="209" t="s">
        <v>3662</v>
      </c>
      <c r="V278" s="213" t="s">
        <v>3663</v>
      </c>
      <c r="W278" s="218" t="s">
        <v>3652</v>
      </c>
      <c r="X278" s="218" t="s">
        <v>3652</v>
      </c>
      <c r="Y278" s="212" t="s">
        <v>4518</v>
      </c>
      <c r="Z278" s="209" t="s">
        <v>3664</v>
      </c>
      <c r="AA278" s="219"/>
      <c r="AB278" s="218"/>
      <c r="AC278" s="217" t="e">
        <v>#N/A</v>
      </c>
      <c r="AD278" s="217">
        <v>90623</v>
      </c>
      <c r="AE278" s="217" t="s">
        <v>3195</v>
      </c>
      <c r="AF278" s="217" t="s">
        <v>3665</v>
      </c>
      <c r="AG278" s="217" t="s">
        <v>3666</v>
      </c>
      <c r="AH278" s="220" t="str">
        <f t="shared" si="17"/>
        <v>4590004403_013</v>
      </c>
      <c r="AI278" s="208"/>
      <c r="AJ278" s="225">
        <v>45047</v>
      </c>
      <c r="AK278" s="221">
        <v>0</v>
      </c>
      <c r="AL278" s="314" t="s">
        <v>3788</v>
      </c>
      <c r="AM278" s="208" t="s">
        <v>4542</v>
      </c>
      <c r="AN278" s="227">
        <v>45506</v>
      </c>
      <c r="AO278" s="222">
        <v>2588.64</v>
      </c>
      <c r="AP278" s="227"/>
      <c r="AQ278" s="358">
        <f ca="1">IF(表格1[[#This Row],[PO$]]="","100%",表格1[[#This Row],[total amount]]/表格1[[#This Row],[PO$]])</f>
        <v>1</v>
      </c>
      <c r="AR278" s="223">
        <f ca="1">表格1[[#This Row],[invoice amount]]+表格1[[#This Row],[invoice amount2]]</f>
        <v>2588.64</v>
      </c>
      <c r="AS278" s="224" t="s">
        <v>3752</v>
      </c>
      <c r="AT278" s="208" t="s">
        <v>4543</v>
      </c>
      <c r="AU278" s="220" t="e">
        <f ca="1">VLOOKUP(表格1[[#This Row],[PO+ITEM]],#REF!,2,FALSE)</f>
        <v>#REF!</v>
      </c>
      <c r="AV278" s="341" t="e">
        <f ca="1">VLOOKUP(表格1[[#This Row],[PO+ITEM]],#REF!,3,FALSE)</f>
        <v>#REF!</v>
      </c>
      <c r="AW278" s="208" t="e">
        <f ca="1">VLOOKUP(表格1[[#This Row],[PO+ITEM]],#REF!,4,FALSE)</f>
        <v>#REF!</v>
      </c>
      <c r="AX278" s="208" t="e" cm="1" vm="1">
        <f t="array" aca="1" ref="AX278" ca="1">VLOOKUP(AI:AI,#REF!,1,FALSE)</f>
        <v>#VALUE!</v>
      </c>
    </row>
    <row r="279" spans="1:50" ht="15.6">
      <c r="A279" s="220">
        <v>278</v>
      </c>
      <c r="B279" s="220" t="s">
        <v>3674</v>
      </c>
      <c r="C279" s="209" t="s">
        <v>16</v>
      </c>
      <c r="D279" s="209" t="s">
        <v>3648</v>
      </c>
      <c r="E279" s="209"/>
      <c r="F279" s="209"/>
      <c r="G279" s="209"/>
      <c r="H279" s="210" t="s">
        <v>4544</v>
      </c>
      <c r="I279" s="210"/>
      <c r="J279" s="211"/>
      <c r="K279" s="210"/>
      <c r="L279" s="212" t="s">
        <v>4517</v>
      </c>
      <c r="M279" s="212" t="s">
        <v>2999</v>
      </c>
      <c r="N279" s="213"/>
      <c r="O279" s="263">
        <v>4590004403</v>
      </c>
      <c r="P279" s="214">
        <v>44801</v>
      </c>
      <c r="Q279" s="334">
        <v>14</v>
      </c>
      <c r="R279" s="216">
        <v>2588.64</v>
      </c>
      <c r="S279" s="217" t="s">
        <v>2156</v>
      </c>
      <c r="T279" s="209" t="s">
        <v>3661</v>
      </c>
      <c r="U279" s="209" t="s">
        <v>3662</v>
      </c>
      <c r="V279" s="213" t="s">
        <v>3663</v>
      </c>
      <c r="W279" s="218" t="s">
        <v>3652</v>
      </c>
      <c r="X279" s="218" t="s">
        <v>3652</v>
      </c>
      <c r="Y279" s="212" t="s">
        <v>4518</v>
      </c>
      <c r="Z279" s="209" t="s">
        <v>3664</v>
      </c>
      <c r="AA279" s="219"/>
      <c r="AB279" s="218"/>
      <c r="AC279" s="217" t="e">
        <v>#N/A</v>
      </c>
      <c r="AD279" s="217">
        <v>90615</v>
      </c>
      <c r="AE279" s="217" t="s">
        <v>3307</v>
      </c>
      <c r="AF279" s="217" t="s">
        <v>3665</v>
      </c>
      <c r="AG279" s="217" t="s">
        <v>3666</v>
      </c>
      <c r="AH279" s="220" t="str">
        <f t="shared" si="17"/>
        <v>4590004403_014</v>
      </c>
      <c r="AI279" s="208"/>
      <c r="AJ279" s="225">
        <v>45047</v>
      </c>
      <c r="AK279" s="221">
        <v>1035.4559999999999</v>
      </c>
      <c r="AL279" s="226">
        <v>45168</v>
      </c>
      <c r="AM279" s="208" t="s">
        <v>4545</v>
      </c>
      <c r="AN279" s="227">
        <v>45506</v>
      </c>
      <c r="AO279" s="222">
        <v>1553.18</v>
      </c>
      <c r="AP279" s="227"/>
      <c r="AQ279" s="358">
        <f ca="1">IF(表格1[[#This Row],[PO$]]="","100%",表格1[[#This Row],[total amount]]/表格1[[#This Row],[PO$]])</f>
        <v>0.99999845478706972</v>
      </c>
      <c r="AR279" s="223">
        <f ca="1">表格1[[#This Row],[invoice amount]]+表格1[[#This Row],[invoice amount2]]</f>
        <v>2588.636</v>
      </c>
      <c r="AS279" s="224" t="s">
        <v>4235</v>
      </c>
      <c r="AT279" s="208"/>
      <c r="AU279" s="220" t="e">
        <f ca="1">VLOOKUP(表格1[[#This Row],[PO+ITEM]],#REF!,2,FALSE)</f>
        <v>#REF!</v>
      </c>
      <c r="AV279" s="341" t="e">
        <f ca="1">VLOOKUP(表格1[[#This Row],[PO+ITEM]],#REF!,3,FALSE)</f>
        <v>#REF!</v>
      </c>
      <c r="AW279" s="208" t="e">
        <f ca="1">VLOOKUP(表格1[[#This Row],[PO+ITEM]],#REF!,4,FALSE)</f>
        <v>#REF!</v>
      </c>
      <c r="AX279" s="208" t="e" cm="1" vm="1">
        <f t="array" aca="1" ref="AX279" ca="1">VLOOKUP(AI:AI,#REF!,1,FALSE)</f>
        <v>#VALUE!</v>
      </c>
    </row>
    <row r="280" spans="1:50" ht="15.6">
      <c r="A280" s="220">
        <v>279</v>
      </c>
      <c r="B280" s="220" t="s">
        <v>3674</v>
      </c>
      <c r="C280" s="209" t="s">
        <v>16</v>
      </c>
      <c r="D280" s="209" t="s">
        <v>3648</v>
      </c>
      <c r="E280" s="209"/>
      <c r="F280" s="209"/>
      <c r="G280" s="209"/>
      <c r="H280" s="210" t="s">
        <v>4546</v>
      </c>
      <c r="I280" s="210"/>
      <c r="J280" s="211"/>
      <c r="K280" s="210"/>
      <c r="L280" s="212" t="s">
        <v>4517</v>
      </c>
      <c r="M280" s="212" t="s">
        <v>2999</v>
      </c>
      <c r="N280" s="213"/>
      <c r="O280" s="263">
        <v>4590004403</v>
      </c>
      <c r="P280" s="214">
        <v>44801</v>
      </c>
      <c r="Q280" s="334">
        <v>15</v>
      </c>
      <c r="R280" s="216">
        <v>2588.64</v>
      </c>
      <c r="S280" s="217" t="s">
        <v>2156</v>
      </c>
      <c r="T280" s="209" t="s">
        <v>3661</v>
      </c>
      <c r="U280" s="209" t="s">
        <v>3662</v>
      </c>
      <c r="V280" s="213" t="s">
        <v>3663</v>
      </c>
      <c r="W280" s="218" t="s">
        <v>3652</v>
      </c>
      <c r="X280" s="218" t="s">
        <v>3652</v>
      </c>
      <c r="Y280" s="212" t="s">
        <v>4518</v>
      </c>
      <c r="Z280" s="209" t="s">
        <v>3664</v>
      </c>
      <c r="AA280" s="219"/>
      <c r="AB280" s="218"/>
      <c r="AC280" s="217" t="e">
        <v>#N/A</v>
      </c>
      <c r="AD280" s="217">
        <v>90619</v>
      </c>
      <c r="AE280" s="217" t="s">
        <v>3316</v>
      </c>
      <c r="AF280" s="217" t="s">
        <v>3665</v>
      </c>
      <c r="AG280" s="217" t="s">
        <v>3666</v>
      </c>
      <c r="AH280" s="220" t="str">
        <f t="shared" si="17"/>
        <v>4590004403_015</v>
      </c>
      <c r="AI280" s="208"/>
      <c r="AJ280" s="225">
        <v>45047</v>
      </c>
      <c r="AK280" s="221">
        <v>1035.4559999999999</v>
      </c>
      <c r="AL280" s="226">
        <v>45168</v>
      </c>
      <c r="AM280" s="208"/>
      <c r="AN280" s="220"/>
      <c r="AO280" s="222"/>
      <c r="AP280" s="227"/>
      <c r="AQ280" s="358">
        <f ca="1">IF(表格1[[#This Row],[PO$]]="","100%",表格1[[#This Row],[total amount]]/表格1[[#This Row],[PO$]])</f>
        <v>0.39999999999999997</v>
      </c>
      <c r="AR280" s="223">
        <f ca="1">表格1[[#This Row],[invoice amount]]+表格1[[#This Row],[invoice amount2]]</f>
        <v>1035.4559999999999</v>
      </c>
      <c r="AS280" s="224" t="s">
        <v>3673</v>
      </c>
      <c r="AT280" s="208"/>
      <c r="AU280" s="208" t="e">
        <f ca="1">VLOOKUP(表格1[[#This Row],[PO+ITEM]],#REF!,2,FALSE)</f>
        <v>#REF!</v>
      </c>
      <c r="AV280" s="341" t="e">
        <f ca="1">VLOOKUP(表格1[[#This Row],[PO+ITEM]],#REF!,3,FALSE)</f>
        <v>#REF!</v>
      </c>
      <c r="AW280" s="208" t="e">
        <f ca="1">VLOOKUP(表格1[[#This Row],[PO+ITEM]],#REF!,4,FALSE)</f>
        <v>#REF!</v>
      </c>
      <c r="AX280" s="208" t="e" cm="1" vm="1">
        <f t="array" aca="1" ref="AX280" ca="1">VLOOKUP(AI:AI,#REF!,1,FALSE)</f>
        <v>#VALUE!</v>
      </c>
    </row>
    <row r="281" spans="1:50" ht="15.6">
      <c r="A281" s="220">
        <v>280</v>
      </c>
      <c r="B281" s="220" t="s">
        <v>3674</v>
      </c>
      <c r="C281" s="209" t="s">
        <v>16</v>
      </c>
      <c r="D281" s="209" t="s">
        <v>3648</v>
      </c>
      <c r="E281" s="209"/>
      <c r="F281" s="209"/>
      <c r="G281" s="209"/>
      <c r="H281" s="210" t="s">
        <v>4548</v>
      </c>
      <c r="I281" s="210"/>
      <c r="J281" s="211"/>
      <c r="K281" s="210"/>
      <c r="L281" s="212" t="s">
        <v>4517</v>
      </c>
      <c r="M281" s="212" t="s">
        <v>2999</v>
      </c>
      <c r="N281" s="213"/>
      <c r="O281" s="263">
        <v>4590004403</v>
      </c>
      <c r="P281" s="214">
        <v>44801</v>
      </c>
      <c r="Q281" s="334">
        <v>16</v>
      </c>
      <c r="R281" s="216">
        <v>2588.64</v>
      </c>
      <c r="S281" s="217" t="s">
        <v>2156</v>
      </c>
      <c r="T281" s="209" t="s">
        <v>3661</v>
      </c>
      <c r="U281" s="209" t="s">
        <v>3662</v>
      </c>
      <c r="V281" s="213" t="s">
        <v>3663</v>
      </c>
      <c r="W281" s="218" t="s">
        <v>3652</v>
      </c>
      <c r="X281" s="218" t="s">
        <v>3652</v>
      </c>
      <c r="Y281" s="212" t="s">
        <v>4518</v>
      </c>
      <c r="Z281" s="209" t="s">
        <v>3664</v>
      </c>
      <c r="AA281" s="219"/>
      <c r="AB281" s="218"/>
      <c r="AC281" s="217" t="e">
        <v>#N/A</v>
      </c>
      <c r="AD281" s="217">
        <v>90620</v>
      </c>
      <c r="AE281" s="217" t="s">
        <v>3326</v>
      </c>
      <c r="AF281" s="217" t="s">
        <v>3665</v>
      </c>
      <c r="AG281" s="217" t="s">
        <v>3666</v>
      </c>
      <c r="AH281" s="220" t="str">
        <f t="shared" si="17"/>
        <v>4590004403_016</v>
      </c>
      <c r="AI281" s="208"/>
      <c r="AJ281" s="225">
        <v>45047</v>
      </c>
      <c r="AK281" s="221">
        <v>1035.4559999999999</v>
      </c>
      <c r="AL281" s="226">
        <v>45168</v>
      </c>
      <c r="AM281" s="208" t="s">
        <v>4549</v>
      </c>
      <c r="AN281" s="227">
        <v>45506</v>
      </c>
      <c r="AO281" s="222">
        <v>1553.18</v>
      </c>
      <c r="AP281" s="227"/>
      <c r="AQ281" s="358">
        <f ca="1">IF(表格1[[#This Row],[PO$]]="","100%",表格1[[#This Row],[total amount]]/表格1[[#This Row],[PO$]])</f>
        <v>0.99999845478706972</v>
      </c>
      <c r="AR281" s="223">
        <f ca="1">表格1[[#This Row],[invoice amount]]+表格1[[#This Row],[invoice amount2]]</f>
        <v>2588.636</v>
      </c>
      <c r="AS281" s="224" t="s">
        <v>4235</v>
      </c>
      <c r="AT281" s="208"/>
      <c r="AU281" s="220" t="e">
        <f ca="1">VLOOKUP(表格1[[#This Row],[PO+ITEM]],#REF!,2,FALSE)</f>
        <v>#REF!</v>
      </c>
      <c r="AV281" s="341" t="e">
        <f ca="1">VLOOKUP(表格1[[#This Row],[PO+ITEM]],#REF!,3,FALSE)</f>
        <v>#REF!</v>
      </c>
      <c r="AW281" s="208" t="e">
        <f ca="1">VLOOKUP(表格1[[#This Row],[PO+ITEM]],#REF!,4,FALSE)</f>
        <v>#REF!</v>
      </c>
      <c r="AX281" s="208" t="e" cm="1" vm="1">
        <f t="array" aca="1" ref="AX281" ca="1">VLOOKUP(AI:AI,#REF!,1,FALSE)</f>
        <v>#VALUE!</v>
      </c>
    </row>
    <row r="282" spans="1:50" ht="15.6">
      <c r="A282" s="220">
        <v>281</v>
      </c>
      <c r="B282" s="220" t="s">
        <v>3674</v>
      </c>
      <c r="C282" s="209" t="s">
        <v>16</v>
      </c>
      <c r="D282" s="209" t="s">
        <v>3648</v>
      </c>
      <c r="E282" s="209"/>
      <c r="F282" s="209"/>
      <c r="G282" s="209"/>
      <c r="H282" s="210" t="s">
        <v>4550</v>
      </c>
      <c r="I282" s="210"/>
      <c r="J282" s="211"/>
      <c r="K282" s="210"/>
      <c r="L282" s="212" t="s">
        <v>4517</v>
      </c>
      <c r="M282" s="212" t="s">
        <v>2999</v>
      </c>
      <c r="N282" s="213"/>
      <c r="O282" s="263">
        <v>4590004403</v>
      </c>
      <c r="P282" s="214">
        <v>44801</v>
      </c>
      <c r="Q282" s="334">
        <v>17</v>
      </c>
      <c r="R282" s="216">
        <v>2588.64</v>
      </c>
      <c r="S282" s="217" t="s">
        <v>2156</v>
      </c>
      <c r="T282" s="209" t="s">
        <v>3661</v>
      </c>
      <c r="U282" s="209" t="s">
        <v>3662</v>
      </c>
      <c r="V282" s="213" t="s">
        <v>3663</v>
      </c>
      <c r="W282" s="218" t="s">
        <v>3652</v>
      </c>
      <c r="X282" s="218" t="s">
        <v>3652</v>
      </c>
      <c r="Y282" s="212" t="s">
        <v>4518</v>
      </c>
      <c r="Z282" s="209" t="s">
        <v>3664</v>
      </c>
      <c r="AA282" s="219"/>
      <c r="AB282" s="218"/>
      <c r="AC282" s="217" t="e">
        <v>#N/A</v>
      </c>
      <c r="AD282" s="217">
        <v>90758</v>
      </c>
      <c r="AE282" s="217" t="s">
        <v>3363</v>
      </c>
      <c r="AF282" s="217" t="s">
        <v>3665</v>
      </c>
      <c r="AG282" s="217" t="s">
        <v>3666</v>
      </c>
      <c r="AH282" s="220" t="str">
        <f t="shared" si="17"/>
        <v>4590004403_017</v>
      </c>
      <c r="AI282" s="208"/>
      <c r="AJ282" s="225">
        <v>45047</v>
      </c>
      <c r="AK282" s="221">
        <v>1035.4559999999999</v>
      </c>
      <c r="AL282" s="226">
        <v>45168</v>
      </c>
      <c r="AM282" s="208" t="s">
        <v>4551</v>
      </c>
      <c r="AN282" s="227">
        <v>45506</v>
      </c>
      <c r="AO282" s="222">
        <v>1553.18</v>
      </c>
      <c r="AP282" s="227"/>
      <c r="AQ282" s="358">
        <f ca="1">IF(表格1[[#This Row],[PO$]]="","100%",表格1[[#This Row],[total amount]]/表格1[[#This Row],[PO$]])</f>
        <v>0.99999845478706972</v>
      </c>
      <c r="AR282" s="223">
        <f ca="1">表格1[[#This Row],[invoice amount]]+表格1[[#This Row],[invoice amount2]]</f>
        <v>2588.636</v>
      </c>
      <c r="AS282" s="224" t="s">
        <v>4235</v>
      </c>
      <c r="AT282" s="208"/>
      <c r="AU282" s="220" t="e">
        <f ca="1">VLOOKUP(表格1[[#This Row],[PO+ITEM]],#REF!,2,FALSE)</f>
        <v>#REF!</v>
      </c>
      <c r="AV282" s="341" t="e">
        <f ca="1">VLOOKUP(表格1[[#This Row],[PO+ITEM]],#REF!,3,FALSE)</f>
        <v>#REF!</v>
      </c>
      <c r="AW282" s="208" t="e">
        <f ca="1">VLOOKUP(表格1[[#This Row],[PO+ITEM]],#REF!,4,FALSE)</f>
        <v>#REF!</v>
      </c>
      <c r="AX282" s="208" t="e" cm="1" vm="1">
        <f t="array" aca="1" ref="AX282" ca="1">VLOOKUP(AI:AI,#REF!,1,FALSE)</f>
        <v>#VALUE!</v>
      </c>
    </row>
    <row r="283" spans="1:50" ht="15.6">
      <c r="A283" s="220">
        <v>282</v>
      </c>
      <c r="B283" s="220" t="s">
        <v>3674</v>
      </c>
      <c r="C283" s="209" t="s">
        <v>16</v>
      </c>
      <c r="D283" s="209" t="s">
        <v>3648</v>
      </c>
      <c r="E283" s="209"/>
      <c r="F283" s="209"/>
      <c r="G283" s="209"/>
      <c r="H283" s="210" t="s">
        <v>4552</v>
      </c>
      <c r="I283" s="210"/>
      <c r="J283" s="211"/>
      <c r="K283" s="210"/>
      <c r="L283" s="212" t="s">
        <v>4517</v>
      </c>
      <c r="M283" s="212" t="s">
        <v>2999</v>
      </c>
      <c r="N283" s="213"/>
      <c r="O283" s="263">
        <v>4590004403</v>
      </c>
      <c r="P283" s="214">
        <v>44801</v>
      </c>
      <c r="Q283" s="334">
        <v>18</v>
      </c>
      <c r="R283" s="216">
        <v>2588.64</v>
      </c>
      <c r="S283" s="217" t="s">
        <v>2156</v>
      </c>
      <c r="T283" s="209" t="s">
        <v>3661</v>
      </c>
      <c r="U283" s="209" t="s">
        <v>3662</v>
      </c>
      <c r="V283" s="213" t="s">
        <v>3663</v>
      </c>
      <c r="W283" s="218" t="s">
        <v>3652</v>
      </c>
      <c r="X283" s="218" t="s">
        <v>3652</v>
      </c>
      <c r="Y283" s="212" t="s">
        <v>4527</v>
      </c>
      <c r="Z283" s="209" t="s">
        <v>3664</v>
      </c>
      <c r="AA283" s="219"/>
      <c r="AB283" s="218"/>
      <c r="AC283" s="217" t="e">
        <v>#N/A</v>
      </c>
      <c r="AD283" s="217">
        <v>90621</v>
      </c>
      <c r="AE283" s="217" t="s">
        <v>3149</v>
      </c>
      <c r="AF283" s="217" t="s">
        <v>3665</v>
      </c>
      <c r="AG283" s="217" t="s">
        <v>3666</v>
      </c>
      <c r="AH283" s="220" t="str">
        <f t="shared" si="17"/>
        <v>4590004403_018</v>
      </c>
      <c r="AI283" s="208"/>
      <c r="AJ283" s="225">
        <v>45108</v>
      </c>
      <c r="AK283" s="221">
        <v>1035.4559999999999</v>
      </c>
      <c r="AL283" s="226">
        <v>45168</v>
      </c>
      <c r="AM283" s="208" t="s">
        <v>4553</v>
      </c>
      <c r="AN283" s="227">
        <v>45506</v>
      </c>
      <c r="AO283" s="222">
        <v>1553.18</v>
      </c>
      <c r="AP283" s="227"/>
      <c r="AQ283" s="358">
        <f ca="1">IF(表格1[[#This Row],[PO$]]="","100%",表格1[[#This Row],[total amount]]/表格1[[#This Row],[PO$]])</f>
        <v>0.99999845478706972</v>
      </c>
      <c r="AR283" s="223">
        <f ca="1">表格1[[#This Row],[invoice amount]]+表格1[[#This Row],[invoice amount2]]</f>
        <v>2588.636</v>
      </c>
      <c r="AS283" s="224" t="s">
        <v>4235</v>
      </c>
      <c r="AT283" s="208"/>
      <c r="AU283" s="220" t="e">
        <f ca="1">VLOOKUP(表格1[[#This Row],[PO+ITEM]],#REF!,2,FALSE)</f>
        <v>#REF!</v>
      </c>
      <c r="AV283" s="341" t="e">
        <f ca="1">VLOOKUP(表格1[[#This Row],[PO+ITEM]],#REF!,3,FALSE)</f>
        <v>#REF!</v>
      </c>
      <c r="AW283" s="208" t="e">
        <f ca="1">VLOOKUP(表格1[[#This Row],[PO+ITEM]],#REF!,4,FALSE)</f>
        <v>#REF!</v>
      </c>
      <c r="AX283" s="208" t="e" cm="1" vm="1">
        <f t="array" aca="1" ref="AX283" ca="1">VLOOKUP(AI:AI,#REF!,1,FALSE)</f>
        <v>#VALUE!</v>
      </c>
    </row>
    <row r="284" spans="1:50" ht="15.6">
      <c r="A284" s="220">
        <v>283</v>
      </c>
      <c r="B284" s="220" t="s">
        <v>3674</v>
      </c>
      <c r="C284" s="209" t="s">
        <v>16</v>
      </c>
      <c r="D284" s="209" t="s">
        <v>3648</v>
      </c>
      <c r="E284" s="209"/>
      <c r="F284" s="209"/>
      <c r="G284" s="209"/>
      <c r="H284" s="210" t="s">
        <v>4554</v>
      </c>
      <c r="I284" s="210"/>
      <c r="J284" s="211"/>
      <c r="K284" s="210"/>
      <c r="L284" s="212" t="s">
        <v>4517</v>
      </c>
      <c r="M284" s="212" t="s">
        <v>2999</v>
      </c>
      <c r="N284" s="213"/>
      <c r="O284" s="263">
        <v>4590004403</v>
      </c>
      <c r="P284" s="214">
        <v>44801</v>
      </c>
      <c r="Q284" s="334">
        <v>19</v>
      </c>
      <c r="R284" s="216">
        <v>2588.64</v>
      </c>
      <c r="S284" s="217" t="s">
        <v>2156</v>
      </c>
      <c r="T284" s="209" t="s">
        <v>3661</v>
      </c>
      <c r="U284" s="209" t="s">
        <v>3662</v>
      </c>
      <c r="V284" s="213" t="s">
        <v>3663</v>
      </c>
      <c r="W284" s="218" t="s">
        <v>3652</v>
      </c>
      <c r="X284" s="218" t="s">
        <v>3652</v>
      </c>
      <c r="Y284" s="212" t="s">
        <v>4527</v>
      </c>
      <c r="Z284" s="209" t="s">
        <v>3664</v>
      </c>
      <c r="AA284" s="219"/>
      <c r="AB284" s="218"/>
      <c r="AC284" s="217" t="e">
        <v>#N/A</v>
      </c>
      <c r="AD284" s="217">
        <v>90632</v>
      </c>
      <c r="AE284" s="217" t="s">
        <v>3204</v>
      </c>
      <c r="AF284" s="217" t="s">
        <v>3665</v>
      </c>
      <c r="AG284" s="217" t="s">
        <v>3666</v>
      </c>
      <c r="AH284" s="220" t="str">
        <f t="shared" si="17"/>
        <v>4590004403_019</v>
      </c>
      <c r="AI284" s="208"/>
      <c r="AJ284" s="225">
        <v>45108</v>
      </c>
      <c r="AK284" s="221">
        <v>1035.4559999999999</v>
      </c>
      <c r="AL284" s="226">
        <v>45168</v>
      </c>
      <c r="AM284" s="208" t="s">
        <v>4555</v>
      </c>
      <c r="AN284" s="227">
        <v>45506</v>
      </c>
      <c r="AO284" s="222">
        <v>1553.18</v>
      </c>
      <c r="AP284" s="227"/>
      <c r="AQ284" s="358">
        <f ca="1">IF(表格1[[#This Row],[PO$]]="","100%",表格1[[#This Row],[total amount]]/表格1[[#This Row],[PO$]])</f>
        <v>0.99999845478706972</v>
      </c>
      <c r="AR284" s="223">
        <f ca="1">表格1[[#This Row],[invoice amount]]+表格1[[#This Row],[invoice amount2]]</f>
        <v>2588.636</v>
      </c>
      <c r="AS284" s="224" t="s">
        <v>4235</v>
      </c>
      <c r="AT284" s="208"/>
      <c r="AU284" s="220" t="e">
        <f ca="1">VLOOKUP(表格1[[#This Row],[PO+ITEM]],#REF!,2,FALSE)</f>
        <v>#REF!</v>
      </c>
      <c r="AV284" s="341" t="e">
        <f ca="1">VLOOKUP(表格1[[#This Row],[PO+ITEM]],#REF!,3,FALSE)</f>
        <v>#REF!</v>
      </c>
      <c r="AW284" s="208" t="e">
        <f ca="1">VLOOKUP(表格1[[#This Row],[PO+ITEM]],#REF!,4,FALSE)</f>
        <v>#REF!</v>
      </c>
      <c r="AX284" s="208" t="e" cm="1" vm="1">
        <f t="array" aca="1" ref="AX284" ca="1">VLOOKUP(AI:AI,#REF!,1,FALSE)</f>
        <v>#VALUE!</v>
      </c>
    </row>
    <row r="285" spans="1:50" ht="15.6">
      <c r="A285" s="220">
        <v>284</v>
      </c>
      <c r="B285" s="220" t="s">
        <v>3674</v>
      </c>
      <c r="C285" s="209" t="s">
        <v>16</v>
      </c>
      <c r="D285" s="209" t="s">
        <v>3648</v>
      </c>
      <c r="E285" s="209"/>
      <c r="F285" s="209"/>
      <c r="G285" s="209"/>
      <c r="H285" s="210" t="s">
        <v>4556</v>
      </c>
      <c r="I285" s="210"/>
      <c r="J285" s="211"/>
      <c r="K285" s="210"/>
      <c r="L285" s="212" t="s">
        <v>4517</v>
      </c>
      <c r="M285" s="212" t="s">
        <v>2999</v>
      </c>
      <c r="N285" s="213"/>
      <c r="O285" s="263">
        <v>4590004403</v>
      </c>
      <c r="P285" s="214">
        <v>44801</v>
      </c>
      <c r="Q285" s="334">
        <v>20</v>
      </c>
      <c r="R285" s="216">
        <v>2588.64</v>
      </c>
      <c r="S285" s="217" t="s">
        <v>2156</v>
      </c>
      <c r="T285" s="209" t="s">
        <v>3661</v>
      </c>
      <c r="U285" s="209" t="s">
        <v>3662</v>
      </c>
      <c r="V285" s="213" t="s">
        <v>3663</v>
      </c>
      <c r="W285" s="218" t="s">
        <v>3652</v>
      </c>
      <c r="X285" s="218" t="s">
        <v>3652</v>
      </c>
      <c r="Y285" s="212" t="s">
        <v>4527</v>
      </c>
      <c r="Z285" s="209" t="s">
        <v>3664</v>
      </c>
      <c r="AA285" s="219"/>
      <c r="AB285" s="218"/>
      <c r="AC285" s="217" t="e">
        <v>#N/A</v>
      </c>
      <c r="AD285" s="217">
        <v>90633</v>
      </c>
      <c r="AE285" s="217" t="s">
        <v>3365</v>
      </c>
      <c r="AF285" s="217" t="s">
        <v>3665</v>
      </c>
      <c r="AG285" s="217" t="s">
        <v>3666</v>
      </c>
      <c r="AH285" s="220" t="str">
        <f t="shared" si="17"/>
        <v>4590004403_020</v>
      </c>
      <c r="AI285" s="208"/>
      <c r="AJ285" s="225">
        <v>45108</v>
      </c>
      <c r="AK285" s="221">
        <v>1035.4559999999999</v>
      </c>
      <c r="AL285" s="226">
        <v>45168</v>
      </c>
      <c r="AM285" s="208" t="s">
        <v>4557</v>
      </c>
      <c r="AN285" s="227">
        <v>45506</v>
      </c>
      <c r="AO285" s="222">
        <v>1553.18</v>
      </c>
      <c r="AP285" s="227"/>
      <c r="AQ285" s="358">
        <f ca="1">IF(表格1[[#This Row],[PO$]]="","100%",表格1[[#This Row],[total amount]]/表格1[[#This Row],[PO$]])</f>
        <v>0.99999845478706972</v>
      </c>
      <c r="AR285" s="223">
        <f ca="1">表格1[[#This Row],[invoice amount]]+表格1[[#This Row],[invoice amount2]]</f>
        <v>2588.636</v>
      </c>
      <c r="AS285" s="224" t="s">
        <v>4235</v>
      </c>
      <c r="AT285" s="208"/>
      <c r="AU285" s="220" t="e">
        <f ca="1">VLOOKUP(表格1[[#This Row],[PO+ITEM]],#REF!,2,FALSE)</f>
        <v>#REF!</v>
      </c>
      <c r="AV285" s="341" t="e">
        <f ca="1">VLOOKUP(表格1[[#This Row],[PO+ITEM]],#REF!,3,FALSE)</f>
        <v>#REF!</v>
      </c>
      <c r="AW285" s="208" t="e">
        <f ca="1">VLOOKUP(表格1[[#This Row],[PO+ITEM]],#REF!,4,FALSE)</f>
        <v>#REF!</v>
      </c>
      <c r="AX285" s="208" t="e" cm="1" vm="1">
        <f t="array" aca="1" ref="AX285" ca="1">VLOOKUP(AI:AI,#REF!,1,FALSE)</f>
        <v>#VALUE!</v>
      </c>
    </row>
    <row r="286" spans="1:50" ht="15.6">
      <c r="A286" s="220">
        <v>285</v>
      </c>
      <c r="B286" s="220" t="s">
        <v>3674</v>
      </c>
      <c r="C286" s="209" t="s">
        <v>16</v>
      </c>
      <c r="D286" s="209" t="s">
        <v>3648</v>
      </c>
      <c r="E286" s="209"/>
      <c r="F286" s="209"/>
      <c r="G286" s="209"/>
      <c r="H286" s="210" t="s">
        <v>4558</v>
      </c>
      <c r="I286" s="210"/>
      <c r="J286" s="211"/>
      <c r="K286" s="210"/>
      <c r="L286" s="212" t="s">
        <v>4517</v>
      </c>
      <c r="M286" s="212" t="s">
        <v>2999</v>
      </c>
      <c r="N286" s="213"/>
      <c r="O286" s="263">
        <v>4590004413</v>
      </c>
      <c r="P286" s="214">
        <v>44802</v>
      </c>
      <c r="Q286" s="334">
        <v>1</v>
      </c>
      <c r="R286" s="349">
        <v>1240.69</v>
      </c>
      <c r="S286" s="217" t="s">
        <v>2156</v>
      </c>
      <c r="T286" s="209" t="s">
        <v>3661</v>
      </c>
      <c r="U286" s="209" t="s">
        <v>3662</v>
      </c>
      <c r="V286" s="213" t="s">
        <v>3663</v>
      </c>
      <c r="W286" s="218" t="s">
        <v>3652</v>
      </c>
      <c r="X286" s="218" t="s">
        <v>3652</v>
      </c>
      <c r="Y286" s="212" t="s">
        <v>4559</v>
      </c>
      <c r="Z286" s="209" t="s">
        <v>3664</v>
      </c>
      <c r="AA286" s="219"/>
      <c r="AB286" s="218"/>
      <c r="AC286" s="217" t="e">
        <v>#N/A</v>
      </c>
      <c r="AD286" s="217">
        <v>90573</v>
      </c>
      <c r="AE286" s="217" t="s">
        <v>3480</v>
      </c>
      <c r="AF286" s="217" t="s">
        <v>3828</v>
      </c>
      <c r="AG286" s="217" t="s">
        <v>4560</v>
      </c>
      <c r="AH286" s="220" t="str">
        <f t="shared" ref="AH286:AH294" si="18">O286&amp;"_00"&amp;Q286</f>
        <v>4590004413_001</v>
      </c>
      <c r="AI286" s="217"/>
      <c r="AJ286" s="225">
        <v>45108</v>
      </c>
      <c r="AK286" s="221">
        <v>496.27600000000007</v>
      </c>
      <c r="AL286" s="244">
        <v>45212</v>
      </c>
      <c r="AM286" s="217" t="s">
        <v>4561</v>
      </c>
      <c r="AN286" s="227">
        <v>45471</v>
      </c>
      <c r="AO286" s="222">
        <v>744.41</v>
      </c>
      <c r="AP286" s="227"/>
      <c r="AQ286" s="358">
        <f ca="1">IF(表格1[[#This Row],[PO$]]="","100%",表格1[[#This Row],[total amount]]/表格1[[#This Row],[PO$]])</f>
        <v>0.99999677598755543</v>
      </c>
      <c r="AR286" s="223">
        <f ca="1">表格1[[#This Row],[invoice amount]]+表格1[[#This Row],[invoice amount2]]</f>
        <v>1240.6860000000001</v>
      </c>
      <c r="AS286" s="224" t="s">
        <v>4235</v>
      </c>
      <c r="AT286" s="208"/>
      <c r="AU286" s="208" t="e">
        <f ca="1">VLOOKUP(表格1[[#This Row],[PO+ITEM]],#REF!,2,FALSE)</f>
        <v>#REF!</v>
      </c>
      <c r="AV286" s="341" t="e">
        <f ca="1">VLOOKUP(表格1[[#This Row],[PO+ITEM]],#REF!,3,FALSE)</f>
        <v>#REF!</v>
      </c>
      <c r="AW286" s="208" t="e">
        <f ca="1">VLOOKUP(表格1[[#This Row],[PO+ITEM]],#REF!,4,FALSE)</f>
        <v>#REF!</v>
      </c>
      <c r="AX286" s="208" t="e" cm="1" vm="1">
        <f t="array" aca="1" ref="AX286" ca="1">VLOOKUP(AI:AI,#REF!,1,FALSE)</f>
        <v>#VALUE!</v>
      </c>
    </row>
    <row r="287" spans="1:50" ht="15.6">
      <c r="A287" s="220">
        <v>286</v>
      </c>
      <c r="B287" s="220" t="s">
        <v>3674</v>
      </c>
      <c r="C287" s="209" t="s">
        <v>16</v>
      </c>
      <c r="D287" s="209" t="s">
        <v>3648</v>
      </c>
      <c r="E287" s="209"/>
      <c r="F287" s="209"/>
      <c r="G287" s="209"/>
      <c r="H287" s="217" t="s">
        <v>4562</v>
      </c>
      <c r="I287" s="217"/>
      <c r="J287" s="215"/>
      <c r="K287" s="217"/>
      <c r="L287" s="212" t="s">
        <v>4517</v>
      </c>
      <c r="M287" s="212" t="s">
        <v>2999</v>
      </c>
      <c r="N287" s="213"/>
      <c r="O287" s="263">
        <v>4590004413</v>
      </c>
      <c r="P287" s="214">
        <v>44802</v>
      </c>
      <c r="Q287" s="334">
        <v>2</v>
      </c>
      <c r="R287" s="216">
        <v>1240.69</v>
      </c>
      <c r="S287" s="217" t="s">
        <v>2156</v>
      </c>
      <c r="T287" s="209" t="s">
        <v>3661</v>
      </c>
      <c r="U287" s="209" t="s">
        <v>3662</v>
      </c>
      <c r="V287" s="213" t="s">
        <v>3663</v>
      </c>
      <c r="W287" s="218" t="s">
        <v>3652</v>
      </c>
      <c r="X287" s="218" t="s">
        <v>3652</v>
      </c>
      <c r="Y287" s="212" t="s">
        <v>4563</v>
      </c>
      <c r="Z287" s="209" t="s">
        <v>3664</v>
      </c>
      <c r="AA287" s="219"/>
      <c r="AB287" s="218"/>
      <c r="AC287" s="217" t="e">
        <v>#N/A</v>
      </c>
      <c r="AD287" s="217">
        <v>90631</v>
      </c>
      <c r="AE287" s="217" t="s">
        <v>3155</v>
      </c>
      <c r="AF287" s="217" t="s">
        <v>3828</v>
      </c>
      <c r="AG287" s="217" t="s">
        <v>4560</v>
      </c>
      <c r="AH287" s="220" t="str">
        <f t="shared" si="18"/>
        <v>4590004413_002</v>
      </c>
      <c r="AI287" s="208"/>
      <c r="AJ287" s="225">
        <v>45108</v>
      </c>
      <c r="AK287" s="221">
        <v>496.27600000000007</v>
      </c>
      <c r="AL287" s="244">
        <v>45212</v>
      </c>
      <c r="AM287" s="208" t="s">
        <v>4564</v>
      </c>
      <c r="AN287" s="227">
        <v>45422</v>
      </c>
      <c r="AO287" s="222">
        <v>744.41399999999999</v>
      </c>
      <c r="AP287" s="227" t="s">
        <v>3805</v>
      </c>
      <c r="AQ287" s="358">
        <f ca="1">IF(表格1[[#This Row],[PO$]]="","100%",表格1[[#This Row],[total amount]]/表格1[[#This Row],[PO$]])</f>
        <v>1</v>
      </c>
      <c r="AR287" s="223">
        <f ca="1">表格1[[#This Row],[invoice amount]]+表格1[[#This Row],[invoice amount2]]</f>
        <v>1240.69</v>
      </c>
      <c r="AS287" s="224" t="s">
        <v>4371</v>
      </c>
      <c r="AT287" s="208" t="s">
        <v>3657</v>
      </c>
      <c r="AU287" s="208" t="e">
        <f ca="1">VLOOKUP(表格1[[#This Row],[PO+ITEM]],#REF!,2,FALSE)</f>
        <v>#REF!</v>
      </c>
      <c r="AV287" s="341" t="e">
        <f ca="1">VLOOKUP(表格1[[#This Row],[PO+ITEM]],#REF!,3,FALSE)</f>
        <v>#REF!</v>
      </c>
      <c r="AW287" s="208" t="e">
        <f ca="1">VLOOKUP(表格1[[#This Row],[PO+ITEM]],#REF!,4,FALSE)</f>
        <v>#REF!</v>
      </c>
      <c r="AX287" s="208" t="e" cm="1" vm="1">
        <f t="array" aca="1" ref="AX287" ca="1">VLOOKUP(AI:AI,#REF!,1,FALSE)</f>
        <v>#VALUE!</v>
      </c>
    </row>
    <row r="288" spans="1:50" ht="15.6">
      <c r="A288" s="220">
        <v>287</v>
      </c>
      <c r="B288" s="220" t="s">
        <v>3674</v>
      </c>
      <c r="C288" s="209" t="s">
        <v>16</v>
      </c>
      <c r="D288" s="209" t="s">
        <v>3648</v>
      </c>
      <c r="E288" s="209"/>
      <c r="F288" s="209"/>
      <c r="G288" s="209"/>
      <c r="H288" s="217" t="s">
        <v>4565</v>
      </c>
      <c r="I288" s="217"/>
      <c r="J288" s="215"/>
      <c r="K288" s="217"/>
      <c r="L288" s="212" t="s">
        <v>4517</v>
      </c>
      <c r="M288" s="212" t="s">
        <v>2999</v>
      </c>
      <c r="N288" s="213"/>
      <c r="O288" s="263">
        <v>4590004413</v>
      </c>
      <c r="P288" s="214">
        <v>44802</v>
      </c>
      <c r="Q288" s="334">
        <v>3</v>
      </c>
      <c r="R288" s="349">
        <v>1240.69</v>
      </c>
      <c r="S288" s="217" t="s">
        <v>2156</v>
      </c>
      <c r="T288" s="209" t="s">
        <v>3661</v>
      </c>
      <c r="U288" s="209" t="s">
        <v>3662</v>
      </c>
      <c r="V288" s="213" t="s">
        <v>3663</v>
      </c>
      <c r="W288" s="218" t="s">
        <v>3652</v>
      </c>
      <c r="X288" s="218" t="s">
        <v>3652</v>
      </c>
      <c r="Y288" s="212" t="s">
        <v>4563</v>
      </c>
      <c r="Z288" s="209" t="s">
        <v>3664</v>
      </c>
      <c r="AA288" s="219"/>
      <c r="AB288" s="218"/>
      <c r="AC288" s="217" t="e">
        <v>#N/A</v>
      </c>
      <c r="AD288" s="217">
        <v>90630</v>
      </c>
      <c r="AE288" s="217" t="s">
        <v>3478</v>
      </c>
      <c r="AF288" s="217" t="s">
        <v>3828</v>
      </c>
      <c r="AG288" s="217" t="s">
        <v>4560</v>
      </c>
      <c r="AH288" s="220" t="str">
        <f t="shared" si="18"/>
        <v>4590004413_003</v>
      </c>
      <c r="AI288" s="217"/>
      <c r="AJ288" s="225">
        <v>45108</v>
      </c>
      <c r="AK288" s="221">
        <v>496.27600000000007</v>
      </c>
      <c r="AL288" s="244">
        <v>45212</v>
      </c>
      <c r="AM288" s="217" t="s">
        <v>4566</v>
      </c>
      <c r="AN288" s="227">
        <v>45471</v>
      </c>
      <c r="AO288" s="222">
        <v>744.41</v>
      </c>
      <c r="AP288" s="227"/>
      <c r="AQ288" s="358">
        <f ca="1">IF(表格1[[#This Row],[PO$]]="","100%",表格1[[#This Row],[total amount]]/表格1[[#This Row],[PO$]])</f>
        <v>0.99999677598755543</v>
      </c>
      <c r="AR288" s="223">
        <f ca="1">表格1[[#This Row],[invoice amount]]+表格1[[#This Row],[invoice amount2]]</f>
        <v>1240.6860000000001</v>
      </c>
      <c r="AS288" s="224" t="s">
        <v>4235</v>
      </c>
      <c r="AT288" s="208"/>
      <c r="AU288" s="208" t="e">
        <f ca="1">VLOOKUP(表格1[[#This Row],[PO+ITEM]],#REF!,2,FALSE)</f>
        <v>#REF!</v>
      </c>
      <c r="AV288" s="341" t="e">
        <f ca="1">VLOOKUP(表格1[[#This Row],[PO+ITEM]],#REF!,3,FALSE)</f>
        <v>#REF!</v>
      </c>
      <c r="AW288" s="208" t="e">
        <f ca="1">VLOOKUP(表格1[[#This Row],[PO+ITEM]],#REF!,4,FALSE)</f>
        <v>#REF!</v>
      </c>
      <c r="AX288" s="208" t="e" cm="1" vm="1">
        <f t="array" aca="1" ref="AX288" ca="1">VLOOKUP(AI:AI,#REF!,1,FALSE)</f>
        <v>#VALUE!</v>
      </c>
    </row>
    <row r="289" spans="1:50" ht="15.6">
      <c r="A289" s="220">
        <v>288</v>
      </c>
      <c r="B289" s="220" t="s">
        <v>3674</v>
      </c>
      <c r="C289" s="209" t="s">
        <v>16</v>
      </c>
      <c r="D289" s="209" t="s">
        <v>3648</v>
      </c>
      <c r="E289" s="209"/>
      <c r="F289" s="209"/>
      <c r="G289" s="209"/>
      <c r="H289" s="210" t="s">
        <v>4567</v>
      </c>
      <c r="I289" s="210"/>
      <c r="J289" s="211"/>
      <c r="K289" s="210"/>
      <c r="L289" s="212" t="s">
        <v>4517</v>
      </c>
      <c r="M289" s="212" t="s">
        <v>2999</v>
      </c>
      <c r="N289" s="213"/>
      <c r="O289" s="263">
        <v>4590004413</v>
      </c>
      <c r="P289" s="214">
        <v>44802</v>
      </c>
      <c r="Q289" s="334">
        <v>4</v>
      </c>
      <c r="R289" s="349">
        <v>1240.69</v>
      </c>
      <c r="S289" s="217" t="s">
        <v>2156</v>
      </c>
      <c r="T289" s="209" t="s">
        <v>3661</v>
      </c>
      <c r="U289" s="209" t="s">
        <v>3662</v>
      </c>
      <c r="V289" s="213" t="s">
        <v>3663</v>
      </c>
      <c r="W289" s="218" t="s">
        <v>3652</v>
      </c>
      <c r="X289" s="218" t="s">
        <v>3652</v>
      </c>
      <c r="Y289" s="212" t="s">
        <v>4563</v>
      </c>
      <c r="Z289" s="209" t="s">
        <v>3664</v>
      </c>
      <c r="AA289" s="219"/>
      <c r="AB289" s="218"/>
      <c r="AC289" s="217" t="e">
        <v>#N/A</v>
      </c>
      <c r="AD289" s="217">
        <v>90637</v>
      </c>
      <c r="AE289" s="217" t="s">
        <v>3273</v>
      </c>
      <c r="AF289" s="217" t="s">
        <v>3828</v>
      </c>
      <c r="AG289" s="217" t="s">
        <v>4560</v>
      </c>
      <c r="AH289" s="220" t="str">
        <f t="shared" si="18"/>
        <v>4590004413_004</v>
      </c>
      <c r="AI289" s="217"/>
      <c r="AJ289" s="225">
        <v>45108</v>
      </c>
      <c r="AK289" s="221">
        <v>496.27600000000007</v>
      </c>
      <c r="AL289" s="244">
        <v>45212</v>
      </c>
      <c r="AM289" s="217" t="s">
        <v>4568</v>
      </c>
      <c r="AN289" s="227">
        <v>45471</v>
      </c>
      <c r="AO289" s="222">
        <v>744.41</v>
      </c>
      <c r="AP289" s="227"/>
      <c r="AQ289" s="358">
        <f ca="1">IF(表格1[[#This Row],[PO$]]="","100%",表格1[[#This Row],[total amount]]/表格1[[#This Row],[PO$]])</f>
        <v>0.99999677598755543</v>
      </c>
      <c r="AR289" s="223">
        <f ca="1">表格1[[#This Row],[invoice amount]]+表格1[[#This Row],[invoice amount2]]</f>
        <v>1240.6860000000001</v>
      </c>
      <c r="AS289" s="224" t="s">
        <v>4235</v>
      </c>
      <c r="AT289" s="208"/>
      <c r="AU289" s="208" t="e">
        <f ca="1">VLOOKUP(表格1[[#This Row],[PO+ITEM]],#REF!,2,FALSE)</f>
        <v>#REF!</v>
      </c>
      <c r="AV289" s="341" t="e">
        <f ca="1">VLOOKUP(表格1[[#This Row],[PO+ITEM]],#REF!,3,FALSE)</f>
        <v>#REF!</v>
      </c>
      <c r="AW289" s="208" t="e">
        <f ca="1">VLOOKUP(表格1[[#This Row],[PO+ITEM]],#REF!,4,FALSE)</f>
        <v>#REF!</v>
      </c>
      <c r="AX289" s="208" t="e" cm="1" vm="1">
        <f t="array" aca="1" ref="AX289" ca="1">VLOOKUP(AI:AI,#REF!,1,FALSE)</f>
        <v>#VALUE!</v>
      </c>
    </row>
    <row r="290" spans="1:50" ht="15.6">
      <c r="A290" s="220">
        <v>289</v>
      </c>
      <c r="B290" s="220" t="s">
        <v>3674</v>
      </c>
      <c r="C290" s="209" t="s">
        <v>16</v>
      </c>
      <c r="D290" s="209" t="s">
        <v>3648</v>
      </c>
      <c r="E290" s="209"/>
      <c r="F290" s="209"/>
      <c r="G290" s="209"/>
      <c r="H290" s="217" t="s">
        <v>4569</v>
      </c>
      <c r="I290" s="217"/>
      <c r="J290" s="215"/>
      <c r="K290" s="217"/>
      <c r="L290" s="212" t="s">
        <v>4517</v>
      </c>
      <c r="M290" s="212" t="s">
        <v>2999</v>
      </c>
      <c r="N290" s="213"/>
      <c r="O290" s="263">
        <v>4590004413</v>
      </c>
      <c r="P290" s="214">
        <v>44802</v>
      </c>
      <c r="Q290" s="334">
        <v>5</v>
      </c>
      <c r="R290" s="216">
        <v>2459.56</v>
      </c>
      <c r="S290" s="217" t="s">
        <v>2156</v>
      </c>
      <c r="T290" s="209" t="s">
        <v>3661</v>
      </c>
      <c r="U290" s="209" t="s">
        <v>3662</v>
      </c>
      <c r="V290" s="213" t="s">
        <v>3663</v>
      </c>
      <c r="W290" s="218" t="s">
        <v>3652</v>
      </c>
      <c r="X290" s="218" t="s">
        <v>3652</v>
      </c>
      <c r="Y290" s="212" t="s">
        <v>4563</v>
      </c>
      <c r="Z290" s="209" t="s">
        <v>3664</v>
      </c>
      <c r="AA290" s="219"/>
      <c r="AB290" s="218"/>
      <c r="AC290" s="217" t="e">
        <v>#N/A</v>
      </c>
      <c r="AD290" s="217">
        <v>90574</v>
      </c>
      <c r="AE290" s="217" t="s">
        <v>3152</v>
      </c>
      <c r="AF290" s="217" t="s">
        <v>3828</v>
      </c>
      <c r="AG290" s="217" t="s">
        <v>4560</v>
      </c>
      <c r="AH290" s="220" t="str">
        <f t="shared" si="18"/>
        <v>4590004413_005</v>
      </c>
      <c r="AI290" s="208"/>
      <c r="AJ290" s="225">
        <v>45108</v>
      </c>
      <c r="AK290" s="221">
        <v>983.82400000000007</v>
      </c>
      <c r="AL290" s="244">
        <v>45212</v>
      </c>
      <c r="AM290" s="208"/>
      <c r="AN290" s="220"/>
      <c r="AO290" s="222"/>
      <c r="AP290" s="227"/>
      <c r="AQ290" s="358">
        <f ca="1">IF(表格1[[#This Row],[PO$]]="","100%",表格1[[#This Row],[total amount]]/表格1[[#This Row],[PO$]])</f>
        <v>0.4</v>
      </c>
      <c r="AR290" s="223">
        <f ca="1">表格1[[#This Row],[invoice amount]]+表格1[[#This Row],[invoice amount2]]</f>
        <v>983.82400000000007</v>
      </c>
      <c r="AS290" s="224" t="s">
        <v>3673</v>
      </c>
      <c r="AT290" s="208"/>
      <c r="AU290" s="208" t="e">
        <f ca="1">VLOOKUP(表格1[[#This Row],[PO+ITEM]],#REF!,2,FALSE)</f>
        <v>#REF!</v>
      </c>
      <c r="AV290" s="341" t="e">
        <f ca="1">VLOOKUP(表格1[[#This Row],[PO+ITEM]],#REF!,3,FALSE)</f>
        <v>#REF!</v>
      </c>
      <c r="AW290" s="208" t="e">
        <f ca="1">VLOOKUP(表格1[[#This Row],[PO+ITEM]],#REF!,4,FALSE)</f>
        <v>#REF!</v>
      </c>
      <c r="AX290" s="208" t="e" cm="1" vm="1">
        <f t="array" aca="1" ref="AX290" ca="1">VLOOKUP(AI:AI,#REF!,1,FALSE)</f>
        <v>#VALUE!</v>
      </c>
    </row>
    <row r="291" spans="1:50" ht="15.6">
      <c r="A291" s="220">
        <v>290</v>
      </c>
      <c r="B291" s="220" t="s">
        <v>3674</v>
      </c>
      <c r="C291" s="209" t="s">
        <v>16</v>
      </c>
      <c r="D291" s="209" t="s">
        <v>3648</v>
      </c>
      <c r="E291" s="209"/>
      <c r="F291" s="209"/>
      <c r="G291" s="209"/>
      <c r="H291" s="217" t="s">
        <v>4571</v>
      </c>
      <c r="I291" s="217"/>
      <c r="J291" s="215"/>
      <c r="K291" s="217"/>
      <c r="L291" s="212" t="s">
        <v>4517</v>
      </c>
      <c r="M291" s="212" t="s">
        <v>2999</v>
      </c>
      <c r="N291" s="213"/>
      <c r="O291" s="263">
        <v>4590004413</v>
      </c>
      <c r="P291" s="214">
        <v>44802</v>
      </c>
      <c r="Q291" s="334">
        <v>6</v>
      </c>
      <c r="R291" s="216">
        <v>2459.56</v>
      </c>
      <c r="S291" s="217" t="s">
        <v>2156</v>
      </c>
      <c r="T291" s="209" t="s">
        <v>3661</v>
      </c>
      <c r="U291" s="209" t="s">
        <v>3662</v>
      </c>
      <c r="V291" s="213" t="s">
        <v>3663</v>
      </c>
      <c r="W291" s="218" t="s">
        <v>3652</v>
      </c>
      <c r="X291" s="218" t="s">
        <v>3652</v>
      </c>
      <c r="Y291" s="212" t="s">
        <v>4563</v>
      </c>
      <c r="Z291" s="209" t="s">
        <v>3664</v>
      </c>
      <c r="AA291" s="219"/>
      <c r="AB291" s="218"/>
      <c r="AC291" s="217" t="e">
        <v>#N/A</v>
      </c>
      <c r="AD291" s="217">
        <v>90575</v>
      </c>
      <c r="AE291" s="217" t="s">
        <v>3476</v>
      </c>
      <c r="AF291" s="217" t="s">
        <v>3828</v>
      </c>
      <c r="AG291" s="217" t="s">
        <v>4560</v>
      </c>
      <c r="AH291" s="220" t="str">
        <f t="shared" si="18"/>
        <v>4590004413_006</v>
      </c>
      <c r="AI291" s="208"/>
      <c r="AJ291" s="225">
        <v>45108</v>
      </c>
      <c r="AK291" s="221">
        <v>983.82400000000007</v>
      </c>
      <c r="AL291" s="244">
        <v>45212</v>
      </c>
      <c r="AM291" s="208"/>
      <c r="AN291" s="220"/>
      <c r="AO291" s="222"/>
      <c r="AP291" s="227"/>
      <c r="AQ291" s="358">
        <f ca="1">IF(表格1[[#This Row],[PO$]]="","100%",表格1[[#This Row],[total amount]]/表格1[[#This Row],[PO$]])</f>
        <v>0.4</v>
      </c>
      <c r="AR291" s="223">
        <f ca="1">表格1[[#This Row],[invoice amount]]+表格1[[#This Row],[invoice amount2]]</f>
        <v>983.82400000000007</v>
      </c>
      <c r="AS291" s="224" t="s">
        <v>3673</v>
      </c>
      <c r="AT291" s="208"/>
      <c r="AU291" s="208" t="e">
        <f ca="1">VLOOKUP(表格1[[#This Row],[PO+ITEM]],#REF!,2,FALSE)</f>
        <v>#REF!</v>
      </c>
      <c r="AV291" s="341" t="e">
        <f ca="1">VLOOKUP(表格1[[#This Row],[PO+ITEM]],#REF!,3,FALSE)</f>
        <v>#REF!</v>
      </c>
      <c r="AW291" s="208" t="e">
        <f ca="1">VLOOKUP(表格1[[#This Row],[PO+ITEM]],#REF!,4,FALSE)</f>
        <v>#REF!</v>
      </c>
      <c r="AX291" s="208" t="e" cm="1" vm="1">
        <f t="array" aca="1" ref="AX291" ca="1">VLOOKUP(AI:AI,#REF!,1,FALSE)</f>
        <v>#VALUE!</v>
      </c>
    </row>
    <row r="292" spans="1:50" ht="15.6">
      <c r="A292" s="220">
        <v>291</v>
      </c>
      <c r="B292" s="220" t="s">
        <v>3674</v>
      </c>
      <c r="C292" s="209" t="s">
        <v>16</v>
      </c>
      <c r="D292" s="209" t="s">
        <v>3648</v>
      </c>
      <c r="E292" s="209"/>
      <c r="F292" s="209"/>
      <c r="G292" s="209"/>
      <c r="H292" s="210" t="s">
        <v>4573</v>
      </c>
      <c r="I292" s="210"/>
      <c r="J292" s="211"/>
      <c r="K292" s="210"/>
      <c r="L292" s="212" t="s">
        <v>4517</v>
      </c>
      <c r="M292" s="212" t="s">
        <v>2999</v>
      </c>
      <c r="N292" s="213"/>
      <c r="O292" s="263">
        <v>4590004413</v>
      </c>
      <c r="P292" s="214">
        <v>44802</v>
      </c>
      <c r="Q292" s="334">
        <v>7</v>
      </c>
      <c r="R292" s="216">
        <v>2459.56</v>
      </c>
      <c r="S292" s="217" t="s">
        <v>2156</v>
      </c>
      <c r="T292" s="209" t="s">
        <v>3661</v>
      </c>
      <c r="U292" s="209" t="s">
        <v>3662</v>
      </c>
      <c r="V292" s="213" t="s">
        <v>3663</v>
      </c>
      <c r="W292" s="218" t="s">
        <v>3652</v>
      </c>
      <c r="X292" s="218" t="s">
        <v>3652</v>
      </c>
      <c r="Y292" s="212" t="s">
        <v>4563</v>
      </c>
      <c r="Z292" s="209" t="s">
        <v>3664</v>
      </c>
      <c r="AA292" s="219"/>
      <c r="AB292" s="218"/>
      <c r="AC292" s="217" t="e">
        <v>#N/A</v>
      </c>
      <c r="AD292" s="217">
        <v>90634</v>
      </c>
      <c r="AE292" s="217" t="s">
        <v>3471</v>
      </c>
      <c r="AF292" s="217" t="s">
        <v>3828</v>
      </c>
      <c r="AG292" s="217" t="s">
        <v>4560</v>
      </c>
      <c r="AH292" s="220" t="str">
        <f t="shared" si="18"/>
        <v>4590004413_007</v>
      </c>
      <c r="AI292" s="208"/>
      <c r="AJ292" s="225">
        <v>45108</v>
      </c>
      <c r="AK292" s="221">
        <v>983.82400000000007</v>
      </c>
      <c r="AL292" s="244">
        <v>45212</v>
      </c>
      <c r="AM292" s="208" t="s">
        <v>4574</v>
      </c>
      <c r="AN292" s="227">
        <v>45506</v>
      </c>
      <c r="AO292" s="222">
        <v>1475.74</v>
      </c>
      <c r="AP292" s="227"/>
      <c r="AQ292" s="358">
        <f ca="1">IF(表格1[[#This Row],[PO$]]="","100%",表格1[[#This Row],[total amount]]/表格1[[#This Row],[PO$]])</f>
        <v>1.0000016263071445</v>
      </c>
      <c r="AR292" s="223">
        <f ca="1">表格1[[#This Row],[invoice amount]]+表格1[[#This Row],[invoice amount2]]</f>
        <v>2459.5640000000003</v>
      </c>
      <c r="AS292" s="224" t="s">
        <v>4235</v>
      </c>
      <c r="AT292" s="208"/>
      <c r="AU292" s="220" t="e">
        <f ca="1">VLOOKUP(表格1[[#This Row],[PO+ITEM]],#REF!,2,FALSE)</f>
        <v>#REF!</v>
      </c>
      <c r="AV292" s="341" t="e">
        <f ca="1">VLOOKUP(表格1[[#This Row],[PO+ITEM]],#REF!,3,FALSE)</f>
        <v>#REF!</v>
      </c>
      <c r="AW292" s="208" t="e">
        <f ca="1">VLOOKUP(表格1[[#This Row],[PO+ITEM]],#REF!,4,FALSE)</f>
        <v>#REF!</v>
      </c>
      <c r="AX292" s="208" t="e" cm="1" vm="1">
        <f t="array" aca="1" ref="AX292" ca="1">VLOOKUP(AI:AI,#REF!,1,FALSE)</f>
        <v>#VALUE!</v>
      </c>
    </row>
    <row r="293" spans="1:50" ht="15.6">
      <c r="A293" s="220">
        <v>292</v>
      </c>
      <c r="B293" s="220" t="s">
        <v>3674</v>
      </c>
      <c r="C293" s="209" t="s">
        <v>16</v>
      </c>
      <c r="D293" s="209" t="s">
        <v>3648</v>
      </c>
      <c r="E293" s="209"/>
      <c r="F293" s="209"/>
      <c r="G293" s="209"/>
      <c r="H293" s="210" t="s">
        <v>4575</v>
      </c>
      <c r="I293" s="210"/>
      <c r="J293" s="211"/>
      <c r="K293" s="210"/>
      <c r="L293" s="212" t="s">
        <v>4517</v>
      </c>
      <c r="M293" s="212" t="s">
        <v>2999</v>
      </c>
      <c r="N293" s="213"/>
      <c r="O293" s="263">
        <v>4590004413</v>
      </c>
      <c r="P293" s="214">
        <v>44802</v>
      </c>
      <c r="Q293" s="334">
        <v>8</v>
      </c>
      <c r="R293" s="216">
        <v>1240.69</v>
      </c>
      <c r="S293" s="217" t="s">
        <v>2156</v>
      </c>
      <c r="T293" s="209" t="s">
        <v>3661</v>
      </c>
      <c r="U293" s="209" t="s">
        <v>3662</v>
      </c>
      <c r="V293" s="213" t="s">
        <v>3663</v>
      </c>
      <c r="W293" s="218" t="s">
        <v>3652</v>
      </c>
      <c r="X293" s="218" t="s">
        <v>3652</v>
      </c>
      <c r="Y293" s="212" t="s">
        <v>4563</v>
      </c>
      <c r="Z293" s="209" t="s">
        <v>3664</v>
      </c>
      <c r="AA293" s="219"/>
      <c r="AB293" s="218"/>
      <c r="AC293" s="217" t="e">
        <v>#N/A</v>
      </c>
      <c r="AD293" s="217">
        <v>90627</v>
      </c>
      <c r="AE293" s="217" t="s">
        <v>3161</v>
      </c>
      <c r="AF293" s="217" t="s">
        <v>3828</v>
      </c>
      <c r="AG293" s="217" t="s">
        <v>4560</v>
      </c>
      <c r="AH293" s="220" t="str">
        <f t="shared" si="18"/>
        <v>4590004413_008</v>
      </c>
      <c r="AI293" s="208"/>
      <c r="AJ293" s="225">
        <v>45108</v>
      </c>
      <c r="AK293" s="221">
        <v>496.27600000000007</v>
      </c>
      <c r="AL293" s="244">
        <v>45212</v>
      </c>
      <c r="AM293" s="208" t="s">
        <v>4576</v>
      </c>
      <c r="AN293" s="227">
        <v>45506</v>
      </c>
      <c r="AO293" s="222">
        <v>744.41</v>
      </c>
      <c r="AP293" s="227"/>
      <c r="AQ293" s="358">
        <f ca="1">IF(表格1[[#This Row],[PO$]]="","100%",表格1[[#This Row],[total amount]]/表格1[[#This Row],[PO$]])</f>
        <v>0.99999677598755543</v>
      </c>
      <c r="AR293" s="223">
        <f ca="1">表格1[[#This Row],[invoice amount]]+表格1[[#This Row],[invoice amount2]]</f>
        <v>1240.6860000000001</v>
      </c>
      <c r="AS293" s="224" t="s">
        <v>4235</v>
      </c>
      <c r="AT293" s="208"/>
      <c r="AU293" s="220" t="e">
        <f ca="1">VLOOKUP(表格1[[#This Row],[PO+ITEM]],#REF!,2,FALSE)</f>
        <v>#REF!</v>
      </c>
      <c r="AV293" s="341" t="e">
        <f ca="1">VLOOKUP(表格1[[#This Row],[PO+ITEM]],#REF!,3,FALSE)</f>
        <v>#REF!</v>
      </c>
      <c r="AW293" s="208" t="e">
        <f ca="1">VLOOKUP(表格1[[#This Row],[PO+ITEM]],#REF!,4,FALSE)</f>
        <v>#REF!</v>
      </c>
      <c r="AX293" s="208" t="e" cm="1" vm="1">
        <f t="array" aca="1" ref="AX293" ca="1">VLOOKUP(AI:AI,#REF!,1,FALSE)</f>
        <v>#VALUE!</v>
      </c>
    </row>
    <row r="294" spans="1:50" ht="15.6">
      <c r="A294" s="220">
        <v>293</v>
      </c>
      <c r="B294" s="220" t="s">
        <v>3674</v>
      </c>
      <c r="C294" s="209" t="s">
        <v>16</v>
      </c>
      <c r="D294" s="209" t="s">
        <v>3648</v>
      </c>
      <c r="E294" s="209"/>
      <c r="F294" s="209"/>
      <c r="G294" s="209"/>
      <c r="H294" s="210" t="s">
        <v>4577</v>
      </c>
      <c r="I294" s="210"/>
      <c r="J294" s="211"/>
      <c r="K294" s="210"/>
      <c r="L294" s="212" t="s">
        <v>4517</v>
      </c>
      <c r="M294" s="212" t="s">
        <v>2999</v>
      </c>
      <c r="N294" s="213"/>
      <c r="O294" s="263">
        <v>4590004413</v>
      </c>
      <c r="P294" s="214">
        <v>44802</v>
      </c>
      <c r="Q294" s="334">
        <v>9</v>
      </c>
      <c r="R294" s="216">
        <v>1240.69</v>
      </c>
      <c r="S294" s="217" t="s">
        <v>2156</v>
      </c>
      <c r="T294" s="209" t="s">
        <v>3661</v>
      </c>
      <c r="U294" s="209" t="s">
        <v>3662</v>
      </c>
      <c r="V294" s="213" t="s">
        <v>3663</v>
      </c>
      <c r="W294" s="218" t="s">
        <v>3652</v>
      </c>
      <c r="X294" s="218" t="s">
        <v>3652</v>
      </c>
      <c r="Y294" s="212" t="s">
        <v>4563</v>
      </c>
      <c r="Z294" s="209" t="s">
        <v>3664</v>
      </c>
      <c r="AA294" s="219"/>
      <c r="AB294" s="218"/>
      <c r="AC294" s="217" t="e">
        <v>#N/A</v>
      </c>
      <c r="AD294" s="217">
        <v>90629</v>
      </c>
      <c r="AE294" s="217" t="s">
        <v>3490</v>
      </c>
      <c r="AF294" s="217" t="s">
        <v>3828</v>
      </c>
      <c r="AG294" s="217" t="s">
        <v>4560</v>
      </c>
      <c r="AH294" s="220" t="str">
        <f t="shared" si="18"/>
        <v>4590004413_009</v>
      </c>
      <c r="AI294" s="208"/>
      <c r="AJ294" s="225">
        <v>45108</v>
      </c>
      <c r="AK294" s="221">
        <v>496.27600000000007</v>
      </c>
      <c r="AL294" s="244">
        <v>45212</v>
      </c>
      <c r="AM294" s="208"/>
      <c r="AN294" s="220"/>
      <c r="AO294" s="222"/>
      <c r="AP294" s="227"/>
      <c r="AQ294" s="358">
        <f ca="1">IF(表格1[[#This Row],[PO$]]="","100%",表格1[[#This Row],[total amount]]/表格1[[#This Row],[PO$]])</f>
        <v>0.4</v>
      </c>
      <c r="AR294" s="223">
        <f ca="1">表格1[[#This Row],[invoice amount]]+表格1[[#This Row],[invoice amount2]]</f>
        <v>496.27600000000007</v>
      </c>
      <c r="AS294" s="224" t="s">
        <v>3673</v>
      </c>
      <c r="AT294" s="208"/>
      <c r="AU294" s="208" t="e">
        <f ca="1">VLOOKUP(表格1[[#This Row],[PO+ITEM]],#REF!,2,FALSE)</f>
        <v>#REF!</v>
      </c>
      <c r="AV294" s="341" t="e">
        <f ca="1">VLOOKUP(表格1[[#This Row],[PO+ITEM]],#REF!,3,FALSE)</f>
        <v>#REF!</v>
      </c>
      <c r="AW294" s="208" t="e">
        <f ca="1">VLOOKUP(表格1[[#This Row],[PO+ITEM]],#REF!,4,FALSE)</f>
        <v>#REF!</v>
      </c>
      <c r="AX294" s="208" t="e" cm="1" vm="1">
        <f t="array" aca="1" ref="AX294" ca="1">VLOOKUP(AI:AI,#REF!,1,FALSE)</f>
        <v>#VALUE!</v>
      </c>
    </row>
    <row r="295" spans="1:50" ht="15.6">
      <c r="A295" s="220">
        <v>294</v>
      </c>
      <c r="B295" s="220" t="e">
        <v>#N/A</v>
      </c>
      <c r="C295" s="209" t="s">
        <v>16</v>
      </c>
      <c r="D295" s="209" t="s">
        <v>3648</v>
      </c>
      <c r="E295" s="209"/>
      <c r="F295" s="209"/>
      <c r="G295" s="209"/>
      <c r="H295" s="210" t="s">
        <v>4579</v>
      </c>
      <c r="I295" s="210"/>
      <c r="J295" s="211"/>
      <c r="K295" s="210"/>
      <c r="L295" s="212" t="s">
        <v>4517</v>
      </c>
      <c r="M295" s="212" t="s">
        <v>2999</v>
      </c>
      <c r="N295" s="213"/>
      <c r="O295" s="263">
        <v>4590004413</v>
      </c>
      <c r="P295" s="214">
        <v>44802</v>
      </c>
      <c r="Q295" s="334">
        <v>10</v>
      </c>
      <c r="R295" s="216">
        <v>1240.69</v>
      </c>
      <c r="S295" s="217" t="s">
        <v>2156</v>
      </c>
      <c r="T295" s="209" t="s">
        <v>4580</v>
      </c>
      <c r="U295" s="209" t="s">
        <v>448</v>
      </c>
      <c r="V295" s="213" t="s">
        <v>3663</v>
      </c>
      <c r="W295" s="218" t="s">
        <v>3652</v>
      </c>
      <c r="X295" s="218" t="s">
        <v>3652</v>
      </c>
      <c r="Y295" s="212" t="s">
        <v>4563</v>
      </c>
      <c r="Z295" s="209" t="s">
        <v>3664</v>
      </c>
      <c r="AA295" s="219"/>
      <c r="AB295" s="218"/>
      <c r="AC295" s="217" t="e">
        <v>#N/A</v>
      </c>
      <c r="AD295" s="217">
        <v>90628</v>
      </c>
      <c r="AE295" s="217" t="s">
        <v>3309</v>
      </c>
      <c r="AF295" s="217" t="s">
        <v>3828</v>
      </c>
      <c r="AG295" s="217" t="s">
        <v>4560</v>
      </c>
      <c r="AH295" s="220" t="str">
        <f t="shared" ref="AH295:AH323" si="19">O295&amp;"_0"&amp;Q295</f>
        <v>4590004413_010</v>
      </c>
      <c r="AI295" s="208"/>
      <c r="AJ295" s="225">
        <v>45108</v>
      </c>
      <c r="AK295" s="221">
        <v>496.27600000000007</v>
      </c>
      <c r="AL295" s="244">
        <v>45212</v>
      </c>
      <c r="AM295" s="401"/>
      <c r="AN295" s="227"/>
      <c r="AO295" s="222"/>
      <c r="AP295" s="227"/>
      <c r="AQ295" s="358">
        <f ca="1">IF(表格1[[#This Row],[PO$]]="","100%",表格1[[#This Row],[total amount]]/表格1[[#This Row],[PO$]])</f>
        <v>0.4</v>
      </c>
      <c r="AR295" s="223">
        <f ca="1">表格1[[#This Row],[invoice amount]]+表格1[[#This Row],[invoice amount2]]</f>
        <v>496.27600000000007</v>
      </c>
      <c r="AS295" s="224" t="s">
        <v>4235</v>
      </c>
      <c r="AT295" s="208"/>
      <c r="AU295" s="208" t="e">
        <f ca="1">VLOOKUP(表格1[[#This Row],[PO+ITEM]],#REF!,2,FALSE)</f>
        <v>#REF!</v>
      </c>
      <c r="AV295" s="341" t="e">
        <f ca="1">VLOOKUP(表格1[[#This Row],[PO+ITEM]],#REF!,3,FALSE)</f>
        <v>#REF!</v>
      </c>
      <c r="AW295" s="208" t="e">
        <f ca="1">VLOOKUP(表格1[[#This Row],[PO+ITEM]],#REF!,4,FALSE)</f>
        <v>#REF!</v>
      </c>
      <c r="AX295" s="208" t="e" cm="1" vm="1">
        <f t="array" aca="1" ref="AX295" ca="1">VLOOKUP(AI:AI,#REF!,1,FALSE)</f>
        <v>#VALUE!</v>
      </c>
    </row>
    <row r="296" spans="1:50" ht="15.6">
      <c r="A296" s="220">
        <v>295</v>
      </c>
      <c r="B296" s="220" t="s">
        <v>3674</v>
      </c>
      <c r="C296" s="209" t="s">
        <v>16</v>
      </c>
      <c r="D296" s="209" t="s">
        <v>3648</v>
      </c>
      <c r="E296" s="209"/>
      <c r="F296" s="209"/>
      <c r="G296" s="209"/>
      <c r="H296" s="217" t="s">
        <v>4581</v>
      </c>
      <c r="I296" s="217"/>
      <c r="J296" s="215"/>
      <c r="K296" s="217"/>
      <c r="L296" s="212" t="s">
        <v>4517</v>
      </c>
      <c r="M296" s="212" t="s">
        <v>2999</v>
      </c>
      <c r="N296" s="213"/>
      <c r="O296" s="263">
        <v>4590004413</v>
      </c>
      <c r="P296" s="214">
        <v>44802</v>
      </c>
      <c r="Q296" s="334">
        <v>11</v>
      </c>
      <c r="R296" s="349">
        <v>1240.69</v>
      </c>
      <c r="S296" s="217" t="s">
        <v>2156</v>
      </c>
      <c r="T296" s="209" t="s">
        <v>3661</v>
      </c>
      <c r="U296" s="209" t="s">
        <v>3662</v>
      </c>
      <c r="V296" s="213" t="s">
        <v>3663</v>
      </c>
      <c r="W296" s="218" t="s">
        <v>3652</v>
      </c>
      <c r="X296" s="218" t="s">
        <v>3652</v>
      </c>
      <c r="Y296" s="212" t="s">
        <v>4563</v>
      </c>
      <c r="Z296" s="209" t="s">
        <v>3664</v>
      </c>
      <c r="AA296" s="219"/>
      <c r="AB296" s="218"/>
      <c r="AC296" s="217" t="e">
        <v>#N/A</v>
      </c>
      <c r="AD296" s="217">
        <v>90638</v>
      </c>
      <c r="AE296" s="217" t="s">
        <v>3482</v>
      </c>
      <c r="AF296" s="217" t="s">
        <v>3828</v>
      </c>
      <c r="AG296" s="217" t="s">
        <v>4560</v>
      </c>
      <c r="AH296" s="220" t="str">
        <f t="shared" si="19"/>
        <v>4590004413_011</v>
      </c>
      <c r="AI296" s="217"/>
      <c r="AJ296" s="225">
        <v>45108</v>
      </c>
      <c r="AK296" s="221">
        <v>496.27600000000007</v>
      </c>
      <c r="AL296" s="244">
        <v>45212</v>
      </c>
      <c r="AM296" s="217" t="s">
        <v>4582</v>
      </c>
      <c r="AN296" s="227">
        <v>45471</v>
      </c>
      <c r="AO296" s="222">
        <v>744.41</v>
      </c>
      <c r="AP296" s="227"/>
      <c r="AQ296" s="358">
        <f ca="1">IF(表格1[[#This Row],[PO$]]="","100%",表格1[[#This Row],[total amount]]/表格1[[#This Row],[PO$]])</f>
        <v>0.99999677598755543</v>
      </c>
      <c r="AR296" s="223">
        <f ca="1">表格1[[#This Row],[invoice amount]]+表格1[[#This Row],[invoice amount2]]</f>
        <v>1240.6860000000001</v>
      </c>
      <c r="AS296" s="224" t="s">
        <v>4235</v>
      </c>
      <c r="AT296" s="208"/>
      <c r="AU296" s="208" t="e">
        <f ca="1">VLOOKUP(表格1[[#This Row],[PO+ITEM]],#REF!,2,FALSE)</f>
        <v>#REF!</v>
      </c>
      <c r="AV296" s="341" t="e">
        <f ca="1">VLOOKUP(表格1[[#This Row],[PO+ITEM]],#REF!,3,FALSE)</f>
        <v>#REF!</v>
      </c>
      <c r="AW296" s="208" t="e">
        <f ca="1">VLOOKUP(表格1[[#This Row],[PO+ITEM]],#REF!,4,FALSE)</f>
        <v>#REF!</v>
      </c>
      <c r="AX296" s="208" t="e" cm="1" vm="1">
        <f t="array" aca="1" ref="AX296" ca="1">VLOOKUP(AI:AI,#REF!,1,FALSE)</f>
        <v>#VALUE!</v>
      </c>
    </row>
    <row r="297" spans="1:50" ht="15.6">
      <c r="A297" s="220">
        <v>296</v>
      </c>
      <c r="B297" s="220" t="s">
        <v>3674</v>
      </c>
      <c r="C297" s="209" t="s">
        <v>16</v>
      </c>
      <c r="D297" s="209" t="s">
        <v>3648</v>
      </c>
      <c r="E297" s="209"/>
      <c r="F297" s="209"/>
      <c r="G297" s="209"/>
      <c r="H297" s="210" t="s">
        <v>4583</v>
      </c>
      <c r="I297" s="210"/>
      <c r="J297" s="211"/>
      <c r="K297" s="210"/>
      <c r="L297" s="212" t="s">
        <v>4517</v>
      </c>
      <c r="M297" s="212" t="s">
        <v>2999</v>
      </c>
      <c r="N297" s="213"/>
      <c r="O297" s="263">
        <v>4590004413</v>
      </c>
      <c r="P297" s="214">
        <v>44802</v>
      </c>
      <c r="Q297" s="334">
        <v>12</v>
      </c>
      <c r="R297" s="349">
        <v>1240.69</v>
      </c>
      <c r="S297" s="217" t="s">
        <v>2156</v>
      </c>
      <c r="T297" s="209" t="s">
        <v>3661</v>
      </c>
      <c r="U297" s="209" t="s">
        <v>3662</v>
      </c>
      <c r="V297" s="213" t="s">
        <v>3663</v>
      </c>
      <c r="W297" s="218" t="s">
        <v>3652</v>
      </c>
      <c r="X297" s="218" t="s">
        <v>3652</v>
      </c>
      <c r="Y297" s="212" t="s">
        <v>4563</v>
      </c>
      <c r="Z297" s="209" t="s">
        <v>3664</v>
      </c>
      <c r="AA297" s="219"/>
      <c r="AB297" s="218"/>
      <c r="AC297" s="217" t="e">
        <v>#N/A</v>
      </c>
      <c r="AD297" s="217">
        <v>90639</v>
      </c>
      <c r="AE297" s="217" t="s">
        <v>3486</v>
      </c>
      <c r="AF297" s="217" t="s">
        <v>3828</v>
      </c>
      <c r="AG297" s="217" t="s">
        <v>4560</v>
      </c>
      <c r="AH297" s="220" t="str">
        <f t="shared" si="19"/>
        <v>4590004413_012</v>
      </c>
      <c r="AI297" s="217"/>
      <c r="AJ297" s="225">
        <v>45108</v>
      </c>
      <c r="AK297" s="221">
        <v>496.27600000000007</v>
      </c>
      <c r="AL297" s="244">
        <v>45212</v>
      </c>
      <c r="AM297" s="217" t="s">
        <v>4584</v>
      </c>
      <c r="AN297" s="227">
        <v>45471</v>
      </c>
      <c r="AO297" s="222">
        <v>744.41</v>
      </c>
      <c r="AP297" s="227"/>
      <c r="AQ297" s="358">
        <f ca="1">IF(表格1[[#This Row],[PO$]]="","100%",表格1[[#This Row],[total amount]]/表格1[[#This Row],[PO$]])</f>
        <v>0.99999677598755543</v>
      </c>
      <c r="AR297" s="223">
        <f ca="1">表格1[[#This Row],[invoice amount]]+表格1[[#This Row],[invoice amount2]]</f>
        <v>1240.6860000000001</v>
      </c>
      <c r="AS297" s="224" t="s">
        <v>4235</v>
      </c>
      <c r="AT297" s="208"/>
      <c r="AU297" s="208" t="e">
        <f ca="1">VLOOKUP(表格1[[#This Row],[PO+ITEM]],#REF!,2,FALSE)</f>
        <v>#REF!</v>
      </c>
      <c r="AV297" s="341" t="e">
        <f ca="1">VLOOKUP(表格1[[#This Row],[PO+ITEM]],#REF!,3,FALSE)</f>
        <v>#REF!</v>
      </c>
      <c r="AW297" s="208" t="e">
        <f ca="1">VLOOKUP(表格1[[#This Row],[PO+ITEM]],#REF!,4,FALSE)</f>
        <v>#REF!</v>
      </c>
      <c r="AX297" s="208" t="e" cm="1" vm="1">
        <f t="array" aca="1" ref="AX297" ca="1">VLOOKUP(AI:AI,#REF!,1,FALSE)</f>
        <v>#VALUE!</v>
      </c>
    </row>
    <row r="298" spans="1:50" ht="15.6">
      <c r="A298" s="220">
        <v>297</v>
      </c>
      <c r="B298" s="220" t="s">
        <v>3659</v>
      </c>
      <c r="C298" s="209" t="s">
        <v>16</v>
      </c>
      <c r="D298" s="209" t="s">
        <v>3648</v>
      </c>
      <c r="E298" s="209"/>
      <c r="F298" s="209"/>
      <c r="G298" s="209"/>
      <c r="H298" s="217" t="s">
        <v>4585</v>
      </c>
      <c r="I298" s="217"/>
      <c r="J298" s="215"/>
      <c r="K298" s="217"/>
      <c r="L298" s="212" t="s">
        <v>4517</v>
      </c>
      <c r="M298" s="212" t="s">
        <v>2999</v>
      </c>
      <c r="N298" s="213"/>
      <c r="O298" s="263">
        <v>4590004413</v>
      </c>
      <c r="P298" s="214">
        <v>44802</v>
      </c>
      <c r="Q298" s="334">
        <v>13</v>
      </c>
      <c r="R298" s="216">
        <v>1240.69</v>
      </c>
      <c r="S298" s="217" t="s">
        <v>2156</v>
      </c>
      <c r="T298" s="209" t="s">
        <v>3661</v>
      </c>
      <c r="U298" s="209" t="s">
        <v>3662</v>
      </c>
      <c r="V298" s="213" t="s">
        <v>3663</v>
      </c>
      <c r="W298" s="218" t="s">
        <v>3652</v>
      </c>
      <c r="X298" s="218" t="s">
        <v>3652</v>
      </c>
      <c r="Y298" s="212" t="s">
        <v>4563</v>
      </c>
      <c r="Z298" s="209" t="s">
        <v>3664</v>
      </c>
      <c r="AA298" s="219"/>
      <c r="AB298" s="218"/>
      <c r="AC298" s="217" t="e">
        <v>#N/A</v>
      </c>
      <c r="AD298" s="217">
        <v>90640</v>
      </c>
      <c r="AE298" s="217" t="s">
        <v>3301</v>
      </c>
      <c r="AF298" s="217" t="s">
        <v>3828</v>
      </c>
      <c r="AG298" s="217" t="s">
        <v>4560</v>
      </c>
      <c r="AH298" s="220" t="str">
        <f t="shared" si="19"/>
        <v>4590004413_013</v>
      </c>
      <c r="AI298" s="208"/>
      <c r="AJ298" s="225">
        <v>45108</v>
      </c>
      <c r="AK298" s="221">
        <v>496.27600000000007</v>
      </c>
      <c r="AL298" s="244">
        <v>45212</v>
      </c>
      <c r="AM298" s="208"/>
      <c r="AN298" s="220"/>
      <c r="AO298" s="222"/>
      <c r="AP298" s="227"/>
      <c r="AQ298" s="358">
        <f ca="1">IF(表格1[[#This Row],[PO$]]="","100%",表格1[[#This Row],[total amount]]/表格1[[#This Row],[PO$]])</f>
        <v>0.4</v>
      </c>
      <c r="AR298" s="223">
        <f ca="1">表格1[[#This Row],[invoice amount]]+表格1[[#This Row],[invoice amount2]]</f>
        <v>496.27600000000007</v>
      </c>
      <c r="AS298" s="224" t="s">
        <v>3673</v>
      </c>
      <c r="AT298" s="208"/>
      <c r="AU298" s="208" t="e">
        <f ca="1">VLOOKUP(表格1[[#This Row],[PO+ITEM]],#REF!,2,FALSE)</f>
        <v>#REF!</v>
      </c>
      <c r="AV298" s="341" t="e">
        <f ca="1">VLOOKUP(表格1[[#This Row],[PO+ITEM]],#REF!,3,FALSE)</f>
        <v>#REF!</v>
      </c>
      <c r="AW298" s="208" t="e">
        <f ca="1">VLOOKUP(表格1[[#This Row],[PO+ITEM]],#REF!,4,FALSE)</f>
        <v>#REF!</v>
      </c>
      <c r="AX298" s="208" t="e" cm="1" vm="1">
        <f t="array" aca="1" ref="AX298" ca="1">VLOOKUP(AI:AI,#REF!,1,FALSE)</f>
        <v>#VALUE!</v>
      </c>
    </row>
    <row r="299" spans="1:50" ht="15.6">
      <c r="A299" s="220">
        <v>298</v>
      </c>
      <c r="B299" s="220" t="s">
        <v>3674</v>
      </c>
      <c r="C299" s="209" t="s">
        <v>16</v>
      </c>
      <c r="D299" s="209" t="s">
        <v>3648</v>
      </c>
      <c r="E299" s="209"/>
      <c r="F299" s="209"/>
      <c r="G299" s="209"/>
      <c r="H299" s="217" t="s">
        <v>4586</v>
      </c>
      <c r="I299" s="217"/>
      <c r="J299" s="215"/>
      <c r="K299" s="217"/>
      <c r="L299" s="212" t="s">
        <v>4517</v>
      </c>
      <c r="M299" s="212" t="s">
        <v>2999</v>
      </c>
      <c r="N299" s="213"/>
      <c r="O299" s="263">
        <v>4590004413</v>
      </c>
      <c r="P299" s="214">
        <v>44802</v>
      </c>
      <c r="Q299" s="334">
        <v>14</v>
      </c>
      <c r="R299" s="349">
        <v>1240.69</v>
      </c>
      <c r="S299" s="217" t="s">
        <v>2156</v>
      </c>
      <c r="T299" s="209" t="s">
        <v>3661</v>
      </c>
      <c r="U299" s="209" t="s">
        <v>3662</v>
      </c>
      <c r="V299" s="213" t="s">
        <v>3663</v>
      </c>
      <c r="W299" s="218" t="s">
        <v>3652</v>
      </c>
      <c r="X299" s="218" t="s">
        <v>3652</v>
      </c>
      <c r="Y299" s="212" t="s">
        <v>4563</v>
      </c>
      <c r="Z299" s="209" t="s">
        <v>3664</v>
      </c>
      <c r="AA299" s="219"/>
      <c r="AB299" s="218"/>
      <c r="AC299" s="217" t="e">
        <v>#N/A</v>
      </c>
      <c r="AD299" s="217">
        <v>90642</v>
      </c>
      <c r="AE299" s="217" t="s">
        <v>3488</v>
      </c>
      <c r="AF299" s="217" t="s">
        <v>3828</v>
      </c>
      <c r="AG299" s="217" t="s">
        <v>4560</v>
      </c>
      <c r="AH299" s="220" t="str">
        <f t="shared" si="19"/>
        <v>4590004413_014</v>
      </c>
      <c r="AI299" s="217"/>
      <c r="AJ299" s="225">
        <v>45108</v>
      </c>
      <c r="AK299" s="221">
        <v>496.27600000000007</v>
      </c>
      <c r="AL299" s="244">
        <v>45212</v>
      </c>
      <c r="AM299" s="217" t="s">
        <v>4587</v>
      </c>
      <c r="AN299" s="227">
        <v>45471</v>
      </c>
      <c r="AO299" s="222">
        <v>744.41</v>
      </c>
      <c r="AP299" s="227"/>
      <c r="AQ299" s="358">
        <f ca="1">IF(表格1[[#This Row],[PO$]]="","100%",表格1[[#This Row],[total amount]]/表格1[[#This Row],[PO$]])</f>
        <v>0.99999677598755543</v>
      </c>
      <c r="AR299" s="223">
        <f ca="1">表格1[[#This Row],[invoice amount]]+表格1[[#This Row],[invoice amount2]]</f>
        <v>1240.6860000000001</v>
      </c>
      <c r="AS299" s="224" t="s">
        <v>4235</v>
      </c>
      <c r="AT299" s="208"/>
      <c r="AU299" s="208" t="e">
        <f ca="1">VLOOKUP(表格1[[#This Row],[PO+ITEM]],#REF!,2,FALSE)</f>
        <v>#REF!</v>
      </c>
      <c r="AV299" s="341" t="e">
        <f ca="1">VLOOKUP(表格1[[#This Row],[PO+ITEM]],#REF!,3,FALSE)</f>
        <v>#REF!</v>
      </c>
      <c r="AW299" s="208" t="e">
        <f ca="1">VLOOKUP(表格1[[#This Row],[PO+ITEM]],#REF!,4,FALSE)</f>
        <v>#REF!</v>
      </c>
      <c r="AX299" s="208" t="e" cm="1" vm="1">
        <f t="array" aca="1" ref="AX299" ca="1">VLOOKUP(AI:AI,#REF!,1,FALSE)</f>
        <v>#VALUE!</v>
      </c>
    </row>
    <row r="300" spans="1:50" ht="15.6">
      <c r="A300" s="220">
        <v>299</v>
      </c>
      <c r="B300" s="220" t="s">
        <v>3674</v>
      </c>
      <c r="C300" s="209" t="s">
        <v>16</v>
      </c>
      <c r="D300" s="209" t="s">
        <v>3648</v>
      </c>
      <c r="E300" s="209"/>
      <c r="F300" s="209"/>
      <c r="G300" s="209"/>
      <c r="H300" s="217" t="s">
        <v>4588</v>
      </c>
      <c r="I300" s="217"/>
      <c r="J300" s="215"/>
      <c r="K300" s="217"/>
      <c r="L300" s="212" t="s">
        <v>4517</v>
      </c>
      <c r="M300" s="212" t="s">
        <v>2999</v>
      </c>
      <c r="N300" s="213"/>
      <c r="O300" s="263">
        <v>4590004413</v>
      </c>
      <c r="P300" s="214">
        <v>44802</v>
      </c>
      <c r="Q300" s="334">
        <v>15</v>
      </c>
      <c r="R300" s="216">
        <v>1240.69</v>
      </c>
      <c r="S300" s="217" t="s">
        <v>2156</v>
      </c>
      <c r="T300" s="209" t="s">
        <v>3661</v>
      </c>
      <c r="U300" s="209" t="s">
        <v>3662</v>
      </c>
      <c r="V300" s="213" t="s">
        <v>3663</v>
      </c>
      <c r="W300" s="218" t="s">
        <v>3652</v>
      </c>
      <c r="X300" s="218" t="s">
        <v>3652</v>
      </c>
      <c r="Y300" s="212" t="s">
        <v>4563</v>
      </c>
      <c r="Z300" s="209" t="s">
        <v>3664</v>
      </c>
      <c r="AA300" s="219"/>
      <c r="AB300" s="218"/>
      <c r="AC300" s="217" t="e">
        <v>#N/A</v>
      </c>
      <c r="AD300" s="217">
        <v>90644</v>
      </c>
      <c r="AE300" s="217" t="s">
        <v>3158</v>
      </c>
      <c r="AF300" s="217" t="s">
        <v>3828</v>
      </c>
      <c r="AG300" s="217" t="s">
        <v>4560</v>
      </c>
      <c r="AH300" s="220" t="str">
        <f t="shared" si="19"/>
        <v>4590004413_015</v>
      </c>
      <c r="AI300" s="208"/>
      <c r="AJ300" s="225">
        <v>45108</v>
      </c>
      <c r="AK300" s="221">
        <v>496.27600000000007</v>
      </c>
      <c r="AL300" s="244">
        <v>45212</v>
      </c>
      <c r="AM300" s="208" t="s">
        <v>4589</v>
      </c>
      <c r="AN300" s="227">
        <v>45506</v>
      </c>
      <c r="AO300" s="222">
        <v>744.41</v>
      </c>
      <c r="AP300" s="227"/>
      <c r="AQ300" s="358">
        <f ca="1">IF(表格1[[#This Row],[PO$]]="","100%",表格1[[#This Row],[total amount]]/表格1[[#This Row],[PO$]])</f>
        <v>0.99999677598755543</v>
      </c>
      <c r="AR300" s="223">
        <f ca="1">表格1[[#This Row],[invoice amount]]+表格1[[#This Row],[invoice amount2]]</f>
        <v>1240.6860000000001</v>
      </c>
      <c r="AS300" s="224" t="s">
        <v>4235</v>
      </c>
      <c r="AT300" s="208"/>
      <c r="AU300" s="220" t="e">
        <f ca="1">VLOOKUP(表格1[[#This Row],[PO+ITEM]],#REF!,2,FALSE)</f>
        <v>#REF!</v>
      </c>
      <c r="AV300" s="341" t="e">
        <f ca="1">VLOOKUP(表格1[[#This Row],[PO+ITEM]],#REF!,3,FALSE)</f>
        <v>#REF!</v>
      </c>
      <c r="AW300" s="208" t="e">
        <f ca="1">VLOOKUP(表格1[[#This Row],[PO+ITEM]],#REF!,4,FALSE)</f>
        <v>#REF!</v>
      </c>
      <c r="AX300" s="208" t="e" cm="1" vm="1">
        <f t="array" aca="1" ref="AX300" ca="1">VLOOKUP(AI:AI,#REF!,1,FALSE)</f>
        <v>#VALUE!</v>
      </c>
    </row>
    <row r="301" spans="1:50" ht="15.6">
      <c r="A301" s="220">
        <v>300</v>
      </c>
      <c r="B301" s="220" t="s">
        <v>3674</v>
      </c>
      <c r="C301" s="209" t="s">
        <v>16</v>
      </c>
      <c r="D301" s="209" t="s">
        <v>3648</v>
      </c>
      <c r="E301" s="209"/>
      <c r="F301" s="209"/>
      <c r="G301" s="209"/>
      <c r="H301" s="210" t="s">
        <v>4590</v>
      </c>
      <c r="I301" s="210"/>
      <c r="J301" s="211"/>
      <c r="K301" s="210"/>
      <c r="L301" s="212" t="s">
        <v>4517</v>
      </c>
      <c r="M301" s="212" t="s">
        <v>2999</v>
      </c>
      <c r="N301" s="213"/>
      <c r="O301" s="263">
        <v>4590004413</v>
      </c>
      <c r="P301" s="214">
        <v>44802</v>
      </c>
      <c r="Q301" s="334">
        <v>16</v>
      </c>
      <c r="R301" s="349">
        <v>1240.69</v>
      </c>
      <c r="S301" s="217" t="s">
        <v>2156</v>
      </c>
      <c r="T301" s="209" t="s">
        <v>3661</v>
      </c>
      <c r="U301" s="209" t="s">
        <v>3662</v>
      </c>
      <c r="V301" s="213" t="s">
        <v>3663</v>
      </c>
      <c r="W301" s="218" t="s">
        <v>3652</v>
      </c>
      <c r="X301" s="218" t="s">
        <v>3652</v>
      </c>
      <c r="Y301" s="212" t="s">
        <v>4563</v>
      </c>
      <c r="Z301" s="209" t="s">
        <v>3664</v>
      </c>
      <c r="AA301" s="219"/>
      <c r="AB301" s="218"/>
      <c r="AC301" s="217" t="e">
        <v>#N/A</v>
      </c>
      <c r="AD301" s="217">
        <v>90641</v>
      </c>
      <c r="AE301" s="217" t="s">
        <v>3484</v>
      </c>
      <c r="AF301" s="217" t="s">
        <v>3828</v>
      </c>
      <c r="AG301" s="217" t="s">
        <v>4560</v>
      </c>
      <c r="AH301" s="220" t="str">
        <f t="shared" si="19"/>
        <v>4590004413_016</v>
      </c>
      <c r="AI301" s="217"/>
      <c r="AJ301" s="225">
        <v>45108</v>
      </c>
      <c r="AK301" s="221">
        <v>496.27600000000007</v>
      </c>
      <c r="AL301" s="244">
        <v>45212</v>
      </c>
      <c r="AM301" s="217" t="s">
        <v>4591</v>
      </c>
      <c r="AN301" s="227">
        <v>45471</v>
      </c>
      <c r="AO301" s="222">
        <v>744.41</v>
      </c>
      <c r="AP301" s="227"/>
      <c r="AQ301" s="358">
        <f ca="1">IF(表格1[[#This Row],[PO$]]="","100%",表格1[[#This Row],[total amount]]/表格1[[#This Row],[PO$]])</f>
        <v>0.99999677598755543</v>
      </c>
      <c r="AR301" s="223">
        <f ca="1">表格1[[#This Row],[invoice amount]]+表格1[[#This Row],[invoice amount2]]</f>
        <v>1240.6860000000001</v>
      </c>
      <c r="AS301" s="224" t="s">
        <v>4235</v>
      </c>
      <c r="AT301" s="208"/>
      <c r="AU301" s="208" t="e">
        <f ca="1">VLOOKUP(表格1[[#This Row],[PO+ITEM]],#REF!,2,FALSE)</f>
        <v>#REF!</v>
      </c>
      <c r="AV301" s="341" t="e">
        <f ca="1">VLOOKUP(表格1[[#This Row],[PO+ITEM]],#REF!,3,FALSE)</f>
        <v>#REF!</v>
      </c>
      <c r="AW301" s="208" t="e">
        <f ca="1">VLOOKUP(表格1[[#This Row],[PO+ITEM]],#REF!,4,FALSE)</f>
        <v>#REF!</v>
      </c>
      <c r="AX301" s="208" t="e" cm="1" vm="1">
        <f t="array" aca="1" ref="AX301" ca="1">VLOOKUP(AI:AI,#REF!,1,FALSE)</f>
        <v>#VALUE!</v>
      </c>
    </row>
    <row r="302" spans="1:50" ht="15.6">
      <c r="A302" s="220">
        <v>301</v>
      </c>
      <c r="B302" s="220" t="s">
        <v>3674</v>
      </c>
      <c r="C302" s="209" t="s">
        <v>16</v>
      </c>
      <c r="D302" s="209" t="s">
        <v>3648</v>
      </c>
      <c r="E302" s="209"/>
      <c r="F302" s="209"/>
      <c r="G302" s="209"/>
      <c r="H302" s="210" t="s">
        <v>4592</v>
      </c>
      <c r="I302" s="210"/>
      <c r="J302" s="211"/>
      <c r="K302" s="210"/>
      <c r="L302" s="212" t="s">
        <v>2206</v>
      </c>
      <c r="M302" s="212" t="s">
        <v>2999</v>
      </c>
      <c r="N302" s="213"/>
      <c r="O302" s="263">
        <v>4590004413</v>
      </c>
      <c r="P302" s="214">
        <v>44802</v>
      </c>
      <c r="Q302" s="334">
        <v>17</v>
      </c>
      <c r="R302" s="216">
        <v>834.4</v>
      </c>
      <c r="S302" s="217" t="s">
        <v>2156</v>
      </c>
      <c r="T302" s="209" t="s">
        <v>3661</v>
      </c>
      <c r="U302" s="209" t="s">
        <v>3662</v>
      </c>
      <c r="V302" s="213" t="s">
        <v>3663</v>
      </c>
      <c r="W302" s="218" t="s">
        <v>3652</v>
      </c>
      <c r="X302" s="218" t="s">
        <v>3652</v>
      </c>
      <c r="Y302" s="212" t="s">
        <v>4563</v>
      </c>
      <c r="Z302" s="209" t="s">
        <v>3664</v>
      </c>
      <c r="AA302" s="219"/>
      <c r="AB302" s="218"/>
      <c r="AC302" s="217" t="e">
        <v>#N/A</v>
      </c>
      <c r="AD302" s="217">
        <v>90396</v>
      </c>
      <c r="AE302" s="217" t="s">
        <v>2596</v>
      </c>
      <c r="AF302" s="217" t="s">
        <v>3828</v>
      </c>
      <c r="AG302" s="217" t="s">
        <v>846</v>
      </c>
      <c r="AH302" s="220" t="str">
        <f t="shared" si="19"/>
        <v>4590004413_017</v>
      </c>
      <c r="AI302" s="208"/>
      <c r="AJ302" s="225">
        <v>45108</v>
      </c>
      <c r="AK302" s="221">
        <v>333.76</v>
      </c>
      <c r="AL302" s="244">
        <v>45212</v>
      </c>
      <c r="AM302" s="208"/>
      <c r="AN302" s="220"/>
      <c r="AO302" s="222"/>
      <c r="AP302" s="227"/>
      <c r="AQ302" s="358">
        <f ca="1">IF(表格1[[#This Row],[PO$]]="","100%",表格1[[#This Row],[total amount]]/表格1[[#This Row],[PO$]])</f>
        <v>0.4</v>
      </c>
      <c r="AR302" s="223">
        <f ca="1">表格1[[#This Row],[invoice amount]]+表格1[[#This Row],[invoice amount2]]</f>
        <v>333.76</v>
      </c>
      <c r="AS302" s="224" t="s">
        <v>3673</v>
      </c>
      <c r="AT302" s="208"/>
      <c r="AU302" s="208" t="e">
        <f ca="1">VLOOKUP(表格1[[#This Row],[PO+ITEM]],#REF!,2,FALSE)</f>
        <v>#REF!</v>
      </c>
      <c r="AV302" s="341" t="e">
        <f ca="1">VLOOKUP(表格1[[#This Row],[PO+ITEM]],#REF!,3,FALSE)</f>
        <v>#REF!</v>
      </c>
      <c r="AW302" s="208" t="e">
        <f ca="1">VLOOKUP(表格1[[#This Row],[PO+ITEM]],#REF!,4,FALSE)</f>
        <v>#REF!</v>
      </c>
      <c r="AX302" s="208" t="e" cm="1" vm="1">
        <f t="array" aca="1" ref="AX302" ca="1">VLOOKUP(AI:AI,#REF!,1,FALSE)</f>
        <v>#VALUE!</v>
      </c>
    </row>
    <row r="303" spans="1:50" ht="15.6">
      <c r="A303" s="220">
        <v>302</v>
      </c>
      <c r="B303" s="220" t="s">
        <v>3674</v>
      </c>
      <c r="C303" s="209" t="s">
        <v>16</v>
      </c>
      <c r="D303" s="209" t="s">
        <v>3648</v>
      </c>
      <c r="E303" s="209"/>
      <c r="F303" s="209"/>
      <c r="G303" s="209"/>
      <c r="H303" s="210" t="s">
        <v>4594</v>
      </c>
      <c r="I303" s="210"/>
      <c r="J303" s="211"/>
      <c r="K303" s="210"/>
      <c r="L303" s="212" t="s">
        <v>2206</v>
      </c>
      <c r="M303" s="212" t="s">
        <v>2999</v>
      </c>
      <c r="N303" s="213"/>
      <c r="O303" s="263">
        <v>4590004413</v>
      </c>
      <c r="P303" s="214">
        <v>44802</v>
      </c>
      <c r="Q303" s="334">
        <v>18</v>
      </c>
      <c r="R303" s="216">
        <v>1240.69</v>
      </c>
      <c r="S303" s="217" t="s">
        <v>2156</v>
      </c>
      <c r="T303" s="209" t="s">
        <v>3661</v>
      </c>
      <c r="U303" s="209" t="s">
        <v>3662</v>
      </c>
      <c r="V303" s="213" t="s">
        <v>3663</v>
      </c>
      <c r="W303" s="218" t="s">
        <v>3652</v>
      </c>
      <c r="X303" s="218" t="s">
        <v>3652</v>
      </c>
      <c r="Y303" s="212" t="s">
        <v>4563</v>
      </c>
      <c r="Z303" s="209" t="s">
        <v>3664</v>
      </c>
      <c r="AA303" s="219"/>
      <c r="AB303" s="218"/>
      <c r="AC303" s="217" t="e">
        <v>#N/A</v>
      </c>
      <c r="AD303" s="217">
        <v>90437</v>
      </c>
      <c r="AE303" s="217" t="s">
        <v>4595</v>
      </c>
      <c r="AF303" s="217" t="s">
        <v>3828</v>
      </c>
      <c r="AG303" s="217" t="s">
        <v>846</v>
      </c>
      <c r="AH303" s="220" t="str">
        <f t="shared" si="19"/>
        <v>4590004413_018</v>
      </c>
      <c r="AI303" s="208"/>
      <c r="AJ303" s="225">
        <v>45108</v>
      </c>
      <c r="AK303" s="221">
        <v>496.27600000000007</v>
      </c>
      <c r="AL303" s="244">
        <v>45212</v>
      </c>
      <c r="AM303" s="208"/>
      <c r="AN303" s="220"/>
      <c r="AO303" s="222"/>
      <c r="AP303" s="227"/>
      <c r="AQ303" s="358">
        <f ca="1">IF(表格1[[#This Row],[PO$]]="","100%",表格1[[#This Row],[total amount]]/表格1[[#This Row],[PO$]])</f>
        <v>0.4</v>
      </c>
      <c r="AR303" s="223">
        <f ca="1">表格1[[#This Row],[invoice amount]]+表格1[[#This Row],[invoice amount2]]</f>
        <v>496.27600000000007</v>
      </c>
      <c r="AS303" s="224" t="s">
        <v>3673</v>
      </c>
      <c r="AT303" s="208"/>
      <c r="AU303" s="208" t="e">
        <f ca="1">VLOOKUP(表格1[[#This Row],[PO+ITEM]],#REF!,2,FALSE)</f>
        <v>#REF!</v>
      </c>
      <c r="AV303" s="341" t="e">
        <f ca="1">VLOOKUP(表格1[[#This Row],[PO+ITEM]],#REF!,3,FALSE)</f>
        <v>#REF!</v>
      </c>
      <c r="AW303" s="208" t="e">
        <f ca="1">VLOOKUP(表格1[[#This Row],[PO+ITEM]],#REF!,4,FALSE)</f>
        <v>#REF!</v>
      </c>
      <c r="AX303" s="208" t="e" cm="1" vm="1">
        <f t="array" aca="1" ref="AX303" ca="1">VLOOKUP(AI:AI,#REF!,1,FALSE)</f>
        <v>#VALUE!</v>
      </c>
    </row>
    <row r="304" spans="1:50" ht="15.6">
      <c r="A304" s="220">
        <v>303</v>
      </c>
      <c r="B304" s="220" t="s">
        <v>3674</v>
      </c>
      <c r="C304" s="209" t="s">
        <v>16</v>
      </c>
      <c r="D304" s="209" t="s">
        <v>3648</v>
      </c>
      <c r="E304" s="209"/>
      <c r="F304" s="209"/>
      <c r="G304" s="209"/>
      <c r="H304" s="210" t="s">
        <v>4596</v>
      </c>
      <c r="I304" s="210"/>
      <c r="J304" s="211"/>
      <c r="K304" s="210"/>
      <c r="L304" s="212" t="s">
        <v>2206</v>
      </c>
      <c r="M304" s="212" t="s">
        <v>2999</v>
      </c>
      <c r="N304" s="213"/>
      <c r="O304" s="263">
        <v>4590004413</v>
      </c>
      <c r="P304" s="214">
        <v>44802</v>
      </c>
      <c r="Q304" s="334">
        <v>19</v>
      </c>
      <c r="R304" s="216">
        <v>834.4</v>
      </c>
      <c r="S304" s="217" t="s">
        <v>2156</v>
      </c>
      <c r="T304" s="209" t="s">
        <v>3661</v>
      </c>
      <c r="U304" s="209" t="s">
        <v>3662</v>
      </c>
      <c r="V304" s="213" t="s">
        <v>3663</v>
      </c>
      <c r="W304" s="218" t="s">
        <v>3652</v>
      </c>
      <c r="X304" s="218" t="s">
        <v>3652</v>
      </c>
      <c r="Y304" s="212" t="s">
        <v>4563</v>
      </c>
      <c r="Z304" s="209" t="s">
        <v>3664</v>
      </c>
      <c r="AA304" s="219"/>
      <c r="AB304" s="218"/>
      <c r="AC304" s="217" t="e">
        <v>#N/A</v>
      </c>
      <c r="AD304" s="217">
        <v>90395</v>
      </c>
      <c r="AE304" s="217" t="s">
        <v>2576</v>
      </c>
      <c r="AF304" s="217" t="s">
        <v>3828</v>
      </c>
      <c r="AG304" s="217" t="s">
        <v>846</v>
      </c>
      <c r="AH304" s="220" t="str">
        <f t="shared" si="19"/>
        <v>4590004413_019</v>
      </c>
      <c r="AI304" s="208"/>
      <c r="AJ304" s="225">
        <v>45108</v>
      </c>
      <c r="AK304" s="221">
        <v>333.76</v>
      </c>
      <c r="AL304" s="244">
        <v>45212</v>
      </c>
      <c r="AM304" s="208"/>
      <c r="AN304" s="220"/>
      <c r="AO304" s="222"/>
      <c r="AP304" s="227"/>
      <c r="AQ304" s="358">
        <f ca="1">IF(表格1[[#This Row],[PO$]]="","100%",表格1[[#This Row],[total amount]]/表格1[[#This Row],[PO$]])</f>
        <v>0.4</v>
      </c>
      <c r="AR304" s="223">
        <f ca="1">表格1[[#This Row],[invoice amount]]+表格1[[#This Row],[invoice amount2]]</f>
        <v>333.76</v>
      </c>
      <c r="AS304" s="224" t="s">
        <v>3673</v>
      </c>
      <c r="AT304" s="208"/>
      <c r="AU304" s="208" t="e">
        <f ca="1">VLOOKUP(表格1[[#This Row],[PO+ITEM]],#REF!,2,FALSE)</f>
        <v>#REF!</v>
      </c>
      <c r="AV304" s="341" t="e">
        <f ca="1">VLOOKUP(表格1[[#This Row],[PO+ITEM]],#REF!,3,FALSE)</f>
        <v>#REF!</v>
      </c>
      <c r="AW304" s="208" t="e">
        <f ca="1">VLOOKUP(表格1[[#This Row],[PO+ITEM]],#REF!,4,FALSE)</f>
        <v>#REF!</v>
      </c>
      <c r="AX304" s="208" t="e" cm="1" vm="1">
        <f t="array" aca="1" ref="AX304" ca="1">VLOOKUP(AI:AI,#REF!,1,FALSE)</f>
        <v>#VALUE!</v>
      </c>
    </row>
    <row r="305" spans="1:50" ht="15.6">
      <c r="A305" s="220">
        <v>304</v>
      </c>
      <c r="B305" s="220" t="s">
        <v>3674</v>
      </c>
      <c r="C305" s="209" t="s">
        <v>16</v>
      </c>
      <c r="D305" s="209" t="s">
        <v>3648</v>
      </c>
      <c r="E305" s="209"/>
      <c r="F305" s="209"/>
      <c r="G305" s="209"/>
      <c r="H305" s="217" t="s">
        <v>4597</v>
      </c>
      <c r="I305" s="217"/>
      <c r="J305" s="215"/>
      <c r="K305" s="217"/>
      <c r="L305" s="212" t="s">
        <v>2999</v>
      </c>
      <c r="M305" s="212" t="s">
        <v>2999</v>
      </c>
      <c r="N305" s="213"/>
      <c r="O305" s="263">
        <v>4590004413</v>
      </c>
      <c r="P305" s="214">
        <v>44802</v>
      </c>
      <c r="Q305" s="334">
        <v>20</v>
      </c>
      <c r="R305" s="216">
        <v>1240.69</v>
      </c>
      <c r="S305" s="217" t="s">
        <v>2156</v>
      </c>
      <c r="T305" s="209" t="s">
        <v>3661</v>
      </c>
      <c r="U305" s="209" t="s">
        <v>3662</v>
      </c>
      <c r="V305" s="213" t="s">
        <v>3663</v>
      </c>
      <c r="W305" s="218" t="s">
        <v>3652</v>
      </c>
      <c r="X305" s="218" t="s">
        <v>3652</v>
      </c>
      <c r="Y305" s="212" t="s">
        <v>4563</v>
      </c>
      <c r="Z305" s="209" t="s">
        <v>3664</v>
      </c>
      <c r="AA305" s="219"/>
      <c r="AB305" s="218"/>
      <c r="AC305" s="217" t="e">
        <v>#N/A</v>
      </c>
      <c r="AD305" s="217">
        <v>90039</v>
      </c>
      <c r="AE305" s="217" t="s">
        <v>4598</v>
      </c>
      <c r="AF305" s="217" t="s">
        <v>3828</v>
      </c>
      <c r="AG305" s="217" t="s">
        <v>4599</v>
      </c>
      <c r="AH305" s="220" t="str">
        <f t="shared" si="19"/>
        <v>4590004413_020</v>
      </c>
      <c r="AI305" s="208"/>
      <c r="AJ305" s="225">
        <v>45108</v>
      </c>
      <c r="AK305" s="221">
        <v>496.27600000000007</v>
      </c>
      <c r="AL305" s="244">
        <v>45212</v>
      </c>
      <c r="AM305" s="208" t="s">
        <v>4600</v>
      </c>
      <c r="AN305" s="363">
        <v>45498</v>
      </c>
      <c r="AO305" s="298">
        <v>744.41</v>
      </c>
      <c r="AP305" s="227"/>
      <c r="AQ305" s="358">
        <f ca="1">IF(表格1[[#This Row],[PO$]]="","100%",表格1[[#This Row],[total amount]]/表格1[[#This Row],[PO$]])</f>
        <v>0.99999677598755543</v>
      </c>
      <c r="AR305" s="223">
        <f ca="1">表格1[[#This Row],[invoice amount]]+表格1[[#This Row],[invoice amount2]]</f>
        <v>1240.6860000000001</v>
      </c>
      <c r="AS305" s="224" t="s">
        <v>4235</v>
      </c>
      <c r="AT305" s="208"/>
      <c r="AU305" s="208" t="e">
        <f ca="1">VLOOKUP(表格1[[#This Row],[PO+ITEM]],#REF!,2,FALSE)</f>
        <v>#REF!</v>
      </c>
      <c r="AV305" s="341" t="e">
        <f ca="1">VLOOKUP(表格1[[#This Row],[PO+ITEM]],#REF!,3,FALSE)</f>
        <v>#REF!</v>
      </c>
      <c r="AW305" s="208" t="e">
        <f ca="1">VLOOKUP(表格1[[#This Row],[PO+ITEM]],#REF!,4,FALSE)</f>
        <v>#REF!</v>
      </c>
      <c r="AX305" s="208" t="e" cm="1" vm="1">
        <f t="array" aca="1" ref="AX305" ca="1">VLOOKUP(AI:AI,#REF!,1,FALSE)</f>
        <v>#VALUE!</v>
      </c>
    </row>
    <row r="306" spans="1:50" ht="15.6">
      <c r="A306" s="220">
        <v>305</v>
      </c>
      <c r="B306" s="220" t="s">
        <v>3674</v>
      </c>
      <c r="C306" s="209" t="s">
        <v>16</v>
      </c>
      <c r="D306" s="209" t="s">
        <v>3648</v>
      </c>
      <c r="E306" s="209"/>
      <c r="F306" s="209"/>
      <c r="G306" s="209"/>
      <c r="H306" s="217" t="s">
        <v>4601</v>
      </c>
      <c r="I306" s="217"/>
      <c r="J306" s="215"/>
      <c r="K306" s="217"/>
      <c r="L306" s="212" t="s">
        <v>2999</v>
      </c>
      <c r="M306" s="212" t="s">
        <v>2999</v>
      </c>
      <c r="N306" s="213"/>
      <c r="O306" s="263">
        <v>4590004413</v>
      </c>
      <c r="P306" s="214">
        <v>44802</v>
      </c>
      <c r="Q306" s="334">
        <v>21</v>
      </c>
      <c r="R306" s="216">
        <v>1240.69</v>
      </c>
      <c r="S306" s="217" t="s">
        <v>2156</v>
      </c>
      <c r="T306" s="209" t="s">
        <v>3661</v>
      </c>
      <c r="U306" s="209" t="s">
        <v>3662</v>
      </c>
      <c r="V306" s="213" t="s">
        <v>3663</v>
      </c>
      <c r="W306" s="218" t="s">
        <v>3652</v>
      </c>
      <c r="X306" s="218" t="s">
        <v>3652</v>
      </c>
      <c r="Y306" s="212" t="s">
        <v>4563</v>
      </c>
      <c r="Z306" s="209" t="s">
        <v>3664</v>
      </c>
      <c r="AA306" s="219"/>
      <c r="AB306" s="218"/>
      <c r="AC306" s="217" t="e">
        <v>#N/A</v>
      </c>
      <c r="AD306" s="217">
        <v>90040</v>
      </c>
      <c r="AE306" s="217" t="s">
        <v>4602</v>
      </c>
      <c r="AF306" s="217" t="s">
        <v>3828</v>
      </c>
      <c r="AG306" s="217" t="s">
        <v>4599</v>
      </c>
      <c r="AH306" s="220" t="str">
        <f t="shared" si="19"/>
        <v>4590004413_021</v>
      </c>
      <c r="AI306" s="208"/>
      <c r="AJ306" s="225">
        <v>45108</v>
      </c>
      <c r="AK306" s="221">
        <v>496.27600000000007</v>
      </c>
      <c r="AL306" s="244">
        <v>45212</v>
      </c>
      <c r="AM306" s="208" t="s">
        <v>4603</v>
      </c>
      <c r="AN306" s="363">
        <v>45498</v>
      </c>
      <c r="AO306" s="298">
        <v>744.41</v>
      </c>
      <c r="AP306" s="227"/>
      <c r="AQ306" s="358">
        <f ca="1">IF(表格1[[#This Row],[PO$]]="","100%",表格1[[#This Row],[total amount]]/表格1[[#This Row],[PO$]])</f>
        <v>0.99999677598755543</v>
      </c>
      <c r="AR306" s="223">
        <f ca="1">表格1[[#This Row],[invoice amount]]+表格1[[#This Row],[invoice amount2]]</f>
        <v>1240.6860000000001</v>
      </c>
      <c r="AS306" s="224" t="s">
        <v>4235</v>
      </c>
      <c r="AT306" s="208"/>
      <c r="AU306" s="208" t="e">
        <f ca="1">VLOOKUP(表格1[[#This Row],[PO+ITEM]],#REF!,2,FALSE)</f>
        <v>#REF!</v>
      </c>
      <c r="AV306" s="341" t="e">
        <f ca="1">VLOOKUP(表格1[[#This Row],[PO+ITEM]],#REF!,3,FALSE)</f>
        <v>#REF!</v>
      </c>
      <c r="AW306" s="208" t="e">
        <f ca="1">VLOOKUP(表格1[[#This Row],[PO+ITEM]],#REF!,4,FALSE)</f>
        <v>#REF!</v>
      </c>
      <c r="AX306" s="208" t="e" cm="1" vm="1">
        <f t="array" aca="1" ref="AX306" ca="1">VLOOKUP(AI:AI,#REF!,1,FALSE)</f>
        <v>#VALUE!</v>
      </c>
    </row>
    <row r="307" spans="1:50" ht="15.6">
      <c r="A307" s="220">
        <v>306</v>
      </c>
      <c r="B307" s="220" t="s">
        <v>3674</v>
      </c>
      <c r="C307" s="209" t="s">
        <v>16</v>
      </c>
      <c r="D307" s="209" t="s">
        <v>3648</v>
      </c>
      <c r="E307" s="209"/>
      <c r="F307" s="209"/>
      <c r="G307" s="209"/>
      <c r="H307" s="210" t="s">
        <v>4604</v>
      </c>
      <c r="I307" s="210"/>
      <c r="J307" s="211"/>
      <c r="K307" s="210"/>
      <c r="L307" s="212" t="s">
        <v>2999</v>
      </c>
      <c r="M307" s="212" t="s">
        <v>2999</v>
      </c>
      <c r="N307" s="213"/>
      <c r="O307" s="263">
        <v>4590004413</v>
      </c>
      <c r="P307" s="214">
        <v>44802</v>
      </c>
      <c r="Q307" s="334">
        <v>22</v>
      </c>
      <c r="R307" s="216">
        <v>1240.69</v>
      </c>
      <c r="S307" s="217" t="s">
        <v>2156</v>
      </c>
      <c r="T307" s="209" t="s">
        <v>3661</v>
      </c>
      <c r="U307" s="209" t="s">
        <v>3662</v>
      </c>
      <c r="V307" s="213" t="s">
        <v>3663</v>
      </c>
      <c r="W307" s="218" t="s">
        <v>3652</v>
      </c>
      <c r="X307" s="218" t="s">
        <v>3652</v>
      </c>
      <c r="Y307" s="212" t="s">
        <v>4563</v>
      </c>
      <c r="Z307" s="209" t="s">
        <v>3664</v>
      </c>
      <c r="AA307" s="219"/>
      <c r="AB307" s="218"/>
      <c r="AC307" s="217" t="e">
        <v>#N/A</v>
      </c>
      <c r="AD307" s="217">
        <v>90041</v>
      </c>
      <c r="AE307" s="217" t="s">
        <v>4605</v>
      </c>
      <c r="AF307" s="217" t="s">
        <v>3828</v>
      </c>
      <c r="AG307" s="217" t="s">
        <v>4599</v>
      </c>
      <c r="AH307" s="220" t="str">
        <f t="shared" si="19"/>
        <v>4590004413_022</v>
      </c>
      <c r="AI307" s="208"/>
      <c r="AJ307" s="225">
        <v>45108</v>
      </c>
      <c r="AK307" s="221">
        <v>496.27600000000007</v>
      </c>
      <c r="AL307" s="244">
        <v>45212</v>
      </c>
      <c r="AM307" s="208" t="s">
        <v>4606</v>
      </c>
      <c r="AN307" s="363">
        <v>45498</v>
      </c>
      <c r="AO307" s="222">
        <v>744.41</v>
      </c>
      <c r="AP307" s="227"/>
      <c r="AQ307" s="358">
        <f ca="1">IF(表格1[[#This Row],[PO$]]="","100%",表格1[[#This Row],[total amount]]/表格1[[#This Row],[PO$]])</f>
        <v>0.99999677598755543</v>
      </c>
      <c r="AR307" s="223">
        <f ca="1">表格1[[#This Row],[invoice amount]]+表格1[[#This Row],[invoice amount2]]</f>
        <v>1240.6860000000001</v>
      </c>
      <c r="AS307" s="224" t="s">
        <v>4235</v>
      </c>
      <c r="AT307" s="208"/>
      <c r="AU307" s="208" t="e">
        <f ca="1">VLOOKUP(表格1[[#This Row],[PO+ITEM]],#REF!,2,FALSE)</f>
        <v>#REF!</v>
      </c>
      <c r="AV307" s="341" t="e">
        <f ca="1">VLOOKUP(表格1[[#This Row],[PO+ITEM]],#REF!,3,FALSE)</f>
        <v>#REF!</v>
      </c>
      <c r="AW307" s="208" t="e">
        <f ca="1">VLOOKUP(表格1[[#This Row],[PO+ITEM]],#REF!,4,FALSE)</f>
        <v>#REF!</v>
      </c>
      <c r="AX307" s="208" t="e" cm="1" vm="1">
        <f t="array" aca="1" ref="AX307" ca="1">VLOOKUP(AI:AI,#REF!,1,FALSE)</f>
        <v>#VALUE!</v>
      </c>
    </row>
    <row r="308" spans="1:50" ht="15.6">
      <c r="A308" s="220">
        <v>307</v>
      </c>
      <c r="B308" s="220" t="s">
        <v>3674</v>
      </c>
      <c r="C308" s="209" t="s">
        <v>16</v>
      </c>
      <c r="D308" s="209" t="s">
        <v>3648</v>
      </c>
      <c r="E308" s="209"/>
      <c r="F308" s="209"/>
      <c r="G308" s="209"/>
      <c r="H308" s="217" t="s">
        <v>4607</v>
      </c>
      <c r="I308" s="217"/>
      <c r="J308" s="215"/>
      <c r="K308" s="217"/>
      <c r="L308" s="212" t="s">
        <v>2999</v>
      </c>
      <c r="M308" s="212" t="s">
        <v>2999</v>
      </c>
      <c r="N308" s="213"/>
      <c r="O308" s="263">
        <v>4590004413</v>
      </c>
      <c r="P308" s="214">
        <v>44802</v>
      </c>
      <c r="Q308" s="334">
        <v>23</v>
      </c>
      <c r="R308" s="216">
        <v>3704.62</v>
      </c>
      <c r="S308" s="217" t="s">
        <v>2156</v>
      </c>
      <c r="T308" s="209" t="s">
        <v>3661</v>
      </c>
      <c r="U308" s="209" t="s">
        <v>3662</v>
      </c>
      <c r="V308" s="213" t="s">
        <v>3663</v>
      </c>
      <c r="W308" s="218" t="s">
        <v>3652</v>
      </c>
      <c r="X308" s="218" t="s">
        <v>3652</v>
      </c>
      <c r="Y308" s="212" t="s">
        <v>4563</v>
      </c>
      <c r="Z308" s="209" t="s">
        <v>3664</v>
      </c>
      <c r="AA308" s="219"/>
      <c r="AB308" s="218"/>
      <c r="AC308" s="217" t="e">
        <v>#N/A</v>
      </c>
      <c r="AD308" s="217">
        <v>90486</v>
      </c>
      <c r="AE308" s="217" t="s">
        <v>2921</v>
      </c>
      <c r="AF308" s="217" t="s">
        <v>3828</v>
      </c>
      <c r="AG308" s="217" t="s">
        <v>2995</v>
      </c>
      <c r="AH308" s="220" t="str">
        <f t="shared" si="19"/>
        <v>4590004413_023</v>
      </c>
      <c r="AI308" s="208"/>
      <c r="AJ308" s="225">
        <v>45108</v>
      </c>
      <c r="AK308" s="221">
        <v>1481.848</v>
      </c>
      <c r="AL308" s="244">
        <v>45212</v>
      </c>
      <c r="AM308" s="208" t="s">
        <v>4619</v>
      </c>
      <c r="AN308" s="363">
        <v>45498</v>
      </c>
      <c r="AO308" s="362">
        <v>744.41</v>
      </c>
      <c r="AP308" s="227"/>
      <c r="AQ308" s="358">
        <f ca="1">IF(表格1[[#This Row],[PO$]]="","100%",表格1[[#This Row],[total amount]]/表格1[[#This Row],[PO$]])</f>
        <v>0.60094098719976674</v>
      </c>
      <c r="AR308" s="223">
        <f ca="1">表格1[[#This Row],[invoice amount]]+表格1[[#This Row],[invoice amount2]]</f>
        <v>2226.2579999999998</v>
      </c>
      <c r="AS308" s="224" t="s">
        <v>4235</v>
      </c>
      <c r="AT308" s="208"/>
      <c r="AU308" s="208" t="e">
        <f ca="1">VLOOKUP(表格1[[#This Row],[PO+ITEM]],#REF!,2,FALSE)</f>
        <v>#REF!</v>
      </c>
      <c r="AV308" s="341" t="e">
        <f ca="1">VLOOKUP(表格1[[#This Row],[PO+ITEM]],#REF!,3,FALSE)</f>
        <v>#REF!</v>
      </c>
      <c r="AW308" s="208" t="e">
        <f ca="1">VLOOKUP(表格1[[#This Row],[PO+ITEM]],#REF!,4,FALSE)</f>
        <v>#REF!</v>
      </c>
      <c r="AX308" s="208" t="e" cm="1" vm="1">
        <f t="array" aca="1" ref="AX308" ca="1">VLOOKUP(AI:AI,#REF!,1,FALSE)</f>
        <v>#VALUE!</v>
      </c>
    </row>
    <row r="309" spans="1:50" ht="15.6">
      <c r="A309" s="220">
        <v>308</v>
      </c>
      <c r="B309" s="220" t="s">
        <v>3674</v>
      </c>
      <c r="C309" s="209" t="s">
        <v>16</v>
      </c>
      <c r="D309" s="209" t="s">
        <v>3648</v>
      </c>
      <c r="E309" s="209"/>
      <c r="F309" s="209"/>
      <c r="G309" s="209"/>
      <c r="H309" s="210" t="s">
        <v>4609</v>
      </c>
      <c r="I309" s="210"/>
      <c r="J309" s="211"/>
      <c r="K309" s="210"/>
      <c r="L309" s="212" t="s">
        <v>2999</v>
      </c>
      <c r="M309" s="212" t="s">
        <v>2999</v>
      </c>
      <c r="N309" s="213"/>
      <c r="O309" s="263">
        <v>4590004413</v>
      </c>
      <c r="P309" s="214">
        <v>44802</v>
      </c>
      <c r="Q309" s="334">
        <v>24</v>
      </c>
      <c r="R309" s="216">
        <v>3704.62</v>
      </c>
      <c r="S309" s="217" t="s">
        <v>2156</v>
      </c>
      <c r="T309" s="209" t="s">
        <v>3661</v>
      </c>
      <c r="U309" s="209" t="s">
        <v>3662</v>
      </c>
      <c r="V309" s="213" t="s">
        <v>3663</v>
      </c>
      <c r="W309" s="218" t="s">
        <v>3652</v>
      </c>
      <c r="X309" s="218" t="s">
        <v>3652</v>
      </c>
      <c r="Y309" s="212" t="s">
        <v>4563</v>
      </c>
      <c r="Z309" s="209" t="s">
        <v>3664</v>
      </c>
      <c r="AA309" s="219"/>
      <c r="AB309" s="218"/>
      <c r="AC309" s="217" t="e">
        <v>#N/A</v>
      </c>
      <c r="AD309" s="217">
        <v>90485</v>
      </c>
      <c r="AE309" s="217" t="s">
        <v>2919</v>
      </c>
      <c r="AF309" s="217" t="s">
        <v>3828</v>
      </c>
      <c r="AG309" s="217" t="s">
        <v>2995</v>
      </c>
      <c r="AH309" s="220" t="str">
        <f t="shared" si="19"/>
        <v>4590004413_024</v>
      </c>
      <c r="AI309" s="208"/>
      <c r="AJ309" s="225">
        <v>45108</v>
      </c>
      <c r="AK309" s="221">
        <v>1481.848</v>
      </c>
      <c r="AL309" s="244">
        <v>45212</v>
      </c>
      <c r="AM309" s="208" t="s">
        <v>4610</v>
      </c>
      <c r="AN309" s="227">
        <v>45429</v>
      </c>
      <c r="AO309" s="222">
        <v>2222.7719999999999</v>
      </c>
      <c r="AP309" s="227" t="s">
        <v>3805</v>
      </c>
      <c r="AQ309" s="358">
        <f ca="1">IF(表格1[[#This Row],[PO$]]="","100%",表格1[[#This Row],[total amount]]/表格1[[#This Row],[PO$]])</f>
        <v>1</v>
      </c>
      <c r="AR309" s="223">
        <f ca="1">表格1[[#This Row],[invoice amount]]+表格1[[#This Row],[invoice amount2]]</f>
        <v>3704.62</v>
      </c>
      <c r="AS309" s="224" t="s">
        <v>4371</v>
      </c>
      <c r="AT309" s="208"/>
      <c r="AU309" s="208" t="e">
        <f ca="1">VLOOKUP(表格1[[#This Row],[PO+ITEM]],#REF!,2,FALSE)</f>
        <v>#REF!</v>
      </c>
      <c r="AV309" s="341" t="e">
        <f ca="1">VLOOKUP(表格1[[#This Row],[PO+ITEM]],#REF!,3,FALSE)</f>
        <v>#REF!</v>
      </c>
      <c r="AW309" s="208" t="e">
        <f ca="1">VLOOKUP(表格1[[#This Row],[PO+ITEM]],#REF!,4,FALSE)</f>
        <v>#REF!</v>
      </c>
      <c r="AX309" s="208" t="e" cm="1" vm="1">
        <f t="array" aca="1" ref="AX309" ca="1">VLOOKUP(AI:AI,#REF!,1,FALSE)</f>
        <v>#VALUE!</v>
      </c>
    </row>
    <row r="310" spans="1:50" ht="15.6">
      <c r="A310" s="220">
        <v>309</v>
      </c>
      <c r="B310" s="220" t="s">
        <v>3674</v>
      </c>
      <c r="C310" s="209" t="s">
        <v>16</v>
      </c>
      <c r="D310" s="209" t="s">
        <v>3648</v>
      </c>
      <c r="E310" s="209"/>
      <c r="F310" s="209"/>
      <c r="G310" s="209"/>
      <c r="H310" s="217" t="s">
        <v>4612</v>
      </c>
      <c r="I310" s="217"/>
      <c r="J310" s="215"/>
      <c r="K310" s="217"/>
      <c r="L310" s="212" t="s">
        <v>2999</v>
      </c>
      <c r="M310" s="212" t="s">
        <v>2999</v>
      </c>
      <c r="N310" s="213"/>
      <c r="O310" s="263">
        <v>4590004413</v>
      </c>
      <c r="P310" s="214">
        <v>44802</v>
      </c>
      <c r="Q310" s="334">
        <v>25</v>
      </c>
      <c r="R310" s="216">
        <v>3298.32</v>
      </c>
      <c r="S310" s="217" t="s">
        <v>2156</v>
      </c>
      <c r="T310" s="209" t="s">
        <v>3661</v>
      </c>
      <c r="U310" s="209" t="s">
        <v>3662</v>
      </c>
      <c r="V310" s="213" t="s">
        <v>3663</v>
      </c>
      <c r="W310" s="218" t="s">
        <v>3652</v>
      </c>
      <c r="X310" s="218" t="s">
        <v>3652</v>
      </c>
      <c r="Y310" s="212" t="s">
        <v>4563</v>
      </c>
      <c r="Z310" s="209" t="s">
        <v>3664</v>
      </c>
      <c r="AA310" s="219"/>
      <c r="AB310" s="218"/>
      <c r="AC310" s="217" t="e">
        <v>#N/A</v>
      </c>
      <c r="AD310" s="217">
        <v>90778</v>
      </c>
      <c r="AE310" s="217" t="s">
        <v>2917</v>
      </c>
      <c r="AF310" s="217" t="s">
        <v>3828</v>
      </c>
      <c r="AG310" s="217" t="s">
        <v>2995</v>
      </c>
      <c r="AH310" s="220" t="str">
        <f t="shared" si="19"/>
        <v>4590004413_025</v>
      </c>
      <c r="AI310" s="208"/>
      <c r="AJ310" s="225">
        <v>45108</v>
      </c>
      <c r="AK310" s="221">
        <v>1319.3280000000002</v>
      </c>
      <c r="AL310" s="244">
        <v>45212</v>
      </c>
      <c r="AM310" s="208" t="s">
        <v>4613</v>
      </c>
      <c r="AN310" s="227">
        <v>45422</v>
      </c>
      <c r="AO310" s="222">
        <v>1978.992</v>
      </c>
      <c r="AP310" s="227" t="s">
        <v>3805</v>
      </c>
      <c r="AQ310" s="358">
        <f ca="1">IF(表格1[[#This Row],[PO$]]="","100%",表格1[[#This Row],[total amount]]/表格1[[#This Row],[PO$]])</f>
        <v>1</v>
      </c>
      <c r="AR310" s="223">
        <f ca="1">表格1[[#This Row],[invoice amount]]+表格1[[#This Row],[invoice amount2]]</f>
        <v>3298.32</v>
      </c>
      <c r="AS310" s="224" t="s">
        <v>4371</v>
      </c>
      <c r="AT310" s="208" t="s">
        <v>3657</v>
      </c>
      <c r="AU310" s="208" t="e">
        <f ca="1">VLOOKUP(表格1[[#This Row],[PO+ITEM]],#REF!,2,FALSE)</f>
        <v>#REF!</v>
      </c>
      <c r="AV310" s="341" t="e">
        <f ca="1">VLOOKUP(表格1[[#This Row],[PO+ITEM]],#REF!,3,FALSE)</f>
        <v>#REF!</v>
      </c>
      <c r="AW310" s="208" t="e">
        <f ca="1">VLOOKUP(表格1[[#This Row],[PO+ITEM]],#REF!,4,FALSE)</f>
        <v>#REF!</v>
      </c>
      <c r="AX310" s="208" t="e" cm="1" vm="1">
        <f t="array" aca="1" ref="AX310" ca="1">VLOOKUP(AI:AI,#REF!,1,FALSE)</f>
        <v>#VALUE!</v>
      </c>
    </row>
    <row r="311" spans="1:50" ht="15.6">
      <c r="A311" s="220">
        <v>310</v>
      </c>
      <c r="B311" s="220" t="s">
        <v>3674</v>
      </c>
      <c r="C311" s="209" t="s">
        <v>16</v>
      </c>
      <c r="D311" s="209" t="s">
        <v>3648</v>
      </c>
      <c r="E311" s="209"/>
      <c r="F311" s="209"/>
      <c r="G311" s="209"/>
      <c r="H311" s="210" t="s">
        <v>4614</v>
      </c>
      <c r="I311" s="210"/>
      <c r="J311" s="211"/>
      <c r="K311" s="210"/>
      <c r="L311" s="212" t="s">
        <v>2999</v>
      </c>
      <c r="M311" s="212" t="s">
        <v>2999</v>
      </c>
      <c r="N311" s="213"/>
      <c r="O311" s="263">
        <v>4590004413</v>
      </c>
      <c r="P311" s="214">
        <v>44802</v>
      </c>
      <c r="Q311" s="334">
        <v>26</v>
      </c>
      <c r="R311" s="216">
        <v>3298.32</v>
      </c>
      <c r="S311" s="217" t="s">
        <v>2156</v>
      </c>
      <c r="T311" s="209" t="s">
        <v>3661</v>
      </c>
      <c r="U311" s="209" t="s">
        <v>3662</v>
      </c>
      <c r="V311" s="213" t="s">
        <v>3663</v>
      </c>
      <c r="W311" s="218" t="s">
        <v>3652</v>
      </c>
      <c r="X311" s="218" t="s">
        <v>3652</v>
      </c>
      <c r="Y311" s="212" t="s">
        <v>4563</v>
      </c>
      <c r="Z311" s="209" t="s">
        <v>3664</v>
      </c>
      <c r="AA311" s="219"/>
      <c r="AB311" s="218"/>
      <c r="AC311" s="217" t="e">
        <v>#N/A</v>
      </c>
      <c r="AD311" s="217">
        <v>90488</v>
      </c>
      <c r="AE311" s="217" t="s">
        <v>2915</v>
      </c>
      <c r="AF311" s="217" t="s">
        <v>3828</v>
      </c>
      <c r="AG311" s="217" t="s">
        <v>2995</v>
      </c>
      <c r="AH311" s="220" t="str">
        <f t="shared" si="19"/>
        <v>4590004413_026</v>
      </c>
      <c r="AI311" s="208"/>
      <c r="AJ311" s="225">
        <v>45108</v>
      </c>
      <c r="AK311" s="221">
        <v>1319.3280000000002</v>
      </c>
      <c r="AL311" s="244">
        <v>45212</v>
      </c>
      <c r="AM311" s="208" t="s">
        <v>4615</v>
      </c>
      <c r="AN311" s="227">
        <v>45422</v>
      </c>
      <c r="AO311" s="222">
        <v>1978.992</v>
      </c>
      <c r="AP311" s="227" t="s">
        <v>3805</v>
      </c>
      <c r="AQ311" s="358">
        <f ca="1">IF(表格1[[#This Row],[PO$]]="","100%",表格1[[#This Row],[total amount]]/表格1[[#This Row],[PO$]])</f>
        <v>1</v>
      </c>
      <c r="AR311" s="223">
        <f ca="1">表格1[[#This Row],[invoice amount]]+表格1[[#This Row],[invoice amount2]]</f>
        <v>3298.32</v>
      </c>
      <c r="AS311" s="224" t="s">
        <v>4371</v>
      </c>
      <c r="AT311" s="208" t="s">
        <v>3657</v>
      </c>
      <c r="AU311" s="208" t="e">
        <f ca="1">VLOOKUP(表格1[[#This Row],[PO+ITEM]],#REF!,2,FALSE)</f>
        <v>#REF!</v>
      </c>
      <c r="AV311" s="341" t="e">
        <f ca="1">VLOOKUP(表格1[[#This Row],[PO+ITEM]],#REF!,3,FALSE)</f>
        <v>#REF!</v>
      </c>
      <c r="AW311" s="208" t="e">
        <f ca="1">VLOOKUP(表格1[[#This Row],[PO+ITEM]],#REF!,4,FALSE)</f>
        <v>#REF!</v>
      </c>
      <c r="AX311" s="208" t="e" cm="1" vm="1">
        <f t="array" aca="1" ref="AX311" ca="1">VLOOKUP(AI:AI,#REF!,1,FALSE)</f>
        <v>#VALUE!</v>
      </c>
    </row>
    <row r="312" spans="1:50" ht="15.6">
      <c r="A312" s="220">
        <v>311</v>
      </c>
      <c r="B312" s="220" t="s">
        <v>3674</v>
      </c>
      <c r="C312" s="209" t="s">
        <v>16</v>
      </c>
      <c r="D312" s="209" t="s">
        <v>3648</v>
      </c>
      <c r="E312" s="209"/>
      <c r="F312" s="209"/>
      <c r="G312" s="209"/>
      <c r="H312" s="217" t="s">
        <v>4616</v>
      </c>
      <c r="I312" s="217"/>
      <c r="J312" s="215"/>
      <c r="K312" s="217"/>
      <c r="L312" s="212" t="s">
        <v>2999</v>
      </c>
      <c r="M312" s="212" t="s">
        <v>2999</v>
      </c>
      <c r="N312" s="213"/>
      <c r="O312" s="263">
        <v>4590004413</v>
      </c>
      <c r="P312" s="214">
        <v>44802</v>
      </c>
      <c r="Q312" s="334">
        <v>27</v>
      </c>
      <c r="R312" s="349">
        <v>1240.69</v>
      </c>
      <c r="S312" s="217" t="s">
        <v>2156</v>
      </c>
      <c r="T312" s="209" t="s">
        <v>3661</v>
      </c>
      <c r="U312" s="209" t="s">
        <v>3662</v>
      </c>
      <c r="V312" s="213" t="s">
        <v>3663</v>
      </c>
      <c r="W312" s="218" t="s">
        <v>3652</v>
      </c>
      <c r="X312" s="218" t="s">
        <v>3652</v>
      </c>
      <c r="Y312" s="212" t="s">
        <v>4563</v>
      </c>
      <c r="Z312" s="209" t="s">
        <v>3664</v>
      </c>
      <c r="AA312" s="219"/>
      <c r="AB312" s="218"/>
      <c r="AC312" s="217" t="e">
        <v>#N/A</v>
      </c>
      <c r="AD312" s="217">
        <v>90268</v>
      </c>
      <c r="AE312" s="217" t="s">
        <v>3518</v>
      </c>
      <c r="AF312" s="217" t="s">
        <v>3828</v>
      </c>
      <c r="AG312" s="217" t="s">
        <v>4444</v>
      </c>
      <c r="AH312" s="220" t="str">
        <f t="shared" si="19"/>
        <v>4590004413_027</v>
      </c>
      <c r="AI312" s="217"/>
      <c r="AJ312" s="225">
        <v>45108</v>
      </c>
      <c r="AK312" s="221">
        <v>496.27600000000007</v>
      </c>
      <c r="AL312" s="244">
        <v>45212</v>
      </c>
      <c r="AM312" s="217" t="s">
        <v>4617</v>
      </c>
      <c r="AN312" s="227">
        <v>45471</v>
      </c>
      <c r="AO312" s="222">
        <v>744.41</v>
      </c>
      <c r="AP312" s="227"/>
      <c r="AQ312" s="358">
        <f ca="1">IF(表格1[[#This Row],[PO$]]="","100%",表格1[[#This Row],[total amount]]/表格1[[#This Row],[PO$]])</f>
        <v>0.99999677598755543</v>
      </c>
      <c r="AR312" s="223">
        <f ca="1">表格1[[#This Row],[invoice amount]]+表格1[[#This Row],[invoice amount2]]</f>
        <v>1240.6860000000001</v>
      </c>
      <c r="AS312" s="224" t="s">
        <v>4235</v>
      </c>
      <c r="AT312" s="208"/>
      <c r="AU312" s="208" t="e">
        <f ca="1">VLOOKUP(表格1[[#This Row],[PO+ITEM]],#REF!,2,FALSE)</f>
        <v>#REF!</v>
      </c>
      <c r="AV312" s="341" t="e">
        <f ca="1">VLOOKUP(表格1[[#This Row],[PO+ITEM]],#REF!,3,FALSE)</f>
        <v>#REF!</v>
      </c>
      <c r="AW312" s="208" t="e">
        <f ca="1">VLOOKUP(表格1[[#This Row],[PO+ITEM]],#REF!,4,FALSE)</f>
        <v>#REF!</v>
      </c>
      <c r="AX312" s="208" t="e" cm="1" vm="1">
        <f t="array" aca="1" ref="AX312" ca="1">VLOOKUP(AI:AI,#REF!,1,FALSE)</f>
        <v>#VALUE!</v>
      </c>
    </row>
    <row r="313" spans="1:50" ht="15.6">
      <c r="A313" s="220">
        <v>312</v>
      </c>
      <c r="B313" s="220" t="s">
        <v>3674</v>
      </c>
      <c r="C313" s="209" t="s">
        <v>16</v>
      </c>
      <c r="D313" s="209" t="s">
        <v>3648</v>
      </c>
      <c r="E313" s="209"/>
      <c r="F313" s="209"/>
      <c r="G313" s="209"/>
      <c r="H313" s="217" t="s">
        <v>4618</v>
      </c>
      <c r="I313" s="217"/>
      <c r="J313" s="215"/>
      <c r="K313" s="217"/>
      <c r="L313" s="212" t="s">
        <v>2999</v>
      </c>
      <c r="M313" s="212" t="s">
        <v>2999</v>
      </c>
      <c r="N313" s="213"/>
      <c r="O313" s="263">
        <v>4590004413</v>
      </c>
      <c r="P313" s="214">
        <v>44802</v>
      </c>
      <c r="Q313" s="334">
        <v>28</v>
      </c>
      <c r="R313" s="216">
        <v>1240.69</v>
      </c>
      <c r="S313" s="217" t="s">
        <v>2156</v>
      </c>
      <c r="T313" s="209" t="s">
        <v>3661</v>
      </c>
      <c r="U313" s="209" t="s">
        <v>3662</v>
      </c>
      <c r="V313" s="213" t="s">
        <v>3663</v>
      </c>
      <c r="W313" s="218" t="s">
        <v>3652</v>
      </c>
      <c r="X313" s="218" t="s">
        <v>3652</v>
      </c>
      <c r="Y313" s="212" t="s">
        <v>4563</v>
      </c>
      <c r="Z313" s="209" t="s">
        <v>3664</v>
      </c>
      <c r="AA313" s="219"/>
      <c r="AB313" s="218"/>
      <c r="AC313" s="217" t="e">
        <v>#N/A</v>
      </c>
      <c r="AD313" s="217">
        <v>90269</v>
      </c>
      <c r="AE313" s="217" t="s">
        <v>3520</v>
      </c>
      <c r="AF313" s="217" t="s">
        <v>3828</v>
      </c>
      <c r="AG313" s="217" t="s">
        <v>4444</v>
      </c>
      <c r="AH313" s="220" t="str">
        <f t="shared" si="19"/>
        <v>4590004413_028</v>
      </c>
      <c r="AI313" s="208"/>
      <c r="AJ313" s="225">
        <v>45108</v>
      </c>
      <c r="AK313" s="221">
        <v>496.27600000000007</v>
      </c>
      <c r="AL313" s="244">
        <v>45212</v>
      </c>
      <c r="AM313" s="401" t="s">
        <v>4619</v>
      </c>
      <c r="AN313" s="227">
        <v>45498</v>
      </c>
      <c r="AO313" s="222">
        <v>744.41</v>
      </c>
      <c r="AP313" s="227"/>
      <c r="AQ313" s="358">
        <f ca="1">IF(表格1[[#This Row],[PO$]]="","100%",表格1[[#This Row],[total amount]]/表格1[[#This Row],[PO$]])</f>
        <v>0.99999677598755543</v>
      </c>
      <c r="AR313" s="223">
        <f ca="1">表格1[[#This Row],[invoice amount]]+表格1[[#This Row],[invoice amount2]]</f>
        <v>1240.6860000000001</v>
      </c>
      <c r="AS313" s="224" t="s">
        <v>3673</v>
      </c>
      <c r="AT313" s="208"/>
      <c r="AU313" s="208" t="e">
        <f ca="1">VLOOKUP(表格1[[#This Row],[PO+ITEM]],#REF!,2,FALSE)</f>
        <v>#REF!</v>
      </c>
      <c r="AV313" s="341" t="e">
        <f ca="1">VLOOKUP(表格1[[#This Row],[PO+ITEM]],#REF!,3,FALSE)</f>
        <v>#REF!</v>
      </c>
      <c r="AW313" s="208" t="e">
        <f ca="1">VLOOKUP(表格1[[#This Row],[PO+ITEM]],#REF!,4,FALSE)</f>
        <v>#REF!</v>
      </c>
      <c r="AX313" s="208" t="e" cm="1" vm="1">
        <f t="array" aca="1" ref="AX313" ca="1">VLOOKUP(AI:AI,#REF!,1,FALSE)</f>
        <v>#VALUE!</v>
      </c>
    </row>
    <row r="314" spans="1:50" ht="15.6">
      <c r="A314" s="220">
        <v>313</v>
      </c>
      <c r="B314" s="220" t="s">
        <v>3674</v>
      </c>
      <c r="C314" s="209" t="s">
        <v>16</v>
      </c>
      <c r="D314" s="209" t="s">
        <v>3648</v>
      </c>
      <c r="E314" s="209"/>
      <c r="F314" s="209"/>
      <c r="G314" s="209"/>
      <c r="H314" s="217" t="s">
        <v>4620</v>
      </c>
      <c r="I314" s="217"/>
      <c r="J314" s="215"/>
      <c r="K314" s="217"/>
      <c r="L314" s="212" t="s">
        <v>2999</v>
      </c>
      <c r="M314" s="212" t="s">
        <v>2999</v>
      </c>
      <c r="N314" s="213"/>
      <c r="O314" s="263">
        <v>4590004413</v>
      </c>
      <c r="P314" s="214">
        <v>44802</v>
      </c>
      <c r="Q314" s="334">
        <v>29</v>
      </c>
      <c r="R314" s="349">
        <v>1240.69</v>
      </c>
      <c r="S314" s="217" t="s">
        <v>2156</v>
      </c>
      <c r="T314" s="209" t="s">
        <v>3661</v>
      </c>
      <c r="U314" s="209" t="s">
        <v>3662</v>
      </c>
      <c r="V314" s="213" t="s">
        <v>3663</v>
      </c>
      <c r="W314" s="218" t="s">
        <v>3652</v>
      </c>
      <c r="X314" s="218" t="s">
        <v>3652</v>
      </c>
      <c r="Y314" s="212" t="s">
        <v>4563</v>
      </c>
      <c r="Z314" s="209" t="s">
        <v>3664</v>
      </c>
      <c r="AA314" s="219"/>
      <c r="AB314" s="218"/>
      <c r="AC314" s="217" t="e">
        <v>#N/A</v>
      </c>
      <c r="AD314" s="217">
        <v>90270</v>
      </c>
      <c r="AE314" s="217" t="s">
        <v>3522</v>
      </c>
      <c r="AF314" s="217" t="s">
        <v>3828</v>
      </c>
      <c r="AG314" s="217" t="s">
        <v>4444</v>
      </c>
      <c r="AH314" s="220" t="str">
        <f t="shared" si="19"/>
        <v>4590004413_029</v>
      </c>
      <c r="AI314" s="217"/>
      <c r="AJ314" s="225">
        <v>45108</v>
      </c>
      <c r="AK314" s="221">
        <v>496.27600000000007</v>
      </c>
      <c r="AL314" s="244">
        <v>45212</v>
      </c>
      <c r="AM314" s="217" t="s">
        <v>4621</v>
      </c>
      <c r="AN314" s="227">
        <v>45471</v>
      </c>
      <c r="AO314" s="222">
        <v>744.41</v>
      </c>
      <c r="AP314" s="227"/>
      <c r="AQ314" s="358">
        <f ca="1">IF(表格1[[#This Row],[PO$]]="","100%",表格1[[#This Row],[total amount]]/表格1[[#This Row],[PO$]])</f>
        <v>0.99999677598755543</v>
      </c>
      <c r="AR314" s="223">
        <f ca="1">表格1[[#This Row],[invoice amount]]+表格1[[#This Row],[invoice amount2]]</f>
        <v>1240.6860000000001</v>
      </c>
      <c r="AS314" s="224" t="s">
        <v>4235</v>
      </c>
      <c r="AT314" s="208"/>
      <c r="AU314" s="208" t="e">
        <f ca="1">VLOOKUP(表格1[[#This Row],[PO+ITEM]],#REF!,2,FALSE)</f>
        <v>#REF!</v>
      </c>
      <c r="AV314" s="341" t="e">
        <f ca="1">VLOOKUP(表格1[[#This Row],[PO+ITEM]],#REF!,3,FALSE)</f>
        <v>#REF!</v>
      </c>
      <c r="AW314" s="208" t="e">
        <f ca="1">VLOOKUP(表格1[[#This Row],[PO+ITEM]],#REF!,4,FALSE)</f>
        <v>#REF!</v>
      </c>
      <c r="AX314" s="208" t="e" cm="1" vm="1">
        <f t="array" aca="1" ref="AX314" ca="1">VLOOKUP(AI:AI,#REF!,1,FALSE)</f>
        <v>#VALUE!</v>
      </c>
    </row>
    <row r="315" spans="1:50">
      <c r="A315" s="220">
        <v>314</v>
      </c>
      <c r="B315" s="220" t="s">
        <v>3674</v>
      </c>
      <c r="C315" s="209" t="s">
        <v>16</v>
      </c>
      <c r="D315" s="209" t="s">
        <v>3648</v>
      </c>
      <c r="E315" s="209"/>
      <c r="F315" s="209"/>
      <c r="G315" s="209"/>
      <c r="H315" s="210" t="s">
        <v>4622</v>
      </c>
      <c r="I315" s="210"/>
      <c r="J315" s="211"/>
      <c r="K315" s="210"/>
      <c r="L315" s="212" t="s">
        <v>2999</v>
      </c>
      <c r="M315" s="212" t="s">
        <v>2999</v>
      </c>
      <c r="N315" s="213"/>
      <c r="O315" s="263">
        <v>4590004413</v>
      </c>
      <c r="P315" s="214">
        <v>44802</v>
      </c>
      <c r="Q315" s="334">
        <v>30</v>
      </c>
      <c r="R315" s="349">
        <v>3225.21</v>
      </c>
      <c r="S315" s="217" t="s">
        <v>2156</v>
      </c>
      <c r="T315" s="209" t="s">
        <v>3661</v>
      </c>
      <c r="U315" s="209" t="s">
        <v>3662</v>
      </c>
      <c r="V315" s="213" t="s">
        <v>3663</v>
      </c>
      <c r="W315" s="218" t="s">
        <v>3652</v>
      </c>
      <c r="X315" s="218" t="s">
        <v>3652</v>
      </c>
      <c r="Y315" s="212">
        <v>0</v>
      </c>
      <c r="Z315" s="209" t="s">
        <v>3664</v>
      </c>
      <c r="AA315" s="219"/>
      <c r="AB315" s="218"/>
      <c r="AC315" s="217" t="e">
        <v>#N/A</v>
      </c>
      <c r="AD315" s="217">
        <v>90035</v>
      </c>
      <c r="AE315" s="217" t="s">
        <v>4623</v>
      </c>
      <c r="AF315" s="217" t="s">
        <v>3828</v>
      </c>
      <c r="AG315" s="217" t="s">
        <v>4444</v>
      </c>
      <c r="AH315" s="220" t="str">
        <f t="shared" si="19"/>
        <v>4590004413_030</v>
      </c>
      <c r="AI315" s="217" t="s">
        <v>4624</v>
      </c>
      <c r="AJ315" s="227">
        <v>45471</v>
      </c>
      <c r="AK315" s="221">
        <v>3225.21</v>
      </c>
      <c r="AL315" s="227"/>
      <c r="AM315" s="208"/>
      <c r="AN315" s="220"/>
      <c r="AO315" s="222"/>
      <c r="AP315" s="227"/>
      <c r="AQ315" s="358">
        <f ca="1">IF(表格1[[#This Row],[PO$]]="","100%",表格1[[#This Row],[total amount]]/表格1[[#This Row],[PO$]])</f>
        <v>1</v>
      </c>
      <c r="AR315" s="223">
        <f ca="1">表格1[[#This Row],[invoice amount]]+表格1[[#This Row],[invoice amount2]]</f>
        <v>3225.21</v>
      </c>
      <c r="AS315" s="224" t="s">
        <v>3752</v>
      </c>
      <c r="AT315" s="208"/>
      <c r="AU315" s="208" t="e">
        <f ca="1">VLOOKUP(表格1[[#This Row],[PO+ITEM]],#REF!,2,FALSE)</f>
        <v>#REF!</v>
      </c>
      <c r="AV315" s="341" t="e">
        <f ca="1">VLOOKUP(表格1[[#This Row],[PO+ITEM]],#REF!,3,FALSE)</f>
        <v>#REF!</v>
      </c>
      <c r="AW315" s="208" t="e">
        <f ca="1">VLOOKUP(表格1[[#This Row],[PO+ITEM]],#REF!,4,FALSE)</f>
        <v>#REF!</v>
      </c>
      <c r="AX315" s="208" t="e" cm="1" vm="1">
        <f t="array" aca="1" ref="AX315" ca="1">VLOOKUP(AI:AI,#REF!,1,FALSE)</f>
        <v>#VALUE!</v>
      </c>
    </row>
    <row r="316" spans="1:50">
      <c r="A316" s="220">
        <v>315</v>
      </c>
      <c r="B316" s="220" t="s">
        <v>3674</v>
      </c>
      <c r="C316" s="209" t="s">
        <v>16</v>
      </c>
      <c r="D316" s="209" t="s">
        <v>3648</v>
      </c>
      <c r="E316" s="209"/>
      <c r="F316" s="209"/>
      <c r="G316" s="209"/>
      <c r="H316" s="210" t="s">
        <v>4625</v>
      </c>
      <c r="I316" s="210"/>
      <c r="J316" s="211"/>
      <c r="K316" s="210"/>
      <c r="L316" s="212" t="s">
        <v>2999</v>
      </c>
      <c r="M316" s="212" t="s">
        <v>2999</v>
      </c>
      <c r="N316" s="213"/>
      <c r="O316" s="263">
        <v>4590004413</v>
      </c>
      <c r="P316" s="214">
        <v>44802</v>
      </c>
      <c r="Q316" s="334">
        <v>31</v>
      </c>
      <c r="R316" s="349">
        <v>3226.53</v>
      </c>
      <c r="S316" s="217" t="s">
        <v>2156</v>
      </c>
      <c r="T316" s="209" t="s">
        <v>3661</v>
      </c>
      <c r="U316" s="209" t="s">
        <v>3662</v>
      </c>
      <c r="V316" s="213" t="s">
        <v>3663</v>
      </c>
      <c r="W316" s="218" t="s">
        <v>3652</v>
      </c>
      <c r="X316" s="218" t="s">
        <v>3652</v>
      </c>
      <c r="Y316" s="212">
        <v>0</v>
      </c>
      <c r="Z316" s="209" t="s">
        <v>3664</v>
      </c>
      <c r="AA316" s="219"/>
      <c r="AB316" s="218"/>
      <c r="AC316" s="217" t="e">
        <v>#N/A</v>
      </c>
      <c r="AD316" s="217">
        <v>90034</v>
      </c>
      <c r="AE316" s="217" t="s">
        <v>4626</v>
      </c>
      <c r="AF316" s="217" t="s">
        <v>3828</v>
      </c>
      <c r="AG316" s="217" t="s">
        <v>4444</v>
      </c>
      <c r="AH316" s="220" t="str">
        <f t="shared" si="19"/>
        <v>4590004413_031</v>
      </c>
      <c r="AI316" s="217" t="s">
        <v>4627</v>
      </c>
      <c r="AJ316" s="227">
        <v>45471</v>
      </c>
      <c r="AK316" s="221">
        <v>3226.53</v>
      </c>
      <c r="AL316" s="227"/>
      <c r="AM316" s="208"/>
      <c r="AN316" s="220"/>
      <c r="AO316" s="222"/>
      <c r="AP316" s="227"/>
      <c r="AQ316" s="358">
        <f ca="1">IF(表格1[[#This Row],[PO$]]="","100%",表格1[[#This Row],[total amount]]/表格1[[#This Row],[PO$]])</f>
        <v>1</v>
      </c>
      <c r="AR316" s="223">
        <f ca="1">表格1[[#This Row],[invoice amount]]+表格1[[#This Row],[invoice amount2]]</f>
        <v>3226.53</v>
      </c>
      <c r="AS316" s="224" t="s">
        <v>3752</v>
      </c>
      <c r="AT316" s="208"/>
      <c r="AU316" s="208" t="e">
        <f ca="1">VLOOKUP(表格1[[#This Row],[PO+ITEM]],#REF!,2,FALSE)</f>
        <v>#REF!</v>
      </c>
      <c r="AV316" s="341" t="e">
        <f ca="1">VLOOKUP(表格1[[#This Row],[PO+ITEM]],#REF!,3,FALSE)</f>
        <v>#REF!</v>
      </c>
      <c r="AW316" s="208" t="e">
        <f ca="1">VLOOKUP(表格1[[#This Row],[PO+ITEM]],#REF!,4,FALSE)</f>
        <v>#REF!</v>
      </c>
      <c r="AX316" s="208" t="e" cm="1" vm="1">
        <f t="array" aca="1" ref="AX316" ca="1">VLOOKUP(AI:AI,#REF!,1,FALSE)</f>
        <v>#VALUE!</v>
      </c>
    </row>
    <row r="317" spans="1:50">
      <c r="A317" s="220">
        <v>316</v>
      </c>
      <c r="B317" s="220" t="s">
        <v>3674</v>
      </c>
      <c r="C317" s="209" t="s">
        <v>16</v>
      </c>
      <c r="D317" s="209" t="s">
        <v>3648</v>
      </c>
      <c r="E317" s="209"/>
      <c r="F317" s="209"/>
      <c r="G317" s="209"/>
      <c r="H317" s="210" t="s">
        <v>4628</v>
      </c>
      <c r="I317" s="210"/>
      <c r="J317" s="211"/>
      <c r="K317" s="210"/>
      <c r="L317" s="212" t="s">
        <v>2999</v>
      </c>
      <c r="M317" s="212" t="s">
        <v>2999</v>
      </c>
      <c r="N317" s="213"/>
      <c r="O317" s="263">
        <v>4590004413</v>
      </c>
      <c r="P317" s="214">
        <v>44802</v>
      </c>
      <c r="Q317" s="334">
        <v>32</v>
      </c>
      <c r="R317" s="349">
        <v>3226.53</v>
      </c>
      <c r="S317" s="217" t="s">
        <v>2156</v>
      </c>
      <c r="T317" s="209" t="s">
        <v>3661</v>
      </c>
      <c r="U317" s="209" t="s">
        <v>3662</v>
      </c>
      <c r="V317" s="213" t="s">
        <v>3663</v>
      </c>
      <c r="W317" s="218" t="s">
        <v>3652</v>
      </c>
      <c r="X317" s="218" t="s">
        <v>3652</v>
      </c>
      <c r="Y317" s="212">
        <v>0</v>
      </c>
      <c r="Z317" s="209" t="s">
        <v>3664</v>
      </c>
      <c r="AA317" s="219"/>
      <c r="AB317" s="218"/>
      <c r="AC317" s="217" t="e">
        <v>#N/A</v>
      </c>
      <c r="AD317" s="217">
        <v>90037</v>
      </c>
      <c r="AE317" s="217" t="s">
        <v>4629</v>
      </c>
      <c r="AF317" s="217" t="s">
        <v>3828</v>
      </c>
      <c r="AG317" s="217" t="s">
        <v>4444</v>
      </c>
      <c r="AH317" s="220" t="str">
        <f t="shared" si="19"/>
        <v>4590004413_032</v>
      </c>
      <c r="AI317" s="217" t="s">
        <v>4630</v>
      </c>
      <c r="AJ317" s="227">
        <v>45471</v>
      </c>
      <c r="AK317" s="221">
        <v>3226.53</v>
      </c>
      <c r="AL317" s="227"/>
      <c r="AM317" s="208"/>
      <c r="AN317" s="220"/>
      <c r="AO317" s="222"/>
      <c r="AP317" s="227"/>
      <c r="AQ317" s="358">
        <f ca="1">IF(表格1[[#This Row],[PO$]]="","100%",表格1[[#This Row],[total amount]]/表格1[[#This Row],[PO$]])</f>
        <v>1</v>
      </c>
      <c r="AR317" s="223">
        <f ca="1">表格1[[#This Row],[invoice amount]]+表格1[[#This Row],[invoice amount2]]</f>
        <v>3226.53</v>
      </c>
      <c r="AS317" s="224" t="s">
        <v>3752</v>
      </c>
      <c r="AT317" s="208"/>
      <c r="AU317" s="208" t="e">
        <f ca="1">VLOOKUP(表格1[[#This Row],[PO+ITEM]],#REF!,2,FALSE)</f>
        <v>#REF!</v>
      </c>
      <c r="AV317" s="341" t="e">
        <f ca="1">VLOOKUP(表格1[[#This Row],[PO+ITEM]],#REF!,3,FALSE)</f>
        <v>#REF!</v>
      </c>
      <c r="AW317" s="208" t="e">
        <f ca="1">VLOOKUP(表格1[[#This Row],[PO+ITEM]],#REF!,4,FALSE)</f>
        <v>#REF!</v>
      </c>
      <c r="AX317" s="208" t="e" cm="1" vm="1">
        <f t="array" aca="1" ref="AX317" ca="1">VLOOKUP(AI:AI,#REF!,1,FALSE)</f>
        <v>#VALUE!</v>
      </c>
    </row>
    <row r="318" spans="1:50">
      <c r="A318" s="220">
        <v>317</v>
      </c>
      <c r="B318" s="220" t="s">
        <v>3674</v>
      </c>
      <c r="C318" s="209" t="s">
        <v>16</v>
      </c>
      <c r="D318" s="209" t="s">
        <v>3648</v>
      </c>
      <c r="E318" s="209"/>
      <c r="F318" s="209"/>
      <c r="G318" s="209"/>
      <c r="H318" s="210" t="s">
        <v>4631</v>
      </c>
      <c r="I318" s="210"/>
      <c r="J318" s="211"/>
      <c r="K318" s="210"/>
      <c r="L318" s="212" t="s">
        <v>2999</v>
      </c>
      <c r="M318" s="212" t="s">
        <v>2999</v>
      </c>
      <c r="N318" s="213"/>
      <c r="O318" s="263">
        <v>4590004413</v>
      </c>
      <c r="P318" s="214">
        <v>44802</v>
      </c>
      <c r="Q318" s="334">
        <v>33</v>
      </c>
      <c r="R318" s="216">
        <v>3226.53</v>
      </c>
      <c r="S318" s="217" t="s">
        <v>2156</v>
      </c>
      <c r="T318" s="209" t="s">
        <v>3661</v>
      </c>
      <c r="U318" s="209" t="s">
        <v>3662</v>
      </c>
      <c r="V318" s="213" t="s">
        <v>3663</v>
      </c>
      <c r="W318" s="218" t="s">
        <v>3652</v>
      </c>
      <c r="X318" s="218" t="s">
        <v>3652</v>
      </c>
      <c r="Y318" s="212">
        <v>0</v>
      </c>
      <c r="Z318" s="209" t="s">
        <v>3664</v>
      </c>
      <c r="AA318" s="219"/>
      <c r="AB318" s="218"/>
      <c r="AC318" s="217" t="e">
        <v>#N/A</v>
      </c>
      <c r="AD318" s="217">
        <v>90036</v>
      </c>
      <c r="AE318" s="217" t="s">
        <v>4632</v>
      </c>
      <c r="AF318" s="217" t="s">
        <v>3828</v>
      </c>
      <c r="AG318" s="217" t="s">
        <v>4444</v>
      </c>
      <c r="AH318" s="220" t="str">
        <f t="shared" si="19"/>
        <v>4590004413_033</v>
      </c>
      <c r="AI318" s="208" t="s">
        <v>4633</v>
      </c>
      <c r="AJ318" s="227">
        <v>45498</v>
      </c>
      <c r="AK318" s="221">
        <v>3226.53</v>
      </c>
      <c r="AL318" s="227"/>
      <c r="AM318" s="208"/>
      <c r="AN318" s="220"/>
      <c r="AO318" s="222"/>
      <c r="AP318" s="227"/>
      <c r="AQ318" s="358">
        <f ca="1">IF(表格1[[#This Row],[PO$]]="","100%",表格1[[#This Row],[total amount]]/表格1[[#This Row],[PO$]])</f>
        <v>1</v>
      </c>
      <c r="AR318" s="223">
        <f ca="1">表格1[[#This Row],[invoice amount]]+表格1[[#This Row],[invoice amount2]]</f>
        <v>3226.53</v>
      </c>
      <c r="AS318" s="224" t="s">
        <v>3752</v>
      </c>
      <c r="AT318" s="208"/>
      <c r="AU318" s="208" t="e">
        <f ca="1">VLOOKUP(表格1[[#This Row],[PO+ITEM]],#REF!,2,FALSE)</f>
        <v>#REF!</v>
      </c>
      <c r="AV318" s="341" t="e">
        <f ca="1">VLOOKUP(表格1[[#This Row],[PO+ITEM]],#REF!,3,FALSE)</f>
        <v>#REF!</v>
      </c>
      <c r="AW318" s="208" t="e">
        <f ca="1">VLOOKUP(表格1[[#This Row],[PO+ITEM]],#REF!,4,FALSE)</f>
        <v>#REF!</v>
      </c>
      <c r="AX318" s="208" t="e" cm="1" vm="1">
        <f t="array" aca="1" ref="AX318" ca="1">VLOOKUP(AI:AI,#REF!,1,FALSE)</f>
        <v>#VALUE!</v>
      </c>
    </row>
    <row r="319" spans="1:50" ht="15.6">
      <c r="A319" s="220">
        <v>318</v>
      </c>
      <c r="B319" s="220" t="s">
        <v>3674</v>
      </c>
      <c r="C319" s="209" t="s">
        <v>16</v>
      </c>
      <c r="D319" s="209" t="s">
        <v>3648</v>
      </c>
      <c r="E319" s="209"/>
      <c r="F319" s="209"/>
      <c r="G319" s="209"/>
      <c r="H319" s="210" t="s">
        <v>4634</v>
      </c>
      <c r="I319" s="210"/>
      <c r="J319" s="211"/>
      <c r="K319" s="210"/>
      <c r="L319" s="212" t="s">
        <v>2999</v>
      </c>
      <c r="M319" s="212" t="s">
        <v>2999</v>
      </c>
      <c r="N319" s="213"/>
      <c r="O319" s="263">
        <v>4590004413</v>
      </c>
      <c r="P319" s="214">
        <v>44802</v>
      </c>
      <c r="Q319" s="334">
        <v>34</v>
      </c>
      <c r="R319" s="349">
        <v>1241.3499999999999</v>
      </c>
      <c r="S319" s="217" t="s">
        <v>2156</v>
      </c>
      <c r="T319" s="209" t="s">
        <v>3661</v>
      </c>
      <c r="U319" s="209" t="s">
        <v>3662</v>
      </c>
      <c r="V319" s="213" t="s">
        <v>3663</v>
      </c>
      <c r="W319" s="218" t="s">
        <v>3652</v>
      </c>
      <c r="X319" s="218" t="s">
        <v>3652</v>
      </c>
      <c r="Y319" s="212" t="s">
        <v>4563</v>
      </c>
      <c r="Z319" s="209" t="s">
        <v>3664</v>
      </c>
      <c r="AA319" s="219"/>
      <c r="AB319" s="218"/>
      <c r="AC319" s="217" t="e">
        <v>#N/A</v>
      </c>
      <c r="AD319" s="217">
        <v>90038</v>
      </c>
      <c r="AE319" s="217" t="s">
        <v>4635</v>
      </c>
      <c r="AF319" s="217" t="s">
        <v>3828</v>
      </c>
      <c r="AG319" s="217" t="s">
        <v>4444</v>
      </c>
      <c r="AH319" s="220" t="str">
        <f t="shared" si="19"/>
        <v>4590004413_034</v>
      </c>
      <c r="AI319" s="217"/>
      <c r="AJ319" s="225">
        <v>45108</v>
      </c>
      <c r="AK319" s="221">
        <v>496.53999999999996</v>
      </c>
      <c r="AL319" s="244">
        <v>45212</v>
      </c>
      <c r="AM319" s="217" t="s">
        <v>4636</v>
      </c>
      <c r="AN319" s="227">
        <v>45471</v>
      </c>
      <c r="AO319" s="222">
        <v>744.81</v>
      </c>
      <c r="AP319" s="227"/>
      <c r="AQ319" s="358">
        <f ca="1">IF(表格1[[#This Row],[PO$]]="","100%",表格1[[#This Row],[total amount]]/表格1[[#This Row],[PO$]])</f>
        <v>1</v>
      </c>
      <c r="AR319" s="223">
        <f ca="1">表格1[[#This Row],[invoice amount]]+表格1[[#This Row],[invoice amount2]]</f>
        <v>1241.3499999999999</v>
      </c>
      <c r="AS319" s="224" t="s">
        <v>4235</v>
      </c>
      <c r="AT319" s="208"/>
      <c r="AU319" s="208" t="e">
        <f ca="1">VLOOKUP(表格1[[#This Row],[PO+ITEM]],#REF!,2,FALSE)</f>
        <v>#REF!</v>
      </c>
      <c r="AV319" s="341" t="e">
        <f ca="1">VLOOKUP(表格1[[#This Row],[PO+ITEM]],#REF!,3,FALSE)</f>
        <v>#REF!</v>
      </c>
      <c r="AW319" s="208" t="e">
        <f ca="1">VLOOKUP(表格1[[#This Row],[PO+ITEM]],#REF!,4,FALSE)</f>
        <v>#REF!</v>
      </c>
      <c r="AX319" s="208" t="e" cm="1" vm="1">
        <f t="array" aca="1" ref="AX319" ca="1">VLOOKUP(AI:AI,#REF!,1,FALSE)</f>
        <v>#VALUE!</v>
      </c>
    </row>
    <row r="320" spans="1:50" ht="15.6">
      <c r="A320" s="220">
        <v>319</v>
      </c>
      <c r="B320" s="220" t="s">
        <v>3674</v>
      </c>
      <c r="C320" s="209" t="s">
        <v>16</v>
      </c>
      <c r="D320" s="209" t="s">
        <v>3648</v>
      </c>
      <c r="E320" s="209"/>
      <c r="F320" s="209"/>
      <c r="G320" s="209"/>
      <c r="H320" s="217" t="s">
        <v>4637</v>
      </c>
      <c r="I320" s="217"/>
      <c r="J320" s="215"/>
      <c r="K320" s="217"/>
      <c r="L320" s="212" t="s">
        <v>2999</v>
      </c>
      <c r="M320" s="212" t="s">
        <v>2999</v>
      </c>
      <c r="N320" s="213"/>
      <c r="O320" s="263">
        <v>4590004413</v>
      </c>
      <c r="P320" s="214">
        <v>44802</v>
      </c>
      <c r="Q320" s="334">
        <v>35</v>
      </c>
      <c r="R320" s="216">
        <v>4526.59</v>
      </c>
      <c r="S320" s="217" t="s">
        <v>2156</v>
      </c>
      <c r="T320" s="209" t="s">
        <v>3661</v>
      </c>
      <c r="U320" s="209" t="s">
        <v>3662</v>
      </c>
      <c r="V320" s="213" t="s">
        <v>3663</v>
      </c>
      <c r="W320" s="218" t="s">
        <v>3652</v>
      </c>
      <c r="X320" s="218" t="s">
        <v>3652</v>
      </c>
      <c r="Y320" s="212" t="s">
        <v>4563</v>
      </c>
      <c r="Z320" s="209" t="s">
        <v>3664</v>
      </c>
      <c r="AA320" s="219"/>
      <c r="AB320" s="218"/>
      <c r="AC320" s="217" t="e">
        <v>#N/A</v>
      </c>
      <c r="AD320" s="217">
        <v>90848</v>
      </c>
      <c r="AE320" s="217" t="s">
        <v>4638</v>
      </c>
      <c r="AF320" s="217" t="s">
        <v>3828</v>
      </c>
      <c r="AG320" s="217" t="s">
        <v>3719</v>
      </c>
      <c r="AH320" s="220" t="str">
        <f t="shared" si="19"/>
        <v>4590004413_035</v>
      </c>
      <c r="AI320" s="208"/>
      <c r="AJ320" s="225">
        <v>45108</v>
      </c>
      <c r="AK320" s="221">
        <v>1810.6360000000002</v>
      </c>
      <c r="AL320" s="244">
        <v>45212</v>
      </c>
      <c r="AM320" s="208"/>
      <c r="AN320" s="220"/>
      <c r="AO320" s="222"/>
      <c r="AP320" s="227"/>
      <c r="AQ320" s="358">
        <f ca="1">IF(表格1[[#This Row],[PO$]]="","100%",表格1[[#This Row],[total amount]]/表格1[[#This Row],[PO$]])</f>
        <v>0.4</v>
      </c>
      <c r="AR320" s="223">
        <f ca="1">表格1[[#This Row],[invoice amount]]+表格1[[#This Row],[invoice amount2]]</f>
        <v>1810.6360000000002</v>
      </c>
      <c r="AS320" s="224" t="s">
        <v>3673</v>
      </c>
      <c r="AT320" s="208"/>
      <c r="AU320" s="208" t="e">
        <f ca="1">VLOOKUP(表格1[[#This Row],[PO+ITEM]],#REF!,2,FALSE)</f>
        <v>#REF!</v>
      </c>
      <c r="AV320" s="341" t="e">
        <f ca="1">VLOOKUP(表格1[[#This Row],[PO+ITEM]],#REF!,3,FALSE)</f>
        <v>#REF!</v>
      </c>
      <c r="AW320" s="208" t="e">
        <f ca="1">VLOOKUP(表格1[[#This Row],[PO+ITEM]],#REF!,4,FALSE)</f>
        <v>#REF!</v>
      </c>
      <c r="AX320" s="208" t="e" cm="1" vm="1">
        <f t="array" aca="1" ref="AX320" ca="1">VLOOKUP(AI:AI,#REF!,1,FALSE)</f>
        <v>#VALUE!</v>
      </c>
    </row>
    <row r="321" spans="1:50" ht="15.6">
      <c r="A321" s="220">
        <v>320</v>
      </c>
      <c r="B321" s="220" t="s">
        <v>3674</v>
      </c>
      <c r="C321" s="209" t="s">
        <v>16</v>
      </c>
      <c r="D321" s="209" t="s">
        <v>3648</v>
      </c>
      <c r="E321" s="209"/>
      <c r="F321" s="209"/>
      <c r="G321" s="209"/>
      <c r="H321" s="210" t="s">
        <v>4640</v>
      </c>
      <c r="I321" s="210"/>
      <c r="J321" s="211"/>
      <c r="K321" s="210"/>
      <c r="L321" s="212" t="s">
        <v>2999</v>
      </c>
      <c r="M321" s="212" t="s">
        <v>2999</v>
      </c>
      <c r="N321" s="213"/>
      <c r="O321" s="263">
        <v>4590004413</v>
      </c>
      <c r="P321" s="214">
        <v>44802</v>
      </c>
      <c r="Q321" s="334">
        <v>36</v>
      </c>
      <c r="R321" s="216">
        <v>4526.59</v>
      </c>
      <c r="S321" s="217" t="s">
        <v>2156</v>
      </c>
      <c r="T321" s="209" t="s">
        <v>3661</v>
      </c>
      <c r="U321" s="209" t="s">
        <v>3662</v>
      </c>
      <c r="V321" s="213" t="s">
        <v>3663</v>
      </c>
      <c r="W321" s="218" t="s">
        <v>3652</v>
      </c>
      <c r="X321" s="218" t="s">
        <v>3652</v>
      </c>
      <c r="Y321" s="212" t="s">
        <v>4563</v>
      </c>
      <c r="Z321" s="209" t="s">
        <v>3664</v>
      </c>
      <c r="AA321" s="219"/>
      <c r="AB321" s="218"/>
      <c r="AC321" s="217" t="e">
        <v>#N/A</v>
      </c>
      <c r="AD321" s="217">
        <v>90849</v>
      </c>
      <c r="AE321" s="217" t="s">
        <v>4641</v>
      </c>
      <c r="AF321" s="217" t="s">
        <v>3828</v>
      </c>
      <c r="AG321" s="217" t="s">
        <v>3719</v>
      </c>
      <c r="AH321" s="220" t="str">
        <f t="shared" si="19"/>
        <v>4590004413_036</v>
      </c>
      <c r="AI321" s="208"/>
      <c r="AJ321" s="225">
        <v>45108</v>
      </c>
      <c r="AK321" s="221">
        <v>1810.6360000000002</v>
      </c>
      <c r="AL321" s="244">
        <v>45212</v>
      </c>
      <c r="AM321" s="208"/>
      <c r="AN321" s="220"/>
      <c r="AO321" s="222"/>
      <c r="AP321" s="227"/>
      <c r="AQ321" s="358">
        <f ca="1">IF(表格1[[#This Row],[PO$]]="","100%",表格1[[#This Row],[total amount]]/表格1[[#This Row],[PO$]])</f>
        <v>0.4</v>
      </c>
      <c r="AR321" s="223">
        <f ca="1">表格1[[#This Row],[invoice amount]]+表格1[[#This Row],[invoice amount2]]</f>
        <v>1810.6360000000002</v>
      </c>
      <c r="AS321" s="224" t="s">
        <v>3673</v>
      </c>
      <c r="AT321" s="208"/>
      <c r="AU321" s="208" t="e">
        <f ca="1">VLOOKUP(表格1[[#This Row],[PO+ITEM]],#REF!,2,FALSE)</f>
        <v>#REF!</v>
      </c>
      <c r="AV321" s="341" t="e">
        <f ca="1">VLOOKUP(表格1[[#This Row],[PO+ITEM]],#REF!,3,FALSE)</f>
        <v>#REF!</v>
      </c>
      <c r="AW321" s="208" t="e">
        <f ca="1">VLOOKUP(表格1[[#This Row],[PO+ITEM]],#REF!,4,FALSE)</f>
        <v>#REF!</v>
      </c>
      <c r="AX321" s="208" t="e" cm="1" vm="1">
        <f t="array" aca="1" ref="AX321" ca="1">VLOOKUP(AI:AI,#REF!,1,FALSE)</f>
        <v>#VALUE!</v>
      </c>
    </row>
    <row r="322" spans="1:50" ht="15.6">
      <c r="A322" s="220">
        <v>321</v>
      </c>
      <c r="B322" s="220" t="s">
        <v>3674</v>
      </c>
      <c r="C322" s="209" t="s">
        <v>16</v>
      </c>
      <c r="D322" s="209" t="s">
        <v>3648</v>
      </c>
      <c r="E322" s="209"/>
      <c r="F322" s="209"/>
      <c r="G322" s="209"/>
      <c r="H322" s="210" t="s">
        <v>4643</v>
      </c>
      <c r="I322" s="210"/>
      <c r="J322" s="211"/>
      <c r="K322" s="210"/>
      <c r="L322" s="212" t="s">
        <v>2999</v>
      </c>
      <c r="M322" s="212" t="s">
        <v>2999</v>
      </c>
      <c r="N322" s="213"/>
      <c r="O322" s="263">
        <v>4590004413</v>
      </c>
      <c r="P322" s="214">
        <v>44802</v>
      </c>
      <c r="Q322" s="334">
        <v>37</v>
      </c>
      <c r="R322" s="349">
        <v>3713.47</v>
      </c>
      <c r="S322" s="217" t="s">
        <v>2156</v>
      </c>
      <c r="T322" s="209" t="s">
        <v>3661</v>
      </c>
      <c r="U322" s="209" t="s">
        <v>3662</v>
      </c>
      <c r="V322" s="213" t="s">
        <v>3663</v>
      </c>
      <c r="W322" s="218" t="s">
        <v>3652</v>
      </c>
      <c r="X322" s="218" t="s">
        <v>3652</v>
      </c>
      <c r="Y322" s="212" t="s">
        <v>4563</v>
      </c>
      <c r="Z322" s="209" t="s">
        <v>3664</v>
      </c>
      <c r="AA322" s="219"/>
      <c r="AB322" s="218"/>
      <c r="AC322" s="217" t="e">
        <v>#N/A</v>
      </c>
      <c r="AD322" s="217">
        <v>90132</v>
      </c>
      <c r="AE322" s="217" t="s">
        <v>3827</v>
      </c>
      <c r="AF322" s="217" t="s">
        <v>3828</v>
      </c>
      <c r="AG322" s="217" t="s">
        <v>3719</v>
      </c>
      <c r="AH322" s="220" t="str">
        <f t="shared" si="19"/>
        <v>4590004413_037</v>
      </c>
      <c r="AI322" s="217"/>
      <c r="AJ322" s="225">
        <v>45108</v>
      </c>
      <c r="AK322" s="221">
        <v>1485.3879999999999</v>
      </c>
      <c r="AL322" s="244">
        <v>45212</v>
      </c>
      <c r="AM322" s="217" t="s">
        <v>4644</v>
      </c>
      <c r="AN322" s="227">
        <v>45471</v>
      </c>
      <c r="AO322" s="222">
        <v>2228.08</v>
      </c>
      <c r="AP322" s="227"/>
      <c r="AQ322" s="358">
        <f ca="1">IF(表格1[[#This Row],[PO$]]="","100%",表格1[[#This Row],[total amount]]/表格1[[#This Row],[PO$]])</f>
        <v>0.99999946142018115</v>
      </c>
      <c r="AR322" s="223">
        <f ca="1">表格1[[#This Row],[invoice amount]]+表格1[[#This Row],[invoice amount2]]</f>
        <v>3713.4679999999998</v>
      </c>
      <c r="AS322" s="224" t="s">
        <v>4235</v>
      </c>
      <c r="AT322" s="208"/>
      <c r="AU322" s="208" t="e">
        <f ca="1">VLOOKUP(表格1[[#This Row],[PO+ITEM]],#REF!,2,FALSE)</f>
        <v>#REF!</v>
      </c>
      <c r="AV322" s="341" t="e">
        <f ca="1">VLOOKUP(表格1[[#This Row],[PO+ITEM]],#REF!,3,FALSE)</f>
        <v>#REF!</v>
      </c>
      <c r="AW322" s="208" t="e">
        <f ca="1">VLOOKUP(表格1[[#This Row],[PO+ITEM]],#REF!,4,FALSE)</f>
        <v>#REF!</v>
      </c>
      <c r="AX322" s="208" t="e" cm="1" vm="1">
        <f t="array" aca="1" ref="AX322" ca="1">VLOOKUP(AI:AI,#REF!,1,FALSE)</f>
        <v>#VALUE!</v>
      </c>
    </row>
    <row r="323" spans="1:50" ht="15.6">
      <c r="A323" s="220">
        <v>322</v>
      </c>
      <c r="B323" s="220" t="s">
        <v>3674</v>
      </c>
      <c r="C323" s="209" t="s">
        <v>16</v>
      </c>
      <c r="D323" s="209" t="s">
        <v>3648</v>
      </c>
      <c r="E323" s="209"/>
      <c r="F323" s="209"/>
      <c r="G323" s="209"/>
      <c r="H323" s="217" t="s">
        <v>4645</v>
      </c>
      <c r="I323" s="217"/>
      <c r="J323" s="215"/>
      <c r="K323" s="217"/>
      <c r="L323" s="212" t="s">
        <v>2999</v>
      </c>
      <c r="M323" s="212" t="s">
        <v>2999</v>
      </c>
      <c r="N323" s="213"/>
      <c r="O323" s="263">
        <v>4590004413</v>
      </c>
      <c r="P323" s="214">
        <v>44802</v>
      </c>
      <c r="Q323" s="334">
        <v>38</v>
      </c>
      <c r="R323" s="216">
        <v>4526.0600000000004</v>
      </c>
      <c r="S323" s="217" t="s">
        <v>2156</v>
      </c>
      <c r="T323" s="209" t="s">
        <v>3661</v>
      </c>
      <c r="U323" s="209" t="s">
        <v>3662</v>
      </c>
      <c r="V323" s="213" t="s">
        <v>3663</v>
      </c>
      <c r="W323" s="218" t="s">
        <v>3652</v>
      </c>
      <c r="X323" s="218" t="s">
        <v>3652</v>
      </c>
      <c r="Y323" s="212" t="s">
        <v>4563</v>
      </c>
      <c r="Z323" s="209" t="s">
        <v>3664</v>
      </c>
      <c r="AA323" s="219"/>
      <c r="AB323" s="218"/>
      <c r="AC323" s="217" t="e">
        <v>#N/A</v>
      </c>
      <c r="AD323" s="217">
        <v>90130</v>
      </c>
      <c r="AE323" s="217" t="s">
        <v>4091</v>
      </c>
      <c r="AF323" s="217" t="s">
        <v>3828</v>
      </c>
      <c r="AG323" s="217" t="s">
        <v>3719</v>
      </c>
      <c r="AH323" s="220" t="str">
        <f t="shared" si="19"/>
        <v>4590004413_038</v>
      </c>
      <c r="AI323" s="208"/>
      <c r="AJ323" s="225">
        <v>45108</v>
      </c>
      <c r="AK323" s="221">
        <v>1810.4240000000002</v>
      </c>
      <c r="AL323" s="244">
        <v>45212</v>
      </c>
      <c r="AM323" s="208" t="s">
        <v>4646</v>
      </c>
      <c r="AN323" s="227">
        <v>45506</v>
      </c>
      <c r="AO323" s="222">
        <v>2715.64</v>
      </c>
      <c r="AP323" s="227"/>
      <c r="AQ323" s="358">
        <f ca="1">IF(表格1[[#This Row],[PO$]]="","100%",表格1[[#This Row],[total amount]]/表格1[[#This Row],[PO$]])</f>
        <v>1.0000008837708736</v>
      </c>
      <c r="AR323" s="223">
        <f ca="1">表格1[[#This Row],[invoice amount]]+表格1[[#This Row],[invoice amount2]]</f>
        <v>4526.0640000000003</v>
      </c>
      <c r="AS323" s="224" t="s">
        <v>4235</v>
      </c>
      <c r="AT323" s="208"/>
      <c r="AU323" s="220" t="e">
        <f ca="1">VLOOKUP(表格1[[#This Row],[PO+ITEM]],#REF!,2,FALSE)</f>
        <v>#REF!</v>
      </c>
      <c r="AV323" s="341" t="e">
        <f ca="1">VLOOKUP(表格1[[#This Row],[PO+ITEM]],#REF!,3,FALSE)</f>
        <v>#REF!</v>
      </c>
      <c r="AW323" s="208" t="e">
        <f ca="1">VLOOKUP(表格1[[#This Row],[PO+ITEM]],#REF!,4,FALSE)</f>
        <v>#REF!</v>
      </c>
      <c r="AX323" s="208" t="e" cm="1" vm="1">
        <f t="array" aca="1" ref="AX323" ca="1">VLOOKUP(AI:AI,#REF!,1,FALSE)</f>
        <v>#VALUE!</v>
      </c>
    </row>
    <row r="324" spans="1:50">
      <c r="A324" s="220">
        <v>323</v>
      </c>
      <c r="B324" s="220" t="s">
        <v>3674</v>
      </c>
      <c r="C324" s="209" t="s">
        <v>16</v>
      </c>
      <c r="D324" s="209" t="s">
        <v>3648</v>
      </c>
      <c r="E324" s="209"/>
      <c r="F324" s="209"/>
      <c r="G324" s="209"/>
      <c r="H324" s="210" t="s">
        <v>4647</v>
      </c>
      <c r="I324" s="210"/>
      <c r="J324" s="211"/>
      <c r="K324" s="210"/>
      <c r="L324" s="212" t="s">
        <v>2999</v>
      </c>
      <c r="M324" s="212" t="s">
        <v>2999</v>
      </c>
      <c r="N324" s="213"/>
      <c r="O324" s="263">
        <v>4590004415</v>
      </c>
      <c r="P324" s="214">
        <v>44802</v>
      </c>
      <c r="Q324" s="334">
        <v>1</v>
      </c>
      <c r="R324" s="216">
        <v>4720.7</v>
      </c>
      <c r="S324" s="217" t="s">
        <v>2156</v>
      </c>
      <c r="T324" s="209" t="s">
        <v>3661</v>
      </c>
      <c r="U324" s="209" t="s">
        <v>3662</v>
      </c>
      <c r="V324" s="213" t="s">
        <v>3663</v>
      </c>
      <c r="W324" s="218" t="s">
        <v>3652</v>
      </c>
      <c r="X324" s="218" t="s">
        <v>3652</v>
      </c>
      <c r="Y324" s="212" t="s">
        <v>4648</v>
      </c>
      <c r="Z324" s="209" t="s">
        <v>3664</v>
      </c>
      <c r="AA324" s="219"/>
      <c r="AB324" s="218"/>
      <c r="AC324" s="217" t="e">
        <v>#N/A</v>
      </c>
      <c r="AD324" s="217">
        <v>90677</v>
      </c>
      <c r="AE324" s="217" t="s">
        <v>4649</v>
      </c>
      <c r="AF324" s="217" t="s">
        <v>3711</v>
      </c>
      <c r="AG324" s="217" t="s">
        <v>3719</v>
      </c>
      <c r="AH324" s="220" t="str">
        <f t="shared" ref="AH324:AH332" si="20">O324&amp;"_00"&amp;Q324</f>
        <v>4590004415_001</v>
      </c>
      <c r="AI324" s="208"/>
      <c r="AJ324" s="225">
        <v>45047</v>
      </c>
      <c r="AK324" s="221">
        <v>1888.28</v>
      </c>
      <c r="AL324" s="227">
        <v>45153</v>
      </c>
      <c r="AM324" s="208" t="s">
        <v>4650</v>
      </c>
      <c r="AN324" s="227">
        <v>45422</v>
      </c>
      <c r="AO324" s="222">
        <v>2832.42</v>
      </c>
      <c r="AP324" s="227" t="s">
        <v>3805</v>
      </c>
      <c r="AQ324" s="358">
        <f ca="1">IF(表格1[[#This Row],[PO$]]="","100%",表格1[[#This Row],[total amount]]/表格1[[#This Row],[PO$]])</f>
        <v>1</v>
      </c>
      <c r="AR324" s="223">
        <f ca="1">表格1[[#This Row],[invoice amount]]+表格1[[#This Row],[invoice amount2]]</f>
        <v>4720.7</v>
      </c>
      <c r="AS324" s="224" t="s">
        <v>4371</v>
      </c>
      <c r="AT324" s="208" t="s">
        <v>3657</v>
      </c>
      <c r="AU324" s="208" t="e">
        <f ca="1">VLOOKUP(表格1[[#This Row],[PO+ITEM]],#REF!,2,FALSE)</f>
        <v>#REF!</v>
      </c>
      <c r="AV324" s="341" t="e">
        <f ca="1">VLOOKUP(表格1[[#This Row],[PO+ITEM]],#REF!,3,FALSE)</f>
        <v>#REF!</v>
      </c>
      <c r="AW324" s="208" t="e">
        <f ca="1">VLOOKUP(表格1[[#This Row],[PO+ITEM]],#REF!,4,FALSE)</f>
        <v>#REF!</v>
      </c>
      <c r="AX324" s="208" t="e" cm="1" vm="1">
        <f t="array" aca="1" ref="AX324" ca="1">VLOOKUP(AI:AI,#REF!,1,FALSE)</f>
        <v>#VALUE!</v>
      </c>
    </row>
    <row r="325" spans="1:50">
      <c r="A325" s="220">
        <v>324</v>
      </c>
      <c r="B325" s="220" t="s">
        <v>3674</v>
      </c>
      <c r="C325" s="209" t="s">
        <v>16</v>
      </c>
      <c r="D325" s="209" t="s">
        <v>3648</v>
      </c>
      <c r="E325" s="209"/>
      <c r="F325" s="209"/>
      <c r="G325" s="209"/>
      <c r="H325" s="210" t="s">
        <v>4651</v>
      </c>
      <c r="I325" s="210"/>
      <c r="J325" s="211"/>
      <c r="K325" s="210"/>
      <c r="L325" s="212" t="s">
        <v>2999</v>
      </c>
      <c r="M325" s="212" t="s">
        <v>2999</v>
      </c>
      <c r="N325" s="213"/>
      <c r="O325" s="263">
        <v>4590004415</v>
      </c>
      <c r="P325" s="214">
        <v>44802</v>
      </c>
      <c r="Q325" s="334">
        <v>2</v>
      </c>
      <c r="R325" s="349">
        <v>4720.7</v>
      </c>
      <c r="S325" s="217" t="s">
        <v>2156</v>
      </c>
      <c r="T325" s="209" t="s">
        <v>3661</v>
      </c>
      <c r="U325" s="209" t="s">
        <v>3662</v>
      </c>
      <c r="V325" s="213" t="s">
        <v>3663</v>
      </c>
      <c r="W325" s="218" t="s">
        <v>3652</v>
      </c>
      <c r="X325" s="218" t="s">
        <v>3652</v>
      </c>
      <c r="Y325" s="212" t="s">
        <v>4648</v>
      </c>
      <c r="Z325" s="209" t="s">
        <v>3664</v>
      </c>
      <c r="AA325" s="219"/>
      <c r="AB325" s="218"/>
      <c r="AC325" s="217" t="e">
        <v>#N/A</v>
      </c>
      <c r="AD325" s="217">
        <v>90678</v>
      </c>
      <c r="AE325" s="217" t="s">
        <v>4652</v>
      </c>
      <c r="AF325" s="217" t="s">
        <v>3711</v>
      </c>
      <c r="AG325" s="217" t="s">
        <v>3719</v>
      </c>
      <c r="AH325" s="220" t="str">
        <f t="shared" si="20"/>
        <v>4590004415_002</v>
      </c>
      <c r="AI325" s="217"/>
      <c r="AJ325" s="225">
        <v>45047</v>
      </c>
      <c r="AK325" s="221">
        <v>1888.28</v>
      </c>
      <c r="AL325" s="227">
        <v>45153</v>
      </c>
      <c r="AM325" s="217" t="s">
        <v>4653</v>
      </c>
      <c r="AN325" s="227">
        <v>45471</v>
      </c>
      <c r="AO325" s="222">
        <v>2832.42</v>
      </c>
      <c r="AP325" s="227"/>
      <c r="AQ325" s="358">
        <f ca="1">IF(表格1[[#This Row],[PO$]]="","100%",表格1[[#This Row],[total amount]]/表格1[[#This Row],[PO$]])</f>
        <v>1</v>
      </c>
      <c r="AR325" s="223">
        <f ca="1">表格1[[#This Row],[invoice amount]]+表格1[[#This Row],[invoice amount2]]</f>
        <v>4720.7</v>
      </c>
      <c r="AS325" s="224" t="s">
        <v>4235</v>
      </c>
      <c r="AT325" s="208"/>
      <c r="AU325" s="208" t="e">
        <f ca="1">VLOOKUP(表格1[[#This Row],[PO+ITEM]],#REF!,2,FALSE)</f>
        <v>#REF!</v>
      </c>
      <c r="AV325" s="341" t="e">
        <f ca="1">VLOOKUP(表格1[[#This Row],[PO+ITEM]],#REF!,3,FALSE)</f>
        <v>#REF!</v>
      </c>
      <c r="AW325" s="208" t="e">
        <f ca="1">VLOOKUP(表格1[[#This Row],[PO+ITEM]],#REF!,4,FALSE)</f>
        <v>#REF!</v>
      </c>
      <c r="AX325" s="208" t="e" cm="1" vm="1">
        <f t="array" aca="1" ref="AX325" ca="1">VLOOKUP(AI:AI,#REF!,1,FALSE)</f>
        <v>#VALUE!</v>
      </c>
    </row>
    <row r="326" spans="1:50">
      <c r="A326" s="220">
        <v>325</v>
      </c>
      <c r="B326" s="220" t="s">
        <v>3674</v>
      </c>
      <c r="C326" s="209" t="s">
        <v>16</v>
      </c>
      <c r="D326" s="209" t="s">
        <v>3648</v>
      </c>
      <c r="E326" s="209"/>
      <c r="F326" s="209"/>
      <c r="G326" s="209"/>
      <c r="H326" s="217" t="s">
        <v>4654</v>
      </c>
      <c r="I326" s="217"/>
      <c r="J326" s="215"/>
      <c r="K326" s="217"/>
      <c r="L326" s="212" t="s">
        <v>2999</v>
      </c>
      <c r="M326" s="212" t="s">
        <v>2999</v>
      </c>
      <c r="N326" s="213"/>
      <c r="O326" s="263">
        <v>4590004415</v>
      </c>
      <c r="P326" s="214">
        <v>44802</v>
      </c>
      <c r="Q326" s="334">
        <v>3</v>
      </c>
      <c r="R326" s="349">
        <v>4720.7</v>
      </c>
      <c r="S326" s="217" t="s">
        <v>2156</v>
      </c>
      <c r="T326" s="209" t="s">
        <v>3661</v>
      </c>
      <c r="U326" s="209" t="s">
        <v>3662</v>
      </c>
      <c r="V326" s="213" t="s">
        <v>3663</v>
      </c>
      <c r="W326" s="218" t="s">
        <v>3652</v>
      </c>
      <c r="X326" s="218" t="s">
        <v>3652</v>
      </c>
      <c r="Y326" s="212" t="s">
        <v>4648</v>
      </c>
      <c r="Z326" s="209" t="s">
        <v>3664</v>
      </c>
      <c r="AA326" s="219"/>
      <c r="AB326" s="218"/>
      <c r="AC326" s="217" t="e">
        <v>#N/A</v>
      </c>
      <c r="AD326" s="217">
        <v>90679</v>
      </c>
      <c r="AE326" s="217" t="s">
        <v>4655</v>
      </c>
      <c r="AF326" s="217" t="s">
        <v>3711</v>
      </c>
      <c r="AG326" s="217" t="s">
        <v>3719</v>
      </c>
      <c r="AH326" s="220" t="str">
        <f t="shared" si="20"/>
        <v>4590004415_003</v>
      </c>
      <c r="AI326" s="217"/>
      <c r="AJ326" s="225">
        <v>45047</v>
      </c>
      <c r="AK326" s="221">
        <v>1888.28</v>
      </c>
      <c r="AL326" s="227">
        <v>45153</v>
      </c>
      <c r="AM326" s="217" t="s">
        <v>4656</v>
      </c>
      <c r="AN326" s="227">
        <v>45471</v>
      </c>
      <c r="AO326" s="222">
        <v>2832.42</v>
      </c>
      <c r="AP326" s="227"/>
      <c r="AQ326" s="358">
        <f ca="1">IF(表格1[[#This Row],[PO$]]="","100%",表格1[[#This Row],[total amount]]/表格1[[#This Row],[PO$]])</f>
        <v>1</v>
      </c>
      <c r="AR326" s="223">
        <f ca="1">表格1[[#This Row],[invoice amount]]+表格1[[#This Row],[invoice amount2]]</f>
        <v>4720.7</v>
      </c>
      <c r="AS326" s="224" t="s">
        <v>4235</v>
      </c>
      <c r="AT326" s="208"/>
      <c r="AU326" s="208" t="e">
        <f ca="1">VLOOKUP(表格1[[#This Row],[PO+ITEM]],#REF!,2,FALSE)</f>
        <v>#REF!</v>
      </c>
      <c r="AV326" s="341" t="e">
        <f ca="1">VLOOKUP(表格1[[#This Row],[PO+ITEM]],#REF!,3,FALSE)</f>
        <v>#REF!</v>
      </c>
      <c r="AW326" s="208" t="e">
        <f ca="1">VLOOKUP(表格1[[#This Row],[PO+ITEM]],#REF!,4,FALSE)</f>
        <v>#REF!</v>
      </c>
      <c r="AX326" s="208" t="e" cm="1" vm="1">
        <f t="array" aca="1" ref="AX326" ca="1">VLOOKUP(AI:AI,#REF!,1,FALSE)</f>
        <v>#VALUE!</v>
      </c>
    </row>
    <row r="327" spans="1:50">
      <c r="A327" s="220">
        <v>326</v>
      </c>
      <c r="B327" s="220" t="s">
        <v>3659</v>
      </c>
      <c r="C327" s="209" t="s">
        <v>16</v>
      </c>
      <c r="D327" s="209" t="s">
        <v>3648</v>
      </c>
      <c r="E327" s="209"/>
      <c r="F327" s="209"/>
      <c r="G327" s="209"/>
      <c r="H327" s="210" t="s">
        <v>4657</v>
      </c>
      <c r="I327" s="210"/>
      <c r="J327" s="211"/>
      <c r="K327" s="210"/>
      <c r="L327" s="212" t="s">
        <v>2999</v>
      </c>
      <c r="M327" s="212" t="s">
        <v>2999</v>
      </c>
      <c r="N327" s="213"/>
      <c r="O327" s="263">
        <v>4590004415</v>
      </c>
      <c r="P327" s="214">
        <v>44802</v>
      </c>
      <c r="Q327" s="334">
        <v>4</v>
      </c>
      <c r="R327" s="216">
        <v>4720.7</v>
      </c>
      <c r="S327" s="217" t="s">
        <v>2156</v>
      </c>
      <c r="T327" s="209" t="s">
        <v>3661</v>
      </c>
      <c r="U327" s="209" t="s">
        <v>3662</v>
      </c>
      <c r="V327" s="213" t="s">
        <v>3663</v>
      </c>
      <c r="W327" s="218" t="s">
        <v>3652</v>
      </c>
      <c r="X327" s="218" t="s">
        <v>3652</v>
      </c>
      <c r="Y327" s="212" t="s">
        <v>4648</v>
      </c>
      <c r="Z327" s="209" t="s">
        <v>3664</v>
      </c>
      <c r="AA327" s="219"/>
      <c r="AB327" s="218"/>
      <c r="AC327" s="217" t="e">
        <v>#N/A</v>
      </c>
      <c r="AD327" s="217">
        <v>90680</v>
      </c>
      <c r="AE327" s="217" t="s">
        <v>4658</v>
      </c>
      <c r="AF327" s="217" t="s">
        <v>3711</v>
      </c>
      <c r="AG327" s="217" t="s">
        <v>3719</v>
      </c>
      <c r="AH327" s="220" t="str">
        <f t="shared" si="20"/>
        <v>4590004415_004</v>
      </c>
      <c r="AI327" s="208"/>
      <c r="AJ327" s="225">
        <v>45047</v>
      </c>
      <c r="AK327" s="221">
        <v>1888.28</v>
      </c>
      <c r="AL327" s="227">
        <v>45153</v>
      </c>
      <c r="AM327" s="208"/>
      <c r="AN327" s="220"/>
      <c r="AO327" s="222"/>
      <c r="AP327" s="227"/>
      <c r="AQ327" s="358">
        <f ca="1">IF(表格1[[#This Row],[PO$]]="","100%",表格1[[#This Row],[total amount]]/表格1[[#This Row],[PO$]])</f>
        <v>0.4</v>
      </c>
      <c r="AR327" s="223">
        <f ca="1">表格1[[#This Row],[invoice amount]]+表格1[[#This Row],[invoice amount2]]</f>
        <v>1888.28</v>
      </c>
      <c r="AS327" s="224" t="s">
        <v>3673</v>
      </c>
      <c r="AT327" s="208"/>
      <c r="AU327" s="208" t="e">
        <f ca="1">VLOOKUP(表格1[[#This Row],[PO+ITEM]],#REF!,2,FALSE)</f>
        <v>#REF!</v>
      </c>
      <c r="AV327" s="341" t="e">
        <f ca="1">VLOOKUP(表格1[[#This Row],[PO+ITEM]],#REF!,3,FALSE)</f>
        <v>#REF!</v>
      </c>
      <c r="AW327" s="208" t="e">
        <f ca="1">VLOOKUP(表格1[[#This Row],[PO+ITEM]],#REF!,4,FALSE)</f>
        <v>#REF!</v>
      </c>
      <c r="AX327" s="208" t="e" cm="1" vm="1">
        <f t="array" aca="1" ref="AX327" ca="1">VLOOKUP(AI:AI,#REF!,1,FALSE)</f>
        <v>#VALUE!</v>
      </c>
    </row>
    <row r="328" spans="1:50">
      <c r="A328" s="220">
        <v>327</v>
      </c>
      <c r="B328" s="220" t="s">
        <v>3674</v>
      </c>
      <c r="C328" s="209" t="s">
        <v>16</v>
      </c>
      <c r="D328" s="209" t="s">
        <v>3648</v>
      </c>
      <c r="E328" s="209"/>
      <c r="F328" s="209"/>
      <c r="G328" s="209"/>
      <c r="H328" s="210" t="s">
        <v>4659</v>
      </c>
      <c r="I328" s="210"/>
      <c r="J328" s="211"/>
      <c r="K328" s="210"/>
      <c r="L328" s="212" t="s">
        <v>2999</v>
      </c>
      <c r="M328" s="212" t="s">
        <v>2999</v>
      </c>
      <c r="N328" s="213"/>
      <c r="O328" s="263">
        <v>4590004415</v>
      </c>
      <c r="P328" s="214">
        <v>44802</v>
      </c>
      <c r="Q328" s="334">
        <v>5</v>
      </c>
      <c r="R328" s="349">
        <v>4720.7</v>
      </c>
      <c r="S328" s="217" t="s">
        <v>2156</v>
      </c>
      <c r="T328" s="209" t="s">
        <v>3661</v>
      </c>
      <c r="U328" s="209" t="s">
        <v>3662</v>
      </c>
      <c r="V328" s="213" t="s">
        <v>3663</v>
      </c>
      <c r="W328" s="218" t="s">
        <v>3652</v>
      </c>
      <c r="X328" s="218" t="s">
        <v>3652</v>
      </c>
      <c r="Y328" s="212" t="s">
        <v>4648</v>
      </c>
      <c r="Z328" s="209" t="s">
        <v>3664</v>
      </c>
      <c r="AA328" s="219"/>
      <c r="AB328" s="218"/>
      <c r="AC328" s="217" t="e">
        <v>#N/A</v>
      </c>
      <c r="AD328" s="217">
        <v>90671</v>
      </c>
      <c r="AE328" s="217" t="s">
        <v>4660</v>
      </c>
      <c r="AF328" s="217" t="s">
        <v>3711</v>
      </c>
      <c r="AG328" s="217" t="s">
        <v>3719</v>
      </c>
      <c r="AH328" s="220" t="str">
        <f t="shared" si="20"/>
        <v>4590004415_005</v>
      </c>
      <c r="AI328" s="217"/>
      <c r="AJ328" s="225">
        <v>45047</v>
      </c>
      <c r="AK328" s="221">
        <v>1888.28</v>
      </c>
      <c r="AL328" s="227">
        <v>45153</v>
      </c>
      <c r="AM328" s="217" t="s">
        <v>4661</v>
      </c>
      <c r="AN328" s="227">
        <v>45471</v>
      </c>
      <c r="AO328" s="222">
        <v>2832.42</v>
      </c>
      <c r="AP328" s="227"/>
      <c r="AQ328" s="358">
        <f ca="1">IF(表格1[[#This Row],[PO$]]="","100%",表格1[[#This Row],[total amount]]/表格1[[#This Row],[PO$]])</f>
        <v>1</v>
      </c>
      <c r="AR328" s="223">
        <f ca="1">表格1[[#This Row],[invoice amount]]+表格1[[#This Row],[invoice amount2]]</f>
        <v>4720.7</v>
      </c>
      <c r="AS328" s="224" t="s">
        <v>4235</v>
      </c>
      <c r="AT328" s="208"/>
      <c r="AU328" s="208" t="e">
        <f ca="1">VLOOKUP(表格1[[#This Row],[PO+ITEM]],#REF!,2,FALSE)</f>
        <v>#REF!</v>
      </c>
      <c r="AV328" s="341" t="e">
        <f ca="1">VLOOKUP(表格1[[#This Row],[PO+ITEM]],#REF!,3,FALSE)</f>
        <v>#REF!</v>
      </c>
      <c r="AW328" s="208" t="e">
        <f ca="1">VLOOKUP(表格1[[#This Row],[PO+ITEM]],#REF!,4,FALSE)</f>
        <v>#REF!</v>
      </c>
      <c r="AX328" s="208" t="e" cm="1" vm="1">
        <f t="array" aca="1" ref="AX328" ca="1">VLOOKUP(AI:AI,#REF!,1,FALSE)</f>
        <v>#VALUE!</v>
      </c>
    </row>
    <row r="329" spans="1:50">
      <c r="A329" s="220">
        <v>328</v>
      </c>
      <c r="B329" s="220" t="s">
        <v>3674</v>
      </c>
      <c r="C329" s="209" t="s">
        <v>16</v>
      </c>
      <c r="D329" s="209" t="s">
        <v>3648</v>
      </c>
      <c r="E329" s="209"/>
      <c r="F329" s="209"/>
      <c r="G329" s="209"/>
      <c r="H329" s="217" t="s">
        <v>4662</v>
      </c>
      <c r="I329" s="217"/>
      <c r="J329" s="215"/>
      <c r="K329" s="217"/>
      <c r="L329" s="212" t="s">
        <v>2999</v>
      </c>
      <c r="M329" s="212" t="s">
        <v>2999</v>
      </c>
      <c r="N329" s="213"/>
      <c r="O329" s="263">
        <v>4590004415</v>
      </c>
      <c r="P329" s="214">
        <v>44802</v>
      </c>
      <c r="Q329" s="334">
        <v>6</v>
      </c>
      <c r="R329" s="349">
        <v>4720.7</v>
      </c>
      <c r="S329" s="217" t="s">
        <v>2156</v>
      </c>
      <c r="T329" s="209" t="s">
        <v>3661</v>
      </c>
      <c r="U329" s="209" t="s">
        <v>3662</v>
      </c>
      <c r="V329" s="213" t="s">
        <v>3663</v>
      </c>
      <c r="W329" s="218" t="s">
        <v>3652</v>
      </c>
      <c r="X329" s="218" t="s">
        <v>3652</v>
      </c>
      <c r="Y329" s="212" t="s">
        <v>4648</v>
      </c>
      <c r="Z329" s="209" t="s">
        <v>3664</v>
      </c>
      <c r="AA329" s="219"/>
      <c r="AB329" s="218"/>
      <c r="AC329" s="217" t="e">
        <v>#N/A</v>
      </c>
      <c r="AD329" s="217">
        <v>90672</v>
      </c>
      <c r="AE329" s="217" t="s">
        <v>4663</v>
      </c>
      <c r="AF329" s="217" t="s">
        <v>3711</v>
      </c>
      <c r="AG329" s="217" t="s">
        <v>3719</v>
      </c>
      <c r="AH329" s="220" t="str">
        <f t="shared" si="20"/>
        <v>4590004415_006</v>
      </c>
      <c r="AI329" s="217"/>
      <c r="AJ329" s="225">
        <v>45047</v>
      </c>
      <c r="AK329" s="221">
        <v>1888.28</v>
      </c>
      <c r="AL329" s="227">
        <v>45153</v>
      </c>
      <c r="AM329" s="217" t="s">
        <v>4664</v>
      </c>
      <c r="AN329" s="227">
        <v>45471</v>
      </c>
      <c r="AO329" s="222">
        <v>2832.42</v>
      </c>
      <c r="AP329" s="227"/>
      <c r="AQ329" s="358">
        <f ca="1">IF(表格1[[#This Row],[PO$]]="","100%",表格1[[#This Row],[total amount]]/表格1[[#This Row],[PO$]])</f>
        <v>1</v>
      </c>
      <c r="AR329" s="223">
        <f ca="1">表格1[[#This Row],[invoice amount]]+表格1[[#This Row],[invoice amount2]]</f>
        <v>4720.7</v>
      </c>
      <c r="AS329" s="224" t="s">
        <v>4235</v>
      </c>
      <c r="AT329" s="208"/>
      <c r="AU329" s="208" t="e">
        <f ca="1">VLOOKUP(表格1[[#This Row],[PO+ITEM]],#REF!,2,FALSE)</f>
        <v>#REF!</v>
      </c>
      <c r="AV329" s="341" t="e">
        <f ca="1">VLOOKUP(表格1[[#This Row],[PO+ITEM]],#REF!,3,FALSE)</f>
        <v>#REF!</v>
      </c>
      <c r="AW329" s="208" t="e">
        <f ca="1">VLOOKUP(表格1[[#This Row],[PO+ITEM]],#REF!,4,FALSE)</f>
        <v>#REF!</v>
      </c>
      <c r="AX329" s="208" t="e" cm="1" vm="1">
        <f t="array" aca="1" ref="AX329" ca="1">VLOOKUP(AI:AI,#REF!,1,FALSE)</f>
        <v>#VALUE!</v>
      </c>
    </row>
    <row r="330" spans="1:50">
      <c r="A330" s="220">
        <v>329</v>
      </c>
      <c r="B330" s="220" t="s">
        <v>3674</v>
      </c>
      <c r="C330" s="209" t="s">
        <v>16</v>
      </c>
      <c r="D330" s="209" t="s">
        <v>3648</v>
      </c>
      <c r="E330" s="209"/>
      <c r="F330" s="209"/>
      <c r="G330" s="209"/>
      <c r="H330" s="217" t="s">
        <v>4665</v>
      </c>
      <c r="I330" s="217"/>
      <c r="J330" s="215"/>
      <c r="K330" s="217"/>
      <c r="L330" s="212" t="s">
        <v>2999</v>
      </c>
      <c r="M330" s="212" t="s">
        <v>2999</v>
      </c>
      <c r="N330" s="213"/>
      <c r="O330" s="263">
        <v>4590004415</v>
      </c>
      <c r="P330" s="214">
        <v>44802</v>
      </c>
      <c r="Q330" s="334">
        <v>7</v>
      </c>
      <c r="R330" s="349">
        <v>4720.7</v>
      </c>
      <c r="S330" s="217" t="s">
        <v>2156</v>
      </c>
      <c r="T330" s="209" t="s">
        <v>3661</v>
      </c>
      <c r="U330" s="209" t="s">
        <v>3662</v>
      </c>
      <c r="V330" s="213" t="s">
        <v>3663</v>
      </c>
      <c r="W330" s="218" t="s">
        <v>3652</v>
      </c>
      <c r="X330" s="218" t="s">
        <v>3652</v>
      </c>
      <c r="Y330" s="212" t="s">
        <v>4648</v>
      </c>
      <c r="Z330" s="209" t="s">
        <v>3664</v>
      </c>
      <c r="AA330" s="219"/>
      <c r="AB330" s="218"/>
      <c r="AC330" s="217" t="e">
        <v>#N/A</v>
      </c>
      <c r="AD330" s="217">
        <v>90673</v>
      </c>
      <c r="AE330" s="217" t="s">
        <v>4666</v>
      </c>
      <c r="AF330" s="217" t="s">
        <v>3711</v>
      </c>
      <c r="AG330" s="217" t="s">
        <v>3719</v>
      </c>
      <c r="AH330" s="220" t="str">
        <f t="shared" si="20"/>
        <v>4590004415_007</v>
      </c>
      <c r="AI330" s="217"/>
      <c r="AJ330" s="225">
        <v>45047</v>
      </c>
      <c r="AK330" s="221">
        <v>1888.28</v>
      </c>
      <c r="AL330" s="227">
        <v>45153</v>
      </c>
      <c r="AM330" s="217" t="s">
        <v>4667</v>
      </c>
      <c r="AN330" s="227">
        <v>45471</v>
      </c>
      <c r="AO330" s="222">
        <v>2832.42</v>
      </c>
      <c r="AP330" s="227"/>
      <c r="AQ330" s="358">
        <f ca="1">IF(表格1[[#This Row],[PO$]]="","100%",表格1[[#This Row],[total amount]]/表格1[[#This Row],[PO$]])</f>
        <v>1</v>
      </c>
      <c r="AR330" s="223">
        <f ca="1">表格1[[#This Row],[invoice amount]]+表格1[[#This Row],[invoice amount2]]</f>
        <v>4720.7</v>
      </c>
      <c r="AS330" s="224" t="s">
        <v>4235</v>
      </c>
      <c r="AT330" s="208"/>
      <c r="AU330" s="208" t="e">
        <f ca="1">VLOOKUP(表格1[[#This Row],[PO+ITEM]],#REF!,2,FALSE)</f>
        <v>#REF!</v>
      </c>
      <c r="AV330" s="341" t="e">
        <f ca="1">VLOOKUP(表格1[[#This Row],[PO+ITEM]],#REF!,3,FALSE)</f>
        <v>#REF!</v>
      </c>
      <c r="AW330" s="208" t="e">
        <f ca="1">VLOOKUP(表格1[[#This Row],[PO+ITEM]],#REF!,4,FALSE)</f>
        <v>#REF!</v>
      </c>
      <c r="AX330" s="208" t="e" cm="1" vm="1">
        <f t="array" aca="1" ref="AX330" ca="1">VLOOKUP(AI:AI,#REF!,1,FALSE)</f>
        <v>#VALUE!</v>
      </c>
    </row>
    <row r="331" spans="1:50">
      <c r="A331" s="220">
        <v>330</v>
      </c>
      <c r="B331" s="220" t="s">
        <v>3674</v>
      </c>
      <c r="C331" s="209" t="s">
        <v>16</v>
      </c>
      <c r="D331" s="209" t="s">
        <v>3648</v>
      </c>
      <c r="E331" s="209"/>
      <c r="F331" s="209"/>
      <c r="G331" s="209"/>
      <c r="H331" s="210" t="s">
        <v>4668</v>
      </c>
      <c r="I331" s="210"/>
      <c r="J331" s="211"/>
      <c r="K331" s="210"/>
      <c r="L331" s="212" t="s">
        <v>2999</v>
      </c>
      <c r="M331" s="212" t="s">
        <v>2999</v>
      </c>
      <c r="N331" s="213"/>
      <c r="O331" s="263">
        <v>4590004415</v>
      </c>
      <c r="P331" s="214">
        <v>44802</v>
      </c>
      <c r="Q331" s="334">
        <v>8</v>
      </c>
      <c r="R331" s="349">
        <v>4720.7</v>
      </c>
      <c r="S331" s="217" t="s">
        <v>2156</v>
      </c>
      <c r="T331" s="209" t="s">
        <v>3661</v>
      </c>
      <c r="U331" s="209" t="s">
        <v>3662</v>
      </c>
      <c r="V331" s="213" t="s">
        <v>3663</v>
      </c>
      <c r="W331" s="218" t="s">
        <v>3652</v>
      </c>
      <c r="X331" s="218" t="s">
        <v>3652</v>
      </c>
      <c r="Y331" s="212" t="s">
        <v>4648</v>
      </c>
      <c r="Z331" s="209" t="s">
        <v>3664</v>
      </c>
      <c r="AA331" s="219"/>
      <c r="AB331" s="218"/>
      <c r="AC331" s="217" t="e">
        <v>#N/A</v>
      </c>
      <c r="AD331" s="217">
        <v>90674</v>
      </c>
      <c r="AE331" s="217" t="s">
        <v>4669</v>
      </c>
      <c r="AF331" s="217" t="s">
        <v>3711</v>
      </c>
      <c r="AG331" s="217" t="s">
        <v>3719</v>
      </c>
      <c r="AH331" s="220" t="str">
        <f t="shared" si="20"/>
        <v>4590004415_008</v>
      </c>
      <c r="AI331" s="217"/>
      <c r="AJ331" s="225">
        <v>45047</v>
      </c>
      <c r="AK331" s="221">
        <v>1888.28</v>
      </c>
      <c r="AL331" s="227">
        <v>45153</v>
      </c>
      <c r="AM331" s="217" t="s">
        <v>4670</v>
      </c>
      <c r="AN331" s="227">
        <v>45471</v>
      </c>
      <c r="AO331" s="222">
        <v>2832.42</v>
      </c>
      <c r="AP331" s="227"/>
      <c r="AQ331" s="358">
        <f ca="1">IF(表格1[[#This Row],[PO$]]="","100%",表格1[[#This Row],[total amount]]/表格1[[#This Row],[PO$]])</f>
        <v>1</v>
      </c>
      <c r="AR331" s="223">
        <f ca="1">表格1[[#This Row],[invoice amount]]+表格1[[#This Row],[invoice amount2]]</f>
        <v>4720.7</v>
      </c>
      <c r="AS331" s="224" t="s">
        <v>4235</v>
      </c>
      <c r="AT331" s="208"/>
      <c r="AU331" s="208" t="e">
        <f ca="1">VLOOKUP(表格1[[#This Row],[PO+ITEM]],#REF!,2,FALSE)</f>
        <v>#REF!</v>
      </c>
      <c r="AV331" s="341" t="e">
        <f ca="1">VLOOKUP(表格1[[#This Row],[PO+ITEM]],#REF!,3,FALSE)</f>
        <v>#REF!</v>
      </c>
      <c r="AW331" s="208" t="e">
        <f ca="1">VLOOKUP(表格1[[#This Row],[PO+ITEM]],#REF!,4,FALSE)</f>
        <v>#REF!</v>
      </c>
      <c r="AX331" s="208" t="e" cm="1" vm="1">
        <f t="array" aca="1" ref="AX331" ca="1">VLOOKUP(AI:AI,#REF!,1,FALSE)</f>
        <v>#VALUE!</v>
      </c>
    </row>
    <row r="332" spans="1:50">
      <c r="A332" s="220">
        <v>331</v>
      </c>
      <c r="B332" s="220" t="s">
        <v>3674</v>
      </c>
      <c r="C332" s="209" t="s">
        <v>16</v>
      </c>
      <c r="D332" s="209" t="s">
        <v>3648</v>
      </c>
      <c r="E332" s="209"/>
      <c r="F332" s="209"/>
      <c r="G332" s="209"/>
      <c r="H332" s="217" t="s">
        <v>4671</v>
      </c>
      <c r="I332" s="217"/>
      <c r="J332" s="215"/>
      <c r="K332" s="217"/>
      <c r="L332" s="212" t="s">
        <v>2999</v>
      </c>
      <c r="M332" s="212" t="s">
        <v>2999</v>
      </c>
      <c r="N332" s="213"/>
      <c r="O332" s="263">
        <v>4590004415</v>
      </c>
      <c r="P332" s="214">
        <v>44802</v>
      </c>
      <c r="Q332" s="334">
        <v>9</v>
      </c>
      <c r="R332" s="349">
        <v>4720.7</v>
      </c>
      <c r="S332" s="217" t="s">
        <v>2156</v>
      </c>
      <c r="T332" s="209" t="s">
        <v>3661</v>
      </c>
      <c r="U332" s="209" t="s">
        <v>3662</v>
      </c>
      <c r="V332" s="213" t="s">
        <v>3663</v>
      </c>
      <c r="W332" s="218" t="s">
        <v>3652</v>
      </c>
      <c r="X332" s="218" t="s">
        <v>3652</v>
      </c>
      <c r="Y332" s="212" t="s">
        <v>4648</v>
      </c>
      <c r="Z332" s="209" t="s">
        <v>3664</v>
      </c>
      <c r="AA332" s="219"/>
      <c r="AB332" s="218"/>
      <c r="AC332" s="217" t="e">
        <v>#N/A</v>
      </c>
      <c r="AD332" s="217">
        <v>90675</v>
      </c>
      <c r="AE332" s="217" t="s">
        <v>4672</v>
      </c>
      <c r="AF332" s="217" t="s">
        <v>3711</v>
      </c>
      <c r="AG332" s="217" t="s">
        <v>3719</v>
      </c>
      <c r="AH332" s="220" t="str">
        <f t="shared" si="20"/>
        <v>4590004415_009</v>
      </c>
      <c r="AI332" s="217"/>
      <c r="AJ332" s="225">
        <v>45047</v>
      </c>
      <c r="AK332" s="221">
        <v>1888.28</v>
      </c>
      <c r="AL332" s="227">
        <v>45153</v>
      </c>
      <c r="AM332" s="217" t="s">
        <v>4673</v>
      </c>
      <c r="AN332" s="227">
        <v>45471</v>
      </c>
      <c r="AO332" s="222">
        <v>2832.42</v>
      </c>
      <c r="AP332" s="227"/>
      <c r="AQ332" s="358">
        <f ca="1">IF(表格1[[#This Row],[PO$]]="","100%",表格1[[#This Row],[total amount]]/表格1[[#This Row],[PO$]])</f>
        <v>1</v>
      </c>
      <c r="AR332" s="223">
        <f ca="1">表格1[[#This Row],[invoice amount]]+表格1[[#This Row],[invoice amount2]]</f>
        <v>4720.7</v>
      </c>
      <c r="AS332" s="224" t="s">
        <v>4235</v>
      </c>
      <c r="AT332" s="208"/>
      <c r="AU332" s="208" t="e">
        <f ca="1">VLOOKUP(表格1[[#This Row],[PO+ITEM]],#REF!,2,FALSE)</f>
        <v>#REF!</v>
      </c>
      <c r="AV332" s="341" t="e">
        <f ca="1">VLOOKUP(表格1[[#This Row],[PO+ITEM]],#REF!,3,FALSE)</f>
        <v>#REF!</v>
      </c>
      <c r="AW332" s="208" t="e">
        <f ca="1">VLOOKUP(表格1[[#This Row],[PO+ITEM]],#REF!,4,FALSE)</f>
        <v>#REF!</v>
      </c>
      <c r="AX332" s="208" t="e" cm="1" vm="1">
        <f t="array" aca="1" ref="AX332" ca="1">VLOOKUP(AI:AI,#REF!,1,FALSE)</f>
        <v>#VALUE!</v>
      </c>
    </row>
    <row r="333" spans="1:50">
      <c r="A333" s="220">
        <v>332</v>
      </c>
      <c r="B333" s="220" t="s">
        <v>3674</v>
      </c>
      <c r="C333" s="209" t="s">
        <v>16</v>
      </c>
      <c r="D333" s="209" t="s">
        <v>3648</v>
      </c>
      <c r="E333" s="209"/>
      <c r="F333" s="209"/>
      <c r="G333" s="209"/>
      <c r="H333" s="210" t="s">
        <v>4674</v>
      </c>
      <c r="I333" s="210"/>
      <c r="J333" s="211"/>
      <c r="K333" s="210"/>
      <c r="L333" s="212" t="s">
        <v>2999</v>
      </c>
      <c r="M333" s="212" t="s">
        <v>2999</v>
      </c>
      <c r="N333" s="213"/>
      <c r="O333" s="263">
        <v>4590004415</v>
      </c>
      <c r="P333" s="214">
        <v>44802</v>
      </c>
      <c r="Q333" s="334">
        <v>10</v>
      </c>
      <c r="R333" s="349">
        <v>4720.7</v>
      </c>
      <c r="S333" s="217" t="s">
        <v>2156</v>
      </c>
      <c r="T333" s="209" t="s">
        <v>3661</v>
      </c>
      <c r="U333" s="209" t="s">
        <v>3662</v>
      </c>
      <c r="V333" s="213" t="s">
        <v>3663</v>
      </c>
      <c r="W333" s="218" t="s">
        <v>3652</v>
      </c>
      <c r="X333" s="218" t="s">
        <v>3652</v>
      </c>
      <c r="Y333" s="212" t="s">
        <v>4648</v>
      </c>
      <c r="Z333" s="209" t="s">
        <v>3664</v>
      </c>
      <c r="AA333" s="219"/>
      <c r="AB333" s="218"/>
      <c r="AC333" s="217" t="e">
        <v>#N/A</v>
      </c>
      <c r="AD333" s="217">
        <v>90676</v>
      </c>
      <c r="AE333" s="217" t="s">
        <v>4675</v>
      </c>
      <c r="AF333" s="217" t="s">
        <v>3711</v>
      </c>
      <c r="AG333" s="217" t="s">
        <v>3719</v>
      </c>
      <c r="AH333" s="220" t="str">
        <f t="shared" ref="AH333:AH356" si="21">O333&amp;"_0"&amp;Q333</f>
        <v>4590004415_010</v>
      </c>
      <c r="AI333" s="217"/>
      <c r="AJ333" s="225">
        <v>45047</v>
      </c>
      <c r="AK333" s="221">
        <v>1888.28</v>
      </c>
      <c r="AL333" s="227">
        <v>45153</v>
      </c>
      <c r="AM333" s="217" t="s">
        <v>4676</v>
      </c>
      <c r="AN333" s="227">
        <v>45471</v>
      </c>
      <c r="AO333" s="222">
        <v>2832.42</v>
      </c>
      <c r="AP333" s="227"/>
      <c r="AQ333" s="358">
        <f ca="1">IF(表格1[[#This Row],[PO$]]="","100%",表格1[[#This Row],[total amount]]/表格1[[#This Row],[PO$]])</f>
        <v>1</v>
      </c>
      <c r="AR333" s="223">
        <f ca="1">表格1[[#This Row],[invoice amount]]+表格1[[#This Row],[invoice amount2]]</f>
        <v>4720.7</v>
      </c>
      <c r="AS333" s="224" t="s">
        <v>4235</v>
      </c>
      <c r="AT333" s="208"/>
      <c r="AU333" s="208" t="e">
        <f ca="1">VLOOKUP(表格1[[#This Row],[PO+ITEM]],#REF!,2,FALSE)</f>
        <v>#REF!</v>
      </c>
      <c r="AV333" s="341" t="e">
        <f ca="1">VLOOKUP(表格1[[#This Row],[PO+ITEM]],#REF!,3,FALSE)</f>
        <v>#REF!</v>
      </c>
      <c r="AW333" s="208" t="e">
        <f ca="1">VLOOKUP(表格1[[#This Row],[PO+ITEM]],#REF!,4,FALSE)</f>
        <v>#REF!</v>
      </c>
      <c r="AX333" s="208" t="e" cm="1" vm="1">
        <f t="array" aca="1" ref="AX333" ca="1">VLOOKUP(AI:AI,#REF!,1,FALSE)</f>
        <v>#VALUE!</v>
      </c>
    </row>
    <row r="334" spans="1:50">
      <c r="A334" s="220">
        <v>333</v>
      </c>
      <c r="B334" s="220" t="s">
        <v>3674</v>
      </c>
      <c r="C334" s="209" t="s">
        <v>16</v>
      </c>
      <c r="D334" s="209" t="s">
        <v>3648</v>
      </c>
      <c r="E334" s="209"/>
      <c r="F334" s="209"/>
      <c r="G334" s="209"/>
      <c r="H334" s="210" t="s">
        <v>4677</v>
      </c>
      <c r="I334" s="210"/>
      <c r="J334" s="211"/>
      <c r="K334" s="210"/>
      <c r="L334" s="212" t="s">
        <v>2999</v>
      </c>
      <c r="M334" s="212" t="s">
        <v>2999</v>
      </c>
      <c r="N334" s="213"/>
      <c r="O334" s="263">
        <v>4590004415</v>
      </c>
      <c r="P334" s="214">
        <v>44802</v>
      </c>
      <c r="Q334" s="334">
        <v>11</v>
      </c>
      <c r="R334" s="349">
        <v>4720.7</v>
      </c>
      <c r="S334" s="217" t="s">
        <v>2156</v>
      </c>
      <c r="T334" s="209" t="s">
        <v>3661</v>
      </c>
      <c r="U334" s="209" t="s">
        <v>3662</v>
      </c>
      <c r="V334" s="213" t="s">
        <v>3663</v>
      </c>
      <c r="W334" s="218" t="s">
        <v>3652</v>
      </c>
      <c r="X334" s="218" t="s">
        <v>3652</v>
      </c>
      <c r="Y334" s="212" t="s">
        <v>4648</v>
      </c>
      <c r="Z334" s="209" t="s">
        <v>3664</v>
      </c>
      <c r="AA334" s="219"/>
      <c r="AB334" s="218"/>
      <c r="AC334" s="217" t="e">
        <v>#N/A</v>
      </c>
      <c r="AD334" s="217">
        <v>90520</v>
      </c>
      <c r="AE334" s="217" t="s">
        <v>4678</v>
      </c>
      <c r="AF334" s="217" t="s">
        <v>3711</v>
      </c>
      <c r="AG334" s="217" t="s">
        <v>3719</v>
      </c>
      <c r="AH334" s="220" t="str">
        <f t="shared" si="21"/>
        <v>4590004415_011</v>
      </c>
      <c r="AI334" s="217"/>
      <c r="AJ334" s="225">
        <v>45108</v>
      </c>
      <c r="AK334" s="221">
        <v>1888.28</v>
      </c>
      <c r="AL334" s="227">
        <v>45198</v>
      </c>
      <c r="AM334" s="217" t="s">
        <v>4679</v>
      </c>
      <c r="AN334" s="227">
        <v>45471</v>
      </c>
      <c r="AO334" s="222">
        <v>2832.42</v>
      </c>
      <c r="AP334" s="227"/>
      <c r="AQ334" s="358">
        <f ca="1">IF(表格1[[#This Row],[PO$]]="","100%",表格1[[#This Row],[total amount]]/表格1[[#This Row],[PO$]])</f>
        <v>1</v>
      </c>
      <c r="AR334" s="223">
        <f ca="1">表格1[[#This Row],[invoice amount]]+表格1[[#This Row],[invoice amount2]]</f>
        <v>4720.7</v>
      </c>
      <c r="AS334" s="224" t="s">
        <v>4235</v>
      </c>
      <c r="AT334" s="208"/>
      <c r="AU334" s="208" t="e">
        <f ca="1">VLOOKUP(表格1[[#This Row],[PO+ITEM]],#REF!,2,FALSE)</f>
        <v>#REF!</v>
      </c>
      <c r="AV334" s="341" t="e">
        <f ca="1">VLOOKUP(表格1[[#This Row],[PO+ITEM]],#REF!,3,FALSE)</f>
        <v>#REF!</v>
      </c>
      <c r="AW334" s="208" t="e">
        <f ca="1">VLOOKUP(表格1[[#This Row],[PO+ITEM]],#REF!,4,FALSE)</f>
        <v>#REF!</v>
      </c>
      <c r="AX334" s="208" t="e" cm="1" vm="1">
        <f t="array" aca="1" ref="AX334" ca="1">VLOOKUP(AI:AI,#REF!,1,FALSE)</f>
        <v>#VALUE!</v>
      </c>
    </row>
    <row r="335" spans="1:50">
      <c r="A335" s="220">
        <v>334</v>
      </c>
      <c r="B335" s="220" t="s">
        <v>3674</v>
      </c>
      <c r="C335" s="209" t="s">
        <v>16</v>
      </c>
      <c r="D335" s="209" t="s">
        <v>3648</v>
      </c>
      <c r="E335" s="209"/>
      <c r="F335" s="209"/>
      <c r="G335" s="209"/>
      <c r="H335" s="217" t="s">
        <v>4680</v>
      </c>
      <c r="I335" s="217"/>
      <c r="J335" s="215"/>
      <c r="K335" s="217"/>
      <c r="L335" s="212" t="s">
        <v>2999</v>
      </c>
      <c r="M335" s="212" t="s">
        <v>2999</v>
      </c>
      <c r="N335" s="213"/>
      <c r="O335" s="263">
        <v>4590004415</v>
      </c>
      <c r="P335" s="214">
        <v>44802</v>
      </c>
      <c r="Q335" s="334">
        <v>12</v>
      </c>
      <c r="R335" s="349">
        <v>4720.7</v>
      </c>
      <c r="S335" s="217" t="s">
        <v>2156</v>
      </c>
      <c r="T335" s="209" t="s">
        <v>3661</v>
      </c>
      <c r="U335" s="209" t="s">
        <v>3662</v>
      </c>
      <c r="V335" s="213" t="s">
        <v>3663</v>
      </c>
      <c r="W335" s="218" t="s">
        <v>3652</v>
      </c>
      <c r="X335" s="218" t="s">
        <v>3652</v>
      </c>
      <c r="Y335" s="212" t="s">
        <v>4648</v>
      </c>
      <c r="Z335" s="209" t="s">
        <v>3664</v>
      </c>
      <c r="AA335" s="219"/>
      <c r="AB335" s="218"/>
      <c r="AC335" s="217" t="e">
        <v>#N/A</v>
      </c>
      <c r="AD335" s="217">
        <v>90521</v>
      </c>
      <c r="AE335" s="217" t="s">
        <v>4681</v>
      </c>
      <c r="AF335" s="217" t="s">
        <v>3711</v>
      </c>
      <c r="AG335" s="217" t="s">
        <v>3719</v>
      </c>
      <c r="AH335" s="220" t="str">
        <f t="shared" si="21"/>
        <v>4590004415_012</v>
      </c>
      <c r="AI335" s="217"/>
      <c r="AJ335" s="225">
        <v>45108</v>
      </c>
      <c r="AK335" s="221">
        <v>1888.28</v>
      </c>
      <c r="AL335" s="227">
        <v>45198</v>
      </c>
      <c r="AM335" s="217" t="s">
        <v>4682</v>
      </c>
      <c r="AN335" s="227">
        <v>45471</v>
      </c>
      <c r="AO335" s="222">
        <v>2832.42</v>
      </c>
      <c r="AP335" s="227"/>
      <c r="AQ335" s="358">
        <f ca="1">IF(表格1[[#This Row],[PO$]]="","100%",表格1[[#This Row],[total amount]]/表格1[[#This Row],[PO$]])</f>
        <v>1</v>
      </c>
      <c r="AR335" s="223">
        <f ca="1">表格1[[#This Row],[invoice amount]]+表格1[[#This Row],[invoice amount2]]</f>
        <v>4720.7</v>
      </c>
      <c r="AS335" s="224" t="s">
        <v>4235</v>
      </c>
      <c r="AT335" s="208"/>
      <c r="AU335" s="208" t="e">
        <f ca="1">VLOOKUP(表格1[[#This Row],[PO+ITEM]],#REF!,2,FALSE)</f>
        <v>#REF!</v>
      </c>
      <c r="AV335" s="341" t="e">
        <f ca="1">VLOOKUP(表格1[[#This Row],[PO+ITEM]],#REF!,3,FALSE)</f>
        <v>#REF!</v>
      </c>
      <c r="AW335" s="208" t="e">
        <f ca="1">VLOOKUP(表格1[[#This Row],[PO+ITEM]],#REF!,4,FALSE)</f>
        <v>#REF!</v>
      </c>
      <c r="AX335" s="208" t="e" cm="1" vm="1">
        <f t="array" aca="1" ref="AX335" ca="1">VLOOKUP(AI:AI,#REF!,1,FALSE)</f>
        <v>#VALUE!</v>
      </c>
    </row>
    <row r="336" spans="1:50">
      <c r="A336" s="220">
        <v>335</v>
      </c>
      <c r="B336" s="220" t="s">
        <v>3674</v>
      </c>
      <c r="C336" s="209" t="s">
        <v>16</v>
      </c>
      <c r="D336" s="209" t="s">
        <v>3648</v>
      </c>
      <c r="E336" s="209"/>
      <c r="F336" s="209"/>
      <c r="G336" s="209"/>
      <c r="H336" s="217" t="s">
        <v>4683</v>
      </c>
      <c r="I336" s="217"/>
      <c r="J336" s="215"/>
      <c r="K336" s="217"/>
      <c r="L336" s="212" t="s">
        <v>2999</v>
      </c>
      <c r="M336" s="212" t="s">
        <v>2999</v>
      </c>
      <c r="N336" s="213"/>
      <c r="O336" s="263">
        <v>4590004415</v>
      </c>
      <c r="P336" s="214">
        <v>44802</v>
      </c>
      <c r="Q336" s="334">
        <v>13</v>
      </c>
      <c r="R336" s="349">
        <v>4720.7</v>
      </c>
      <c r="S336" s="217" t="s">
        <v>2156</v>
      </c>
      <c r="T336" s="209" t="s">
        <v>3661</v>
      </c>
      <c r="U336" s="209" t="s">
        <v>3662</v>
      </c>
      <c r="V336" s="213" t="s">
        <v>3663</v>
      </c>
      <c r="W336" s="218" t="s">
        <v>3652</v>
      </c>
      <c r="X336" s="218" t="s">
        <v>3652</v>
      </c>
      <c r="Y336" s="212" t="s">
        <v>4648</v>
      </c>
      <c r="Z336" s="209" t="s">
        <v>3664</v>
      </c>
      <c r="AA336" s="219"/>
      <c r="AB336" s="218"/>
      <c r="AC336" s="217" t="e">
        <v>#N/A</v>
      </c>
      <c r="AD336" s="217">
        <v>90522</v>
      </c>
      <c r="AE336" s="217" t="s">
        <v>4684</v>
      </c>
      <c r="AF336" s="217" t="s">
        <v>3711</v>
      </c>
      <c r="AG336" s="217" t="s">
        <v>3719</v>
      </c>
      <c r="AH336" s="220" t="str">
        <f t="shared" si="21"/>
        <v>4590004415_013</v>
      </c>
      <c r="AI336" s="217"/>
      <c r="AJ336" s="225">
        <v>45108</v>
      </c>
      <c r="AK336" s="221">
        <v>1888.28</v>
      </c>
      <c r="AL336" s="227">
        <v>45198</v>
      </c>
      <c r="AM336" s="217" t="s">
        <v>4685</v>
      </c>
      <c r="AN336" s="227">
        <v>45471</v>
      </c>
      <c r="AO336" s="222">
        <v>2832.42</v>
      </c>
      <c r="AP336" s="227"/>
      <c r="AQ336" s="358">
        <f ca="1">IF(表格1[[#This Row],[PO$]]="","100%",表格1[[#This Row],[total amount]]/表格1[[#This Row],[PO$]])</f>
        <v>1</v>
      </c>
      <c r="AR336" s="223">
        <f ca="1">表格1[[#This Row],[invoice amount]]+表格1[[#This Row],[invoice amount2]]</f>
        <v>4720.7</v>
      </c>
      <c r="AS336" s="224" t="s">
        <v>4235</v>
      </c>
      <c r="AT336" s="208"/>
      <c r="AU336" s="208" t="e">
        <f ca="1">VLOOKUP(表格1[[#This Row],[PO+ITEM]],#REF!,2,FALSE)</f>
        <v>#REF!</v>
      </c>
      <c r="AV336" s="341" t="e">
        <f ca="1">VLOOKUP(表格1[[#This Row],[PO+ITEM]],#REF!,3,FALSE)</f>
        <v>#REF!</v>
      </c>
      <c r="AW336" s="208" t="e">
        <f ca="1">VLOOKUP(表格1[[#This Row],[PO+ITEM]],#REF!,4,FALSE)</f>
        <v>#REF!</v>
      </c>
      <c r="AX336" s="208" t="e" cm="1" vm="1">
        <f t="array" aca="1" ref="AX336" ca="1">VLOOKUP(AI:AI,#REF!,1,FALSE)</f>
        <v>#VALUE!</v>
      </c>
    </row>
    <row r="337" spans="1:50">
      <c r="A337" s="220">
        <v>336</v>
      </c>
      <c r="B337" s="220" t="s">
        <v>3674</v>
      </c>
      <c r="C337" s="209" t="s">
        <v>16</v>
      </c>
      <c r="D337" s="209" t="s">
        <v>3648</v>
      </c>
      <c r="E337" s="209"/>
      <c r="F337" s="209"/>
      <c r="G337" s="209"/>
      <c r="H337" s="217" t="s">
        <v>4686</v>
      </c>
      <c r="I337" s="217"/>
      <c r="J337" s="215"/>
      <c r="K337" s="217"/>
      <c r="L337" s="212" t="s">
        <v>2999</v>
      </c>
      <c r="M337" s="212" t="s">
        <v>2999</v>
      </c>
      <c r="N337" s="213"/>
      <c r="O337" s="263">
        <v>4590004415</v>
      </c>
      <c r="P337" s="214">
        <v>44802</v>
      </c>
      <c r="Q337" s="334">
        <v>14</v>
      </c>
      <c r="R337" s="216">
        <v>1369.77</v>
      </c>
      <c r="S337" s="217" t="s">
        <v>2156</v>
      </c>
      <c r="T337" s="209" t="s">
        <v>3661</v>
      </c>
      <c r="U337" s="209" t="s">
        <v>3662</v>
      </c>
      <c r="V337" s="213" t="s">
        <v>3663</v>
      </c>
      <c r="W337" s="218" t="s">
        <v>3652</v>
      </c>
      <c r="X337" s="218" t="s">
        <v>3652</v>
      </c>
      <c r="Y337" s="212" t="s">
        <v>4648</v>
      </c>
      <c r="Z337" s="209" t="s">
        <v>3664</v>
      </c>
      <c r="AA337" s="219"/>
      <c r="AB337" s="218"/>
      <c r="AC337" s="217" t="e">
        <v>#N/A</v>
      </c>
      <c r="AD337" s="217">
        <v>90582</v>
      </c>
      <c r="AE337" s="217" t="s">
        <v>3170</v>
      </c>
      <c r="AF337" s="217" t="s">
        <v>3711</v>
      </c>
      <c r="AG337" s="217" t="s">
        <v>3666</v>
      </c>
      <c r="AH337" s="220" t="str">
        <f t="shared" si="21"/>
        <v>4590004415_014</v>
      </c>
      <c r="AI337" s="208"/>
      <c r="AJ337" s="225">
        <v>45108</v>
      </c>
      <c r="AK337" s="221">
        <v>547.90800000000002</v>
      </c>
      <c r="AL337" s="227">
        <v>45260</v>
      </c>
      <c r="AM337" s="208" t="s">
        <v>4687</v>
      </c>
      <c r="AN337" s="227">
        <v>45506</v>
      </c>
      <c r="AO337" s="222">
        <v>821.86</v>
      </c>
      <c r="AP337" s="227"/>
      <c r="AQ337" s="358">
        <f ca="1">IF(表格1[[#This Row],[PO$]]="","100%",表格1[[#This Row],[total amount]]/表格1[[#This Row],[PO$]])</f>
        <v>0.9999985399008593</v>
      </c>
      <c r="AR337" s="223">
        <f ca="1">表格1[[#This Row],[invoice amount]]+表格1[[#This Row],[invoice amount2]]</f>
        <v>1369.768</v>
      </c>
      <c r="AS337" s="224" t="s">
        <v>4235</v>
      </c>
      <c r="AT337" s="208"/>
      <c r="AU337" s="220" t="e">
        <f ca="1">VLOOKUP(表格1[[#This Row],[PO+ITEM]],#REF!,2,FALSE)</f>
        <v>#REF!</v>
      </c>
      <c r="AV337" s="341" t="e">
        <f ca="1">VLOOKUP(表格1[[#This Row],[PO+ITEM]],#REF!,3,FALSE)</f>
        <v>#REF!</v>
      </c>
      <c r="AW337" s="208" t="e">
        <f ca="1">VLOOKUP(表格1[[#This Row],[PO+ITEM]],#REF!,4,FALSE)</f>
        <v>#REF!</v>
      </c>
      <c r="AX337" s="208" t="e" cm="1" vm="1">
        <f t="array" aca="1" ref="AX337" ca="1">VLOOKUP(AI:AI,#REF!,1,FALSE)</f>
        <v>#VALUE!</v>
      </c>
    </row>
    <row r="338" spans="1:50">
      <c r="A338" s="220">
        <v>337</v>
      </c>
      <c r="B338" s="220" t="s">
        <v>3674</v>
      </c>
      <c r="C338" s="209" t="s">
        <v>16</v>
      </c>
      <c r="D338" s="209" t="s">
        <v>3648</v>
      </c>
      <c r="E338" s="209"/>
      <c r="F338" s="209"/>
      <c r="G338" s="209"/>
      <c r="H338" s="210" t="s">
        <v>4688</v>
      </c>
      <c r="I338" s="210"/>
      <c r="J338" s="211"/>
      <c r="K338" s="210"/>
      <c r="L338" s="212" t="s">
        <v>2999</v>
      </c>
      <c r="M338" s="212" t="s">
        <v>2999</v>
      </c>
      <c r="N338" s="213"/>
      <c r="O338" s="263">
        <v>4590004415</v>
      </c>
      <c r="P338" s="214">
        <v>44802</v>
      </c>
      <c r="Q338" s="334">
        <v>15</v>
      </c>
      <c r="R338" s="216">
        <v>1369.77</v>
      </c>
      <c r="S338" s="217" t="s">
        <v>2156</v>
      </c>
      <c r="T338" s="209" t="s">
        <v>3661</v>
      </c>
      <c r="U338" s="209" t="s">
        <v>3662</v>
      </c>
      <c r="V338" s="213" t="s">
        <v>3663</v>
      </c>
      <c r="W338" s="218" t="s">
        <v>3652</v>
      </c>
      <c r="X338" s="218" t="s">
        <v>3652</v>
      </c>
      <c r="Y338" s="212" t="s">
        <v>4648</v>
      </c>
      <c r="Z338" s="209" t="s">
        <v>3664</v>
      </c>
      <c r="AA338" s="219"/>
      <c r="AB338" s="218"/>
      <c r="AC338" s="217" t="e">
        <v>#N/A</v>
      </c>
      <c r="AD338" s="217">
        <v>90583</v>
      </c>
      <c r="AE338" s="217" t="s">
        <v>3256</v>
      </c>
      <c r="AF338" s="217" t="s">
        <v>3711</v>
      </c>
      <c r="AG338" s="217" t="s">
        <v>3666</v>
      </c>
      <c r="AH338" s="220" t="str">
        <f t="shared" si="21"/>
        <v>4590004415_015</v>
      </c>
      <c r="AI338" s="208"/>
      <c r="AJ338" s="225">
        <v>45108</v>
      </c>
      <c r="AK338" s="221">
        <v>547.90800000000002</v>
      </c>
      <c r="AL338" s="227">
        <v>45260</v>
      </c>
      <c r="AM338" s="208" t="s">
        <v>4689</v>
      </c>
      <c r="AN338" s="227">
        <v>45506</v>
      </c>
      <c r="AO338" s="222">
        <v>821.86</v>
      </c>
      <c r="AP338" s="227"/>
      <c r="AQ338" s="358">
        <f ca="1">IF(表格1[[#This Row],[PO$]]="","100%",表格1[[#This Row],[total amount]]/表格1[[#This Row],[PO$]])</f>
        <v>0.9999985399008593</v>
      </c>
      <c r="AR338" s="223">
        <f ca="1">表格1[[#This Row],[invoice amount]]+表格1[[#This Row],[invoice amount2]]</f>
        <v>1369.768</v>
      </c>
      <c r="AS338" s="224" t="s">
        <v>4235</v>
      </c>
      <c r="AT338" s="208"/>
      <c r="AU338" s="220" t="e">
        <f ca="1">VLOOKUP(表格1[[#This Row],[PO+ITEM]],#REF!,2,FALSE)</f>
        <v>#REF!</v>
      </c>
      <c r="AV338" s="341" t="e">
        <f ca="1">VLOOKUP(表格1[[#This Row],[PO+ITEM]],#REF!,3,FALSE)</f>
        <v>#REF!</v>
      </c>
      <c r="AW338" s="208" t="e">
        <f ca="1">VLOOKUP(表格1[[#This Row],[PO+ITEM]],#REF!,4,FALSE)</f>
        <v>#REF!</v>
      </c>
      <c r="AX338" s="208" t="e" cm="1" vm="1">
        <f t="array" aca="1" ref="AX338" ca="1">VLOOKUP(AI:AI,#REF!,1,FALSE)</f>
        <v>#VALUE!</v>
      </c>
    </row>
    <row r="339" spans="1:50">
      <c r="A339" s="220">
        <v>338</v>
      </c>
      <c r="B339" s="220" t="s">
        <v>3674</v>
      </c>
      <c r="C339" s="209" t="s">
        <v>16</v>
      </c>
      <c r="D339" s="209" t="s">
        <v>3648</v>
      </c>
      <c r="E339" s="209"/>
      <c r="F339" s="209"/>
      <c r="G339" s="209"/>
      <c r="H339" s="210" t="s">
        <v>4690</v>
      </c>
      <c r="I339" s="210"/>
      <c r="J339" s="211"/>
      <c r="K339" s="210"/>
      <c r="L339" s="212" t="s">
        <v>2999</v>
      </c>
      <c r="M339" s="212" t="s">
        <v>2999</v>
      </c>
      <c r="N339" s="213"/>
      <c r="O339" s="263">
        <v>4590004415</v>
      </c>
      <c r="P339" s="214">
        <v>44802</v>
      </c>
      <c r="Q339" s="334">
        <v>16</v>
      </c>
      <c r="R339" s="216">
        <v>1369.77</v>
      </c>
      <c r="S339" s="217" t="s">
        <v>2156</v>
      </c>
      <c r="T339" s="209" t="s">
        <v>3661</v>
      </c>
      <c r="U339" s="209" t="s">
        <v>3662</v>
      </c>
      <c r="V339" s="213" t="s">
        <v>3663</v>
      </c>
      <c r="W339" s="218" t="s">
        <v>3652</v>
      </c>
      <c r="X339" s="218" t="s">
        <v>3652</v>
      </c>
      <c r="Y339" s="212" t="s">
        <v>4648</v>
      </c>
      <c r="Z339" s="209" t="s">
        <v>3664</v>
      </c>
      <c r="AA339" s="219"/>
      <c r="AB339" s="218"/>
      <c r="AC339" s="217" t="e">
        <v>#N/A</v>
      </c>
      <c r="AD339" s="217">
        <v>90584</v>
      </c>
      <c r="AE339" s="217" t="s">
        <v>3175</v>
      </c>
      <c r="AF339" s="217" t="s">
        <v>3711</v>
      </c>
      <c r="AG339" s="217" t="s">
        <v>3666</v>
      </c>
      <c r="AH339" s="220" t="str">
        <f t="shared" si="21"/>
        <v>4590004415_016</v>
      </c>
      <c r="AI339" s="208"/>
      <c r="AJ339" s="225">
        <v>45108</v>
      </c>
      <c r="AK339" s="221">
        <v>547.90800000000002</v>
      </c>
      <c r="AL339" s="227">
        <v>45260</v>
      </c>
      <c r="AM339" s="208" t="s">
        <v>4691</v>
      </c>
      <c r="AN339" s="227">
        <v>45506</v>
      </c>
      <c r="AO339" s="222">
        <v>821.86</v>
      </c>
      <c r="AP339" s="227"/>
      <c r="AQ339" s="358">
        <f ca="1">IF(表格1[[#This Row],[PO$]]="","100%",表格1[[#This Row],[total amount]]/表格1[[#This Row],[PO$]])</f>
        <v>0.9999985399008593</v>
      </c>
      <c r="AR339" s="223">
        <f ca="1">表格1[[#This Row],[invoice amount]]+表格1[[#This Row],[invoice amount2]]</f>
        <v>1369.768</v>
      </c>
      <c r="AS339" s="224" t="s">
        <v>4235</v>
      </c>
      <c r="AT339" s="208"/>
      <c r="AU339" s="220" t="e">
        <f ca="1">VLOOKUP(表格1[[#This Row],[PO+ITEM]],#REF!,2,FALSE)</f>
        <v>#REF!</v>
      </c>
      <c r="AV339" s="341" t="e">
        <f ca="1">VLOOKUP(表格1[[#This Row],[PO+ITEM]],#REF!,3,FALSE)</f>
        <v>#REF!</v>
      </c>
      <c r="AW339" s="208" t="e">
        <f ca="1">VLOOKUP(表格1[[#This Row],[PO+ITEM]],#REF!,4,FALSE)</f>
        <v>#REF!</v>
      </c>
      <c r="AX339" s="208" t="e" cm="1" vm="1">
        <f t="array" aca="1" ref="AX339" ca="1">VLOOKUP(AI:AI,#REF!,1,FALSE)</f>
        <v>#VALUE!</v>
      </c>
    </row>
    <row r="340" spans="1:50">
      <c r="A340" s="220">
        <v>339</v>
      </c>
      <c r="B340" s="220" t="s">
        <v>3674</v>
      </c>
      <c r="C340" s="209" t="s">
        <v>16</v>
      </c>
      <c r="D340" s="209" t="s">
        <v>3648</v>
      </c>
      <c r="E340" s="209"/>
      <c r="F340" s="209"/>
      <c r="G340" s="209"/>
      <c r="H340" s="217" t="s">
        <v>4692</v>
      </c>
      <c r="I340" s="217"/>
      <c r="J340" s="215"/>
      <c r="K340" s="217"/>
      <c r="L340" s="212" t="s">
        <v>2999</v>
      </c>
      <c r="M340" s="212" t="s">
        <v>2999</v>
      </c>
      <c r="N340" s="213"/>
      <c r="O340" s="263">
        <v>4590004415</v>
      </c>
      <c r="P340" s="214">
        <v>44802</v>
      </c>
      <c r="Q340" s="334">
        <v>17</v>
      </c>
      <c r="R340" s="216">
        <v>1369.77</v>
      </c>
      <c r="S340" s="217" t="s">
        <v>2156</v>
      </c>
      <c r="T340" s="209" t="s">
        <v>3661</v>
      </c>
      <c r="U340" s="209" t="s">
        <v>3662</v>
      </c>
      <c r="V340" s="213" t="s">
        <v>3663</v>
      </c>
      <c r="W340" s="218" t="s">
        <v>3652</v>
      </c>
      <c r="X340" s="218" t="s">
        <v>3652</v>
      </c>
      <c r="Y340" s="212" t="s">
        <v>4648</v>
      </c>
      <c r="Z340" s="209" t="s">
        <v>3664</v>
      </c>
      <c r="AA340" s="219"/>
      <c r="AB340" s="218"/>
      <c r="AC340" s="217" t="e">
        <v>#N/A</v>
      </c>
      <c r="AD340" s="217">
        <v>90585</v>
      </c>
      <c r="AE340" s="217" t="s">
        <v>3173</v>
      </c>
      <c r="AF340" s="217" t="s">
        <v>3711</v>
      </c>
      <c r="AG340" s="217" t="s">
        <v>3666</v>
      </c>
      <c r="AH340" s="220" t="str">
        <f t="shared" si="21"/>
        <v>4590004415_017</v>
      </c>
      <c r="AI340" s="208"/>
      <c r="AJ340" s="225">
        <v>45108</v>
      </c>
      <c r="AK340" s="221">
        <v>547.90800000000002</v>
      </c>
      <c r="AL340" s="227">
        <v>45260</v>
      </c>
      <c r="AM340" s="208" t="s">
        <v>4693</v>
      </c>
      <c r="AN340" s="227">
        <v>45506</v>
      </c>
      <c r="AO340" s="222">
        <v>821.86</v>
      </c>
      <c r="AP340" s="227"/>
      <c r="AQ340" s="358">
        <f ca="1">IF(表格1[[#This Row],[PO$]]="","100%",表格1[[#This Row],[total amount]]/表格1[[#This Row],[PO$]])</f>
        <v>0.9999985399008593</v>
      </c>
      <c r="AR340" s="223">
        <f ca="1">表格1[[#This Row],[invoice amount]]+表格1[[#This Row],[invoice amount2]]</f>
        <v>1369.768</v>
      </c>
      <c r="AS340" s="224" t="s">
        <v>4235</v>
      </c>
      <c r="AT340" s="208"/>
      <c r="AU340" s="220" t="e">
        <f ca="1">VLOOKUP(表格1[[#This Row],[PO+ITEM]],#REF!,2,FALSE)</f>
        <v>#REF!</v>
      </c>
      <c r="AV340" s="341" t="e">
        <f ca="1">VLOOKUP(表格1[[#This Row],[PO+ITEM]],#REF!,3,FALSE)</f>
        <v>#REF!</v>
      </c>
      <c r="AW340" s="208" t="e">
        <f ca="1">VLOOKUP(表格1[[#This Row],[PO+ITEM]],#REF!,4,FALSE)</f>
        <v>#REF!</v>
      </c>
      <c r="AX340" s="208" t="e" cm="1" vm="1">
        <f t="array" aca="1" ref="AX340" ca="1">VLOOKUP(AI:AI,#REF!,1,FALSE)</f>
        <v>#VALUE!</v>
      </c>
    </row>
    <row r="341" spans="1:50">
      <c r="A341" s="220">
        <v>340</v>
      </c>
      <c r="B341" s="220" t="s">
        <v>3674</v>
      </c>
      <c r="C341" s="209" t="s">
        <v>16</v>
      </c>
      <c r="D341" s="209" t="s">
        <v>3648</v>
      </c>
      <c r="E341" s="209"/>
      <c r="F341" s="209"/>
      <c r="G341" s="209"/>
      <c r="H341" s="210" t="s">
        <v>4694</v>
      </c>
      <c r="I341" s="210"/>
      <c r="J341" s="211"/>
      <c r="K341" s="210"/>
      <c r="L341" s="212" t="s">
        <v>2999</v>
      </c>
      <c r="M341" s="212" t="s">
        <v>2999</v>
      </c>
      <c r="N341" s="213"/>
      <c r="O341" s="263">
        <v>4590004415</v>
      </c>
      <c r="P341" s="214">
        <v>44802</v>
      </c>
      <c r="Q341" s="334">
        <v>18</v>
      </c>
      <c r="R341" s="216">
        <v>913.18</v>
      </c>
      <c r="S341" s="217" t="s">
        <v>2156</v>
      </c>
      <c r="T341" s="209" t="s">
        <v>3661</v>
      </c>
      <c r="U341" s="209" t="s">
        <v>3662</v>
      </c>
      <c r="V341" s="213" t="s">
        <v>3663</v>
      </c>
      <c r="W341" s="218" t="s">
        <v>3652</v>
      </c>
      <c r="X341" s="218" t="s">
        <v>3652</v>
      </c>
      <c r="Y341" s="212" t="s">
        <v>4648</v>
      </c>
      <c r="Z341" s="209" t="s">
        <v>3664</v>
      </c>
      <c r="AA341" s="219"/>
      <c r="AB341" s="218"/>
      <c r="AC341" s="217" t="e">
        <v>#N/A</v>
      </c>
      <c r="AD341" s="217">
        <v>90579</v>
      </c>
      <c r="AE341" s="217" t="s">
        <v>3242</v>
      </c>
      <c r="AF341" s="217" t="s">
        <v>3711</v>
      </c>
      <c r="AG341" s="217" t="s">
        <v>3666</v>
      </c>
      <c r="AH341" s="220" t="str">
        <f t="shared" si="21"/>
        <v>4590004415_018</v>
      </c>
      <c r="AI341" s="208"/>
      <c r="AJ341" s="225">
        <v>45108</v>
      </c>
      <c r="AK341" s="221">
        <v>365.27199999999999</v>
      </c>
      <c r="AL341" s="227">
        <v>45260</v>
      </c>
      <c r="AM341" s="208" t="s">
        <v>4695</v>
      </c>
      <c r="AN341" s="227">
        <v>45506</v>
      </c>
      <c r="AO341" s="222">
        <v>547.91</v>
      </c>
      <c r="AP341" s="227"/>
      <c r="AQ341" s="358">
        <f ca="1">IF(表格1[[#This Row],[PO$]]="","100%",表格1[[#This Row],[total amount]]/表格1[[#This Row],[PO$]])</f>
        <v>1.0000021901487113</v>
      </c>
      <c r="AR341" s="223">
        <f ca="1">表格1[[#This Row],[invoice amount]]+表格1[[#This Row],[invoice amount2]]</f>
        <v>913.18200000000002</v>
      </c>
      <c r="AS341" s="224" t="s">
        <v>4235</v>
      </c>
      <c r="AT341" s="208"/>
      <c r="AU341" s="220" t="e">
        <f ca="1">VLOOKUP(表格1[[#This Row],[PO+ITEM]],#REF!,2,FALSE)</f>
        <v>#REF!</v>
      </c>
      <c r="AV341" s="341" t="e">
        <f ca="1">VLOOKUP(表格1[[#This Row],[PO+ITEM]],#REF!,3,FALSE)</f>
        <v>#REF!</v>
      </c>
      <c r="AW341" s="208" t="e">
        <f ca="1">VLOOKUP(表格1[[#This Row],[PO+ITEM]],#REF!,4,FALSE)</f>
        <v>#REF!</v>
      </c>
      <c r="AX341" s="208" t="e" cm="1" vm="1">
        <f t="array" aca="1" ref="AX341" ca="1">VLOOKUP(AI:AI,#REF!,1,FALSE)</f>
        <v>#VALUE!</v>
      </c>
    </row>
    <row r="342" spans="1:50">
      <c r="A342" s="220">
        <v>341</v>
      </c>
      <c r="B342" s="220" t="s">
        <v>3674</v>
      </c>
      <c r="C342" s="209" t="s">
        <v>16</v>
      </c>
      <c r="D342" s="209" t="s">
        <v>3648</v>
      </c>
      <c r="E342" s="209"/>
      <c r="F342" s="209"/>
      <c r="G342" s="209"/>
      <c r="H342" s="210" t="s">
        <v>4696</v>
      </c>
      <c r="I342" s="210"/>
      <c r="J342" s="211"/>
      <c r="K342" s="210"/>
      <c r="L342" s="212" t="s">
        <v>2999</v>
      </c>
      <c r="M342" s="212" t="s">
        <v>2999</v>
      </c>
      <c r="N342" s="213"/>
      <c r="O342" s="263">
        <v>4590004415</v>
      </c>
      <c r="P342" s="214">
        <v>44802</v>
      </c>
      <c r="Q342" s="334">
        <v>19</v>
      </c>
      <c r="R342" s="216">
        <v>913.18</v>
      </c>
      <c r="S342" s="217" t="s">
        <v>2156</v>
      </c>
      <c r="T342" s="209" t="s">
        <v>3661</v>
      </c>
      <c r="U342" s="209" t="s">
        <v>3662</v>
      </c>
      <c r="V342" s="213" t="s">
        <v>3663</v>
      </c>
      <c r="W342" s="218" t="s">
        <v>3652</v>
      </c>
      <c r="X342" s="218" t="s">
        <v>3652</v>
      </c>
      <c r="Y342" s="212" t="s">
        <v>4648</v>
      </c>
      <c r="Z342" s="209" t="s">
        <v>3664</v>
      </c>
      <c r="AA342" s="219"/>
      <c r="AB342" s="218"/>
      <c r="AC342" s="217" t="e">
        <v>#N/A</v>
      </c>
      <c r="AD342" s="217">
        <v>90580</v>
      </c>
      <c r="AE342" s="217" t="s">
        <v>3244</v>
      </c>
      <c r="AF342" s="217" t="s">
        <v>3711</v>
      </c>
      <c r="AG342" s="217" t="s">
        <v>3666</v>
      </c>
      <c r="AH342" s="220" t="str">
        <f t="shared" si="21"/>
        <v>4590004415_019</v>
      </c>
      <c r="AI342" s="208"/>
      <c r="AJ342" s="225">
        <v>45108</v>
      </c>
      <c r="AK342" s="221">
        <v>365.27199999999999</v>
      </c>
      <c r="AL342" s="227">
        <v>45260</v>
      </c>
      <c r="AM342" s="208" t="s">
        <v>4697</v>
      </c>
      <c r="AN342" s="227">
        <v>45506</v>
      </c>
      <c r="AO342" s="222">
        <v>547.91</v>
      </c>
      <c r="AP342" s="227"/>
      <c r="AQ342" s="358">
        <f ca="1">IF(表格1[[#This Row],[PO$]]="","100%",表格1[[#This Row],[total amount]]/表格1[[#This Row],[PO$]])</f>
        <v>1.0000021901487113</v>
      </c>
      <c r="AR342" s="223">
        <f ca="1">表格1[[#This Row],[invoice amount]]+表格1[[#This Row],[invoice amount2]]</f>
        <v>913.18200000000002</v>
      </c>
      <c r="AS342" s="224" t="s">
        <v>4235</v>
      </c>
      <c r="AT342" s="208"/>
      <c r="AU342" s="220" t="e">
        <f ca="1">VLOOKUP(表格1[[#This Row],[PO+ITEM]],#REF!,2,FALSE)</f>
        <v>#REF!</v>
      </c>
      <c r="AV342" s="341" t="e">
        <f ca="1">VLOOKUP(表格1[[#This Row],[PO+ITEM]],#REF!,3,FALSE)</f>
        <v>#REF!</v>
      </c>
      <c r="AW342" s="208" t="e">
        <f ca="1">VLOOKUP(表格1[[#This Row],[PO+ITEM]],#REF!,4,FALSE)</f>
        <v>#REF!</v>
      </c>
      <c r="AX342" s="208" t="e" cm="1" vm="1">
        <f t="array" aca="1" ref="AX342" ca="1">VLOOKUP(AI:AI,#REF!,1,FALSE)</f>
        <v>#VALUE!</v>
      </c>
    </row>
    <row r="343" spans="1:50">
      <c r="A343" s="220">
        <v>342</v>
      </c>
      <c r="B343" s="220" t="s">
        <v>3674</v>
      </c>
      <c r="C343" s="209" t="s">
        <v>16</v>
      </c>
      <c r="D343" s="209" t="s">
        <v>3648</v>
      </c>
      <c r="E343" s="209"/>
      <c r="F343" s="209"/>
      <c r="G343" s="209"/>
      <c r="H343" s="217" t="s">
        <v>4698</v>
      </c>
      <c r="I343" s="217"/>
      <c r="J343" s="215"/>
      <c r="K343" s="217"/>
      <c r="L343" s="212" t="s">
        <v>2999</v>
      </c>
      <c r="M343" s="212" t="s">
        <v>2999</v>
      </c>
      <c r="N343" s="213"/>
      <c r="O343" s="263">
        <v>4590004415</v>
      </c>
      <c r="P343" s="214">
        <v>44802</v>
      </c>
      <c r="Q343" s="334">
        <v>20</v>
      </c>
      <c r="R343" s="216">
        <v>913.18</v>
      </c>
      <c r="S343" s="217" t="s">
        <v>2156</v>
      </c>
      <c r="T343" s="209" t="s">
        <v>3661</v>
      </c>
      <c r="U343" s="209" t="s">
        <v>3662</v>
      </c>
      <c r="V343" s="213" t="s">
        <v>3663</v>
      </c>
      <c r="W343" s="218" t="s">
        <v>3652</v>
      </c>
      <c r="X343" s="218" t="s">
        <v>3652</v>
      </c>
      <c r="Y343" s="212" t="s">
        <v>4648</v>
      </c>
      <c r="Z343" s="209" t="s">
        <v>3664</v>
      </c>
      <c r="AA343" s="219"/>
      <c r="AB343" s="218"/>
      <c r="AC343" s="217" t="e">
        <v>#N/A</v>
      </c>
      <c r="AD343" s="217">
        <v>90581</v>
      </c>
      <c r="AE343" s="217" t="s">
        <v>3246</v>
      </c>
      <c r="AF343" s="217" t="s">
        <v>3711</v>
      </c>
      <c r="AG343" s="217" t="s">
        <v>3666</v>
      </c>
      <c r="AH343" s="220" t="str">
        <f t="shared" si="21"/>
        <v>4590004415_020</v>
      </c>
      <c r="AI343" s="208"/>
      <c r="AJ343" s="225">
        <v>45108</v>
      </c>
      <c r="AK343" s="221">
        <v>365.27199999999999</v>
      </c>
      <c r="AL343" s="227">
        <v>45260</v>
      </c>
      <c r="AM343" s="208" t="s">
        <v>4699</v>
      </c>
      <c r="AN343" s="227">
        <v>45506</v>
      </c>
      <c r="AO343" s="222">
        <v>547.91</v>
      </c>
      <c r="AP343" s="227"/>
      <c r="AQ343" s="358">
        <f ca="1">IF(表格1[[#This Row],[PO$]]="","100%",表格1[[#This Row],[total amount]]/表格1[[#This Row],[PO$]])</f>
        <v>1.0000021901487113</v>
      </c>
      <c r="AR343" s="223">
        <f ca="1">表格1[[#This Row],[invoice amount]]+表格1[[#This Row],[invoice amount2]]</f>
        <v>913.18200000000002</v>
      </c>
      <c r="AS343" s="224" t="s">
        <v>4235</v>
      </c>
      <c r="AT343" s="208"/>
      <c r="AU343" s="220" t="e">
        <f ca="1">VLOOKUP(表格1[[#This Row],[PO+ITEM]],#REF!,2,FALSE)</f>
        <v>#REF!</v>
      </c>
      <c r="AV343" s="341" t="e">
        <f ca="1">VLOOKUP(表格1[[#This Row],[PO+ITEM]],#REF!,3,FALSE)</f>
        <v>#REF!</v>
      </c>
      <c r="AW343" s="208" t="e">
        <f ca="1">VLOOKUP(表格1[[#This Row],[PO+ITEM]],#REF!,4,FALSE)</f>
        <v>#REF!</v>
      </c>
      <c r="AX343" s="208" t="e" cm="1" vm="1">
        <f t="array" aca="1" ref="AX343" ca="1">VLOOKUP(AI:AI,#REF!,1,FALSE)</f>
        <v>#VALUE!</v>
      </c>
    </row>
    <row r="344" spans="1:50">
      <c r="A344" s="220">
        <v>343</v>
      </c>
      <c r="B344" s="220" t="s">
        <v>3674</v>
      </c>
      <c r="C344" s="209" t="s">
        <v>16</v>
      </c>
      <c r="D344" s="209" t="s">
        <v>3648</v>
      </c>
      <c r="E344" s="209"/>
      <c r="F344" s="209"/>
      <c r="G344" s="209"/>
      <c r="H344" s="217" t="s">
        <v>4700</v>
      </c>
      <c r="I344" s="217"/>
      <c r="J344" s="215"/>
      <c r="K344" s="217"/>
      <c r="L344" s="212" t="s">
        <v>2999</v>
      </c>
      <c r="M344" s="212" t="s">
        <v>2999</v>
      </c>
      <c r="N344" s="213"/>
      <c r="O344" s="263">
        <v>4590004415</v>
      </c>
      <c r="P344" s="214">
        <v>44802</v>
      </c>
      <c r="Q344" s="334">
        <v>21</v>
      </c>
      <c r="R344" s="216">
        <v>913.18</v>
      </c>
      <c r="S344" s="217" t="s">
        <v>2156</v>
      </c>
      <c r="T344" s="209" t="s">
        <v>3661</v>
      </c>
      <c r="U344" s="209" t="s">
        <v>3662</v>
      </c>
      <c r="V344" s="213" t="s">
        <v>3663</v>
      </c>
      <c r="W344" s="218" t="s">
        <v>3652</v>
      </c>
      <c r="X344" s="218" t="s">
        <v>3652</v>
      </c>
      <c r="Y344" s="212" t="s">
        <v>4648</v>
      </c>
      <c r="Z344" s="209" t="s">
        <v>3664</v>
      </c>
      <c r="AA344" s="219"/>
      <c r="AB344" s="218"/>
      <c r="AC344" s="217" t="e">
        <v>#N/A</v>
      </c>
      <c r="AD344" s="217">
        <v>90586</v>
      </c>
      <c r="AE344" s="217" t="s">
        <v>3445</v>
      </c>
      <c r="AF344" s="217" t="s">
        <v>3711</v>
      </c>
      <c r="AG344" s="217" t="s">
        <v>3666</v>
      </c>
      <c r="AH344" s="220" t="str">
        <f t="shared" si="21"/>
        <v>4590004415_021</v>
      </c>
      <c r="AI344" s="208"/>
      <c r="AJ344" s="225">
        <v>45108</v>
      </c>
      <c r="AK344" s="221">
        <v>365.27199999999999</v>
      </c>
      <c r="AL344" s="227">
        <v>45260</v>
      </c>
      <c r="AM344" s="208" t="s">
        <v>4701</v>
      </c>
      <c r="AN344" s="227">
        <v>45506</v>
      </c>
      <c r="AO344" s="222">
        <v>547.91</v>
      </c>
      <c r="AP344" s="227"/>
      <c r="AQ344" s="358">
        <f ca="1">IF(表格1[[#This Row],[PO$]]="","100%",表格1[[#This Row],[total amount]]/表格1[[#This Row],[PO$]])</f>
        <v>1.0000021901487113</v>
      </c>
      <c r="AR344" s="223">
        <f ca="1">表格1[[#This Row],[invoice amount]]+表格1[[#This Row],[invoice amount2]]</f>
        <v>913.18200000000002</v>
      </c>
      <c r="AS344" s="224" t="s">
        <v>4235</v>
      </c>
      <c r="AT344" s="208"/>
      <c r="AU344" s="220" t="e">
        <f ca="1">VLOOKUP(表格1[[#This Row],[PO+ITEM]],#REF!,2,FALSE)</f>
        <v>#REF!</v>
      </c>
      <c r="AV344" s="341" t="e">
        <f ca="1">VLOOKUP(表格1[[#This Row],[PO+ITEM]],#REF!,3,FALSE)</f>
        <v>#REF!</v>
      </c>
      <c r="AW344" s="208" t="e">
        <f ca="1">VLOOKUP(表格1[[#This Row],[PO+ITEM]],#REF!,4,FALSE)</f>
        <v>#REF!</v>
      </c>
      <c r="AX344" s="208" t="e" cm="1" vm="1">
        <f t="array" aca="1" ref="AX344" ca="1">VLOOKUP(AI:AI,#REF!,1,FALSE)</f>
        <v>#VALUE!</v>
      </c>
    </row>
    <row r="345" spans="1:50">
      <c r="A345" s="220">
        <v>344</v>
      </c>
      <c r="B345" s="220" t="s">
        <v>3674</v>
      </c>
      <c r="C345" s="209" t="s">
        <v>16</v>
      </c>
      <c r="D345" s="209" t="s">
        <v>3648</v>
      </c>
      <c r="E345" s="209"/>
      <c r="F345" s="209"/>
      <c r="G345" s="209"/>
      <c r="H345" s="217" t="s">
        <v>4702</v>
      </c>
      <c r="I345" s="217"/>
      <c r="J345" s="215"/>
      <c r="K345" s="217"/>
      <c r="L345" s="212" t="s">
        <v>2999</v>
      </c>
      <c r="M345" s="212" t="s">
        <v>2999</v>
      </c>
      <c r="N345" s="213"/>
      <c r="O345" s="263">
        <v>4590004415</v>
      </c>
      <c r="P345" s="214">
        <v>44802</v>
      </c>
      <c r="Q345" s="334">
        <v>22</v>
      </c>
      <c r="R345" s="216">
        <v>95912.23</v>
      </c>
      <c r="S345" s="217" t="s">
        <v>2156</v>
      </c>
      <c r="T345" s="209" t="s">
        <v>3661</v>
      </c>
      <c r="U345" s="209" t="s">
        <v>3662</v>
      </c>
      <c r="V345" s="213" t="s">
        <v>3663</v>
      </c>
      <c r="W345" s="218" t="s">
        <v>3652</v>
      </c>
      <c r="X345" s="218" t="s">
        <v>3652</v>
      </c>
      <c r="Y345" s="212" t="s">
        <v>4648</v>
      </c>
      <c r="Z345" s="209" t="s">
        <v>3664</v>
      </c>
      <c r="AA345" s="219"/>
      <c r="AB345" s="218"/>
      <c r="AC345" s="217" t="e">
        <v>#N/A</v>
      </c>
      <c r="AD345" s="217">
        <v>90576</v>
      </c>
      <c r="AE345" s="217" t="s">
        <v>3268</v>
      </c>
      <c r="AF345" s="217" t="s">
        <v>3711</v>
      </c>
      <c r="AG345" s="217" t="s">
        <v>3666</v>
      </c>
      <c r="AH345" s="220" t="str">
        <f t="shared" si="21"/>
        <v>4590004415_022</v>
      </c>
      <c r="AI345" s="208"/>
      <c r="AJ345" s="225">
        <v>45047</v>
      </c>
      <c r="AK345" s="221">
        <v>38364.892</v>
      </c>
      <c r="AL345" s="227">
        <v>45135</v>
      </c>
      <c r="AM345" s="208" t="s">
        <v>4703</v>
      </c>
      <c r="AN345" s="227">
        <v>45408</v>
      </c>
      <c r="AO345" s="222">
        <v>57547.337999999996</v>
      </c>
      <c r="AP345" s="227" t="s">
        <v>5710</v>
      </c>
      <c r="AQ345" s="358">
        <f ca="1">IF(表格1[[#This Row],[PO$]]="","100%",表格1[[#This Row],[total amount]]/表格1[[#This Row],[PO$]])</f>
        <v>1</v>
      </c>
      <c r="AR345" s="223">
        <f ca="1">表格1[[#This Row],[invoice amount]]+表格1[[#This Row],[invoice amount2]]</f>
        <v>95912.23</v>
      </c>
      <c r="AS345" s="224" t="s">
        <v>4371</v>
      </c>
      <c r="AT345" s="208"/>
      <c r="AU345" s="208" t="e">
        <f ca="1">VLOOKUP(表格1[[#This Row],[PO+ITEM]],#REF!,2,FALSE)</f>
        <v>#REF!</v>
      </c>
      <c r="AV345" s="341" t="e">
        <f ca="1">VLOOKUP(表格1[[#This Row],[PO+ITEM]],#REF!,3,FALSE)</f>
        <v>#REF!</v>
      </c>
      <c r="AW345" s="208" t="e">
        <f ca="1">VLOOKUP(表格1[[#This Row],[PO+ITEM]],#REF!,4,FALSE)</f>
        <v>#REF!</v>
      </c>
      <c r="AX345" s="208" t="e" cm="1" vm="1">
        <f t="array" aca="1" ref="AX345" ca="1">VLOOKUP(AI:AI,#REF!,1,FALSE)</f>
        <v>#VALUE!</v>
      </c>
    </row>
    <row r="346" spans="1:50">
      <c r="A346" s="220">
        <v>345</v>
      </c>
      <c r="B346" s="220" t="s">
        <v>3674</v>
      </c>
      <c r="C346" s="209" t="s">
        <v>16</v>
      </c>
      <c r="D346" s="209" t="s">
        <v>3648</v>
      </c>
      <c r="E346" s="209"/>
      <c r="F346" s="209"/>
      <c r="G346" s="209"/>
      <c r="H346" s="217" t="s">
        <v>4704</v>
      </c>
      <c r="I346" s="217"/>
      <c r="J346" s="215"/>
      <c r="K346" s="217"/>
      <c r="L346" s="212" t="s">
        <v>2999</v>
      </c>
      <c r="M346" s="212" t="s">
        <v>2999</v>
      </c>
      <c r="N346" s="213"/>
      <c r="O346" s="263">
        <v>4590004415</v>
      </c>
      <c r="P346" s="214">
        <v>44802</v>
      </c>
      <c r="Q346" s="334">
        <v>23</v>
      </c>
      <c r="R346" s="216">
        <v>61402.51</v>
      </c>
      <c r="S346" s="217" t="s">
        <v>2156</v>
      </c>
      <c r="T346" s="209" t="s">
        <v>3661</v>
      </c>
      <c r="U346" s="209" t="s">
        <v>3662</v>
      </c>
      <c r="V346" s="213" t="s">
        <v>3663</v>
      </c>
      <c r="W346" s="218" t="s">
        <v>3652</v>
      </c>
      <c r="X346" s="218" t="s">
        <v>3652</v>
      </c>
      <c r="Y346" s="212">
        <v>0</v>
      </c>
      <c r="Z346" s="209" t="s">
        <v>3664</v>
      </c>
      <c r="AA346" s="219"/>
      <c r="AB346" s="218"/>
      <c r="AC346" s="217" t="e">
        <v>#N/A</v>
      </c>
      <c r="AD346" s="217">
        <v>90578</v>
      </c>
      <c r="AE346" s="217" t="s">
        <v>3286</v>
      </c>
      <c r="AF346" s="217" t="s">
        <v>3711</v>
      </c>
      <c r="AG346" s="217" t="s">
        <v>3666</v>
      </c>
      <c r="AH346" s="220" t="str">
        <f t="shared" si="21"/>
        <v>4590004415_023</v>
      </c>
      <c r="AI346" s="208" t="s">
        <v>4705</v>
      </c>
      <c r="AJ346" s="227">
        <v>45408</v>
      </c>
      <c r="AK346" s="222">
        <v>61402.51</v>
      </c>
      <c r="AL346" s="227" t="s">
        <v>3805</v>
      </c>
      <c r="AM346" s="208"/>
      <c r="AN346" s="220"/>
      <c r="AP346" s="227"/>
      <c r="AQ346" s="358">
        <f ca="1">IF(表格1[[#This Row],[PO$]]="","100%",表格1[[#This Row],[total amount]]/表格1[[#This Row],[PO$]])</f>
        <v>1</v>
      </c>
      <c r="AR346" s="223">
        <f ca="1">表格1[[#This Row],[invoice amount]]+表格1[[#This Row],[invoice amount2]]</f>
        <v>61402.51</v>
      </c>
      <c r="AS346" s="224" t="s">
        <v>3806</v>
      </c>
      <c r="AT346" s="208"/>
      <c r="AU346" s="208" t="e">
        <f ca="1">VLOOKUP(表格1[[#This Row],[PO+ITEM]],#REF!,2,FALSE)</f>
        <v>#REF!</v>
      </c>
      <c r="AV346" s="341" t="e">
        <f ca="1">VLOOKUP(表格1[[#This Row],[PO+ITEM]],#REF!,3,FALSE)</f>
        <v>#REF!</v>
      </c>
      <c r="AW346" s="208" t="e">
        <f ca="1">VLOOKUP(表格1[[#This Row],[PO+ITEM]],#REF!,4,FALSE)</f>
        <v>#REF!</v>
      </c>
      <c r="AX346" s="208" t="e" cm="1" vm="1">
        <f t="array" aca="1" ref="AX346" ca="1">VLOOKUP(AI:AI,#REF!,1,FALSE)</f>
        <v>#VALUE!</v>
      </c>
    </row>
    <row r="347" spans="1:50">
      <c r="A347" s="220">
        <v>346</v>
      </c>
      <c r="B347" s="220" t="s">
        <v>3674</v>
      </c>
      <c r="C347" s="209" t="s">
        <v>16</v>
      </c>
      <c r="D347" s="209" t="s">
        <v>3648</v>
      </c>
      <c r="E347" s="209"/>
      <c r="F347" s="209"/>
      <c r="G347" s="209"/>
      <c r="H347" s="210" t="s">
        <v>4706</v>
      </c>
      <c r="I347" s="210"/>
      <c r="J347" s="211"/>
      <c r="K347" s="210"/>
      <c r="L347" s="212" t="s">
        <v>2999</v>
      </c>
      <c r="M347" s="212" t="s">
        <v>2999</v>
      </c>
      <c r="N347" s="213"/>
      <c r="O347" s="263">
        <v>4590004415</v>
      </c>
      <c r="P347" s="214">
        <v>44802</v>
      </c>
      <c r="Q347" s="334">
        <v>24</v>
      </c>
      <c r="R347" s="216">
        <v>1369.77</v>
      </c>
      <c r="S347" s="217" t="s">
        <v>2156</v>
      </c>
      <c r="T347" s="209" t="s">
        <v>3661</v>
      </c>
      <c r="U347" s="209" t="s">
        <v>3662</v>
      </c>
      <c r="V347" s="213" t="s">
        <v>3663</v>
      </c>
      <c r="W347" s="218" t="s">
        <v>3652</v>
      </c>
      <c r="X347" s="218" t="s">
        <v>3652</v>
      </c>
      <c r="Y347" s="212" t="s">
        <v>4648</v>
      </c>
      <c r="Z347" s="209" t="s">
        <v>3664</v>
      </c>
      <c r="AA347" s="219"/>
      <c r="AB347" s="218"/>
      <c r="AC347" s="217" t="e">
        <v>#N/A</v>
      </c>
      <c r="AD347" s="217">
        <v>90577</v>
      </c>
      <c r="AE347" s="217" t="s">
        <v>3182</v>
      </c>
      <c r="AF347" s="217" t="s">
        <v>3711</v>
      </c>
      <c r="AG347" s="217" t="s">
        <v>3666</v>
      </c>
      <c r="AH347" s="220" t="str">
        <f t="shared" si="21"/>
        <v>4590004415_024</v>
      </c>
      <c r="AI347" s="208"/>
      <c r="AJ347" s="225">
        <v>45108</v>
      </c>
      <c r="AK347" s="221">
        <v>547.90800000000002</v>
      </c>
      <c r="AL347" s="227">
        <v>45260</v>
      </c>
      <c r="AM347" s="208" t="s">
        <v>4707</v>
      </c>
      <c r="AN347" s="227">
        <v>45506</v>
      </c>
      <c r="AO347" s="222">
        <v>821.86</v>
      </c>
      <c r="AP347" s="227"/>
      <c r="AQ347" s="358">
        <f ca="1">IF(表格1[[#This Row],[PO$]]="","100%",表格1[[#This Row],[total amount]]/表格1[[#This Row],[PO$]])</f>
        <v>0.9999985399008593</v>
      </c>
      <c r="AR347" s="223">
        <f ca="1">表格1[[#This Row],[invoice amount]]+表格1[[#This Row],[invoice amount2]]</f>
        <v>1369.768</v>
      </c>
      <c r="AS347" s="224" t="s">
        <v>4235</v>
      </c>
      <c r="AT347" s="208"/>
      <c r="AU347" s="220" t="e">
        <f ca="1">VLOOKUP(表格1[[#This Row],[PO+ITEM]],#REF!,2,FALSE)</f>
        <v>#REF!</v>
      </c>
      <c r="AV347" s="341" t="e">
        <f ca="1">VLOOKUP(表格1[[#This Row],[PO+ITEM]],#REF!,3,FALSE)</f>
        <v>#REF!</v>
      </c>
      <c r="AW347" s="208" t="e">
        <f ca="1">VLOOKUP(表格1[[#This Row],[PO+ITEM]],#REF!,4,FALSE)</f>
        <v>#REF!</v>
      </c>
      <c r="AX347" s="208" t="e" cm="1" vm="1">
        <f t="array" aca="1" ref="AX347" ca="1">VLOOKUP(AI:AI,#REF!,1,FALSE)</f>
        <v>#VALUE!</v>
      </c>
    </row>
    <row r="348" spans="1:50">
      <c r="A348" s="220">
        <v>347</v>
      </c>
      <c r="B348" s="220" t="s">
        <v>3674</v>
      </c>
      <c r="C348" s="209" t="s">
        <v>16</v>
      </c>
      <c r="D348" s="209" t="s">
        <v>3648</v>
      </c>
      <c r="E348" s="209"/>
      <c r="F348" s="209"/>
      <c r="G348" s="209"/>
      <c r="H348" s="217" t="s">
        <v>4708</v>
      </c>
      <c r="I348" s="217"/>
      <c r="J348" s="215"/>
      <c r="K348" s="217"/>
      <c r="L348" s="212" t="s">
        <v>2206</v>
      </c>
      <c r="M348" s="212" t="s">
        <v>2999</v>
      </c>
      <c r="N348" s="213"/>
      <c r="O348" s="263">
        <v>4590004415</v>
      </c>
      <c r="P348" s="214">
        <v>44802</v>
      </c>
      <c r="Q348" s="334">
        <v>25</v>
      </c>
      <c r="R348" s="216">
        <v>28348.33</v>
      </c>
      <c r="S348" s="217" t="s">
        <v>2156</v>
      </c>
      <c r="T348" s="209" t="s">
        <v>3661</v>
      </c>
      <c r="U348" s="209" t="s">
        <v>3662</v>
      </c>
      <c r="V348" s="213" t="s">
        <v>3663</v>
      </c>
      <c r="W348" s="218" t="s">
        <v>3652</v>
      </c>
      <c r="X348" s="218" t="s">
        <v>3652</v>
      </c>
      <c r="Y348" s="212">
        <v>0</v>
      </c>
      <c r="Z348" s="209" t="s">
        <v>3664</v>
      </c>
      <c r="AA348" s="219"/>
      <c r="AB348" s="218"/>
      <c r="AC348" s="217" t="e">
        <v>#N/A</v>
      </c>
      <c r="AD348" s="217">
        <v>90393</v>
      </c>
      <c r="AE348" s="217" t="s">
        <v>2568</v>
      </c>
      <c r="AF348" s="217" t="s">
        <v>3711</v>
      </c>
      <c r="AG348" s="217" t="s">
        <v>846</v>
      </c>
      <c r="AH348" s="220" t="str">
        <f t="shared" si="21"/>
        <v>4590004415_025</v>
      </c>
      <c r="AI348" s="208"/>
      <c r="AJ348" s="220"/>
      <c r="AK348" s="221"/>
      <c r="AL348" s="227"/>
      <c r="AM348" s="208"/>
      <c r="AN348" s="220"/>
      <c r="AO348" s="222"/>
      <c r="AP348" s="227"/>
      <c r="AQ348" s="358">
        <f ca="1">IF(表格1[[#This Row],[PO$]]="","100%",表格1[[#This Row],[total amount]]/表格1[[#This Row],[PO$]])</f>
        <v>0</v>
      </c>
      <c r="AR348" s="223">
        <f ca="1">表格1[[#This Row],[invoice amount]]+表格1[[#This Row],[invoice amount2]]</f>
        <v>0</v>
      </c>
      <c r="AS348" s="224"/>
      <c r="AT348" s="208"/>
      <c r="AU348" s="208" t="e">
        <f ca="1">VLOOKUP(表格1[[#This Row],[PO+ITEM]],#REF!,2,FALSE)</f>
        <v>#REF!</v>
      </c>
      <c r="AV348" s="341" t="e">
        <f ca="1">VLOOKUP(表格1[[#This Row],[PO+ITEM]],#REF!,3,FALSE)</f>
        <v>#REF!</v>
      </c>
      <c r="AW348" s="208" t="e">
        <f ca="1">VLOOKUP(表格1[[#This Row],[PO+ITEM]],#REF!,4,FALSE)</f>
        <v>#REF!</v>
      </c>
      <c r="AX348" s="208" t="e" cm="1" vm="1">
        <f t="array" aca="1" ref="AX348" ca="1">VLOOKUP(AI:AI,#REF!,1,FALSE)</f>
        <v>#VALUE!</v>
      </c>
    </row>
    <row r="349" spans="1:50">
      <c r="A349" s="220">
        <v>348</v>
      </c>
      <c r="B349" s="220" t="s">
        <v>3674</v>
      </c>
      <c r="C349" s="209" t="s">
        <v>16</v>
      </c>
      <c r="D349" s="209" t="s">
        <v>3648</v>
      </c>
      <c r="E349" s="209"/>
      <c r="F349" s="209"/>
      <c r="G349" s="209"/>
      <c r="H349" s="210" t="s">
        <v>4709</v>
      </c>
      <c r="I349" s="210"/>
      <c r="J349" s="211"/>
      <c r="K349" s="210"/>
      <c r="L349" s="212" t="s">
        <v>2206</v>
      </c>
      <c r="M349" s="212" t="s">
        <v>2999</v>
      </c>
      <c r="N349" s="213"/>
      <c r="O349" s="263">
        <v>4590004415</v>
      </c>
      <c r="P349" s="214">
        <v>44802</v>
      </c>
      <c r="Q349" s="334">
        <v>26</v>
      </c>
      <c r="R349" s="216">
        <v>28348.33</v>
      </c>
      <c r="S349" s="217" t="s">
        <v>2156</v>
      </c>
      <c r="T349" s="209" t="s">
        <v>3661</v>
      </c>
      <c r="U349" s="209" t="s">
        <v>3662</v>
      </c>
      <c r="V349" s="213" t="s">
        <v>3663</v>
      </c>
      <c r="W349" s="218" t="s">
        <v>3652</v>
      </c>
      <c r="X349" s="218" t="s">
        <v>3652</v>
      </c>
      <c r="Y349" s="212">
        <v>0</v>
      </c>
      <c r="Z349" s="209" t="s">
        <v>3664</v>
      </c>
      <c r="AA349" s="219"/>
      <c r="AB349" s="218"/>
      <c r="AC349" s="217" t="e">
        <v>#N/A</v>
      </c>
      <c r="AD349" s="217">
        <v>90609</v>
      </c>
      <c r="AE349" s="217" t="s">
        <v>2583</v>
      </c>
      <c r="AF349" s="217" t="s">
        <v>3711</v>
      </c>
      <c r="AG349" s="217" t="s">
        <v>846</v>
      </c>
      <c r="AH349" s="220" t="str">
        <f t="shared" si="21"/>
        <v>4590004415_026</v>
      </c>
      <c r="AI349" s="208"/>
      <c r="AJ349" s="220"/>
      <c r="AK349" s="221"/>
      <c r="AL349" s="227"/>
      <c r="AM349" s="208"/>
      <c r="AN349" s="220"/>
      <c r="AO349" s="222"/>
      <c r="AP349" s="227"/>
      <c r="AQ349" s="358">
        <f ca="1">IF(表格1[[#This Row],[PO$]]="","100%",表格1[[#This Row],[total amount]]/表格1[[#This Row],[PO$]])</f>
        <v>0</v>
      </c>
      <c r="AR349" s="223">
        <f ca="1">表格1[[#This Row],[invoice amount]]+表格1[[#This Row],[invoice amount2]]</f>
        <v>0</v>
      </c>
      <c r="AS349" s="224"/>
      <c r="AT349" s="208"/>
      <c r="AU349" s="208" t="e">
        <f ca="1">VLOOKUP(表格1[[#This Row],[PO+ITEM]],#REF!,2,FALSE)</f>
        <v>#REF!</v>
      </c>
      <c r="AV349" s="341" t="e">
        <f ca="1">VLOOKUP(表格1[[#This Row],[PO+ITEM]],#REF!,3,FALSE)</f>
        <v>#REF!</v>
      </c>
      <c r="AW349" s="208" t="e">
        <f ca="1">VLOOKUP(表格1[[#This Row],[PO+ITEM]],#REF!,4,FALSE)</f>
        <v>#REF!</v>
      </c>
      <c r="AX349" s="208" t="e" cm="1" vm="1">
        <f t="array" aca="1" ref="AX349" ca="1">VLOOKUP(AI:AI,#REF!,1,FALSE)</f>
        <v>#VALUE!</v>
      </c>
    </row>
    <row r="350" spans="1:50">
      <c r="A350" s="220">
        <v>349</v>
      </c>
      <c r="B350" s="220" t="s">
        <v>3674</v>
      </c>
      <c r="C350" s="209" t="s">
        <v>16</v>
      </c>
      <c r="D350" s="209" t="s">
        <v>3648</v>
      </c>
      <c r="E350" s="209"/>
      <c r="F350" s="209"/>
      <c r="G350" s="209"/>
      <c r="H350" s="210" t="s">
        <v>4710</v>
      </c>
      <c r="I350" s="210"/>
      <c r="J350" s="211"/>
      <c r="K350" s="210"/>
      <c r="L350" s="212" t="s">
        <v>2206</v>
      </c>
      <c r="M350" s="212" t="s">
        <v>2999</v>
      </c>
      <c r="N350" s="213"/>
      <c r="O350" s="263">
        <v>4590004415</v>
      </c>
      <c r="P350" s="214">
        <v>44802</v>
      </c>
      <c r="Q350" s="334">
        <v>27</v>
      </c>
      <c r="R350" s="216">
        <v>28348.33</v>
      </c>
      <c r="S350" s="217" t="s">
        <v>2156</v>
      </c>
      <c r="T350" s="209" t="s">
        <v>3661</v>
      </c>
      <c r="U350" s="209" t="s">
        <v>3662</v>
      </c>
      <c r="V350" s="213" t="s">
        <v>3663</v>
      </c>
      <c r="W350" s="218" t="s">
        <v>3652</v>
      </c>
      <c r="X350" s="218" t="s">
        <v>3652</v>
      </c>
      <c r="Y350" s="212">
        <v>0</v>
      </c>
      <c r="Z350" s="209" t="s">
        <v>3664</v>
      </c>
      <c r="AA350" s="219"/>
      <c r="AB350" s="218"/>
      <c r="AC350" s="217" t="e">
        <v>#N/A</v>
      </c>
      <c r="AD350" s="217">
        <v>90610</v>
      </c>
      <c r="AE350" s="217" t="s">
        <v>2600</v>
      </c>
      <c r="AF350" s="217" t="s">
        <v>3711</v>
      </c>
      <c r="AG350" s="217" t="s">
        <v>846</v>
      </c>
      <c r="AH350" s="220" t="str">
        <f t="shared" si="21"/>
        <v>4590004415_027</v>
      </c>
      <c r="AI350" s="208"/>
      <c r="AJ350" s="220"/>
      <c r="AK350" s="221"/>
      <c r="AL350" s="227"/>
      <c r="AM350" s="208"/>
      <c r="AN350" s="220"/>
      <c r="AO350" s="222"/>
      <c r="AP350" s="227"/>
      <c r="AQ350" s="358">
        <f ca="1">IF(表格1[[#This Row],[PO$]]="","100%",表格1[[#This Row],[total amount]]/表格1[[#This Row],[PO$]])</f>
        <v>0</v>
      </c>
      <c r="AR350" s="223">
        <f ca="1">表格1[[#This Row],[invoice amount]]+表格1[[#This Row],[invoice amount2]]</f>
        <v>0</v>
      </c>
      <c r="AS350" s="224"/>
      <c r="AT350" s="208"/>
      <c r="AU350" s="208" t="e">
        <f ca="1">VLOOKUP(表格1[[#This Row],[PO+ITEM]],#REF!,2,FALSE)</f>
        <v>#REF!</v>
      </c>
      <c r="AV350" s="341" t="e">
        <f ca="1">VLOOKUP(表格1[[#This Row],[PO+ITEM]],#REF!,3,FALSE)</f>
        <v>#REF!</v>
      </c>
      <c r="AW350" s="208" t="e">
        <f ca="1">VLOOKUP(表格1[[#This Row],[PO+ITEM]],#REF!,4,FALSE)</f>
        <v>#REF!</v>
      </c>
      <c r="AX350" s="208" t="e" cm="1" vm="1">
        <f t="array" aca="1" ref="AX350" ca="1">VLOOKUP(AI:AI,#REF!,1,FALSE)</f>
        <v>#VALUE!</v>
      </c>
    </row>
    <row r="351" spans="1:50">
      <c r="A351" s="220">
        <v>350</v>
      </c>
      <c r="B351" s="220" t="s">
        <v>3674</v>
      </c>
      <c r="C351" s="209" t="s">
        <v>16</v>
      </c>
      <c r="D351" s="209" t="s">
        <v>3648</v>
      </c>
      <c r="E351" s="209"/>
      <c r="F351" s="209"/>
      <c r="G351" s="209"/>
      <c r="H351" s="217" t="s">
        <v>4711</v>
      </c>
      <c r="I351" s="217"/>
      <c r="J351" s="215"/>
      <c r="K351" s="217"/>
      <c r="L351" s="212" t="s">
        <v>2206</v>
      </c>
      <c r="M351" s="212" t="s">
        <v>2999</v>
      </c>
      <c r="N351" s="213"/>
      <c r="O351" s="263">
        <v>4590004415</v>
      </c>
      <c r="P351" s="214">
        <v>44802</v>
      </c>
      <c r="Q351" s="334">
        <v>28</v>
      </c>
      <c r="R351" s="216">
        <v>28348.33</v>
      </c>
      <c r="S351" s="217" t="s">
        <v>2156</v>
      </c>
      <c r="T351" s="209" t="s">
        <v>3661</v>
      </c>
      <c r="U351" s="209" t="s">
        <v>3662</v>
      </c>
      <c r="V351" s="213" t="s">
        <v>3663</v>
      </c>
      <c r="W351" s="218" t="s">
        <v>3652</v>
      </c>
      <c r="X351" s="218" t="s">
        <v>3652</v>
      </c>
      <c r="Y351" s="212">
        <v>0</v>
      </c>
      <c r="Z351" s="209" t="s">
        <v>3664</v>
      </c>
      <c r="AA351" s="219"/>
      <c r="AB351" s="218"/>
      <c r="AC351" s="217" t="e">
        <v>#N/A</v>
      </c>
      <c r="AD351" s="217">
        <v>90389</v>
      </c>
      <c r="AE351" s="217" t="s">
        <v>2723</v>
      </c>
      <c r="AF351" s="217" t="s">
        <v>3711</v>
      </c>
      <c r="AG351" s="217" t="s">
        <v>846</v>
      </c>
      <c r="AH351" s="220" t="str">
        <f t="shared" si="21"/>
        <v>4590004415_028</v>
      </c>
      <c r="AI351" s="208"/>
      <c r="AJ351" s="220"/>
      <c r="AK351" s="221"/>
      <c r="AL351" s="227"/>
      <c r="AM351" s="208"/>
      <c r="AN351" s="220"/>
      <c r="AO351" s="222"/>
      <c r="AP351" s="227"/>
      <c r="AQ351" s="358">
        <f ca="1">IF(表格1[[#This Row],[PO$]]="","100%",表格1[[#This Row],[total amount]]/表格1[[#This Row],[PO$]])</f>
        <v>0</v>
      </c>
      <c r="AR351" s="223">
        <f ca="1">表格1[[#This Row],[invoice amount]]+表格1[[#This Row],[invoice amount2]]</f>
        <v>0</v>
      </c>
      <c r="AS351" s="224"/>
      <c r="AT351" s="208"/>
      <c r="AU351" s="208" t="e">
        <f ca="1">VLOOKUP(表格1[[#This Row],[PO+ITEM]],#REF!,2,FALSE)</f>
        <v>#REF!</v>
      </c>
      <c r="AV351" s="341" t="e">
        <f ca="1">VLOOKUP(表格1[[#This Row],[PO+ITEM]],#REF!,3,FALSE)</f>
        <v>#REF!</v>
      </c>
      <c r="AW351" s="208" t="e">
        <f ca="1">VLOOKUP(表格1[[#This Row],[PO+ITEM]],#REF!,4,FALSE)</f>
        <v>#REF!</v>
      </c>
      <c r="AX351" s="208" t="e" cm="1" vm="1">
        <f t="array" aca="1" ref="AX351" ca="1">VLOOKUP(AI:AI,#REF!,1,FALSE)</f>
        <v>#VALUE!</v>
      </c>
    </row>
    <row r="352" spans="1:50">
      <c r="A352" s="220">
        <v>351</v>
      </c>
      <c r="B352" s="220" t="s">
        <v>3674</v>
      </c>
      <c r="C352" s="209" t="s">
        <v>16</v>
      </c>
      <c r="D352" s="209" t="s">
        <v>3648</v>
      </c>
      <c r="E352" s="209"/>
      <c r="F352" s="209"/>
      <c r="G352" s="209"/>
      <c r="H352" s="210" t="s">
        <v>4712</v>
      </c>
      <c r="I352" s="210"/>
      <c r="J352" s="211"/>
      <c r="K352" s="210"/>
      <c r="L352" s="212" t="s">
        <v>2206</v>
      </c>
      <c r="M352" s="212" t="s">
        <v>2999</v>
      </c>
      <c r="N352" s="213"/>
      <c r="O352" s="263">
        <v>4590004415</v>
      </c>
      <c r="P352" s="214">
        <v>44802</v>
      </c>
      <c r="Q352" s="334">
        <v>29</v>
      </c>
      <c r="R352" s="216">
        <v>28348.33</v>
      </c>
      <c r="S352" s="217" t="s">
        <v>2156</v>
      </c>
      <c r="T352" s="209" t="s">
        <v>3661</v>
      </c>
      <c r="U352" s="209" t="s">
        <v>3662</v>
      </c>
      <c r="V352" s="213" t="s">
        <v>3663</v>
      </c>
      <c r="W352" s="218" t="s">
        <v>3652</v>
      </c>
      <c r="X352" s="218" t="s">
        <v>3652</v>
      </c>
      <c r="Y352" s="212">
        <v>0</v>
      </c>
      <c r="Z352" s="209" t="s">
        <v>3664</v>
      </c>
      <c r="AA352" s="219"/>
      <c r="AB352" s="218"/>
      <c r="AC352" s="217" t="e">
        <v>#N/A</v>
      </c>
      <c r="AD352" s="217">
        <v>90388</v>
      </c>
      <c r="AE352" s="217" t="s">
        <v>4713</v>
      </c>
      <c r="AF352" s="217" t="s">
        <v>3711</v>
      </c>
      <c r="AG352" s="217" t="s">
        <v>846</v>
      </c>
      <c r="AH352" s="220" t="str">
        <f t="shared" si="21"/>
        <v>4590004415_029</v>
      </c>
      <c r="AI352" s="208"/>
      <c r="AJ352" s="220"/>
      <c r="AK352" s="221"/>
      <c r="AL352" s="227"/>
      <c r="AM352" s="208"/>
      <c r="AN352" s="220"/>
      <c r="AO352" s="222"/>
      <c r="AP352" s="227"/>
      <c r="AQ352" s="358">
        <f ca="1">IF(表格1[[#This Row],[PO$]]="","100%",表格1[[#This Row],[total amount]]/表格1[[#This Row],[PO$]])</f>
        <v>0</v>
      </c>
      <c r="AR352" s="223">
        <f ca="1">表格1[[#This Row],[invoice amount]]+表格1[[#This Row],[invoice amount2]]</f>
        <v>0</v>
      </c>
      <c r="AS352" s="224"/>
      <c r="AT352" s="208"/>
      <c r="AU352" s="208" t="e">
        <f ca="1">VLOOKUP(表格1[[#This Row],[PO+ITEM]],#REF!,2,FALSE)</f>
        <v>#REF!</v>
      </c>
      <c r="AV352" s="341" t="e">
        <f ca="1">VLOOKUP(表格1[[#This Row],[PO+ITEM]],#REF!,3,FALSE)</f>
        <v>#REF!</v>
      </c>
      <c r="AW352" s="208" t="e">
        <f ca="1">VLOOKUP(表格1[[#This Row],[PO+ITEM]],#REF!,4,FALSE)</f>
        <v>#REF!</v>
      </c>
      <c r="AX352" s="208" t="e" cm="1" vm="1">
        <f t="array" aca="1" ref="AX352" ca="1">VLOOKUP(AI:AI,#REF!,1,FALSE)</f>
        <v>#VALUE!</v>
      </c>
    </row>
    <row r="353" spans="1:50">
      <c r="A353" s="220">
        <v>352</v>
      </c>
      <c r="B353" s="220" t="s">
        <v>3674</v>
      </c>
      <c r="C353" s="209" t="s">
        <v>16</v>
      </c>
      <c r="D353" s="209" t="s">
        <v>3648</v>
      </c>
      <c r="E353" s="209"/>
      <c r="F353" s="209"/>
      <c r="G353" s="209"/>
      <c r="H353" s="217" t="s">
        <v>4714</v>
      </c>
      <c r="I353" s="217"/>
      <c r="J353" s="215"/>
      <c r="K353" s="217"/>
      <c r="L353" s="212" t="s">
        <v>2206</v>
      </c>
      <c r="M353" s="212" t="s">
        <v>2999</v>
      </c>
      <c r="N353" s="213"/>
      <c r="O353" s="263">
        <v>4590004415</v>
      </c>
      <c r="P353" s="214">
        <v>44802</v>
      </c>
      <c r="Q353" s="334">
        <v>30</v>
      </c>
      <c r="R353" s="216">
        <v>28348.33</v>
      </c>
      <c r="S353" s="217" t="s">
        <v>2156</v>
      </c>
      <c r="T353" s="209" t="s">
        <v>3661</v>
      </c>
      <c r="U353" s="209" t="s">
        <v>3662</v>
      </c>
      <c r="V353" s="213" t="s">
        <v>3663</v>
      </c>
      <c r="W353" s="218" t="s">
        <v>3652</v>
      </c>
      <c r="X353" s="218" t="s">
        <v>3652</v>
      </c>
      <c r="Y353" s="212">
        <v>0</v>
      </c>
      <c r="Z353" s="209" t="s">
        <v>3664</v>
      </c>
      <c r="AA353" s="219"/>
      <c r="AB353" s="218"/>
      <c r="AC353" s="217" t="e">
        <v>#N/A</v>
      </c>
      <c r="AD353" s="217">
        <v>90438</v>
      </c>
      <c r="AE353" s="217" t="s">
        <v>2578</v>
      </c>
      <c r="AF353" s="217" t="s">
        <v>3711</v>
      </c>
      <c r="AG353" s="217" t="s">
        <v>846</v>
      </c>
      <c r="AH353" s="220" t="str">
        <f t="shared" si="21"/>
        <v>4590004415_030</v>
      </c>
      <c r="AI353" s="208"/>
      <c r="AJ353" s="220"/>
      <c r="AK353" s="221"/>
      <c r="AL353" s="227"/>
      <c r="AM353" s="208"/>
      <c r="AN353" s="220"/>
      <c r="AO353" s="222"/>
      <c r="AP353" s="227"/>
      <c r="AQ353" s="358">
        <f ca="1">IF(表格1[[#This Row],[PO$]]="","100%",表格1[[#This Row],[total amount]]/表格1[[#This Row],[PO$]])</f>
        <v>0</v>
      </c>
      <c r="AR353" s="223">
        <f ca="1">表格1[[#This Row],[invoice amount]]+表格1[[#This Row],[invoice amount2]]</f>
        <v>0</v>
      </c>
      <c r="AS353" s="224"/>
      <c r="AT353" s="208"/>
      <c r="AU353" s="208" t="e">
        <f ca="1">VLOOKUP(表格1[[#This Row],[PO+ITEM]],#REF!,2,FALSE)</f>
        <v>#REF!</v>
      </c>
      <c r="AV353" s="341" t="e">
        <f ca="1">VLOOKUP(表格1[[#This Row],[PO+ITEM]],#REF!,3,FALSE)</f>
        <v>#REF!</v>
      </c>
      <c r="AW353" s="208" t="e">
        <f ca="1">VLOOKUP(表格1[[#This Row],[PO+ITEM]],#REF!,4,FALSE)</f>
        <v>#REF!</v>
      </c>
      <c r="AX353" s="208" t="e" cm="1" vm="1">
        <f t="array" aca="1" ref="AX353" ca="1">VLOOKUP(AI:AI,#REF!,1,FALSE)</f>
        <v>#VALUE!</v>
      </c>
    </row>
    <row r="354" spans="1:50">
      <c r="A354" s="220">
        <v>353</v>
      </c>
      <c r="B354" s="220" t="s">
        <v>3674</v>
      </c>
      <c r="C354" s="209" t="s">
        <v>16</v>
      </c>
      <c r="D354" s="209" t="s">
        <v>3648</v>
      </c>
      <c r="E354" s="209"/>
      <c r="F354" s="209"/>
      <c r="G354" s="209"/>
      <c r="H354" s="217" t="s">
        <v>4715</v>
      </c>
      <c r="I354" s="217"/>
      <c r="J354" s="215"/>
      <c r="K354" s="217"/>
      <c r="L354" s="212" t="s">
        <v>2206</v>
      </c>
      <c r="M354" s="212" t="s">
        <v>2999</v>
      </c>
      <c r="N354" s="213"/>
      <c r="O354" s="263">
        <v>4590004415</v>
      </c>
      <c r="P354" s="214">
        <v>44802</v>
      </c>
      <c r="Q354" s="334">
        <v>31</v>
      </c>
      <c r="R354" s="216">
        <v>913.18</v>
      </c>
      <c r="S354" s="217" t="s">
        <v>2156</v>
      </c>
      <c r="T354" s="209" t="s">
        <v>3661</v>
      </c>
      <c r="U354" s="209" t="s">
        <v>3662</v>
      </c>
      <c r="V354" s="213" t="s">
        <v>3663</v>
      </c>
      <c r="W354" s="218" t="s">
        <v>3652</v>
      </c>
      <c r="X354" s="218" t="s">
        <v>3652</v>
      </c>
      <c r="Y354" s="212" t="s">
        <v>4648</v>
      </c>
      <c r="Z354" s="209" t="s">
        <v>3664</v>
      </c>
      <c r="AA354" s="219"/>
      <c r="AB354" s="218"/>
      <c r="AC354" s="217" t="e">
        <v>#N/A</v>
      </c>
      <c r="AD354" s="217">
        <v>90392</v>
      </c>
      <c r="AE354" s="217" t="s">
        <v>2719</v>
      </c>
      <c r="AF354" s="217" t="s">
        <v>3711</v>
      </c>
      <c r="AG354" s="217" t="s">
        <v>846</v>
      </c>
      <c r="AH354" s="220" t="str">
        <f t="shared" si="21"/>
        <v>4590004415_031</v>
      </c>
      <c r="AI354" s="208"/>
      <c r="AJ354" s="225">
        <v>45108</v>
      </c>
      <c r="AK354" s="221">
        <v>365.27199999999999</v>
      </c>
      <c r="AL354" s="227">
        <v>45198</v>
      </c>
      <c r="AM354" s="208"/>
      <c r="AN354" s="220"/>
      <c r="AO354" s="222"/>
      <c r="AP354" s="227"/>
      <c r="AQ354" s="358">
        <f ca="1">IF(表格1[[#This Row],[PO$]]="","100%",表格1[[#This Row],[total amount]]/表格1[[#This Row],[PO$]])</f>
        <v>0.4</v>
      </c>
      <c r="AR354" s="223">
        <f ca="1">表格1[[#This Row],[invoice amount]]+表格1[[#This Row],[invoice amount2]]</f>
        <v>365.27199999999999</v>
      </c>
      <c r="AS354" s="224" t="s">
        <v>3673</v>
      </c>
      <c r="AT354" s="208"/>
      <c r="AU354" s="208" t="e">
        <f ca="1">VLOOKUP(表格1[[#This Row],[PO+ITEM]],#REF!,2,FALSE)</f>
        <v>#REF!</v>
      </c>
      <c r="AV354" s="341" t="e">
        <f ca="1">VLOOKUP(表格1[[#This Row],[PO+ITEM]],#REF!,3,FALSE)</f>
        <v>#REF!</v>
      </c>
      <c r="AW354" s="208" t="e">
        <f ca="1">VLOOKUP(表格1[[#This Row],[PO+ITEM]],#REF!,4,FALSE)</f>
        <v>#REF!</v>
      </c>
      <c r="AX354" s="208" t="e" cm="1" vm="1">
        <f t="array" aca="1" ref="AX354" ca="1">VLOOKUP(AI:AI,#REF!,1,FALSE)</f>
        <v>#VALUE!</v>
      </c>
    </row>
    <row r="355" spans="1:50">
      <c r="A355" s="220">
        <v>354</v>
      </c>
      <c r="B355" s="220" t="s">
        <v>3674</v>
      </c>
      <c r="C355" s="209" t="s">
        <v>16</v>
      </c>
      <c r="D355" s="209" t="s">
        <v>3648</v>
      </c>
      <c r="E355" s="209"/>
      <c r="F355" s="209"/>
      <c r="G355" s="209"/>
      <c r="H355" s="217" t="s">
        <v>4717</v>
      </c>
      <c r="I355" s="217"/>
      <c r="J355" s="215"/>
      <c r="K355" s="217"/>
      <c r="L355" s="212" t="s">
        <v>2206</v>
      </c>
      <c r="M355" s="212" t="s">
        <v>2999</v>
      </c>
      <c r="N355" s="213"/>
      <c r="O355" s="263">
        <v>4590004415</v>
      </c>
      <c r="P355" s="214">
        <v>44802</v>
      </c>
      <c r="Q355" s="334">
        <v>32</v>
      </c>
      <c r="R355" s="216">
        <v>913.18</v>
      </c>
      <c r="S355" s="217" t="s">
        <v>2156</v>
      </c>
      <c r="T355" s="209" t="s">
        <v>3661</v>
      </c>
      <c r="U355" s="209" t="s">
        <v>3662</v>
      </c>
      <c r="V355" s="213" t="s">
        <v>3663</v>
      </c>
      <c r="W355" s="218" t="s">
        <v>3652</v>
      </c>
      <c r="X355" s="218" t="s">
        <v>3652</v>
      </c>
      <c r="Y355" s="212" t="s">
        <v>4648</v>
      </c>
      <c r="Z355" s="209" t="s">
        <v>3664</v>
      </c>
      <c r="AA355" s="219"/>
      <c r="AB355" s="218"/>
      <c r="AC355" s="217" t="e">
        <v>#N/A</v>
      </c>
      <c r="AD355" s="217">
        <v>90385</v>
      </c>
      <c r="AE355" s="217" t="s">
        <v>2721</v>
      </c>
      <c r="AF355" s="217" t="s">
        <v>3711</v>
      </c>
      <c r="AG355" s="217" t="s">
        <v>846</v>
      </c>
      <c r="AH355" s="220" t="str">
        <f t="shared" si="21"/>
        <v>4590004415_032</v>
      </c>
      <c r="AI355" s="208"/>
      <c r="AJ355" s="225">
        <v>45108</v>
      </c>
      <c r="AK355" s="221">
        <v>365.27199999999999</v>
      </c>
      <c r="AL355" s="227">
        <v>45198</v>
      </c>
      <c r="AM355" s="208"/>
      <c r="AN355" s="220"/>
      <c r="AO355" s="222"/>
      <c r="AP355" s="227"/>
      <c r="AQ355" s="358">
        <f ca="1">IF(表格1[[#This Row],[PO$]]="","100%",表格1[[#This Row],[total amount]]/表格1[[#This Row],[PO$]])</f>
        <v>0.4</v>
      </c>
      <c r="AR355" s="223">
        <f ca="1">表格1[[#This Row],[invoice amount]]+表格1[[#This Row],[invoice amount2]]</f>
        <v>365.27199999999999</v>
      </c>
      <c r="AS355" s="224" t="s">
        <v>3673</v>
      </c>
      <c r="AT355" s="208"/>
      <c r="AU355" s="208" t="e">
        <f ca="1">VLOOKUP(表格1[[#This Row],[PO+ITEM]],#REF!,2,FALSE)</f>
        <v>#REF!</v>
      </c>
      <c r="AV355" s="341" t="e">
        <f ca="1">VLOOKUP(表格1[[#This Row],[PO+ITEM]],#REF!,3,FALSE)</f>
        <v>#REF!</v>
      </c>
      <c r="AW355" s="208" t="e">
        <f ca="1">VLOOKUP(表格1[[#This Row],[PO+ITEM]],#REF!,4,FALSE)</f>
        <v>#REF!</v>
      </c>
      <c r="AX355" s="208" t="e" cm="1" vm="1">
        <f t="array" aca="1" ref="AX355" ca="1">VLOOKUP(AI:AI,#REF!,1,FALSE)</f>
        <v>#VALUE!</v>
      </c>
    </row>
    <row r="356" spans="1:50">
      <c r="A356" s="220">
        <v>355</v>
      </c>
      <c r="B356" s="220" t="s">
        <v>3674</v>
      </c>
      <c r="C356" s="209" t="s">
        <v>16</v>
      </c>
      <c r="D356" s="209" t="s">
        <v>3648</v>
      </c>
      <c r="E356" s="209"/>
      <c r="F356" s="209"/>
      <c r="G356" s="209"/>
      <c r="H356" s="217" t="s">
        <v>4718</v>
      </c>
      <c r="I356" s="217"/>
      <c r="J356" s="215"/>
      <c r="K356" s="217"/>
      <c r="L356" s="212" t="s">
        <v>2206</v>
      </c>
      <c r="M356" s="212" t="s">
        <v>2999</v>
      </c>
      <c r="N356" s="213"/>
      <c r="O356" s="263">
        <v>4590004415</v>
      </c>
      <c r="P356" s="214">
        <v>44802</v>
      </c>
      <c r="Q356" s="334">
        <v>33</v>
      </c>
      <c r="R356" s="216">
        <v>913.18</v>
      </c>
      <c r="S356" s="217" t="s">
        <v>2156</v>
      </c>
      <c r="T356" s="209" t="s">
        <v>3661</v>
      </c>
      <c r="U356" s="209" t="s">
        <v>3662</v>
      </c>
      <c r="V356" s="213" t="s">
        <v>3663</v>
      </c>
      <c r="W356" s="218" t="s">
        <v>3652</v>
      </c>
      <c r="X356" s="218" t="s">
        <v>3652</v>
      </c>
      <c r="Y356" s="212" t="s">
        <v>4648</v>
      </c>
      <c r="Z356" s="209" t="s">
        <v>3664</v>
      </c>
      <c r="AA356" s="219"/>
      <c r="AB356" s="218"/>
      <c r="AC356" s="217" t="e">
        <v>#N/A</v>
      </c>
      <c r="AD356" s="217">
        <v>90439</v>
      </c>
      <c r="AE356" s="217" t="s">
        <v>4719</v>
      </c>
      <c r="AF356" s="217" t="s">
        <v>3711</v>
      </c>
      <c r="AG356" s="217" t="s">
        <v>846</v>
      </c>
      <c r="AH356" s="220" t="str">
        <f t="shared" si="21"/>
        <v>4590004415_033</v>
      </c>
      <c r="AI356" s="208"/>
      <c r="AJ356" s="225">
        <v>45108</v>
      </c>
      <c r="AK356" s="221">
        <v>365.27199999999999</v>
      </c>
      <c r="AL356" s="227">
        <v>45198</v>
      </c>
      <c r="AM356" s="208"/>
      <c r="AN356" s="220"/>
      <c r="AO356" s="222"/>
      <c r="AP356" s="227"/>
      <c r="AQ356" s="358">
        <f ca="1">IF(表格1[[#This Row],[PO$]]="","100%",表格1[[#This Row],[total amount]]/表格1[[#This Row],[PO$]])</f>
        <v>0.4</v>
      </c>
      <c r="AR356" s="223">
        <f ca="1">表格1[[#This Row],[invoice amount]]+表格1[[#This Row],[invoice amount2]]</f>
        <v>365.27199999999999</v>
      </c>
      <c r="AS356" s="224" t="s">
        <v>3673</v>
      </c>
      <c r="AT356" s="208"/>
      <c r="AU356" s="208" t="e">
        <f ca="1">VLOOKUP(表格1[[#This Row],[PO+ITEM]],#REF!,2,FALSE)</f>
        <v>#REF!</v>
      </c>
      <c r="AV356" s="341" t="e">
        <f ca="1">VLOOKUP(表格1[[#This Row],[PO+ITEM]],#REF!,3,FALSE)</f>
        <v>#REF!</v>
      </c>
      <c r="AW356" s="208" t="e">
        <f ca="1">VLOOKUP(表格1[[#This Row],[PO+ITEM]],#REF!,4,FALSE)</f>
        <v>#REF!</v>
      </c>
      <c r="AX356" s="208" t="e" cm="1" vm="1">
        <f t="array" aca="1" ref="AX356" ca="1">VLOOKUP(AI:AI,#REF!,1,FALSE)</f>
        <v>#VALUE!</v>
      </c>
    </row>
    <row r="357" spans="1:50" ht="15.6">
      <c r="A357" s="220">
        <v>356</v>
      </c>
      <c r="B357" s="220" t="s">
        <v>3674</v>
      </c>
      <c r="C357" s="209" t="s">
        <v>16</v>
      </c>
      <c r="D357" s="209" t="s">
        <v>3648</v>
      </c>
      <c r="E357" s="209"/>
      <c r="F357" s="209"/>
      <c r="G357" s="209"/>
      <c r="H357" s="217" t="s">
        <v>4720</v>
      </c>
      <c r="I357" s="217"/>
      <c r="J357" s="215"/>
      <c r="K357" s="217"/>
      <c r="L357" s="212" t="s">
        <v>2999</v>
      </c>
      <c r="M357" s="212" t="s">
        <v>2999</v>
      </c>
      <c r="N357" s="213"/>
      <c r="O357" s="263">
        <v>4590004416</v>
      </c>
      <c r="P357" s="214">
        <v>44802</v>
      </c>
      <c r="Q357" s="334">
        <v>1</v>
      </c>
      <c r="R357" s="216">
        <v>1521.25</v>
      </c>
      <c r="S357" s="217" t="s">
        <v>2156</v>
      </c>
      <c r="T357" s="209" t="s">
        <v>4027</v>
      </c>
      <c r="U357" s="209" t="s">
        <v>3992</v>
      </c>
      <c r="V357" s="213" t="s">
        <v>3993</v>
      </c>
      <c r="W357" s="218" t="s">
        <v>3652</v>
      </c>
      <c r="X357" s="218" t="s">
        <v>3652</v>
      </c>
      <c r="Y357" s="212" t="s">
        <v>4721</v>
      </c>
      <c r="Z357" s="209" t="s">
        <v>3664</v>
      </c>
      <c r="AA357" s="219"/>
      <c r="AB357" s="218"/>
      <c r="AC357" s="217" t="e">
        <v>#N/A</v>
      </c>
      <c r="AD357" s="217">
        <v>90875</v>
      </c>
      <c r="AE357" s="217" t="s">
        <v>3874</v>
      </c>
      <c r="AF357" s="217" t="s">
        <v>2250</v>
      </c>
      <c r="AG357" s="217" t="s">
        <v>3875</v>
      </c>
      <c r="AH357" s="220" t="str">
        <f t="shared" ref="AH357:AH376" si="22">O357&amp;"_00"&amp;Q357</f>
        <v>4590004416_001</v>
      </c>
      <c r="AI357" s="208"/>
      <c r="AJ357" s="225">
        <v>45047</v>
      </c>
      <c r="AK357" s="221">
        <v>608.5</v>
      </c>
      <c r="AL357" s="226">
        <v>45153</v>
      </c>
      <c r="AM357" s="208" t="s">
        <v>4722</v>
      </c>
      <c r="AN357" s="227">
        <v>45422</v>
      </c>
      <c r="AO357" s="222">
        <v>912.75</v>
      </c>
      <c r="AP357" s="227" t="s">
        <v>3805</v>
      </c>
      <c r="AQ357" s="358">
        <f ca="1">IF(表格1[[#This Row],[PO$]]="","100%",表格1[[#This Row],[total amount]]/表格1[[#This Row],[PO$]])</f>
        <v>1</v>
      </c>
      <c r="AR357" s="223">
        <f ca="1">表格1[[#This Row],[invoice amount]]+表格1[[#This Row],[invoice amount2]]</f>
        <v>1521.25</v>
      </c>
      <c r="AS357" s="224" t="s">
        <v>4371</v>
      </c>
      <c r="AT357" s="208" t="s">
        <v>3657</v>
      </c>
      <c r="AU357" s="208" t="e">
        <f ca="1">VLOOKUP(表格1[[#This Row],[PO+ITEM]],#REF!,2,FALSE)</f>
        <v>#REF!</v>
      </c>
      <c r="AV357" s="341" t="e">
        <f ca="1">VLOOKUP(表格1[[#This Row],[PO+ITEM]],#REF!,3,FALSE)</f>
        <v>#REF!</v>
      </c>
      <c r="AW357" s="208" t="e">
        <f ca="1">VLOOKUP(表格1[[#This Row],[PO+ITEM]],#REF!,4,FALSE)</f>
        <v>#REF!</v>
      </c>
      <c r="AX357" s="208" t="e" cm="1" vm="1">
        <f t="array" aca="1" ref="AX357" ca="1">VLOOKUP(AI:AI,#REF!,1,FALSE)</f>
        <v>#VALUE!</v>
      </c>
    </row>
    <row r="358" spans="1:50" ht="15.6">
      <c r="A358" s="220">
        <v>357</v>
      </c>
      <c r="B358" s="220" t="s">
        <v>3674</v>
      </c>
      <c r="C358" s="209" t="s">
        <v>16</v>
      </c>
      <c r="D358" s="209" t="s">
        <v>3648</v>
      </c>
      <c r="E358" s="209"/>
      <c r="F358" s="209"/>
      <c r="G358" s="209"/>
      <c r="H358" s="217" t="s">
        <v>4723</v>
      </c>
      <c r="I358" s="217"/>
      <c r="J358" s="215"/>
      <c r="K358" s="217"/>
      <c r="L358" s="212" t="s">
        <v>2999</v>
      </c>
      <c r="M358" s="212" t="s">
        <v>2999</v>
      </c>
      <c r="N358" s="213"/>
      <c r="O358" s="263">
        <v>4590004416</v>
      </c>
      <c r="P358" s="214">
        <v>44802</v>
      </c>
      <c r="Q358" s="334">
        <v>2</v>
      </c>
      <c r="R358" s="216">
        <v>1521.25</v>
      </c>
      <c r="S358" s="217" t="s">
        <v>2156</v>
      </c>
      <c r="T358" s="209" t="s">
        <v>4027</v>
      </c>
      <c r="U358" s="209" t="s">
        <v>3992</v>
      </c>
      <c r="V358" s="213" t="s">
        <v>3993</v>
      </c>
      <c r="W358" s="218" t="s">
        <v>3652</v>
      </c>
      <c r="X358" s="218" t="s">
        <v>3652</v>
      </c>
      <c r="Y358" s="212" t="s">
        <v>4721</v>
      </c>
      <c r="Z358" s="209" t="s">
        <v>3664</v>
      </c>
      <c r="AA358" s="219"/>
      <c r="AB358" s="218"/>
      <c r="AC358" s="217" t="e">
        <v>#N/A</v>
      </c>
      <c r="AD358" s="217">
        <v>90876</v>
      </c>
      <c r="AE358" s="217" t="s">
        <v>3878</v>
      </c>
      <c r="AF358" s="217" t="s">
        <v>2250</v>
      </c>
      <c r="AG358" s="217" t="s">
        <v>3875</v>
      </c>
      <c r="AH358" s="220" t="str">
        <f t="shared" si="22"/>
        <v>4590004416_002</v>
      </c>
      <c r="AI358" s="208"/>
      <c r="AJ358" s="225">
        <v>45047</v>
      </c>
      <c r="AK358" s="221">
        <v>608.5</v>
      </c>
      <c r="AL358" s="226">
        <v>45153</v>
      </c>
      <c r="AM358" s="208" t="s">
        <v>4724</v>
      </c>
      <c r="AN358" s="227">
        <v>45412</v>
      </c>
      <c r="AO358" s="222">
        <v>912.75</v>
      </c>
      <c r="AP358" s="227" t="s">
        <v>5710</v>
      </c>
      <c r="AQ358" s="358">
        <f ca="1">IF(表格1[[#This Row],[PO$]]="","100%",表格1[[#This Row],[total amount]]/表格1[[#This Row],[PO$]])</f>
        <v>1</v>
      </c>
      <c r="AR358" s="223">
        <f ca="1">表格1[[#This Row],[invoice amount]]+表格1[[#This Row],[invoice amount2]]</f>
        <v>1521.25</v>
      </c>
      <c r="AS358" s="224" t="s">
        <v>4371</v>
      </c>
      <c r="AT358" s="246"/>
      <c r="AU358" s="208" t="e">
        <f ca="1">VLOOKUP(表格1[[#This Row],[PO+ITEM]],#REF!,2,FALSE)</f>
        <v>#REF!</v>
      </c>
      <c r="AV358" s="341" t="e">
        <f ca="1">VLOOKUP(表格1[[#This Row],[PO+ITEM]],#REF!,3,FALSE)</f>
        <v>#REF!</v>
      </c>
      <c r="AW358" s="208" t="e">
        <f ca="1">VLOOKUP(表格1[[#This Row],[PO+ITEM]],#REF!,4,FALSE)</f>
        <v>#REF!</v>
      </c>
      <c r="AX358" s="208" t="e" cm="1" vm="1">
        <f t="array" aca="1" ref="AX358" ca="1">VLOOKUP(AI:AI,#REF!,1,FALSE)</f>
        <v>#VALUE!</v>
      </c>
    </row>
    <row r="359" spans="1:50" ht="15.6">
      <c r="A359" s="220">
        <v>358</v>
      </c>
      <c r="B359" s="220" t="s">
        <v>3674</v>
      </c>
      <c r="C359" s="209" t="s">
        <v>16</v>
      </c>
      <c r="D359" s="209" t="s">
        <v>3648</v>
      </c>
      <c r="E359" s="209"/>
      <c r="F359" s="209"/>
      <c r="G359" s="209"/>
      <c r="H359" s="217" t="s">
        <v>4725</v>
      </c>
      <c r="I359" s="217"/>
      <c r="J359" s="215"/>
      <c r="K359" s="217"/>
      <c r="L359" s="212" t="s">
        <v>2999</v>
      </c>
      <c r="M359" s="212" t="s">
        <v>2999</v>
      </c>
      <c r="N359" s="213"/>
      <c r="O359" s="263">
        <v>4590004416</v>
      </c>
      <c r="P359" s="214">
        <v>44802</v>
      </c>
      <c r="Q359" s="334">
        <v>3</v>
      </c>
      <c r="R359" s="216">
        <v>1521.25</v>
      </c>
      <c r="S359" s="217" t="s">
        <v>2156</v>
      </c>
      <c r="T359" s="209" t="s">
        <v>4027</v>
      </c>
      <c r="U359" s="209" t="s">
        <v>3992</v>
      </c>
      <c r="V359" s="213" t="s">
        <v>3993</v>
      </c>
      <c r="W359" s="218" t="s">
        <v>3652</v>
      </c>
      <c r="X359" s="218" t="s">
        <v>3652</v>
      </c>
      <c r="Y359" s="212" t="s">
        <v>4721</v>
      </c>
      <c r="Z359" s="209" t="s">
        <v>3664</v>
      </c>
      <c r="AA359" s="219"/>
      <c r="AB359" s="218"/>
      <c r="AC359" s="217" t="e">
        <v>#N/A</v>
      </c>
      <c r="AD359" s="217">
        <v>90877</v>
      </c>
      <c r="AE359" s="217" t="s">
        <v>3881</v>
      </c>
      <c r="AF359" s="217" t="s">
        <v>2250</v>
      </c>
      <c r="AG359" s="217" t="s">
        <v>3875</v>
      </c>
      <c r="AH359" s="220" t="str">
        <f t="shared" si="22"/>
        <v>4590004416_003</v>
      </c>
      <c r="AI359" s="208"/>
      <c r="AJ359" s="225">
        <v>45047</v>
      </c>
      <c r="AK359" s="221">
        <v>608.5</v>
      </c>
      <c r="AL359" s="226">
        <v>45153</v>
      </c>
      <c r="AM359" s="208" t="s">
        <v>4726</v>
      </c>
      <c r="AN359" s="227">
        <v>45506</v>
      </c>
      <c r="AO359" s="222">
        <v>912.75</v>
      </c>
      <c r="AP359" s="227"/>
      <c r="AQ359" s="358">
        <f ca="1">IF(表格1[[#This Row],[PO$]]="","100%",表格1[[#This Row],[total amount]]/表格1[[#This Row],[PO$]])</f>
        <v>1</v>
      </c>
      <c r="AR359" s="223">
        <f ca="1">表格1[[#This Row],[invoice amount]]+表格1[[#This Row],[invoice amount2]]</f>
        <v>1521.25</v>
      </c>
      <c r="AS359" s="224" t="s">
        <v>4235</v>
      </c>
      <c r="AT359" s="208"/>
      <c r="AU359" s="220" t="e">
        <f ca="1">VLOOKUP(表格1[[#This Row],[PO+ITEM]],#REF!,2,FALSE)</f>
        <v>#REF!</v>
      </c>
      <c r="AV359" s="341" t="e">
        <f ca="1">VLOOKUP(表格1[[#This Row],[PO+ITEM]],#REF!,3,FALSE)</f>
        <v>#REF!</v>
      </c>
      <c r="AW359" s="208" t="e">
        <f ca="1">VLOOKUP(表格1[[#This Row],[PO+ITEM]],#REF!,4,FALSE)</f>
        <v>#REF!</v>
      </c>
      <c r="AX359" s="208" t="e" cm="1" vm="1">
        <f t="array" aca="1" ref="AX359" ca="1">VLOOKUP(AI:AI,#REF!,1,FALSE)</f>
        <v>#VALUE!</v>
      </c>
    </row>
    <row r="360" spans="1:50" ht="15.6">
      <c r="A360" s="220">
        <v>359</v>
      </c>
      <c r="B360" s="220" t="s">
        <v>3674</v>
      </c>
      <c r="C360" s="209" t="s">
        <v>16</v>
      </c>
      <c r="D360" s="209" t="s">
        <v>3648</v>
      </c>
      <c r="E360" s="209"/>
      <c r="F360" s="209"/>
      <c r="G360" s="209"/>
      <c r="H360" s="217" t="s">
        <v>4727</v>
      </c>
      <c r="I360" s="217"/>
      <c r="J360" s="215"/>
      <c r="K360" s="217"/>
      <c r="L360" s="212" t="s">
        <v>2999</v>
      </c>
      <c r="M360" s="212" t="s">
        <v>2999</v>
      </c>
      <c r="N360" s="213"/>
      <c r="O360" s="263">
        <v>4590004416</v>
      </c>
      <c r="P360" s="214">
        <v>44802</v>
      </c>
      <c r="Q360" s="334">
        <v>4</v>
      </c>
      <c r="R360" s="216">
        <v>1521.25</v>
      </c>
      <c r="S360" s="217" t="s">
        <v>2156</v>
      </c>
      <c r="T360" s="209" t="s">
        <v>4027</v>
      </c>
      <c r="U360" s="209" t="s">
        <v>3992</v>
      </c>
      <c r="V360" s="213" t="s">
        <v>3993</v>
      </c>
      <c r="W360" s="218" t="s">
        <v>3652</v>
      </c>
      <c r="X360" s="218" t="s">
        <v>3652</v>
      </c>
      <c r="Y360" s="212" t="s">
        <v>4721</v>
      </c>
      <c r="Z360" s="209" t="s">
        <v>3664</v>
      </c>
      <c r="AA360" s="219"/>
      <c r="AB360" s="218"/>
      <c r="AC360" s="217" t="e">
        <v>#N/A</v>
      </c>
      <c r="AD360" s="217">
        <v>73845</v>
      </c>
      <c r="AE360" s="217" t="s">
        <v>3888</v>
      </c>
      <c r="AF360" s="217" t="s">
        <v>2250</v>
      </c>
      <c r="AG360" s="217" t="s">
        <v>3875</v>
      </c>
      <c r="AH360" s="220" t="str">
        <f t="shared" si="22"/>
        <v>4590004416_004</v>
      </c>
      <c r="AI360" s="208"/>
      <c r="AJ360" s="225">
        <v>45047</v>
      </c>
      <c r="AK360" s="221">
        <v>608.5</v>
      </c>
      <c r="AL360" s="226">
        <v>45153</v>
      </c>
      <c r="AM360" s="208" t="s">
        <v>4728</v>
      </c>
      <c r="AN360" s="227">
        <v>45351</v>
      </c>
      <c r="AO360" s="222">
        <v>912.75</v>
      </c>
      <c r="AP360" s="345">
        <v>45458</v>
      </c>
      <c r="AQ360" s="358">
        <f ca="1">IF(表格1[[#This Row],[PO$]]="","100%",表格1[[#This Row],[total amount]]/表格1[[#This Row],[PO$]])</f>
        <v>1</v>
      </c>
      <c r="AR360" s="223">
        <f ca="1">表格1[[#This Row],[invoice amount]]+表格1[[#This Row],[invoice amount2]]</f>
        <v>1521.25</v>
      </c>
      <c r="AS360" s="224" t="s">
        <v>3725</v>
      </c>
      <c r="AT360" s="208"/>
      <c r="AU360" s="208" t="e">
        <f ca="1">VLOOKUP(表格1[[#This Row],[PO+ITEM]],#REF!,2,FALSE)</f>
        <v>#REF!</v>
      </c>
      <c r="AV360" s="341" t="e">
        <f ca="1">VLOOKUP(表格1[[#This Row],[PO+ITEM]],#REF!,3,FALSE)</f>
        <v>#REF!</v>
      </c>
      <c r="AW360" s="208" t="e">
        <f ca="1">VLOOKUP(表格1[[#This Row],[PO+ITEM]],#REF!,4,FALSE)</f>
        <v>#REF!</v>
      </c>
      <c r="AX360" s="208" t="e" cm="1" vm="1">
        <f t="array" aca="1" ref="AX360" ca="1">VLOOKUP(AI:AI,#REF!,1,FALSE)</f>
        <v>#VALUE!</v>
      </c>
    </row>
    <row r="361" spans="1:50" ht="15.6">
      <c r="A361" s="220">
        <v>360</v>
      </c>
      <c r="B361" s="220" t="s">
        <v>3674</v>
      </c>
      <c r="C361" s="209" t="s">
        <v>16</v>
      </c>
      <c r="D361" s="209" t="s">
        <v>3648</v>
      </c>
      <c r="E361" s="209"/>
      <c r="F361" s="209"/>
      <c r="G361" s="209"/>
      <c r="H361" s="217" t="s">
        <v>4729</v>
      </c>
      <c r="I361" s="217"/>
      <c r="J361" s="215"/>
      <c r="K361" s="217"/>
      <c r="L361" s="212" t="s">
        <v>2999</v>
      </c>
      <c r="M361" s="212" t="s">
        <v>2999</v>
      </c>
      <c r="N361" s="213"/>
      <c r="O361" s="263">
        <v>4590004416</v>
      </c>
      <c r="P361" s="214">
        <v>44802</v>
      </c>
      <c r="Q361" s="334">
        <v>5</v>
      </c>
      <c r="R361" s="216">
        <v>1521.25</v>
      </c>
      <c r="S361" s="217" t="s">
        <v>2156</v>
      </c>
      <c r="T361" s="209" t="s">
        <v>4027</v>
      </c>
      <c r="U361" s="209" t="s">
        <v>3992</v>
      </c>
      <c r="V361" s="213" t="s">
        <v>3993</v>
      </c>
      <c r="W361" s="218" t="s">
        <v>3652</v>
      </c>
      <c r="X361" s="218" t="s">
        <v>3652</v>
      </c>
      <c r="Y361" s="212" t="s">
        <v>4721</v>
      </c>
      <c r="Z361" s="209" t="s">
        <v>3664</v>
      </c>
      <c r="AA361" s="219"/>
      <c r="AB361" s="218"/>
      <c r="AC361" s="217" t="e">
        <v>#N/A</v>
      </c>
      <c r="AD361" s="217">
        <v>73848</v>
      </c>
      <c r="AE361" s="217" t="s">
        <v>3892</v>
      </c>
      <c r="AF361" s="217" t="s">
        <v>2250</v>
      </c>
      <c r="AG361" s="217" t="s">
        <v>3875</v>
      </c>
      <c r="AH361" s="220" t="str">
        <f t="shared" si="22"/>
        <v>4590004416_005</v>
      </c>
      <c r="AI361" s="208"/>
      <c r="AJ361" s="225">
        <v>45047</v>
      </c>
      <c r="AK361" s="221">
        <v>608.5</v>
      </c>
      <c r="AL361" s="226">
        <v>45153</v>
      </c>
      <c r="AM361" s="208" t="s">
        <v>4730</v>
      </c>
      <c r="AN361" s="227">
        <v>45401</v>
      </c>
      <c r="AO361" s="221">
        <v>912.75</v>
      </c>
      <c r="AP361" s="345">
        <v>45458</v>
      </c>
      <c r="AQ361" s="358">
        <f ca="1">IF(表格1[[#This Row],[PO$]]="","100%",表格1[[#This Row],[total amount]]/表格1[[#This Row],[PO$]])</f>
        <v>1</v>
      </c>
      <c r="AR361" s="223">
        <f ca="1">表格1[[#This Row],[invoice amount]]+表格1[[#This Row],[invoice amount2]]</f>
        <v>1521.25</v>
      </c>
      <c r="AS361" s="224" t="s">
        <v>3725</v>
      </c>
      <c r="AT361" s="208"/>
      <c r="AU361" s="208" t="e">
        <f ca="1">VLOOKUP(表格1[[#This Row],[PO+ITEM]],#REF!,2,FALSE)</f>
        <v>#REF!</v>
      </c>
      <c r="AV361" s="341" t="e">
        <f ca="1">VLOOKUP(表格1[[#This Row],[PO+ITEM]],#REF!,3,FALSE)</f>
        <v>#REF!</v>
      </c>
      <c r="AW361" s="208" t="e">
        <f ca="1">VLOOKUP(表格1[[#This Row],[PO+ITEM]],#REF!,4,FALSE)</f>
        <v>#REF!</v>
      </c>
      <c r="AX361" s="208" t="e" cm="1" vm="1">
        <f t="array" aca="1" ref="AX361" ca="1">VLOOKUP(AI:AI,#REF!,1,FALSE)</f>
        <v>#VALUE!</v>
      </c>
    </row>
    <row r="362" spans="1:50" ht="15.6">
      <c r="A362" s="220">
        <v>361</v>
      </c>
      <c r="B362" s="220" t="s">
        <v>3674</v>
      </c>
      <c r="C362" s="209" t="s">
        <v>16</v>
      </c>
      <c r="D362" s="209" t="s">
        <v>3648</v>
      </c>
      <c r="E362" s="209"/>
      <c r="F362" s="209"/>
      <c r="G362" s="209"/>
      <c r="H362" s="217" t="s">
        <v>4731</v>
      </c>
      <c r="I362" s="217"/>
      <c r="J362" s="215"/>
      <c r="K362" s="217"/>
      <c r="L362" s="212" t="s">
        <v>2999</v>
      </c>
      <c r="M362" s="212" t="s">
        <v>2999</v>
      </c>
      <c r="N362" s="213"/>
      <c r="O362" s="263">
        <v>4590004417</v>
      </c>
      <c r="P362" s="214">
        <v>44802</v>
      </c>
      <c r="Q362" s="334">
        <v>1</v>
      </c>
      <c r="R362" s="216">
        <v>30443.5</v>
      </c>
      <c r="S362" s="217" t="s">
        <v>2156</v>
      </c>
      <c r="T362" s="209" t="s">
        <v>4027</v>
      </c>
      <c r="U362" s="209" t="s">
        <v>3992</v>
      </c>
      <c r="V362" s="213" t="s">
        <v>3993</v>
      </c>
      <c r="W362" s="218" t="s">
        <v>3652</v>
      </c>
      <c r="X362" s="218" t="s">
        <v>3652</v>
      </c>
      <c r="Y362" s="212" t="s">
        <v>4732</v>
      </c>
      <c r="Z362" s="209" t="s">
        <v>3664</v>
      </c>
      <c r="AA362" s="219"/>
      <c r="AB362" s="218"/>
      <c r="AC362" s="217" t="e">
        <v>#N/A</v>
      </c>
      <c r="AD362" s="217">
        <v>90832</v>
      </c>
      <c r="AE362" s="217" t="s">
        <v>4733</v>
      </c>
      <c r="AF362" s="217" t="s">
        <v>3718</v>
      </c>
      <c r="AG362" s="217" t="s">
        <v>4734</v>
      </c>
      <c r="AH362" s="220" t="str">
        <f t="shared" si="22"/>
        <v>4590004417_001</v>
      </c>
      <c r="AI362" s="208"/>
      <c r="AJ362" s="225">
        <v>45047</v>
      </c>
      <c r="AK362" s="221">
        <v>12177.400000000001</v>
      </c>
      <c r="AL362" s="226">
        <v>45153</v>
      </c>
      <c r="AM362" s="36" t="s">
        <v>4735</v>
      </c>
      <c r="AN362" s="227">
        <v>45483</v>
      </c>
      <c r="AO362" s="356">
        <v>18266.099999999999</v>
      </c>
      <c r="AP362" s="227"/>
      <c r="AQ362" s="358">
        <f ca="1">IF(表格1[[#This Row],[PO$]]="","100%",表格1[[#This Row],[total amount]]/表格1[[#This Row],[PO$]])</f>
        <v>1</v>
      </c>
      <c r="AR362" s="223">
        <f ca="1">表格1[[#This Row],[invoice amount]]+表格1[[#This Row],[invoice amount2]]</f>
        <v>30443.5</v>
      </c>
      <c r="AS362" s="224" t="s">
        <v>4235</v>
      </c>
      <c r="AT362" s="208"/>
      <c r="AU362" s="208" t="e">
        <f ca="1">VLOOKUP(表格1[[#This Row],[PO+ITEM]],#REF!,2,FALSE)</f>
        <v>#REF!</v>
      </c>
      <c r="AV362" s="341" t="e">
        <f ca="1">VLOOKUP(表格1[[#This Row],[PO+ITEM]],#REF!,3,FALSE)</f>
        <v>#REF!</v>
      </c>
      <c r="AW362" s="208" t="e">
        <f ca="1">VLOOKUP(表格1[[#This Row],[PO+ITEM]],#REF!,4,FALSE)</f>
        <v>#REF!</v>
      </c>
      <c r="AX362" s="208" t="e" cm="1" vm="1">
        <f t="array" aca="1" ref="AX362" ca="1">VLOOKUP(AI:AI,#REF!,1,FALSE)</f>
        <v>#VALUE!</v>
      </c>
    </row>
    <row r="363" spans="1:50" ht="15.6">
      <c r="A363" s="220">
        <v>362</v>
      </c>
      <c r="B363" s="220" t="s">
        <v>3674</v>
      </c>
      <c r="C363" s="209" t="s">
        <v>16</v>
      </c>
      <c r="D363" s="209" t="s">
        <v>3648</v>
      </c>
      <c r="E363" s="209"/>
      <c r="F363" s="209"/>
      <c r="G363" s="209"/>
      <c r="H363" s="217" t="s">
        <v>4736</v>
      </c>
      <c r="I363" s="217"/>
      <c r="J363" s="215"/>
      <c r="K363" s="217"/>
      <c r="L363" s="212" t="s">
        <v>2999</v>
      </c>
      <c r="M363" s="212" t="s">
        <v>2999</v>
      </c>
      <c r="N363" s="213"/>
      <c r="O363" s="263">
        <v>4590004417</v>
      </c>
      <c r="P363" s="214">
        <v>44802</v>
      </c>
      <c r="Q363" s="334">
        <v>2</v>
      </c>
      <c r="R363" s="216">
        <v>16737.97</v>
      </c>
      <c r="S363" s="217" t="s">
        <v>2156</v>
      </c>
      <c r="T363" s="209" t="s">
        <v>4027</v>
      </c>
      <c r="U363" s="209" t="s">
        <v>3992</v>
      </c>
      <c r="V363" s="213" t="s">
        <v>3993</v>
      </c>
      <c r="W363" s="218" t="s">
        <v>3652</v>
      </c>
      <c r="X363" s="218" t="s">
        <v>3652</v>
      </c>
      <c r="Y363" s="212" t="s">
        <v>4732</v>
      </c>
      <c r="Z363" s="209" t="s">
        <v>3664</v>
      </c>
      <c r="AA363" s="219"/>
      <c r="AB363" s="218"/>
      <c r="AC363" s="217" t="e">
        <v>#N/A</v>
      </c>
      <c r="AD363" s="217">
        <v>90435</v>
      </c>
      <c r="AE363" s="217" t="s">
        <v>4737</v>
      </c>
      <c r="AF363" s="217" t="s">
        <v>3718</v>
      </c>
      <c r="AG363" s="217" t="s">
        <v>3919</v>
      </c>
      <c r="AH363" s="220" t="str">
        <f t="shared" si="22"/>
        <v>4590004417_002</v>
      </c>
      <c r="AI363" s="208"/>
      <c r="AJ363" s="225">
        <v>45047</v>
      </c>
      <c r="AK363" s="221">
        <v>12177.400000000001</v>
      </c>
      <c r="AL363" s="226">
        <v>45212</v>
      </c>
      <c r="AM363" s="36" t="s">
        <v>4738</v>
      </c>
      <c r="AN363" s="227">
        <v>45483</v>
      </c>
      <c r="AO363" s="222">
        <v>4519.2519000000002</v>
      </c>
      <c r="AP363" s="227"/>
      <c r="AQ363" s="358">
        <f ca="1">IF(表格1[[#This Row],[PO$]]="","100%",表格1[[#This Row],[total amount]]/表格1[[#This Row],[PO$]])</f>
        <v>0.99753147484432103</v>
      </c>
      <c r="AR363" s="223">
        <f ca="1">表格1[[#This Row],[invoice amount]]+表格1[[#This Row],[invoice amount2]]</f>
        <v>16696.651900000001</v>
      </c>
      <c r="AS363" s="224" t="s">
        <v>4235</v>
      </c>
      <c r="AT363" s="208"/>
      <c r="AU363" s="208" t="e">
        <f ca="1">VLOOKUP(表格1[[#This Row],[PO+ITEM]],#REF!,2,FALSE)</f>
        <v>#REF!</v>
      </c>
      <c r="AV363" s="341" t="e">
        <f ca="1">VLOOKUP(表格1[[#This Row],[PO+ITEM]],#REF!,3,FALSE)</f>
        <v>#REF!</v>
      </c>
      <c r="AW363" s="208" t="e">
        <f ca="1">VLOOKUP(表格1[[#This Row],[PO+ITEM]],#REF!,4,FALSE)</f>
        <v>#REF!</v>
      </c>
      <c r="AX363" s="208" t="e" cm="1" vm="1">
        <f t="array" aca="1" ref="AX363" ca="1">VLOOKUP(AI:AI,#REF!,1,FALSE)</f>
        <v>#VALUE!</v>
      </c>
    </row>
    <row r="364" spans="1:50" ht="15.6">
      <c r="A364" s="220">
        <v>363</v>
      </c>
      <c r="B364" s="220" t="s">
        <v>3674</v>
      </c>
      <c r="C364" s="209" t="s">
        <v>16</v>
      </c>
      <c r="D364" s="209" t="s">
        <v>3648</v>
      </c>
      <c r="E364" s="209"/>
      <c r="F364" s="209"/>
      <c r="G364" s="209"/>
      <c r="H364" s="217" t="s">
        <v>4739</v>
      </c>
      <c r="I364" s="217"/>
      <c r="J364" s="215"/>
      <c r="K364" s="217"/>
      <c r="L364" s="212" t="s">
        <v>2999</v>
      </c>
      <c r="M364" s="212" t="s">
        <v>2999</v>
      </c>
      <c r="N364" s="213"/>
      <c r="O364" s="263">
        <v>4590004417</v>
      </c>
      <c r="P364" s="214">
        <v>44802</v>
      </c>
      <c r="Q364" s="334">
        <v>3</v>
      </c>
      <c r="R364" s="216">
        <v>55386.48</v>
      </c>
      <c r="S364" s="217" t="s">
        <v>2156</v>
      </c>
      <c r="T364" s="209" t="s">
        <v>4027</v>
      </c>
      <c r="U364" s="209" t="s">
        <v>3992</v>
      </c>
      <c r="V364" s="213" t="s">
        <v>3993</v>
      </c>
      <c r="W364" s="218" t="s">
        <v>3652</v>
      </c>
      <c r="X364" s="218" t="s">
        <v>3652</v>
      </c>
      <c r="Y364" s="212" t="s">
        <v>4732</v>
      </c>
      <c r="Z364" s="209" t="s">
        <v>3664</v>
      </c>
      <c r="AA364" s="219"/>
      <c r="AB364" s="218"/>
      <c r="AC364" s="217" t="e">
        <v>#N/A</v>
      </c>
      <c r="AD364" s="217">
        <v>90426</v>
      </c>
      <c r="AE364" s="217" t="s">
        <v>3756</v>
      </c>
      <c r="AF364" s="217" t="s">
        <v>3718</v>
      </c>
      <c r="AG364" s="217" t="s">
        <v>3719</v>
      </c>
      <c r="AH364" s="220" t="str">
        <f t="shared" si="22"/>
        <v>4590004417_003</v>
      </c>
      <c r="AI364" s="208"/>
      <c r="AJ364" s="225">
        <v>45047</v>
      </c>
      <c r="AK364" s="221">
        <v>22154.592000000004</v>
      </c>
      <c r="AL364" s="226">
        <v>45153</v>
      </c>
      <c r="AM364" s="208" t="s">
        <v>4740</v>
      </c>
      <c r="AN364" s="227">
        <v>45351</v>
      </c>
      <c r="AO364" s="222">
        <v>33231.887999999999</v>
      </c>
      <c r="AP364" s="244">
        <v>45412</v>
      </c>
      <c r="AQ364" s="358">
        <f ca="1">IF(表格1[[#This Row],[PO$]]="","100%",表格1[[#This Row],[total amount]]/表格1[[#This Row],[PO$]])</f>
        <v>1</v>
      </c>
      <c r="AR364" s="223">
        <f ca="1">表格1[[#This Row],[invoice amount]]+表格1[[#This Row],[invoice amount2]]</f>
        <v>55386.48</v>
      </c>
      <c r="AS364" s="224" t="s">
        <v>3673</v>
      </c>
      <c r="AT364" s="208"/>
      <c r="AU364" s="208" t="e">
        <f ca="1">VLOOKUP(表格1[[#This Row],[PO+ITEM]],#REF!,2,FALSE)</f>
        <v>#REF!</v>
      </c>
      <c r="AV364" s="341" t="e">
        <f ca="1">VLOOKUP(表格1[[#This Row],[PO+ITEM]],#REF!,3,FALSE)</f>
        <v>#REF!</v>
      </c>
      <c r="AW364" s="208" t="e">
        <f ca="1">VLOOKUP(表格1[[#This Row],[PO+ITEM]],#REF!,4,FALSE)</f>
        <v>#REF!</v>
      </c>
      <c r="AX364" s="208" t="e" cm="1" vm="1">
        <f t="array" aca="1" ref="AX364" ca="1">VLOOKUP(AI:AI,#REF!,1,FALSE)</f>
        <v>#VALUE!</v>
      </c>
    </row>
    <row r="365" spans="1:50" ht="15.6">
      <c r="A365" s="220">
        <v>364</v>
      </c>
      <c r="B365" s="220" t="s">
        <v>3674</v>
      </c>
      <c r="C365" s="209" t="s">
        <v>16</v>
      </c>
      <c r="D365" s="209" t="s">
        <v>3648</v>
      </c>
      <c r="E365" s="209"/>
      <c r="F365" s="209"/>
      <c r="G365" s="209"/>
      <c r="H365" s="217" t="s">
        <v>4741</v>
      </c>
      <c r="I365" s="217"/>
      <c r="J365" s="215"/>
      <c r="K365" s="217"/>
      <c r="L365" s="212" t="s">
        <v>2999</v>
      </c>
      <c r="M365" s="212" t="s">
        <v>2999</v>
      </c>
      <c r="N365" s="213"/>
      <c r="O365" s="263">
        <v>4590004417</v>
      </c>
      <c r="P365" s="214">
        <v>44802</v>
      </c>
      <c r="Q365" s="334">
        <v>4</v>
      </c>
      <c r="R365" s="216">
        <v>60887.01</v>
      </c>
      <c r="S365" s="217" t="s">
        <v>2156</v>
      </c>
      <c r="T365" s="209" t="s">
        <v>4027</v>
      </c>
      <c r="U365" s="209" t="s">
        <v>3992</v>
      </c>
      <c r="V365" s="213" t="s">
        <v>3993</v>
      </c>
      <c r="W365" s="218" t="s">
        <v>3652</v>
      </c>
      <c r="X365" s="218" t="s">
        <v>3652</v>
      </c>
      <c r="Y365" s="212" t="s">
        <v>4732</v>
      </c>
      <c r="Z365" s="209" t="s">
        <v>3664</v>
      </c>
      <c r="AA365" s="219"/>
      <c r="AB365" s="218"/>
      <c r="AC365" s="217" t="e">
        <v>#N/A</v>
      </c>
      <c r="AD365" s="217">
        <v>90830</v>
      </c>
      <c r="AE365" s="217" t="s">
        <v>4123</v>
      </c>
      <c r="AF365" s="217" t="s">
        <v>3718</v>
      </c>
      <c r="AG365" s="217" t="s">
        <v>3919</v>
      </c>
      <c r="AH365" s="220" t="str">
        <f t="shared" si="22"/>
        <v>4590004417_004</v>
      </c>
      <c r="AI365" s="208"/>
      <c r="AJ365" s="225">
        <v>45047</v>
      </c>
      <c r="AK365" s="221">
        <v>24354.804000000004</v>
      </c>
      <c r="AL365" s="226">
        <v>45153</v>
      </c>
      <c r="AM365" s="208" t="s">
        <v>4742</v>
      </c>
      <c r="AN365" s="227">
        <v>45315</v>
      </c>
      <c r="AO365" s="222">
        <v>36532.205999999998</v>
      </c>
      <c r="AP365" s="244">
        <v>45351</v>
      </c>
      <c r="AQ365" s="358">
        <f ca="1">IF(表格1[[#This Row],[PO$]]="","100%",表格1[[#This Row],[total amount]]/表格1[[#This Row],[PO$]])</f>
        <v>1</v>
      </c>
      <c r="AR365" s="223">
        <f ca="1">表格1[[#This Row],[invoice amount]]+表格1[[#This Row],[invoice amount2]]</f>
        <v>60887.01</v>
      </c>
      <c r="AS365" s="224" t="s">
        <v>3673</v>
      </c>
      <c r="AT365" s="208"/>
      <c r="AU365" s="208" t="e">
        <f ca="1">VLOOKUP(表格1[[#This Row],[PO+ITEM]],#REF!,2,FALSE)</f>
        <v>#REF!</v>
      </c>
      <c r="AV365" s="341" t="e">
        <f ca="1">VLOOKUP(表格1[[#This Row],[PO+ITEM]],#REF!,3,FALSE)</f>
        <v>#REF!</v>
      </c>
      <c r="AW365" s="208" t="e">
        <f ca="1">VLOOKUP(表格1[[#This Row],[PO+ITEM]],#REF!,4,FALSE)</f>
        <v>#REF!</v>
      </c>
      <c r="AX365" s="208" t="e" cm="1" vm="1">
        <f t="array" aca="1" ref="AX365" ca="1">VLOOKUP(AI:AI,#REF!,1,FALSE)</f>
        <v>#VALUE!</v>
      </c>
    </row>
    <row r="366" spans="1:50" ht="15.6">
      <c r="A366" s="220">
        <v>365</v>
      </c>
      <c r="B366" s="220" t="s">
        <v>3674</v>
      </c>
      <c r="C366" s="209" t="s">
        <v>16</v>
      </c>
      <c r="D366" s="209" t="s">
        <v>3648</v>
      </c>
      <c r="E366" s="209"/>
      <c r="F366" s="209"/>
      <c r="G366" s="209"/>
      <c r="H366" s="217" t="s">
        <v>4743</v>
      </c>
      <c r="I366" s="217"/>
      <c r="J366" s="215"/>
      <c r="K366" s="217"/>
      <c r="L366" s="212" t="s">
        <v>2999</v>
      </c>
      <c r="M366" s="212" t="s">
        <v>2999</v>
      </c>
      <c r="N366" s="213"/>
      <c r="O366" s="263">
        <v>4590004417</v>
      </c>
      <c r="P366" s="214">
        <v>44802</v>
      </c>
      <c r="Q366" s="334">
        <v>5</v>
      </c>
      <c r="R366" s="216">
        <v>60887.01</v>
      </c>
      <c r="S366" s="217" t="s">
        <v>2156</v>
      </c>
      <c r="T366" s="209" t="s">
        <v>4027</v>
      </c>
      <c r="U366" s="209" t="s">
        <v>3992</v>
      </c>
      <c r="V366" s="213" t="s">
        <v>3993</v>
      </c>
      <c r="W366" s="218" t="s">
        <v>3652</v>
      </c>
      <c r="X366" s="218" t="s">
        <v>3652</v>
      </c>
      <c r="Y366" s="212" t="s">
        <v>4732</v>
      </c>
      <c r="Z366" s="209" t="s">
        <v>3664</v>
      </c>
      <c r="AA366" s="219"/>
      <c r="AB366" s="218"/>
      <c r="AC366" s="217" t="e">
        <v>#N/A</v>
      </c>
      <c r="AD366" s="217">
        <v>90831</v>
      </c>
      <c r="AE366" s="217" t="s">
        <v>4744</v>
      </c>
      <c r="AF366" s="217" t="s">
        <v>3718</v>
      </c>
      <c r="AG366" s="217" t="s">
        <v>3919</v>
      </c>
      <c r="AH366" s="220" t="str">
        <f t="shared" si="22"/>
        <v>4590004417_005</v>
      </c>
      <c r="AI366" s="208"/>
      <c r="AJ366" s="225">
        <v>45047</v>
      </c>
      <c r="AK366" s="221">
        <v>24354.804000000004</v>
      </c>
      <c r="AL366" s="226">
        <v>45153</v>
      </c>
      <c r="AM366" s="208" t="s">
        <v>4745</v>
      </c>
      <c r="AN366" s="227">
        <v>45401</v>
      </c>
      <c r="AO366" s="221">
        <v>36532.21</v>
      </c>
      <c r="AP366" s="227">
        <v>45442</v>
      </c>
      <c r="AQ366" s="358">
        <f ca="1">IF(表格1[[#This Row],[PO$]]="","100%",表格1[[#This Row],[total amount]]/表格1[[#This Row],[PO$]])</f>
        <v>1.000000065695458</v>
      </c>
      <c r="AR366" s="223">
        <f ca="1">表格1[[#This Row],[invoice amount]]+表格1[[#This Row],[invoice amount2]]</f>
        <v>60887.014000000003</v>
      </c>
      <c r="AS366" s="224" t="s">
        <v>3673</v>
      </c>
      <c r="AT366" s="208"/>
      <c r="AU366" s="208" t="e">
        <f ca="1">VLOOKUP(表格1[[#This Row],[PO+ITEM]],#REF!,2,FALSE)</f>
        <v>#REF!</v>
      </c>
      <c r="AV366" s="341" t="e">
        <f ca="1">VLOOKUP(表格1[[#This Row],[PO+ITEM]],#REF!,3,FALSE)</f>
        <v>#REF!</v>
      </c>
      <c r="AW366" s="208" t="e">
        <f ca="1">VLOOKUP(表格1[[#This Row],[PO+ITEM]],#REF!,4,FALSE)</f>
        <v>#REF!</v>
      </c>
      <c r="AX366" s="208" t="e" cm="1" vm="1">
        <f t="array" aca="1" ref="AX366" ca="1">VLOOKUP(AI:AI,#REF!,1,FALSE)</f>
        <v>#VALUE!</v>
      </c>
    </row>
    <row r="367" spans="1:50" ht="15.6">
      <c r="A367" s="220">
        <v>366</v>
      </c>
      <c r="B367" s="220" t="s">
        <v>3674</v>
      </c>
      <c r="C367" s="209" t="s">
        <v>16</v>
      </c>
      <c r="D367" s="209" t="s">
        <v>3648</v>
      </c>
      <c r="E367" s="209"/>
      <c r="F367" s="209"/>
      <c r="G367" s="209"/>
      <c r="H367" s="217" t="s">
        <v>4746</v>
      </c>
      <c r="I367" s="217"/>
      <c r="J367" s="215"/>
      <c r="K367" s="217"/>
      <c r="L367" s="212" t="s">
        <v>2999</v>
      </c>
      <c r="M367" s="212" t="s">
        <v>2999</v>
      </c>
      <c r="N367" s="213"/>
      <c r="O367" s="263">
        <v>4590004417</v>
      </c>
      <c r="P367" s="214">
        <v>44802</v>
      </c>
      <c r="Q367" s="334">
        <v>6</v>
      </c>
      <c r="R367" s="216">
        <v>41539.86</v>
      </c>
      <c r="S367" s="217" t="s">
        <v>2156</v>
      </c>
      <c r="T367" s="209" t="s">
        <v>4027</v>
      </c>
      <c r="U367" s="209" t="s">
        <v>3992</v>
      </c>
      <c r="V367" s="213" t="s">
        <v>3993</v>
      </c>
      <c r="W367" s="218" t="s">
        <v>3652</v>
      </c>
      <c r="X367" s="218" t="s">
        <v>3652</v>
      </c>
      <c r="Y367" s="212" t="s">
        <v>4732</v>
      </c>
      <c r="Z367" s="209" t="s">
        <v>3664</v>
      </c>
      <c r="AA367" s="219"/>
      <c r="AB367" s="218"/>
      <c r="AC367" s="217" t="e">
        <v>#N/A</v>
      </c>
      <c r="AD367" s="217">
        <v>90436</v>
      </c>
      <c r="AE367" s="217" t="s">
        <v>4747</v>
      </c>
      <c r="AF367" s="217" t="s">
        <v>3718</v>
      </c>
      <c r="AG367" s="217" t="s">
        <v>3719</v>
      </c>
      <c r="AH367" s="220" t="str">
        <f t="shared" si="22"/>
        <v>4590004417_006</v>
      </c>
      <c r="AI367" s="208"/>
      <c r="AJ367" s="225">
        <v>45047</v>
      </c>
      <c r="AK367" s="221">
        <v>16615.944</v>
      </c>
      <c r="AL367" s="226">
        <v>45153</v>
      </c>
      <c r="AM367" s="208" t="s">
        <v>4748</v>
      </c>
      <c r="AN367" s="227">
        <v>45429</v>
      </c>
      <c r="AO367" s="222">
        <v>24923.916000000001</v>
      </c>
      <c r="AP367" s="227">
        <v>45503</v>
      </c>
      <c r="AQ367" s="358">
        <f ca="1">IF(表格1[[#This Row],[PO$]]="","100%",表格1[[#This Row],[total amount]]/表格1[[#This Row],[PO$]])</f>
        <v>1</v>
      </c>
      <c r="AR367" s="223">
        <f ca="1">表格1[[#This Row],[invoice amount]]+表格1[[#This Row],[invoice amount2]]</f>
        <v>41539.86</v>
      </c>
      <c r="AS367" s="224" t="s">
        <v>3725</v>
      </c>
      <c r="AT367" s="208"/>
      <c r="AU367" s="208" t="e">
        <f ca="1">VLOOKUP(表格1[[#This Row],[PO+ITEM]],#REF!,2,FALSE)</f>
        <v>#REF!</v>
      </c>
      <c r="AV367" s="341" t="e">
        <f ca="1">VLOOKUP(表格1[[#This Row],[PO+ITEM]],#REF!,3,FALSE)</f>
        <v>#REF!</v>
      </c>
      <c r="AW367" s="208" t="e">
        <f ca="1">VLOOKUP(表格1[[#This Row],[PO+ITEM]],#REF!,4,FALSE)</f>
        <v>#REF!</v>
      </c>
      <c r="AX367" s="208" t="e" cm="1" vm="1">
        <f t="array" aca="1" ref="AX367" ca="1">VLOOKUP(AI:AI,#REF!,1,FALSE)</f>
        <v>#VALUE!</v>
      </c>
    </row>
    <row r="368" spans="1:50" ht="15.6">
      <c r="A368" s="220">
        <v>367</v>
      </c>
      <c r="B368" s="220" t="s">
        <v>3674</v>
      </c>
      <c r="C368" s="209" t="s">
        <v>16</v>
      </c>
      <c r="D368" s="209" t="s">
        <v>3648</v>
      </c>
      <c r="E368" s="209"/>
      <c r="F368" s="209"/>
      <c r="G368" s="209"/>
      <c r="H368" s="210" t="s">
        <v>4749</v>
      </c>
      <c r="I368" s="210"/>
      <c r="J368" s="211"/>
      <c r="K368" s="210"/>
      <c r="L368" s="212" t="s">
        <v>2206</v>
      </c>
      <c r="M368" s="212" t="s">
        <v>2999</v>
      </c>
      <c r="N368" s="213"/>
      <c r="O368" s="263">
        <v>4590004418</v>
      </c>
      <c r="P368" s="214">
        <v>44802</v>
      </c>
      <c r="Q368" s="334">
        <v>1</v>
      </c>
      <c r="R368" s="216">
        <v>3803.58</v>
      </c>
      <c r="S368" s="217" t="s">
        <v>2156</v>
      </c>
      <c r="T368" s="209" t="s">
        <v>4021</v>
      </c>
      <c r="U368" s="209" t="s">
        <v>4022</v>
      </c>
      <c r="V368" s="213" t="s">
        <v>4023</v>
      </c>
      <c r="W368" s="218" t="s">
        <v>3652</v>
      </c>
      <c r="X368" s="218" t="s">
        <v>3652</v>
      </c>
      <c r="Y368" s="212" t="s">
        <v>4752</v>
      </c>
      <c r="Z368" s="209" t="s">
        <v>3664</v>
      </c>
      <c r="AA368" s="219"/>
      <c r="AB368" s="218"/>
      <c r="AC368" s="217" t="e">
        <v>#N/A</v>
      </c>
      <c r="AD368" s="217">
        <v>90207</v>
      </c>
      <c r="AE368" s="217" t="s">
        <v>2643</v>
      </c>
      <c r="AF368" s="217" t="s">
        <v>3911</v>
      </c>
      <c r="AG368" s="217" t="s">
        <v>846</v>
      </c>
      <c r="AH368" s="220" t="str">
        <f t="shared" si="22"/>
        <v>4590004418_001</v>
      </c>
      <c r="AI368" s="208"/>
      <c r="AJ368" s="225">
        <v>45108</v>
      </c>
      <c r="AK368" s="221">
        <v>1521.432</v>
      </c>
      <c r="AL368" s="258">
        <v>45288</v>
      </c>
      <c r="AM368" s="208"/>
      <c r="AN368" s="220"/>
      <c r="AO368" s="222"/>
      <c r="AP368" s="227"/>
      <c r="AQ368" s="358">
        <f ca="1">IF(表格1[[#This Row],[PO$]]="","100%",表格1[[#This Row],[total amount]]/表格1[[#This Row],[PO$]])</f>
        <v>0.4</v>
      </c>
      <c r="AR368" s="223">
        <f ca="1">表格1[[#This Row],[invoice amount]]+表格1[[#This Row],[invoice amount2]]</f>
        <v>1521.432</v>
      </c>
      <c r="AS368" s="224" t="s">
        <v>3673</v>
      </c>
      <c r="AT368" s="208"/>
      <c r="AU368" s="208" t="e">
        <f ca="1">VLOOKUP(表格1[[#This Row],[PO+ITEM]],#REF!,2,FALSE)</f>
        <v>#REF!</v>
      </c>
      <c r="AV368" s="341" t="e">
        <f ca="1">VLOOKUP(表格1[[#This Row],[PO+ITEM]],#REF!,3,FALSE)</f>
        <v>#REF!</v>
      </c>
      <c r="AW368" s="208" t="e">
        <f ca="1">VLOOKUP(表格1[[#This Row],[PO+ITEM]],#REF!,4,FALSE)</f>
        <v>#REF!</v>
      </c>
      <c r="AX368" s="208" t="e" cm="1" vm="1">
        <f t="array" aca="1" ref="AX368" ca="1">VLOOKUP(AI:AI,#REF!,1,FALSE)</f>
        <v>#VALUE!</v>
      </c>
    </row>
    <row r="369" spans="1:50" ht="15.6">
      <c r="A369" s="220">
        <v>368</v>
      </c>
      <c r="B369" s="220" t="s">
        <v>3659</v>
      </c>
      <c r="C369" s="209" t="s">
        <v>16</v>
      </c>
      <c r="D369" s="209" t="s">
        <v>3648</v>
      </c>
      <c r="E369" s="209"/>
      <c r="F369" s="209"/>
      <c r="G369" s="209"/>
      <c r="H369" s="210" t="s">
        <v>4751</v>
      </c>
      <c r="I369" s="210"/>
      <c r="J369" s="211"/>
      <c r="K369" s="210"/>
      <c r="L369" s="212" t="s">
        <v>2206</v>
      </c>
      <c r="M369" s="212" t="s">
        <v>2999</v>
      </c>
      <c r="N369" s="213"/>
      <c r="O369" s="263">
        <v>4590004418</v>
      </c>
      <c r="P369" s="214">
        <v>44802</v>
      </c>
      <c r="Q369" s="334">
        <v>2</v>
      </c>
      <c r="R369" s="216">
        <v>3803.58</v>
      </c>
      <c r="S369" s="217" t="s">
        <v>2156</v>
      </c>
      <c r="T369" s="209" t="s">
        <v>4021</v>
      </c>
      <c r="U369" s="209" t="s">
        <v>4022</v>
      </c>
      <c r="V369" s="213" t="s">
        <v>4023</v>
      </c>
      <c r="W369" s="218" t="s">
        <v>3652</v>
      </c>
      <c r="X369" s="218" t="s">
        <v>3652</v>
      </c>
      <c r="Y369" s="212" t="s">
        <v>4752</v>
      </c>
      <c r="Z369" s="209" t="s">
        <v>3664</v>
      </c>
      <c r="AA369" s="219"/>
      <c r="AB369" s="218"/>
      <c r="AC369" s="217" t="e">
        <v>#N/A</v>
      </c>
      <c r="AD369" s="217">
        <v>90238</v>
      </c>
      <c r="AE369" s="217" t="s">
        <v>4753</v>
      </c>
      <c r="AF369" s="217" t="s">
        <v>3911</v>
      </c>
      <c r="AG369" s="217" t="s">
        <v>846</v>
      </c>
      <c r="AH369" s="220" t="str">
        <f t="shared" si="22"/>
        <v>4590004418_002</v>
      </c>
      <c r="AI369" s="208"/>
      <c r="AJ369" s="225">
        <v>45108</v>
      </c>
      <c r="AK369" s="221">
        <v>1521.432</v>
      </c>
      <c r="AL369" s="258">
        <v>45288</v>
      </c>
      <c r="AM369" s="208"/>
      <c r="AN369" s="220"/>
      <c r="AO369" s="222"/>
      <c r="AP369" s="227"/>
      <c r="AQ369" s="358">
        <f ca="1">IF(表格1[[#This Row],[PO$]]="","100%",表格1[[#This Row],[total amount]]/表格1[[#This Row],[PO$]])</f>
        <v>0.4</v>
      </c>
      <c r="AR369" s="223">
        <f ca="1">表格1[[#This Row],[invoice amount]]+表格1[[#This Row],[invoice amount2]]</f>
        <v>1521.432</v>
      </c>
      <c r="AS369" s="224" t="s">
        <v>3673</v>
      </c>
      <c r="AT369" s="208"/>
      <c r="AU369" s="208" t="e">
        <f ca="1">VLOOKUP(表格1[[#This Row],[PO+ITEM]],#REF!,2,FALSE)</f>
        <v>#REF!</v>
      </c>
      <c r="AV369" s="341" t="e">
        <f ca="1">VLOOKUP(表格1[[#This Row],[PO+ITEM]],#REF!,3,FALSE)</f>
        <v>#REF!</v>
      </c>
      <c r="AW369" s="208" t="e">
        <f ca="1">VLOOKUP(表格1[[#This Row],[PO+ITEM]],#REF!,4,FALSE)</f>
        <v>#REF!</v>
      </c>
      <c r="AX369" s="208" t="e" cm="1" vm="1">
        <f t="array" aca="1" ref="AX369" ca="1">VLOOKUP(AI:AI,#REF!,1,FALSE)</f>
        <v>#VALUE!</v>
      </c>
    </row>
    <row r="370" spans="1:50" ht="15.6">
      <c r="A370" s="220">
        <v>369</v>
      </c>
      <c r="B370" s="220" t="s">
        <v>3674</v>
      </c>
      <c r="C370" s="209" t="s">
        <v>16</v>
      </c>
      <c r="D370" s="209" t="s">
        <v>3648</v>
      </c>
      <c r="E370" s="209"/>
      <c r="F370" s="209"/>
      <c r="G370" s="209"/>
      <c r="H370" s="210" t="s">
        <v>4754</v>
      </c>
      <c r="I370" s="210"/>
      <c r="J370" s="211"/>
      <c r="K370" s="210"/>
      <c r="L370" s="212" t="s">
        <v>2206</v>
      </c>
      <c r="M370" s="212" t="s">
        <v>2999</v>
      </c>
      <c r="N370" s="213"/>
      <c r="O370" s="263">
        <v>4590004418</v>
      </c>
      <c r="P370" s="214">
        <v>44802</v>
      </c>
      <c r="Q370" s="334">
        <v>3</v>
      </c>
      <c r="R370" s="216">
        <v>3803.58</v>
      </c>
      <c r="S370" s="217" t="s">
        <v>2156</v>
      </c>
      <c r="T370" s="209" t="s">
        <v>4021</v>
      </c>
      <c r="U370" s="209" t="s">
        <v>4022</v>
      </c>
      <c r="V370" s="213" t="s">
        <v>4023</v>
      </c>
      <c r="W370" s="218" t="s">
        <v>3652</v>
      </c>
      <c r="X370" s="218" t="s">
        <v>3652</v>
      </c>
      <c r="Y370" s="212" t="s">
        <v>4752</v>
      </c>
      <c r="Z370" s="209" t="s">
        <v>3664</v>
      </c>
      <c r="AA370" s="219"/>
      <c r="AB370" s="218"/>
      <c r="AC370" s="217" t="e">
        <v>#N/A</v>
      </c>
      <c r="AD370" s="217">
        <v>90496</v>
      </c>
      <c r="AE370" s="217" t="s">
        <v>2727</v>
      </c>
      <c r="AF370" s="217" t="s">
        <v>3911</v>
      </c>
      <c r="AG370" s="217" t="s">
        <v>846</v>
      </c>
      <c r="AH370" s="220" t="str">
        <f t="shared" si="22"/>
        <v>4590004418_003</v>
      </c>
      <c r="AI370" s="208"/>
      <c r="AJ370" s="225">
        <v>45017</v>
      </c>
      <c r="AK370" s="221">
        <v>1521.432</v>
      </c>
      <c r="AL370" s="258">
        <v>45288</v>
      </c>
      <c r="AM370" s="208"/>
      <c r="AN370" s="220"/>
      <c r="AO370" s="222"/>
      <c r="AP370" s="227"/>
      <c r="AQ370" s="358">
        <f ca="1">IF(表格1[[#This Row],[PO$]]="","100%",表格1[[#This Row],[total amount]]/表格1[[#This Row],[PO$]])</f>
        <v>0.4</v>
      </c>
      <c r="AR370" s="223">
        <f ca="1">表格1[[#This Row],[invoice amount]]+表格1[[#This Row],[invoice amount2]]</f>
        <v>1521.432</v>
      </c>
      <c r="AS370" s="224" t="s">
        <v>3673</v>
      </c>
      <c r="AT370" s="208"/>
      <c r="AU370" s="208" t="e">
        <f ca="1">VLOOKUP(表格1[[#This Row],[PO+ITEM]],#REF!,2,FALSE)</f>
        <v>#REF!</v>
      </c>
      <c r="AV370" s="341" t="e">
        <f ca="1">VLOOKUP(表格1[[#This Row],[PO+ITEM]],#REF!,3,FALSE)</f>
        <v>#REF!</v>
      </c>
      <c r="AW370" s="208" t="e">
        <f ca="1">VLOOKUP(表格1[[#This Row],[PO+ITEM]],#REF!,4,FALSE)</f>
        <v>#REF!</v>
      </c>
      <c r="AX370" s="208" t="e" cm="1" vm="1">
        <f t="array" aca="1" ref="AX370" ca="1">VLOOKUP(AI:AI,#REF!,1,FALSE)</f>
        <v>#VALUE!</v>
      </c>
    </row>
    <row r="371" spans="1:50" ht="15.6">
      <c r="A371" s="220">
        <v>370</v>
      </c>
      <c r="B371" s="220" t="s">
        <v>3674</v>
      </c>
      <c r="C371" s="209" t="s">
        <v>16</v>
      </c>
      <c r="D371" s="209" t="s">
        <v>3648</v>
      </c>
      <c r="E371" s="209"/>
      <c r="F371" s="209"/>
      <c r="G371" s="209"/>
      <c r="H371" s="210" t="s">
        <v>4755</v>
      </c>
      <c r="I371" s="210"/>
      <c r="J371" s="211"/>
      <c r="K371" s="210"/>
      <c r="L371" s="212" t="s">
        <v>2206</v>
      </c>
      <c r="M371" s="212" t="s">
        <v>2999</v>
      </c>
      <c r="N371" s="213"/>
      <c r="O371" s="263">
        <v>4590004418</v>
      </c>
      <c r="P371" s="214">
        <v>44802</v>
      </c>
      <c r="Q371" s="334">
        <v>4</v>
      </c>
      <c r="R371" s="216">
        <v>8393.52</v>
      </c>
      <c r="S371" s="217" t="s">
        <v>2156</v>
      </c>
      <c r="T371" s="209" t="s">
        <v>4021</v>
      </c>
      <c r="U371" s="209" t="s">
        <v>4022</v>
      </c>
      <c r="V371" s="213" t="s">
        <v>4023</v>
      </c>
      <c r="W371" s="218" t="s">
        <v>3652</v>
      </c>
      <c r="X371" s="218" t="s">
        <v>3652</v>
      </c>
      <c r="Y371" s="212" t="s">
        <v>4752</v>
      </c>
      <c r="Z371" s="209" t="s">
        <v>3664</v>
      </c>
      <c r="AA371" s="219"/>
      <c r="AB371" s="218"/>
      <c r="AC371" s="217" t="e">
        <v>#N/A</v>
      </c>
      <c r="AD371" s="217">
        <v>90334</v>
      </c>
      <c r="AE371" s="217" t="s">
        <v>2700</v>
      </c>
      <c r="AF371" s="217" t="s">
        <v>3911</v>
      </c>
      <c r="AG371" s="217" t="s">
        <v>846</v>
      </c>
      <c r="AH371" s="220" t="str">
        <f t="shared" si="22"/>
        <v>4590004418_004</v>
      </c>
      <c r="AI371" s="208"/>
      <c r="AJ371" s="225">
        <v>45017</v>
      </c>
      <c r="AK371" s="221">
        <v>3357.4080000000004</v>
      </c>
      <c r="AL371" s="258">
        <v>45288</v>
      </c>
      <c r="AM371" s="208"/>
      <c r="AN371" s="220"/>
      <c r="AO371" s="222"/>
      <c r="AP371" s="227"/>
      <c r="AQ371" s="358">
        <f ca="1">IF(表格1[[#This Row],[PO$]]="","100%",表格1[[#This Row],[total amount]]/表格1[[#This Row],[PO$]])</f>
        <v>0.4</v>
      </c>
      <c r="AR371" s="223">
        <f ca="1">表格1[[#This Row],[invoice amount]]+表格1[[#This Row],[invoice amount2]]</f>
        <v>3357.4080000000004</v>
      </c>
      <c r="AS371" s="224" t="s">
        <v>3673</v>
      </c>
      <c r="AT371" s="208"/>
      <c r="AU371" s="208" t="e">
        <f ca="1">VLOOKUP(表格1[[#This Row],[PO+ITEM]],#REF!,2,FALSE)</f>
        <v>#REF!</v>
      </c>
      <c r="AV371" s="341" t="e">
        <f ca="1">VLOOKUP(表格1[[#This Row],[PO+ITEM]],#REF!,3,FALSE)</f>
        <v>#REF!</v>
      </c>
      <c r="AW371" s="208" t="e">
        <f ca="1">VLOOKUP(表格1[[#This Row],[PO+ITEM]],#REF!,4,FALSE)</f>
        <v>#REF!</v>
      </c>
      <c r="AX371" s="208" t="e" cm="1" vm="1">
        <f t="array" aca="1" ref="AX371" ca="1">VLOOKUP(AI:AI,#REF!,1,FALSE)</f>
        <v>#VALUE!</v>
      </c>
    </row>
    <row r="372" spans="1:50" ht="15.6">
      <c r="A372" s="220">
        <v>371</v>
      </c>
      <c r="B372" s="220" t="s">
        <v>3674</v>
      </c>
      <c r="C372" s="209" t="s">
        <v>16</v>
      </c>
      <c r="D372" s="209" t="s">
        <v>3648</v>
      </c>
      <c r="E372" s="209"/>
      <c r="F372" s="209"/>
      <c r="G372" s="209"/>
      <c r="H372" s="210" t="s">
        <v>4756</v>
      </c>
      <c r="I372" s="210"/>
      <c r="J372" s="211"/>
      <c r="K372" s="210"/>
      <c r="L372" s="212" t="s">
        <v>2206</v>
      </c>
      <c r="M372" s="212" t="s">
        <v>2999</v>
      </c>
      <c r="N372" s="213"/>
      <c r="O372" s="263">
        <v>4590004418</v>
      </c>
      <c r="P372" s="214">
        <v>44802</v>
      </c>
      <c r="Q372" s="334">
        <v>5</v>
      </c>
      <c r="R372" s="216">
        <v>10229.49</v>
      </c>
      <c r="S372" s="217" t="s">
        <v>2156</v>
      </c>
      <c r="T372" s="209" t="s">
        <v>4021</v>
      </c>
      <c r="U372" s="209" t="s">
        <v>4022</v>
      </c>
      <c r="V372" s="213" t="s">
        <v>4023</v>
      </c>
      <c r="W372" s="218" t="s">
        <v>3652</v>
      </c>
      <c r="X372" s="218" t="s">
        <v>3652</v>
      </c>
      <c r="Y372" s="212" t="s">
        <v>4752</v>
      </c>
      <c r="Z372" s="209" t="s">
        <v>3664</v>
      </c>
      <c r="AA372" s="219"/>
      <c r="AB372" s="218"/>
      <c r="AC372" s="217" t="e">
        <v>#N/A</v>
      </c>
      <c r="AD372" s="217">
        <v>90495</v>
      </c>
      <c r="AE372" s="217" t="s">
        <v>2710</v>
      </c>
      <c r="AF372" s="217" t="s">
        <v>3911</v>
      </c>
      <c r="AG372" s="217" t="s">
        <v>846</v>
      </c>
      <c r="AH372" s="220" t="str">
        <f t="shared" si="22"/>
        <v>4590004418_005</v>
      </c>
      <c r="AI372" s="208"/>
      <c r="AJ372" s="225">
        <v>45108</v>
      </c>
      <c r="AK372" s="221">
        <v>4091.7960000000003</v>
      </c>
      <c r="AL372" s="258">
        <v>45288</v>
      </c>
      <c r="AM372" s="208"/>
      <c r="AN372" s="220"/>
      <c r="AO372" s="222"/>
      <c r="AP372" s="227"/>
      <c r="AQ372" s="358">
        <f ca="1">IF(表格1[[#This Row],[PO$]]="","100%",表格1[[#This Row],[total amount]]/表格1[[#This Row],[PO$]])</f>
        <v>0.4</v>
      </c>
      <c r="AR372" s="223">
        <f ca="1">表格1[[#This Row],[invoice amount]]+表格1[[#This Row],[invoice amount2]]</f>
        <v>4091.7960000000003</v>
      </c>
      <c r="AS372" s="224" t="s">
        <v>3673</v>
      </c>
      <c r="AT372" s="208"/>
      <c r="AU372" s="208" t="e">
        <f ca="1">VLOOKUP(表格1[[#This Row],[PO+ITEM]],#REF!,2,FALSE)</f>
        <v>#REF!</v>
      </c>
      <c r="AV372" s="341" t="e">
        <f ca="1">VLOOKUP(表格1[[#This Row],[PO+ITEM]],#REF!,3,FALSE)</f>
        <v>#REF!</v>
      </c>
      <c r="AW372" s="208" t="e">
        <f ca="1">VLOOKUP(表格1[[#This Row],[PO+ITEM]],#REF!,4,FALSE)</f>
        <v>#REF!</v>
      </c>
      <c r="AX372" s="208" t="e" cm="1" vm="1">
        <f t="array" aca="1" ref="AX372" ca="1">VLOOKUP(AI:AI,#REF!,1,FALSE)</f>
        <v>#VALUE!</v>
      </c>
    </row>
    <row r="373" spans="1:50" ht="15.6">
      <c r="A373" s="220">
        <v>372</v>
      </c>
      <c r="B373" s="220" t="s">
        <v>3674</v>
      </c>
      <c r="C373" s="209" t="s">
        <v>16</v>
      </c>
      <c r="D373" s="209" t="s">
        <v>3648</v>
      </c>
      <c r="E373" s="209"/>
      <c r="F373" s="209"/>
      <c r="G373" s="209"/>
      <c r="H373" s="217" t="s">
        <v>4757</v>
      </c>
      <c r="I373" s="217"/>
      <c r="J373" s="215"/>
      <c r="K373" s="217"/>
      <c r="L373" s="212" t="s">
        <v>2206</v>
      </c>
      <c r="M373" s="212" t="s">
        <v>2999</v>
      </c>
      <c r="N373" s="213"/>
      <c r="O373" s="263">
        <v>4590004418</v>
      </c>
      <c r="P373" s="214">
        <v>44802</v>
      </c>
      <c r="Q373" s="334">
        <v>6</v>
      </c>
      <c r="R373" s="216">
        <v>7475.53</v>
      </c>
      <c r="S373" s="217" t="s">
        <v>2156</v>
      </c>
      <c r="T373" s="209" t="s">
        <v>4021</v>
      </c>
      <c r="U373" s="209" t="s">
        <v>4022</v>
      </c>
      <c r="V373" s="213" t="s">
        <v>4023</v>
      </c>
      <c r="W373" s="218" t="s">
        <v>3652</v>
      </c>
      <c r="X373" s="218" t="s">
        <v>3652</v>
      </c>
      <c r="Y373" s="212" t="s">
        <v>4752</v>
      </c>
      <c r="Z373" s="209" t="s">
        <v>3664</v>
      </c>
      <c r="AA373" s="219"/>
      <c r="AB373" s="218"/>
      <c r="AC373" s="217" t="e">
        <v>#N/A</v>
      </c>
      <c r="AD373" s="217">
        <v>90210</v>
      </c>
      <c r="AE373" s="217" t="s">
        <v>2677</v>
      </c>
      <c r="AF373" s="217" t="s">
        <v>3911</v>
      </c>
      <c r="AG373" s="217" t="s">
        <v>846</v>
      </c>
      <c r="AH373" s="220" t="str">
        <f t="shared" si="22"/>
        <v>4590004418_006</v>
      </c>
      <c r="AI373" s="208"/>
      <c r="AJ373" s="225">
        <v>45017</v>
      </c>
      <c r="AK373" s="221">
        <v>2990.212</v>
      </c>
      <c r="AL373" s="258">
        <v>45288</v>
      </c>
      <c r="AM373" s="208"/>
      <c r="AN373" s="220"/>
      <c r="AO373" s="222"/>
      <c r="AP373" s="227"/>
      <c r="AQ373" s="358">
        <f ca="1">IF(表格1[[#This Row],[PO$]]="","100%",表格1[[#This Row],[total amount]]/表格1[[#This Row],[PO$]])</f>
        <v>0.4</v>
      </c>
      <c r="AR373" s="223">
        <f ca="1">表格1[[#This Row],[invoice amount]]+表格1[[#This Row],[invoice amount2]]</f>
        <v>2990.212</v>
      </c>
      <c r="AS373" s="224" t="s">
        <v>3673</v>
      </c>
      <c r="AT373" s="208"/>
      <c r="AU373" s="208" t="e">
        <f ca="1">VLOOKUP(表格1[[#This Row],[PO+ITEM]],#REF!,2,FALSE)</f>
        <v>#REF!</v>
      </c>
      <c r="AV373" s="341" t="e">
        <f ca="1">VLOOKUP(表格1[[#This Row],[PO+ITEM]],#REF!,3,FALSE)</f>
        <v>#REF!</v>
      </c>
      <c r="AW373" s="208" t="e">
        <f ca="1">VLOOKUP(表格1[[#This Row],[PO+ITEM]],#REF!,4,FALSE)</f>
        <v>#REF!</v>
      </c>
      <c r="AX373" s="208" t="e" cm="1" vm="1">
        <f t="array" aca="1" ref="AX373" ca="1">VLOOKUP(AI:AI,#REF!,1,FALSE)</f>
        <v>#VALUE!</v>
      </c>
    </row>
    <row r="374" spans="1:50" ht="15.6">
      <c r="A374" s="220">
        <v>373</v>
      </c>
      <c r="B374" s="220" t="s">
        <v>3674</v>
      </c>
      <c r="C374" s="209" t="s">
        <v>16</v>
      </c>
      <c r="D374" s="209" t="s">
        <v>3648</v>
      </c>
      <c r="E374" s="209"/>
      <c r="F374" s="209"/>
      <c r="G374" s="209"/>
      <c r="H374" s="210" t="s">
        <v>4758</v>
      </c>
      <c r="I374" s="210"/>
      <c r="J374" s="211"/>
      <c r="K374" s="210"/>
      <c r="L374" s="212" t="s">
        <v>2206</v>
      </c>
      <c r="M374" s="212" t="s">
        <v>2999</v>
      </c>
      <c r="N374" s="213"/>
      <c r="O374" s="263">
        <v>4590004418</v>
      </c>
      <c r="P374" s="214">
        <v>44802</v>
      </c>
      <c r="Q374" s="334">
        <v>7</v>
      </c>
      <c r="R374" s="216">
        <v>7475.53</v>
      </c>
      <c r="S374" s="217" t="s">
        <v>2156</v>
      </c>
      <c r="T374" s="209" t="s">
        <v>4021</v>
      </c>
      <c r="U374" s="209" t="s">
        <v>4022</v>
      </c>
      <c r="V374" s="213" t="s">
        <v>4023</v>
      </c>
      <c r="W374" s="218" t="s">
        <v>3652</v>
      </c>
      <c r="X374" s="218" t="s">
        <v>3652</v>
      </c>
      <c r="Y374" s="212" t="s">
        <v>4752</v>
      </c>
      <c r="Z374" s="209" t="s">
        <v>3664</v>
      </c>
      <c r="AA374" s="219"/>
      <c r="AB374" s="218"/>
      <c r="AC374" s="217" t="e">
        <v>#N/A</v>
      </c>
      <c r="AD374" s="217">
        <v>90209</v>
      </c>
      <c r="AE374" s="217" t="s">
        <v>4759</v>
      </c>
      <c r="AF374" s="217" t="s">
        <v>3911</v>
      </c>
      <c r="AG374" s="217" t="s">
        <v>846</v>
      </c>
      <c r="AH374" s="220" t="str">
        <f t="shared" si="22"/>
        <v>4590004418_007</v>
      </c>
      <c r="AI374" s="208"/>
      <c r="AJ374" s="225">
        <v>45047</v>
      </c>
      <c r="AK374" s="221">
        <v>2990.212</v>
      </c>
      <c r="AL374" s="258">
        <v>45288</v>
      </c>
      <c r="AM374" s="208"/>
      <c r="AN374" s="220"/>
      <c r="AO374" s="222"/>
      <c r="AP374" s="227"/>
      <c r="AQ374" s="358">
        <f ca="1">IF(表格1[[#This Row],[PO$]]="","100%",表格1[[#This Row],[total amount]]/表格1[[#This Row],[PO$]])</f>
        <v>0.4</v>
      </c>
      <c r="AR374" s="223">
        <f ca="1">表格1[[#This Row],[invoice amount]]+表格1[[#This Row],[invoice amount2]]</f>
        <v>2990.212</v>
      </c>
      <c r="AS374" s="224" t="s">
        <v>3673</v>
      </c>
      <c r="AT374" s="208"/>
      <c r="AU374" s="208" t="e">
        <f ca="1">VLOOKUP(表格1[[#This Row],[PO+ITEM]],#REF!,2,FALSE)</f>
        <v>#REF!</v>
      </c>
      <c r="AV374" s="341" t="e">
        <f ca="1">VLOOKUP(表格1[[#This Row],[PO+ITEM]],#REF!,3,FALSE)</f>
        <v>#REF!</v>
      </c>
      <c r="AW374" s="208" t="e">
        <f ca="1">VLOOKUP(表格1[[#This Row],[PO+ITEM]],#REF!,4,FALSE)</f>
        <v>#REF!</v>
      </c>
      <c r="AX374" s="208" t="e" cm="1" vm="1">
        <f t="array" aca="1" ref="AX374" ca="1">VLOOKUP(AI:AI,#REF!,1,FALSE)</f>
        <v>#VALUE!</v>
      </c>
    </row>
    <row r="375" spans="1:50" ht="15.6">
      <c r="A375" s="220">
        <v>374</v>
      </c>
      <c r="B375" s="220" t="s">
        <v>3674</v>
      </c>
      <c r="C375" s="209" t="s">
        <v>16</v>
      </c>
      <c r="D375" s="209" t="s">
        <v>3648</v>
      </c>
      <c r="E375" s="209"/>
      <c r="F375" s="209"/>
      <c r="G375" s="209"/>
      <c r="H375" s="217" t="s">
        <v>4760</v>
      </c>
      <c r="I375" s="217"/>
      <c r="J375" s="215"/>
      <c r="K375" s="217"/>
      <c r="L375" s="212" t="s">
        <v>2206</v>
      </c>
      <c r="M375" s="212" t="s">
        <v>2999</v>
      </c>
      <c r="N375" s="213"/>
      <c r="O375" s="263">
        <v>4590004418</v>
      </c>
      <c r="P375" s="214">
        <v>44802</v>
      </c>
      <c r="Q375" s="334">
        <v>8</v>
      </c>
      <c r="R375" s="216">
        <v>7475.53</v>
      </c>
      <c r="S375" s="217" t="s">
        <v>2156</v>
      </c>
      <c r="T375" s="209" t="s">
        <v>4021</v>
      </c>
      <c r="U375" s="209" t="s">
        <v>4022</v>
      </c>
      <c r="V375" s="213" t="s">
        <v>4023</v>
      </c>
      <c r="W375" s="218" t="s">
        <v>3652</v>
      </c>
      <c r="X375" s="218" t="s">
        <v>3652</v>
      </c>
      <c r="Y375" s="212" t="s">
        <v>4752</v>
      </c>
      <c r="Z375" s="209" t="s">
        <v>3664</v>
      </c>
      <c r="AA375" s="219"/>
      <c r="AB375" s="218"/>
      <c r="AC375" s="217" t="e">
        <v>#N/A</v>
      </c>
      <c r="AD375" s="217">
        <v>90208</v>
      </c>
      <c r="AE375" s="217" t="s">
        <v>4761</v>
      </c>
      <c r="AF375" s="217" t="s">
        <v>3911</v>
      </c>
      <c r="AG375" s="217" t="s">
        <v>846</v>
      </c>
      <c r="AH375" s="220" t="str">
        <f t="shared" si="22"/>
        <v>4590004418_008</v>
      </c>
      <c r="AI375" s="208"/>
      <c r="AJ375" s="225">
        <v>45047</v>
      </c>
      <c r="AK375" s="221">
        <v>2990.212</v>
      </c>
      <c r="AL375" s="228">
        <v>45303</v>
      </c>
      <c r="AM375" s="208"/>
      <c r="AN375" s="220"/>
      <c r="AO375" s="222"/>
      <c r="AP375" s="227"/>
      <c r="AQ375" s="358">
        <f ca="1">IF(表格1[[#This Row],[PO$]]="","100%",表格1[[#This Row],[total amount]]/表格1[[#This Row],[PO$]])</f>
        <v>0.4</v>
      </c>
      <c r="AR375" s="223">
        <f ca="1">表格1[[#This Row],[invoice amount]]+表格1[[#This Row],[invoice amount2]]</f>
        <v>2990.212</v>
      </c>
      <c r="AS375" s="224" t="s">
        <v>3673</v>
      </c>
      <c r="AT375" s="208"/>
      <c r="AU375" s="208" t="e">
        <f ca="1">VLOOKUP(表格1[[#This Row],[PO+ITEM]],#REF!,2,FALSE)</f>
        <v>#REF!</v>
      </c>
      <c r="AV375" s="341" t="e">
        <f ca="1">VLOOKUP(表格1[[#This Row],[PO+ITEM]],#REF!,3,FALSE)</f>
        <v>#REF!</v>
      </c>
      <c r="AW375" s="208" t="e">
        <f ca="1">VLOOKUP(表格1[[#This Row],[PO+ITEM]],#REF!,4,FALSE)</f>
        <v>#REF!</v>
      </c>
      <c r="AX375" s="208" t="e" cm="1" vm="1">
        <f t="array" aca="1" ref="AX375" ca="1">VLOOKUP(AI:AI,#REF!,1,FALSE)</f>
        <v>#VALUE!</v>
      </c>
    </row>
    <row r="376" spans="1:50" ht="15.6">
      <c r="A376" s="220">
        <v>375</v>
      </c>
      <c r="B376" s="220" t="s">
        <v>3674</v>
      </c>
      <c r="C376" s="209" t="s">
        <v>16</v>
      </c>
      <c r="D376" s="209" t="s">
        <v>3648</v>
      </c>
      <c r="E376" s="209"/>
      <c r="F376" s="209"/>
      <c r="G376" s="209"/>
      <c r="H376" s="210" t="s">
        <v>4762</v>
      </c>
      <c r="I376" s="210"/>
      <c r="J376" s="211"/>
      <c r="K376" s="210"/>
      <c r="L376" s="212" t="s">
        <v>2206</v>
      </c>
      <c r="M376" s="212" t="s">
        <v>2999</v>
      </c>
      <c r="N376" s="213"/>
      <c r="O376" s="263">
        <v>4590004418</v>
      </c>
      <c r="P376" s="214">
        <v>44802</v>
      </c>
      <c r="Q376" s="334">
        <v>9</v>
      </c>
      <c r="R376" s="216">
        <v>3803.58</v>
      </c>
      <c r="S376" s="217" t="s">
        <v>2156</v>
      </c>
      <c r="T376" s="209" t="s">
        <v>4021</v>
      </c>
      <c r="U376" s="209" t="s">
        <v>4022</v>
      </c>
      <c r="V376" s="213" t="s">
        <v>4023</v>
      </c>
      <c r="W376" s="218" t="s">
        <v>3652</v>
      </c>
      <c r="X376" s="218" t="s">
        <v>3652</v>
      </c>
      <c r="Y376" s="212" t="s">
        <v>4752</v>
      </c>
      <c r="Z376" s="209" t="s">
        <v>3664</v>
      </c>
      <c r="AA376" s="219"/>
      <c r="AB376" s="218"/>
      <c r="AC376" s="217" t="e">
        <v>#N/A</v>
      </c>
      <c r="AD376" s="217">
        <v>90237</v>
      </c>
      <c r="AE376" s="217" t="s">
        <v>2704</v>
      </c>
      <c r="AF376" s="217" t="s">
        <v>3911</v>
      </c>
      <c r="AG376" s="217" t="s">
        <v>846</v>
      </c>
      <c r="AH376" s="220" t="str">
        <f t="shared" si="22"/>
        <v>4590004418_009</v>
      </c>
      <c r="AI376" s="208"/>
      <c r="AJ376" s="225">
        <v>45017</v>
      </c>
      <c r="AK376" s="221">
        <v>1521.432</v>
      </c>
      <c r="AL376" s="258">
        <v>45288</v>
      </c>
      <c r="AM376" s="208"/>
      <c r="AN376" s="220"/>
      <c r="AO376" s="222"/>
      <c r="AP376" s="227"/>
      <c r="AQ376" s="358">
        <f ca="1">IF(表格1[[#This Row],[PO$]]="","100%",表格1[[#This Row],[total amount]]/表格1[[#This Row],[PO$]])</f>
        <v>0.4</v>
      </c>
      <c r="AR376" s="223">
        <f ca="1">表格1[[#This Row],[invoice amount]]+表格1[[#This Row],[invoice amount2]]</f>
        <v>1521.432</v>
      </c>
      <c r="AS376" s="224" t="s">
        <v>3673</v>
      </c>
      <c r="AT376" s="208"/>
      <c r="AU376" s="208" t="e">
        <f ca="1">VLOOKUP(表格1[[#This Row],[PO+ITEM]],#REF!,2,FALSE)</f>
        <v>#REF!</v>
      </c>
      <c r="AV376" s="341" t="e">
        <f ca="1">VLOOKUP(表格1[[#This Row],[PO+ITEM]],#REF!,3,FALSE)</f>
        <v>#REF!</v>
      </c>
      <c r="AW376" s="208" t="e">
        <f ca="1">VLOOKUP(表格1[[#This Row],[PO+ITEM]],#REF!,4,FALSE)</f>
        <v>#REF!</v>
      </c>
      <c r="AX376" s="208" t="e" cm="1" vm="1">
        <f t="array" aca="1" ref="AX376" ca="1">VLOOKUP(AI:AI,#REF!,1,FALSE)</f>
        <v>#VALUE!</v>
      </c>
    </row>
    <row r="377" spans="1:50" ht="15.6">
      <c r="A377" s="220">
        <v>376</v>
      </c>
      <c r="B377" s="220" t="s">
        <v>3674</v>
      </c>
      <c r="C377" s="209" t="s">
        <v>16</v>
      </c>
      <c r="D377" s="209" t="s">
        <v>3648</v>
      </c>
      <c r="E377" s="209"/>
      <c r="F377" s="209"/>
      <c r="G377" s="209"/>
      <c r="H377" s="210" t="s">
        <v>4763</v>
      </c>
      <c r="I377" s="210"/>
      <c r="J377" s="211"/>
      <c r="K377" s="210"/>
      <c r="L377" s="212" t="s">
        <v>2206</v>
      </c>
      <c r="M377" s="212" t="s">
        <v>2999</v>
      </c>
      <c r="N377" s="213"/>
      <c r="O377" s="263">
        <v>4590004418</v>
      </c>
      <c r="P377" s="214">
        <v>44802</v>
      </c>
      <c r="Q377" s="334">
        <v>10</v>
      </c>
      <c r="R377" s="216">
        <v>3803.58</v>
      </c>
      <c r="S377" s="217" t="s">
        <v>2156</v>
      </c>
      <c r="T377" s="209" t="s">
        <v>4021</v>
      </c>
      <c r="U377" s="209" t="s">
        <v>4022</v>
      </c>
      <c r="V377" s="213" t="s">
        <v>4023</v>
      </c>
      <c r="W377" s="218" t="s">
        <v>3652</v>
      </c>
      <c r="X377" s="218" t="s">
        <v>3652</v>
      </c>
      <c r="Y377" s="212" t="s">
        <v>4752</v>
      </c>
      <c r="Z377" s="209" t="s">
        <v>3664</v>
      </c>
      <c r="AA377" s="219"/>
      <c r="AB377" s="218"/>
      <c r="AC377" s="217" t="e">
        <v>#N/A</v>
      </c>
      <c r="AD377" s="217">
        <v>90492</v>
      </c>
      <c r="AE377" s="217" t="s">
        <v>2706</v>
      </c>
      <c r="AF377" s="217" t="s">
        <v>3911</v>
      </c>
      <c r="AG377" s="217" t="s">
        <v>846</v>
      </c>
      <c r="AH377" s="220" t="str">
        <f t="shared" ref="AH377:AH388" si="23">O377&amp;"_0"&amp;Q377</f>
        <v>4590004418_010</v>
      </c>
      <c r="AI377" s="208"/>
      <c r="AJ377" s="225">
        <v>45017</v>
      </c>
      <c r="AK377" s="221">
        <v>1521.432</v>
      </c>
      <c r="AL377" s="258">
        <v>45288</v>
      </c>
      <c r="AM377" s="208"/>
      <c r="AN377" s="220"/>
      <c r="AO377" s="222"/>
      <c r="AP377" s="227"/>
      <c r="AQ377" s="358">
        <f ca="1">IF(表格1[[#This Row],[PO$]]="","100%",表格1[[#This Row],[total amount]]/表格1[[#This Row],[PO$]])</f>
        <v>0.4</v>
      </c>
      <c r="AR377" s="223">
        <f ca="1">表格1[[#This Row],[invoice amount]]+表格1[[#This Row],[invoice amount2]]</f>
        <v>1521.432</v>
      </c>
      <c r="AS377" s="224" t="s">
        <v>3673</v>
      </c>
      <c r="AT377" s="208"/>
      <c r="AU377" s="208" t="e">
        <f ca="1">VLOOKUP(表格1[[#This Row],[PO+ITEM]],#REF!,2,FALSE)</f>
        <v>#REF!</v>
      </c>
      <c r="AV377" s="341" t="e">
        <f ca="1">VLOOKUP(表格1[[#This Row],[PO+ITEM]],#REF!,3,FALSE)</f>
        <v>#REF!</v>
      </c>
      <c r="AW377" s="208" t="e">
        <f ca="1">VLOOKUP(表格1[[#This Row],[PO+ITEM]],#REF!,4,FALSE)</f>
        <v>#REF!</v>
      </c>
      <c r="AX377" s="208" t="e" cm="1" vm="1">
        <f t="array" aca="1" ref="AX377" ca="1">VLOOKUP(AI:AI,#REF!,1,FALSE)</f>
        <v>#VALUE!</v>
      </c>
    </row>
    <row r="378" spans="1:50" ht="15.6">
      <c r="A378" s="220">
        <v>377</v>
      </c>
      <c r="B378" s="220" t="s">
        <v>3674</v>
      </c>
      <c r="C378" s="209" t="s">
        <v>16</v>
      </c>
      <c r="D378" s="209" t="s">
        <v>3648</v>
      </c>
      <c r="E378" s="209"/>
      <c r="F378" s="209"/>
      <c r="G378" s="209"/>
      <c r="H378" s="210" t="s">
        <v>4764</v>
      </c>
      <c r="I378" s="210"/>
      <c r="J378" s="211"/>
      <c r="K378" s="210"/>
      <c r="L378" s="212" t="s">
        <v>2206</v>
      </c>
      <c r="M378" s="212" t="s">
        <v>2999</v>
      </c>
      <c r="N378" s="213"/>
      <c r="O378" s="263">
        <v>4590004418</v>
      </c>
      <c r="P378" s="214">
        <v>44802</v>
      </c>
      <c r="Q378" s="334">
        <v>11</v>
      </c>
      <c r="R378" s="216">
        <v>3803.58</v>
      </c>
      <c r="S378" s="217" t="s">
        <v>2156</v>
      </c>
      <c r="T378" s="209" t="s">
        <v>4021</v>
      </c>
      <c r="U378" s="209" t="s">
        <v>4022</v>
      </c>
      <c r="V378" s="213" t="s">
        <v>4023</v>
      </c>
      <c r="W378" s="218" t="s">
        <v>3652</v>
      </c>
      <c r="X378" s="218" t="s">
        <v>3652</v>
      </c>
      <c r="Y378" s="212" t="s">
        <v>4752</v>
      </c>
      <c r="Z378" s="209" t="s">
        <v>3664</v>
      </c>
      <c r="AA378" s="219"/>
      <c r="AB378" s="218"/>
      <c r="AC378" s="217" t="e">
        <v>#N/A</v>
      </c>
      <c r="AD378" s="217">
        <v>90491</v>
      </c>
      <c r="AE378" s="217" t="s">
        <v>4765</v>
      </c>
      <c r="AF378" s="217" t="s">
        <v>3911</v>
      </c>
      <c r="AG378" s="217" t="s">
        <v>846</v>
      </c>
      <c r="AH378" s="220" t="str">
        <f t="shared" si="23"/>
        <v>4590004418_011</v>
      </c>
      <c r="AI378" s="208"/>
      <c r="AJ378" s="225">
        <v>45017</v>
      </c>
      <c r="AK378" s="221">
        <v>1521.432</v>
      </c>
      <c r="AL378" s="258">
        <v>45288</v>
      </c>
      <c r="AM378" s="208"/>
      <c r="AN378" s="220"/>
      <c r="AO378" s="222"/>
      <c r="AP378" s="227"/>
      <c r="AQ378" s="358">
        <f ca="1">IF(表格1[[#This Row],[PO$]]="","100%",表格1[[#This Row],[total amount]]/表格1[[#This Row],[PO$]])</f>
        <v>0.4</v>
      </c>
      <c r="AR378" s="223">
        <f ca="1">表格1[[#This Row],[invoice amount]]+表格1[[#This Row],[invoice amount2]]</f>
        <v>1521.432</v>
      </c>
      <c r="AS378" s="224" t="s">
        <v>3673</v>
      </c>
      <c r="AT378" s="208"/>
      <c r="AU378" s="208" t="e">
        <f ca="1">VLOOKUP(表格1[[#This Row],[PO+ITEM]],#REF!,2,FALSE)</f>
        <v>#REF!</v>
      </c>
      <c r="AV378" s="341" t="e">
        <f ca="1">VLOOKUP(表格1[[#This Row],[PO+ITEM]],#REF!,3,FALSE)</f>
        <v>#REF!</v>
      </c>
      <c r="AW378" s="208" t="e">
        <f ca="1">VLOOKUP(表格1[[#This Row],[PO+ITEM]],#REF!,4,FALSE)</f>
        <v>#REF!</v>
      </c>
      <c r="AX378" s="208" t="e" cm="1" vm="1">
        <f t="array" aca="1" ref="AX378" ca="1">VLOOKUP(AI:AI,#REF!,1,FALSE)</f>
        <v>#VALUE!</v>
      </c>
    </row>
    <row r="379" spans="1:50" ht="15.6">
      <c r="A379" s="220">
        <v>378</v>
      </c>
      <c r="B379" s="220" t="s">
        <v>3674</v>
      </c>
      <c r="C379" s="209" t="s">
        <v>16</v>
      </c>
      <c r="D379" s="209" t="s">
        <v>3648</v>
      </c>
      <c r="E379" s="209"/>
      <c r="F379" s="209"/>
      <c r="G379" s="209"/>
      <c r="H379" s="210" t="s">
        <v>4766</v>
      </c>
      <c r="I379" s="210"/>
      <c r="J379" s="211"/>
      <c r="K379" s="210"/>
      <c r="L379" s="212" t="s">
        <v>2206</v>
      </c>
      <c r="M379" s="212" t="s">
        <v>2999</v>
      </c>
      <c r="N379" s="213"/>
      <c r="O379" s="263">
        <v>4590004418</v>
      </c>
      <c r="P379" s="214">
        <v>44802</v>
      </c>
      <c r="Q379" s="334">
        <v>12</v>
      </c>
      <c r="R379" s="216">
        <v>6557.54</v>
      </c>
      <c r="S379" s="217" t="s">
        <v>2156</v>
      </c>
      <c r="T379" s="209" t="s">
        <v>4021</v>
      </c>
      <c r="U379" s="209" t="s">
        <v>4022</v>
      </c>
      <c r="V379" s="213" t="s">
        <v>4023</v>
      </c>
      <c r="W379" s="218" t="s">
        <v>3652</v>
      </c>
      <c r="X379" s="218" t="s">
        <v>3652</v>
      </c>
      <c r="Y379" s="212" t="s">
        <v>4752</v>
      </c>
      <c r="Z379" s="209" t="s">
        <v>3664</v>
      </c>
      <c r="AA379" s="219"/>
      <c r="AB379" s="218"/>
      <c r="AC379" s="217" t="e">
        <v>#N/A</v>
      </c>
      <c r="AD379" s="217">
        <v>90572</v>
      </c>
      <c r="AE379" s="217" t="s">
        <v>2555</v>
      </c>
      <c r="AF379" s="217" t="s">
        <v>3911</v>
      </c>
      <c r="AG379" s="217" t="s">
        <v>846</v>
      </c>
      <c r="AH379" s="220" t="str">
        <f t="shared" si="23"/>
        <v>4590004418_012</v>
      </c>
      <c r="AI379" s="208"/>
      <c r="AJ379" s="225">
        <v>45017</v>
      </c>
      <c r="AK379" s="221">
        <v>2623.0160000000001</v>
      </c>
      <c r="AL379" s="258">
        <v>45288</v>
      </c>
      <c r="AM379" s="208"/>
      <c r="AN379" s="220"/>
      <c r="AO379" s="222"/>
      <c r="AP379" s="227"/>
      <c r="AQ379" s="358">
        <f ca="1">IF(表格1[[#This Row],[PO$]]="","100%",表格1[[#This Row],[total amount]]/表格1[[#This Row],[PO$]])</f>
        <v>0.4</v>
      </c>
      <c r="AR379" s="223">
        <f ca="1">表格1[[#This Row],[invoice amount]]+表格1[[#This Row],[invoice amount2]]</f>
        <v>2623.0160000000001</v>
      </c>
      <c r="AS379" s="224" t="s">
        <v>3673</v>
      </c>
      <c r="AT379" s="208"/>
      <c r="AU379" s="208" t="e">
        <f ca="1">VLOOKUP(表格1[[#This Row],[PO+ITEM]],#REF!,2,FALSE)</f>
        <v>#REF!</v>
      </c>
      <c r="AV379" s="341" t="e">
        <f ca="1">VLOOKUP(表格1[[#This Row],[PO+ITEM]],#REF!,3,FALSE)</f>
        <v>#REF!</v>
      </c>
      <c r="AW379" s="208" t="e">
        <f ca="1">VLOOKUP(表格1[[#This Row],[PO+ITEM]],#REF!,4,FALSE)</f>
        <v>#REF!</v>
      </c>
      <c r="AX379" s="208" t="e" cm="1" vm="1">
        <f t="array" aca="1" ref="AX379" ca="1">VLOOKUP(AI:AI,#REF!,1,FALSE)</f>
        <v>#VALUE!</v>
      </c>
    </row>
    <row r="380" spans="1:50" ht="15.6">
      <c r="A380" s="220">
        <v>379</v>
      </c>
      <c r="B380" s="220" t="s">
        <v>3674</v>
      </c>
      <c r="C380" s="209" t="s">
        <v>16</v>
      </c>
      <c r="D380" s="209" t="s">
        <v>3648</v>
      </c>
      <c r="E380" s="209"/>
      <c r="F380" s="209"/>
      <c r="G380" s="209"/>
      <c r="H380" s="217" t="s">
        <v>4767</v>
      </c>
      <c r="I380" s="217"/>
      <c r="J380" s="215"/>
      <c r="K380" s="217"/>
      <c r="L380" s="212" t="s">
        <v>2206</v>
      </c>
      <c r="M380" s="212" t="s">
        <v>2999</v>
      </c>
      <c r="N380" s="213"/>
      <c r="O380" s="263">
        <v>4590004418</v>
      </c>
      <c r="P380" s="214">
        <v>44802</v>
      </c>
      <c r="Q380" s="334">
        <v>13</v>
      </c>
      <c r="R380" s="216">
        <v>3803.58</v>
      </c>
      <c r="S380" s="217" t="s">
        <v>2156</v>
      </c>
      <c r="T380" s="209" t="s">
        <v>4021</v>
      </c>
      <c r="U380" s="209" t="s">
        <v>4022</v>
      </c>
      <c r="V380" s="213" t="s">
        <v>4023</v>
      </c>
      <c r="W380" s="218" t="s">
        <v>3652</v>
      </c>
      <c r="X380" s="218" t="s">
        <v>3652</v>
      </c>
      <c r="Y380" s="212" t="s">
        <v>4752</v>
      </c>
      <c r="Z380" s="209" t="s">
        <v>3664</v>
      </c>
      <c r="AA380" s="219"/>
      <c r="AB380" s="218"/>
      <c r="AC380" s="217" t="e">
        <v>#N/A</v>
      </c>
      <c r="AD380" s="217">
        <v>90236</v>
      </c>
      <c r="AE380" s="217" t="s">
        <v>4768</v>
      </c>
      <c r="AF380" s="217" t="s">
        <v>3911</v>
      </c>
      <c r="AG380" s="217" t="s">
        <v>846</v>
      </c>
      <c r="AH380" s="220" t="str">
        <f t="shared" si="23"/>
        <v>4590004418_013</v>
      </c>
      <c r="AI380" s="208"/>
      <c r="AJ380" s="225">
        <v>45017</v>
      </c>
      <c r="AK380" s="221">
        <v>1521.432</v>
      </c>
      <c r="AL380" s="258">
        <v>45288</v>
      </c>
      <c r="AM380" s="208"/>
      <c r="AN380" s="220"/>
      <c r="AO380" s="222"/>
      <c r="AP380" s="227"/>
      <c r="AQ380" s="358">
        <f ca="1">IF(表格1[[#This Row],[PO$]]="","100%",表格1[[#This Row],[total amount]]/表格1[[#This Row],[PO$]])</f>
        <v>0.4</v>
      </c>
      <c r="AR380" s="223">
        <f ca="1">表格1[[#This Row],[invoice amount]]+表格1[[#This Row],[invoice amount2]]</f>
        <v>1521.432</v>
      </c>
      <c r="AS380" s="224" t="s">
        <v>3673</v>
      </c>
      <c r="AT380" s="208"/>
      <c r="AU380" s="208" t="e">
        <f ca="1">VLOOKUP(表格1[[#This Row],[PO+ITEM]],#REF!,2,FALSE)</f>
        <v>#REF!</v>
      </c>
      <c r="AV380" s="341" t="e">
        <f ca="1">VLOOKUP(表格1[[#This Row],[PO+ITEM]],#REF!,3,FALSE)</f>
        <v>#REF!</v>
      </c>
      <c r="AW380" s="208" t="e">
        <f ca="1">VLOOKUP(表格1[[#This Row],[PO+ITEM]],#REF!,4,FALSE)</f>
        <v>#REF!</v>
      </c>
      <c r="AX380" s="208" t="e" cm="1" vm="1">
        <f t="array" aca="1" ref="AX380" ca="1">VLOOKUP(AI:AI,#REF!,1,FALSE)</f>
        <v>#VALUE!</v>
      </c>
    </row>
    <row r="381" spans="1:50" ht="15.6">
      <c r="A381" s="220">
        <v>380</v>
      </c>
      <c r="B381" s="220" t="s">
        <v>3674</v>
      </c>
      <c r="C381" s="209" t="s">
        <v>16</v>
      </c>
      <c r="D381" s="209" t="s">
        <v>3648</v>
      </c>
      <c r="E381" s="209"/>
      <c r="F381" s="209"/>
      <c r="G381" s="209"/>
      <c r="H381" s="210" t="s">
        <v>4769</v>
      </c>
      <c r="I381" s="210"/>
      <c r="J381" s="211"/>
      <c r="K381" s="210"/>
      <c r="L381" s="212" t="s">
        <v>2206</v>
      </c>
      <c r="M381" s="212" t="s">
        <v>2999</v>
      </c>
      <c r="N381" s="213"/>
      <c r="O381" s="263">
        <v>4590004418</v>
      </c>
      <c r="P381" s="214">
        <v>44802</v>
      </c>
      <c r="Q381" s="334">
        <v>14</v>
      </c>
      <c r="R381" s="216">
        <v>3803.58</v>
      </c>
      <c r="S381" s="217" t="s">
        <v>2156</v>
      </c>
      <c r="T381" s="209" t="s">
        <v>4021</v>
      </c>
      <c r="U381" s="209" t="s">
        <v>4022</v>
      </c>
      <c r="V381" s="213" t="s">
        <v>4023</v>
      </c>
      <c r="W381" s="218" t="s">
        <v>3652</v>
      </c>
      <c r="X381" s="218" t="s">
        <v>3652</v>
      </c>
      <c r="Y381" s="212" t="s">
        <v>4752</v>
      </c>
      <c r="Z381" s="209" t="s">
        <v>3664</v>
      </c>
      <c r="AA381" s="219"/>
      <c r="AB381" s="218"/>
      <c r="AC381" s="217" t="e">
        <v>#N/A</v>
      </c>
      <c r="AD381" s="217">
        <v>90112</v>
      </c>
      <c r="AE381" s="217" t="s">
        <v>4770</v>
      </c>
      <c r="AF381" s="217" t="s">
        <v>3911</v>
      </c>
      <c r="AG381" s="217" t="s">
        <v>846</v>
      </c>
      <c r="AH381" s="220" t="str">
        <f t="shared" si="23"/>
        <v>4590004418_014</v>
      </c>
      <c r="AI381" s="208"/>
      <c r="AJ381" s="225">
        <v>45108</v>
      </c>
      <c r="AK381" s="221">
        <v>1521.432</v>
      </c>
      <c r="AL381" s="258">
        <v>45288</v>
      </c>
      <c r="AM381" s="208"/>
      <c r="AN381" s="220"/>
      <c r="AO381" s="222"/>
      <c r="AP381" s="227"/>
      <c r="AQ381" s="358">
        <f ca="1">IF(表格1[[#This Row],[PO$]]="","100%",表格1[[#This Row],[total amount]]/表格1[[#This Row],[PO$]])</f>
        <v>0.4</v>
      </c>
      <c r="AR381" s="223">
        <f ca="1">表格1[[#This Row],[invoice amount]]+表格1[[#This Row],[invoice amount2]]</f>
        <v>1521.432</v>
      </c>
      <c r="AS381" s="224" t="s">
        <v>3673</v>
      </c>
      <c r="AT381" s="208"/>
      <c r="AU381" s="208" t="e">
        <f ca="1">VLOOKUP(表格1[[#This Row],[PO+ITEM]],#REF!,2,FALSE)</f>
        <v>#REF!</v>
      </c>
      <c r="AV381" s="341" t="e">
        <f ca="1">VLOOKUP(表格1[[#This Row],[PO+ITEM]],#REF!,3,FALSE)</f>
        <v>#REF!</v>
      </c>
      <c r="AW381" s="208" t="e">
        <f ca="1">VLOOKUP(表格1[[#This Row],[PO+ITEM]],#REF!,4,FALSE)</f>
        <v>#REF!</v>
      </c>
      <c r="AX381" s="208" t="e" cm="1" vm="1">
        <f t="array" aca="1" ref="AX381" ca="1">VLOOKUP(AI:AI,#REF!,1,FALSE)</f>
        <v>#VALUE!</v>
      </c>
    </row>
    <row r="382" spans="1:50" ht="15.6">
      <c r="A382" s="220">
        <v>381</v>
      </c>
      <c r="B382" s="220" t="s">
        <v>3674</v>
      </c>
      <c r="C382" s="209" t="s">
        <v>16</v>
      </c>
      <c r="D382" s="209" t="s">
        <v>3648</v>
      </c>
      <c r="E382" s="209"/>
      <c r="F382" s="209"/>
      <c r="G382" s="209"/>
      <c r="H382" s="210" t="s">
        <v>4771</v>
      </c>
      <c r="I382" s="210"/>
      <c r="J382" s="211"/>
      <c r="K382" s="210"/>
      <c r="L382" s="212" t="s">
        <v>2206</v>
      </c>
      <c r="M382" s="212" t="s">
        <v>2999</v>
      </c>
      <c r="N382" s="213"/>
      <c r="O382" s="263">
        <v>4590004418</v>
      </c>
      <c r="P382" s="214">
        <v>44802</v>
      </c>
      <c r="Q382" s="334">
        <v>15</v>
      </c>
      <c r="R382" s="216">
        <v>7901.07</v>
      </c>
      <c r="S382" s="217" t="s">
        <v>2156</v>
      </c>
      <c r="T382" s="209" t="s">
        <v>4021</v>
      </c>
      <c r="U382" s="209" t="s">
        <v>4022</v>
      </c>
      <c r="V382" s="213" t="s">
        <v>4023</v>
      </c>
      <c r="W382" s="218" t="s">
        <v>3652</v>
      </c>
      <c r="X382" s="218" t="s">
        <v>3652</v>
      </c>
      <c r="Y382" s="212" t="s">
        <v>4752</v>
      </c>
      <c r="Z382" s="209" t="s">
        <v>3664</v>
      </c>
      <c r="AA382" s="219"/>
      <c r="AB382" s="218"/>
      <c r="AC382" s="217" t="e">
        <v>#N/A</v>
      </c>
      <c r="AD382" s="217">
        <v>90839</v>
      </c>
      <c r="AE382" s="217" t="s">
        <v>4772</v>
      </c>
      <c r="AF382" s="217" t="s">
        <v>3911</v>
      </c>
      <c r="AG382" s="217" t="s">
        <v>846</v>
      </c>
      <c r="AH382" s="220" t="str">
        <f t="shared" si="23"/>
        <v>4590004418_015</v>
      </c>
      <c r="AI382" s="208"/>
      <c r="AJ382" s="225">
        <v>45017</v>
      </c>
      <c r="AK382" s="221">
        <v>3160.4279999999999</v>
      </c>
      <c r="AL382" s="258">
        <v>45288</v>
      </c>
      <c r="AM382" s="208"/>
      <c r="AN382" s="220"/>
      <c r="AO382" s="222"/>
      <c r="AP382" s="227"/>
      <c r="AQ382" s="358">
        <f ca="1">IF(表格1[[#This Row],[PO$]]="","100%",表格1[[#This Row],[total amount]]/表格1[[#This Row],[PO$]])</f>
        <v>0.4</v>
      </c>
      <c r="AR382" s="223">
        <f ca="1">表格1[[#This Row],[invoice amount]]+表格1[[#This Row],[invoice amount2]]</f>
        <v>3160.4279999999999</v>
      </c>
      <c r="AS382" s="224" t="s">
        <v>3673</v>
      </c>
      <c r="AT382" s="208"/>
      <c r="AU382" s="208" t="e">
        <f ca="1">VLOOKUP(表格1[[#This Row],[PO+ITEM]],#REF!,2,FALSE)</f>
        <v>#REF!</v>
      </c>
      <c r="AV382" s="341" t="e">
        <f ca="1">VLOOKUP(表格1[[#This Row],[PO+ITEM]],#REF!,3,FALSE)</f>
        <v>#REF!</v>
      </c>
      <c r="AW382" s="208" t="e">
        <f ca="1">VLOOKUP(表格1[[#This Row],[PO+ITEM]],#REF!,4,FALSE)</f>
        <v>#REF!</v>
      </c>
      <c r="AX382" s="208" t="e" cm="1" vm="1">
        <f t="array" aca="1" ref="AX382" ca="1">VLOOKUP(AI:AI,#REF!,1,FALSE)</f>
        <v>#VALUE!</v>
      </c>
    </row>
    <row r="383" spans="1:50" ht="15.6">
      <c r="A383" s="220">
        <v>382</v>
      </c>
      <c r="B383" s="220" t="s">
        <v>3674</v>
      </c>
      <c r="C383" s="209" t="s">
        <v>16</v>
      </c>
      <c r="D383" s="209" t="s">
        <v>3648</v>
      </c>
      <c r="E383" s="209"/>
      <c r="F383" s="209"/>
      <c r="G383" s="209"/>
      <c r="H383" s="210" t="s">
        <v>4773</v>
      </c>
      <c r="I383" s="210"/>
      <c r="J383" s="211"/>
      <c r="K383" s="210"/>
      <c r="L383" s="212" t="s">
        <v>2206</v>
      </c>
      <c r="M383" s="212" t="s">
        <v>2999</v>
      </c>
      <c r="N383" s="213"/>
      <c r="O383" s="263">
        <v>4590004418</v>
      </c>
      <c r="P383" s="214">
        <v>44802</v>
      </c>
      <c r="Q383" s="334">
        <v>16</v>
      </c>
      <c r="R383" s="216">
        <v>3803.58</v>
      </c>
      <c r="S383" s="217" t="s">
        <v>2156</v>
      </c>
      <c r="T383" s="209" t="s">
        <v>4021</v>
      </c>
      <c r="U383" s="209" t="s">
        <v>4022</v>
      </c>
      <c r="V383" s="213" t="s">
        <v>4023</v>
      </c>
      <c r="W383" s="218" t="s">
        <v>3652</v>
      </c>
      <c r="X383" s="218" t="s">
        <v>3652</v>
      </c>
      <c r="Y383" s="212" t="s">
        <v>4752</v>
      </c>
      <c r="Z383" s="209" t="s">
        <v>3664</v>
      </c>
      <c r="AA383" s="219"/>
      <c r="AB383" s="218"/>
      <c r="AC383" s="217" t="e">
        <v>#N/A</v>
      </c>
      <c r="AD383" s="217">
        <v>90529</v>
      </c>
      <c r="AE383" s="217" t="s">
        <v>2712</v>
      </c>
      <c r="AF383" s="217" t="s">
        <v>3911</v>
      </c>
      <c r="AG383" s="217" t="s">
        <v>846</v>
      </c>
      <c r="AH383" s="220" t="str">
        <f t="shared" si="23"/>
        <v>4590004418_016</v>
      </c>
      <c r="AI383" s="208"/>
      <c r="AJ383" s="225">
        <v>45017</v>
      </c>
      <c r="AK383" s="221">
        <v>1521.432</v>
      </c>
      <c r="AL383" s="258">
        <v>45288</v>
      </c>
      <c r="AM383" s="208"/>
      <c r="AN383" s="220"/>
      <c r="AO383" s="222"/>
      <c r="AP383" s="227"/>
      <c r="AQ383" s="358">
        <f ca="1">IF(表格1[[#This Row],[PO$]]="","100%",表格1[[#This Row],[total amount]]/表格1[[#This Row],[PO$]])</f>
        <v>0.4</v>
      </c>
      <c r="AR383" s="223">
        <f ca="1">表格1[[#This Row],[invoice amount]]+表格1[[#This Row],[invoice amount2]]</f>
        <v>1521.432</v>
      </c>
      <c r="AS383" s="224" t="s">
        <v>3673</v>
      </c>
      <c r="AT383" s="208"/>
      <c r="AU383" s="208" t="e">
        <f ca="1">VLOOKUP(表格1[[#This Row],[PO+ITEM]],#REF!,2,FALSE)</f>
        <v>#REF!</v>
      </c>
      <c r="AV383" s="341" t="e">
        <f ca="1">VLOOKUP(表格1[[#This Row],[PO+ITEM]],#REF!,3,FALSE)</f>
        <v>#REF!</v>
      </c>
      <c r="AW383" s="208" t="e">
        <f ca="1">VLOOKUP(表格1[[#This Row],[PO+ITEM]],#REF!,4,FALSE)</f>
        <v>#REF!</v>
      </c>
      <c r="AX383" s="208" t="e" cm="1" vm="1">
        <f t="array" aca="1" ref="AX383" ca="1">VLOOKUP(AI:AI,#REF!,1,FALSE)</f>
        <v>#VALUE!</v>
      </c>
    </row>
    <row r="384" spans="1:50" ht="15.6">
      <c r="A384" s="220">
        <v>383</v>
      </c>
      <c r="B384" s="220" t="s">
        <v>3659</v>
      </c>
      <c r="C384" s="209" t="s">
        <v>16</v>
      </c>
      <c r="D384" s="209" t="s">
        <v>3648</v>
      </c>
      <c r="E384" s="209"/>
      <c r="F384" s="209"/>
      <c r="G384" s="209"/>
      <c r="H384" s="217" t="s">
        <v>4774</v>
      </c>
      <c r="I384" s="217"/>
      <c r="J384" s="215"/>
      <c r="K384" s="217"/>
      <c r="L384" s="212" t="s">
        <v>2206</v>
      </c>
      <c r="M384" s="212" t="s">
        <v>2999</v>
      </c>
      <c r="N384" s="213"/>
      <c r="O384" s="263">
        <v>4590004418</v>
      </c>
      <c r="P384" s="214">
        <v>44802</v>
      </c>
      <c r="Q384" s="334">
        <v>17</v>
      </c>
      <c r="R384" s="216">
        <v>3803.58</v>
      </c>
      <c r="S384" s="217" t="s">
        <v>2156</v>
      </c>
      <c r="T384" s="209" t="s">
        <v>4021</v>
      </c>
      <c r="U384" s="209" t="s">
        <v>4022</v>
      </c>
      <c r="V384" s="213" t="s">
        <v>4023</v>
      </c>
      <c r="W384" s="218" t="s">
        <v>3652</v>
      </c>
      <c r="X384" s="218" t="s">
        <v>3652</v>
      </c>
      <c r="Y384" s="212" t="s">
        <v>4752</v>
      </c>
      <c r="Z384" s="209" t="s">
        <v>3664</v>
      </c>
      <c r="AA384" s="219"/>
      <c r="AB384" s="218"/>
      <c r="AC384" s="217" t="e">
        <v>#N/A</v>
      </c>
      <c r="AD384" s="217">
        <v>90528</v>
      </c>
      <c r="AE384" s="217" t="s">
        <v>4775</v>
      </c>
      <c r="AF384" s="217" t="s">
        <v>3911</v>
      </c>
      <c r="AG384" s="217" t="s">
        <v>846</v>
      </c>
      <c r="AH384" s="220" t="str">
        <f t="shared" si="23"/>
        <v>4590004418_017</v>
      </c>
      <c r="AI384" s="208"/>
      <c r="AJ384" s="225">
        <v>45017</v>
      </c>
      <c r="AK384" s="221">
        <v>1521.432</v>
      </c>
      <c r="AL384" s="258">
        <v>45288</v>
      </c>
      <c r="AM384" s="208"/>
      <c r="AN384" s="220"/>
      <c r="AO384" s="222"/>
      <c r="AP384" s="227"/>
      <c r="AQ384" s="358">
        <f ca="1">IF(表格1[[#This Row],[PO$]]="","100%",表格1[[#This Row],[total amount]]/表格1[[#This Row],[PO$]])</f>
        <v>0.4</v>
      </c>
      <c r="AR384" s="223">
        <f ca="1">表格1[[#This Row],[invoice amount]]+表格1[[#This Row],[invoice amount2]]</f>
        <v>1521.432</v>
      </c>
      <c r="AS384" s="224" t="s">
        <v>3673</v>
      </c>
      <c r="AT384" s="208"/>
      <c r="AU384" s="208" t="e">
        <f ca="1">VLOOKUP(表格1[[#This Row],[PO+ITEM]],#REF!,2,FALSE)</f>
        <v>#REF!</v>
      </c>
      <c r="AV384" s="341" t="e">
        <f ca="1">VLOOKUP(表格1[[#This Row],[PO+ITEM]],#REF!,3,FALSE)</f>
        <v>#REF!</v>
      </c>
      <c r="AW384" s="208" t="e">
        <f ca="1">VLOOKUP(表格1[[#This Row],[PO+ITEM]],#REF!,4,FALSE)</f>
        <v>#REF!</v>
      </c>
      <c r="AX384" s="208" t="e" cm="1" vm="1">
        <f t="array" aca="1" ref="AX384" ca="1">VLOOKUP(AI:AI,#REF!,1,FALSE)</f>
        <v>#VALUE!</v>
      </c>
    </row>
    <row r="385" spans="1:50" ht="15.6">
      <c r="A385" s="220">
        <v>384</v>
      </c>
      <c r="B385" s="220" t="s">
        <v>3674</v>
      </c>
      <c r="C385" s="209" t="s">
        <v>16</v>
      </c>
      <c r="D385" s="209" t="s">
        <v>3648</v>
      </c>
      <c r="E385" s="209"/>
      <c r="F385" s="209"/>
      <c r="G385" s="209"/>
      <c r="H385" s="210" t="s">
        <v>4776</v>
      </c>
      <c r="I385" s="210"/>
      <c r="J385" s="211"/>
      <c r="K385" s="210"/>
      <c r="L385" s="212" t="s">
        <v>2206</v>
      </c>
      <c r="M385" s="212" t="s">
        <v>2999</v>
      </c>
      <c r="N385" s="213"/>
      <c r="O385" s="263">
        <v>4590004418</v>
      </c>
      <c r="P385" s="214">
        <v>44802</v>
      </c>
      <c r="Q385" s="334">
        <v>18</v>
      </c>
      <c r="R385" s="216">
        <v>7475.53</v>
      </c>
      <c r="S385" s="217" t="s">
        <v>2156</v>
      </c>
      <c r="T385" s="209" t="s">
        <v>4021</v>
      </c>
      <c r="U385" s="209" t="s">
        <v>4022</v>
      </c>
      <c r="V385" s="213" t="s">
        <v>4023</v>
      </c>
      <c r="W385" s="218" t="s">
        <v>3652</v>
      </c>
      <c r="X385" s="218" t="s">
        <v>3652</v>
      </c>
      <c r="Y385" s="212" t="s">
        <v>4752</v>
      </c>
      <c r="Z385" s="209" t="s">
        <v>3664</v>
      </c>
      <c r="AA385" s="219"/>
      <c r="AB385" s="218"/>
      <c r="AC385" s="217" t="e">
        <v>#N/A</v>
      </c>
      <c r="AD385" s="217">
        <v>90494</v>
      </c>
      <c r="AE385" s="217" t="s">
        <v>2641</v>
      </c>
      <c r="AF385" s="217" t="s">
        <v>3911</v>
      </c>
      <c r="AG385" s="217" t="s">
        <v>846</v>
      </c>
      <c r="AH385" s="220" t="str">
        <f t="shared" si="23"/>
        <v>4590004418_018</v>
      </c>
      <c r="AI385" s="208"/>
      <c r="AJ385" s="225">
        <v>45017</v>
      </c>
      <c r="AK385" s="221">
        <v>2990.212</v>
      </c>
      <c r="AL385" s="258">
        <v>45288</v>
      </c>
      <c r="AM385" s="208"/>
      <c r="AN385" s="220"/>
      <c r="AO385" s="222"/>
      <c r="AP385" s="227"/>
      <c r="AQ385" s="358">
        <f ca="1">IF(表格1[[#This Row],[PO$]]="","100%",表格1[[#This Row],[total amount]]/表格1[[#This Row],[PO$]])</f>
        <v>0.4</v>
      </c>
      <c r="AR385" s="223">
        <f ca="1">表格1[[#This Row],[invoice amount]]+表格1[[#This Row],[invoice amount2]]</f>
        <v>2990.212</v>
      </c>
      <c r="AS385" s="224" t="s">
        <v>3673</v>
      </c>
      <c r="AT385" s="208"/>
      <c r="AU385" s="208" t="e">
        <f ca="1">VLOOKUP(表格1[[#This Row],[PO+ITEM]],#REF!,2,FALSE)</f>
        <v>#REF!</v>
      </c>
      <c r="AV385" s="341" t="e">
        <f ca="1">VLOOKUP(表格1[[#This Row],[PO+ITEM]],#REF!,3,FALSE)</f>
        <v>#REF!</v>
      </c>
      <c r="AW385" s="208" t="e">
        <f ca="1">VLOOKUP(表格1[[#This Row],[PO+ITEM]],#REF!,4,FALSE)</f>
        <v>#REF!</v>
      </c>
      <c r="AX385" s="208" t="e" cm="1" vm="1">
        <f t="array" aca="1" ref="AX385" ca="1">VLOOKUP(AI:AI,#REF!,1,FALSE)</f>
        <v>#VALUE!</v>
      </c>
    </row>
    <row r="386" spans="1:50" ht="15.6">
      <c r="A386" s="220">
        <v>385</v>
      </c>
      <c r="B386" s="220" t="s">
        <v>3659</v>
      </c>
      <c r="C386" s="209" t="s">
        <v>16</v>
      </c>
      <c r="D386" s="209" t="s">
        <v>3648</v>
      </c>
      <c r="E386" s="209"/>
      <c r="F386" s="209"/>
      <c r="G386" s="209"/>
      <c r="H386" s="210" t="s">
        <v>4777</v>
      </c>
      <c r="I386" s="210"/>
      <c r="J386" s="211"/>
      <c r="K386" s="210"/>
      <c r="L386" s="212" t="s">
        <v>2206</v>
      </c>
      <c r="M386" s="212" t="s">
        <v>2999</v>
      </c>
      <c r="N386" s="213"/>
      <c r="O386" s="263">
        <v>4590004418</v>
      </c>
      <c r="P386" s="214">
        <v>44802</v>
      </c>
      <c r="Q386" s="334">
        <v>19</v>
      </c>
      <c r="R386" s="216">
        <v>7475.53</v>
      </c>
      <c r="S386" s="217" t="s">
        <v>2156</v>
      </c>
      <c r="T386" s="209" t="s">
        <v>4021</v>
      </c>
      <c r="U386" s="209" t="s">
        <v>4022</v>
      </c>
      <c r="V386" s="213" t="s">
        <v>4023</v>
      </c>
      <c r="W386" s="218" t="s">
        <v>3652</v>
      </c>
      <c r="X386" s="218" t="s">
        <v>3652</v>
      </c>
      <c r="Y386" s="212" t="s">
        <v>4752</v>
      </c>
      <c r="Z386" s="209" t="s">
        <v>3664</v>
      </c>
      <c r="AA386" s="219"/>
      <c r="AB386" s="218"/>
      <c r="AC386" s="217" t="e">
        <v>#N/A</v>
      </c>
      <c r="AD386" s="217">
        <v>90493</v>
      </c>
      <c r="AE386" s="217" t="s">
        <v>4778</v>
      </c>
      <c r="AF386" s="217" t="s">
        <v>3911</v>
      </c>
      <c r="AG386" s="217" t="s">
        <v>846</v>
      </c>
      <c r="AH386" s="220" t="str">
        <f t="shared" si="23"/>
        <v>4590004418_019</v>
      </c>
      <c r="AI386" s="208"/>
      <c r="AJ386" s="225">
        <v>45017</v>
      </c>
      <c r="AK386" s="221">
        <v>2990.212</v>
      </c>
      <c r="AL386" s="258">
        <v>45288</v>
      </c>
      <c r="AM386" s="208"/>
      <c r="AN386" s="220"/>
      <c r="AO386" s="222"/>
      <c r="AP386" s="227"/>
      <c r="AQ386" s="358">
        <f ca="1">IF(表格1[[#This Row],[PO$]]="","100%",表格1[[#This Row],[total amount]]/表格1[[#This Row],[PO$]])</f>
        <v>0.4</v>
      </c>
      <c r="AR386" s="223">
        <f ca="1">表格1[[#This Row],[invoice amount]]+表格1[[#This Row],[invoice amount2]]</f>
        <v>2990.212</v>
      </c>
      <c r="AS386" s="224" t="s">
        <v>3673</v>
      </c>
      <c r="AT386" s="208"/>
      <c r="AU386" s="208" t="e">
        <f ca="1">VLOOKUP(表格1[[#This Row],[PO+ITEM]],#REF!,2,FALSE)</f>
        <v>#REF!</v>
      </c>
      <c r="AV386" s="341" t="e">
        <f ca="1">VLOOKUP(表格1[[#This Row],[PO+ITEM]],#REF!,3,FALSE)</f>
        <v>#REF!</v>
      </c>
      <c r="AW386" s="208" t="e">
        <f ca="1">VLOOKUP(表格1[[#This Row],[PO+ITEM]],#REF!,4,FALSE)</f>
        <v>#REF!</v>
      </c>
      <c r="AX386" s="208" t="e" cm="1" vm="1">
        <f t="array" aca="1" ref="AX386" ca="1">VLOOKUP(AI:AI,#REF!,1,FALSE)</f>
        <v>#VALUE!</v>
      </c>
    </row>
    <row r="387" spans="1:50" ht="15.6">
      <c r="A387" s="220">
        <v>386</v>
      </c>
      <c r="B387" s="220" t="s">
        <v>3674</v>
      </c>
      <c r="C387" s="209" t="s">
        <v>16</v>
      </c>
      <c r="D387" s="209" t="s">
        <v>3648</v>
      </c>
      <c r="E387" s="209"/>
      <c r="F387" s="209"/>
      <c r="G387" s="209"/>
      <c r="H387" s="210" t="s">
        <v>4779</v>
      </c>
      <c r="I387" s="210"/>
      <c r="J387" s="211"/>
      <c r="K387" s="210"/>
      <c r="L387" s="212" t="s">
        <v>2206</v>
      </c>
      <c r="M387" s="212" t="s">
        <v>2999</v>
      </c>
      <c r="N387" s="213"/>
      <c r="O387" s="263">
        <v>4590004418</v>
      </c>
      <c r="P387" s="214">
        <v>44802</v>
      </c>
      <c r="Q387" s="334">
        <v>20</v>
      </c>
      <c r="R387" s="216">
        <v>10229.49</v>
      </c>
      <c r="S387" s="217" t="s">
        <v>2156</v>
      </c>
      <c r="T387" s="209" t="s">
        <v>4021</v>
      </c>
      <c r="U387" s="209" t="s">
        <v>4022</v>
      </c>
      <c r="V387" s="213" t="s">
        <v>4023</v>
      </c>
      <c r="W387" s="218" t="s">
        <v>3652</v>
      </c>
      <c r="X387" s="218" t="s">
        <v>3652</v>
      </c>
      <c r="Y387" s="212" t="s">
        <v>4752</v>
      </c>
      <c r="Z387" s="209" t="s">
        <v>3664</v>
      </c>
      <c r="AA387" s="219"/>
      <c r="AB387" s="218"/>
      <c r="AC387" s="217" t="e">
        <v>#N/A</v>
      </c>
      <c r="AD387" s="217">
        <v>90212</v>
      </c>
      <c r="AE387" s="217" t="s">
        <v>2708</v>
      </c>
      <c r="AF387" s="217" t="s">
        <v>3911</v>
      </c>
      <c r="AG387" s="217" t="s">
        <v>846</v>
      </c>
      <c r="AH387" s="220" t="str">
        <f t="shared" si="23"/>
        <v>4590004418_020</v>
      </c>
      <c r="AI387" s="208"/>
      <c r="AJ387" s="225">
        <v>45108</v>
      </c>
      <c r="AK387" s="221">
        <v>4091.7960000000003</v>
      </c>
      <c r="AL387" s="258">
        <v>45288</v>
      </c>
      <c r="AM387" s="208"/>
      <c r="AN387" s="220"/>
      <c r="AO387" s="222"/>
      <c r="AP387" s="227"/>
      <c r="AQ387" s="358">
        <f ca="1">IF(表格1[[#This Row],[PO$]]="","100%",表格1[[#This Row],[total amount]]/表格1[[#This Row],[PO$]])</f>
        <v>0.4</v>
      </c>
      <c r="AR387" s="223">
        <f ca="1">表格1[[#This Row],[invoice amount]]+表格1[[#This Row],[invoice amount2]]</f>
        <v>4091.7960000000003</v>
      </c>
      <c r="AS387" s="224" t="s">
        <v>3673</v>
      </c>
      <c r="AT387" s="208"/>
      <c r="AU387" s="208" t="e">
        <f ca="1">VLOOKUP(表格1[[#This Row],[PO+ITEM]],#REF!,2,FALSE)</f>
        <v>#REF!</v>
      </c>
      <c r="AV387" s="341" t="e">
        <f ca="1">VLOOKUP(表格1[[#This Row],[PO+ITEM]],#REF!,3,FALSE)</f>
        <v>#REF!</v>
      </c>
      <c r="AW387" s="208" t="e">
        <f ca="1">VLOOKUP(表格1[[#This Row],[PO+ITEM]],#REF!,4,FALSE)</f>
        <v>#REF!</v>
      </c>
      <c r="AX387" s="208" t="e" cm="1" vm="1">
        <f t="array" aca="1" ref="AX387" ca="1">VLOOKUP(AI:AI,#REF!,1,FALSE)</f>
        <v>#VALUE!</v>
      </c>
    </row>
    <row r="388" spans="1:50" ht="15.6">
      <c r="A388" s="220">
        <v>387</v>
      </c>
      <c r="B388" s="220" t="s">
        <v>3674</v>
      </c>
      <c r="C388" s="209" t="s">
        <v>16</v>
      </c>
      <c r="D388" s="209" t="s">
        <v>3648</v>
      </c>
      <c r="E388" s="209"/>
      <c r="F388" s="209"/>
      <c r="G388" s="209"/>
      <c r="H388" s="210" t="s">
        <v>4780</v>
      </c>
      <c r="I388" s="210"/>
      <c r="J388" s="211"/>
      <c r="K388" s="210"/>
      <c r="L388" s="212" t="s">
        <v>2206</v>
      </c>
      <c r="M388" s="212" t="s">
        <v>2999</v>
      </c>
      <c r="N388" s="213"/>
      <c r="O388" s="263">
        <v>4590004418</v>
      </c>
      <c r="P388" s="214">
        <v>44802</v>
      </c>
      <c r="Q388" s="334">
        <v>21</v>
      </c>
      <c r="R388" s="216">
        <v>10229.49</v>
      </c>
      <c r="S388" s="217" t="s">
        <v>2156</v>
      </c>
      <c r="T388" s="209" t="s">
        <v>4021</v>
      </c>
      <c r="U388" s="209" t="s">
        <v>4022</v>
      </c>
      <c r="V388" s="213" t="s">
        <v>4023</v>
      </c>
      <c r="W388" s="218" t="s">
        <v>3652</v>
      </c>
      <c r="X388" s="218" t="s">
        <v>3652</v>
      </c>
      <c r="Y388" s="212" t="s">
        <v>4752</v>
      </c>
      <c r="Z388" s="209" t="s">
        <v>3664</v>
      </c>
      <c r="AA388" s="219"/>
      <c r="AB388" s="218"/>
      <c r="AC388" s="217" t="e">
        <v>#N/A</v>
      </c>
      <c r="AD388" s="217">
        <v>90211</v>
      </c>
      <c r="AE388" s="217" t="s">
        <v>4781</v>
      </c>
      <c r="AF388" s="217" t="s">
        <v>3911</v>
      </c>
      <c r="AG388" s="217" t="s">
        <v>846</v>
      </c>
      <c r="AH388" s="220" t="str">
        <f t="shared" si="23"/>
        <v>4590004418_021</v>
      </c>
      <c r="AI388" s="208"/>
      <c r="AJ388" s="225">
        <v>45108</v>
      </c>
      <c r="AK388" s="221">
        <v>4091.7960000000003</v>
      </c>
      <c r="AL388" s="258">
        <v>45288</v>
      </c>
      <c r="AM388" s="208"/>
      <c r="AN388" s="220"/>
      <c r="AO388" s="222"/>
      <c r="AP388" s="227"/>
      <c r="AQ388" s="358">
        <f ca="1">IF(表格1[[#This Row],[PO$]]="","100%",表格1[[#This Row],[total amount]]/表格1[[#This Row],[PO$]])</f>
        <v>0.4</v>
      </c>
      <c r="AR388" s="223">
        <f ca="1">表格1[[#This Row],[invoice amount]]+表格1[[#This Row],[invoice amount2]]</f>
        <v>4091.7960000000003</v>
      </c>
      <c r="AS388" s="224" t="s">
        <v>3673</v>
      </c>
      <c r="AT388" s="208"/>
      <c r="AU388" s="208" t="e">
        <f ca="1">VLOOKUP(表格1[[#This Row],[PO+ITEM]],#REF!,2,FALSE)</f>
        <v>#REF!</v>
      </c>
      <c r="AV388" s="341" t="e">
        <f ca="1">VLOOKUP(表格1[[#This Row],[PO+ITEM]],#REF!,3,FALSE)</f>
        <v>#REF!</v>
      </c>
      <c r="AW388" s="208" t="e">
        <f ca="1">VLOOKUP(表格1[[#This Row],[PO+ITEM]],#REF!,4,FALSE)</f>
        <v>#REF!</v>
      </c>
      <c r="AX388" s="208" t="e" cm="1" vm="1">
        <f t="array" aca="1" ref="AX388" ca="1">VLOOKUP(AI:AI,#REF!,1,FALSE)</f>
        <v>#VALUE!</v>
      </c>
    </row>
    <row r="389" spans="1:50" ht="15.6">
      <c r="A389" s="220">
        <v>388</v>
      </c>
      <c r="B389" s="220" t="s">
        <v>3674</v>
      </c>
      <c r="C389" s="209" t="s">
        <v>16</v>
      </c>
      <c r="D389" s="209" t="s">
        <v>3648</v>
      </c>
      <c r="E389" s="209"/>
      <c r="F389" s="209"/>
      <c r="G389" s="209"/>
      <c r="H389" s="210" t="s">
        <v>4782</v>
      </c>
      <c r="I389" s="210"/>
      <c r="J389" s="211"/>
      <c r="K389" s="210"/>
      <c r="L389" s="212" t="s">
        <v>4269</v>
      </c>
      <c r="M389" s="212" t="s">
        <v>2999</v>
      </c>
      <c r="N389" s="213"/>
      <c r="O389" s="263">
        <v>4590004419</v>
      </c>
      <c r="P389" s="214">
        <v>44802</v>
      </c>
      <c r="Q389" s="334">
        <v>1</v>
      </c>
      <c r="R389" s="216">
        <v>1835.98</v>
      </c>
      <c r="S389" s="217" t="s">
        <v>2156</v>
      </c>
      <c r="T389" s="209" t="s">
        <v>4021</v>
      </c>
      <c r="U389" s="209" t="s">
        <v>4022</v>
      </c>
      <c r="V389" s="213" t="s">
        <v>4023</v>
      </c>
      <c r="W389" s="218" t="s">
        <v>3652</v>
      </c>
      <c r="X389" s="218" t="s">
        <v>3652</v>
      </c>
      <c r="Y389" s="212" t="s">
        <v>6722</v>
      </c>
      <c r="Z389" s="209" t="s">
        <v>3664</v>
      </c>
      <c r="AA389" s="219"/>
      <c r="AB389" s="218"/>
      <c r="AC389" s="217" t="e">
        <v>#N/A</v>
      </c>
      <c r="AD389" s="217">
        <v>90466</v>
      </c>
      <c r="AE389" s="217" t="s">
        <v>3143</v>
      </c>
      <c r="AF389" s="217" t="s">
        <v>4784</v>
      </c>
      <c r="AG389" s="217" t="s">
        <v>4309</v>
      </c>
      <c r="AH389" s="220" t="str">
        <f t="shared" ref="AH389:AH397" si="24">O389&amp;"_00"&amp;Q389</f>
        <v>4590004419_001</v>
      </c>
      <c r="AI389" s="208" t="s">
        <v>4785</v>
      </c>
      <c r="AJ389" s="227">
        <v>45372</v>
      </c>
      <c r="AK389" s="222">
        <v>0</v>
      </c>
      <c r="AL389" s="314" t="s">
        <v>3788</v>
      </c>
      <c r="AM389" s="208"/>
      <c r="AN389" s="220"/>
      <c r="AO389" s="222"/>
      <c r="AP389" s="227"/>
      <c r="AQ389" s="358">
        <f ca="1">IF(表格1[[#This Row],[PO$]]="","100%",表格1[[#This Row],[total amount]]/表格1[[#This Row],[PO$]])</f>
        <v>0</v>
      </c>
      <c r="AR389" s="223">
        <f ca="1">表格1[[#This Row],[invoice amount]]+表格1[[#This Row],[invoice amount2]]</f>
        <v>0</v>
      </c>
      <c r="AS389" s="224"/>
      <c r="AT389" s="208" t="s">
        <v>4786</v>
      </c>
      <c r="AU389" s="208" t="e">
        <f ca="1">VLOOKUP(表格1[[#This Row],[PO+ITEM]],#REF!,2,FALSE)</f>
        <v>#REF!</v>
      </c>
      <c r="AV389" s="341" t="e">
        <f ca="1">VLOOKUP(表格1[[#This Row],[PO+ITEM]],#REF!,3,FALSE)</f>
        <v>#REF!</v>
      </c>
      <c r="AW389" s="208" t="e">
        <f ca="1">VLOOKUP(表格1[[#This Row],[PO+ITEM]],#REF!,4,FALSE)</f>
        <v>#REF!</v>
      </c>
      <c r="AX389" s="208" t="e" cm="1" vm="1">
        <f t="array" aca="1" ref="AX389" ca="1">VLOOKUP(AI:AI,#REF!,1,FALSE)</f>
        <v>#VALUE!</v>
      </c>
    </row>
    <row r="390" spans="1:50" ht="15.6">
      <c r="A390" s="220">
        <v>389</v>
      </c>
      <c r="B390" s="220" t="s">
        <v>3674</v>
      </c>
      <c r="C390" s="209" t="s">
        <v>16</v>
      </c>
      <c r="D390" s="209" t="s">
        <v>3648</v>
      </c>
      <c r="E390" s="209"/>
      <c r="F390" s="209"/>
      <c r="G390" s="209"/>
      <c r="H390" s="210" t="s">
        <v>4787</v>
      </c>
      <c r="I390" s="210"/>
      <c r="J390" s="211"/>
      <c r="K390" s="210"/>
      <c r="L390" s="212" t="s">
        <v>4269</v>
      </c>
      <c r="M390" s="212" t="s">
        <v>2999</v>
      </c>
      <c r="N390" s="213"/>
      <c r="O390" s="263">
        <v>4590004419</v>
      </c>
      <c r="P390" s="214">
        <v>44802</v>
      </c>
      <c r="Q390" s="334">
        <v>2</v>
      </c>
      <c r="R390" s="216">
        <v>1835.98</v>
      </c>
      <c r="S390" s="217" t="s">
        <v>2156</v>
      </c>
      <c r="T390" s="209" t="s">
        <v>4021</v>
      </c>
      <c r="U390" s="209" t="s">
        <v>4022</v>
      </c>
      <c r="V390" s="213" t="s">
        <v>4023</v>
      </c>
      <c r="W390" s="218" t="s">
        <v>3652</v>
      </c>
      <c r="X390" s="218" t="s">
        <v>3652</v>
      </c>
      <c r="Y390" s="212" t="s">
        <v>6722</v>
      </c>
      <c r="Z390" s="209" t="s">
        <v>3664</v>
      </c>
      <c r="AA390" s="219"/>
      <c r="AB390" s="218"/>
      <c r="AC390" s="217" t="e">
        <v>#N/A</v>
      </c>
      <c r="AD390" s="217">
        <v>90465</v>
      </c>
      <c r="AE390" s="217" t="s">
        <v>3142</v>
      </c>
      <c r="AF390" s="217" t="s">
        <v>4784</v>
      </c>
      <c r="AG390" s="217" t="s">
        <v>4309</v>
      </c>
      <c r="AH390" s="220" t="str">
        <f t="shared" si="24"/>
        <v>4590004419_002</v>
      </c>
      <c r="AI390" s="208" t="s">
        <v>4788</v>
      </c>
      <c r="AJ390" s="227">
        <v>45372</v>
      </c>
      <c r="AK390" s="222">
        <v>0</v>
      </c>
      <c r="AL390" s="314" t="s">
        <v>3788</v>
      </c>
      <c r="AM390" s="208"/>
      <c r="AN390" s="220"/>
      <c r="AO390" s="222"/>
      <c r="AP390" s="227"/>
      <c r="AQ390" s="358">
        <f ca="1">IF(表格1[[#This Row],[PO$]]="","100%",表格1[[#This Row],[total amount]]/表格1[[#This Row],[PO$]])</f>
        <v>0</v>
      </c>
      <c r="AR390" s="223">
        <f ca="1">表格1[[#This Row],[invoice amount]]+表格1[[#This Row],[invoice amount2]]</f>
        <v>0</v>
      </c>
      <c r="AS390" s="224"/>
      <c r="AT390" s="208" t="s">
        <v>4786</v>
      </c>
      <c r="AU390" s="208" t="e">
        <f ca="1">VLOOKUP(表格1[[#This Row],[PO+ITEM]],#REF!,2,FALSE)</f>
        <v>#REF!</v>
      </c>
      <c r="AV390" s="341" t="e">
        <f ca="1">VLOOKUP(表格1[[#This Row],[PO+ITEM]],#REF!,3,FALSE)</f>
        <v>#REF!</v>
      </c>
      <c r="AW390" s="208" t="e">
        <f ca="1">VLOOKUP(表格1[[#This Row],[PO+ITEM]],#REF!,4,FALSE)</f>
        <v>#REF!</v>
      </c>
      <c r="AX390" s="208" t="e" cm="1" vm="1">
        <f t="array" aca="1" ref="AX390" ca="1">VLOOKUP(AI:AI,#REF!,1,FALSE)</f>
        <v>#VALUE!</v>
      </c>
    </row>
    <row r="391" spans="1:50" ht="15.6">
      <c r="A391" s="220">
        <v>390</v>
      </c>
      <c r="B391" s="220" t="s">
        <v>3674</v>
      </c>
      <c r="C391" s="209" t="s">
        <v>16</v>
      </c>
      <c r="D391" s="209" t="s">
        <v>3648</v>
      </c>
      <c r="E391" s="209"/>
      <c r="F391" s="209"/>
      <c r="G391" s="209"/>
      <c r="H391" s="210" t="s">
        <v>4789</v>
      </c>
      <c r="I391" s="210"/>
      <c r="J391" s="211"/>
      <c r="K391" s="210"/>
      <c r="L391" s="212" t="s">
        <v>4269</v>
      </c>
      <c r="M391" s="212" t="s">
        <v>2999</v>
      </c>
      <c r="N391" s="213"/>
      <c r="O391" s="263">
        <v>4590004419</v>
      </c>
      <c r="P391" s="214">
        <v>44802</v>
      </c>
      <c r="Q391" s="334">
        <v>3</v>
      </c>
      <c r="R391" s="216">
        <v>1835.98</v>
      </c>
      <c r="S391" s="217" t="s">
        <v>2156</v>
      </c>
      <c r="T391" s="209" t="s">
        <v>4021</v>
      </c>
      <c r="U391" s="209" t="s">
        <v>4022</v>
      </c>
      <c r="V391" s="213" t="s">
        <v>4023</v>
      </c>
      <c r="W391" s="218" t="s">
        <v>3652</v>
      </c>
      <c r="X391" s="218" t="s">
        <v>3652</v>
      </c>
      <c r="Y391" s="212" t="s">
        <v>6722</v>
      </c>
      <c r="Z391" s="209" t="s">
        <v>3664</v>
      </c>
      <c r="AA391" s="219"/>
      <c r="AB391" s="218"/>
      <c r="AC391" s="217" t="e">
        <v>#N/A</v>
      </c>
      <c r="AD391" s="217">
        <v>90464</v>
      </c>
      <c r="AE391" s="217" t="s">
        <v>3144</v>
      </c>
      <c r="AF391" s="217" t="s">
        <v>4784</v>
      </c>
      <c r="AG391" s="217" t="s">
        <v>4309</v>
      </c>
      <c r="AH391" s="220" t="str">
        <f t="shared" si="24"/>
        <v>4590004419_003</v>
      </c>
      <c r="AI391" s="208" t="s">
        <v>4790</v>
      </c>
      <c r="AJ391" s="227">
        <v>45372</v>
      </c>
      <c r="AK391" s="222">
        <v>0</v>
      </c>
      <c r="AL391" s="314" t="s">
        <v>3788</v>
      </c>
      <c r="AM391" s="208"/>
      <c r="AN391" s="220"/>
      <c r="AO391" s="222"/>
      <c r="AP391" s="227"/>
      <c r="AQ391" s="358">
        <f ca="1">IF(表格1[[#This Row],[PO$]]="","100%",表格1[[#This Row],[total amount]]/表格1[[#This Row],[PO$]])</f>
        <v>0</v>
      </c>
      <c r="AR391" s="223">
        <f ca="1">表格1[[#This Row],[invoice amount]]+表格1[[#This Row],[invoice amount2]]</f>
        <v>0</v>
      </c>
      <c r="AS391" s="224"/>
      <c r="AT391" s="208" t="s">
        <v>4786</v>
      </c>
      <c r="AU391" s="208" t="e">
        <f ca="1">VLOOKUP(表格1[[#This Row],[PO+ITEM]],#REF!,2,FALSE)</f>
        <v>#REF!</v>
      </c>
      <c r="AV391" s="341" t="e">
        <f ca="1">VLOOKUP(表格1[[#This Row],[PO+ITEM]],#REF!,3,FALSE)</f>
        <v>#REF!</v>
      </c>
      <c r="AW391" s="208" t="e">
        <f ca="1">VLOOKUP(表格1[[#This Row],[PO+ITEM]],#REF!,4,FALSE)</f>
        <v>#REF!</v>
      </c>
      <c r="AX391" s="208" t="e" cm="1" vm="1">
        <f t="array" aca="1" ref="AX391" ca="1">VLOOKUP(AI:AI,#REF!,1,FALSE)</f>
        <v>#VALUE!</v>
      </c>
    </row>
    <row r="392" spans="1:50" ht="15.6">
      <c r="A392" s="220">
        <v>391</v>
      </c>
      <c r="B392" s="220" t="s">
        <v>3674</v>
      </c>
      <c r="C392" s="209" t="s">
        <v>16</v>
      </c>
      <c r="D392" s="209" t="s">
        <v>3648</v>
      </c>
      <c r="E392" s="209"/>
      <c r="F392" s="209"/>
      <c r="G392" s="209"/>
      <c r="H392" s="210" t="s">
        <v>4791</v>
      </c>
      <c r="I392" s="210"/>
      <c r="J392" s="211"/>
      <c r="K392" s="210"/>
      <c r="L392" s="212" t="s">
        <v>4269</v>
      </c>
      <c r="M392" s="212" t="s">
        <v>2999</v>
      </c>
      <c r="N392" s="213"/>
      <c r="O392" s="263">
        <v>4590004419</v>
      </c>
      <c r="P392" s="214">
        <v>44802</v>
      </c>
      <c r="Q392" s="334">
        <v>4</v>
      </c>
      <c r="R392" s="216">
        <v>1835.98</v>
      </c>
      <c r="S392" s="217" t="s">
        <v>2156</v>
      </c>
      <c r="T392" s="209" t="s">
        <v>4021</v>
      </c>
      <c r="U392" s="209" t="s">
        <v>4022</v>
      </c>
      <c r="V392" s="213" t="s">
        <v>4023</v>
      </c>
      <c r="W392" s="218" t="s">
        <v>3652</v>
      </c>
      <c r="X392" s="218" t="s">
        <v>3652</v>
      </c>
      <c r="Y392" s="212" t="s">
        <v>6722</v>
      </c>
      <c r="Z392" s="209" t="s">
        <v>3664</v>
      </c>
      <c r="AA392" s="219"/>
      <c r="AB392" s="218"/>
      <c r="AC392" s="217" t="e">
        <v>#N/A</v>
      </c>
      <c r="AD392" s="217">
        <v>90645</v>
      </c>
      <c r="AE392" s="217" t="s">
        <v>3141</v>
      </c>
      <c r="AF392" s="217" t="s">
        <v>4784</v>
      </c>
      <c r="AG392" s="217" t="s">
        <v>4309</v>
      </c>
      <c r="AH392" s="220" t="str">
        <f t="shared" si="24"/>
        <v>4590004419_004</v>
      </c>
      <c r="AI392" s="208" t="s">
        <v>4792</v>
      </c>
      <c r="AJ392" s="227">
        <v>45372</v>
      </c>
      <c r="AK392" s="222">
        <v>0</v>
      </c>
      <c r="AL392" s="314" t="s">
        <v>3788</v>
      </c>
      <c r="AM392" s="208"/>
      <c r="AN392" s="220"/>
      <c r="AO392" s="222"/>
      <c r="AP392" s="227"/>
      <c r="AQ392" s="358">
        <f ca="1">IF(表格1[[#This Row],[PO$]]="","100%",表格1[[#This Row],[total amount]]/表格1[[#This Row],[PO$]])</f>
        <v>0</v>
      </c>
      <c r="AR392" s="223">
        <f ca="1">表格1[[#This Row],[invoice amount]]+表格1[[#This Row],[invoice amount2]]</f>
        <v>0</v>
      </c>
      <c r="AS392" s="224"/>
      <c r="AT392" s="208" t="s">
        <v>4786</v>
      </c>
      <c r="AU392" s="208" t="e">
        <f ca="1">VLOOKUP(表格1[[#This Row],[PO+ITEM]],#REF!,2,FALSE)</f>
        <v>#REF!</v>
      </c>
      <c r="AV392" s="341" t="e">
        <f ca="1">VLOOKUP(表格1[[#This Row],[PO+ITEM]],#REF!,3,FALSE)</f>
        <v>#REF!</v>
      </c>
      <c r="AW392" s="208" t="e">
        <f ca="1">VLOOKUP(表格1[[#This Row],[PO+ITEM]],#REF!,4,FALSE)</f>
        <v>#REF!</v>
      </c>
      <c r="AX392" s="208" t="e" cm="1" vm="1">
        <f t="array" aca="1" ref="AX392" ca="1">VLOOKUP(AI:AI,#REF!,1,FALSE)</f>
        <v>#VALUE!</v>
      </c>
    </row>
    <row r="393" spans="1:50">
      <c r="A393" s="220">
        <v>392</v>
      </c>
      <c r="B393" s="220" t="s">
        <v>3674</v>
      </c>
      <c r="C393" s="209" t="s">
        <v>16</v>
      </c>
      <c r="D393" s="209" t="s">
        <v>3648</v>
      </c>
      <c r="E393" s="209"/>
      <c r="F393" s="209"/>
      <c r="G393" s="209"/>
      <c r="H393" s="210" t="s">
        <v>4793</v>
      </c>
      <c r="I393" s="210"/>
      <c r="J393" s="211"/>
      <c r="K393" s="210"/>
      <c r="L393" s="212" t="s">
        <v>4269</v>
      </c>
      <c r="M393" s="212" t="s">
        <v>2999</v>
      </c>
      <c r="N393" s="213"/>
      <c r="O393" s="263">
        <v>4590004419</v>
      </c>
      <c r="P393" s="214">
        <v>44802</v>
      </c>
      <c r="Q393" s="334">
        <v>5</v>
      </c>
      <c r="R393" s="216">
        <v>1835.98</v>
      </c>
      <c r="S393" s="217" t="s">
        <v>2156</v>
      </c>
      <c r="T393" s="209" t="s">
        <v>4021</v>
      </c>
      <c r="U393" s="209" t="s">
        <v>4022</v>
      </c>
      <c r="V393" s="213" t="s">
        <v>4023</v>
      </c>
      <c r="W393" s="218" t="s">
        <v>3652</v>
      </c>
      <c r="X393" s="218" t="s">
        <v>3652</v>
      </c>
      <c r="Y393" s="212">
        <v>0</v>
      </c>
      <c r="Z393" s="209" t="s">
        <v>3664</v>
      </c>
      <c r="AA393" s="219"/>
      <c r="AB393" s="218"/>
      <c r="AC393" s="217" t="e">
        <v>#N/A</v>
      </c>
      <c r="AD393" s="217">
        <v>90646</v>
      </c>
      <c r="AE393" s="217" t="s">
        <v>3118</v>
      </c>
      <c r="AF393" s="217" t="s">
        <v>4784</v>
      </c>
      <c r="AG393" s="217" t="s">
        <v>4309</v>
      </c>
      <c r="AH393" s="220" t="str">
        <f t="shared" si="24"/>
        <v>4590004419_005</v>
      </c>
      <c r="AI393" s="208"/>
      <c r="AJ393" s="220"/>
      <c r="AK393" s="221"/>
      <c r="AL393" s="227"/>
      <c r="AM393" s="208"/>
      <c r="AN393" s="220"/>
      <c r="AO393" s="222"/>
      <c r="AP393" s="227"/>
      <c r="AQ393" s="358">
        <f ca="1">IF(表格1[[#This Row],[PO$]]="","100%",表格1[[#This Row],[total amount]]/表格1[[#This Row],[PO$]])</f>
        <v>0</v>
      </c>
      <c r="AR393" s="223">
        <f ca="1">表格1[[#This Row],[invoice amount]]+表格1[[#This Row],[invoice amount2]]</f>
        <v>0</v>
      </c>
      <c r="AS393" s="224"/>
      <c r="AT393" s="208"/>
      <c r="AU393" s="208" t="e">
        <f ca="1">VLOOKUP(表格1[[#This Row],[PO+ITEM]],#REF!,2,FALSE)</f>
        <v>#REF!</v>
      </c>
      <c r="AV393" s="341" t="e">
        <f ca="1">VLOOKUP(表格1[[#This Row],[PO+ITEM]],#REF!,3,FALSE)</f>
        <v>#REF!</v>
      </c>
      <c r="AW393" s="208" t="e">
        <f ca="1">VLOOKUP(表格1[[#This Row],[PO+ITEM]],#REF!,4,FALSE)</f>
        <v>#REF!</v>
      </c>
      <c r="AX393" s="208" t="e" cm="1" vm="1">
        <f t="array" aca="1" ref="AX393" ca="1">VLOOKUP(AI:AI,#REF!,1,FALSE)</f>
        <v>#VALUE!</v>
      </c>
    </row>
    <row r="394" spans="1:50">
      <c r="A394" s="220">
        <v>393</v>
      </c>
      <c r="B394" s="220" t="s">
        <v>3674</v>
      </c>
      <c r="C394" s="209" t="s">
        <v>16</v>
      </c>
      <c r="D394" s="209" t="s">
        <v>3648</v>
      </c>
      <c r="E394" s="209"/>
      <c r="F394" s="209"/>
      <c r="G394" s="209"/>
      <c r="H394" s="210" t="s">
        <v>4796</v>
      </c>
      <c r="I394" s="210"/>
      <c r="J394" s="211"/>
      <c r="K394" s="210"/>
      <c r="L394" s="212" t="s">
        <v>4269</v>
      </c>
      <c r="M394" s="212" t="s">
        <v>2999</v>
      </c>
      <c r="N394" s="213"/>
      <c r="O394" s="263">
        <v>4590004419</v>
      </c>
      <c r="P394" s="214">
        <v>44802</v>
      </c>
      <c r="Q394" s="334">
        <v>6</v>
      </c>
      <c r="R394" s="216">
        <v>1835.98</v>
      </c>
      <c r="S394" s="217" t="s">
        <v>2156</v>
      </c>
      <c r="T394" s="209" t="s">
        <v>4021</v>
      </c>
      <c r="U394" s="209" t="s">
        <v>4022</v>
      </c>
      <c r="V394" s="213" t="s">
        <v>4023</v>
      </c>
      <c r="W394" s="218" t="s">
        <v>3652</v>
      </c>
      <c r="X394" s="218" t="s">
        <v>3652</v>
      </c>
      <c r="Y394" s="212">
        <v>0</v>
      </c>
      <c r="Z394" s="209" t="s">
        <v>3664</v>
      </c>
      <c r="AA394" s="219"/>
      <c r="AB394" s="218"/>
      <c r="AC394" s="217" t="e">
        <v>#N/A</v>
      </c>
      <c r="AD394" s="217">
        <v>90647</v>
      </c>
      <c r="AE394" s="217" t="s">
        <v>3119</v>
      </c>
      <c r="AF394" s="217" t="s">
        <v>4784</v>
      </c>
      <c r="AG394" s="217" t="s">
        <v>4309</v>
      </c>
      <c r="AH394" s="220" t="str">
        <f t="shared" si="24"/>
        <v>4590004419_006</v>
      </c>
      <c r="AI394" s="208"/>
      <c r="AJ394" s="220"/>
      <c r="AK394" s="221"/>
      <c r="AL394" s="227"/>
      <c r="AM394" s="208"/>
      <c r="AN394" s="220"/>
      <c r="AO394" s="222"/>
      <c r="AP394" s="227"/>
      <c r="AQ394" s="358">
        <f ca="1">IF(表格1[[#This Row],[PO$]]="","100%",表格1[[#This Row],[total amount]]/表格1[[#This Row],[PO$]])</f>
        <v>0</v>
      </c>
      <c r="AR394" s="223">
        <f ca="1">表格1[[#This Row],[invoice amount]]+表格1[[#This Row],[invoice amount2]]</f>
        <v>0</v>
      </c>
      <c r="AS394" s="224"/>
      <c r="AT394" s="208"/>
      <c r="AU394" s="208" t="e">
        <f ca="1">VLOOKUP(表格1[[#This Row],[PO+ITEM]],#REF!,2,FALSE)</f>
        <v>#REF!</v>
      </c>
      <c r="AV394" s="341" t="e">
        <f ca="1">VLOOKUP(表格1[[#This Row],[PO+ITEM]],#REF!,3,FALSE)</f>
        <v>#REF!</v>
      </c>
      <c r="AW394" s="208" t="e">
        <f ca="1">VLOOKUP(表格1[[#This Row],[PO+ITEM]],#REF!,4,FALSE)</f>
        <v>#REF!</v>
      </c>
      <c r="AX394" s="208" t="e" cm="1" vm="1">
        <f t="array" aca="1" ref="AX394" ca="1">VLOOKUP(AI:AI,#REF!,1,FALSE)</f>
        <v>#VALUE!</v>
      </c>
    </row>
    <row r="395" spans="1:50">
      <c r="A395" s="220">
        <v>394</v>
      </c>
      <c r="B395" s="220" t="s">
        <v>3674</v>
      </c>
      <c r="C395" s="209" t="s">
        <v>16</v>
      </c>
      <c r="D395" s="209" t="s">
        <v>3648</v>
      </c>
      <c r="E395" s="209"/>
      <c r="F395" s="209"/>
      <c r="G395" s="209"/>
      <c r="H395" s="210" t="s">
        <v>4798</v>
      </c>
      <c r="I395" s="210"/>
      <c r="J395" s="211"/>
      <c r="K395" s="210"/>
      <c r="L395" s="212" t="s">
        <v>4269</v>
      </c>
      <c r="M395" s="212" t="s">
        <v>2999</v>
      </c>
      <c r="N395" s="213"/>
      <c r="O395" s="263">
        <v>4590004419</v>
      </c>
      <c r="P395" s="214">
        <v>44802</v>
      </c>
      <c r="Q395" s="334">
        <v>7</v>
      </c>
      <c r="R395" s="216">
        <v>1835.98</v>
      </c>
      <c r="S395" s="217" t="s">
        <v>2156</v>
      </c>
      <c r="T395" s="209" t="s">
        <v>4021</v>
      </c>
      <c r="U395" s="209" t="s">
        <v>4022</v>
      </c>
      <c r="V395" s="213" t="s">
        <v>4023</v>
      </c>
      <c r="W395" s="218" t="s">
        <v>3652</v>
      </c>
      <c r="X395" s="218" t="s">
        <v>3652</v>
      </c>
      <c r="Y395" s="212">
        <v>0</v>
      </c>
      <c r="Z395" s="209" t="s">
        <v>3664</v>
      </c>
      <c r="AA395" s="219"/>
      <c r="AB395" s="218"/>
      <c r="AC395" s="217" t="e">
        <v>#N/A</v>
      </c>
      <c r="AD395" s="217">
        <v>90648</v>
      </c>
      <c r="AE395" s="217" t="s">
        <v>3120</v>
      </c>
      <c r="AF395" s="217" t="s">
        <v>4784</v>
      </c>
      <c r="AG395" s="217" t="s">
        <v>4309</v>
      </c>
      <c r="AH395" s="220" t="str">
        <f t="shared" si="24"/>
        <v>4590004419_007</v>
      </c>
      <c r="AI395" s="208"/>
      <c r="AJ395" s="220"/>
      <c r="AK395" s="221"/>
      <c r="AL395" s="227"/>
      <c r="AM395" s="208"/>
      <c r="AN395" s="220"/>
      <c r="AO395" s="222"/>
      <c r="AP395" s="227"/>
      <c r="AQ395" s="358">
        <f ca="1">IF(表格1[[#This Row],[PO$]]="","100%",表格1[[#This Row],[total amount]]/表格1[[#This Row],[PO$]])</f>
        <v>0</v>
      </c>
      <c r="AR395" s="223">
        <f ca="1">表格1[[#This Row],[invoice amount]]+表格1[[#This Row],[invoice amount2]]</f>
        <v>0</v>
      </c>
      <c r="AS395" s="224"/>
      <c r="AT395" s="208"/>
      <c r="AU395" s="208" t="e">
        <f ca="1">VLOOKUP(表格1[[#This Row],[PO+ITEM]],#REF!,2,FALSE)</f>
        <v>#REF!</v>
      </c>
      <c r="AV395" s="341" t="e">
        <f ca="1">VLOOKUP(表格1[[#This Row],[PO+ITEM]],#REF!,3,FALSE)</f>
        <v>#REF!</v>
      </c>
      <c r="AW395" s="208" t="e">
        <f ca="1">VLOOKUP(表格1[[#This Row],[PO+ITEM]],#REF!,4,FALSE)</f>
        <v>#REF!</v>
      </c>
      <c r="AX395" s="208" t="e" cm="1" vm="1">
        <f t="array" aca="1" ref="AX395" ca="1">VLOOKUP(AI:AI,#REF!,1,FALSE)</f>
        <v>#VALUE!</v>
      </c>
    </row>
    <row r="396" spans="1:50">
      <c r="A396" s="220">
        <v>395</v>
      </c>
      <c r="B396" s="220" t="s">
        <v>3674</v>
      </c>
      <c r="C396" s="209" t="s">
        <v>16</v>
      </c>
      <c r="D396" s="209" t="s">
        <v>3648</v>
      </c>
      <c r="E396" s="209"/>
      <c r="F396" s="209"/>
      <c r="G396" s="209"/>
      <c r="H396" s="210" t="s">
        <v>4800</v>
      </c>
      <c r="I396" s="210"/>
      <c r="J396" s="211"/>
      <c r="K396" s="210"/>
      <c r="L396" s="212" t="s">
        <v>4269</v>
      </c>
      <c r="M396" s="212" t="s">
        <v>2999</v>
      </c>
      <c r="N396" s="213"/>
      <c r="O396" s="263">
        <v>4590004419</v>
      </c>
      <c r="P396" s="214">
        <v>44802</v>
      </c>
      <c r="Q396" s="334">
        <v>8</v>
      </c>
      <c r="R396" s="216">
        <v>1835.98</v>
      </c>
      <c r="S396" s="217" t="s">
        <v>2156</v>
      </c>
      <c r="T396" s="209" t="s">
        <v>4021</v>
      </c>
      <c r="U396" s="209" t="s">
        <v>4022</v>
      </c>
      <c r="V396" s="213" t="s">
        <v>4023</v>
      </c>
      <c r="W396" s="218" t="s">
        <v>3652</v>
      </c>
      <c r="X396" s="218" t="s">
        <v>3652</v>
      </c>
      <c r="Y396" s="212">
        <v>0</v>
      </c>
      <c r="Z396" s="209" t="s">
        <v>3664</v>
      </c>
      <c r="AA396" s="219"/>
      <c r="AB396" s="218"/>
      <c r="AC396" s="217" t="e">
        <v>#N/A</v>
      </c>
      <c r="AD396" s="217">
        <v>90649</v>
      </c>
      <c r="AE396" s="217" t="s">
        <v>3121</v>
      </c>
      <c r="AF396" s="217" t="s">
        <v>4784</v>
      </c>
      <c r="AG396" s="217" t="s">
        <v>4309</v>
      </c>
      <c r="AH396" s="220" t="str">
        <f t="shared" si="24"/>
        <v>4590004419_008</v>
      </c>
      <c r="AI396" s="208"/>
      <c r="AJ396" s="220"/>
      <c r="AK396" s="221"/>
      <c r="AL396" s="227"/>
      <c r="AM396" s="208"/>
      <c r="AN396" s="220"/>
      <c r="AO396" s="222"/>
      <c r="AP396" s="227"/>
      <c r="AQ396" s="358">
        <f ca="1">IF(表格1[[#This Row],[PO$]]="","100%",表格1[[#This Row],[total amount]]/表格1[[#This Row],[PO$]])</f>
        <v>0</v>
      </c>
      <c r="AR396" s="223">
        <f ca="1">表格1[[#This Row],[invoice amount]]+表格1[[#This Row],[invoice amount2]]</f>
        <v>0</v>
      </c>
      <c r="AS396" s="224"/>
      <c r="AT396" s="208"/>
      <c r="AU396" s="208" t="e">
        <f ca="1">VLOOKUP(表格1[[#This Row],[PO+ITEM]],#REF!,2,FALSE)</f>
        <v>#REF!</v>
      </c>
      <c r="AV396" s="341" t="e">
        <f ca="1">VLOOKUP(表格1[[#This Row],[PO+ITEM]],#REF!,3,FALSE)</f>
        <v>#REF!</v>
      </c>
      <c r="AW396" s="208" t="e">
        <f ca="1">VLOOKUP(表格1[[#This Row],[PO+ITEM]],#REF!,4,FALSE)</f>
        <v>#REF!</v>
      </c>
      <c r="AX396" s="208" t="e" cm="1" vm="1">
        <f t="array" aca="1" ref="AX396" ca="1">VLOOKUP(AI:AI,#REF!,1,FALSE)</f>
        <v>#VALUE!</v>
      </c>
    </row>
    <row r="397" spans="1:50">
      <c r="A397" s="220">
        <v>396</v>
      </c>
      <c r="B397" s="220" t="s">
        <v>3674</v>
      </c>
      <c r="C397" s="209" t="s">
        <v>16</v>
      </c>
      <c r="D397" s="209" t="s">
        <v>3648</v>
      </c>
      <c r="E397" s="209"/>
      <c r="F397" s="209"/>
      <c r="G397" s="209"/>
      <c r="H397" s="210" t="s">
        <v>4802</v>
      </c>
      <c r="I397" s="210"/>
      <c r="J397" s="211"/>
      <c r="K397" s="210"/>
      <c r="L397" s="212" t="s">
        <v>2206</v>
      </c>
      <c r="M397" s="212" t="s">
        <v>2999</v>
      </c>
      <c r="N397" s="213"/>
      <c r="O397" s="263">
        <v>4590004419</v>
      </c>
      <c r="P397" s="214">
        <v>44802</v>
      </c>
      <c r="Q397" s="334">
        <v>9</v>
      </c>
      <c r="R397" s="216">
        <v>8393.52</v>
      </c>
      <c r="S397" s="217" t="s">
        <v>2156</v>
      </c>
      <c r="T397" s="209" t="s">
        <v>4021</v>
      </c>
      <c r="U397" s="209" t="s">
        <v>4022</v>
      </c>
      <c r="V397" s="213" t="s">
        <v>4023</v>
      </c>
      <c r="W397" s="218" t="s">
        <v>3652</v>
      </c>
      <c r="X397" s="218" t="s">
        <v>3652</v>
      </c>
      <c r="Y397" s="212">
        <v>0</v>
      </c>
      <c r="Z397" s="209" t="s">
        <v>3664</v>
      </c>
      <c r="AA397" s="219"/>
      <c r="AB397" s="218"/>
      <c r="AC397" s="217" t="e">
        <v>#N/A</v>
      </c>
      <c r="AD397" s="217">
        <v>90116</v>
      </c>
      <c r="AE397" s="217" t="s">
        <v>2725</v>
      </c>
      <c r="AF397" s="217" t="s">
        <v>4784</v>
      </c>
      <c r="AG397" s="217" t="s">
        <v>846</v>
      </c>
      <c r="AH397" s="220" t="str">
        <f t="shared" si="24"/>
        <v>4590004419_009</v>
      </c>
      <c r="AI397" s="208"/>
      <c r="AJ397" s="220"/>
      <c r="AK397" s="221"/>
      <c r="AL397" s="227"/>
      <c r="AM397" s="208"/>
      <c r="AN397" s="220"/>
      <c r="AO397" s="222"/>
      <c r="AP397" s="227"/>
      <c r="AQ397" s="358">
        <f ca="1">IF(表格1[[#This Row],[PO$]]="","100%",表格1[[#This Row],[total amount]]/表格1[[#This Row],[PO$]])</f>
        <v>0</v>
      </c>
      <c r="AR397" s="223">
        <f ca="1">表格1[[#This Row],[invoice amount]]+表格1[[#This Row],[invoice amount2]]</f>
        <v>0</v>
      </c>
      <c r="AS397" s="224"/>
      <c r="AT397" s="208"/>
      <c r="AU397" s="208" t="e">
        <f ca="1">VLOOKUP(表格1[[#This Row],[PO+ITEM]],#REF!,2,FALSE)</f>
        <v>#REF!</v>
      </c>
      <c r="AV397" s="341" t="e">
        <f ca="1">VLOOKUP(表格1[[#This Row],[PO+ITEM]],#REF!,3,FALSE)</f>
        <v>#REF!</v>
      </c>
      <c r="AW397" s="208" t="e">
        <f ca="1">VLOOKUP(表格1[[#This Row],[PO+ITEM]],#REF!,4,FALSE)</f>
        <v>#REF!</v>
      </c>
      <c r="AX397" s="208" t="e" cm="1" vm="1">
        <f t="array" aca="1" ref="AX397" ca="1">VLOOKUP(AI:AI,#REF!,1,FALSE)</f>
        <v>#VALUE!</v>
      </c>
    </row>
    <row r="398" spans="1:50">
      <c r="A398" s="220">
        <v>397</v>
      </c>
      <c r="B398" s="220" t="s">
        <v>3674</v>
      </c>
      <c r="C398" s="209" t="s">
        <v>16</v>
      </c>
      <c r="D398" s="209" t="s">
        <v>3648</v>
      </c>
      <c r="E398" s="209"/>
      <c r="F398" s="209"/>
      <c r="G398" s="209"/>
      <c r="H398" s="210" t="s">
        <v>4803</v>
      </c>
      <c r="I398" s="210"/>
      <c r="J398" s="211"/>
      <c r="K398" s="210"/>
      <c r="L398" s="212" t="s">
        <v>2206</v>
      </c>
      <c r="M398" s="212" t="s">
        <v>2999</v>
      </c>
      <c r="N398" s="213"/>
      <c r="O398" s="263">
        <v>4590004419</v>
      </c>
      <c r="P398" s="214">
        <v>44802</v>
      </c>
      <c r="Q398" s="334">
        <v>10</v>
      </c>
      <c r="R398" s="216">
        <v>8393.52</v>
      </c>
      <c r="S398" s="217" t="s">
        <v>2156</v>
      </c>
      <c r="T398" s="209" t="s">
        <v>4021</v>
      </c>
      <c r="U398" s="209" t="s">
        <v>4022</v>
      </c>
      <c r="V398" s="213" t="s">
        <v>4023</v>
      </c>
      <c r="W398" s="218" t="s">
        <v>3652</v>
      </c>
      <c r="X398" s="218" t="s">
        <v>3652</v>
      </c>
      <c r="Y398" s="212">
        <v>0</v>
      </c>
      <c r="Z398" s="209" t="s">
        <v>3664</v>
      </c>
      <c r="AA398" s="219"/>
      <c r="AB398" s="218"/>
      <c r="AC398" s="217" t="e">
        <v>#N/A</v>
      </c>
      <c r="AD398" s="217">
        <v>90114</v>
      </c>
      <c r="AE398" s="217" t="s">
        <v>1045</v>
      </c>
      <c r="AF398" s="217" t="s">
        <v>4784</v>
      </c>
      <c r="AG398" s="217" t="s">
        <v>846</v>
      </c>
      <c r="AH398" s="220" t="str">
        <f t="shared" ref="AH398:AH407" si="25">O398&amp;"_0"&amp;Q398</f>
        <v>4590004419_010</v>
      </c>
      <c r="AI398" s="208"/>
      <c r="AJ398" s="220"/>
      <c r="AK398" s="221"/>
      <c r="AL398" s="227"/>
      <c r="AM398" s="208"/>
      <c r="AN398" s="220"/>
      <c r="AO398" s="222"/>
      <c r="AP398" s="227"/>
      <c r="AQ398" s="358">
        <f ca="1">IF(表格1[[#This Row],[PO$]]="","100%",表格1[[#This Row],[total amount]]/表格1[[#This Row],[PO$]])</f>
        <v>0</v>
      </c>
      <c r="AR398" s="223">
        <f ca="1">表格1[[#This Row],[invoice amount]]+表格1[[#This Row],[invoice amount2]]</f>
        <v>0</v>
      </c>
      <c r="AS398" s="224"/>
      <c r="AT398" s="208"/>
      <c r="AU398" s="208" t="e">
        <f ca="1">VLOOKUP(表格1[[#This Row],[PO+ITEM]],#REF!,2,FALSE)</f>
        <v>#REF!</v>
      </c>
      <c r="AV398" s="341" t="e">
        <f ca="1">VLOOKUP(表格1[[#This Row],[PO+ITEM]],#REF!,3,FALSE)</f>
        <v>#REF!</v>
      </c>
      <c r="AW398" s="208" t="e">
        <f ca="1">VLOOKUP(表格1[[#This Row],[PO+ITEM]],#REF!,4,FALSE)</f>
        <v>#REF!</v>
      </c>
      <c r="AX398" s="208" t="e" cm="1" vm="1">
        <f t="array" aca="1" ref="AX398" ca="1">VLOOKUP(AI:AI,#REF!,1,FALSE)</f>
        <v>#VALUE!</v>
      </c>
    </row>
    <row r="399" spans="1:50">
      <c r="A399" s="220">
        <v>398</v>
      </c>
      <c r="B399" s="220" t="s">
        <v>3659</v>
      </c>
      <c r="C399" s="209" t="s">
        <v>16</v>
      </c>
      <c r="D399" s="209" t="s">
        <v>3648</v>
      </c>
      <c r="E399" s="209"/>
      <c r="F399" s="209"/>
      <c r="G399" s="209"/>
      <c r="H399" s="210" t="s">
        <v>4804</v>
      </c>
      <c r="I399" s="210"/>
      <c r="J399" s="211"/>
      <c r="K399" s="210"/>
      <c r="L399" s="212" t="s">
        <v>2206</v>
      </c>
      <c r="M399" s="212" t="s">
        <v>2999</v>
      </c>
      <c r="N399" s="213"/>
      <c r="O399" s="263">
        <v>4590004419</v>
      </c>
      <c r="P399" s="214">
        <v>44802</v>
      </c>
      <c r="Q399" s="334">
        <v>11</v>
      </c>
      <c r="R399" s="216">
        <v>8393.52</v>
      </c>
      <c r="S399" s="217" t="s">
        <v>2156</v>
      </c>
      <c r="T399" s="209" t="s">
        <v>4021</v>
      </c>
      <c r="U399" s="209" t="s">
        <v>4022</v>
      </c>
      <c r="V399" s="213" t="s">
        <v>4023</v>
      </c>
      <c r="W399" s="218" t="s">
        <v>3652</v>
      </c>
      <c r="X399" s="218" t="s">
        <v>3652</v>
      </c>
      <c r="Y399" s="212">
        <v>0</v>
      </c>
      <c r="Z399" s="209" t="s">
        <v>3664</v>
      </c>
      <c r="AA399" s="219"/>
      <c r="AB399" s="218"/>
      <c r="AC399" s="217" t="e">
        <v>#N/A</v>
      </c>
      <c r="AD399" s="217">
        <v>90115</v>
      </c>
      <c r="AE399" s="217" t="s">
        <v>4805</v>
      </c>
      <c r="AF399" s="217" t="s">
        <v>4784</v>
      </c>
      <c r="AG399" s="217" t="s">
        <v>846</v>
      </c>
      <c r="AH399" s="220" t="str">
        <f t="shared" si="25"/>
        <v>4590004419_011</v>
      </c>
      <c r="AI399" s="208"/>
      <c r="AJ399" s="220"/>
      <c r="AK399" s="221"/>
      <c r="AL399" s="227"/>
      <c r="AM399" s="208"/>
      <c r="AN399" s="220"/>
      <c r="AO399" s="222"/>
      <c r="AP399" s="227"/>
      <c r="AQ399" s="358">
        <f ca="1">IF(表格1[[#This Row],[PO$]]="","100%",表格1[[#This Row],[total amount]]/表格1[[#This Row],[PO$]])</f>
        <v>0</v>
      </c>
      <c r="AR399" s="223">
        <f ca="1">表格1[[#This Row],[invoice amount]]+表格1[[#This Row],[invoice amount2]]</f>
        <v>0</v>
      </c>
      <c r="AS399" s="224"/>
      <c r="AT399" s="208"/>
      <c r="AU399" s="208" t="e">
        <f ca="1">VLOOKUP(表格1[[#This Row],[PO+ITEM]],#REF!,2,FALSE)</f>
        <v>#REF!</v>
      </c>
      <c r="AV399" s="341" t="e">
        <f ca="1">VLOOKUP(表格1[[#This Row],[PO+ITEM]],#REF!,3,FALSE)</f>
        <v>#REF!</v>
      </c>
      <c r="AW399" s="208" t="e">
        <f ca="1">VLOOKUP(表格1[[#This Row],[PO+ITEM]],#REF!,4,FALSE)</f>
        <v>#REF!</v>
      </c>
      <c r="AX399" s="208" t="e" cm="1" vm="1">
        <f t="array" aca="1" ref="AX399" ca="1">VLOOKUP(AI:AI,#REF!,1,FALSE)</f>
        <v>#VALUE!</v>
      </c>
    </row>
    <row r="400" spans="1:50">
      <c r="A400" s="220">
        <v>399</v>
      </c>
      <c r="B400" s="220" t="s">
        <v>3674</v>
      </c>
      <c r="C400" s="209" t="s">
        <v>16</v>
      </c>
      <c r="D400" s="209" t="s">
        <v>3648</v>
      </c>
      <c r="E400" s="209"/>
      <c r="F400" s="209"/>
      <c r="G400" s="209"/>
      <c r="H400" s="210" t="s">
        <v>4806</v>
      </c>
      <c r="I400" s="210"/>
      <c r="J400" s="211"/>
      <c r="K400" s="210"/>
      <c r="L400" s="212" t="s">
        <v>2206</v>
      </c>
      <c r="M400" s="212" t="s">
        <v>2999</v>
      </c>
      <c r="N400" s="213"/>
      <c r="O400" s="263">
        <v>4590004419</v>
      </c>
      <c r="P400" s="214">
        <v>44802</v>
      </c>
      <c r="Q400" s="334">
        <v>12</v>
      </c>
      <c r="R400" s="216">
        <v>3803.58</v>
      </c>
      <c r="S400" s="217" t="s">
        <v>2156</v>
      </c>
      <c r="T400" s="209" t="s">
        <v>4021</v>
      </c>
      <c r="U400" s="209" t="s">
        <v>4022</v>
      </c>
      <c r="V400" s="213" t="s">
        <v>4023</v>
      </c>
      <c r="W400" s="218" t="s">
        <v>3652</v>
      </c>
      <c r="X400" s="218" t="s">
        <v>3652</v>
      </c>
      <c r="Y400" s="212">
        <v>0</v>
      </c>
      <c r="Z400" s="209" t="s">
        <v>3664</v>
      </c>
      <c r="AA400" s="219"/>
      <c r="AB400" s="218"/>
      <c r="AC400" s="217" t="e">
        <v>#N/A</v>
      </c>
      <c r="AD400" s="217">
        <v>90213</v>
      </c>
      <c r="AE400" s="217" t="s">
        <v>1041</v>
      </c>
      <c r="AF400" s="217" t="s">
        <v>4784</v>
      </c>
      <c r="AG400" s="217" t="s">
        <v>846</v>
      </c>
      <c r="AH400" s="220" t="str">
        <f t="shared" si="25"/>
        <v>4590004419_012</v>
      </c>
      <c r="AI400" s="208"/>
      <c r="AJ400" s="220"/>
      <c r="AK400" s="221"/>
      <c r="AL400" s="227"/>
      <c r="AM400" s="208"/>
      <c r="AN400" s="220"/>
      <c r="AO400" s="222"/>
      <c r="AP400" s="227"/>
      <c r="AQ400" s="358">
        <f ca="1">IF(表格1[[#This Row],[PO$]]="","100%",表格1[[#This Row],[total amount]]/表格1[[#This Row],[PO$]])</f>
        <v>0</v>
      </c>
      <c r="AR400" s="223">
        <f ca="1">表格1[[#This Row],[invoice amount]]+表格1[[#This Row],[invoice amount2]]</f>
        <v>0</v>
      </c>
      <c r="AS400" s="224"/>
      <c r="AT400" s="208"/>
      <c r="AU400" s="208" t="e">
        <f ca="1">VLOOKUP(表格1[[#This Row],[PO+ITEM]],#REF!,2,FALSE)</f>
        <v>#REF!</v>
      </c>
      <c r="AV400" s="341" t="e">
        <f ca="1">VLOOKUP(表格1[[#This Row],[PO+ITEM]],#REF!,3,FALSE)</f>
        <v>#REF!</v>
      </c>
      <c r="AW400" s="208" t="e">
        <f ca="1">VLOOKUP(表格1[[#This Row],[PO+ITEM]],#REF!,4,FALSE)</f>
        <v>#REF!</v>
      </c>
      <c r="AX400" s="208" t="e" cm="1" vm="1">
        <f t="array" aca="1" ref="AX400" ca="1">VLOOKUP(AI:AI,#REF!,1,FALSE)</f>
        <v>#VALUE!</v>
      </c>
    </row>
    <row r="401" spans="1:50">
      <c r="A401" s="220">
        <v>400</v>
      </c>
      <c r="B401" s="220" t="s">
        <v>3674</v>
      </c>
      <c r="C401" s="209" t="s">
        <v>16</v>
      </c>
      <c r="D401" s="209" t="s">
        <v>3648</v>
      </c>
      <c r="E401" s="209"/>
      <c r="F401" s="209"/>
      <c r="G401" s="209"/>
      <c r="H401" s="210" t="s">
        <v>4807</v>
      </c>
      <c r="I401" s="210"/>
      <c r="J401" s="211"/>
      <c r="K401" s="210"/>
      <c r="L401" s="212" t="s">
        <v>4269</v>
      </c>
      <c r="M401" s="212" t="s">
        <v>2999</v>
      </c>
      <c r="N401" s="213"/>
      <c r="O401" s="263">
        <v>4590004419</v>
      </c>
      <c r="P401" s="214">
        <v>44802</v>
      </c>
      <c r="Q401" s="334">
        <v>13</v>
      </c>
      <c r="R401" s="216">
        <v>3931.29</v>
      </c>
      <c r="S401" s="217" t="s">
        <v>2156</v>
      </c>
      <c r="T401" s="209" t="s">
        <v>4021</v>
      </c>
      <c r="U401" s="209" t="s">
        <v>4022</v>
      </c>
      <c r="V401" s="213" t="s">
        <v>4023</v>
      </c>
      <c r="W401" s="218" t="s">
        <v>3652</v>
      </c>
      <c r="X401" s="218" t="s">
        <v>3652</v>
      </c>
      <c r="Y401" s="212">
        <v>0</v>
      </c>
      <c r="Z401" s="209" t="s">
        <v>3664</v>
      </c>
      <c r="AA401" s="219"/>
      <c r="AB401" s="218"/>
      <c r="AC401" s="217" t="e">
        <v>#N/A</v>
      </c>
      <c r="AD401" s="217">
        <v>90782</v>
      </c>
      <c r="AE401" s="217" t="s">
        <v>4808</v>
      </c>
      <c r="AF401" s="217" t="s">
        <v>4784</v>
      </c>
      <c r="AG401" s="217" t="s">
        <v>3719</v>
      </c>
      <c r="AH401" s="220" t="str">
        <f t="shared" si="25"/>
        <v>4590004419_013</v>
      </c>
      <c r="AI401" s="208"/>
      <c r="AJ401" s="220"/>
      <c r="AK401" s="221"/>
      <c r="AL401" s="227"/>
      <c r="AM401" s="208"/>
      <c r="AN401" s="220"/>
      <c r="AO401" s="222"/>
      <c r="AP401" s="227"/>
      <c r="AQ401" s="358">
        <f ca="1">IF(表格1[[#This Row],[PO$]]="","100%",表格1[[#This Row],[total amount]]/表格1[[#This Row],[PO$]])</f>
        <v>0</v>
      </c>
      <c r="AR401" s="223">
        <f ca="1">表格1[[#This Row],[invoice amount]]+表格1[[#This Row],[invoice amount2]]</f>
        <v>0</v>
      </c>
      <c r="AS401" s="224"/>
      <c r="AT401" s="208"/>
      <c r="AU401" s="208" t="e">
        <f ca="1">VLOOKUP(表格1[[#This Row],[PO+ITEM]],#REF!,2,FALSE)</f>
        <v>#REF!</v>
      </c>
      <c r="AV401" s="341" t="e">
        <f ca="1">VLOOKUP(表格1[[#This Row],[PO+ITEM]],#REF!,3,FALSE)</f>
        <v>#REF!</v>
      </c>
      <c r="AW401" s="208" t="e">
        <f ca="1">VLOOKUP(表格1[[#This Row],[PO+ITEM]],#REF!,4,FALSE)</f>
        <v>#REF!</v>
      </c>
      <c r="AX401" s="208" t="e" cm="1" vm="1">
        <f t="array" aca="1" ref="AX401" ca="1">VLOOKUP(AI:AI,#REF!,1,FALSE)</f>
        <v>#VALUE!</v>
      </c>
    </row>
    <row r="402" spans="1:50">
      <c r="A402" s="220">
        <v>401</v>
      </c>
      <c r="B402" s="220" t="s">
        <v>3659</v>
      </c>
      <c r="C402" s="209" t="s">
        <v>16</v>
      </c>
      <c r="D402" s="209" t="s">
        <v>3648</v>
      </c>
      <c r="E402" s="209"/>
      <c r="F402" s="209"/>
      <c r="G402" s="209"/>
      <c r="H402" s="210" t="s">
        <v>4809</v>
      </c>
      <c r="I402" s="210"/>
      <c r="J402" s="211"/>
      <c r="K402" s="210"/>
      <c r="L402" s="212" t="s">
        <v>4269</v>
      </c>
      <c r="M402" s="212" t="s">
        <v>2999</v>
      </c>
      <c r="N402" s="213"/>
      <c r="O402" s="263">
        <v>4590004419</v>
      </c>
      <c r="P402" s="214">
        <v>44802</v>
      </c>
      <c r="Q402" s="334">
        <v>14</v>
      </c>
      <c r="R402" s="216">
        <v>3931.29</v>
      </c>
      <c r="S402" s="217" t="s">
        <v>2156</v>
      </c>
      <c r="T402" s="209" t="s">
        <v>4021</v>
      </c>
      <c r="U402" s="209" t="s">
        <v>4022</v>
      </c>
      <c r="V402" s="213" t="s">
        <v>4023</v>
      </c>
      <c r="W402" s="218" t="s">
        <v>3652</v>
      </c>
      <c r="X402" s="218" t="s">
        <v>3652</v>
      </c>
      <c r="Y402" s="212">
        <v>0</v>
      </c>
      <c r="Z402" s="209" t="s">
        <v>3664</v>
      </c>
      <c r="AA402" s="219"/>
      <c r="AB402" s="218"/>
      <c r="AC402" s="217" t="e">
        <v>#N/A</v>
      </c>
      <c r="AD402" s="217">
        <v>90783</v>
      </c>
      <c r="AE402" s="217" t="s">
        <v>4810</v>
      </c>
      <c r="AF402" s="217" t="s">
        <v>4784</v>
      </c>
      <c r="AG402" s="217" t="s">
        <v>3719</v>
      </c>
      <c r="AH402" s="220" t="str">
        <f t="shared" si="25"/>
        <v>4590004419_014</v>
      </c>
      <c r="AI402" s="208"/>
      <c r="AJ402" s="220"/>
      <c r="AK402" s="221"/>
      <c r="AL402" s="227"/>
      <c r="AM402" s="208"/>
      <c r="AN402" s="220"/>
      <c r="AO402" s="222"/>
      <c r="AP402" s="227"/>
      <c r="AQ402" s="358">
        <f ca="1">IF(表格1[[#This Row],[PO$]]="","100%",表格1[[#This Row],[total amount]]/表格1[[#This Row],[PO$]])</f>
        <v>0</v>
      </c>
      <c r="AR402" s="223">
        <f ca="1">表格1[[#This Row],[invoice amount]]+表格1[[#This Row],[invoice amount2]]</f>
        <v>0</v>
      </c>
      <c r="AS402" s="224"/>
      <c r="AT402" s="208"/>
      <c r="AU402" s="208" t="e">
        <f ca="1">VLOOKUP(表格1[[#This Row],[PO+ITEM]],#REF!,2,FALSE)</f>
        <v>#REF!</v>
      </c>
      <c r="AV402" s="341" t="e">
        <f ca="1">VLOOKUP(表格1[[#This Row],[PO+ITEM]],#REF!,3,FALSE)</f>
        <v>#REF!</v>
      </c>
      <c r="AW402" s="208" t="e">
        <f ca="1">VLOOKUP(表格1[[#This Row],[PO+ITEM]],#REF!,4,FALSE)</f>
        <v>#REF!</v>
      </c>
      <c r="AX402" s="208" t="e" cm="1" vm="1">
        <f t="array" aca="1" ref="AX402" ca="1">VLOOKUP(AI:AI,#REF!,1,FALSE)</f>
        <v>#VALUE!</v>
      </c>
    </row>
    <row r="403" spans="1:50">
      <c r="A403" s="220">
        <v>402</v>
      </c>
      <c r="B403" s="220" t="s">
        <v>3674</v>
      </c>
      <c r="C403" s="209" t="s">
        <v>16</v>
      </c>
      <c r="D403" s="209" t="s">
        <v>3648</v>
      </c>
      <c r="E403" s="209"/>
      <c r="F403" s="209"/>
      <c r="G403" s="209"/>
      <c r="H403" s="210" t="s">
        <v>4811</v>
      </c>
      <c r="I403" s="210"/>
      <c r="J403" s="211"/>
      <c r="K403" s="210"/>
      <c r="L403" s="212" t="s">
        <v>2206</v>
      </c>
      <c r="M403" s="212" t="s">
        <v>2999</v>
      </c>
      <c r="N403" s="213"/>
      <c r="O403" s="263">
        <v>4590004419</v>
      </c>
      <c r="P403" s="214">
        <v>44802</v>
      </c>
      <c r="Q403" s="334">
        <v>15</v>
      </c>
      <c r="R403" s="216">
        <v>8393.52</v>
      </c>
      <c r="S403" s="217" t="s">
        <v>2156</v>
      </c>
      <c r="T403" s="209" t="s">
        <v>4021</v>
      </c>
      <c r="U403" s="209" t="s">
        <v>4022</v>
      </c>
      <c r="V403" s="213" t="s">
        <v>4023</v>
      </c>
      <c r="W403" s="218" t="s">
        <v>3652</v>
      </c>
      <c r="X403" s="218" t="s">
        <v>3652</v>
      </c>
      <c r="Y403" s="212">
        <v>0</v>
      </c>
      <c r="Z403" s="209" t="s">
        <v>3664</v>
      </c>
      <c r="AA403" s="219"/>
      <c r="AB403" s="218"/>
      <c r="AC403" s="217" t="e">
        <v>#N/A</v>
      </c>
      <c r="AD403" s="217">
        <v>90336</v>
      </c>
      <c r="AE403" s="217" t="s">
        <v>1043</v>
      </c>
      <c r="AF403" s="217" t="s">
        <v>4784</v>
      </c>
      <c r="AG403" s="217" t="s">
        <v>846</v>
      </c>
      <c r="AH403" s="220" t="str">
        <f t="shared" si="25"/>
        <v>4590004419_015</v>
      </c>
      <c r="AI403" s="208"/>
      <c r="AJ403" s="220"/>
      <c r="AK403" s="221"/>
      <c r="AL403" s="227"/>
      <c r="AM403" s="208"/>
      <c r="AN403" s="220"/>
      <c r="AO403" s="222"/>
      <c r="AP403" s="227"/>
      <c r="AQ403" s="358">
        <f ca="1">IF(表格1[[#This Row],[PO$]]="","100%",表格1[[#This Row],[total amount]]/表格1[[#This Row],[PO$]])</f>
        <v>0</v>
      </c>
      <c r="AR403" s="223">
        <f ca="1">表格1[[#This Row],[invoice amount]]+表格1[[#This Row],[invoice amount2]]</f>
        <v>0</v>
      </c>
      <c r="AS403" s="224"/>
      <c r="AT403" s="208"/>
      <c r="AU403" s="208" t="e">
        <f ca="1">VLOOKUP(表格1[[#This Row],[PO+ITEM]],#REF!,2,FALSE)</f>
        <v>#REF!</v>
      </c>
      <c r="AV403" s="341" t="e">
        <f ca="1">VLOOKUP(表格1[[#This Row],[PO+ITEM]],#REF!,3,FALSE)</f>
        <v>#REF!</v>
      </c>
      <c r="AW403" s="208" t="e">
        <f ca="1">VLOOKUP(表格1[[#This Row],[PO+ITEM]],#REF!,4,FALSE)</f>
        <v>#REF!</v>
      </c>
      <c r="AX403" s="208" t="e" cm="1" vm="1">
        <f t="array" aca="1" ref="AX403" ca="1">VLOOKUP(AI:AI,#REF!,1,FALSE)</f>
        <v>#VALUE!</v>
      </c>
    </row>
    <row r="404" spans="1:50">
      <c r="A404" s="220">
        <v>403</v>
      </c>
      <c r="B404" s="220" t="s">
        <v>3659</v>
      </c>
      <c r="C404" s="209" t="s">
        <v>16</v>
      </c>
      <c r="D404" s="209" t="s">
        <v>3648</v>
      </c>
      <c r="E404" s="209"/>
      <c r="F404" s="209"/>
      <c r="G404" s="209"/>
      <c r="H404" s="210" t="s">
        <v>4812</v>
      </c>
      <c r="I404" s="210"/>
      <c r="J404" s="211"/>
      <c r="K404" s="210"/>
      <c r="L404" s="212" t="s">
        <v>2206</v>
      </c>
      <c r="M404" s="212" t="s">
        <v>2999</v>
      </c>
      <c r="N404" s="213"/>
      <c r="O404" s="263">
        <v>4590004419</v>
      </c>
      <c r="P404" s="214">
        <v>44802</v>
      </c>
      <c r="Q404" s="334">
        <v>16</v>
      </c>
      <c r="R404" s="216">
        <v>8393.52</v>
      </c>
      <c r="S404" s="217" t="s">
        <v>2156</v>
      </c>
      <c r="T404" s="209" t="s">
        <v>4021</v>
      </c>
      <c r="U404" s="209" t="s">
        <v>4022</v>
      </c>
      <c r="V404" s="213" t="s">
        <v>4023</v>
      </c>
      <c r="W404" s="218" t="s">
        <v>3652</v>
      </c>
      <c r="X404" s="218" t="s">
        <v>3652</v>
      </c>
      <c r="Y404" s="212">
        <v>0</v>
      </c>
      <c r="Z404" s="209" t="s">
        <v>3664</v>
      </c>
      <c r="AA404" s="219"/>
      <c r="AB404" s="218"/>
      <c r="AC404" s="217" t="e">
        <v>#N/A</v>
      </c>
      <c r="AD404" s="217">
        <v>90335</v>
      </c>
      <c r="AE404" s="217" t="s">
        <v>4813</v>
      </c>
      <c r="AF404" s="217" t="s">
        <v>4784</v>
      </c>
      <c r="AG404" s="217" t="s">
        <v>846</v>
      </c>
      <c r="AH404" s="220" t="str">
        <f t="shared" si="25"/>
        <v>4590004419_016</v>
      </c>
      <c r="AI404" s="208"/>
      <c r="AJ404" s="220"/>
      <c r="AK404" s="221"/>
      <c r="AL404" s="227"/>
      <c r="AM404" s="208"/>
      <c r="AN404" s="220"/>
      <c r="AO404" s="222"/>
      <c r="AP404" s="227"/>
      <c r="AQ404" s="358">
        <f ca="1">IF(表格1[[#This Row],[PO$]]="","100%",表格1[[#This Row],[total amount]]/表格1[[#This Row],[PO$]])</f>
        <v>0</v>
      </c>
      <c r="AR404" s="223">
        <f ca="1">表格1[[#This Row],[invoice amount]]+表格1[[#This Row],[invoice amount2]]</f>
        <v>0</v>
      </c>
      <c r="AS404" s="224"/>
      <c r="AT404" s="208"/>
      <c r="AU404" s="208" t="e">
        <f ca="1">VLOOKUP(表格1[[#This Row],[PO+ITEM]],#REF!,2,FALSE)</f>
        <v>#REF!</v>
      </c>
      <c r="AV404" s="341" t="e">
        <f ca="1">VLOOKUP(表格1[[#This Row],[PO+ITEM]],#REF!,3,FALSE)</f>
        <v>#REF!</v>
      </c>
      <c r="AW404" s="208" t="e">
        <f ca="1">VLOOKUP(表格1[[#This Row],[PO+ITEM]],#REF!,4,FALSE)</f>
        <v>#REF!</v>
      </c>
      <c r="AX404" s="208" t="e" cm="1" vm="1">
        <f t="array" aca="1" ref="AX404" ca="1">VLOOKUP(AI:AI,#REF!,1,FALSE)</f>
        <v>#VALUE!</v>
      </c>
    </row>
    <row r="405" spans="1:50" ht="15.6">
      <c r="A405" s="220">
        <v>404</v>
      </c>
      <c r="B405" s="220" t="s">
        <v>3674</v>
      </c>
      <c r="C405" s="209" t="s">
        <v>16</v>
      </c>
      <c r="D405" s="209" t="s">
        <v>3648</v>
      </c>
      <c r="E405" s="209"/>
      <c r="F405" s="209"/>
      <c r="G405" s="209"/>
      <c r="H405" s="210" t="s">
        <v>4814</v>
      </c>
      <c r="I405" s="210"/>
      <c r="J405" s="211"/>
      <c r="K405" s="210"/>
      <c r="L405" s="212" t="s">
        <v>2206</v>
      </c>
      <c r="M405" s="212" t="s">
        <v>2999</v>
      </c>
      <c r="N405" s="213"/>
      <c r="O405" s="263">
        <v>4590004419</v>
      </c>
      <c r="P405" s="214">
        <v>44802</v>
      </c>
      <c r="Q405" s="334">
        <v>17</v>
      </c>
      <c r="R405" s="216">
        <v>6557.54</v>
      </c>
      <c r="S405" s="217" t="s">
        <v>2156</v>
      </c>
      <c r="T405" s="209" t="s">
        <v>4021</v>
      </c>
      <c r="U405" s="209" t="s">
        <v>4022</v>
      </c>
      <c r="V405" s="213" t="s">
        <v>4023</v>
      </c>
      <c r="W405" s="218" t="s">
        <v>3652</v>
      </c>
      <c r="X405" s="218" t="s">
        <v>3652</v>
      </c>
      <c r="Y405" s="212" t="s">
        <v>5169</v>
      </c>
      <c r="Z405" s="209" t="s">
        <v>3664</v>
      </c>
      <c r="AA405" s="219"/>
      <c r="AB405" s="218"/>
      <c r="AC405" s="217" t="e">
        <v>#N/A</v>
      </c>
      <c r="AD405" s="217">
        <v>90337</v>
      </c>
      <c r="AE405" s="217" t="s">
        <v>2645</v>
      </c>
      <c r="AF405" s="217" t="s">
        <v>4784</v>
      </c>
      <c r="AG405" s="217" t="s">
        <v>846</v>
      </c>
      <c r="AH405" s="220" t="str">
        <f t="shared" si="25"/>
        <v>4590004419_017</v>
      </c>
      <c r="AI405" s="208"/>
      <c r="AJ405" s="225">
        <v>45017</v>
      </c>
      <c r="AK405" s="221">
        <v>2623.0160000000001</v>
      </c>
      <c r="AL405" s="226">
        <v>45153</v>
      </c>
      <c r="AM405" s="208"/>
      <c r="AN405" s="220"/>
      <c r="AO405" s="222"/>
      <c r="AP405" s="227"/>
      <c r="AQ405" s="358">
        <f ca="1">IF(表格1[[#This Row],[PO$]]="","100%",表格1[[#This Row],[total amount]]/表格1[[#This Row],[PO$]])</f>
        <v>0.4</v>
      </c>
      <c r="AR405" s="223">
        <f ca="1">表格1[[#This Row],[invoice amount]]+表格1[[#This Row],[invoice amount2]]</f>
        <v>2623.0160000000001</v>
      </c>
      <c r="AS405" s="224" t="s">
        <v>3673</v>
      </c>
      <c r="AT405" s="208"/>
      <c r="AU405" s="208" t="e">
        <f ca="1">VLOOKUP(表格1[[#This Row],[PO+ITEM]],#REF!,2,FALSE)</f>
        <v>#REF!</v>
      </c>
      <c r="AV405" s="341" t="e">
        <f ca="1">VLOOKUP(表格1[[#This Row],[PO+ITEM]],#REF!,3,FALSE)</f>
        <v>#REF!</v>
      </c>
      <c r="AW405" s="208" t="e">
        <f ca="1">VLOOKUP(表格1[[#This Row],[PO+ITEM]],#REF!,4,FALSE)</f>
        <v>#REF!</v>
      </c>
      <c r="AX405" s="208" t="e" cm="1" vm="1">
        <f t="array" aca="1" ref="AX405" ca="1">VLOOKUP(AI:AI,#REF!,1,FALSE)</f>
        <v>#VALUE!</v>
      </c>
    </row>
    <row r="406" spans="1:50">
      <c r="A406" s="220">
        <v>405</v>
      </c>
      <c r="B406" s="220" t="s">
        <v>3674</v>
      </c>
      <c r="C406" s="209" t="s">
        <v>16</v>
      </c>
      <c r="D406" s="209" t="s">
        <v>3648</v>
      </c>
      <c r="E406" s="209"/>
      <c r="F406" s="209"/>
      <c r="G406" s="209"/>
      <c r="H406" s="210" t="s">
        <v>4816</v>
      </c>
      <c r="I406" s="210"/>
      <c r="J406" s="211"/>
      <c r="K406" s="210"/>
      <c r="L406" s="212" t="s">
        <v>4269</v>
      </c>
      <c r="M406" s="212" t="s">
        <v>2999</v>
      </c>
      <c r="N406" s="213"/>
      <c r="O406" s="263">
        <v>4590004419</v>
      </c>
      <c r="P406" s="214">
        <v>44802</v>
      </c>
      <c r="Q406" s="334">
        <v>18</v>
      </c>
      <c r="R406" s="216">
        <v>12341.94</v>
      </c>
      <c r="S406" s="217" t="s">
        <v>2156</v>
      </c>
      <c r="T406" s="209" t="s">
        <v>4021</v>
      </c>
      <c r="U406" s="209" t="s">
        <v>4022</v>
      </c>
      <c r="V406" s="213" t="s">
        <v>4023</v>
      </c>
      <c r="W406" s="218" t="s">
        <v>3652</v>
      </c>
      <c r="X406" s="218" t="s">
        <v>3652</v>
      </c>
      <c r="Y406" s="212">
        <v>0</v>
      </c>
      <c r="Z406" s="209" t="s">
        <v>3664</v>
      </c>
      <c r="AA406" s="219"/>
      <c r="AB406" s="218"/>
      <c r="AC406" s="217" t="e">
        <v>#N/A</v>
      </c>
      <c r="AD406" s="217">
        <v>90111</v>
      </c>
      <c r="AE406" s="217" t="s">
        <v>2824</v>
      </c>
      <c r="AF406" s="217" t="s">
        <v>4784</v>
      </c>
      <c r="AG406" s="217" t="s">
        <v>32</v>
      </c>
      <c r="AH406" s="220" t="str">
        <f t="shared" si="25"/>
        <v>4590004419_018</v>
      </c>
      <c r="AI406" s="208"/>
      <c r="AJ406" s="220"/>
      <c r="AK406" s="221"/>
      <c r="AL406" s="227"/>
      <c r="AM406" s="208"/>
      <c r="AN406" s="220"/>
      <c r="AO406" s="222"/>
      <c r="AP406" s="227"/>
      <c r="AQ406" s="358">
        <f ca="1">IF(表格1[[#This Row],[PO$]]="","100%",表格1[[#This Row],[total amount]]/表格1[[#This Row],[PO$]])</f>
        <v>0</v>
      </c>
      <c r="AR406" s="223">
        <f ca="1">表格1[[#This Row],[invoice amount]]+表格1[[#This Row],[invoice amount2]]</f>
        <v>0</v>
      </c>
      <c r="AS406" s="224"/>
      <c r="AT406" s="208"/>
      <c r="AU406" s="208" t="e">
        <f ca="1">VLOOKUP(表格1[[#This Row],[PO+ITEM]],#REF!,2,FALSE)</f>
        <v>#REF!</v>
      </c>
      <c r="AV406" s="341" t="e">
        <f ca="1">VLOOKUP(表格1[[#This Row],[PO+ITEM]],#REF!,3,FALSE)</f>
        <v>#REF!</v>
      </c>
      <c r="AW406" s="208" t="e">
        <f ca="1">VLOOKUP(表格1[[#This Row],[PO+ITEM]],#REF!,4,FALSE)</f>
        <v>#REF!</v>
      </c>
      <c r="AX406" s="208" t="e" cm="1" vm="1">
        <f t="array" aca="1" ref="AX406" ca="1">VLOOKUP(AI:AI,#REF!,1,FALSE)</f>
        <v>#VALUE!</v>
      </c>
    </row>
    <row r="407" spans="1:50">
      <c r="A407" s="220">
        <v>406</v>
      </c>
      <c r="B407" s="220" t="s">
        <v>3674</v>
      </c>
      <c r="C407" s="209" t="s">
        <v>16</v>
      </c>
      <c r="D407" s="209" t="s">
        <v>3648</v>
      </c>
      <c r="E407" s="209"/>
      <c r="F407" s="209"/>
      <c r="G407" s="209"/>
      <c r="H407" s="210" t="s">
        <v>4818</v>
      </c>
      <c r="I407" s="210"/>
      <c r="J407" s="211"/>
      <c r="K407" s="210"/>
      <c r="L407" s="212" t="s">
        <v>2206</v>
      </c>
      <c r="M407" s="212" t="s">
        <v>2999</v>
      </c>
      <c r="N407" s="213"/>
      <c r="O407" s="263">
        <v>4590004419</v>
      </c>
      <c r="P407" s="214">
        <v>44802</v>
      </c>
      <c r="Q407" s="334">
        <v>19</v>
      </c>
      <c r="R407" s="216">
        <v>14348.29</v>
      </c>
      <c r="S407" s="217" t="s">
        <v>2156</v>
      </c>
      <c r="T407" s="209" t="s">
        <v>4021</v>
      </c>
      <c r="U407" s="209" t="s">
        <v>4022</v>
      </c>
      <c r="V407" s="213" t="s">
        <v>4023</v>
      </c>
      <c r="W407" s="218" t="s">
        <v>3652</v>
      </c>
      <c r="X407" s="218" t="s">
        <v>3652</v>
      </c>
      <c r="Y407" s="212">
        <v>0</v>
      </c>
      <c r="Z407" s="209" t="s">
        <v>3664</v>
      </c>
      <c r="AA407" s="219"/>
      <c r="AB407" s="218"/>
      <c r="AC407" s="217" t="e">
        <v>#N/A</v>
      </c>
      <c r="AD407" s="217">
        <v>90085</v>
      </c>
      <c r="AE407" s="217" t="s">
        <v>4819</v>
      </c>
      <c r="AF407" s="217" t="s">
        <v>4784</v>
      </c>
      <c r="AG407" s="217" t="s">
        <v>846</v>
      </c>
      <c r="AH407" s="220" t="str">
        <f t="shared" si="25"/>
        <v>4590004419_019</v>
      </c>
      <c r="AI407" s="208"/>
      <c r="AJ407" s="220"/>
      <c r="AK407" s="221"/>
      <c r="AL407" s="227"/>
      <c r="AM407" s="208"/>
      <c r="AN407" s="220"/>
      <c r="AO407" s="222"/>
      <c r="AP407" s="227"/>
      <c r="AQ407" s="358">
        <f ca="1">IF(表格1[[#This Row],[PO$]]="","100%",表格1[[#This Row],[total amount]]/表格1[[#This Row],[PO$]])</f>
        <v>0</v>
      </c>
      <c r="AR407" s="223">
        <f ca="1">表格1[[#This Row],[invoice amount]]+表格1[[#This Row],[invoice amount2]]</f>
        <v>0</v>
      </c>
      <c r="AS407" s="224"/>
      <c r="AT407" s="208"/>
      <c r="AU407" s="208" t="e">
        <f ca="1">VLOOKUP(表格1[[#This Row],[PO+ITEM]],#REF!,2,FALSE)</f>
        <v>#REF!</v>
      </c>
      <c r="AV407" s="341" t="e">
        <f ca="1">VLOOKUP(表格1[[#This Row],[PO+ITEM]],#REF!,3,FALSE)</f>
        <v>#REF!</v>
      </c>
      <c r="AW407" s="208" t="e">
        <f ca="1">VLOOKUP(表格1[[#This Row],[PO+ITEM]],#REF!,4,FALSE)</f>
        <v>#REF!</v>
      </c>
      <c r="AX407" s="208" t="e" cm="1" vm="1">
        <f t="array" aca="1" ref="AX407" ca="1">VLOOKUP(AI:AI,#REF!,1,FALSE)</f>
        <v>#VALUE!</v>
      </c>
    </row>
    <row r="408" spans="1:50">
      <c r="A408" s="220">
        <v>407</v>
      </c>
      <c r="B408" s="220" t="e">
        <v>#N/A</v>
      </c>
      <c r="C408" s="209" t="s">
        <v>16</v>
      </c>
      <c r="D408" s="209" t="s">
        <v>3648</v>
      </c>
      <c r="E408" s="209"/>
      <c r="F408" s="209"/>
      <c r="G408" s="209"/>
      <c r="H408" s="210" t="s">
        <v>4820</v>
      </c>
      <c r="I408" s="210"/>
      <c r="J408" s="211"/>
      <c r="K408" s="210"/>
      <c r="L408" s="212" t="s">
        <v>4821</v>
      </c>
      <c r="M408" s="212" t="s">
        <v>4159</v>
      </c>
      <c r="N408" s="213"/>
      <c r="O408" s="263">
        <v>4590006141</v>
      </c>
      <c r="P408" s="214">
        <v>44833</v>
      </c>
      <c r="Q408" s="334">
        <v>1</v>
      </c>
      <c r="R408" s="216">
        <v>88362.4</v>
      </c>
      <c r="S408" s="217" t="s">
        <v>2148</v>
      </c>
      <c r="T408" s="209" t="s">
        <v>4822</v>
      </c>
      <c r="U408" s="209" t="s">
        <v>3662</v>
      </c>
      <c r="V408" s="213" t="s">
        <v>3663</v>
      </c>
      <c r="W408" s="218" t="s">
        <v>3652</v>
      </c>
      <c r="X408" s="218" t="s">
        <v>3652</v>
      </c>
      <c r="Y408" s="212">
        <v>0</v>
      </c>
      <c r="Z408" s="209" t="s">
        <v>3710</v>
      </c>
      <c r="AA408" s="215"/>
      <c r="AB408" s="218"/>
      <c r="AC408" s="217" t="e">
        <v>#N/A</v>
      </c>
      <c r="AD408" s="217"/>
      <c r="AE408" s="217">
        <v>0</v>
      </c>
      <c r="AF408" s="217" t="s">
        <v>4823</v>
      </c>
      <c r="AG408" s="217"/>
      <c r="AH408" s="220" t="str">
        <f t="shared" ref="AH408:AH418" si="26">O408&amp;"_00"&amp;Q408</f>
        <v>4590006141_001</v>
      </c>
      <c r="AI408" s="208"/>
      <c r="AJ408" s="220"/>
      <c r="AK408" s="221"/>
      <c r="AL408" s="227"/>
      <c r="AM408" s="208"/>
      <c r="AN408" s="220"/>
      <c r="AO408" s="222"/>
      <c r="AP408" s="227"/>
      <c r="AQ408" s="358">
        <f ca="1">IF(表格1[[#This Row],[PO$]]="","100%",表格1[[#This Row],[total amount]]/表格1[[#This Row],[PO$]])</f>
        <v>0</v>
      </c>
      <c r="AR408" s="223">
        <f ca="1">表格1[[#This Row],[invoice amount]]+表格1[[#This Row],[invoice amount2]]</f>
        <v>0</v>
      </c>
      <c r="AS408" s="224"/>
      <c r="AT408" s="208"/>
      <c r="AU408" s="208" t="e">
        <f ca="1">VLOOKUP(表格1[[#This Row],[PO+ITEM]],#REF!,2,FALSE)</f>
        <v>#REF!</v>
      </c>
      <c r="AV408" s="341" t="e">
        <f ca="1">VLOOKUP(表格1[[#This Row],[PO+ITEM]],#REF!,3,FALSE)</f>
        <v>#REF!</v>
      </c>
      <c r="AW408" s="208" t="e">
        <f ca="1">VLOOKUP(表格1[[#This Row],[PO+ITEM]],#REF!,4,FALSE)</f>
        <v>#REF!</v>
      </c>
      <c r="AX408" s="208" t="e" cm="1" vm="1">
        <f t="array" aca="1" ref="AX408" ca="1">VLOOKUP(AI:AI,#REF!,1,FALSE)</f>
        <v>#VALUE!</v>
      </c>
    </row>
    <row r="409" spans="1:50">
      <c r="A409" s="220">
        <v>408</v>
      </c>
      <c r="B409" s="220" t="e">
        <v>#N/A</v>
      </c>
      <c r="C409" s="209" t="s">
        <v>16</v>
      </c>
      <c r="D409" s="209" t="s">
        <v>3648</v>
      </c>
      <c r="E409" s="209"/>
      <c r="F409" s="209"/>
      <c r="G409" s="209"/>
      <c r="H409" s="210" t="s">
        <v>4824</v>
      </c>
      <c r="I409" s="210"/>
      <c r="J409" s="211"/>
      <c r="K409" s="210"/>
      <c r="L409" s="212" t="s">
        <v>4821</v>
      </c>
      <c r="M409" s="212" t="s">
        <v>4159</v>
      </c>
      <c r="N409" s="213"/>
      <c r="O409" s="263">
        <v>4590006141</v>
      </c>
      <c r="P409" s="214">
        <v>44833</v>
      </c>
      <c r="Q409" s="334">
        <v>2</v>
      </c>
      <c r="R409" s="216">
        <v>53482.5</v>
      </c>
      <c r="S409" s="217" t="s">
        <v>2148</v>
      </c>
      <c r="T409" s="209" t="s">
        <v>4825</v>
      </c>
      <c r="U409" s="209" t="s">
        <v>3662</v>
      </c>
      <c r="V409" s="213" t="s">
        <v>3663</v>
      </c>
      <c r="W409" s="218" t="s">
        <v>3652</v>
      </c>
      <c r="X409" s="218" t="s">
        <v>3652</v>
      </c>
      <c r="Y409" s="212">
        <v>0</v>
      </c>
      <c r="Z409" s="209" t="s">
        <v>3710</v>
      </c>
      <c r="AA409" s="215"/>
      <c r="AB409" s="218"/>
      <c r="AC409" s="217" t="e">
        <v>#N/A</v>
      </c>
      <c r="AD409" s="217"/>
      <c r="AE409" s="217">
        <v>0</v>
      </c>
      <c r="AF409" s="217" t="s">
        <v>4823</v>
      </c>
      <c r="AG409" s="217"/>
      <c r="AH409" s="220" t="str">
        <f t="shared" si="26"/>
        <v>4590006141_002</v>
      </c>
      <c r="AI409" s="208"/>
      <c r="AJ409" s="220"/>
      <c r="AK409" s="221"/>
      <c r="AL409" s="227"/>
      <c r="AM409" s="208"/>
      <c r="AN409" s="220"/>
      <c r="AO409" s="222"/>
      <c r="AP409" s="227"/>
      <c r="AQ409" s="358">
        <f ca="1">IF(表格1[[#This Row],[PO$]]="","100%",表格1[[#This Row],[total amount]]/表格1[[#This Row],[PO$]])</f>
        <v>0</v>
      </c>
      <c r="AR409" s="223">
        <f ca="1">表格1[[#This Row],[invoice amount]]+表格1[[#This Row],[invoice amount2]]</f>
        <v>0</v>
      </c>
      <c r="AS409" s="224"/>
      <c r="AT409" s="208"/>
      <c r="AU409" s="208" t="e">
        <f ca="1">VLOOKUP(表格1[[#This Row],[PO+ITEM]],#REF!,2,FALSE)</f>
        <v>#REF!</v>
      </c>
      <c r="AV409" s="341" t="e">
        <f ca="1">VLOOKUP(表格1[[#This Row],[PO+ITEM]],#REF!,3,FALSE)</f>
        <v>#REF!</v>
      </c>
      <c r="AW409" s="208" t="e">
        <f ca="1">VLOOKUP(表格1[[#This Row],[PO+ITEM]],#REF!,4,FALSE)</f>
        <v>#REF!</v>
      </c>
      <c r="AX409" s="208" t="e" cm="1" vm="1">
        <f t="array" aca="1" ref="AX409" ca="1">VLOOKUP(AI:AI,#REF!,1,FALSE)</f>
        <v>#VALUE!</v>
      </c>
    </row>
    <row r="410" spans="1:50">
      <c r="A410" s="220">
        <v>409</v>
      </c>
      <c r="B410" s="220" t="s">
        <v>3659</v>
      </c>
      <c r="C410" s="209" t="s">
        <v>16</v>
      </c>
      <c r="D410" s="209" t="s">
        <v>3648</v>
      </c>
      <c r="E410" s="209"/>
      <c r="F410" s="209"/>
      <c r="G410" s="209"/>
      <c r="H410" s="217" t="s">
        <v>4826</v>
      </c>
      <c r="I410" s="217"/>
      <c r="J410" s="215"/>
      <c r="K410" s="217"/>
      <c r="L410" s="212" t="s">
        <v>4827</v>
      </c>
      <c r="M410" s="212" t="s">
        <v>2999</v>
      </c>
      <c r="N410" s="213"/>
      <c r="O410" s="263">
        <v>4590006247</v>
      </c>
      <c r="P410" s="214">
        <v>44836</v>
      </c>
      <c r="Q410" s="334">
        <v>1</v>
      </c>
      <c r="R410" s="216">
        <v>9866.19</v>
      </c>
      <c r="S410" s="217" t="s">
        <v>2156</v>
      </c>
      <c r="T410" s="209" t="s">
        <v>4004</v>
      </c>
      <c r="U410" s="209" t="s">
        <v>4005</v>
      </c>
      <c r="V410" s="213" t="s">
        <v>4006</v>
      </c>
      <c r="W410" s="218" t="s">
        <v>3652</v>
      </c>
      <c r="X410" s="218" t="s">
        <v>3652</v>
      </c>
      <c r="Y410" s="212" t="s">
        <v>4218</v>
      </c>
      <c r="Z410" s="209" t="s">
        <v>3664</v>
      </c>
      <c r="AA410" s="219"/>
      <c r="AB410" s="218"/>
      <c r="AC410" s="217" t="e">
        <v>#N/A</v>
      </c>
      <c r="AD410" s="217">
        <v>91014</v>
      </c>
      <c r="AE410" s="217" t="s">
        <v>4828</v>
      </c>
      <c r="AF410" s="217" t="s">
        <v>4215</v>
      </c>
      <c r="AG410" s="217" t="s">
        <v>36</v>
      </c>
      <c r="AH410" s="220" t="str">
        <f t="shared" si="26"/>
        <v>4590006247_001</v>
      </c>
      <c r="AI410" s="208"/>
      <c r="AJ410" s="220"/>
      <c r="AK410" s="221"/>
      <c r="AL410" s="227"/>
      <c r="AM410" s="208"/>
      <c r="AN410" s="220"/>
      <c r="AO410" s="222"/>
      <c r="AP410" s="227"/>
      <c r="AQ410" s="358">
        <f ca="1">IF(表格1[[#This Row],[PO$]]="","100%",表格1[[#This Row],[total amount]]/表格1[[#This Row],[PO$]])</f>
        <v>0</v>
      </c>
      <c r="AR410" s="223">
        <f ca="1">表格1[[#This Row],[invoice amount]]+表格1[[#This Row],[invoice amount2]]</f>
        <v>0</v>
      </c>
      <c r="AS410" s="224"/>
      <c r="AT410" s="208"/>
      <c r="AU410" s="208" t="e">
        <f ca="1">VLOOKUP(表格1[[#This Row],[PO+ITEM]],#REF!,2,FALSE)</f>
        <v>#REF!</v>
      </c>
      <c r="AV410" s="341" t="e">
        <f ca="1">VLOOKUP(表格1[[#This Row],[PO+ITEM]],#REF!,3,FALSE)</f>
        <v>#REF!</v>
      </c>
      <c r="AW410" s="208" t="e">
        <f ca="1">VLOOKUP(表格1[[#This Row],[PO+ITEM]],#REF!,4,FALSE)</f>
        <v>#REF!</v>
      </c>
      <c r="AX410" s="208" t="e" cm="1" vm="1">
        <f t="array" aca="1" ref="AX410" ca="1">VLOOKUP(AI:AI,#REF!,1,FALSE)</f>
        <v>#VALUE!</v>
      </c>
    </row>
    <row r="411" spans="1:50" ht="15.6">
      <c r="A411" s="220">
        <v>410</v>
      </c>
      <c r="B411" s="220" t="s">
        <v>3659</v>
      </c>
      <c r="C411" s="209" t="s">
        <v>16</v>
      </c>
      <c r="D411" s="209" t="s">
        <v>3648</v>
      </c>
      <c r="E411" s="209"/>
      <c r="F411" s="209"/>
      <c r="G411" s="209"/>
      <c r="H411" s="210" t="s">
        <v>4829</v>
      </c>
      <c r="I411" s="210"/>
      <c r="J411" s="211"/>
      <c r="K411" s="210"/>
      <c r="L411" s="212" t="s">
        <v>4003</v>
      </c>
      <c r="M411" s="212" t="s">
        <v>2999</v>
      </c>
      <c r="N411" s="213"/>
      <c r="O411" s="263">
        <v>4590006247</v>
      </c>
      <c r="P411" s="214">
        <v>44836</v>
      </c>
      <c r="Q411" s="334">
        <v>2</v>
      </c>
      <c r="R411" s="216">
        <v>1403.87</v>
      </c>
      <c r="S411" s="217" t="s">
        <v>2156</v>
      </c>
      <c r="T411" s="209" t="s">
        <v>4004</v>
      </c>
      <c r="U411" s="209" t="s">
        <v>4005</v>
      </c>
      <c r="V411" s="213" t="s">
        <v>4006</v>
      </c>
      <c r="W411" s="218" t="s">
        <v>3652</v>
      </c>
      <c r="X411" s="218" t="s">
        <v>3652</v>
      </c>
      <c r="Y411" s="212" t="s">
        <v>4218</v>
      </c>
      <c r="Z411" s="209" t="s">
        <v>3664</v>
      </c>
      <c r="AA411" s="219"/>
      <c r="AB411" s="218"/>
      <c r="AC411" s="217" t="e">
        <v>#N/A</v>
      </c>
      <c r="AD411" s="217">
        <v>91036</v>
      </c>
      <c r="AE411" s="217" t="s">
        <v>4830</v>
      </c>
      <c r="AF411" s="217" t="s">
        <v>4215</v>
      </c>
      <c r="AG411" s="217" t="s">
        <v>36</v>
      </c>
      <c r="AH411" s="220" t="str">
        <f t="shared" si="26"/>
        <v>4590006247_002</v>
      </c>
      <c r="AI411" s="208"/>
      <c r="AJ411" s="225">
        <v>45047</v>
      </c>
      <c r="AK411" s="221">
        <v>561.54999999999995</v>
      </c>
      <c r="AL411" s="244">
        <v>45212</v>
      </c>
      <c r="AM411" s="208"/>
      <c r="AN411" s="220"/>
      <c r="AO411" s="222"/>
      <c r="AP411" s="227"/>
      <c r="AQ411" s="358">
        <f ca="1">IF(表格1[[#This Row],[PO$]]="","100%",表格1[[#This Row],[total amount]]/表格1[[#This Row],[PO$]])</f>
        <v>0.40000142463333499</v>
      </c>
      <c r="AR411" s="223">
        <f ca="1">表格1[[#This Row],[invoice amount]]+表格1[[#This Row],[invoice amount2]]</f>
        <v>561.54999999999995</v>
      </c>
      <c r="AS411" s="224" t="s">
        <v>3673</v>
      </c>
      <c r="AT411" s="208"/>
      <c r="AU411" s="208" t="e">
        <f ca="1">VLOOKUP(表格1[[#This Row],[PO+ITEM]],#REF!,2,FALSE)</f>
        <v>#REF!</v>
      </c>
      <c r="AV411" s="341" t="e">
        <f ca="1">VLOOKUP(表格1[[#This Row],[PO+ITEM]],#REF!,3,FALSE)</f>
        <v>#REF!</v>
      </c>
      <c r="AW411" s="208" t="e">
        <f ca="1">VLOOKUP(表格1[[#This Row],[PO+ITEM]],#REF!,4,FALSE)</f>
        <v>#REF!</v>
      </c>
      <c r="AX411" s="208" t="e" cm="1" vm="1">
        <f t="array" aca="1" ref="AX411" ca="1">VLOOKUP(AI:AI,#REF!,1,FALSE)</f>
        <v>#VALUE!</v>
      </c>
    </row>
    <row r="412" spans="1:50" ht="15.6">
      <c r="A412" s="220">
        <v>411</v>
      </c>
      <c r="B412" s="220" t="s">
        <v>3659</v>
      </c>
      <c r="C412" s="209" t="s">
        <v>16</v>
      </c>
      <c r="D412" s="209" t="s">
        <v>3648</v>
      </c>
      <c r="E412" s="209"/>
      <c r="F412" s="209"/>
      <c r="G412" s="209"/>
      <c r="H412" s="217" t="s">
        <v>4831</v>
      </c>
      <c r="I412" s="217"/>
      <c r="J412" s="215"/>
      <c r="K412" s="217"/>
      <c r="L412" s="212" t="s">
        <v>4003</v>
      </c>
      <c r="M412" s="212" t="s">
        <v>2999</v>
      </c>
      <c r="N412" s="213"/>
      <c r="O412" s="263">
        <v>4590006247</v>
      </c>
      <c r="P412" s="214">
        <v>44836</v>
      </c>
      <c r="Q412" s="334">
        <v>3</v>
      </c>
      <c r="R412" s="216">
        <v>1403.87</v>
      </c>
      <c r="S412" s="217" t="s">
        <v>2156</v>
      </c>
      <c r="T412" s="209" t="s">
        <v>4004</v>
      </c>
      <c r="U412" s="209" t="s">
        <v>4005</v>
      </c>
      <c r="V412" s="213" t="s">
        <v>4006</v>
      </c>
      <c r="W412" s="218" t="s">
        <v>3652</v>
      </c>
      <c r="X412" s="218" t="s">
        <v>3652</v>
      </c>
      <c r="Y412" s="212" t="s">
        <v>4218</v>
      </c>
      <c r="Z412" s="209" t="s">
        <v>3664</v>
      </c>
      <c r="AA412" s="219"/>
      <c r="AB412" s="218"/>
      <c r="AC412" s="217" t="e">
        <v>#N/A</v>
      </c>
      <c r="AD412" s="217">
        <v>91042</v>
      </c>
      <c r="AE412" s="217" t="s">
        <v>4832</v>
      </c>
      <c r="AF412" s="217" t="s">
        <v>4215</v>
      </c>
      <c r="AG412" s="217" t="s">
        <v>36</v>
      </c>
      <c r="AH412" s="220" t="str">
        <f t="shared" si="26"/>
        <v>4590006247_003</v>
      </c>
      <c r="AI412" s="208"/>
      <c r="AJ412" s="225">
        <v>45047</v>
      </c>
      <c r="AK412" s="221">
        <v>561.54999999999995</v>
      </c>
      <c r="AL412" s="228">
        <v>45121</v>
      </c>
      <c r="AM412" s="208"/>
      <c r="AN412" s="220"/>
      <c r="AO412" s="222"/>
      <c r="AP412" s="227"/>
      <c r="AQ412" s="358">
        <f ca="1">IF(表格1[[#This Row],[PO$]]="","100%",表格1[[#This Row],[total amount]]/表格1[[#This Row],[PO$]])</f>
        <v>0.40000142463333499</v>
      </c>
      <c r="AR412" s="223">
        <f ca="1">表格1[[#This Row],[invoice amount]]+表格1[[#This Row],[invoice amount2]]</f>
        <v>561.54999999999995</v>
      </c>
      <c r="AS412" s="224" t="s">
        <v>3673</v>
      </c>
      <c r="AT412" s="208"/>
      <c r="AU412" s="208" t="e">
        <f ca="1">VLOOKUP(表格1[[#This Row],[PO+ITEM]],#REF!,2,FALSE)</f>
        <v>#REF!</v>
      </c>
      <c r="AV412" s="341" t="e">
        <f ca="1">VLOOKUP(表格1[[#This Row],[PO+ITEM]],#REF!,3,FALSE)</f>
        <v>#REF!</v>
      </c>
      <c r="AW412" s="208" t="e">
        <f ca="1">VLOOKUP(表格1[[#This Row],[PO+ITEM]],#REF!,4,FALSE)</f>
        <v>#REF!</v>
      </c>
      <c r="AX412" s="208" t="e" cm="1" vm="1">
        <f t="array" aca="1" ref="AX412" ca="1">VLOOKUP(AI:AI,#REF!,1,FALSE)</f>
        <v>#VALUE!</v>
      </c>
    </row>
    <row r="413" spans="1:50" ht="15.6">
      <c r="A413" s="220">
        <v>412</v>
      </c>
      <c r="B413" s="220" t="s">
        <v>3659</v>
      </c>
      <c r="C413" s="209" t="s">
        <v>16</v>
      </c>
      <c r="D413" s="209" t="s">
        <v>3648</v>
      </c>
      <c r="E413" s="209"/>
      <c r="F413" s="209"/>
      <c r="G413" s="209"/>
      <c r="H413" s="210" t="s">
        <v>4833</v>
      </c>
      <c r="I413" s="210"/>
      <c r="J413" s="211"/>
      <c r="K413" s="210"/>
      <c r="L413" s="212" t="s">
        <v>4003</v>
      </c>
      <c r="M413" s="212" t="s">
        <v>2999</v>
      </c>
      <c r="N413" s="213"/>
      <c r="O413" s="263">
        <v>4590006247</v>
      </c>
      <c r="P413" s="214">
        <v>44836</v>
      </c>
      <c r="Q413" s="334">
        <v>4</v>
      </c>
      <c r="R413" s="216">
        <v>1403.87</v>
      </c>
      <c r="S413" s="217" t="s">
        <v>2156</v>
      </c>
      <c r="T413" s="209" t="s">
        <v>4004</v>
      </c>
      <c r="U413" s="209" t="s">
        <v>4005</v>
      </c>
      <c r="V413" s="213" t="s">
        <v>4006</v>
      </c>
      <c r="W413" s="218" t="s">
        <v>3652</v>
      </c>
      <c r="X413" s="218" t="s">
        <v>3652</v>
      </c>
      <c r="Y413" s="212" t="s">
        <v>4218</v>
      </c>
      <c r="Z413" s="209" t="s">
        <v>3664</v>
      </c>
      <c r="AA413" s="219"/>
      <c r="AB413" s="218"/>
      <c r="AC413" s="217" t="e">
        <v>#N/A</v>
      </c>
      <c r="AD413" s="217">
        <v>91043</v>
      </c>
      <c r="AE413" s="217" t="s">
        <v>4834</v>
      </c>
      <c r="AF413" s="217" t="s">
        <v>4215</v>
      </c>
      <c r="AG413" s="217" t="s">
        <v>36</v>
      </c>
      <c r="AH413" s="220" t="str">
        <f t="shared" si="26"/>
        <v>4590006247_004</v>
      </c>
      <c r="AI413" s="208"/>
      <c r="AJ413" s="225">
        <v>45047</v>
      </c>
      <c r="AK413" s="221">
        <v>561.54999999999995</v>
      </c>
      <c r="AL413" s="228">
        <v>45121</v>
      </c>
      <c r="AM413" s="208"/>
      <c r="AN413" s="220"/>
      <c r="AO413" s="222"/>
      <c r="AP413" s="227"/>
      <c r="AQ413" s="358">
        <f ca="1">IF(表格1[[#This Row],[PO$]]="","100%",表格1[[#This Row],[total amount]]/表格1[[#This Row],[PO$]])</f>
        <v>0.40000142463333499</v>
      </c>
      <c r="AR413" s="223">
        <f ca="1">表格1[[#This Row],[invoice amount]]+表格1[[#This Row],[invoice amount2]]</f>
        <v>561.54999999999995</v>
      </c>
      <c r="AS413" s="224" t="s">
        <v>3673</v>
      </c>
      <c r="AT413" s="208"/>
      <c r="AU413" s="208" t="e">
        <f ca="1">VLOOKUP(表格1[[#This Row],[PO+ITEM]],#REF!,2,FALSE)</f>
        <v>#REF!</v>
      </c>
      <c r="AV413" s="341" t="e">
        <f ca="1">VLOOKUP(表格1[[#This Row],[PO+ITEM]],#REF!,3,FALSE)</f>
        <v>#REF!</v>
      </c>
      <c r="AW413" s="208" t="e">
        <f ca="1">VLOOKUP(表格1[[#This Row],[PO+ITEM]],#REF!,4,FALSE)</f>
        <v>#REF!</v>
      </c>
      <c r="AX413" s="208" t="e" cm="1" vm="1">
        <f t="array" aca="1" ref="AX413" ca="1">VLOOKUP(AI:AI,#REF!,1,FALSE)</f>
        <v>#VALUE!</v>
      </c>
    </row>
    <row r="414" spans="1:50" ht="15.6">
      <c r="A414" s="220">
        <v>413</v>
      </c>
      <c r="B414" s="220" t="s">
        <v>3659</v>
      </c>
      <c r="C414" s="209" t="s">
        <v>16</v>
      </c>
      <c r="D414" s="209" t="s">
        <v>3648</v>
      </c>
      <c r="E414" s="209"/>
      <c r="F414" s="209"/>
      <c r="G414" s="209"/>
      <c r="H414" s="210" t="s">
        <v>4835</v>
      </c>
      <c r="I414" s="210"/>
      <c r="J414" s="211"/>
      <c r="K414" s="210"/>
      <c r="L414" s="212" t="s">
        <v>4003</v>
      </c>
      <c r="M414" s="212" t="s">
        <v>2999</v>
      </c>
      <c r="N414" s="213"/>
      <c r="O414" s="263">
        <v>4590006247</v>
      </c>
      <c r="P414" s="214">
        <v>44836</v>
      </c>
      <c r="Q414" s="334">
        <v>5</v>
      </c>
      <c r="R414" s="216">
        <v>1403.87</v>
      </c>
      <c r="S414" s="217" t="s">
        <v>2156</v>
      </c>
      <c r="T414" s="209" t="s">
        <v>4004</v>
      </c>
      <c r="U414" s="209" t="s">
        <v>4005</v>
      </c>
      <c r="V414" s="213" t="s">
        <v>4006</v>
      </c>
      <c r="W414" s="218" t="s">
        <v>3652</v>
      </c>
      <c r="X414" s="218" t="s">
        <v>3652</v>
      </c>
      <c r="Y414" s="212" t="s">
        <v>4218</v>
      </c>
      <c r="Z414" s="209" t="s">
        <v>3664</v>
      </c>
      <c r="AA414" s="219"/>
      <c r="AB414" s="218"/>
      <c r="AC414" s="217" t="e">
        <v>#N/A</v>
      </c>
      <c r="AD414" s="217">
        <v>91044</v>
      </c>
      <c r="AE414" s="217" t="s">
        <v>4836</v>
      </c>
      <c r="AF414" s="217" t="s">
        <v>4215</v>
      </c>
      <c r="AG414" s="217" t="s">
        <v>36</v>
      </c>
      <c r="AH414" s="220" t="str">
        <f t="shared" si="26"/>
        <v>4590006247_005</v>
      </c>
      <c r="AI414" s="208"/>
      <c r="AJ414" s="225">
        <v>45047</v>
      </c>
      <c r="AK414" s="221">
        <v>561.54999999999995</v>
      </c>
      <c r="AL414" s="228">
        <v>45121</v>
      </c>
      <c r="AM414" s="208"/>
      <c r="AN414" s="220"/>
      <c r="AO414" s="222"/>
      <c r="AP414" s="227"/>
      <c r="AQ414" s="358">
        <f ca="1">IF(表格1[[#This Row],[PO$]]="","100%",表格1[[#This Row],[total amount]]/表格1[[#This Row],[PO$]])</f>
        <v>0.40000142463333499</v>
      </c>
      <c r="AR414" s="223">
        <f ca="1">表格1[[#This Row],[invoice amount]]+表格1[[#This Row],[invoice amount2]]</f>
        <v>561.54999999999995</v>
      </c>
      <c r="AS414" s="224" t="s">
        <v>3673</v>
      </c>
      <c r="AT414" s="208"/>
      <c r="AU414" s="208" t="e">
        <f ca="1">VLOOKUP(表格1[[#This Row],[PO+ITEM]],#REF!,2,FALSE)</f>
        <v>#REF!</v>
      </c>
      <c r="AV414" s="341" t="e">
        <f ca="1">VLOOKUP(表格1[[#This Row],[PO+ITEM]],#REF!,3,FALSE)</f>
        <v>#REF!</v>
      </c>
      <c r="AW414" s="208" t="e">
        <f ca="1">VLOOKUP(表格1[[#This Row],[PO+ITEM]],#REF!,4,FALSE)</f>
        <v>#REF!</v>
      </c>
      <c r="AX414" s="208" t="e" cm="1" vm="1">
        <f t="array" aca="1" ref="AX414" ca="1">VLOOKUP(AI:AI,#REF!,1,FALSE)</f>
        <v>#VALUE!</v>
      </c>
    </row>
    <row r="415" spans="1:50" ht="15.6">
      <c r="A415" s="220">
        <v>414</v>
      </c>
      <c r="B415" s="220" t="s">
        <v>3659</v>
      </c>
      <c r="C415" s="209" t="s">
        <v>16</v>
      </c>
      <c r="D415" s="209" t="s">
        <v>3648</v>
      </c>
      <c r="E415" s="209"/>
      <c r="F415" s="209"/>
      <c r="G415" s="209"/>
      <c r="H415" s="210" t="s">
        <v>4837</v>
      </c>
      <c r="I415" s="210"/>
      <c r="J415" s="211"/>
      <c r="K415" s="210"/>
      <c r="L415" s="212" t="s">
        <v>4003</v>
      </c>
      <c r="M415" s="212" t="s">
        <v>2999</v>
      </c>
      <c r="N415" s="213"/>
      <c r="O415" s="263">
        <v>4590006247</v>
      </c>
      <c r="P415" s="214">
        <v>44836</v>
      </c>
      <c r="Q415" s="334">
        <v>6</v>
      </c>
      <c r="R415" s="216">
        <v>1403.87</v>
      </c>
      <c r="S415" s="217" t="s">
        <v>2156</v>
      </c>
      <c r="T415" s="209" t="s">
        <v>4004</v>
      </c>
      <c r="U415" s="209" t="s">
        <v>4005</v>
      </c>
      <c r="V415" s="213" t="s">
        <v>4006</v>
      </c>
      <c r="W415" s="218" t="s">
        <v>3652</v>
      </c>
      <c r="X415" s="218" t="s">
        <v>3652</v>
      </c>
      <c r="Y415" s="212" t="s">
        <v>4218</v>
      </c>
      <c r="Z415" s="209" t="s">
        <v>3664</v>
      </c>
      <c r="AA415" s="219"/>
      <c r="AB415" s="218"/>
      <c r="AC415" s="217" t="e">
        <v>#N/A</v>
      </c>
      <c r="AD415" s="217">
        <v>91045</v>
      </c>
      <c r="AE415" s="217" t="s">
        <v>4838</v>
      </c>
      <c r="AF415" s="217" t="s">
        <v>4215</v>
      </c>
      <c r="AG415" s="217" t="s">
        <v>36</v>
      </c>
      <c r="AH415" s="220" t="str">
        <f t="shared" si="26"/>
        <v>4590006247_006</v>
      </c>
      <c r="AI415" s="208"/>
      <c r="AJ415" s="225">
        <v>45047</v>
      </c>
      <c r="AK415" s="221">
        <v>561.54999999999995</v>
      </c>
      <c r="AL415" s="228">
        <v>45121</v>
      </c>
      <c r="AM415" s="208"/>
      <c r="AN415" s="220"/>
      <c r="AO415" s="222"/>
      <c r="AP415" s="227"/>
      <c r="AQ415" s="358">
        <f ca="1">IF(表格1[[#This Row],[PO$]]="","100%",表格1[[#This Row],[total amount]]/表格1[[#This Row],[PO$]])</f>
        <v>0.40000142463333499</v>
      </c>
      <c r="AR415" s="223">
        <f ca="1">表格1[[#This Row],[invoice amount]]+表格1[[#This Row],[invoice amount2]]</f>
        <v>561.54999999999995</v>
      </c>
      <c r="AS415" s="224" t="s">
        <v>3673</v>
      </c>
      <c r="AT415" s="208"/>
      <c r="AU415" s="208" t="e">
        <f ca="1">VLOOKUP(表格1[[#This Row],[PO+ITEM]],#REF!,2,FALSE)</f>
        <v>#REF!</v>
      </c>
      <c r="AV415" s="341" t="e">
        <f ca="1">VLOOKUP(表格1[[#This Row],[PO+ITEM]],#REF!,3,FALSE)</f>
        <v>#REF!</v>
      </c>
      <c r="AW415" s="208" t="e">
        <f ca="1">VLOOKUP(表格1[[#This Row],[PO+ITEM]],#REF!,4,FALSE)</f>
        <v>#REF!</v>
      </c>
      <c r="AX415" s="208" t="e" cm="1" vm="1">
        <f t="array" aca="1" ref="AX415" ca="1">VLOOKUP(AI:AI,#REF!,1,FALSE)</f>
        <v>#VALUE!</v>
      </c>
    </row>
    <row r="416" spans="1:50" ht="15.6">
      <c r="A416" s="220">
        <v>415</v>
      </c>
      <c r="B416" s="220" t="s">
        <v>3674</v>
      </c>
      <c r="C416" s="209" t="s">
        <v>16</v>
      </c>
      <c r="D416" s="209" t="s">
        <v>3648</v>
      </c>
      <c r="E416" s="209"/>
      <c r="F416" s="209"/>
      <c r="G416" s="209"/>
      <c r="H416" s="210" t="s">
        <v>4839</v>
      </c>
      <c r="I416" s="210"/>
      <c r="J416" s="211"/>
      <c r="K416" s="210"/>
      <c r="L416" s="212" t="s">
        <v>4003</v>
      </c>
      <c r="M416" s="212" t="s">
        <v>2999</v>
      </c>
      <c r="N416" s="213"/>
      <c r="O416" s="263">
        <v>4590006247</v>
      </c>
      <c r="P416" s="214">
        <v>44836</v>
      </c>
      <c r="Q416" s="334">
        <v>7</v>
      </c>
      <c r="R416" s="216">
        <v>1403.87</v>
      </c>
      <c r="S416" s="217" t="s">
        <v>2156</v>
      </c>
      <c r="T416" s="209" t="s">
        <v>4004</v>
      </c>
      <c r="U416" s="209" t="s">
        <v>4005</v>
      </c>
      <c r="V416" s="213" t="s">
        <v>4006</v>
      </c>
      <c r="W416" s="218" t="s">
        <v>3652</v>
      </c>
      <c r="X416" s="218" t="s">
        <v>3652</v>
      </c>
      <c r="Y416" s="212" t="s">
        <v>4218</v>
      </c>
      <c r="Z416" s="209" t="s">
        <v>3664</v>
      </c>
      <c r="AA416" s="219"/>
      <c r="AB416" s="218"/>
      <c r="AC416" s="217" t="e">
        <v>#N/A</v>
      </c>
      <c r="AD416" s="217">
        <v>91105</v>
      </c>
      <c r="AE416" s="217" t="s">
        <v>4840</v>
      </c>
      <c r="AF416" s="217" t="s">
        <v>4215</v>
      </c>
      <c r="AG416" s="217" t="s">
        <v>36</v>
      </c>
      <c r="AH416" s="220" t="str">
        <f t="shared" si="26"/>
        <v>4590006247_007</v>
      </c>
      <c r="AI416" s="208"/>
      <c r="AJ416" s="225">
        <v>45047</v>
      </c>
      <c r="AK416" s="221">
        <v>561.54999999999995</v>
      </c>
      <c r="AL416" s="228">
        <v>45121</v>
      </c>
      <c r="AM416" s="208"/>
      <c r="AN416" s="220"/>
      <c r="AO416" s="222"/>
      <c r="AP416" s="227"/>
      <c r="AQ416" s="358">
        <f ca="1">IF(表格1[[#This Row],[PO$]]="","100%",表格1[[#This Row],[total amount]]/表格1[[#This Row],[PO$]])</f>
        <v>0.40000142463333499</v>
      </c>
      <c r="AR416" s="223">
        <f ca="1">表格1[[#This Row],[invoice amount]]+表格1[[#This Row],[invoice amount2]]</f>
        <v>561.54999999999995</v>
      </c>
      <c r="AS416" s="224" t="s">
        <v>3673</v>
      </c>
      <c r="AT416" s="208"/>
      <c r="AU416" s="208" t="e">
        <f ca="1">VLOOKUP(表格1[[#This Row],[PO+ITEM]],#REF!,2,FALSE)</f>
        <v>#REF!</v>
      </c>
      <c r="AV416" s="341" t="e">
        <f ca="1">VLOOKUP(表格1[[#This Row],[PO+ITEM]],#REF!,3,FALSE)</f>
        <v>#REF!</v>
      </c>
      <c r="AW416" s="208" t="e">
        <f ca="1">VLOOKUP(表格1[[#This Row],[PO+ITEM]],#REF!,4,FALSE)</f>
        <v>#REF!</v>
      </c>
      <c r="AX416" s="208" t="e" cm="1" vm="1">
        <f t="array" aca="1" ref="AX416" ca="1">VLOOKUP(AI:AI,#REF!,1,FALSE)</f>
        <v>#VALUE!</v>
      </c>
    </row>
    <row r="417" spans="1:50" ht="15.6">
      <c r="A417" s="220">
        <v>416</v>
      </c>
      <c r="B417" s="220" t="s">
        <v>3674</v>
      </c>
      <c r="C417" s="209" t="s">
        <v>16</v>
      </c>
      <c r="D417" s="209" t="s">
        <v>3648</v>
      </c>
      <c r="E417" s="209"/>
      <c r="F417" s="209"/>
      <c r="G417" s="209"/>
      <c r="H417" s="210" t="s">
        <v>4841</v>
      </c>
      <c r="I417" s="210"/>
      <c r="J417" s="211"/>
      <c r="K417" s="210"/>
      <c r="L417" s="212" t="s">
        <v>2206</v>
      </c>
      <c r="M417" s="212" t="s">
        <v>2999</v>
      </c>
      <c r="N417" s="213"/>
      <c r="O417" s="263">
        <v>4590006247</v>
      </c>
      <c r="P417" s="214">
        <v>44836</v>
      </c>
      <c r="Q417" s="334">
        <v>8</v>
      </c>
      <c r="R417" s="216">
        <v>7832.76</v>
      </c>
      <c r="S417" s="217" t="s">
        <v>2156</v>
      </c>
      <c r="T417" s="209" t="s">
        <v>4004</v>
      </c>
      <c r="U417" s="209" t="s">
        <v>4005</v>
      </c>
      <c r="V417" s="213" t="s">
        <v>4006</v>
      </c>
      <c r="W417" s="218" t="s">
        <v>3652</v>
      </c>
      <c r="X417" s="218" t="s">
        <v>3652</v>
      </c>
      <c r="Y417" s="212" t="s">
        <v>4218</v>
      </c>
      <c r="Z417" s="209" t="s">
        <v>3664</v>
      </c>
      <c r="AA417" s="219"/>
      <c r="AB417" s="218"/>
      <c r="AC417" s="217" t="e">
        <v>#N/A</v>
      </c>
      <c r="AD417" s="217">
        <v>91161</v>
      </c>
      <c r="AE417" s="217" t="s">
        <v>4842</v>
      </c>
      <c r="AF417" s="217" t="s">
        <v>4215</v>
      </c>
      <c r="AG417" s="217" t="s">
        <v>846</v>
      </c>
      <c r="AH417" s="220" t="str">
        <f t="shared" si="26"/>
        <v>4590006247_008</v>
      </c>
      <c r="AI417" s="208"/>
      <c r="AJ417" s="225">
        <v>45108</v>
      </c>
      <c r="AK417" s="221">
        <v>3133.1</v>
      </c>
      <c r="AL417" s="228">
        <v>45121</v>
      </c>
      <c r="AM417" s="208"/>
      <c r="AN417" s="220"/>
      <c r="AO417" s="222"/>
      <c r="AP417" s="227"/>
      <c r="AQ417" s="358">
        <f ca="1">IF(表格1[[#This Row],[PO$]]="","100%",表格1[[#This Row],[total amount]]/表格1[[#This Row],[PO$]])</f>
        <v>0.399999489324325</v>
      </c>
      <c r="AR417" s="223">
        <f ca="1">表格1[[#This Row],[invoice amount]]+表格1[[#This Row],[invoice amount2]]</f>
        <v>3133.1</v>
      </c>
      <c r="AS417" s="224" t="s">
        <v>3673</v>
      </c>
      <c r="AT417" s="208"/>
      <c r="AU417" s="208" t="e">
        <f ca="1">VLOOKUP(表格1[[#This Row],[PO+ITEM]],#REF!,2,FALSE)</f>
        <v>#REF!</v>
      </c>
      <c r="AV417" s="341" t="e">
        <f ca="1">VLOOKUP(表格1[[#This Row],[PO+ITEM]],#REF!,3,FALSE)</f>
        <v>#REF!</v>
      </c>
      <c r="AW417" s="208" t="e">
        <f ca="1">VLOOKUP(表格1[[#This Row],[PO+ITEM]],#REF!,4,FALSE)</f>
        <v>#REF!</v>
      </c>
      <c r="AX417" s="208" t="e" cm="1" vm="1">
        <f t="array" aca="1" ref="AX417" ca="1">VLOOKUP(AI:AI,#REF!,1,FALSE)</f>
        <v>#VALUE!</v>
      </c>
    </row>
    <row r="418" spans="1:50" ht="15.6">
      <c r="A418" s="220">
        <v>417</v>
      </c>
      <c r="B418" s="220" t="s">
        <v>3659</v>
      </c>
      <c r="C418" s="209" t="s">
        <v>16</v>
      </c>
      <c r="D418" s="209" t="s">
        <v>3648</v>
      </c>
      <c r="E418" s="209"/>
      <c r="F418" s="209"/>
      <c r="G418" s="209"/>
      <c r="H418" s="210" t="s">
        <v>4843</v>
      </c>
      <c r="I418" s="210"/>
      <c r="J418" s="211"/>
      <c r="K418" s="210"/>
      <c r="L418" s="212" t="s">
        <v>2206</v>
      </c>
      <c r="M418" s="212" t="s">
        <v>2999</v>
      </c>
      <c r="N418" s="213"/>
      <c r="O418" s="263">
        <v>4590006247</v>
      </c>
      <c r="P418" s="214">
        <v>44836</v>
      </c>
      <c r="Q418" s="334">
        <v>9</v>
      </c>
      <c r="R418" s="216">
        <v>7832.76</v>
      </c>
      <c r="S418" s="217" t="s">
        <v>2156</v>
      </c>
      <c r="T418" s="209" t="s">
        <v>4004</v>
      </c>
      <c r="U418" s="209" t="s">
        <v>4005</v>
      </c>
      <c r="V418" s="213" t="s">
        <v>4006</v>
      </c>
      <c r="W418" s="218" t="s">
        <v>3652</v>
      </c>
      <c r="X418" s="218" t="s">
        <v>3652</v>
      </c>
      <c r="Y418" s="212" t="s">
        <v>4218</v>
      </c>
      <c r="Z418" s="209" t="s">
        <v>3664</v>
      </c>
      <c r="AA418" s="219"/>
      <c r="AB418" s="218"/>
      <c r="AC418" s="217" t="e">
        <v>#N/A</v>
      </c>
      <c r="AD418" s="217">
        <v>91172</v>
      </c>
      <c r="AE418" s="217" t="s">
        <v>4844</v>
      </c>
      <c r="AF418" s="217" t="s">
        <v>4215</v>
      </c>
      <c r="AG418" s="217" t="s">
        <v>846</v>
      </c>
      <c r="AH418" s="220" t="str">
        <f t="shared" si="26"/>
        <v>4590006247_009</v>
      </c>
      <c r="AI418" s="208"/>
      <c r="AJ418" s="225">
        <v>45108</v>
      </c>
      <c r="AK418" s="221">
        <v>3133.1</v>
      </c>
      <c r="AL418" s="244">
        <v>45212</v>
      </c>
      <c r="AM418" s="208"/>
      <c r="AN418" s="220"/>
      <c r="AO418" s="222"/>
      <c r="AP418" s="227"/>
      <c r="AQ418" s="358">
        <f ca="1">IF(表格1[[#This Row],[PO$]]="","100%",表格1[[#This Row],[total amount]]/表格1[[#This Row],[PO$]])</f>
        <v>0.399999489324325</v>
      </c>
      <c r="AR418" s="223">
        <f ca="1">表格1[[#This Row],[invoice amount]]+表格1[[#This Row],[invoice amount2]]</f>
        <v>3133.1</v>
      </c>
      <c r="AS418" s="224" t="s">
        <v>3673</v>
      </c>
      <c r="AT418" s="208"/>
      <c r="AU418" s="208" t="e">
        <f ca="1">VLOOKUP(表格1[[#This Row],[PO+ITEM]],#REF!,2,FALSE)</f>
        <v>#REF!</v>
      </c>
      <c r="AV418" s="341" t="e">
        <f ca="1">VLOOKUP(表格1[[#This Row],[PO+ITEM]],#REF!,3,FALSE)</f>
        <v>#REF!</v>
      </c>
      <c r="AW418" s="208" t="e">
        <f ca="1">VLOOKUP(表格1[[#This Row],[PO+ITEM]],#REF!,4,FALSE)</f>
        <v>#REF!</v>
      </c>
      <c r="AX418" s="208" t="e" cm="1" vm="1">
        <f t="array" aca="1" ref="AX418" ca="1">VLOOKUP(AI:AI,#REF!,1,FALSE)</f>
        <v>#VALUE!</v>
      </c>
    </row>
    <row r="419" spans="1:50" ht="15.6">
      <c r="A419" s="220">
        <v>418</v>
      </c>
      <c r="B419" s="220">
        <v>0</v>
      </c>
      <c r="C419" s="209" t="s">
        <v>16</v>
      </c>
      <c r="D419" s="209" t="s">
        <v>3648</v>
      </c>
      <c r="E419" s="209"/>
      <c r="F419" s="209"/>
      <c r="G419" s="209"/>
      <c r="H419" s="217" t="s">
        <v>4845</v>
      </c>
      <c r="I419" s="217"/>
      <c r="J419" s="215"/>
      <c r="K419" s="217"/>
      <c r="L419" s="212" t="s">
        <v>4003</v>
      </c>
      <c r="M419" s="212" t="s">
        <v>2999</v>
      </c>
      <c r="N419" s="213"/>
      <c r="O419" s="263">
        <v>4590006247</v>
      </c>
      <c r="P419" s="214">
        <v>44836</v>
      </c>
      <c r="Q419" s="334">
        <v>10</v>
      </c>
      <c r="R419" s="216">
        <v>1403.87</v>
      </c>
      <c r="S419" s="217" t="s">
        <v>2156</v>
      </c>
      <c r="T419" s="209" t="s">
        <v>4004</v>
      </c>
      <c r="U419" s="209" t="s">
        <v>4005</v>
      </c>
      <c r="V419" s="213" t="s">
        <v>4006</v>
      </c>
      <c r="W419" s="218" t="s">
        <v>3652</v>
      </c>
      <c r="X419" s="218" t="s">
        <v>3652</v>
      </c>
      <c r="Y419" s="212" t="s">
        <v>4218</v>
      </c>
      <c r="Z419" s="209" t="s">
        <v>3664</v>
      </c>
      <c r="AA419" s="219"/>
      <c r="AB419" s="218"/>
      <c r="AC419" s="217" t="e">
        <v>#N/A</v>
      </c>
      <c r="AD419" s="217">
        <v>91103</v>
      </c>
      <c r="AE419" s="217" t="s">
        <v>4846</v>
      </c>
      <c r="AF419" s="217" t="s">
        <v>4215</v>
      </c>
      <c r="AG419" s="217" t="s">
        <v>36</v>
      </c>
      <c r="AH419" s="220" t="str">
        <f t="shared" ref="AH419:AH427" si="27">O419&amp;"_0"&amp;Q419</f>
        <v>4590006247_010</v>
      </c>
      <c r="AI419" s="208"/>
      <c r="AJ419" s="225">
        <v>45047</v>
      </c>
      <c r="AK419" s="221">
        <v>561.54999999999995</v>
      </c>
      <c r="AL419" s="244">
        <v>45212</v>
      </c>
      <c r="AM419" s="208"/>
      <c r="AN419" s="220"/>
      <c r="AO419" s="222"/>
      <c r="AP419" s="227"/>
      <c r="AQ419" s="358">
        <f ca="1">IF(表格1[[#This Row],[PO$]]="","100%",表格1[[#This Row],[total amount]]/表格1[[#This Row],[PO$]])</f>
        <v>0.40000142463333499</v>
      </c>
      <c r="AR419" s="223">
        <f ca="1">表格1[[#This Row],[invoice amount]]+表格1[[#This Row],[invoice amount2]]</f>
        <v>561.54999999999995</v>
      </c>
      <c r="AS419" s="224" t="s">
        <v>3673</v>
      </c>
      <c r="AT419" s="208"/>
      <c r="AU419" s="208" t="e">
        <f ca="1">VLOOKUP(表格1[[#This Row],[PO+ITEM]],#REF!,2,FALSE)</f>
        <v>#REF!</v>
      </c>
      <c r="AV419" s="341" t="e">
        <f ca="1">VLOOKUP(表格1[[#This Row],[PO+ITEM]],#REF!,3,FALSE)</f>
        <v>#REF!</v>
      </c>
      <c r="AW419" s="208" t="e">
        <f ca="1">VLOOKUP(表格1[[#This Row],[PO+ITEM]],#REF!,4,FALSE)</f>
        <v>#REF!</v>
      </c>
      <c r="AX419" s="208" t="e" cm="1" vm="1">
        <f t="array" aca="1" ref="AX419" ca="1">VLOOKUP(AI:AI,#REF!,1,FALSE)</f>
        <v>#VALUE!</v>
      </c>
    </row>
    <row r="420" spans="1:50" ht="15.6">
      <c r="A420" s="220">
        <v>419</v>
      </c>
      <c r="B420" s="220" t="s">
        <v>3659</v>
      </c>
      <c r="C420" s="209" t="s">
        <v>16</v>
      </c>
      <c r="D420" s="209" t="s">
        <v>3648</v>
      </c>
      <c r="E420" s="209"/>
      <c r="F420" s="209"/>
      <c r="G420" s="209"/>
      <c r="H420" s="210" t="s">
        <v>4847</v>
      </c>
      <c r="I420" s="210"/>
      <c r="J420" s="211"/>
      <c r="K420" s="210"/>
      <c r="L420" s="212" t="s">
        <v>4003</v>
      </c>
      <c r="M420" s="212" t="s">
        <v>2999</v>
      </c>
      <c r="N420" s="213"/>
      <c r="O420" s="263">
        <v>4590006247</v>
      </c>
      <c r="P420" s="214">
        <v>44836</v>
      </c>
      <c r="Q420" s="334">
        <v>11</v>
      </c>
      <c r="R420" s="216">
        <v>1403.87</v>
      </c>
      <c r="S420" s="217" t="s">
        <v>2156</v>
      </c>
      <c r="T420" s="209" t="s">
        <v>4004</v>
      </c>
      <c r="U420" s="209" t="s">
        <v>4005</v>
      </c>
      <c r="V420" s="213" t="s">
        <v>4006</v>
      </c>
      <c r="W420" s="218" t="s">
        <v>3652</v>
      </c>
      <c r="X420" s="218" t="s">
        <v>3652</v>
      </c>
      <c r="Y420" s="212" t="s">
        <v>4218</v>
      </c>
      <c r="Z420" s="209" t="s">
        <v>3664</v>
      </c>
      <c r="AA420" s="219"/>
      <c r="AB420" s="218"/>
      <c r="AC420" s="217" t="e">
        <v>#N/A</v>
      </c>
      <c r="AD420" s="217">
        <v>91123</v>
      </c>
      <c r="AE420" s="217" t="s">
        <v>4848</v>
      </c>
      <c r="AF420" s="217" t="s">
        <v>4215</v>
      </c>
      <c r="AG420" s="217" t="s">
        <v>36</v>
      </c>
      <c r="AH420" s="220" t="str">
        <f t="shared" si="27"/>
        <v>4590006247_011</v>
      </c>
      <c r="AI420" s="208"/>
      <c r="AJ420" s="225">
        <v>45047</v>
      </c>
      <c r="AK420" s="221">
        <v>561.54999999999995</v>
      </c>
      <c r="AL420" s="228">
        <v>45121</v>
      </c>
      <c r="AM420" s="208"/>
      <c r="AN420" s="220"/>
      <c r="AO420" s="222"/>
      <c r="AP420" s="227"/>
      <c r="AQ420" s="358">
        <f ca="1">IF(表格1[[#This Row],[PO$]]="","100%",表格1[[#This Row],[total amount]]/表格1[[#This Row],[PO$]])</f>
        <v>0.40000142463333499</v>
      </c>
      <c r="AR420" s="223">
        <f ca="1">表格1[[#This Row],[invoice amount]]+表格1[[#This Row],[invoice amount2]]</f>
        <v>561.54999999999995</v>
      </c>
      <c r="AS420" s="224" t="s">
        <v>3673</v>
      </c>
      <c r="AT420" s="208"/>
      <c r="AU420" s="208" t="e">
        <f ca="1">VLOOKUP(表格1[[#This Row],[PO+ITEM]],#REF!,2,FALSE)</f>
        <v>#REF!</v>
      </c>
      <c r="AV420" s="341" t="e">
        <f ca="1">VLOOKUP(表格1[[#This Row],[PO+ITEM]],#REF!,3,FALSE)</f>
        <v>#REF!</v>
      </c>
      <c r="AW420" s="208" t="e">
        <f ca="1">VLOOKUP(表格1[[#This Row],[PO+ITEM]],#REF!,4,FALSE)</f>
        <v>#REF!</v>
      </c>
      <c r="AX420" s="208" t="e" cm="1" vm="1">
        <f t="array" aca="1" ref="AX420" ca="1">VLOOKUP(AI:AI,#REF!,1,FALSE)</f>
        <v>#VALUE!</v>
      </c>
    </row>
    <row r="421" spans="1:50" ht="15.6">
      <c r="A421" s="220">
        <v>420</v>
      </c>
      <c r="B421" s="220" t="s">
        <v>3659</v>
      </c>
      <c r="C421" s="209" t="s">
        <v>16</v>
      </c>
      <c r="D421" s="209" t="s">
        <v>3648</v>
      </c>
      <c r="E421" s="209"/>
      <c r="F421" s="209"/>
      <c r="G421" s="209"/>
      <c r="H421" s="210" t="s">
        <v>4849</v>
      </c>
      <c r="I421" s="210"/>
      <c r="J421" s="211"/>
      <c r="K421" s="210"/>
      <c r="L421" s="212" t="s">
        <v>4003</v>
      </c>
      <c r="M421" s="212" t="s">
        <v>2999</v>
      </c>
      <c r="N421" s="213"/>
      <c r="O421" s="263">
        <v>4590006247</v>
      </c>
      <c r="P421" s="214">
        <v>44836</v>
      </c>
      <c r="Q421" s="334">
        <v>12</v>
      </c>
      <c r="R421" s="216">
        <v>1403.87</v>
      </c>
      <c r="S421" s="217" t="s">
        <v>2156</v>
      </c>
      <c r="T421" s="209" t="s">
        <v>4004</v>
      </c>
      <c r="U421" s="209" t="s">
        <v>4005</v>
      </c>
      <c r="V421" s="213" t="s">
        <v>4006</v>
      </c>
      <c r="W421" s="218" t="s">
        <v>3652</v>
      </c>
      <c r="X421" s="218" t="s">
        <v>3652</v>
      </c>
      <c r="Y421" s="212" t="s">
        <v>4218</v>
      </c>
      <c r="Z421" s="209" t="s">
        <v>3664</v>
      </c>
      <c r="AA421" s="219"/>
      <c r="AB421" s="218"/>
      <c r="AC421" s="217" t="e">
        <v>#N/A</v>
      </c>
      <c r="AD421" s="217">
        <v>91124</v>
      </c>
      <c r="AE421" s="217" t="s">
        <v>4850</v>
      </c>
      <c r="AF421" s="217" t="s">
        <v>4215</v>
      </c>
      <c r="AG421" s="217" t="s">
        <v>36</v>
      </c>
      <c r="AH421" s="220" t="str">
        <f t="shared" si="27"/>
        <v>4590006247_012</v>
      </c>
      <c r="AI421" s="208"/>
      <c r="AJ421" s="225">
        <v>45047</v>
      </c>
      <c r="AK421" s="221">
        <v>561.54999999999995</v>
      </c>
      <c r="AL421" s="228">
        <v>45121</v>
      </c>
      <c r="AM421" s="208"/>
      <c r="AN421" s="220"/>
      <c r="AO421" s="222"/>
      <c r="AP421" s="227"/>
      <c r="AQ421" s="358">
        <f ca="1">IF(表格1[[#This Row],[PO$]]="","100%",表格1[[#This Row],[total amount]]/表格1[[#This Row],[PO$]])</f>
        <v>0.40000142463333499</v>
      </c>
      <c r="AR421" s="223">
        <f ca="1">表格1[[#This Row],[invoice amount]]+表格1[[#This Row],[invoice amount2]]</f>
        <v>561.54999999999995</v>
      </c>
      <c r="AS421" s="224" t="s">
        <v>3673</v>
      </c>
      <c r="AT421" s="208"/>
      <c r="AU421" s="208" t="e">
        <f ca="1">VLOOKUP(表格1[[#This Row],[PO+ITEM]],#REF!,2,FALSE)</f>
        <v>#REF!</v>
      </c>
      <c r="AV421" s="341" t="e">
        <f ca="1">VLOOKUP(表格1[[#This Row],[PO+ITEM]],#REF!,3,FALSE)</f>
        <v>#REF!</v>
      </c>
      <c r="AW421" s="208" t="e">
        <f ca="1">VLOOKUP(表格1[[#This Row],[PO+ITEM]],#REF!,4,FALSE)</f>
        <v>#REF!</v>
      </c>
      <c r="AX421" s="208" t="e" cm="1" vm="1">
        <f t="array" aca="1" ref="AX421" ca="1">VLOOKUP(AI:AI,#REF!,1,FALSE)</f>
        <v>#VALUE!</v>
      </c>
    </row>
    <row r="422" spans="1:50" ht="15.6">
      <c r="A422" s="220">
        <v>421</v>
      </c>
      <c r="B422" s="220" t="s">
        <v>3659</v>
      </c>
      <c r="C422" s="209" t="s">
        <v>16</v>
      </c>
      <c r="D422" s="209" t="s">
        <v>3648</v>
      </c>
      <c r="E422" s="209"/>
      <c r="F422" s="209"/>
      <c r="G422" s="209"/>
      <c r="H422" s="210" t="s">
        <v>4851</v>
      </c>
      <c r="I422" s="210"/>
      <c r="J422" s="211"/>
      <c r="K422" s="210"/>
      <c r="L422" s="212" t="s">
        <v>4003</v>
      </c>
      <c r="M422" s="212" t="s">
        <v>2999</v>
      </c>
      <c r="N422" s="213"/>
      <c r="O422" s="263">
        <v>4590006247</v>
      </c>
      <c r="P422" s="214">
        <v>44836</v>
      </c>
      <c r="Q422" s="334">
        <v>13</v>
      </c>
      <c r="R422" s="216">
        <v>1403.87</v>
      </c>
      <c r="S422" s="217" t="s">
        <v>2156</v>
      </c>
      <c r="T422" s="209" t="s">
        <v>4004</v>
      </c>
      <c r="U422" s="209" t="s">
        <v>4005</v>
      </c>
      <c r="V422" s="213" t="s">
        <v>4006</v>
      </c>
      <c r="W422" s="218" t="s">
        <v>3652</v>
      </c>
      <c r="X422" s="218" t="s">
        <v>3652</v>
      </c>
      <c r="Y422" s="212" t="s">
        <v>4218</v>
      </c>
      <c r="Z422" s="209" t="s">
        <v>3664</v>
      </c>
      <c r="AA422" s="219"/>
      <c r="AB422" s="218"/>
      <c r="AC422" s="217" t="e">
        <v>#N/A</v>
      </c>
      <c r="AD422" s="217">
        <v>91126</v>
      </c>
      <c r="AE422" s="217" t="s">
        <v>4852</v>
      </c>
      <c r="AF422" s="217" t="s">
        <v>4215</v>
      </c>
      <c r="AG422" s="217" t="s">
        <v>36</v>
      </c>
      <c r="AH422" s="220" t="str">
        <f t="shared" si="27"/>
        <v>4590006247_013</v>
      </c>
      <c r="AI422" s="208"/>
      <c r="AJ422" s="225">
        <v>45047</v>
      </c>
      <c r="AK422" s="221">
        <v>561.54999999999995</v>
      </c>
      <c r="AL422" s="228">
        <v>45121</v>
      </c>
      <c r="AM422" s="208"/>
      <c r="AN422" s="220"/>
      <c r="AO422" s="222"/>
      <c r="AP422" s="227"/>
      <c r="AQ422" s="358">
        <f ca="1">IF(表格1[[#This Row],[PO$]]="","100%",表格1[[#This Row],[total amount]]/表格1[[#This Row],[PO$]])</f>
        <v>0.40000142463333499</v>
      </c>
      <c r="AR422" s="223">
        <f ca="1">表格1[[#This Row],[invoice amount]]+表格1[[#This Row],[invoice amount2]]</f>
        <v>561.54999999999995</v>
      </c>
      <c r="AS422" s="224" t="s">
        <v>3673</v>
      </c>
      <c r="AT422" s="208"/>
      <c r="AU422" s="208" t="e">
        <f ca="1">VLOOKUP(表格1[[#This Row],[PO+ITEM]],#REF!,2,FALSE)</f>
        <v>#REF!</v>
      </c>
      <c r="AV422" s="341" t="e">
        <f ca="1">VLOOKUP(表格1[[#This Row],[PO+ITEM]],#REF!,3,FALSE)</f>
        <v>#REF!</v>
      </c>
      <c r="AW422" s="208" t="e">
        <f ca="1">VLOOKUP(表格1[[#This Row],[PO+ITEM]],#REF!,4,FALSE)</f>
        <v>#REF!</v>
      </c>
      <c r="AX422" s="208" t="e" cm="1" vm="1">
        <f t="array" aca="1" ref="AX422" ca="1">VLOOKUP(AI:AI,#REF!,1,FALSE)</f>
        <v>#VALUE!</v>
      </c>
    </row>
    <row r="423" spans="1:50" ht="15.6">
      <c r="A423" s="220">
        <v>422</v>
      </c>
      <c r="B423" s="220" t="s">
        <v>3659</v>
      </c>
      <c r="C423" s="209" t="s">
        <v>16</v>
      </c>
      <c r="D423" s="209" t="s">
        <v>3648</v>
      </c>
      <c r="E423" s="209"/>
      <c r="F423" s="209"/>
      <c r="G423" s="209"/>
      <c r="H423" s="210" t="s">
        <v>4853</v>
      </c>
      <c r="I423" s="210"/>
      <c r="J423" s="211"/>
      <c r="K423" s="210"/>
      <c r="L423" s="212" t="s">
        <v>4003</v>
      </c>
      <c r="M423" s="212" t="s">
        <v>2999</v>
      </c>
      <c r="N423" s="213"/>
      <c r="O423" s="263">
        <v>4590006247</v>
      </c>
      <c r="P423" s="214">
        <v>44836</v>
      </c>
      <c r="Q423" s="334">
        <v>14</v>
      </c>
      <c r="R423" s="216">
        <v>1403.87</v>
      </c>
      <c r="S423" s="217" t="s">
        <v>2156</v>
      </c>
      <c r="T423" s="209" t="s">
        <v>4004</v>
      </c>
      <c r="U423" s="209" t="s">
        <v>4005</v>
      </c>
      <c r="V423" s="213" t="s">
        <v>4006</v>
      </c>
      <c r="W423" s="218" t="s">
        <v>3652</v>
      </c>
      <c r="X423" s="218" t="s">
        <v>3652</v>
      </c>
      <c r="Y423" s="212" t="s">
        <v>4218</v>
      </c>
      <c r="Z423" s="209" t="s">
        <v>3664</v>
      </c>
      <c r="AA423" s="219"/>
      <c r="AB423" s="218"/>
      <c r="AC423" s="217" t="e">
        <v>#N/A</v>
      </c>
      <c r="AD423" s="217">
        <v>91127</v>
      </c>
      <c r="AE423" s="217" t="s">
        <v>4854</v>
      </c>
      <c r="AF423" s="217" t="s">
        <v>4215</v>
      </c>
      <c r="AG423" s="217" t="s">
        <v>36</v>
      </c>
      <c r="AH423" s="220" t="str">
        <f t="shared" si="27"/>
        <v>4590006247_014</v>
      </c>
      <c r="AI423" s="208"/>
      <c r="AJ423" s="225">
        <v>45047</v>
      </c>
      <c r="AK423" s="221">
        <v>561.54999999999995</v>
      </c>
      <c r="AL423" s="228">
        <v>45121</v>
      </c>
      <c r="AM423" s="208"/>
      <c r="AN423" s="220"/>
      <c r="AO423" s="222"/>
      <c r="AP423" s="227"/>
      <c r="AQ423" s="358">
        <f ca="1">IF(表格1[[#This Row],[PO$]]="","100%",表格1[[#This Row],[total amount]]/表格1[[#This Row],[PO$]])</f>
        <v>0.40000142463333499</v>
      </c>
      <c r="AR423" s="223">
        <f ca="1">表格1[[#This Row],[invoice amount]]+表格1[[#This Row],[invoice amount2]]</f>
        <v>561.54999999999995</v>
      </c>
      <c r="AS423" s="224" t="s">
        <v>3673</v>
      </c>
      <c r="AT423" s="208"/>
      <c r="AU423" s="208" t="e">
        <f ca="1">VLOOKUP(表格1[[#This Row],[PO+ITEM]],#REF!,2,FALSE)</f>
        <v>#REF!</v>
      </c>
      <c r="AV423" s="341" t="e">
        <f ca="1">VLOOKUP(表格1[[#This Row],[PO+ITEM]],#REF!,3,FALSE)</f>
        <v>#REF!</v>
      </c>
      <c r="AW423" s="208" t="e">
        <f ca="1">VLOOKUP(表格1[[#This Row],[PO+ITEM]],#REF!,4,FALSE)</f>
        <v>#REF!</v>
      </c>
      <c r="AX423" s="208" t="e" cm="1" vm="1">
        <f t="array" aca="1" ref="AX423" ca="1">VLOOKUP(AI:AI,#REF!,1,FALSE)</f>
        <v>#VALUE!</v>
      </c>
    </row>
    <row r="424" spans="1:50" ht="15.6">
      <c r="A424" s="220">
        <v>423</v>
      </c>
      <c r="B424" s="220" t="s">
        <v>3659</v>
      </c>
      <c r="C424" s="209" t="s">
        <v>16</v>
      </c>
      <c r="D424" s="209" t="s">
        <v>3648</v>
      </c>
      <c r="E424" s="209"/>
      <c r="F424" s="209"/>
      <c r="G424" s="209"/>
      <c r="H424" s="217" t="s">
        <v>4855</v>
      </c>
      <c r="I424" s="217"/>
      <c r="J424" s="215"/>
      <c r="K424" s="217"/>
      <c r="L424" s="212" t="s">
        <v>4003</v>
      </c>
      <c r="M424" s="212" t="s">
        <v>2999</v>
      </c>
      <c r="N424" s="213"/>
      <c r="O424" s="263">
        <v>4590006247</v>
      </c>
      <c r="P424" s="214">
        <v>44836</v>
      </c>
      <c r="Q424" s="334">
        <v>15</v>
      </c>
      <c r="R424" s="216">
        <v>1403.87</v>
      </c>
      <c r="S424" s="217" t="s">
        <v>2156</v>
      </c>
      <c r="T424" s="209" t="s">
        <v>4004</v>
      </c>
      <c r="U424" s="209" t="s">
        <v>4005</v>
      </c>
      <c r="V424" s="213" t="s">
        <v>4006</v>
      </c>
      <c r="W424" s="218" t="s">
        <v>3652</v>
      </c>
      <c r="X424" s="218" t="s">
        <v>3652</v>
      </c>
      <c r="Y424" s="212" t="s">
        <v>4218</v>
      </c>
      <c r="Z424" s="209" t="s">
        <v>3664</v>
      </c>
      <c r="AA424" s="219"/>
      <c r="AB424" s="218"/>
      <c r="AC424" s="217" t="e">
        <v>#N/A</v>
      </c>
      <c r="AD424" s="217">
        <v>91157</v>
      </c>
      <c r="AE424" s="217" t="s">
        <v>4856</v>
      </c>
      <c r="AF424" s="217" t="s">
        <v>4215</v>
      </c>
      <c r="AG424" s="217" t="s">
        <v>36</v>
      </c>
      <c r="AH424" s="220" t="str">
        <f t="shared" si="27"/>
        <v>4590006247_015</v>
      </c>
      <c r="AI424" s="208"/>
      <c r="AJ424" s="225">
        <v>45108</v>
      </c>
      <c r="AK424" s="221">
        <v>561.54999999999995</v>
      </c>
      <c r="AL424" s="228">
        <v>45121</v>
      </c>
      <c r="AM424" s="208"/>
      <c r="AN424" s="220"/>
      <c r="AO424" s="222"/>
      <c r="AP424" s="227"/>
      <c r="AQ424" s="358">
        <f ca="1">IF(表格1[[#This Row],[PO$]]="","100%",表格1[[#This Row],[total amount]]/表格1[[#This Row],[PO$]])</f>
        <v>0.40000142463333499</v>
      </c>
      <c r="AR424" s="223">
        <f ca="1">表格1[[#This Row],[invoice amount]]+表格1[[#This Row],[invoice amount2]]</f>
        <v>561.54999999999995</v>
      </c>
      <c r="AS424" s="224" t="s">
        <v>3673</v>
      </c>
      <c r="AT424" s="208"/>
      <c r="AU424" s="208" t="e">
        <f ca="1">VLOOKUP(表格1[[#This Row],[PO+ITEM]],#REF!,2,FALSE)</f>
        <v>#REF!</v>
      </c>
      <c r="AV424" s="341" t="e">
        <f ca="1">VLOOKUP(表格1[[#This Row],[PO+ITEM]],#REF!,3,FALSE)</f>
        <v>#REF!</v>
      </c>
      <c r="AW424" s="208" t="e">
        <f ca="1">VLOOKUP(表格1[[#This Row],[PO+ITEM]],#REF!,4,FALSE)</f>
        <v>#REF!</v>
      </c>
      <c r="AX424" s="208" t="e" cm="1" vm="1">
        <f t="array" aca="1" ref="AX424" ca="1">VLOOKUP(AI:AI,#REF!,1,FALSE)</f>
        <v>#VALUE!</v>
      </c>
    </row>
    <row r="425" spans="1:50" ht="15.6">
      <c r="A425" s="220">
        <v>424</v>
      </c>
      <c r="B425" s="220" t="s">
        <v>3674</v>
      </c>
      <c r="C425" s="209" t="s">
        <v>16</v>
      </c>
      <c r="D425" s="209" t="s">
        <v>3648</v>
      </c>
      <c r="E425" s="209"/>
      <c r="F425" s="209"/>
      <c r="G425" s="209"/>
      <c r="H425" s="210" t="s">
        <v>4857</v>
      </c>
      <c r="I425" s="210"/>
      <c r="J425" s="211"/>
      <c r="K425" s="210"/>
      <c r="L425" s="212" t="s">
        <v>4003</v>
      </c>
      <c r="M425" s="212" t="s">
        <v>2999</v>
      </c>
      <c r="N425" s="213"/>
      <c r="O425" s="263">
        <v>4590006247</v>
      </c>
      <c r="P425" s="214">
        <v>44836</v>
      </c>
      <c r="Q425" s="334">
        <v>16</v>
      </c>
      <c r="R425" s="216">
        <v>2807.74</v>
      </c>
      <c r="S425" s="217" t="s">
        <v>2156</v>
      </c>
      <c r="T425" s="209" t="s">
        <v>4004</v>
      </c>
      <c r="U425" s="209" t="s">
        <v>4005</v>
      </c>
      <c r="V425" s="213" t="s">
        <v>4006</v>
      </c>
      <c r="W425" s="218" t="s">
        <v>3652</v>
      </c>
      <c r="X425" s="218" t="s">
        <v>3652</v>
      </c>
      <c r="Y425" s="212" t="s">
        <v>4218</v>
      </c>
      <c r="Z425" s="209" t="s">
        <v>3664</v>
      </c>
      <c r="AA425" s="219"/>
      <c r="AB425" s="218"/>
      <c r="AC425" s="217" t="e">
        <v>#N/A</v>
      </c>
      <c r="AD425" s="217">
        <v>91159</v>
      </c>
      <c r="AE425" s="217" t="s">
        <v>4858</v>
      </c>
      <c r="AF425" s="217" t="s">
        <v>4215</v>
      </c>
      <c r="AG425" s="217" t="s">
        <v>36</v>
      </c>
      <c r="AH425" s="220" t="str">
        <f t="shared" si="27"/>
        <v>4590006247_016</v>
      </c>
      <c r="AI425" s="208"/>
      <c r="AJ425" s="225">
        <v>45108</v>
      </c>
      <c r="AK425" s="221">
        <v>1123.0999999999999</v>
      </c>
      <c r="AL425" s="244">
        <v>45212</v>
      </c>
      <c r="AM425" s="208" t="s">
        <v>4246</v>
      </c>
      <c r="AN425" s="227">
        <v>45496</v>
      </c>
      <c r="AO425" s="298">
        <v>1684.64</v>
      </c>
      <c r="AP425" s="227"/>
      <c r="AQ425" s="358">
        <f ca="1">IF(表格1[[#This Row],[PO$]]="","100%",表格1[[#This Row],[total amount]]/表格1[[#This Row],[PO$]])</f>
        <v>1</v>
      </c>
      <c r="AR425" s="223">
        <f ca="1">表格1[[#This Row],[invoice amount]]+表格1[[#This Row],[invoice amount2]]</f>
        <v>2807.74</v>
      </c>
      <c r="AS425" s="224" t="s">
        <v>4235</v>
      </c>
      <c r="AT425" s="208"/>
      <c r="AU425" s="208" t="e">
        <f ca="1">VLOOKUP(表格1[[#This Row],[PO+ITEM]],#REF!,2,FALSE)</f>
        <v>#REF!</v>
      </c>
      <c r="AV425" s="341" t="e">
        <f ca="1">VLOOKUP(表格1[[#This Row],[PO+ITEM]],#REF!,3,FALSE)</f>
        <v>#REF!</v>
      </c>
      <c r="AW425" s="208" t="e">
        <f ca="1">VLOOKUP(表格1[[#This Row],[PO+ITEM]],#REF!,4,FALSE)</f>
        <v>#REF!</v>
      </c>
      <c r="AX425" s="208" t="e" cm="1" vm="1">
        <f t="array" aca="1" ref="AX425" ca="1">VLOOKUP(AI:AI,#REF!,1,FALSE)</f>
        <v>#VALUE!</v>
      </c>
    </row>
    <row r="426" spans="1:50" ht="15.6">
      <c r="A426" s="220">
        <v>425</v>
      </c>
      <c r="B426" s="220" t="s">
        <v>3659</v>
      </c>
      <c r="C426" s="209" t="s">
        <v>16</v>
      </c>
      <c r="D426" s="209" t="s">
        <v>3648</v>
      </c>
      <c r="E426" s="209"/>
      <c r="F426" s="209"/>
      <c r="G426" s="209"/>
      <c r="H426" s="210" t="s">
        <v>4860</v>
      </c>
      <c r="I426" s="210"/>
      <c r="J426" s="211"/>
      <c r="K426" s="210"/>
      <c r="L426" s="212" t="s">
        <v>4003</v>
      </c>
      <c r="M426" s="212" t="s">
        <v>2999</v>
      </c>
      <c r="N426" s="213"/>
      <c r="O426" s="263">
        <v>4590006247</v>
      </c>
      <c r="P426" s="214">
        <v>44836</v>
      </c>
      <c r="Q426" s="334">
        <v>17</v>
      </c>
      <c r="R426" s="216">
        <v>1403.87</v>
      </c>
      <c r="S426" s="217" t="s">
        <v>2156</v>
      </c>
      <c r="T426" s="209" t="s">
        <v>4004</v>
      </c>
      <c r="U426" s="209" t="s">
        <v>4005</v>
      </c>
      <c r="V426" s="213" t="s">
        <v>4006</v>
      </c>
      <c r="W426" s="218" t="s">
        <v>3652</v>
      </c>
      <c r="X426" s="218" t="s">
        <v>3652</v>
      </c>
      <c r="Y426" s="212" t="s">
        <v>4218</v>
      </c>
      <c r="Z426" s="209" t="s">
        <v>3664</v>
      </c>
      <c r="AA426" s="219"/>
      <c r="AB426" s="218"/>
      <c r="AC426" s="217" t="e">
        <v>#N/A</v>
      </c>
      <c r="AD426" s="217">
        <v>91180</v>
      </c>
      <c r="AE426" s="217" t="s">
        <v>4861</v>
      </c>
      <c r="AF426" s="217" t="s">
        <v>4215</v>
      </c>
      <c r="AG426" s="217" t="s">
        <v>36</v>
      </c>
      <c r="AH426" s="220" t="str">
        <f t="shared" si="27"/>
        <v>4590006247_017</v>
      </c>
      <c r="AI426" s="208"/>
      <c r="AJ426" s="225">
        <v>45108</v>
      </c>
      <c r="AK426" s="221">
        <v>561.54999999999995</v>
      </c>
      <c r="AL426" s="244">
        <v>45212</v>
      </c>
      <c r="AM426" s="208"/>
      <c r="AN426" s="220"/>
      <c r="AO426" s="222"/>
      <c r="AP426" s="227"/>
      <c r="AQ426" s="358">
        <f ca="1">IF(表格1[[#This Row],[PO$]]="","100%",表格1[[#This Row],[total amount]]/表格1[[#This Row],[PO$]])</f>
        <v>0.40000142463333499</v>
      </c>
      <c r="AR426" s="223">
        <f ca="1">表格1[[#This Row],[invoice amount]]+表格1[[#This Row],[invoice amount2]]</f>
        <v>561.54999999999995</v>
      </c>
      <c r="AS426" s="224" t="s">
        <v>3673</v>
      </c>
      <c r="AT426" s="208"/>
      <c r="AU426" s="208" t="e">
        <f ca="1">VLOOKUP(表格1[[#This Row],[PO+ITEM]],#REF!,2,FALSE)</f>
        <v>#REF!</v>
      </c>
      <c r="AV426" s="341" t="e">
        <f ca="1">VLOOKUP(表格1[[#This Row],[PO+ITEM]],#REF!,3,FALSE)</f>
        <v>#REF!</v>
      </c>
      <c r="AW426" s="208" t="e">
        <f ca="1">VLOOKUP(表格1[[#This Row],[PO+ITEM]],#REF!,4,FALSE)</f>
        <v>#REF!</v>
      </c>
      <c r="AX426" s="208" t="e" cm="1" vm="1">
        <f t="array" aca="1" ref="AX426" ca="1">VLOOKUP(AI:AI,#REF!,1,FALSE)</f>
        <v>#VALUE!</v>
      </c>
    </row>
    <row r="427" spans="1:50" ht="15.6">
      <c r="A427" s="220">
        <v>426</v>
      </c>
      <c r="B427" s="220" t="s">
        <v>3659</v>
      </c>
      <c r="C427" s="209" t="s">
        <v>16</v>
      </c>
      <c r="D427" s="209" t="s">
        <v>3648</v>
      </c>
      <c r="E427" s="209"/>
      <c r="F427" s="209"/>
      <c r="G427" s="209"/>
      <c r="H427" s="217" t="s">
        <v>4862</v>
      </c>
      <c r="I427" s="217"/>
      <c r="J427" s="215"/>
      <c r="K427" s="217"/>
      <c r="L427" s="212" t="s">
        <v>4003</v>
      </c>
      <c r="M427" s="212" t="s">
        <v>2999</v>
      </c>
      <c r="N427" s="213"/>
      <c r="O427" s="263">
        <v>4590006247</v>
      </c>
      <c r="P427" s="214">
        <v>44836</v>
      </c>
      <c r="Q427" s="334">
        <v>18</v>
      </c>
      <c r="R427" s="216">
        <v>1403.87</v>
      </c>
      <c r="S427" s="217" t="s">
        <v>2156</v>
      </c>
      <c r="T427" s="209" t="s">
        <v>4004</v>
      </c>
      <c r="U427" s="209" t="s">
        <v>4005</v>
      </c>
      <c r="V427" s="213" t="s">
        <v>4006</v>
      </c>
      <c r="W427" s="218" t="s">
        <v>3652</v>
      </c>
      <c r="X427" s="218" t="s">
        <v>3652</v>
      </c>
      <c r="Y427" s="212" t="s">
        <v>4218</v>
      </c>
      <c r="Z427" s="209" t="s">
        <v>3664</v>
      </c>
      <c r="AA427" s="219"/>
      <c r="AB427" s="218"/>
      <c r="AC427" s="217" t="e">
        <v>#N/A</v>
      </c>
      <c r="AD427" s="217">
        <v>91182</v>
      </c>
      <c r="AE427" s="217" t="s">
        <v>4863</v>
      </c>
      <c r="AF427" s="217" t="s">
        <v>4215</v>
      </c>
      <c r="AG427" s="217" t="s">
        <v>36</v>
      </c>
      <c r="AH427" s="220" t="str">
        <f t="shared" si="27"/>
        <v>4590006247_018</v>
      </c>
      <c r="AI427" s="208"/>
      <c r="AJ427" s="225">
        <v>45108</v>
      </c>
      <c r="AK427" s="221">
        <v>561.54999999999995</v>
      </c>
      <c r="AL427" s="244">
        <v>45212</v>
      </c>
      <c r="AM427" s="208"/>
      <c r="AN427" s="220"/>
      <c r="AO427" s="222"/>
      <c r="AP427" s="227"/>
      <c r="AQ427" s="358">
        <f ca="1">IF(表格1[[#This Row],[PO$]]="","100%",表格1[[#This Row],[total amount]]/表格1[[#This Row],[PO$]])</f>
        <v>0.40000142463333499</v>
      </c>
      <c r="AR427" s="223">
        <f ca="1">表格1[[#This Row],[invoice amount]]+表格1[[#This Row],[invoice amount2]]</f>
        <v>561.54999999999995</v>
      </c>
      <c r="AS427" s="224" t="s">
        <v>3673</v>
      </c>
      <c r="AT427" s="208"/>
      <c r="AU427" s="208" t="e">
        <f ca="1">VLOOKUP(表格1[[#This Row],[PO+ITEM]],#REF!,2,FALSE)</f>
        <v>#REF!</v>
      </c>
      <c r="AV427" s="341" t="e">
        <f ca="1">VLOOKUP(表格1[[#This Row],[PO+ITEM]],#REF!,3,FALSE)</f>
        <v>#REF!</v>
      </c>
      <c r="AW427" s="208" t="e">
        <f ca="1">VLOOKUP(表格1[[#This Row],[PO+ITEM]],#REF!,4,FALSE)</f>
        <v>#REF!</v>
      </c>
      <c r="AX427" s="208" t="e" cm="1" vm="1">
        <f t="array" aca="1" ref="AX427" ca="1">VLOOKUP(AI:AI,#REF!,1,FALSE)</f>
        <v>#VALUE!</v>
      </c>
    </row>
    <row r="428" spans="1:50" ht="15.6">
      <c r="A428" s="220">
        <v>427</v>
      </c>
      <c r="B428" s="220" t="s">
        <v>3674</v>
      </c>
      <c r="C428" s="209" t="s">
        <v>16</v>
      </c>
      <c r="D428" s="209" t="s">
        <v>3648</v>
      </c>
      <c r="E428" s="209"/>
      <c r="F428" s="209"/>
      <c r="G428" s="209"/>
      <c r="H428" s="210" t="s">
        <v>4864</v>
      </c>
      <c r="I428" s="210"/>
      <c r="J428" s="211"/>
      <c r="K428" s="210"/>
      <c r="L428" s="212" t="s">
        <v>4269</v>
      </c>
      <c r="M428" s="212" t="s">
        <v>2999</v>
      </c>
      <c r="N428" s="213"/>
      <c r="O428" s="263">
        <v>4590006248</v>
      </c>
      <c r="P428" s="214">
        <v>44836</v>
      </c>
      <c r="Q428" s="334">
        <v>1</v>
      </c>
      <c r="R428" s="216">
        <v>12444.83</v>
      </c>
      <c r="S428" s="217" t="s">
        <v>2156</v>
      </c>
      <c r="T428" s="209" t="s">
        <v>3926</v>
      </c>
      <c r="U428" s="209" t="s">
        <v>3927</v>
      </c>
      <c r="V428" s="213" t="s">
        <v>3928</v>
      </c>
      <c r="W428" s="218" t="s">
        <v>3652</v>
      </c>
      <c r="X428" s="218" t="s">
        <v>3652</v>
      </c>
      <c r="Y428" s="212" t="s">
        <v>6723</v>
      </c>
      <c r="Z428" s="209" t="s">
        <v>3664</v>
      </c>
      <c r="AA428" s="219"/>
      <c r="AB428" s="218"/>
      <c r="AC428" s="217" t="e">
        <v>#N/A</v>
      </c>
      <c r="AD428" s="217">
        <v>90305</v>
      </c>
      <c r="AE428" s="217" t="s">
        <v>2815</v>
      </c>
      <c r="AF428" s="217" t="s">
        <v>4109</v>
      </c>
      <c r="AG428" s="217" t="s">
        <v>32</v>
      </c>
      <c r="AH428" s="220" t="str">
        <f t="shared" ref="AH428:AH441" si="28">O428&amp;"_00"&amp;Q428</f>
        <v>4590006248_001</v>
      </c>
      <c r="AI428" s="208" t="s">
        <v>4866</v>
      </c>
      <c r="AJ428" s="227">
        <v>45401</v>
      </c>
      <c r="AK428" s="222">
        <v>5605.56</v>
      </c>
      <c r="AL428" s="314" t="s">
        <v>6691</v>
      </c>
      <c r="AM428" s="208"/>
      <c r="AN428" s="220"/>
      <c r="AO428" s="222"/>
      <c r="AP428" s="227"/>
      <c r="AQ428" s="358">
        <f ca="1">IF(表格1[[#This Row],[PO$]]="","100%",表格1[[#This Row],[total amount]]/表格1[[#This Row],[PO$]])</f>
        <v>0.4504328303399886</v>
      </c>
      <c r="AR428" s="223">
        <f ca="1">表格1[[#This Row],[invoice amount]]+表格1[[#This Row],[invoice amount2]]</f>
        <v>5605.56</v>
      </c>
      <c r="AS428" s="224" t="s">
        <v>3752</v>
      </c>
      <c r="AT428" s="208" t="s">
        <v>6724</v>
      </c>
      <c r="AU428" s="208" t="e">
        <f ca="1">VLOOKUP(表格1[[#This Row],[PO+ITEM]],#REF!,2,FALSE)</f>
        <v>#REF!</v>
      </c>
      <c r="AV428" s="341" t="e">
        <f ca="1">VLOOKUP(表格1[[#This Row],[PO+ITEM]],#REF!,3,FALSE)</f>
        <v>#REF!</v>
      </c>
      <c r="AW428" s="208" t="e">
        <f ca="1">VLOOKUP(表格1[[#This Row],[PO+ITEM]],#REF!,4,FALSE)</f>
        <v>#REF!</v>
      </c>
      <c r="AX428" s="208" t="e" cm="1" vm="1">
        <f t="array" aca="1" ref="AX428" ca="1">VLOOKUP(AI:AI,#REF!,1,FALSE)</f>
        <v>#VALUE!</v>
      </c>
    </row>
    <row r="429" spans="1:50" ht="15.6">
      <c r="A429" s="220">
        <v>428</v>
      </c>
      <c r="B429" s="220" t="s">
        <v>3674</v>
      </c>
      <c r="C429" s="209" t="s">
        <v>16</v>
      </c>
      <c r="D429" s="209" t="s">
        <v>3648</v>
      </c>
      <c r="E429" s="209"/>
      <c r="F429" s="209"/>
      <c r="G429" s="209"/>
      <c r="H429" s="210" t="s">
        <v>4868</v>
      </c>
      <c r="I429" s="210"/>
      <c r="J429" s="211"/>
      <c r="K429" s="210"/>
      <c r="L429" s="212" t="s">
        <v>4269</v>
      </c>
      <c r="M429" s="212" t="s">
        <v>2999</v>
      </c>
      <c r="N429" s="213"/>
      <c r="O429" s="263">
        <v>4590006248</v>
      </c>
      <c r="P429" s="214">
        <v>44836</v>
      </c>
      <c r="Q429" s="334">
        <v>2</v>
      </c>
      <c r="R429" s="216">
        <v>12089.63</v>
      </c>
      <c r="S429" s="217" t="s">
        <v>2156</v>
      </c>
      <c r="T429" s="209" t="s">
        <v>3926</v>
      </c>
      <c r="U429" s="209" t="s">
        <v>3927</v>
      </c>
      <c r="V429" s="213" t="s">
        <v>3928</v>
      </c>
      <c r="W429" s="218" t="s">
        <v>3652</v>
      </c>
      <c r="X429" s="218" t="s">
        <v>3652</v>
      </c>
      <c r="Y429" s="212" t="s">
        <v>4270</v>
      </c>
      <c r="Z429" s="209" t="s">
        <v>3664</v>
      </c>
      <c r="AA429" s="219"/>
      <c r="AB429" s="218"/>
      <c r="AC429" s="217" t="e">
        <v>#N/A</v>
      </c>
      <c r="AD429" s="217">
        <v>90030</v>
      </c>
      <c r="AE429" s="217" t="s">
        <v>2830</v>
      </c>
      <c r="AF429" s="217" t="s">
        <v>4109</v>
      </c>
      <c r="AG429" s="217" t="s">
        <v>32</v>
      </c>
      <c r="AH429" s="220" t="str">
        <f t="shared" si="28"/>
        <v>4590006248_002</v>
      </c>
      <c r="AI429" s="208"/>
      <c r="AJ429" s="225">
        <v>45017</v>
      </c>
      <c r="AK429" s="221">
        <v>0</v>
      </c>
      <c r="AL429" s="314" t="s">
        <v>3788</v>
      </c>
      <c r="AM429" s="208"/>
      <c r="AN429" s="220"/>
      <c r="AO429" s="222"/>
      <c r="AP429" s="227"/>
      <c r="AQ429" s="358">
        <f ca="1">IF(表格1[[#This Row],[PO$]]="","100%",表格1[[#This Row],[total amount]]/表格1[[#This Row],[PO$]])</f>
        <v>0</v>
      </c>
      <c r="AR429" s="223">
        <f ca="1">表格1[[#This Row],[invoice amount]]+表格1[[#This Row],[invoice amount2]]</f>
        <v>0</v>
      </c>
      <c r="AS429" s="224" t="s">
        <v>3789</v>
      </c>
      <c r="AT429" s="208" t="s">
        <v>4870</v>
      </c>
      <c r="AU429" s="208" t="e">
        <f ca="1">VLOOKUP(表格1[[#This Row],[PO+ITEM]],#REF!,2,FALSE)</f>
        <v>#REF!</v>
      </c>
      <c r="AV429" s="341" t="e">
        <f ca="1">VLOOKUP(表格1[[#This Row],[PO+ITEM]],#REF!,3,FALSE)</f>
        <v>#REF!</v>
      </c>
      <c r="AW429" s="208" t="e">
        <f ca="1">VLOOKUP(表格1[[#This Row],[PO+ITEM]],#REF!,4,FALSE)</f>
        <v>#REF!</v>
      </c>
      <c r="AX429" s="208" t="e" cm="1" vm="1">
        <f t="array" aca="1" ref="AX429" ca="1">VLOOKUP(AI:AI,#REF!,1,FALSE)</f>
        <v>#VALUE!</v>
      </c>
    </row>
    <row r="430" spans="1:50" ht="15.6">
      <c r="A430" s="220">
        <v>429</v>
      </c>
      <c r="B430" s="220" t="s">
        <v>3674</v>
      </c>
      <c r="C430" s="209" t="s">
        <v>16</v>
      </c>
      <c r="D430" s="209" t="s">
        <v>3648</v>
      </c>
      <c r="E430" s="209"/>
      <c r="F430" s="209"/>
      <c r="G430" s="209"/>
      <c r="H430" s="210" t="s">
        <v>4871</v>
      </c>
      <c r="I430" s="210"/>
      <c r="J430" s="211"/>
      <c r="K430" s="210"/>
      <c r="L430" s="212" t="s">
        <v>4269</v>
      </c>
      <c r="M430" s="212" t="s">
        <v>2999</v>
      </c>
      <c r="N430" s="213"/>
      <c r="O430" s="263">
        <v>4590006248</v>
      </c>
      <c r="P430" s="214">
        <v>44836</v>
      </c>
      <c r="Q430" s="334">
        <v>3</v>
      </c>
      <c r="R430" s="216">
        <v>12089.63</v>
      </c>
      <c r="S430" s="217" t="s">
        <v>2156</v>
      </c>
      <c r="T430" s="209" t="s">
        <v>3926</v>
      </c>
      <c r="U430" s="209" t="s">
        <v>3927</v>
      </c>
      <c r="V430" s="213" t="s">
        <v>3928</v>
      </c>
      <c r="W430" s="218" t="s">
        <v>3652</v>
      </c>
      <c r="X430" s="218" t="s">
        <v>3652</v>
      </c>
      <c r="Y430" s="212" t="s">
        <v>4270</v>
      </c>
      <c r="Z430" s="209" t="s">
        <v>3664</v>
      </c>
      <c r="AA430" s="219"/>
      <c r="AB430" s="218"/>
      <c r="AC430" s="217" t="e">
        <v>#N/A</v>
      </c>
      <c r="AD430" s="217">
        <v>90031</v>
      </c>
      <c r="AE430" s="217" t="s">
        <v>2848</v>
      </c>
      <c r="AF430" s="217" t="s">
        <v>4109</v>
      </c>
      <c r="AG430" s="217" t="s">
        <v>32</v>
      </c>
      <c r="AH430" s="220" t="str">
        <f t="shared" si="28"/>
        <v>4590006248_003</v>
      </c>
      <c r="AI430" s="208"/>
      <c r="AJ430" s="225">
        <v>45017</v>
      </c>
      <c r="AK430" s="221">
        <v>0</v>
      </c>
      <c r="AL430" s="314" t="s">
        <v>3788</v>
      </c>
      <c r="AM430" s="208"/>
      <c r="AN430" s="220"/>
      <c r="AO430" s="222"/>
      <c r="AP430" s="227"/>
      <c r="AQ430" s="358">
        <f ca="1">IF(表格1[[#This Row],[PO$]]="","100%",表格1[[#This Row],[total amount]]/表格1[[#This Row],[PO$]])</f>
        <v>0</v>
      </c>
      <c r="AR430" s="223">
        <f ca="1">表格1[[#This Row],[invoice amount]]+表格1[[#This Row],[invoice amount2]]</f>
        <v>0</v>
      </c>
      <c r="AS430" s="224" t="s">
        <v>3789</v>
      </c>
      <c r="AT430" s="208" t="s">
        <v>4870</v>
      </c>
      <c r="AU430" s="208" t="e">
        <f ca="1">VLOOKUP(表格1[[#This Row],[PO+ITEM]],#REF!,2,FALSE)</f>
        <v>#REF!</v>
      </c>
      <c r="AV430" s="341" t="e">
        <f ca="1">VLOOKUP(表格1[[#This Row],[PO+ITEM]],#REF!,3,FALSE)</f>
        <v>#REF!</v>
      </c>
      <c r="AW430" s="208" t="e">
        <f ca="1">VLOOKUP(表格1[[#This Row],[PO+ITEM]],#REF!,4,FALSE)</f>
        <v>#REF!</v>
      </c>
      <c r="AX430" s="208" t="e" cm="1" vm="1">
        <f t="array" aca="1" ref="AX430" ca="1">VLOOKUP(AI:AI,#REF!,1,FALSE)</f>
        <v>#VALUE!</v>
      </c>
    </row>
    <row r="431" spans="1:50" ht="15.6">
      <c r="A431" s="220">
        <v>430</v>
      </c>
      <c r="B431" s="220" t="s">
        <v>3674</v>
      </c>
      <c r="C431" s="209" t="s">
        <v>16</v>
      </c>
      <c r="D431" s="209" t="s">
        <v>3648</v>
      </c>
      <c r="E431" s="209"/>
      <c r="F431" s="209"/>
      <c r="G431" s="209"/>
      <c r="H431" s="210" t="s">
        <v>4873</v>
      </c>
      <c r="I431" s="210"/>
      <c r="J431" s="211"/>
      <c r="K431" s="210"/>
      <c r="L431" s="212" t="s">
        <v>4269</v>
      </c>
      <c r="M431" s="212" t="s">
        <v>2999</v>
      </c>
      <c r="N431" s="213"/>
      <c r="O431" s="263">
        <v>4590006248</v>
      </c>
      <c r="P431" s="214">
        <v>44836</v>
      </c>
      <c r="Q431" s="334">
        <v>4</v>
      </c>
      <c r="R431" s="216">
        <v>10274</v>
      </c>
      <c r="S431" s="217" t="s">
        <v>2156</v>
      </c>
      <c r="T431" s="209" t="s">
        <v>3926</v>
      </c>
      <c r="U431" s="209" t="s">
        <v>3927</v>
      </c>
      <c r="V431" s="213" t="s">
        <v>3928</v>
      </c>
      <c r="W431" s="218" t="s">
        <v>3652</v>
      </c>
      <c r="X431" s="218" t="s">
        <v>3652</v>
      </c>
      <c r="Y431" s="212" t="s">
        <v>4270</v>
      </c>
      <c r="Z431" s="209" t="s">
        <v>3664</v>
      </c>
      <c r="AA431" s="219"/>
      <c r="AB431" s="218"/>
      <c r="AC431" s="217" t="e">
        <v>#N/A</v>
      </c>
      <c r="AD431" s="217">
        <v>90047</v>
      </c>
      <c r="AE431" s="217" t="s">
        <v>2844</v>
      </c>
      <c r="AF431" s="217" t="s">
        <v>4109</v>
      </c>
      <c r="AG431" s="217" t="s">
        <v>32</v>
      </c>
      <c r="AH431" s="220" t="str">
        <f t="shared" si="28"/>
        <v>4590006248_004</v>
      </c>
      <c r="AI431" s="208"/>
      <c r="AJ431" s="225">
        <v>45017</v>
      </c>
      <c r="AK431" s="221">
        <v>0</v>
      </c>
      <c r="AL431" s="314" t="s">
        <v>3788</v>
      </c>
      <c r="AM431" s="208"/>
      <c r="AN431" s="220"/>
      <c r="AO431" s="222"/>
      <c r="AP431" s="227"/>
      <c r="AQ431" s="358">
        <f ca="1">IF(表格1[[#This Row],[PO$]]="","100%",表格1[[#This Row],[total amount]]/表格1[[#This Row],[PO$]])</f>
        <v>0</v>
      </c>
      <c r="AR431" s="223">
        <f ca="1">表格1[[#This Row],[invoice amount]]+表格1[[#This Row],[invoice amount2]]</f>
        <v>0</v>
      </c>
      <c r="AS431" s="224" t="s">
        <v>3789</v>
      </c>
      <c r="AT431" s="208" t="s">
        <v>4875</v>
      </c>
      <c r="AU431" s="208" t="e">
        <f ca="1">VLOOKUP(表格1[[#This Row],[PO+ITEM]],#REF!,2,FALSE)</f>
        <v>#REF!</v>
      </c>
      <c r="AV431" s="341" t="e">
        <f ca="1">VLOOKUP(表格1[[#This Row],[PO+ITEM]],#REF!,3,FALSE)</f>
        <v>#REF!</v>
      </c>
      <c r="AW431" s="208" t="e">
        <f ca="1">VLOOKUP(表格1[[#This Row],[PO+ITEM]],#REF!,4,FALSE)</f>
        <v>#REF!</v>
      </c>
      <c r="AX431" s="208" t="e" cm="1" vm="1">
        <f t="array" aca="1" ref="AX431" ca="1">VLOOKUP(AI:AI,#REF!,1,FALSE)</f>
        <v>#VALUE!</v>
      </c>
    </row>
    <row r="432" spans="1:50" ht="15.6">
      <c r="A432" s="220">
        <v>431</v>
      </c>
      <c r="B432" s="220" t="s">
        <v>3674</v>
      </c>
      <c r="C432" s="209" t="s">
        <v>16</v>
      </c>
      <c r="D432" s="209" t="s">
        <v>3648</v>
      </c>
      <c r="E432" s="209"/>
      <c r="F432" s="209"/>
      <c r="G432" s="209"/>
      <c r="H432" s="210" t="s">
        <v>4876</v>
      </c>
      <c r="I432" s="210"/>
      <c r="J432" s="211"/>
      <c r="K432" s="210"/>
      <c r="L432" s="212" t="s">
        <v>4269</v>
      </c>
      <c r="M432" s="212" t="s">
        <v>2999</v>
      </c>
      <c r="N432" s="213"/>
      <c r="O432" s="263">
        <v>4590006248</v>
      </c>
      <c r="P432" s="214">
        <v>44836</v>
      </c>
      <c r="Q432" s="334">
        <v>5</v>
      </c>
      <c r="R432" s="216">
        <v>10274</v>
      </c>
      <c r="S432" s="217" t="s">
        <v>2156</v>
      </c>
      <c r="T432" s="209" t="s">
        <v>3926</v>
      </c>
      <c r="U432" s="209" t="s">
        <v>3927</v>
      </c>
      <c r="V432" s="213" t="s">
        <v>3928</v>
      </c>
      <c r="W432" s="218" t="s">
        <v>3652</v>
      </c>
      <c r="X432" s="218" t="s">
        <v>3652</v>
      </c>
      <c r="Y432" s="212" t="s">
        <v>4270</v>
      </c>
      <c r="Z432" s="209" t="s">
        <v>3664</v>
      </c>
      <c r="AA432" s="219"/>
      <c r="AB432" s="218"/>
      <c r="AC432" s="217" t="e">
        <v>#N/A</v>
      </c>
      <c r="AD432" s="217">
        <v>90054</v>
      </c>
      <c r="AE432" s="217" t="s">
        <v>2838</v>
      </c>
      <c r="AF432" s="217" t="s">
        <v>4109</v>
      </c>
      <c r="AG432" s="217" t="s">
        <v>32</v>
      </c>
      <c r="AH432" s="220" t="str">
        <f t="shared" si="28"/>
        <v>4590006248_005</v>
      </c>
      <c r="AI432" s="208"/>
      <c r="AJ432" s="225">
        <v>45017</v>
      </c>
      <c r="AK432" s="221">
        <v>0</v>
      </c>
      <c r="AL432" s="314" t="s">
        <v>3788</v>
      </c>
      <c r="AM432" s="208"/>
      <c r="AN432" s="220"/>
      <c r="AO432" s="222"/>
      <c r="AP432" s="227"/>
      <c r="AQ432" s="358">
        <f ca="1">IF(表格1[[#This Row],[PO$]]="","100%",表格1[[#This Row],[total amount]]/表格1[[#This Row],[PO$]])</f>
        <v>0</v>
      </c>
      <c r="AR432" s="223">
        <f ca="1">表格1[[#This Row],[invoice amount]]+表格1[[#This Row],[invoice amount2]]</f>
        <v>0</v>
      </c>
      <c r="AS432" s="224" t="s">
        <v>3789</v>
      </c>
      <c r="AT432" s="208" t="s">
        <v>4878</v>
      </c>
      <c r="AU432" s="208" t="e">
        <f ca="1">VLOOKUP(表格1[[#This Row],[PO+ITEM]],#REF!,2,FALSE)</f>
        <v>#REF!</v>
      </c>
      <c r="AV432" s="341" t="e">
        <f ca="1">VLOOKUP(表格1[[#This Row],[PO+ITEM]],#REF!,3,FALSE)</f>
        <v>#REF!</v>
      </c>
      <c r="AW432" s="208" t="e">
        <f ca="1">VLOOKUP(表格1[[#This Row],[PO+ITEM]],#REF!,4,FALSE)</f>
        <v>#REF!</v>
      </c>
      <c r="AX432" s="208" t="e" cm="1" vm="1">
        <f t="array" aca="1" ref="AX432" ca="1">VLOOKUP(AI:AI,#REF!,1,FALSE)</f>
        <v>#VALUE!</v>
      </c>
    </row>
    <row r="433" spans="1:50">
      <c r="A433" s="220">
        <v>432</v>
      </c>
      <c r="B433" s="220" t="s">
        <v>3659</v>
      </c>
      <c r="C433" s="209" t="s">
        <v>16</v>
      </c>
      <c r="D433" s="209" t="s">
        <v>3648</v>
      </c>
      <c r="E433" s="209"/>
      <c r="F433" s="209"/>
      <c r="G433" s="209"/>
      <c r="H433" s="217" t="s">
        <v>4879</v>
      </c>
      <c r="I433" s="217"/>
      <c r="J433" s="215"/>
      <c r="K433" s="217"/>
      <c r="L433" s="212" t="s">
        <v>2999</v>
      </c>
      <c r="M433" s="212" t="s">
        <v>2999</v>
      </c>
      <c r="N433" s="213"/>
      <c r="O433" s="263">
        <v>4590006249</v>
      </c>
      <c r="P433" s="214">
        <v>44836</v>
      </c>
      <c r="Q433" s="334">
        <v>1</v>
      </c>
      <c r="R433" s="216">
        <v>113844.96</v>
      </c>
      <c r="S433" s="217" t="s">
        <v>2156</v>
      </c>
      <c r="T433" s="209" t="s">
        <v>3864</v>
      </c>
      <c r="U433" s="209" t="s">
        <v>3865</v>
      </c>
      <c r="V433" s="213" t="s">
        <v>3866</v>
      </c>
      <c r="W433" s="218" t="s">
        <v>3652</v>
      </c>
      <c r="X433" s="218" t="s">
        <v>3652</v>
      </c>
      <c r="Y433" s="212">
        <v>0</v>
      </c>
      <c r="Z433" s="209" t="s">
        <v>3664</v>
      </c>
      <c r="AA433" s="219"/>
      <c r="AB433" s="218"/>
      <c r="AC433" s="217" t="e">
        <v>#N/A</v>
      </c>
      <c r="AD433" s="217">
        <v>91078</v>
      </c>
      <c r="AE433" s="217" t="s">
        <v>3139</v>
      </c>
      <c r="AF433" s="217" t="s">
        <v>3770</v>
      </c>
      <c r="AG433" s="217" t="s">
        <v>4309</v>
      </c>
      <c r="AH433" s="220" t="str">
        <f t="shared" si="28"/>
        <v>4590006249_001</v>
      </c>
      <c r="AI433" s="208"/>
      <c r="AJ433" s="220"/>
      <c r="AK433" s="221"/>
      <c r="AL433" s="227"/>
      <c r="AM433" s="208"/>
      <c r="AN433" s="220"/>
      <c r="AO433" s="222"/>
      <c r="AP433" s="227"/>
      <c r="AQ433" s="358">
        <f ca="1">IF(表格1[[#This Row],[PO$]]="","100%",表格1[[#This Row],[total amount]]/表格1[[#This Row],[PO$]])</f>
        <v>0</v>
      </c>
      <c r="AR433" s="223">
        <f ca="1">表格1[[#This Row],[invoice amount]]+表格1[[#This Row],[invoice amount2]]</f>
        <v>0</v>
      </c>
      <c r="AS433" s="224"/>
      <c r="AT433" s="208"/>
      <c r="AU433" s="208" t="e">
        <f ca="1">VLOOKUP(表格1[[#This Row],[PO+ITEM]],#REF!,2,FALSE)</f>
        <v>#REF!</v>
      </c>
      <c r="AV433" s="341" t="e">
        <f ca="1">VLOOKUP(表格1[[#This Row],[PO+ITEM]],#REF!,3,FALSE)</f>
        <v>#REF!</v>
      </c>
      <c r="AW433" s="208" t="e">
        <f ca="1">VLOOKUP(表格1[[#This Row],[PO+ITEM]],#REF!,4,FALSE)</f>
        <v>#REF!</v>
      </c>
      <c r="AX433" s="208" t="e" cm="1" vm="1">
        <f t="array" aca="1" ref="AX433" ca="1">VLOOKUP(AI:AI,#REF!,1,FALSE)</f>
        <v>#VALUE!</v>
      </c>
    </row>
    <row r="434" spans="1:50">
      <c r="A434" s="220">
        <v>433</v>
      </c>
      <c r="B434" s="220" t="s">
        <v>3659</v>
      </c>
      <c r="C434" s="209" t="s">
        <v>16</v>
      </c>
      <c r="D434" s="209" t="s">
        <v>3648</v>
      </c>
      <c r="E434" s="209"/>
      <c r="F434" s="209"/>
      <c r="G434" s="209"/>
      <c r="H434" s="217" t="s">
        <v>4880</v>
      </c>
      <c r="I434" s="217"/>
      <c r="J434" s="215"/>
      <c r="K434" s="217"/>
      <c r="L434" s="212" t="s">
        <v>2999</v>
      </c>
      <c r="M434" s="212" t="s">
        <v>2999</v>
      </c>
      <c r="N434" s="213"/>
      <c r="O434" s="263">
        <v>4590006249</v>
      </c>
      <c r="P434" s="214">
        <v>44836</v>
      </c>
      <c r="Q434" s="334">
        <v>2</v>
      </c>
      <c r="R434" s="216">
        <v>1039.5999999999999</v>
      </c>
      <c r="S434" s="217" t="s">
        <v>2156</v>
      </c>
      <c r="T434" s="209" t="s">
        <v>3864</v>
      </c>
      <c r="U434" s="209" t="s">
        <v>3865</v>
      </c>
      <c r="V434" s="213" t="s">
        <v>3866</v>
      </c>
      <c r="W434" s="218" t="s">
        <v>3652</v>
      </c>
      <c r="X434" s="218" t="s">
        <v>3652</v>
      </c>
      <c r="Y434" s="212">
        <v>0</v>
      </c>
      <c r="Z434" s="209" t="s">
        <v>3664</v>
      </c>
      <c r="AA434" s="219"/>
      <c r="AB434" s="218"/>
      <c r="AC434" s="217" t="e">
        <v>#N/A</v>
      </c>
      <c r="AD434" s="217">
        <v>91078</v>
      </c>
      <c r="AE434" s="217" t="s">
        <v>3139</v>
      </c>
      <c r="AF434" s="217" t="s">
        <v>3770</v>
      </c>
      <c r="AG434" s="217" t="s">
        <v>4309</v>
      </c>
      <c r="AH434" s="220" t="str">
        <f t="shared" si="28"/>
        <v>4590006249_002</v>
      </c>
      <c r="AI434" s="208"/>
      <c r="AJ434" s="220"/>
      <c r="AK434" s="221"/>
      <c r="AL434" s="227"/>
      <c r="AM434" s="208"/>
      <c r="AN434" s="220"/>
      <c r="AO434" s="222"/>
      <c r="AP434" s="227"/>
      <c r="AQ434" s="358">
        <f ca="1">IF(表格1[[#This Row],[PO$]]="","100%",表格1[[#This Row],[total amount]]/表格1[[#This Row],[PO$]])</f>
        <v>0</v>
      </c>
      <c r="AR434" s="223">
        <f ca="1">表格1[[#This Row],[invoice amount]]+表格1[[#This Row],[invoice amount2]]</f>
        <v>0</v>
      </c>
      <c r="AS434" s="224"/>
      <c r="AT434" s="208"/>
      <c r="AU434" s="208" t="e">
        <f ca="1">VLOOKUP(表格1[[#This Row],[PO+ITEM]],#REF!,2,FALSE)</f>
        <v>#REF!</v>
      </c>
      <c r="AV434" s="341" t="e">
        <f ca="1">VLOOKUP(表格1[[#This Row],[PO+ITEM]],#REF!,3,FALSE)</f>
        <v>#REF!</v>
      </c>
      <c r="AW434" s="208" t="e">
        <f ca="1">VLOOKUP(表格1[[#This Row],[PO+ITEM]],#REF!,4,FALSE)</f>
        <v>#REF!</v>
      </c>
      <c r="AX434" s="208" t="e" cm="1" vm="1">
        <f t="array" aca="1" ref="AX434" ca="1">VLOOKUP(AI:AI,#REF!,1,FALSE)</f>
        <v>#VALUE!</v>
      </c>
    </row>
    <row r="435" spans="1:50" s="230" customFormat="1">
      <c r="A435" s="239">
        <v>434</v>
      </c>
      <c r="B435" s="220" t="e">
        <v>#N/A</v>
      </c>
      <c r="C435" s="231" t="s">
        <v>16</v>
      </c>
      <c r="D435" s="231" t="s">
        <v>3648</v>
      </c>
      <c r="E435" s="231"/>
      <c r="F435" s="231"/>
      <c r="G435" s="231"/>
      <c r="H435" s="232" t="s">
        <v>4881</v>
      </c>
      <c r="I435" s="232"/>
      <c r="J435" s="233"/>
      <c r="K435" s="232"/>
      <c r="L435" s="234" t="s">
        <v>2999</v>
      </c>
      <c r="M435" s="234" t="s">
        <v>2999</v>
      </c>
      <c r="N435" s="235"/>
      <c r="O435" s="268">
        <v>4590006249</v>
      </c>
      <c r="P435" s="236">
        <v>44836</v>
      </c>
      <c r="Q435" s="336">
        <v>3</v>
      </c>
      <c r="R435" s="237"/>
      <c r="S435" s="232" t="s">
        <v>2156</v>
      </c>
      <c r="T435" s="231" t="s">
        <v>3864</v>
      </c>
      <c r="U435" s="231" t="s">
        <v>3865</v>
      </c>
      <c r="V435" s="235" t="s">
        <v>3866</v>
      </c>
      <c r="W435" s="238" t="s">
        <v>3652</v>
      </c>
      <c r="X435" s="238" t="s">
        <v>3652</v>
      </c>
      <c r="Y435" s="234">
        <v>0</v>
      </c>
      <c r="Z435" s="231" t="s">
        <v>3664</v>
      </c>
      <c r="AA435" s="269"/>
      <c r="AB435" s="238"/>
      <c r="AC435" s="232" t="e">
        <v>#N/A</v>
      </c>
      <c r="AD435" s="232">
        <v>91082</v>
      </c>
      <c r="AE435" s="232" t="s">
        <v>3134</v>
      </c>
      <c r="AF435" s="232" t="s">
        <v>3770</v>
      </c>
      <c r="AG435" s="232" t="s">
        <v>4309</v>
      </c>
      <c r="AH435" s="239" t="str">
        <f t="shared" si="28"/>
        <v>4590006249_003</v>
      </c>
      <c r="AJ435" s="239"/>
      <c r="AK435" s="240"/>
      <c r="AL435" s="302"/>
      <c r="AN435" s="239"/>
      <c r="AO435" s="241"/>
      <c r="AP435" s="302"/>
      <c r="AQ435" s="358" t="str">
        <f ca="1">IF(表格1[[#This Row],[PO$]]="","100%",表格1[[#This Row],[total amount]]/表格1[[#This Row],[PO$]])</f>
        <v>100%</v>
      </c>
      <c r="AR435" s="242"/>
      <c r="AS435" s="243"/>
      <c r="AT435" s="208"/>
      <c r="AU435" s="208" t="e">
        <f ca="1">VLOOKUP(表格1[[#This Row],[PO+ITEM]],#REF!,2,FALSE)</f>
        <v>#REF!</v>
      </c>
      <c r="AV435" s="341" t="e">
        <f ca="1">VLOOKUP(表格1[[#This Row],[PO+ITEM]],#REF!,3,FALSE)</f>
        <v>#REF!</v>
      </c>
      <c r="AW435" s="208" t="e">
        <f ca="1">VLOOKUP(表格1[[#This Row],[PO+ITEM]],#REF!,4,FALSE)</f>
        <v>#REF!</v>
      </c>
      <c r="AX435" s="208" t="e" cm="1" vm="1">
        <f t="array" aca="1" ref="AX435" ca="1">VLOOKUP(AI:AI,#REF!,1,FALSE)</f>
        <v>#VALUE!</v>
      </c>
    </row>
    <row r="436" spans="1:50">
      <c r="A436" s="220">
        <v>435</v>
      </c>
      <c r="B436" s="220" t="s">
        <v>3659</v>
      </c>
      <c r="C436" s="209" t="s">
        <v>16</v>
      </c>
      <c r="D436" s="209" t="s">
        <v>3648</v>
      </c>
      <c r="E436" s="209"/>
      <c r="F436" s="209"/>
      <c r="G436" s="209"/>
      <c r="H436" s="217" t="s">
        <v>4882</v>
      </c>
      <c r="I436" s="217"/>
      <c r="J436" s="215"/>
      <c r="K436" s="217"/>
      <c r="L436" s="212" t="s">
        <v>2999</v>
      </c>
      <c r="M436" s="212" t="s">
        <v>2999</v>
      </c>
      <c r="N436" s="213"/>
      <c r="O436" s="263">
        <v>4590006249</v>
      </c>
      <c r="P436" s="214">
        <v>44836</v>
      </c>
      <c r="Q436" s="334">
        <v>4</v>
      </c>
      <c r="R436" s="216">
        <v>1039.5999999999999</v>
      </c>
      <c r="S436" s="217" t="s">
        <v>2156</v>
      </c>
      <c r="T436" s="209" t="s">
        <v>3864</v>
      </c>
      <c r="U436" s="209" t="s">
        <v>3865</v>
      </c>
      <c r="V436" s="213" t="s">
        <v>3866</v>
      </c>
      <c r="W436" s="218" t="s">
        <v>3652</v>
      </c>
      <c r="X436" s="218" t="s">
        <v>3652</v>
      </c>
      <c r="Y436" s="212">
        <v>0</v>
      </c>
      <c r="Z436" s="209" t="s">
        <v>3664</v>
      </c>
      <c r="AA436" s="219"/>
      <c r="AB436" s="218"/>
      <c r="AC436" s="217" t="e">
        <v>#N/A</v>
      </c>
      <c r="AD436" s="217">
        <v>91083</v>
      </c>
      <c r="AE436" s="217" t="s">
        <v>3129</v>
      </c>
      <c r="AF436" s="217" t="s">
        <v>3770</v>
      </c>
      <c r="AG436" s="217" t="s">
        <v>4309</v>
      </c>
      <c r="AH436" s="220" t="str">
        <f t="shared" si="28"/>
        <v>4590006249_004</v>
      </c>
      <c r="AI436" s="208"/>
      <c r="AJ436" s="220"/>
      <c r="AK436" s="221"/>
      <c r="AL436" s="227"/>
      <c r="AM436" s="208"/>
      <c r="AN436" s="220"/>
      <c r="AO436" s="222"/>
      <c r="AP436" s="227"/>
      <c r="AQ436" s="358">
        <f ca="1">IF(表格1[[#This Row],[PO$]]="","100%",表格1[[#This Row],[total amount]]/表格1[[#This Row],[PO$]])</f>
        <v>0</v>
      </c>
      <c r="AR436" s="223">
        <f ca="1">表格1[[#This Row],[invoice amount]]+表格1[[#This Row],[invoice amount2]]</f>
        <v>0</v>
      </c>
      <c r="AS436" s="224"/>
      <c r="AT436" s="208"/>
      <c r="AU436" s="208" t="e">
        <f ca="1">VLOOKUP(表格1[[#This Row],[PO+ITEM]],#REF!,2,FALSE)</f>
        <v>#REF!</v>
      </c>
      <c r="AV436" s="341" t="e">
        <f ca="1">VLOOKUP(表格1[[#This Row],[PO+ITEM]],#REF!,3,FALSE)</f>
        <v>#REF!</v>
      </c>
      <c r="AW436" s="208" t="e">
        <f ca="1">VLOOKUP(表格1[[#This Row],[PO+ITEM]],#REF!,4,FALSE)</f>
        <v>#REF!</v>
      </c>
      <c r="AX436" s="208" t="e" cm="1" vm="1">
        <f t="array" aca="1" ref="AX436" ca="1">VLOOKUP(AI:AI,#REF!,1,FALSE)</f>
        <v>#VALUE!</v>
      </c>
    </row>
    <row r="437" spans="1:50">
      <c r="A437" s="220">
        <v>436</v>
      </c>
      <c r="B437" s="220" t="s">
        <v>3659</v>
      </c>
      <c r="C437" s="209" t="s">
        <v>16</v>
      </c>
      <c r="D437" s="209" t="s">
        <v>3648</v>
      </c>
      <c r="E437" s="209"/>
      <c r="F437" s="209"/>
      <c r="G437" s="209"/>
      <c r="H437" s="217" t="s">
        <v>4883</v>
      </c>
      <c r="I437" s="217"/>
      <c r="J437" s="215"/>
      <c r="K437" s="217"/>
      <c r="L437" s="212" t="s">
        <v>2999</v>
      </c>
      <c r="M437" s="212" t="s">
        <v>2999</v>
      </c>
      <c r="N437" s="213"/>
      <c r="O437" s="263">
        <v>4590006249</v>
      </c>
      <c r="P437" s="214">
        <v>44836</v>
      </c>
      <c r="Q437" s="334">
        <v>5</v>
      </c>
      <c r="R437" s="216">
        <v>1039.5999999999999</v>
      </c>
      <c r="S437" s="217" t="s">
        <v>2156</v>
      </c>
      <c r="T437" s="209" t="s">
        <v>3864</v>
      </c>
      <c r="U437" s="209" t="s">
        <v>3865</v>
      </c>
      <c r="V437" s="213" t="s">
        <v>3866</v>
      </c>
      <c r="W437" s="218" t="s">
        <v>3652</v>
      </c>
      <c r="X437" s="218" t="s">
        <v>3652</v>
      </c>
      <c r="Y437" s="212">
        <v>0</v>
      </c>
      <c r="Z437" s="209" t="s">
        <v>3664</v>
      </c>
      <c r="AA437" s="219"/>
      <c r="AB437" s="218"/>
      <c r="AC437" s="217" t="e">
        <v>#N/A</v>
      </c>
      <c r="AD437" s="217">
        <v>91269</v>
      </c>
      <c r="AE437" s="217" t="s">
        <v>3131</v>
      </c>
      <c r="AF437" s="217" t="s">
        <v>3770</v>
      </c>
      <c r="AG437" s="217" t="s">
        <v>4309</v>
      </c>
      <c r="AH437" s="220" t="str">
        <f t="shared" si="28"/>
        <v>4590006249_005</v>
      </c>
      <c r="AI437" s="208"/>
      <c r="AJ437" s="220"/>
      <c r="AK437" s="221"/>
      <c r="AL437" s="227"/>
      <c r="AM437" s="208"/>
      <c r="AN437" s="220"/>
      <c r="AO437" s="222"/>
      <c r="AP437" s="227"/>
      <c r="AQ437" s="358">
        <f ca="1">IF(表格1[[#This Row],[PO$]]="","100%",表格1[[#This Row],[total amount]]/表格1[[#This Row],[PO$]])</f>
        <v>0</v>
      </c>
      <c r="AR437" s="223">
        <f ca="1">表格1[[#This Row],[invoice amount]]+表格1[[#This Row],[invoice amount2]]</f>
        <v>0</v>
      </c>
      <c r="AS437" s="224"/>
      <c r="AT437" s="208"/>
      <c r="AU437" s="208" t="e">
        <f ca="1">VLOOKUP(表格1[[#This Row],[PO+ITEM]],#REF!,2,FALSE)</f>
        <v>#REF!</v>
      </c>
      <c r="AV437" s="341" t="e">
        <f ca="1">VLOOKUP(表格1[[#This Row],[PO+ITEM]],#REF!,3,FALSE)</f>
        <v>#REF!</v>
      </c>
      <c r="AW437" s="208" t="e">
        <f ca="1">VLOOKUP(表格1[[#This Row],[PO+ITEM]],#REF!,4,FALSE)</f>
        <v>#REF!</v>
      </c>
      <c r="AX437" s="208" t="e" cm="1" vm="1">
        <f t="array" aca="1" ref="AX437" ca="1">VLOOKUP(AI:AI,#REF!,1,FALSE)</f>
        <v>#VALUE!</v>
      </c>
    </row>
    <row r="438" spans="1:50">
      <c r="A438" s="220">
        <v>437</v>
      </c>
      <c r="B438" s="220" t="s">
        <v>3659</v>
      </c>
      <c r="C438" s="209" t="s">
        <v>16</v>
      </c>
      <c r="D438" s="209" t="s">
        <v>3648</v>
      </c>
      <c r="E438" s="209"/>
      <c r="F438" s="209"/>
      <c r="G438" s="209"/>
      <c r="H438" s="217" t="s">
        <v>4884</v>
      </c>
      <c r="I438" s="217"/>
      <c r="J438" s="215"/>
      <c r="K438" s="217"/>
      <c r="L438" s="212" t="s">
        <v>2999</v>
      </c>
      <c r="M438" s="212" t="s">
        <v>2999</v>
      </c>
      <c r="N438" s="213"/>
      <c r="O438" s="263">
        <v>4590006249</v>
      </c>
      <c r="P438" s="214">
        <v>44836</v>
      </c>
      <c r="Q438" s="334">
        <v>6</v>
      </c>
      <c r="R438" s="216">
        <v>1039.5999999999999</v>
      </c>
      <c r="S438" s="217" t="s">
        <v>2156</v>
      </c>
      <c r="T438" s="209" t="s">
        <v>3864</v>
      </c>
      <c r="U438" s="209" t="s">
        <v>3865</v>
      </c>
      <c r="V438" s="213" t="s">
        <v>3866</v>
      </c>
      <c r="W438" s="218" t="s">
        <v>3652</v>
      </c>
      <c r="X438" s="218" t="s">
        <v>3652</v>
      </c>
      <c r="Y438" s="212">
        <v>0</v>
      </c>
      <c r="Z438" s="209" t="s">
        <v>3664</v>
      </c>
      <c r="AA438" s="219"/>
      <c r="AB438" s="218"/>
      <c r="AC438" s="217" t="e">
        <v>#N/A</v>
      </c>
      <c r="AD438" s="217">
        <v>91270</v>
      </c>
      <c r="AE438" s="217" t="s">
        <v>3130</v>
      </c>
      <c r="AF438" s="217" t="s">
        <v>3770</v>
      </c>
      <c r="AG438" s="217" t="s">
        <v>4309</v>
      </c>
      <c r="AH438" s="220" t="str">
        <f t="shared" si="28"/>
        <v>4590006249_006</v>
      </c>
      <c r="AI438" s="208"/>
      <c r="AJ438" s="220"/>
      <c r="AK438" s="221"/>
      <c r="AL438" s="227"/>
      <c r="AM438" s="208"/>
      <c r="AN438" s="220"/>
      <c r="AO438" s="222"/>
      <c r="AP438" s="227"/>
      <c r="AQ438" s="358">
        <f ca="1">IF(表格1[[#This Row],[PO$]]="","100%",表格1[[#This Row],[total amount]]/表格1[[#This Row],[PO$]])</f>
        <v>0</v>
      </c>
      <c r="AR438" s="223">
        <f ca="1">表格1[[#This Row],[invoice amount]]+表格1[[#This Row],[invoice amount2]]</f>
        <v>0</v>
      </c>
      <c r="AS438" s="224"/>
      <c r="AT438" s="208"/>
      <c r="AU438" s="208" t="e">
        <f ca="1">VLOOKUP(表格1[[#This Row],[PO+ITEM]],#REF!,2,FALSE)</f>
        <v>#REF!</v>
      </c>
      <c r="AV438" s="341" t="e">
        <f ca="1">VLOOKUP(表格1[[#This Row],[PO+ITEM]],#REF!,3,FALSE)</f>
        <v>#REF!</v>
      </c>
      <c r="AW438" s="208" t="e">
        <f ca="1">VLOOKUP(表格1[[#This Row],[PO+ITEM]],#REF!,4,FALSE)</f>
        <v>#REF!</v>
      </c>
      <c r="AX438" s="208" t="e" cm="1" vm="1">
        <f t="array" aca="1" ref="AX438" ca="1">VLOOKUP(AI:AI,#REF!,1,FALSE)</f>
        <v>#VALUE!</v>
      </c>
    </row>
    <row r="439" spans="1:50">
      <c r="A439" s="220">
        <v>438</v>
      </c>
      <c r="B439" s="220" t="s">
        <v>3659</v>
      </c>
      <c r="C439" s="209" t="s">
        <v>16</v>
      </c>
      <c r="D439" s="209" t="s">
        <v>3648</v>
      </c>
      <c r="E439" s="209"/>
      <c r="F439" s="209"/>
      <c r="G439" s="209"/>
      <c r="H439" s="217" t="s">
        <v>4885</v>
      </c>
      <c r="I439" s="217"/>
      <c r="J439" s="215"/>
      <c r="K439" s="217"/>
      <c r="L439" s="212" t="s">
        <v>2999</v>
      </c>
      <c r="M439" s="212" t="s">
        <v>2999</v>
      </c>
      <c r="N439" s="213"/>
      <c r="O439" s="263">
        <v>4590006249</v>
      </c>
      <c r="P439" s="214">
        <v>44836</v>
      </c>
      <c r="Q439" s="334">
        <v>7</v>
      </c>
      <c r="R439" s="216">
        <v>1039.5999999999999</v>
      </c>
      <c r="S439" s="217" t="s">
        <v>2156</v>
      </c>
      <c r="T439" s="209" t="s">
        <v>3864</v>
      </c>
      <c r="U439" s="209" t="s">
        <v>3865</v>
      </c>
      <c r="V439" s="213" t="s">
        <v>3866</v>
      </c>
      <c r="W439" s="218" t="s">
        <v>3652</v>
      </c>
      <c r="X439" s="218" t="s">
        <v>3652</v>
      </c>
      <c r="Y439" s="212">
        <v>0</v>
      </c>
      <c r="Z439" s="209" t="s">
        <v>3664</v>
      </c>
      <c r="AA439" s="219"/>
      <c r="AB439" s="218"/>
      <c r="AC439" s="217" t="e">
        <v>#N/A</v>
      </c>
      <c r="AD439" s="217">
        <v>91271</v>
      </c>
      <c r="AE439" s="217" t="s">
        <v>3094</v>
      </c>
      <c r="AF439" s="217" t="s">
        <v>3770</v>
      </c>
      <c r="AG439" s="217" t="s">
        <v>4309</v>
      </c>
      <c r="AH439" s="220" t="str">
        <f t="shared" si="28"/>
        <v>4590006249_007</v>
      </c>
      <c r="AI439" s="208"/>
      <c r="AJ439" s="220"/>
      <c r="AK439" s="221"/>
      <c r="AL439" s="227"/>
      <c r="AM439" s="208"/>
      <c r="AN439" s="220"/>
      <c r="AO439" s="222"/>
      <c r="AP439" s="227"/>
      <c r="AQ439" s="358">
        <f ca="1">IF(表格1[[#This Row],[PO$]]="","100%",表格1[[#This Row],[total amount]]/表格1[[#This Row],[PO$]])</f>
        <v>0</v>
      </c>
      <c r="AR439" s="223">
        <f ca="1">表格1[[#This Row],[invoice amount]]+表格1[[#This Row],[invoice amount2]]</f>
        <v>0</v>
      </c>
      <c r="AS439" s="224"/>
      <c r="AT439" s="208"/>
      <c r="AU439" s="208" t="e">
        <f ca="1">VLOOKUP(表格1[[#This Row],[PO+ITEM]],#REF!,2,FALSE)</f>
        <v>#REF!</v>
      </c>
      <c r="AV439" s="341" t="e">
        <f ca="1">VLOOKUP(表格1[[#This Row],[PO+ITEM]],#REF!,3,FALSE)</f>
        <v>#REF!</v>
      </c>
      <c r="AW439" s="208" t="e">
        <f ca="1">VLOOKUP(表格1[[#This Row],[PO+ITEM]],#REF!,4,FALSE)</f>
        <v>#REF!</v>
      </c>
      <c r="AX439" s="208" t="e" cm="1" vm="1">
        <f t="array" aca="1" ref="AX439" ca="1">VLOOKUP(AI:AI,#REF!,1,FALSE)</f>
        <v>#VALUE!</v>
      </c>
    </row>
    <row r="440" spans="1:50">
      <c r="A440" s="220">
        <v>439</v>
      </c>
      <c r="B440" s="220" t="s">
        <v>3659</v>
      </c>
      <c r="C440" s="209" t="s">
        <v>16</v>
      </c>
      <c r="D440" s="209" t="s">
        <v>3648</v>
      </c>
      <c r="E440" s="209"/>
      <c r="F440" s="209"/>
      <c r="G440" s="209"/>
      <c r="H440" s="217" t="s">
        <v>4886</v>
      </c>
      <c r="I440" s="217"/>
      <c r="J440" s="215"/>
      <c r="K440" s="217"/>
      <c r="L440" s="212" t="s">
        <v>2999</v>
      </c>
      <c r="M440" s="212" t="s">
        <v>2999</v>
      </c>
      <c r="N440" s="213"/>
      <c r="O440" s="263">
        <v>4590006249</v>
      </c>
      <c r="P440" s="214">
        <v>44836</v>
      </c>
      <c r="Q440" s="334">
        <v>8</v>
      </c>
      <c r="R440" s="216">
        <v>1039.5999999999999</v>
      </c>
      <c r="S440" s="217" t="s">
        <v>2156</v>
      </c>
      <c r="T440" s="209" t="s">
        <v>3864</v>
      </c>
      <c r="U440" s="209" t="s">
        <v>3865</v>
      </c>
      <c r="V440" s="213" t="s">
        <v>3866</v>
      </c>
      <c r="W440" s="218" t="s">
        <v>3652</v>
      </c>
      <c r="X440" s="218" t="s">
        <v>3652</v>
      </c>
      <c r="Y440" s="212">
        <v>0</v>
      </c>
      <c r="Z440" s="209" t="s">
        <v>3664</v>
      </c>
      <c r="AA440" s="219"/>
      <c r="AB440" s="218"/>
      <c r="AC440" s="217" t="e">
        <v>#N/A</v>
      </c>
      <c r="AD440" s="217">
        <v>91272</v>
      </c>
      <c r="AE440" s="217" t="s">
        <v>3133</v>
      </c>
      <c r="AF440" s="217" t="s">
        <v>3770</v>
      </c>
      <c r="AG440" s="217" t="s">
        <v>4309</v>
      </c>
      <c r="AH440" s="220" t="str">
        <f t="shared" si="28"/>
        <v>4590006249_008</v>
      </c>
      <c r="AI440" s="208"/>
      <c r="AJ440" s="220"/>
      <c r="AK440" s="221"/>
      <c r="AL440" s="227"/>
      <c r="AM440" s="208"/>
      <c r="AN440" s="220"/>
      <c r="AO440" s="222"/>
      <c r="AP440" s="227"/>
      <c r="AQ440" s="358">
        <f ca="1">IF(表格1[[#This Row],[PO$]]="","100%",表格1[[#This Row],[total amount]]/表格1[[#This Row],[PO$]])</f>
        <v>0</v>
      </c>
      <c r="AR440" s="223">
        <f ca="1">表格1[[#This Row],[invoice amount]]+表格1[[#This Row],[invoice amount2]]</f>
        <v>0</v>
      </c>
      <c r="AS440" s="224"/>
      <c r="AT440" s="208"/>
      <c r="AU440" s="208" t="e">
        <f ca="1">VLOOKUP(表格1[[#This Row],[PO+ITEM]],#REF!,2,FALSE)</f>
        <v>#REF!</v>
      </c>
      <c r="AV440" s="341" t="e">
        <f ca="1">VLOOKUP(表格1[[#This Row],[PO+ITEM]],#REF!,3,FALSE)</f>
        <v>#REF!</v>
      </c>
      <c r="AW440" s="208" t="e">
        <f ca="1">VLOOKUP(表格1[[#This Row],[PO+ITEM]],#REF!,4,FALSE)</f>
        <v>#REF!</v>
      </c>
      <c r="AX440" s="208" t="e" cm="1" vm="1">
        <f t="array" aca="1" ref="AX440" ca="1">VLOOKUP(AI:AI,#REF!,1,FALSE)</f>
        <v>#VALUE!</v>
      </c>
    </row>
    <row r="441" spans="1:50">
      <c r="A441" s="220">
        <v>440</v>
      </c>
      <c r="B441" s="220" t="s">
        <v>3659</v>
      </c>
      <c r="C441" s="209" t="s">
        <v>16</v>
      </c>
      <c r="D441" s="209" t="s">
        <v>3648</v>
      </c>
      <c r="E441" s="209"/>
      <c r="F441" s="209"/>
      <c r="G441" s="209"/>
      <c r="H441" s="217" t="s">
        <v>4887</v>
      </c>
      <c r="I441" s="217"/>
      <c r="J441" s="215"/>
      <c r="K441" s="217"/>
      <c r="L441" s="212" t="s">
        <v>2999</v>
      </c>
      <c r="M441" s="212" t="s">
        <v>2999</v>
      </c>
      <c r="N441" s="213"/>
      <c r="O441" s="263">
        <v>4590006249</v>
      </c>
      <c r="P441" s="214">
        <v>44836</v>
      </c>
      <c r="Q441" s="334">
        <v>9</v>
      </c>
      <c r="R441" s="216">
        <v>1039.5999999999999</v>
      </c>
      <c r="S441" s="217" t="s">
        <v>2156</v>
      </c>
      <c r="T441" s="209" t="s">
        <v>3864</v>
      </c>
      <c r="U441" s="209" t="s">
        <v>3865</v>
      </c>
      <c r="V441" s="213" t="s">
        <v>3866</v>
      </c>
      <c r="W441" s="218" t="s">
        <v>3652</v>
      </c>
      <c r="X441" s="218" t="s">
        <v>3652</v>
      </c>
      <c r="Y441" s="212">
        <v>0</v>
      </c>
      <c r="Z441" s="209" t="s">
        <v>3664</v>
      </c>
      <c r="AA441" s="219"/>
      <c r="AB441" s="218"/>
      <c r="AC441" s="217" t="e">
        <v>#N/A</v>
      </c>
      <c r="AD441" s="217">
        <v>91273</v>
      </c>
      <c r="AE441" s="217" t="s">
        <v>3132</v>
      </c>
      <c r="AF441" s="217" t="s">
        <v>3770</v>
      </c>
      <c r="AG441" s="217" t="s">
        <v>4309</v>
      </c>
      <c r="AH441" s="220" t="str">
        <f t="shared" si="28"/>
        <v>4590006249_009</v>
      </c>
      <c r="AI441" s="208"/>
      <c r="AJ441" s="220"/>
      <c r="AK441" s="221"/>
      <c r="AL441" s="227"/>
      <c r="AM441" s="208"/>
      <c r="AN441" s="220"/>
      <c r="AO441" s="222"/>
      <c r="AP441" s="227"/>
      <c r="AQ441" s="358">
        <f ca="1">IF(表格1[[#This Row],[PO$]]="","100%",表格1[[#This Row],[total amount]]/表格1[[#This Row],[PO$]])</f>
        <v>0</v>
      </c>
      <c r="AR441" s="223">
        <f ca="1">表格1[[#This Row],[invoice amount]]+表格1[[#This Row],[invoice amount2]]</f>
        <v>0</v>
      </c>
      <c r="AS441" s="224"/>
      <c r="AT441" s="208"/>
      <c r="AU441" s="208" t="e">
        <f ca="1">VLOOKUP(表格1[[#This Row],[PO+ITEM]],#REF!,2,FALSE)</f>
        <v>#REF!</v>
      </c>
      <c r="AV441" s="341" t="e">
        <f ca="1">VLOOKUP(表格1[[#This Row],[PO+ITEM]],#REF!,3,FALSE)</f>
        <v>#REF!</v>
      </c>
      <c r="AW441" s="208" t="e">
        <f ca="1">VLOOKUP(表格1[[#This Row],[PO+ITEM]],#REF!,4,FALSE)</f>
        <v>#REF!</v>
      </c>
      <c r="AX441" s="208" t="e" cm="1" vm="1">
        <f t="array" aca="1" ref="AX441" ca="1">VLOOKUP(AI:AI,#REF!,1,FALSE)</f>
        <v>#VALUE!</v>
      </c>
    </row>
    <row r="442" spans="1:50">
      <c r="A442" s="220">
        <v>441</v>
      </c>
      <c r="B442" s="220" t="s">
        <v>3659</v>
      </c>
      <c r="C442" s="209" t="s">
        <v>16</v>
      </c>
      <c r="D442" s="209" t="s">
        <v>3648</v>
      </c>
      <c r="E442" s="209"/>
      <c r="F442" s="209"/>
      <c r="G442" s="209"/>
      <c r="H442" s="217" t="s">
        <v>4888</v>
      </c>
      <c r="I442" s="217"/>
      <c r="J442" s="215"/>
      <c r="K442" s="217"/>
      <c r="L442" s="212" t="s">
        <v>2999</v>
      </c>
      <c r="M442" s="212" t="s">
        <v>2999</v>
      </c>
      <c r="N442" s="213"/>
      <c r="O442" s="263">
        <v>4590006249</v>
      </c>
      <c r="P442" s="214">
        <v>44836</v>
      </c>
      <c r="Q442" s="334">
        <v>10</v>
      </c>
      <c r="R442" s="216">
        <v>1039.5999999999999</v>
      </c>
      <c r="S442" s="217" t="s">
        <v>2156</v>
      </c>
      <c r="T442" s="209" t="s">
        <v>3864</v>
      </c>
      <c r="U442" s="209" t="s">
        <v>3865</v>
      </c>
      <c r="V442" s="213" t="s">
        <v>3866</v>
      </c>
      <c r="W442" s="218" t="s">
        <v>3652</v>
      </c>
      <c r="X442" s="218" t="s">
        <v>3652</v>
      </c>
      <c r="Y442" s="212">
        <v>0</v>
      </c>
      <c r="Z442" s="209" t="s">
        <v>3664</v>
      </c>
      <c r="AA442" s="219"/>
      <c r="AB442" s="218"/>
      <c r="AC442" s="217" t="e">
        <v>#N/A</v>
      </c>
      <c r="AD442" s="217">
        <v>91274</v>
      </c>
      <c r="AE442" s="217" t="s">
        <v>3093</v>
      </c>
      <c r="AF442" s="217" t="s">
        <v>3770</v>
      </c>
      <c r="AG442" s="217" t="s">
        <v>4309</v>
      </c>
      <c r="AH442" s="220" t="str">
        <f t="shared" ref="AH442:AH457" si="29">O442&amp;"_0"&amp;Q442</f>
        <v>4590006249_010</v>
      </c>
      <c r="AI442" s="208"/>
      <c r="AJ442" s="220"/>
      <c r="AK442" s="221"/>
      <c r="AL442" s="227"/>
      <c r="AM442" s="208"/>
      <c r="AN442" s="220"/>
      <c r="AO442" s="222"/>
      <c r="AP442" s="227"/>
      <c r="AQ442" s="358">
        <f ca="1">IF(表格1[[#This Row],[PO$]]="","100%",表格1[[#This Row],[total amount]]/表格1[[#This Row],[PO$]])</f>
        <v>0</v>
      </c>
      <c r="AR442" s="223">
        <f ca="1">表格1[[#This Row],[invoice amount]]+表格1[[#This Row],[invoice amount2]]</f>
        <v>0</v>
      </c>
      <c r="AS442" s="224"/>
      <c r="AT442" s="208"/>
      <c r="AU442" s="208" t="e">
        <f ca="1">VLOOKUP(表格1[[#This Row],[PO+ITEM]],#REF!,2,FALSE)</f>
        <v>#REF!</v>
      </c>
      <c r="AV442" s="341" t="e">
        <f ca="1">VLOOKUP(表格1[[#This Row],[PO+ITEM]],#REF!,3,FALSE)</f>
        <v>#REF!</v>
      </c>
      <c r="AW442" s="208" t="e">
        <f ca="1">VLOOKUP(表格1[[#This Row],[PO+ITEM]],#REF!,4,FALSE)</f>
        <v>#REF!</v>
      </c>
      <c r="AX442" s="208" t="e" cm="1" vm="1">
        <f t="array" aca="1" ref="AX442" ca="1">VLOOKUP(AI:AI,#REF!,1,FALSE)</f>
        <v>#VALUE!</v>
      </c>
    </row>
    <row r="443" spans="1:50">
      <c r="A443" s="220">
        <v>442</v>
      </c>
      <c r="B443" s="220" t="s">
        <v>3659</v>
      </c>
      <c r="C443" s="209" t="s">
        <v>16</v>
      </c>
      <c r="D443" s="209" t="s">
        <v>3648</v>
      </c>
      <c r="E443" s="209"/>
      <c r="F443" s="209"/>
      <c r="G443" s="209"/>
      <c r="H443" s="217" t="s">
        <v>4889</v>
      </c>
      <c r="I443" s="217"/>
      <c r="J443" s="215"/>
      <c r="K443" s="217"/>
      <c r="L443" s="212" t="s">
        <v>2999</v>
      </c>
      <c r="M443" s="212" t="s">
        <v>2999</v>
      </c>
      <c r="N443" s="213"/>
      <c r="O443" s="263">
        <v>4590006249</v>
      </c>
      <c r="P443" s="214">
        <v>44836</v>
      </c>
      <c r="Q443" s="334">
        <v>11</v>
      </c>
      <c r="R443" s="216">
        <v>1039.5999999999999</v>
      </c>
      <c r="S443" s="217" t="s">
        <v>2156</v>
      </c>
      <c r="T443" s="209" t="s">
        <v>3864</v>
      </c>
      <c r="U443" s="209" t="s">
        <v>3865</v>
      </c>
      <c r="V443" s="213" t="s">
        <v>3866</v>
      </c>
      <c r="W443" s="218" t="s">
        <v>3652</v>
      </c>
      <c r="X443" s="218" t="s">
        <v>3652</v>
      </c>
      <c r="Y443" s="212">
        <v>0</v>
      </c>
      <c r="Z443" s="209" t="s">
        <v>3664</v>
      </c>
      <c r="AA443" s="219"/>
      <c r="AB443" s="218"/>
      <c r="AC443" s="217" t="e">
        <v>#N/A</v>
      </c>
      <c r="AD443" s="217">
        <v>91275</v>
      </c>
      <c r="AE443" s="217" t="s">
        <v>3092</v>
      </c>
      <c r="AF443" s="217" t="s">
        <v>3770</v>
      </c>
      <c r="AG443" s="217" t="s">
        <v>4309</v>
      </c>
      <c r="AH443" s="220" t="str">
        <f t="shared" si="29"/>
        <v>4590006249_011</v>
      </c>
      <c r="AI443" s="208"/>
      <c r="AJ443" s="220"/>
      <c r="AK443" s="221"/>
      <c r="AL443" s="227"/>
      <c r="AM443" s="208"/>
      <c r="AN443" s="220"/>
      <c r="AO443" s="222"/>
      <c r="AP443" s="227"/>
      <c r="AQ443" s="358">
        <f ca="1">IF(表格1[[#This Row],[PO$]]="","100%",表格1[[#This Row],[total amount]]/表格1[[#This Row],[PO$]])</f>
        <v>0</v>
      </c>
      <c r="AR443" s="223">
        <f ca="1">表格1[[#This Row],[invoice amount]]+表格1[[#This Row],[invoice amount2]]</f>
        <v>0</v>
      </c>
      <c r="AS443" s="224"/>
      <c r="AT443" s="208"/>
      <c r="AU443" s="208" t="e">
        <f ca="1">VLOOKUP(表格1[[#This Row],[PO+ITEM]],#REF!,2,FALSE)</f>
        <v>#REF!</v>
      </c>
      <c r="AV443" s="341" t="e">
        <f ca="1">VLOOKUP(表格1[[#This Row],[PO+ITEM]],#REF!,3,FALSE)</f>
        <v>#REF!</v>
      </c>
      <c r="AW443" s="208" t="e">
        <f ca="1">VLOOKUP(表格1[[#This Row],[PO+ITEM]],#REF!,4,FALSE)</f>
        <v>#REF!</v>
      </c>
      <c r="AX443" s="208" t="e" cm="1" vm="1">
        <f t="array" aca="1" ref="AX443" ca="1">VLOOKUP(AI:AI,#REF!,1,FALSE)</f>
        <v>#VALUE!</v>
      </c>
    </row>
    <row r="444" spans="1:50">
      <c r="A444" s="220">
        <v>443</v>
      </c>
      <c r="B444" s="220" t="s">
        <v>3659</v>
      </c>
      <c r="C444" s="209" t="s">
        <v>16</v>
      </c>
      <c r="D444" s="209" t="s">
        <v>3648</v>
      </c>
      <c r="E444" s="209"/>
      <c r="F444" s="209"/>
      <c r="G444" s="209"/>
      <c r="H444" s="217" t="s">
        <v>4892</v>
      </c>
      <c r="I444" s="217"/>
      <c r="J444" s="215"/>
      <c r="K444" s="217"/>
      <c r="L444" s="212" t="s">
        <v>2999</v>
      </c>
      <c r="M444" s="212" t="s">
        <v>2999</v>
      </c>
      <c r="N444" s="213"/>
      <c r="O444" s="263">
        <v>4590006249</v>
      </c>
      <c r="P444" s="214">
        <v>44836</v>
      </c>
      <c r="Q444" s="334">
        <v>12</v>
      </c>
      <c r="R444" s="216">
        <v>343.07</v>
      </c>
      <c r="S444" s="217" t="s">
        <v>2156</v>
      </c>
      <c r="T444" s="209" t="s">
        <v>3864</v>
      </c>
      <c r="U444" s="209" t="s">
        <v>3865</v>
      </c>
      <c r="V444" s="213" t="s">
        <v>3866</v>
      </c>
      <c r="W444" s="218" t="s">
        <v>3652</v>
      </c>
      <c r="X444" s="218" t="s">
        <v>3652</v>
      </c>
      <c r="Y444" s="212">
        <v>0</v>
      </c>
      <c r="Z444" s="209" t="s">
        <v>3664</v>
      </c>
      <c r="AA444" s="219"/>
      <c r="AB444" s="218"/>
      <c r="AC444" s="217" t="e">
        <v>#N/A</v>
      </c>
      <c r="AD444" s="217">
        <v>91071</v>
      </c>
      <c r="AE444" s="217" t="s">
        <v>4893</v>
      </c>
      <c r="AF444" s="217" t="s">
        <v>3770</v>
      </c>
      <c r="AG444" s="217" t="s">
        <v>4309</v>
      </c>
      <c r="AH444" s="220" t="str">
        <f t="shared" si="29"/>
        <v>4590006249_012</v>
      </c>
      <c r="AI444" s="208"/>
      <c r="AJ444" s="220"/>
      <c r="AK444" s="221"/>
      <c r="AL444" s="227"/>
      <c r="AM444" s="208"/>
      <c r="AN444" s="220"/>
      <c r="AO444" s="222"/>
      <c r="AP444" s="227"/>
      <c r="AQ444" s="358">
        <f ca="1">IF(表格1[[#This Row],[PO$]]="","100%",表格1[[#This Row],[total amount]]/表格1[[#This Row],[PO$]])</f>
        <v>0</v>
      </c>
      <c r="AR444" s="223">
        <f ca="1">表格1[[#This Row],[invoice amount]]+表格1[[#This Row],[invoice amount2]]</f>
        <v>0</v>
      </c>
      <c r="AS444" s="224"/>
      <c r="AT444" s="208"/>
      <c r="AU444" s="208" t="e">
        <f ca="1">VLOOKUP(表格1[[#This Row],[PO+ITEM]],#REF!,2,FALSE)</f>
        <v>#REF!</v>
      </c>
      <c r="AV444" s="341" t="e">
        <f ca="1">VLOOKUP(表格1[[#This Row],[PO+ITEM]],#REF!,3,FALSE)</f>
        <v>#REF!</v>
      </c>
      <c r="AW444" s="208" t="e">
        <f ca="1">VLOOKUP(表格1[[#This Row],[PO+ITEM]],#REF!,4,FALSE)</f>
        <v>#REF!</v>
      </c>
      <c r="AX444" s="208" t="e" cm="1" vm="1">
        <f t="array" aca="1" ref="AX444" ca="1">VLOOKUP(AI:AI,#REF!,1,FALSE)</f>
        <v>#VALUE!</v>
      </c>
    </row>
    <row r="445" spans="1:50">
      <c r="A445" s="220">
        <v>444</v>
      </c>
      <c r="B445" s="220" t="s">
        <v>3659</v>
      </c>
      <c r="C445" s="209" t="s">
        <v>16</v>
      </c>
      <c r="D445" s="209" t="s">
        <v>3648</v>
      </c>
      <c r="E445" s="209"/>
      <c r="F445" s="209"/>
      <c r="G445" s="209"/>
      <c r="H445" s="217" t="s">
        <v>4894</v>
      </c>
      <c r="I445" s="217"/>
      <c r="J445" s="215"/>
      <c r="K445" s="217"/>
      <c r="L445" s="212" t="s">
        <v>2999</v>
      </c>
      <c r="M445" s="212" t="s">
        <v>2999</v>
      </c>
      <c r="N445" s="213"/>
      <c r="O445" s="263">
        <v>4590006249</v>
      </c>
      <c r="P445" s="214">
        <v>44836</v>
      </c>
      <c r="Q445" s="334">
        <v>13</v>
      </c>
      <c r="R445" s="216">
        <v>815.01</v>
      </c>
      <c r="S445" s="217" t="s">
        <v>2156</v>
      </c>
      <c r="T445" s="209" t="s">
        <v>3864</v>
      </c>
      <c r="U445" s="209" t="s">
        <v>3865</v>
      </c>
      <c r="V445" s="213" t="s">
        <v>3866</v>
      </c>
      <c r="W445" s="218" t="s">
        <v>3652</v>
      </c>
      <c r="X445" s="218" t="s">
        <v>3652</v>
      </c>
      <c r="Y445" s="212">
        <v>0</v>
      </c>
      <c r="Z445" s="209" t="s">
        <v>3664</v>
      </c>
      <c r="AA445" s="219"/>
      <c r="AB445" s="218"/>
      <c r="AC445" s="217" t="e">
        <v>#N/A</v>
      </c>
      <c r="AD445" s="217">
        <v>91071</v>
      </c>
      <c r="AE445" s="217" t="s">
        <v>4893</v>
      </c>
      <c r="AF445" s="217" t="s">
        <v>3770</v>
      </c>
      <c r="AG445" s="217" t="s">
        <v>4309</v>
      </c>
      <c r="AH445" s="220" t="str">
        <f t="shared" si="29"/>
        <v>4590006249_013</v>
      </c>
      <c r="AI445" s="208"/>
      <c r="AJ445" s="220"/>
      <c r="AK445" s="221"/>
      <c r="AL445" s="227"/>
      <c r="AM445" s="208"/>
      <c r="AN445" s="220"/>
      <c r="AO445" s="222"/>
      <c r="AP445" s="227"/>
      <c r="AQ445" s="358">
        <f ca="1">IF(表格1[[#This Row],[PO$]]="","100%",表格1[[#This Row],[total amount]]/表格1[[#This Row],[PO$]])</f>
        <v>0</v>
      </c>
      <c r="AR445" s="223">
        <f ca="1">表格1[[#This Row],[invoice amount]]+表格1[[#This Row],[invoice amount2]]</f>
        <v>0</v>
      </c>
      <c r="AS445" s="224"/>
      <c r="AT445" s="208"/>
      <c r="AU445" s="208" t="e">
        <f ca="1">VLOOKUP(表格1[[#This Row],[PO+ITEM]],#REF!,2,FALSE)</f>
        <v>#REF!</v>
      </c>
      <c r="AV445" s="341" t="e">
        <f ca="1">VLOOKUP(表格1[[#This Row],[PO+ITEM]],#REF!,3,FALSE)</f>
        <v>#REF!</v>
      </c>
      <c r="AW445" s="208" t="e">
        <f ca="1">VLOOKUP(表格1[[#This Row],[PO+ITEM]],#REF!,4,FALSE)</f>
        <v>#REF!</v>
      </c>
      <c r="AX445" s="208" t="e" cm="1" vm="1">
        <f t="array" aca="1" ref="AX445" ca="1">VLOOKUP(AI:AI,#REF!,1,FALSE)</f>
        <v>#VALUE!</v>
      </c>
    </row>
    <row r="446" spans="1:50" s="230" customFormat="1">
      <c r="A446" s="220">
        <v>445</v>
      </c>
      <c r="B446" s="220" t="s">
        <v>3659</v>
      </c>
      <c r="C446" s="209" t="s">
        <v>16</v>
      </c>
      <c r="D446" s="209" t="s">
        <v>3648</v>
      </c>
      <c r="E446" s="209"/>
      <c r="F446" s="209"/>
      <c r="G446" s="209"/>
      <c r="H446" s="217" t="s">
        <v>4895</v>
      </c>
      <c r="I446" s="217"/>
      <c r="J446" s="215"/>
      <c r="K446" s="217"/>
      <c r="L446" s="212" t="s">
        <v>2999</v>
      </c>
      <c r="M446" s="212" t="s">
        <v>2999</v>
      </c>
      <c r="N446" s="213"/>
      <c r="O446" s="263">
        <v>4590006249</v>
      </c>
      <c r="P446" s="214">
        <v>44836</v>
      </c>
      <c r="Q446" s="334">
        <v>14</v>
      </c>
      <c r="R446" s="216">
        <v>343.07</v>
      </c>
      <c r="S446" s="217" t="s">
        <v>2156</v>
      </c>
      <c r="T446" s="209" t="s">
        <v>3864</v>
      </c>
      <c r="U446" s="209" t="s">
        <v>3865</v>
      </c>
      <c r="V446" s="213" t="s">
        <v>3866</v>
      </c>
      <c r="W446" s="218" t="s">
        <v>3652</v>
      </c>
      <c r="X446" s="218" t="s">
        <v>3652</v>
      </c>
      <c r="Y446" s="212">
        <v>0</v>
      </c>
      <c r="Z446" s="209" t="s">
        <v>3664</v>
      </c>
      <c r="AA446" s="219"/>
      <c r="AB446" s="218"/>
      <c r="AC446" s="217" t="e">
        <v>#N/A</v>
      </c>
      <c r="AD446" s="217">
        <v>91072</v>
      </c>
      <c r="AE446" s="217" t="s">
        <v>4896</v>
      </c>
      <c r="AF446" s="217" t="s">
        <v>3770</v>
      </c>
      <c r="AG446" s="217" t="s">
        <v>4309</v>
      </c>
      <c r="AH446" s="220" t="str">
        <f t="shared" si="29"/>
        <v>4590006249_014</v>
      </c>
      <c r="AI446" s="208"/>
      <c r="AJ446" s="220"/>
      <c r="AK446" s="221"/>
      <c r="AL446" s="227"/>
      <c r="AM446" s="208"/>
      <c r="AN446" s="220"/>
      <c r="AO446" s="222"/>
      <c r="AP446" s="227"/>
      <c r="AQ446" s="358">
        <f ca="1">IF(表格1[[#This Row],[PO$]]="","100%",表格1[[#This Row],[total amount]]/表格1[[#This Row],[PO$]])</f>
        <v>0</v>
      </c>
      <c r="AR446" s="223">
        <f ca="1">表格1[[#This Row],[invoice amount]]+表格1[[#This Row],[invoice amount2]]</f>
        <v>0</v>
      </c>
      <c r="AS446" s="224"/>
      <c r="AT446" s="208"/>
      <c r="AU446" s="208" t="e">
        <f ca="1">VLOOKUP(表格1[[#This Row],[PO+ITEM]],#REF!,2,FALSE)</f>
        <v>#REF!</v>
      </c>
      <c r="AV446" s="341" t="e">
        <f ca="1">VLOOKUP(表格1[[#This Row],[PO+ITEM]],#REF!,3,FALSE)</f>
        <v>#REF!</v>
      </c>
      <c r="AW446" s="208" t="e">
        <f ca="1">VLOOKUP(表格1[[#This Row],[PO+ITEM]],#REF!,4,FALSE)</f>
        <v>#REF!</v>
      </c>
      <c r="AX446" s="208" t="e" cm="1" vm="1">
        <f t="array" aca="1" ref="AX446" ca="1">VLOOKUP(AI:AI,#REF!,1,FALSE)</f>
        <v>#VALUE!</v>
      </c>
    </row>
    <row r="447" spans="1:50">
      <c r="A447" s="220">
        <v>446</v>
      </c>
      <c r="B447" s="220" t="s">
        <v>3674</v>
      </c>
      <c r="C447" s="209" t="s">
        <v>16</v>
      </c>
      <c r="D447" s="209" t="s">
        <v>3648</v>
      </c>
      <c r="E447" s="209"/>
      <c r="F447" s="209"/>
      <c r="G447" s="209"/>
      <c r="H447" s="217" t="s">
        <v>4897</v>
      </c>
      <c r="I447" s="217"/>
      <c r="J447" s="215"/>
      <c r="K447" s="217"/>
      <c r="L447" s="212" t="s">
        <v>2999</v>
      </c>
      <c r="M447" s="212" t="s">
        <v>2999</v>
      </c>
      <c r="N447" s="213"/>
      <c r="O447" s="263">
        <v>4590006249</v>
      </c>
      <c r="P447" s="214">
        <v>44836</v>
      </c>
      <c r="Q447" s="334">
        <v>15</v>
      </c>
      <c r="R447" s="216">
        <v>407.51</v>
      </c>
      <c r="S447" s="217" t="s">
        <v>2156</v>
      </c>
      <c r="T447" s="209" t="s">
        <v>3864</v>
      </c>
      <c r="U447" s="209" t="s">
        <v>3865</v>
      </c>
      <c r="V447" s="213" t="s">
        <v>3866</v>
      </c>
      <c r="W447" s="218" t="s">
        <v>3652</v>
      </c>
      <c r="X447" s="218" t="s">
        <v>3652</v>
      </c>
      <c r="Y447" s="212">
        <v>0</v>
      </c>
      <c r="Z447" s="209" t="s">
        <v>3664</v>
      </c>
      <c r="AA447" s="219"/>
      <c r="AB447" s="218"/>
      <c r="AC447" s="217" t="e">
        <v>#N/A</v>
      </c>
      <c r="AD447" s="217">
        <v>91073</v>
      </c>
      <c r="AE447" s="217" t="s">
        <v>3106</v>
      </c>
      <c r="AF447" s="217" t="s">
        <v>3770</v>
      </c>
      <c r="AG447" s="217" t="s">
        <v>4309</v>
      </c>
      <c r="AH447" s="220" t="str">
        <f t="shared" si="29"/>
        <v>4590006249_015</v>
      </c>
      <c r="AI447" s="208"/>
      <c r="AJ447" s="220"/>
      <c r="AK447" s="221"/>
      <c r="AL447" s="227"/>
      <c r="AM447" s="208"/>
      <c r="AN447" s="220"/>
      <c r="AO447" s="222"/>
      <c r="AP447" s="227"/>
      <c r="AQ447" s="358">
        <f ca="1">IF(表格1[[#This Row],[PO$]]="","100%",表格1[[#This Row],[total amount]]/表格1[[#This Row],[PO$]])</f>
        <v>0</v>
      </c>
      <c r="AR447" s="223">
        <f ca="1">表格1[[#This Row],[invoice amount]]+表格1[[#This Row],[invoice amount2]]</f>
        <v>0</v>
      </c>
      <c r="AS447" s="224"/>
      <c r="AT447" s="208"/>
      <c r="AU447" s="208" t="e">
        <f ca="1">VLOOKUP(表格1[[#This Row],[PO+ITEM]],#REF!,2,FALSE)</f>
        <v>#REF!</v>
      </c>
      <c r="AV447" s="341" t="e">
        <f ca="1">VLOOKUP(表格1[[#This Row],[PO+ITEM]],#REF!,3,FALSE)</f>
        <v>#REF!</v>
      </c>
      <c r="AW447" s="208" t="e">
        <f ca="1">VLOOKUP(表格1[[#This Row],[PO+ITEM]],#REF!,4,FALSE)</f>
        <v>#REF!</v>
      </c>
      <c r="AX447" s="208" t="e" cm="1" vm="1">
        <f t="array" aca="1" ref="AX447" ca="1">VLOOKUP(AI:AI,#REF!,1,FALSE)</f>
        <v>#VALUE!</v>
      </c>
    </row>
    <row r="448" spans="1:50">
      <c r="A448" s="220">
        <v>447</v>
      </c>
      <c r="B448" s="220" t="s">
        <v>3674</v>
      </c>
      <c r="C448" s="209" t="s">
        <v>16</v>
      </c>
      <c r="D448" s="209" t="s">
        <v>3648</v>
      </c>
      <c r="E448" s="209"/>
      <c r="F448" s="209"/>
      <c r="G448" s="209"/>
      <c r="H448" s="217" t="s">
        <v>4899</v>
      </c>
      <c r="I448" s="217"/>
      <c r="J448" s="215"/>
      <c r="K448" s="217"/>
      <c r="L448" s="212" t="s">
        <v>2999</v>
      </c>
      <c r="M448" s="212" t="s">
        <v>2999</v>
      </c>
      <c r="N448" s="213"/>
      <c r="O448" s="263">
        <v>4590006249</v>
      </c>
      <c r="P448" s="214">
        <v>44836</v>
      </c>
      <c r="Q448" s="334">
        <v>16</v>
      </c>
      <c r="R448" s="216">
        <v>343.07</v>
      </c>
      <c r="S448" s="217" t="s">
        <v>2156</v>
      </c>
      <c r="T448" s="209" t="s">
        <v>3864</v>
      </c>
      <c r="U448" s="209" t="s">
        <v>3865</v>
      </c>
      <c r="V448" s="213" t="s">
        <v>3866</v>
      </c>
      <c r="W448" s="218" t="s">
        <v>3652</v>
      </c>
      <c r="X448" s="218" t="s">
        <v>3652</v>
      </c>
      <c r="Y448" s="212">
        <v>0</v>
      </c>
      <c r="Z448" s="209" t="s">
        <v>3664</v>
      </c>
      <c r="AA448" s="219"/>
      <c r="AB448" s="218"/>
      <c r="AC448" s="217" t="e">
        <v>#N/A</v>
      </c>
      <c r="AD448" s="217">
        <v>91073</v>
      </c>
      <c r="AE448" s="217" t="s">
        <v>3106</v>
      </c>
      <c r="AF448" s="217" t="s">
        <v>3770</v>
      </c>
      <c r="AG448" s="217" t="s">
        <v>4309</v>
      </c>
      <c r="AH448" s="220" t="str">
        <f t="shared" si="29"/>
        <v>4590006249_016</v>
      </c>
      <c r="AI448" s="208"/>
      <c r="AJ448" s="220"/>
      <c r="AK448" s="221"/>
      <c r="AL448" s="227"/>
      <c r="AM448" s="208"/>
      <c r="AN448" s="220"/>
      <c r="AO448" s="222"/>
      <c r="AP448" s="227"/>
      <c r="AQ448" s="358">
        <f ca="1">IF(表格1[[#This Row],[PO$]]="","100%",表格1[[#This Row],[total amount]]/表格1[[#This Row],[PO$]])</f>
        <v>0</v>
      </c>
      <c r="AR448" s="223">
        <f ca="1">表格1[[#This Row],[invoice amount]]+表格1[[#This Row],[invoice amount2]]</f>
        <v>0</v>
      </c>
      <c r="AS448" s="224"/>
      <c r="AT448" s="208"/>
      <c r="AU448" s="208" t="e">
        <f ca="1">VLOOKUP(表格1[[#This Row],[PO+ITEM]],#REF!,2,FALSE)</f>
        <v>#REF!</v>
      </c>
      <c r="AV448" s="341" t="e">
        <f ca="1">VLOOKUP(表格1[[#This Row],[PO+ITEM]],#REF!,3,FALSE)</f>
        <v>#REF!</v>
      </c>
      <c r="AW448" s="208" t="e">
        <f ca="1">VLOOKUP(表格1[[#This Row],[PO+ITEM]],#REF!,4,FALSE)</f>
        <v>#REF!</v>
      </c>
      <c r="AX448" s="208" t="e" cm="1" vm="1">
        <f t="array" aca="1" ref="AX448" ca="1">VLOOKUP(AI:AI,#REF!,1,FALSE)</f>
        <v>#VALUE!</v>
      </c>
    </row>
    <row r="449" spans="1:50">
      <c r="A449" s="220">
        <v>448</v>
      </c>
      <c r="B449" s="220" t="s">
        <v>3659</v>
      </c>
      <c r="C449" s="209" t="s">
        <v>16</v>
      </c>
      <c r="D449" s="209" t="s">
        <v>3648</v>
      </c>
      <c r="E449" s="209"/>
      <c r="F449" s="209"/>
      <c r="G449" s="209"/>
      <c r="H449" s="217" t="s">
        <v>4901</v>
      </c>
      <c r="I449" s="217"/>
      <c r="J449" s="215"/>
      <c r="K449" s="217"/>
      <c r="L449" s="212" t="s">
        <v>2999</v>
      </c>
      <c r="M449" s="212" t="s">
        <v>2999</v>
      </c>
      <c r="N449" s="213"/>
      <c r="O449" s="263">
        <v>4590006249</v>
      </c>
      <c r="P449" s="214">
        <v>44836</v>
      </c>
      <c r="Q449" s="334">
        <v>17</v>
      </c>
      <c r="R449" s="216">
        <v>343.07</v>
      </c>
      <c r="S449" s="217" t="s">
        <v>2156</v>
      </c>
      <c r="T449" s="209" t="s">
        <v>3864</v>
      </c>
      <c r="U449" s="209" t="s">
        <v>3865</v>
      </c>
      <c r="V449" s="213" t="s">
        <v>3866</v>
      </c>
      <c r="W449" s="218" t="s">
        <v>3652</v>
      </c>
      <c r="X449" s="218" t="s">
        <v>3652</v>
      </c>
      <c r="Y449" s="212">
        <v>0</v>
      </c>
      <c r="Z449" s="209" t="s">
        <v>3664</v>
      </c>
      <c r="AA449" s="219"/>
      <c r="AB449" s="218"/>
      <c r="AC449" s="217" t="e">
        <v>#N/A</v>
      </c>
      <c r="AD449" s="217">
        <v>91079</v>
      </c>
      <c r="AE449" s="217" t="s">
        <v>4902</v>
      </c>
      <c r="AF449" s="217" t="s">
        <v>3770</v>
      </c>
      <c r="AG449" s="217" t="s">
        <v>4309</v>
      </c>
      <c r="AH449" s="220" t="str">
        <f t="shared" si="29"/>
        <v>4590006249_017</v>
      </c>
      <c r="AI449" s="208"/>
      <c r="AJ449" s="220"/>
      <c r="AK449" s="221"/>
      <c r="AL449" s="227"/>
      <c r="AM449" s="208"/>
      <c r="AN449" s="220"/>
      <c r="AO449" s="222"/>
      <c r="AP449" s="227"/>
      <c r="AQ449" s="358">
        <f ca="1">IF(表格1[[#This Row],[PO$]]="","100%",表格1[[#This Row],[total amount]]/表格1[[#This Row],[PO$]])</f>
        <v>0</v>
      </c>
      <c r="AR449" s="223">
        <f ca="1">表格1[[#This Row],[invoice amount]]+表格1[[#This Row],[invoice amount2]]</f>
        <v>0</v>
      </c>
      <c r="AS449" s="224"/>
      <c r="AT449" s="208"/>
      <c r="AU449" s="208" t="e">
        <f ca="1">VLOOKUP(表格1[[#This Row],[PO+ITEM]],#REF!,2,FALSE)</f>
        <v>#REF!</v>
      </c>
      <c r="AV449" s="341" t="e">
        <f ca="1">VLOOKUP(表格1[[#This Row],[PO+ITEM]],#REF!,3,FALSE)</f>
        <v>#REF!</v>
      </c>
      <c r="AW449" s="208" t="e">
        <f ca="1">VLOOKUP(表格1[[#This Row],[PO+ITEM]],#REF!,4,FALSE)</f>
        <v>#REF!</v>
      </c>
      <c r="AX449" s="208" t="e" cm="1" vm="1">
        <f t="array" aca="1" ref="AX449" ca="1">VLOOKUP(AI:AI,#REF!,1,FALSE)</f>
        <v>#VALUE!</v>
      </c>
    </row>
    <row r="450" spans="1:50">
      <c r="A450" s="220">
        <v>449</v>
      </c>
      <c r="B450" s="220" t="s">
        <v>3659</v>
      </c>
      <c r="C450" s="209" t="s">
        <v>16</v>
      </c>
      <c r="D450" s="209" t="s">
        <v>3648</v>
      </c>
      <c r="E450" s="209"/>
      <c r="F450" s="209"/>
      <c r="G450" s="209"/>
      <c r="H450" s="217" t="s">
        <v>4903</v>
      </c>
      <c r="I450" s="217"/>
      <c r="J450" s="215"/>
      <c r="K450" s="217"/>
      <c r="L450" s="212" t="s">
        <v>2999</v>
      </c>
      <c r="M450" s="212" t="s">
        <v>2999</v>
      </c>
      <c r="N450" s="213"/>
      <c r="O450" s="263">
        <v>4590006249</v>
      </c>
      <c r="P450" s="214">
        <v>44836</v>
      </c>
      <c r="Q450" s="334">
        <v>18</v>
      </c>
      <c r="R450" s="216">
        <v>343.07</v>
      </c>
      <c r="S450" s="217" t="s">
        <v>2156</v>
      </c>
      <c r="T450" s="209" t="s">
        <v>3864</v>
      </c>
      <c r="U450" s="209" t="s">
        <v>3865</v>
      </c>
      <c r="V450" s="213" t="s">
        <v>3866</v>
      </c>
      <c r="W450" s="218" t="s">
        <v>3652</v>
      </c>
      <c r="X450" s="218" t="s">
        <v>3652</v>
      </c>
      <c r="Y450" s="212">
        <v>0</v>
      </c>
      <c r="Z450" s="209" t="s">
        <v>3664</v>
      </c>
      <c r="AA450" s="219"/>
      <c r="AB450" s="218"/>
      <c r="AC450" s="217" t="e">
        <v>#N/A</v>
      </c>
      <c r="AD450" s="217">
        <v>91085</v>
      </c>
      <c r="AE450" s="217" t="s">
        <v>3104</v>
      </c>
      <c r="AF450" s="217" t="s">
        <v>3770</v>
      </c>
      <c r="AG450" s="217" t="s">
        <v>4309</v>
      </c>
      <c r="AH450" s="220" t="str">
        <f t="shared" si="29"/>
        <v>4590006249_018</v>
      </c>
      <c r="AI450" s="208"/>
      <c r="AJ450" s="220"/>
      <c r="AK450" s="221"/>
      <c r="AL450" s="227"/>
      <c r="AM450" s="208"/>
      <c r="AN450" s="220"/>
      <c r="AO450" s="222"/>
      <c r="AP450" s="227"/>
      <c r="AQ450" s="358">
        <f ca="1">IF(表格1[[#This Row],[PO$]]="","100%",表格1[[#This Row],[total amount]]/表格1[[#This Row],[PO$]])</f>
        <v>0</v>
      </c>
      <c r="AR450" s="223">
        <f ca="1">表格1[[#This Row],[invoice amount]]+表格1[[#This Row],[invoice amount2]]</f>
        <v>0</v>
      </c>
      <c r="AS450" s="224"/>
      <c r="AT450" s="208"/>
      <c r="AU450" s="208" t="e">
        <f ca="1">VLOOKUP(表格1[[#This Row],[PO+ITEM]],#REF!,2,FALSE)</f>
        <v>#REF!</v>
      </c>
      <c r="AV450" s="341" t="e">
        <f ca="1">VLOOKUP(表格1[[#This Row],[PO+ITEM]],#REF!,3,FALSE)</f>
        <v>#REF!</v>
      </c>
      <c r="AW450" s="208" t="e">
        <f ca="1">VLOOKUP(表格1[[#This Row],[PO+ITEM]],#REF!,4,FALSE)</f>
        <v>#REF!</v>
      </c>
      <c r="AX450" s="208" t="e" cm="1" vm="1">
        <f t="array" aca="1" ref="AX450" ca="1">VLOOKUP(AI:AI,#REF!,1,FALSE)</f>
        <v>#VALUE!</v>
      </c>
    </row>
    <row r="451" spans="1:50">
      <c r="A451" s="220">
        <v>450</v>
      </c>
      <c r="B451" s="220" t="s">
        <v>3659</v>
      </c>
      <c r="C451" s="209" t="s">
        <v>16</v>
      </c>
      <c r="D451" s="209" t="s">
        <v>3648</v>
      </c>
      <c r="E451" s="209"/>
      <c r="F451" s="209"/>
      <c r="G451" s="209"/>
      <c r="H451" s="217" t="s">
        <v>4904</v>
      </c>
      <c r="I451" s="217"/>
      <c r="J451" s="215"/>
      <c r="K451" s="217"/>
      <c r="L451" s="212" t="s">
        <v>2999</v>
      </c>
      <c r="M451" s="212" t="s">
        <v>2999</v>
      </c>
      <c r="N451" s="213"/>
      <c r="O451" s="263">
        <v>4590006249</v>
      </c>
      <c r="P451" s="214">
        <v>44836</v>
      </c>
      <c r="Q451" s="334">
        <v>19</v>
      </c>
      <c r="R451" s="216">
        <v>1164.3499999999999</v>
      </c>
      <c r="S451" s="217" t="s">
        <v>2156</v>
      </c>
      <c r="T451" s="209" t="s">
        <v>3864</v>
      </c>
      <c r="U451" s="209" t="s">
        <v>3865</v>
      </c>
      <c r="V451" s="213" t="s">
        <v>3866</v>
      </c>
      <c r="W451" s="218" t="s">
        <v>3652</v>
      </c>
      <c r="X451" s="218" t="s">
        <v>3652</v>
      </c>
      <c r="Y451" s="212">
        <v>0</v>
      </c>
      <c r="Z451" s="209" t="s">
        <v>3664</v>
      </c>
      <c r="AA451" s="219"/>
      <c r="AB451" s="218"/>
      <c r="AC451" s="217" t="e">
        <v>#N/A</v>
      </c>
      <c r="AD451" s="217">
        <v>91136</v>
      </c>
      <c r="AE451" s="217" t="s">
        <v>4905</v>
      </c>
      <c r="AF451" s="217" t="s">
        <v>3770</v>
      </c>
      <c r="AG451" s="217" t="s">
        <v>4351</v>
      </c>
      <c r="AH451" s="220" t="str">
        <f t="shared" si="29"/>
        <v>4590006249_019</v>
      </c>
      <c r="AI451" s="208"/>
      <c r="AJ451" s="220"/>
      <c r="AK451" s="221"/>
      <c r="AL451" s="227"/>
      <c r="AM451" s="208"/>
      <c r="AN451" s="220"/>
      <c r="AO451" s="222"/>
      <c r="AP451" s="227"/>
      <c r="AQ451" s="358">
        <f ca="1">IF(表格1[[#This Row],[PO$]]="","100%",表格1[[#This Row],[total amount]]/表格1[[#This Row],[PO$]])</f>
        <v>0</v>
      </c>
      <c r="AR451" s="223">
        <f ca="1">表格1[[#This Row],[invoice amount]]+表格1[[#This Row],[invoice amount2]]</f>
        <v>0</v>
      </c>
      <c r="AS451" s="224"/>
      <c r="AT451" s="208"/>
      <c r="AU451" s="208" t="e">
        <f ca="1">VLOOKUP(表格1[[#This Row],[PO+ITEM]],#REF!,2,FALSE)</f>
        <v>#REF!</v>
      </c>
      <c r="AV451" s="341" t="e">
        <f ca="1">VLOOKUP(表格1[[#This Row],[PO+ITEM]],#REF!,3,FALSE)</f>
        <v>#REF!</v>
      </c>
      <c r="AW451" s="208" t="e">
        <f ca="1">VLOOKUP(表格1[[#This Row],[PO+ITEM]],#REF!,4,FALSE)</f>
        <v>#REF!</v>
      </c>
      <c r="AX451" s="208" t="e" cm="1" vm="1">
        <f t="array" aca="1" ref="AX451" ca="1">VLOOKUP(AI:AI,#REF!,1,FALSE)</f>
        <v>#VALUE!</v>
      </c>
    </row>
    <row r="452" spans="1:50">
      <c r="A452" s="220">
        <v>451</v>
      </c>
      <c r="B452" s="220" t="s">
        <v>3659</v>
      </c>
      <c r="C452" s="209" t="s">
        <v>16</v>
      </c>
      <c r="D452" s="209" t="s">
        <v>3648</v>
      </c>
      <c r="E452" s="209"/>
      <c r="F452" s="209"/>
      <c r="G452" s="209"/>
      <c r="H452" s="217" t="s">
        <v>4906</v>
      </c>
      <c r="I452" s="217"/>
      <c r="J452" s="215"/>
      <c r="K452" s="217"/>
      <c r="L452" s="212" t="s">
        <v>2999</v>
      </c>
      <c r="M452" s="212" t="s">
        <v>2999</v>
      </c>
      <c r="N452" s="213"/>
      <c r="O452" s="263">
        <v>4590006249</v>
      </c>
      <c r="P452" s="214">
        <v>44836</v>
      </c>
      <c r="Q452" s="334">
        <v>20</v>
      </c>
      <c r="R452" s="216">
        <v>1164.3499999999999</v>
      </c>
      <c r="S452" s="217" t="s">
        <v>2156</v>
      </c>
      <c r="T452" s="209" t="s">
        <v>3864</v>
      </c>
      <c r="U452" s="209" t="s">
        <v>3865</v>
      </c>
      <c r="V452" s="213" t="s">
        <v>3866</v>
      </c>
      <c r="W452" s="218" t="s">
        <v>3652</v>
      </c>
      <c r="X452" s="218" t="s">
        <v>3652</v>
      </c>
      <c r="Y452" s="212">
        <v>0</v>
      </c>
      <c r="Z452" s="209" t="s">
        <v>3664</v>
      </c>
      <c r="AA452" s="219"/>
      <c r="AB452" s="218"/>
      <c r="AC452" s="217" t="e">
        <v>#N/A</v>
      </c>
      <c r="AD452" s="217">
        <v>91141</v>
      </c>
      <c r="AE452" s="217" t="s">
        <v>4907</v>
      </c>
      <c r="AF452" s="217" t="s">
        <v>3770</v>
      </c>
      <c r="AG452" s="217" t="s">
        <v>4351</v>
      </c>
      <c r="AH452" s="220" t="str">
        <f t="shared" si="29"/>
        <v>4590006249_020</v>
      </c>
      <c r="AI452" s="208"/>
      <c r="AJ452" s="220"/>
      <c r="AK452" s="221"/>
      <c r="AL452" s="227"/>
      <c r="AM452" s="208"/>
      <c r="AN452" s="220"/>
      <c r="AO452" s="222"/>
      <c r="AP452" s="227"/>
      <c r="AQ452" s="358">
        <f ca="1">IF(表格1[[#This Row],[PO$]]="","100%",表格1[[#This Row],[total amount]]/表格1[[#This Row],[PO$]])</f>
        <v>0</v>
      </c>
      <c r="AR452" s="223">
        <f ca="1">表格1[[#This Row],[invoice amount]]+表格1[[#This Row],[invoice amount2]]</f>
        <v>0</v>
      </c>
      <c r="AS452" s="224"/>
      <c r="AT452" s="208"/>
      <c r="AU452" s="208" t="e">
        <f ca="1">VLOOKUP(表格1[[#This Row],[PO+ITEM]],#REF!,2,FALSE)</f>
        <v>#REF!</v>
      </c>
      <c r="AV452" s="341" t="e">
        <f ca="1">VLOOKUP(表格1[[#This Row],[PO+ITEM]],#REF!,3,FALSE)</f>
        <v>#REF!</v>
      </c>
      <c r="AW452" s="208" t="e">
        <f ca="1">VLOOKUP(表格1[[#This Row],[PO+ITEM]],#REF!,4,FALSE)</f>
        <v>#REF!</v>
      </c>
      <c r="AX452" s="208" t="e" cm="1" vm="1">
        <f t="array" aca="1" ref="AX452" ca="1">VLOOKUP(AI:AI,#REF!,1,FALSE)</f>
        <v>#VALUE!</v>
      </c>
    </row>
    <row r="453" spans="1:50">
      <c r="A453" s="220">
        <v>452</v>
      </c>
      <c r="B453" s="220" t="s">
        <v>3659</v>
      </c>
      <c r="C453" s="209" t="s">
        <v>16</v>
      </c>
      <c r="D453" s="209" t="s">
        <v>3648</v>
      </c>
      <c r="E453" s="209"/>
      <c r="F453" s="209"/>
      <c r="G453" s="209"/>
      <c r="H453" s="217" t="s">
        <v>4908</v>
      </c>
      <c r="I453" s="217"/>
      <c r="J453" s="215"/>
      <c r="K453" s="217"/>
      <c r="L453" s="212" t="s">
        <v>2999</v>
      </c>
      <c r="M453" s="212" t="s">
        <v>2999</v>
      </c>
      <c r="N453" s="213"/>
      <c r="O453" s="263">
        <v>4590006249</v>
      </c>
      <c r="P453" s="214">
        <v>44836</v>
      </c>
      <c r="Q453" s="334">
        <v>21</v>
      </c>
      <c r="R453" s="216">
        <v>343.07</v>
      </c>
      <c r="S453" s="217" t="s">
        <v>2156</v>
      </c>
      <c r="T453" s="209" t="s">
        <v>3864</v>
      </c>
      <c r="U453" s="209" t="s">
        <v>3865</v>
      </c>
      <c r="V453" s="213" t="s">
        <v>3866</v>
      </c>
      <c r="W453" s="218" t="s">
        <v>3652</v>
      </c>
      <c r="X453" s="218" t="s">
        <v>3652</v>
      </c>
      <c r="Y453" s="212">
        <v>0</v>
      </c>
      <c r="Z453" s="209" t="s">
        <v>3664</v>
      </c>
      <c r="AA453" s="219"/>
      <c r="AB453" s="218"/>
      <c r="AC453" s="217" t="e">
        <v>#N/A</v>
      </c>
      <c r="AD453" s="217">
        <v>91294</v>
      </c>
      <c r="AE453" s="217" t="s">
        <v>4909</v>
      </c>
      <c r="AF453" s="217" t="s">
        <v>3770</v>
      </c>
      <c r="AG453" s="217" t="s">
        <v>4309</v>
      </c>
      <c r="AH453" s="220" t="str">
        <f t="shared" si="29"/>
        <v>4590006249_021</v>
      </c>
      <c r="AI453" s="208"/>
      <c r="AJ453" s="220"/>
      <c r="AK453" s="221"/>
      <c r="AL453" s="227"/>
      <c r="AM453" s="208"/>
      <c r="AN453" s="220"/>
      <c r="AO453" s="222"/>
      <c r="AP453" s="227"/>
      <c r="AQ453" s="358">
        <f ca="1">IF(表格1[[#This Row],[PO$]]="","100%",表格1[[#This Row],[total amount]]/表格1[[#This Row],[PO$]])</f>
        <v>0</v>
      </c>
      <c r="AR453" s="223">
        <f ca="1">表格1[[#This Row],[invoice amount]]+表格1[[#This Row],[invoice amount2]]</f>
        <v>0</v>
      </c>
      <c r="AS453" s="224"/>
      <c r="AT453" s="208"/>
      <c r="AU453" s="208" t="e">
        <f ca="1">VLOOKUP(表格1[[#This Row],[PO+ITEM]],#REF!,2,FALSE)</f>
        <v>#REF!</v>
      </c>
      <c r="AV453" s="341" t="e">
        <f ca="1">VLOOKUP(表格1[[#This Row],[PO+ITEM]],#REF!,3,FALSE)</f>
        <v>#REF!</v>
      </c>
      <c r="AW453" s="208" t="e">
        <f ca="1">VLOOKUP(表格1[[#This Row],[PO+ITEM]],#REF!,4,FALSE)</f>
        <v>#REF!</v>
      </c>
      <c r="AX453" s="208" t="e" cm="1" vm="1">
        <f t="array" aca="1" ref="AX453" ca="1">VLOOKUP(AI:AI,#REF!,1,FALSE)</f>
        <v>#VALUE!</v>
      </c>
    </row>
    <row r="454" spans="1:50">
      <c r="A454" s="220">
        <v>453</v>
      </c>
      <c r="B454" s="220" t="s">
        <v>3659</v>
      </c>
      <c r="C454" s="209" t="s">
        <v>16</v>
      </c>
      <c r="D454" s="209" t="s">
        <v>3648</v>
      </c>
      <c r="E454" s="209"/>
      <c r="F454" s="209"/>
      <c r="G454" s="209"/>
      <c r="H454" s="217" t="s">
        <v>4910</v>
      </c>
      <c r="I454" s="217"/>
      <c r="J454" s="215"/>
      <c r="K454" s="217"/>
      <c r="L454" s="212" t="s">
        <v>2999</v>
      </c>
      <c r="M454" s="212" t="s">
        <v>2999</v>
      </c>
      <c r="N454" s="213"/>
      <c r="O454" s="263">
        <v>4590006249</v>
      </c>
      <c r="P454" s="214">
        <v>44836</v>
      </c>
      <c r="Q454" s="334">
        <v>22</v>
      </c>
      <c r="R454" s="216">
        <v>343.07</v>
      </c>
      <c r="S454" s="217" t="s">
        <v>2156</v>
      </c>
      <c r="T454" s="209" t="s">
        <v>3864</v>
      </c>
      <c r="U454" s="209" t="s">
        <v>3865</v>
      </c>
      <c r="V454" s="213" t="s">
        <v>3866</v>
      </c>
      <c r="W454" s="218" t="s">
        <v>3652</v>
      </c>
      <c r="X454" s="218" t="s">
        <v>3652</v>
      </c>
      <c r="Y454" s="212">
        <v>0</v>
      </c>
      <c r="Z454" s="209" t="s">
        <v>3664</v>
      </c>
      <c r="AA454" s="219"/>
      <c r="AB454" s="218"/>
      <c r="AC454" s="217" t="e">
        <v>#N/A</v>
      </c>
      <c r="AD454" s="217">
        <v>91024</v>
      </c>
      <c r="AE454" s="217" t="s">
        <v>4911</v>
      </c>
      <c r="AF454" s="217" t="s">
        <v>3770</v>
      </c>
      <c r="AG454" s="217" t="s">
        <v>4309</v>
      </c>
      <c r="AH454" s="220" t="str">
        <f t="shared" si="29"/>
        <v>4590006249_022</v>
      </c>
      <c r="AI454" s="208"/>
      <c r="AJ454" s="220"/>
      <c r="AK454" s="221"/>
      <c r="AL454" s="227"/>
      <c r="AM454" s="208"/>
      <c r="AN454" s="220"/>
      <c r="AO454" s="222"/>
      <c r="AP454" s="227"/>
      <c r="AQ454" s="358">
        <f ca="1">IF(表格1[[#This Row],[PO$]]="","100%",表格1[[#This Row],[total amount]]/表格1[[#This Row],[PO$]])</f>
        <v>0</v>
      </c>
      <c r="AR454" s="223">
        <f ca="1">表格1[[#This Row],[invoice amount]]+表格1[[#This Row],[invoice amount2]]</f>
        <v>0</v>
      </c>
      <c r="AS454" s="224"/>
      <c r="AT454" s="208"/>
      <c r="AU454" s="208" t="e">
        <f ca="1">VLOOKUP(表格1[[#This Row],[PO+ITEM]],#REF!,2,FALSE)</f>
        <v>#REF!</v>
      </c>
      <c r="AV454" s="341" t="e">
        <f ca="1">VLOOKUP(表格1[[#This Row],[PO+ITEM]],#REF!,3,FALSE)</f>
        <v>#REF!</v>
      </c>
      <c r="AW454" s="208" t="e">
        <f ca="1">VLOOKUP(表格1[[#This Row],[PO+ITEM]],#REF!,4,FALSE)</f>
        <v>#REF!</v>
      </c>
      <c r="AX454" s="208" t="e" cm="1" vm="1">
        <f t="array" aca="1" ref="AX454" ca="1">VLOOKUP(AI:AI,#REF!,1,FALSE)</f>
        <v>#VALUE!</v>
      </c>
    </row>
    <row r="455" spans="1:50">
      <c r="A455" s="220">
        <v>454</v>
      </c>
      <c r="B455" s="220" t="s">
        <v>3659</v>
      </c>
      <c r="C455" s="209" t="s">
        <v>16</v>
      </c>
      <c r="D455" s="209" t="s">
        <v>3648</v>
      </c>
      <c r="E455" s="209"/>
      <c r="F455" s="209"/>
      <c r="G455" s="209"/>
      <c r="H455" s="217" t="s">
        <v>4912</v>
      </c>
      <c r="I455" s="217"/>
      <c r="J455" s="215"/>
      <c r="K455" s="217"/>
      <c r="L455" s="212" t="s">
        <v>2999</v>
      </c>
      <c r="M455" s="212" t="s">
        <v>2999</v>
      </c>
      <c r="N455" s="213"/>
      <c r="O455" s="263">
        <v>4590006249</v>
      </c>
      <c r="P455" s="214">
        <v>44836</v>
      </c>
      <c r="Q455" s="334">
        <v>23</v>
      </c>
      <c r="R455" s="216">
        <v>815.01</v>
      </c>
      <c r="S455" s="217" t="s">
        <v>2156</v>
      </c>
      <c r="T455" s="209" t="s">
        <v>3864</v>
      </c>
      <c r="U455" s="209" t="s">
        <v>3865</v>
      </c>
      <c r="V455" s="213" t="s">
        <v>3866</v>
      </c>
      <c r="W455" s="218" t="s">
        <v>3652</v>
      </c>
      <c r="X455" s="218" t="s">
        <v>3652</v>
      </c>
      <c r="Y455" s="212">
        <v>0</v>
      </c>
      <c r="Z455" s="209" t="s">
        <v>3664</v>
      </c>
      <c r="AA455" s="219"/>
      <c r="AB455" s="218"/>
      <c r="AC455" s="217" t="e">
        <v>#N/A</v>
      </c>
      <c r="AD455" s="217">
        <v>91024</v>
      </c>
      <c r="AE455" s="217" t="s">
        <v>4911</v>
      </c>
      <c r="AF455" s="217" t="s">
        <v>3770</v>
      </c>
      <c r="AG455" s="217" t="s">
        <v>4309</v>
      </c>
      <c r="AH455" s="220" t="str">
        <f t="shared" si="29"/>
        <v>4590006249_023</v>
      </c>
      <c r="AI455" s="208"/>
      <c r="AJ455" s="220"/>
      <c r="AK455" s="221"/>
      <c r="AL455" s="227"/>
      <c r="AM455" s="208"/>
      <c r="AN455" s="220"/>
      <c r="AO455" s="222"/>
      <c r="AP455" s="227"/>
      <c r="AQ455" s="358">
        <f ca="1">IF(表格1[[#This Row],[PO$]]="","100%",表格1[[#This Row],[total amount]]/表格1[[#This Row],[PO$]])</f>
        <v>0</v>
      </c>
      <c r="AR455" s="223">
        <f ca="1">表格1[[#This Row],[invoice amount]]+表格1[[#This Row],[invoice amount2]]</f>
        <v>0</v>
      </c>
      <c r="AS455" s="224"/>
      <c r="AT455" s="208"/>
      <c r="AU455" s="208" t="e">
        <f ca="1">VLOOKUP(表格1[[#This Row],[PO+ITEM]],#REF!,2,FALSE)</f>
        <v>#REF!</v>
      </c>
      <c r="AV455" s="341" t="e">
        <f ca="1">VLOOKUP(表格1[[#This Row],[PO+ITEM]],#REF!,3,FALSE)</f>
        <v>#REF!</v>
      </c>
      <c r="AW455" s="208" t="e">
        <f ca="1">VLOOKUP(表格1[[#This Row],[PO+ITEM]],#REF!,4,FALSE)</f>
        <v>#REF!</v>
      </c>
      <c r="AX455" s="208" t="e" cm="1" vm="1">
        <f t="array" aca="1" ref="AX455" ca="1">VLOOKUP(AI:AI,#REF!,1,FALSE)</f>
        <v>#VALUE!</v>
      </c>
    </row>
    <row r="456" spans="1:50">
      <c r="A456" s="220">
        <v>455</v>
      </c>
      <c r="B456" s="220" t="s">
        <v>3659</v>
      </c>
      <c r="C456" s="209" t="s">
        <v>16</v>
      </c>
      <c r="D456" s="209" t="s">
        <v>3648</v>
      </c>
      <c r="E456" s="209"/>
      <c r="F456" s="209"/>
      <c r="G456" s="209"/>
      <c r="H456" s="217" t="s">
        <v>4913</v>
      </c>
      <c r="I456" s="217"/>
      <c r="J456" s="215"/>
      <c r="K456" s="217"/>
      <c r="L456" s="212" t="s">
        <v>2999</v>
      </c>
      <c r="M456" s="212" t="s">
        <v>2999</v>
      </c>
      <c r="N456" s="213"/>
      <c r="O456" s="263">
        <v>4590006249</v>
      </c>
      <c r="P456" s="214">
        <v>44836</v>
      </c>
      <c r="Q456" s="334">
        <v>24</v>
      </c>
      <c r="R456" s="216">
        <v>343.07</v>
      </c>
      <c r="S456" s="217" t="s">
        <v>2156</v>
      </c>
      <c r="T456" s="209" t="s">
        <v>3864</v>
      </c>
      <c r="U456" s="209" t="s">
        <v>3865</v>
      </c>
      <c r="V456" s="213" t="s">
        <v>3866</v>
      </c>
      <c r="W456" s="218" t="s">
        <v>3652</v>
      </c>
      <c r="X456" s="218" t="s">
        <v>3652</v>
      </c>
      <c r="Y456" s="212">
        <v>0</v>
      </c>
      <c r="Z456" s="209" t="s">
        <v>3664</v>
      </c>
      <c r="AA456" s="219"/>
      <c r="AB456" s="218"/>
      <c r="AC456" s="217" t="e">
        <v>#N/A</v>
      </c>
      <c r="AD456" s="217">
        <v>91025</v>
      </c>
      <c r="AE456" s="217" t="s">
        <v>4914</v>
      </c>
      <c r="AF456" s="217" t="s">
        <v>3770</v>
      </c>
      <c r="AG456" s="217" t="s">
        <v>4309</v>
      </c>
      <c r="AH456" s="220" t="str">
        <f t="shared" si="29"/>
        <v>4590006249_024</v>
      </c>
      <c r="AI456" s="208"/>
      <c r="AJ456" s="220"/>
      <c r="AK456" s="221"/>
      <c r="AL456" s="227"/>
      <c r="AM456" s="208"/>
      <c r="AN456" s="220"/>
      <c r="AO456" s="222"/>
      <c r="AP456" s="227"/>
      <c r="AQ456" s="358">
        <f ca="1">IF(表格1[[#This Row],[PO$]]="","100%",表格1[[#This Row],[total amount]]/表格1[[#This Row],[PO$]])</f>
        <v>0</v>
      </c>
      <c r="AR456" s="223">
        <f ca="1">表格1[[#This Row],[invoice amount]]+表格1[[#This Row],[invoice amount2]]</f>
        <v>0</v>
      </c>
      <c r="AS456" s="224"/>
      <c r="AT456" s="208"/>
      <c r="AU456" s="208" t="e">
        <f ca="1">VLOOKUP(表格1[[#This Row],[PO+ITEM]],#REF!,2,FALSE)</f>
        <v>#REF!</v>
      </c>
      <c r="AV456" s="341" t="e">
        <f ca="1">VLOOKUP(表格1[[#This Row],[PO+ITEM]],#REF!,3,FALSE)</f>
        <v>#REF!</v>
      </c>
      <c r="AW456" s="208" t="e">
        <f ca="1">VLOOKUP(表格1[[#This Row],[PO+ITEM]],#REF!,4,FALSE)</f>
        <v>#REF!</v>
      </c>
      <c r="AX456" s="208" t="e" cm="1" vm="1">
        <f t="array" aca="1" ref="AX456" ca="1">VLOOKUP(AI:AI,#REF!,1,FALSE)</f>
        <v>#VALUE!</v>
      </c>
    </row>
    <row r="457" spans="1:50">
      <c r="A457" s="220">
        <v>456</v>
      </c>
      <c r="B457" s="220" t="s">
        <v>3659</v>
      </c>
      <c r="C457" s="209" t="s">
        <v>16</v>
      </c>
      <c r="D457" s="209" t="s">
        <v>3648</v>
      </c>
      <c r="E457" s="209"/>
      <c r="F457" s="209"/>
      <c r="G457" s="209"/>
      <c r="H457" s="217" t="s">
        <v>4915</v>
      </c>
      <c r="I457" s="217"/>
      <c r="J457" s="215"/>
      <c r="K457" s="217"/>
      <c r="L457" s="212" t="s">
        <v>2999</v>
      </c>
      <c r="M457" s="212" t="s">
        <v>2999</v>
      </c>
      <c r="N457" s="213"/>
      <c r="O457" s="263">
        <v>4590006249</v>
      </c>
      <c r="P457" s="214">
        <v>44836</v>
      </c>
      <c r="Q457" s="334">
        <v>25</v>
      </c>
      <c r="R457" s="216">
        <v>343.07</v>
      </c>
      <c r="S457" s="217" t="s">
        <v>2156</v>
      </c>
      <c r="T457" s="209" t="s">
        <v>3864</v>
      </c>
      <c r="U457" s="209" t="s">
        <v>3865</v>
      </c>
      <c r="V457" s="213" t="s">
        <v>3866</v>
      </c>
      <c r="W457" s="218" t="s">
        <v>3652</v>
      </c>
      <c r="X457" s="218" t="s">
        <v>3652</v>
      </c>
      <c r="Y457" s="212">
        <v>0</v>
      </c>
      <c r="Z457" s="209" t="s">
        <v>3664</v>
      </c>
      <c r="AA457" s="219"/>
      <c r="AB457" s="218"/>
      <c r="AC457" s="217" t="e">
        <v>#N/A</v>
      </c>
      <c r="AD457" s="217">
        <v>91030</v>
      </c>
      <c r="AE457" s="217" t="s">
        <v>4916</v>
      </c>
      <c r="AF457" s="217" t="s">
        <v>3770</v>
      </c>
      <c r="AG457" s="217" t="s">
        <v>4309</v>
      </c>
      <c r="AH457" s="220" t="str">
        <f t="shared" si="29"/>
        <v>4590006249_025</v>
      </c>
      <c r="AI457" s="208"/>
      <c r="AJ457" s="220"/>
      <c r="AK457" s="221"/>
      <c r="AL457" s="227"/>
      <c r="AM457" s="208"/>
      <c r="AN457" s="220"/>
      <c r="AO457" s="222"/>
      <c r="AP457" s="227"/>
      <c r="AQ457" s="358">
        <f ca="1">IF(表格1[[#This Row],[PO$]]="","100%",表格1[[#This Row],[total amount]]/表格1[[#This Row],[PO$]])</f>
        <v>0</v>
      </c>
      <c r="AR457" s="223">
        <f ca="1">表格1[[#This Row],[invoice amount]]+表格1[[#This Row],[invoice amount2]]</f>
        <v>0</v>
      </c>
      <c r="AS457" s="224"/>
      <c r="AT457" s="208"/>
      <c r="AU457" s="208" t="e">
        <f ca="1">VLOOKUP(表格1[[#This Row],[PO+ITEM]],#REF!,2,FALSE)</f>
        <v>#REF!</v>
      </c>
      <c r="AV457" s="341" t="e">
        <f ca="1">VLOOKUP(表格1[[#This Row],[PO+ITEM]],#REF!,3,FALSE)</f>
        <v>#REF!</v>
      </c>
      <c r="AW457" s="208" t="e">
        <f ca="1">VLOOKUP(表格1[[#This Row],[PO+ITEM]],#REF!,4,FALSE)</f>
        <v>#REF!</v>
      </c>
      <c r="AX457" s="208" t="e" cm="1" vm="1">
        <f t="array" aca="1" ref="AX457" ca="1">VLOOKUP(AI:AI,#REF!,1,FALSE)</f>
        <v>#VALUE!</v>
      </c>
    </row>
    <row r="458" spans="1:50">
      <c r="A458" s="220">
        <v>457</v>
      </c>
      <c r="B458" s="220" t="s">
        <v>3659</v>
      </c>
      <c r="C458" s="209" t="s">
        <v>16</v>
      </c>
      <c r="D458" s="209" t="s">
        <v>3648</v>
      </c>
      <c r="E458" s="209"/>
      <c r="F458" s="209"/>
      <c r="G458" s="209"/>
      <c r="H458" s="210" t="s">
        <v>4917</v>
      </c>
      <c r="I458" s="210"/>
      <c r="J458" s="211"/>
      <c r="K458" s="210"/>
      <c r="L458" s="212" t="s">
        <v>2999</v>
      </c>
      <c r="M458" s="212" t="s">
        <v>2999</v>
      </c>
      <c r="N458" s="213"/>
      <c r="O458" s="263">
        <v>4590006250</v>
      </c>
      <c r="P458" s="214">
        <v>44836</v>
      </c>
      <c r="Q458" s="334">
        <v>1</v>
      </c>
      <c r="R458" s="216">
        <v>343.07</v>
      </c>
      <c r="S458" s="217" t="s">
        <v>2156</v>
      </c>
      <c r="T458" s="209" t="s">
        <v>3864</v>
      </c>
      <c r="U458" s="209" t="s">
        <v>3865</v>
      </c>
      <c r="V458" s="213" t="s">
        <v>3866</v>
      </c>
      <c r="W458" s="218" t="s">
        <v>3652</v>
      </c>
      <c r="X458" s="218" t="s">
        <v>3652</v>
      </c>
      <c r="Y458" s="212" t="s">
        <v>3767</v>
      </c>
      <c r="Z458" s="209" t="s">
        <v>3664</v>
      </c>
      <c r="AA458" s="219"/>
      <c r="AB458" s="218"/>
      <c r="AC458" s="217" t="e">
        <v>#N/A</v>
      </c>
      <c r="AD458" s="217">
        <v>91074</v>
      </c>
      <c r="AE458" s="217" t="s">
        <v>3109</v>
      </c>
      <c r="AF458" s="217" t="s">
        <v>3770</v>
      </c>
      <c r="AG458" s="217" t="s">
        <v>4309</v>
      </c>
      <c r="AH458" s="220" t="str">
        <f t="shared" ref="AH458:AH466" si="30">O458&amp;"_00"&amp;Q458</f>
        <v>4590006250_001</v>
      </c>
      <c r="AI458" s="208"/>
      <c r="AJ458" s="220"/>
      <c r="AK458" s="221"/>
      <c r="AL458" s="227"/>
      <c r="AM458" s="208"/>
      <c r="AN458" s="220"/>
      <c r="AO458" s="222"/>
      <c r="AP458" s="227"/>
      <c r="AQ458" s="358">
        <f ca="1">IF(表格1[[#This Row],[PO$]]="","100%",表格1[[#This Row],[total amount]]/表格1[[#This Row],[PO$]])</f>
        <v>0</v>
      </c>
      <c r="AR458" s="223">
        <f ca="1">表格1[[#This Row],[invoice amount]]+表格1[[#This Row],[invoice amount2]]</f>
        <v>0</v>
      </c>
      <c r="AS458" s="224"/>
      <c r="AT458" s="208"/>
      <c r="AU458" s="208" t="e">
        <f ca="1">VLOOKUP(表格1[[#This Row],[PO+ITEM]],#REF!,2,FALSE)</f>
        <v>#REF!</v>
      </c>
      <c r="AV458" s="341" t="e">
        <f ca="1">VLOOKUP(表格1[[#This Row],[PO+ITEM]],#REF!,3,FALSE)</f>
        <v>#REF!</v>
      </c>
      <c r="AW458" s="208" t="e">
        <f ca="1">VLOOKUP(表格1[[#This Row],[PO+ITEM]],#REF!,4,FALSE)</f>
        <v>#REF!</v>
      </c>
      <c r="AX458" s="208" t="e" cm="1" vm="1">
        <f t="array" aca="1" ref="AX458" ca="1">VLOOKUP(AI:AI,#REF!,1,FALSE)</f>
        <v>#VALUE!</v>
      </c>
    </row>
    <row r="459" spans="1:50">
      <c r="A459" s="220">
        <v>458</v>
      </c>
      <c r="B459" s="220" t="s">
        <v>3659</v>
      </c>
      <c r="C459" s="209" t="s">
        <v>16</v>
      </c>
      <c r="D459" s="209" t="s">
        <v>3648</v>
      </c>
      <c r="E459" s="209"/>
      <c r="F459" s="209"/>
      <c r="G459" s="209"/>
      <c r="H459" s="210" t="s">
        <v>4918</v>
      </c>
      <c r="I459" s="210"/>
      <c r="J459" s="211"/>
      <c r="K459" s="210"/>
      <c r="L459" s="212" t="s">
        <v>2999</v>
      </c>
      <c r="M459" s="212" t="s">
        <v>2999</v>
      </c>
      <c r="N459" s="213"/>
      <c r="O459" s="263">
        <v>4590006250</v>
      </c>
      <c r="P459" s="214">
        <v>44836</v>
      </c>
      <c r="Q459" s="334">
        <v>2</v>
      </c>
      <c r="R459" s="216">
        <v>343.07</v>
      </c>
      <c r="S459" s="217" t="s">
        <v>2156</v>
      </c>
      <c r="T459" s="209" t="s">
        <v>3864</v>
      </c>
      <c r="U459" s="209" t="s">
        <v>3865</v>
      </c>
      <c r="V459" s="213" t="s">
        <v>3866</v>
      </c>
      <c r="W459" s="218" t="s">
        <v>3652</v>
      </c>
      <c r="X459" s="218" t="s">
        <v>3652</v>
      </c>
      <c r="Y459" s="212" t="s">
        <v>3767</v>
      </c>
      <c r="Z459" s="209" t="s">
        <v>3664</v>
      </c>
      <c r="AA459" s="219"/>
      <c r="AB459" s="218"/>
      <c r="AC459" s="217" t="e">
        <v>#N/A</v>
      </c>
      <c r="AD459" s="217">
        <v>91075</v>
      </c>
      <c r="AE459" s="217" t="s">
        <v>3110</v>
      </c>
      <c r="AF459" s="217" t="s">
        <v>3770</v>
      </c>
      <c r="AG459" s="217" t="s">
        <v>4309</v>
      </c>
      <c r="AH459" s="220" t="str">
        <f t="shared" si="30"/>
        <v>4590006250_002</v>
      </c>
      <c r="AI459" s="208"/>
      <c r="AJ459" s="220"/>
      <c r="AK459" s="221"/>
      <c r="AL459" s="227"/>
      <c r="AM459" s="208"/>
      <c r="AN459" s="220"/>
      <c r="AO459" s="222"/>
      <c r="AP459" s="227"/>
      <c r="AQ459" s="358">
        <f ca="1">IF(表格1[[#This Row],[PO$]]="","100%",表格1[[#This Row],[total amount]]/表格1[[#This Row],[PO$]])</f>
        <v>0</v>
      </c>
      <c r="AR459" s="223">
        <f ca="1">表格1[[#This Row],[invoice amount]]+表格1[[#This Row],[invoice amount2]]</f>
        <v>0</v>
      </c>
      <c r="AS459" s="224"/>
      <c r="AT459" s="208"/>
      <c r="AU459" s="208" t="e">
        <f ca="1">VLOOKUP(表格1[[#This Row],[PO+ITEM]],#REF!,2,FALSE)</f>
        <v>#REF!</v>
      </c>
      <c r="AV459" s="341" t="e">
        <f ca="1">VLOOKUP(表格1[[#This Row],[PO+ITEM]],#REF!,3,FALSE)</f>
        <v>#REF!</v>
      </c>
      <c r="AW459" s="208" t="e">
        <f ca="1">VLOOKUP(表格1[[#This Row],[PO+ITEM]],#REF!,4,FALSE)</f>
        <v>#REF!</v>
      </c>
      <c r="AX459" s="208" t="e" cm="1" vm="1">
        <f t="array" aca="1" ref="AX459" ca="1">VLOOKUP(AI:AI,#REF!,1,FALSE)</f>
        <v>#VALUE!</v>
      </c>
    </row>
    <row r="460" spans="1:50" s="230" customFormat="1">
      <c r="A460" s="239">
        <v>459</v>
      </c>
      <c r="B460" s="220" t="e">
        <v>#N/A</v>
      </c>
      <c r="C460" s="231" t="s">
        <v>16</v>
      </c>
      <c r="D460" s="231" t="s">
        <v>3648</v>
      </c>
      <c r="E460" s="231"/>
      <c r="F460" s="231"/>
      <c r="G460" s="231"/>
      <c r="H460" s="270" t="s">
        <v>4919</v>
      </c>
      <c r="I460" s="270"/>
      <c r="J460" s="271"/>
      <c r="K460" s="270"/>
      <c r="L460" s="234" t="s">
        <v>2999</v>
      </c>
      <c r="M460" s="234" t="s">
        <v>2999</v>
      </c>
      <c r="N460" s="235"/>
      <c r="O460" s="268">
        <v>4590006250</v>
      </c>
      <c r="P460" s="268">
        <v>4590006250</v>
      </c>
      <c r="Q460" s="336">
        <v>3</v>
      </c>
      <c r="R460" s="237"/>
      <c r="S460" s="232" t="s">
        <v>2156</v>
      </c>
      <c r="T460" s="231" t="s">
        <v>3864</v>
      </c>
      <c r="U460" s="231" t="s">
        <v>3865</v>
      </c>
      <c r="V460" s="235" t="s">
        <v>3866</v>
      </c>
      <c r="W460" s="238" t="s">
        <v>3652</v>
      </c>
      <c r="X460" s="238" t="s">
        <v>3652</v>
      </c>
      <c r="Y460" s="234" t="s">
        <v>3767</v>
      </c>
      <c r="Z460" s="231" t="s">
        <v>3664</v>
      </c>
      <c r="AA460" s="269"/>
      <c r="AB460" s="238"/>
      <c r="AC460" s="232" t="e">
        <v>#N/A</v>
      </c>
      <c r="AD460" s="232">
        <v>91084</v>
      </c>
      <c r="AE460" s="232" t="s">
        <v>3111</v>
      </c>
      <c r="AF460" s="232" t="s">
        <v>3770</v>
      </c>
      <c r="AG460" s="232" t="s">
        <v>4309</v>
      </c>
      <c r="AH460" s="239" t="str">
        <f t="shared" si="30"/>
        <v>4590006250_003</v>
      </c>
      <c r="AJ460" s="239"/>
      <c r="AK460" s="240"/>
      <c r="AL460" s="302"/>
      <c r="AN460" s="239"/>
      <c r="AO460" s="241"/>
      <c r="AP460" s="302"/>
      <c r="AQ460" s="358" t="str">
        <f ca="1">IF(表格1[[#This Row],[PO$]]="","100%",表格1[[#This Row],[total amount]]/表格1[[#This Row],[PO$]])</f>
        <v>100%</v>
      </c>
      <c r="AR460" s="242"/>
      <c r="AS460" s="243"/>
      <c r="AT460" s="208"/>
      <c r="AU460" s="208" t="e">
        <f ca="1">VLOOKUP(表格1[[#This Row],[PO+ITEM]],#REF!,2,FALSE)</f>
        <v>#REF!</v>
      </c>
      <c r="AV460" s="341" t="e">
        <f ca="1">VLOOKUP(表格1[[#This Row],[PO+ITEM]],#REF!,3,FALSE)</f>
        <v>#REF!</v>
      </c>
      <c r="AW460" s="208" t="e">
        <f ca="1">VLOOKUP(表格1[[#This Row],[PO+ITEM]],#REF!,4,FALSE)</f>
        <v>#REF!</v>
      </c>
      <c r="AX460" s="208" t="e" cm="1" vm="1">
        <f t="array" aca="1" ref="AX460" ca="1">VLOOKUP(AI:AI,#REF!,1,FALSE)</f>
        <v>#VALUE!</v>
      </c>
    </row>
    <row r="461" spans="1:50">
      <c r="A461" s="220">
        <v>460</v>
      </c>
      <c r="B461" s="220" t="s">
        <v>3659</v>
      </c>
      <c r="C461" s="209" t="s">
        <v>16</v>
      </c>
      <c r="D461" s="209" t="s">
        <v>3648</v>
      </c>
      <c r="E461" s="209"/>
      <c r="F461" s="209"/>
      <c r="G461" s="209"/>
      <c r="H461" s="210" t="s">
        <v>4920</v>
      </c>
      <c r="I461" s="210"/>
      <c r="J461" s="211"/>
      <c r="K461" s="210"/>
      <c r="L461" s="212" t="s">
        <v>2999</v>
      </c>
      <c r="M461" s="212" t="s">
        <v>2999</v>
      </c>
      <c r="N461" s="213"/>
      <c r="O461" s="263">
        <v>4590006250</v>
      </c>
      <c r="P461" s="214">
        <v>44836</v>
      </c>
      <c r="Q461" s="334">
        <v>4</v>
      </c>
      <c r="R461" s="216">
        <v>14109.38</v>
      </c>
      <c r="S461" s="217" t="s">
        <v>2156</v>
      </c>
      <c r="T461" s="209" t="s">
        <v>3864</v>
      </c>
      <c r="U461" s="209" t="s">
        <v>3865</v>
      </c>
      <c r="V461" s="213" t="s">
        <v>3866</v>
      </c>
      <c r="W461" s="218" t="s">
        <v>3652</v>
      </c>
      <c r="X461" s="218" t="s">
        <v>3652</v>
      </c>
      <c r="Y461" s="212" t="s">
        <v>3767</v>
      </c>
      <c r="Z461" s="209" t="s">
        <v>3664</v>
      </c>
      <c r="AA461" s="219"/>
      <c r="AB461" s="218"/>
      <c r="AC461" s="217" t="e">
        <v>#N/A</v>
      </c>
      <c r="AD461" s="217">
        <v>91345</v>
      </c>
      <c r="AE461" s="217" t="s">
        <v>3814</v>
      </c>
      <c r="AF461" s="217" t="s">
        <v>3770</v>
      </c>
      <c r="AG461" s="217" t="s">
        <v>3719</v>
      </c>
      <c r="AH461" s="220" t="str">
        <f t="shared" si="30"/>
        <v>4590006250_004</v>
      </c>
      <c r="AI461" s="208"/>
      <c r="AJ461" s="220"/>
      <c r="AK461" s="221"/>
      <c r="AL461" s="227"/>
      <c r="AM461" s="208"/>
      <c r="AN461" s="220"/>
      <c r="AO461" s="222"/>
      <c r="AP461" s="227"/>
      <c r="AQ461" s="358">
        <f ca="1">IF(表格1[[#This Row],[PO$]]="","100%",表格1[[#This Row],[total amount]]/表格1[[#This Row],[PO$]])</f>
        <v>0</v>
      </c>
      <c r="AR461" s="223">
        <f ca="1">表格1[[#This Row],[invoice amount]]+表格1[[#This Row],[invoice amount2]]</f>
        <v>0</v>
      </c>
      <c r="AS461" s="224"/>
      <c r="AT461" s="208"/>
      <c r="AU461" s="208" t="e">
        <f ca="1">VLOOKUP(表格1[[#This Row],[PO+ITEM]],#REF!,2,FALSE)</f>
        <v>#REF!</v>
      </c>
      <c r="AV461" s="341" t="e">
        <f ca="1">VLOOKUP(表格1[[#This Row],[PO+ITEM]],#REF!,3,FALSE)</f>
        <v>#REF!</v>
      </c>
      <c r="AW461" s="208" t="e">
        <f ca="1">VLOOKUP(表格1[[#This Row],[PO+ITEM]],#REF!,4,FALSE)</f>
        <v>#REF!</v>
      </c>
      <c r="AX461" s="208" t="e" cm="1" vm="1">
        <f t="array" aca="1" ref="AX461" ca="1">VLOOKUP(AI:AI,#REF!,1,FALSE)</f>
        <v>#VALUE!</v>
      </c>
    </row>
    <row r="462" spans="1:50">
      <c r="A462" s="220">
        <v>461</v>
      </c>
      <c r="B462" s="220" t="s">
        <v>3659</v>
      </c>
      <c r="C462" s="209" t="s">
        <v>16</v>
      </c>
      <c r="D462" s="209" t="s">
        <v>3648</v>
      </c>
      <c r="E462" s="209"/>
      <c r="F462" s="209"/>
      <c r="G462" s="209"/>
      <c r="H462" s="210" t="s">
        <v>4921</v>
      </c>
      <c r="I462" s="210"/>
      <c r="J462" s="211"/>
      <c r="K462" s="210"/>
      <c r="L462" s="212" t="s">
        <v>2999</v>
      </c>
      <c r="M462" s="212" t="s">
        <v>2999</v>
      </c>
      <c r="N462" s="213"/>
      <c r="O462" s="263">
        <v>4590006250</v>
      </c>
      <c r="P462" s="214">
        <v>44836</v>
      </c>
      <c r="Q462" s="334">
        <v>5</v>
      </c>
      <c r="R462" s="216">
        <v>14109.38</v>
      </c>
      <c r="S462" s="217" t="s">
        <v>2156</v>
      </c>
      <c r="T462" s="209" t="s">
        <v>3864</v>
      </c>
      <c r="U462" s="209" t="s">
        <v>3865</v>
      </c>
      <c r="V462" s="213" t="s">
        <v>3866</v>
      </c>
      <c r="W462" s="218" t="s">
        <v>3652</v>
      </c>
      <c r="X462" s="218" t="s">
        <v>3652</v>
      </c>
      <c r="Y462" s="212" t="s">
        <v>3767</v>
      </c>
      <c r="Z462" s="209" t="s">
        <v>3664</v>
      </c>
      <c r="AA462" s="219"/>
      <c r="AB462" s="218"/>
      <c r="AC462" s="217" t="e">
        <v>#N/A</v>
      </c>
      <c r="AD462" s="217">
        <v>91346</v>
      </c>
      <c r="AE462" s="217" t="s">
        <v>3816</v>
      </c>
      <c r="AF462" s="217" t="s">
        <v>3770</v>
      </c>
      <c r="AG462" s="217" t="s">
        <v>3719</v>
      </c>
      <c r="AH462" s="220" t="str">
        <f t="shared" si="30"/>
        <v>4590006250_005</v>
      </c>
      <c r="AI462" s="208"/>
      <c r="AJ462" s="220"/>
      <c r="AK462" s="221"/>
      <c r="AL462" s="227"/>
      <c r="AM462" s="208"/>
      <c r="AN462" s="220"/>
      <c r="AO462" s="222"/>
      <c r="AP462" s="227"/>
      <c r="AQ462" s="358">
        <f ca="1">IF(表格1[[#This Row],[PO$]]="","100%",表格1[[#This Row],[total amount]]/表格1[[#This Row],[PO$]])</f>
        <v>0</v>
      </c>
      <c r="AR462" s="223">
        <f ca="1">表格1[[#This Row],[invoice amount]]+表格1[[#This Row],[invoice amount2]]</f>
        <v>0</v>
      </c>
      <c r="AS462" s="224"/>
      <c r="AT462" s="208"/>
      <c r="AU462" s="208" t="e">
        <f ca="1">VLOOKUP(表格1[[#This Row],[PO+ITEM]],#REF!,2,FALSE)</f>
        <v>#REF!</v>
      </c>
      <c r="AV462" s="341" t="e">
        <f ca="1">VLOOKUP(表格1[[#This Row],[PO+ITEM]],#REF!,3,FALSE)</f>
        <v>#REF!</v>
      </c>
      <c r="AW462" s="208" t="e">
        <f ca="1">VLOOKUP(表格1[[#This Row],[PO+ITEM]],#REF!,4,FALSE)</f>
        <v>#REF!</v>
      </c>
      <c r="AX462" s="208" t="e" cm="1" vm="1">
        <f t="array" aca="1" ref="AX462" ca="1">VLOOKUP(AI:AI,#REF!,1,FALSE)</f>
        <v>#VALUE!</v>
      </c>
    </row>
    <row r="463" spans="1:50">
      <c r="A463" s="220">
        <v>462</v>
      </c>
      <c r="B463" s="220" t="s">
        <v>3659</v>
      </c>
      <c r="C463" s="209" t="s">
        <v>16</v>
      </c>
      <c r="D463" s="209" t="s">
        <v>3648</v>
      </c>
      <c r="E463" s="209"/>
      <c r="F463" s="209"/>
      <c r="G463" s="209"/>
      <c r="H463" s="210" t="s">
        <v>4922</v>
      </c>
      <c r="I463" s="210"/>
      <c r="J463" s="211"/>
      <c r="K463" s="210"/>
      <c r="L463" s="212" t="s">
        <v>2999</v>
      </c>
      <c r="M463" s="212" t="s">
        <v>2999</v>
      </c>
      <c r="N463" s="213"/>
      <c r="O463" s="263">
        <v>4590006250</v>
      </c>
      <c r="P463" s="214">
        <v>44836</v>
      </c>
      <c r="Q463" s="334">
        <v>6</v>
      </c>
      <c r="R463" s="216">
        <v>14109.38</v>
      </c>
      <c r="S463" s="217" t="s">
        <v>2156</v>
      </c>
      <c r="T463" s="209" t="s">
        <v>3864</v>
      </c>
      <c r="U463" s="209" t="s">
        <v>3865</v>
      </c>
      <c r="V463" s="213" t="s">
        <v>3866</v>
      </c>
      <c r="W463" s="218" t="s">
        <v>3652</v>
      </c>
      <c r="X463" s="218" t="s">
        <v>3652</v>
      </c>
      <c r="Y463" s="212" t="s">
        <v>3767</v>
      </c>
      <c r="Z463" s="209" t="s">
        <v>3664</v>
      </c>
      <c r="AA463" s="219"/>
      <c r="AB463" s="218"/>
      <c r="AC463" s="217" t="e">
        <v>#N/A</v>
      </c>
      <c r="AD463" s="217">
        <v>91347</v>
      </c>
      <c r="AE463" s="217" t="s">
        <v>3818</v>
      </c>
      <c r="AF463" s="217" t="s">
        <v>3770</v>
      </c>
      <c r="AG463" s="217" t="s">
        <v>3719</v>
      </c>
      <c r="AH463" s="220" t="str">
        <f t="shared" si="30"/>
        <v>4590006250_006</v>
      </c>
      <c r="AI463" s="208"/>
      <c r="AJ463" s="220"/>
      <c r="AK463" s="221"/>
      <c r="AL463" s="227"/>
      <c r="AM463" s="208"/>
      <c r="AN463" s="220"/>
      <c r="AO463" s="222"/>
      <c r="AP463" s="227"/>
      <c r="AQ463" s="358">
        <f ca="1">IF(表格1[[#This Row],[PO$]]="","100%",表格1[[#This Row],[total amount]]/表格1[[#This Row],[PO$]])</f>
        <v>0</v>
      </c>
      <c r="AR463" s="223">
        <f ca="1">表格1[[#This Row],[invoice amount]]+表格1[[#This Row],[invoice amount2]]</f>
        <v>0</v>
      </c>
      <c r="AS463" s="224"/>
      <c r="AT463" s="208"/>
      <c r="AU463" s="208" t="e">
        <f ca="1">VLOOKUP(表格1[[#This Row],[PO+ITEM]],#REF!,2,FALSE)</f>
        <v>#REF!</v>
      </c>
      <c r="AV463" s="341" t="e">
        <f ca="1">VLOOKUP(表格1[[#This Row],[PO+ITEM]],#REF!,3,FALSE)</f>
        <v>#REF!</v>
      </c>
      <c r="AW463" s="208" t="e">
        <f ca="1">VLOOKUP(表格1[[#This Row],[PO+ITEM]],#REF!,4,FALSE)</f>
        <v>#REF!</v>
      </c>
      <c r="AX463" s="208" t="e" cm="1" vm="1">
        <f t="array" aca="1" ref="AX463" ca="1">VLOOKUP(AI:AI,#REF!,1,FALSE)</f>
        <v>#VALUE!</v>
      </c>
    </row>
    <row r="464" spans="1:50">
      <c r="A464" s="220">
        <v>463</v>
      </c>
      <c r="B464" s="220" t="s">
        <v>3659</v>
      </c>
      <c r="C464" s="209" t="s">
        <v>16</v>
      </c>
      <c r="D464" s="209" t="s">
        <v>3648</v>
      </c>
      <c r="E464" s="209"/>
      <c r="F464" s="209"/>
      <c r="G464" s="209"/>
      <c r="H464" s="217" t="s">
        <v>4923</v>
      </c>
      <c r="I464" s="217"/>
      <c r="J464" s="215"/>
      <c r="K464" s="217"/>
      <c r="L464" s="212" t="s">
        <v>2999</v>
      </c>
      <c r="M464" s="212" t="s">
        <v>2999</v>
      </c>
      <c r="N464" s="213"/>
      <c r="O464" s="263">
        <v>4590006250</v>
      </c>
      <c r="P464" s="214">
        <v>44836</v>
      </c>
      <c r="Q464" s="334">
        <v>7</v>
      </c>
      <c r="R464" s="216">
        <v>14109.38</v>
      </c>
      <c r="S464" s="217" t="s">
        <v>2156</v>
      </c>
      <c r="T464" s="209" t="s">
        <v>3864</v>
      </c>
      <c r="U464" s="209" t="s">
        <v>3865</v>
      </c>
      <c r="V464" s="213" t="s">
        <v>3866</v>
      </c>
      <c r="W464" s="218" t="s">
        <v>3652</v>
      </c>
      <c r="X464" s="218" t="s">
        <v>3652</v>
      </c>
      <c r="Y464" s="212" t="s">
        <v>3767</v>
      </c>
      <c r="Z464" s="209" t="s">
        <v>3664</v>
      </c>
      <c r="AA464" s="219"/>
      <c r="AB464" s="218"/>
      <c r="AC464" s="217" t="e">
        <v>#N/A</v>
      </c>
      <c r="AD464" s="217">
        <v>91348</v>
      </c>
      <c r="AE464" s="217" t="s">
        <v>4924</v>
      </c>
      <c r="AF464" s="217" t="s">
        <v>3770</v>
      </c>
      <c r="AG464" s="217" t="s">
        <v>3719</v>
      </c>
      <c r="AH464" s="220" t="str">
        <f t="shared" si="30"/>
        <v>4590006250_007</v>
      </c>
      <c r="AI464" s="208"/>
      <c r="AJ464" s="220"/>
      <c r="AK464" s="221"/>
      <c r="AL464" s="227"/>
      <c r="AM464" s="208"/>
      <c r="AN464" s="220"/>
      <c r="AO464" s="222"/>
      <c r="AP464" s="227"/>
      <c r="AQ464" s="358">
        <f ca="1">IF(表格1[[#This Row],[PO$]]="","100%",表格1[[#This Row],[total amount]]/表格1[[#This Row],[PO$]])</f>
        <v>0</v>
      </c>
      <c r="AR464" s="223">
        <f ca="1">表格1[[#This Row],[invoice amount]]+表格1[[#This Row],[invoice amount2]]</f>
        <v>0</v>
      </c>
      <c r="AS464" s="224"/>
      <c r="AT464" s="208"/>
      <c r="AU464" s="208" t="e">
        <f ca="1">VLOOKUP(表格1[[#This Row],[PO+ITEM]],#REF!,2,FALSE)</f>
        <v>#REF!</v>
      </c>
      <c r="AV464" s="341" t="e">
        <f ca="1">VLOOKUP(表格1[[#This Row],[PO+ITEM]],#REF!,3,FALSE)</f>
        <v>#REF!</v>
      </c>
      <c r="AW464" s="208" t="e">
        <f ca="1">VLOOKUP(表格1[[#This Row],[PO+ITEM]],#REF!,4,FALSE)</f>
        <v>#REF!</v>
      </c>
      <c r="AX464" s="208" t="e" cm="1" vm="1">
        <f t="array" aca="1" ref="AX464" ca="1">VLOOKUP(AI:AI,#REF!,1,FALSE)</f>
        <v>#VALUE!</v>
      </c>
    </row>
    <row r="465" spans="1:50">
      <c r="A465" s="220">
        <v>464</v>
      </c>
      <c r="B465" s="220" t="s">
        <v>3659</v>
      </c>
      <c r="C465" s="209" t="s">
        <v>16</v>
      </c>
      <c r="D465" s="209" t="s">
        <v>3648</v>
      </c>
      <c r="E465" s="209"/>
      <c r="F465" s="209"/>
      <c r="G465" s="209"/>
      <c r="H465" s="210" t="s">
        <v>4925</v>
      </c>
      <c r="I465" s="210"/>
      <c r="J465" s="211"/>
      <c r="K465" s="210"/>
      <c r="L465" s="212" t="s">
        <v>2999</v>
      </c>
      <c r="M465" s="212" t="s">
        <v>2999</v>
      </c>
      <c r="N465" s="213"/>
      <c r="O465" s="263">
        <v>4590006250</v>
      </c>
      <c r="P465" s="214">
        <v>44836</v>
      </c>
      <c r="Q465" s="334">
        <v>8</v>
      </c>
      <c r="R465" s="216">
        <v>14109.38</v>
      </c>
      <c r="S465" s="217" t="s">
        <v>2156</v>
      </c>
      <c r="T465" s="209" t="s">
        <v>3864</v>
      </c>
      <c r="U465" s="209" t="s">
        <v>3865</v>
      </c>
      <c r="V465" s="213" t="s">
        <v>3866</v>
      </c>
      <c r="W465" s="218" t="s">
        <v>3652</v>
      </c>
      <c r="X465" s="218" t="s">
        <v>3652</v>
      </c>
      <c r="Y465" s="212" t="s">
        <v>3767</v>
      </c>
      <c r="Z465" s="209" t="s">
        <v>3664</v>
      </c>
      <c r="AA465" s="219"/>
      <c r="AB465" s="218"/>
      <c r="AC465" s="217" t="e">
        <v>#N/A</v>
      </c>
      <c r="AD465" s="217">
        <v>91349</v>
      </c>
      <c r="AE465" s="217" t="s">
        <v>4926</v>
      </c>
      <c r="AF465" s="217" t="s">
        <v>3770</v>
      </c>
      <c r="AG465" s="217" t="s">
        <v>3719</v>
      </c>
      <c r="AH465" s="220" t="str">
        <f t="shared" si="30"/>
        <v>4590006250_008</v>
      </c>
      <c r="AI465" s="208"/>
      <c r="AJ465" s="220"/>
      <c r="AK465" s="221"/>
      <c r="AL465" s="227"/>
      <c r="AM465" s="208"/>
      <c r="AN465" s="220"/>
      <c r="AO465" s="222"/>
      <c r="AP465" s="227"/>
      <c r="AQ465" s="358">
        <f ca="1">IF(表格1[[#This Row],[PO$]]="","100%",表格1[[#This Row],[total amount]]/表格1[[#This Row],[PO$]])</f>
        <v>0</v>
      </c>
      <c r="AR465" s="223">
        <f ca="1">表格1[[#This Row],[invoice amount]]+表格1[[#This Row],[invoice amount2]]</f>
        <v>0</v>
      </c>
      <c r="AS465" s="224"/>
      <c r="AT465" s="208"/>
      <c r="AU465" s="208" t="e">
        <f ca="1">VLOOKUP(表格1[[#This Row],[PO+ITEM]],#REF!,2,FALSE)</f>
        <v>#REF!</v>
      </c>
      <c r="AV465" s="341" t="e">
        <f ca="1">VLOOKUP(表格1[[#This Row],[PO+ITEM]],#REF!,3,FALSE)</f>
        <v>#REF!</v>
      </c>
      <c r="AW465" s="208" t="e">
        <f ca="1">VLOOKUP(表格1[[#This Row],[PO+ITEM]],#REF!,4,FALSE)</f>
        <v>#REF!</v>
      </c>
      <c r="AX465" s="208" t="e" cm="1" vm="1">
        <f t="array" aca="1" ref="AX465" ca="1">VLOOKUP(AI:AI,#REF!,1,FALSE)</f>
        <v>#VALUE!</v>
      </c>
    </row>
    <row r="466" spans="1:50">
      <c r="A466" s="220">
        <v>465</v>
      </c>
      <c r="B466" s="220" t="s">
        <v>3659</v>
      </c>
      <c r="C466" s="209" t="s">
        <v>16</v>
      </c>
      <c r="D466" s="209" t="s">
        <v>3648</v>
      </c>
      <c r="E466" s="209"/>
      <c r="F466" s="209"/>
      <c r="G466" s="209"/>
      <c r="H466" s="210" t="s">
        <v>4927</v>
      </c>
      <c r="I466" s="210"/>
      <c r="J466" s="211"/>
      <c r="K466" s="210"/>
      <c r="L466" s="212" t="s">
        <v>2999</v>
      </c>
      <c r="M466" s="212" t="s">
        <v>2999</v>
      </c>
      <c r="N466" s="213"/>
      <c r="O466" s="263">
        <v>4590006250</v>
      </c>
      <c r="P466" s="214">
        <v>44836</v>
      </c>
      <c r="Q466" s="334">
        <v>9</v>
      </c>
      <c r="R466" s="216">
        <v>14109.38</v>
      </c>
      <c r="S466" s="217" t="s">
        <v>2156</v>
      </c>
      <c r="T466" s="209" t="s">
        <v>3864</v>
      </c>
      <c r="U466" s="209" t="s">
        <v>3865</v>
      </c>
      <c r="V466" s="213" t="s">
        <v>3866</v>
      </c>
      <c r="W466" s="218" t="s">
        <v>3652</v>
      </c>
      <c r="X466" s="218" t="s">
        <v>3652</v>
      </c>
      <c r="Y466" s="212" t="s">
        <v>3767</v>
      </c>
      <c r="Z466" s="209" t="s">
        <v>3664</v>
      </c>
      <c r="AA466" s="219"/>
      <c r="AB466" s="218"/>
      <c r="AC466" s="217" t="e">
        <v>#N/A</v>
      </c>
      <c r="AD466" s="217">
        <v>91360</v>
      </c>
      <c r="AE466" s="217" t="s">
        <v>4928</v>
      </c>
      <c r="AF466" s="217" t="s">
        <v>3770</v>
      </c>
      <c r="AG466" s="217" t="s">
        <v>3719</v>
      </c>
      <c r="AH466" s="220" t="str">
        <f t="shared" si="30"/>
        <v>4590006250_009</v>
      </c>
      <c r="AI466" s="208"/>
      <c r="AJ466" s="220"/>
      <c r="AK466" s="221"/>
      <c r="AL466" s="227"/>
      <c r="AM466" s="208"/>
      <c r="AN466" s="220"/>
      <c r="AO466" s="222"/>
      <c r="AP466" s="227"/>
      <c r="AQ466" s="358">
        <f ca="1">IF(表格1[[#This Row],[PO$]]="","100%",表格1[[#This Row],[total amount]]/表格1[[#This Row],[PO$]])</f>
        <v>0</v>
      </c>
      <c r="AR466" s="223">
        <f ca="1">表格1[[#This Row],[invoice amount]]+表格1[[#This Row],[invoice amount2]]</f>
        <v>0</v>
      </c>
      <c r="AS466" s="224"/>
      <c r="AT466" s="208"/>
      <c r="AU466" s="208" t="e">
        <f ca="1">VLOOKUP(表格1[[#This Row],[PO+ITEM]],#REF!,2,FALSE)</f>
        <v>#REF!</v>
      </c>
      <c r="AV466" s="341" t="e">
        <f ca="1">VLOOKUP(表格1[[#This Row],[PO+ITEM]],#REF!,3,FALSE)</f>
        <v>#REF!</v>
      </c>
      <c r="AW466" s="208" t="e">
        <f ca="1">VLOOKUP(表格1[[#This Row],[PO+ITEM]],#REF!,4,FALSE)</f>
        <v>#REF!</v>
      </c>
      <c r="AX466" s="208" t="e" cm="1" vm="1">
        <f t="array" aca="1" ref="AX466" ca="1">VLOOKUP(AI:AI,#REF!,1,FALSE)</f>
        <v>#VALUE!</v>
      </c>
    </row>
    <row r="467" spans="1:50">
      <c r="A467" s="220">
        <v>466</v>
      </c>
      <c r="B467" s="220" t="s">
        <v>3659</v>
      </c>
      <c r="C467" s="209" t="s">
        <v>16</v>
      </c>
      <c r="D467" s="209" t="s">
        <v>3648</v>
      </c>
      <c r="E467" s="209"/>
      <c r="F467" s="209"/>
      <c r="G467" s="209"/>
      <c r="H467" s="210" t="s">
        <v>4929</v>
      </c>
      <c r="I467" s="210"/>
      <c r="J467" s="211"/>
      <c r="K467" s="210"/>
      <c r="L467" s="212" t="s">
        <v>2999</v>
      </c>
      <c r="M467" s="212" t="s">
        <v>2999</v>
      </c>
      <c r="N467" s="213"/>
      <c r="O467" s="263">
        <v>4590006250</v>
      </c>
      <c r="P467" s="214">
        <v>44836</v>
      </c>
      <c r="Q467" s="334">
        <v>10</v>
      </c>
      <c r="R467" s="216">
        <v>14109.38</v>
      </c>
      <c r="S467" s="217" t="s">
        <v>2156</v>
      </c>
      <c r="T467" s="209" t="s">
        <v>3864</v>
      </c>
      <c r="U467" s="209" t="s">
        <v>3865</v>
      </c>
      <c r="V467" s="213" t="s">
        <v>3866</v>
      </c>
      <c r="W467" s="218" t="s">
        <v>3652</v>
      </c>
      <c r="X467" s="218" t="s">
        <v>3652</v>
      </c>
      <c r="Y467" s="212" t="s">
        <v>3767</v>
      </c>
      <c r="Z467" s="209" t="s">
        <v>3664</v>
      </c>
      <c r="AA467" s="219"/>
      <c r="AB467" s="218"/>
      <c r="AC467" s="217" t="e">
        <v>#N/A</v>
      </c>
      <c r="AD467" s="217">
        <v>91361</v>
      </c>
      <c r="AE467" s="217" t="s">
        <v>4930</v>
      </c>
      <c r="AF467" s="217" t="s">
        <v>3770</v>
      </c>
      <c r="AG467" s="217" t="s">
        <v>3719</v>
      </c>
      <c r="AH467" s="220" t="str">
        <f t="shared" ref="AH467:AH498" si="31">O467&amp;"_0"&amp;Q467</f>
        <v>4590006250_010</v>
      </c>
      <c r="AI467" s="208"/>
      <c r="AJ467" s="220"/>
      <c r="AK467" s="221"/>
      <c r="AL467" s="227"/>
      <c r="AM467" s="208"/>
      <c r="AN467" s="220"/>
      <c r="AO467" s="222"/>
      <c r="AP467" s="227"/>
      <c r="AQ467" s="358">
        <f ca="1">IF(表格1[[#This Row],[PO$]]="","100%",表格1[[#This Row],[total amount]]/表格1[[#This Row],[PO$]])</f>
        <v>0</v>
      </c>
      <c r="AR467" s="223">
        <f ca="1">表格1[[#This Row],[invoice amount]]+表格1[[#This Row],[invoice amount2]]</f>
        <v>0</v>
      </c>
      <c r="AS467" s="224"/>
      <c r="AT467" s="208"/>
      <c r="AU467" s="208" t="e">
        <f ca="1">VLOOKUP(表格1[[#This Row],[PO+ITEM]],#REF!,2,FALSE)</f>
        <v>#REF!</v>
      </c>
      <c r="AV467" s="341" t="e">
        <f ca="1">VLOOKUP(表格1[[#This Row],[PO+ITEM]],#REF!,3,FALSE)</f>
        <v>#REF!</v>
      </c>
      <c r="AW467" s="208" t="e">
        <f ca="1">VLOOKUP(表格1[[#This Row],[PO+ITEM]],#REF!,4,FALSE)</f>
        <v>#REF!</v>
      </c>
      <c r="AX467" s="208" t="e" cm="1" vm="1">
        <f t="array" aca="1" ref="AX467" ca="1">VLOOKUP(AI:AI,#REF!,1,FALSE)</f>
        <v>#VALUE!</v>
      </c>
    </row>
    <row r="468" spans="1:50" s="230" customFormat="1">
      <c r="A468" s="239">
        <v>467</v>
      </c>
      <c r="B468" s="220" t="s">
        <v>3659</v>
      </c>
      <c r="C468" s="231" t="s">
        <v>16</v>
      </c>
      <c r="D468" s="231" t="s">
        <v>3648</v>
      </c>
      <c r="E468" s="231"/>
      <c r="F468" s="231"/>
      <c r="G468" s="231"/>
      <c r="H468" s="270" t="s">
        <v>4931</v>
      </c>
      <c r="I468" s="270"/>
      <c r="J468" s="271"/>
      <c r="K468" s="270"/>
      <c r="L468" s="234" t="s">
        <v>2999</v>
      </c>
      <c r="M468" s="234" t="s">
        <v>2999</v>
      </c>
      <c r="N468" s="235"/>
      <c r="O468" s="268">
        <v>4590006250</v>
      </c>
      <c r="P468" s="236">
        <v>44836</v>
      </c>
      <c r="Q468" s="336">
        <v>11</v>
      </c>
      <c r="R468" s="237"/>
      <c r="S468" s="232" t="s">
        <v>2156</v>
      </c>
      <c r="T468" s="231" t="s">
        <v>3864</v>
      </c>
      <c r="U468" s="231" t="s">
        <v>3865</v>
      </c>
      <c r="V468" s="235" t="s">
        <v>3866</v>
      </c>
      <c r="W468" s="238" t="s">
        <v>3652</v>
      </c>
      <c r="X468" s="238" t="s">
        <v>3652</v>
      </c>
      <c r="Y468" s="234" t="s">
        <v>3767</v>
      </c>
      <c r="Z468" s="231" t="s">
        <v>3664</v>
      </c>
      <c r="AA468" s="269"/>
      <c r="AB468" s="238"/>
      <c r="AC468" s="232" t="e">
        <v>#N/A</v>
      </c>
      <c r="AD468" s="232">
        <v>91364</v>
      </c>
      <c r="AE468" s="232" t="s">
        <v>4932</v>
      </c>
      <c r="AF468" s="232" t="s">
        <v>3770</v>
      </c>
      <c r="AG468" s="232" t="s">
        <v>3719</v>
      </c>
      <c r="AH468" s="239" t="str">
        <f t="shared" si="31"/>
        <v>4590006250_011</v>
      </c>
      <c r="AJ468" s="239"/>
      <c r="AK468" s="240"/>
      <c r="AL468" s="302"/>
      <c r="AN468" s="239"/>
      <c r="AO468" s="241"/>
      <c r="AP468" s="302"/>
      <c r="AQ468" s="358" t="str">
        <f ca="1">IF(表格1[[#This Row],[PO$]]="","100%",表格1[[#This Row],[total amount]]/表格1[[#This Row],[PO$]])</f>
        <v>100%</v>
      </c>
      <c r="AR468" s="242"/>
      <c r="AS468" s="243"/>
      <c r="AT468" s="208"/>
      <c r="AU468" s="208" t="e">
        <f ca="1">VLOOKUP(表格1[[#This Row],[PO+ITEM]],#REF!,2,FALSE)</f>
        <v>#REF!</v>
      </c>
      <c r="AV468" s="341" t="e">
        <f ca="1">VLOOKUP(表格1[[#This Row],[PO+ITEM]],#REF!,3,FALSE)</f>
        <v>#REF!</v>
      </c>
      <c r="AW468" s="208" t="e">
        <f ca="1">VLOOKUP(表格1[[#This Row],[PO+ITEM]],#REF!,4,FALSE)</f>
        <v>#REF!</v>
      </c>
      <c r="AX468" s="208" t="e" cm="1" vm="1">
        <f t="array" aca="1" ref="AX468" ca="1">VLOOKUP(AI:AI,#REF!,1,FALSE)</f>
        <v>#VALUE!</v>
      </c>
    </row>
    <row r="469" spans="1:50">
      <c r="A469" s="220">
        <v>468</v>
      </c>
      <c r="B469" s="220" t="s">
        <v>3659</v>
      </c>
      <c r="C469" s="209" t="s">
        <v>16</v>
      </c>
      <c r="D469" s="209" t="s">
        <v>3648</v>
      </c>
      <c r="E469" s="209"/>
      <c r="F469" s="209"/>
      <c r="G469" s="209"/>
      <c r="H469" s="210" t="s">
        <v>4933</v>
      </c>
      <c r="I469" s="210"/>
      <c r="J469" s="211"/>
      <c r="K469" s="210"/>
      <c r="L469" s="212" t="s">
        <v>2999</v>
      </c>
      <c r="M469" s="212" t="s">
        <v>2999</v>
      </c>
      <c r="N469" s="213"/>
      <c r="O469" s="263">
        <v>4590006250</v>
      </c>
      <c r="P469" s="214">
        <v>44836</v>
      </c>
      <c r="Q469" s="334">
        <v>12</v>
      </c>
      <c r="R469" s="216">
        <v>14109.38</v>
      </c>
      <c r="S469" s="217" t="s">
        <v>2156</v>
      </c>
      <c r="T469" s="209" t="s">
        <v>3864</v>
      </c>
      <c r="U469" s="209" t="s">
        <v>3865</v>
      </c>
      <c r="V469" s="213" t="s">
        <v>3866</v>
      </c>
      <c r="W469" s="218" t="s">
        <v>3652</v>
      </c>
      <c r="X469" s="218" t="s">
        <v>3652</v>
      </c>
      <c r="Y469" s="212" t="s">
        <v>3767</v>
      </c>
      <c r="Z469" s="209" t="s">
        <v>3664</v>
      </c>
      <c r="AA469" s="219"/>
      <c r="AB469" s="218"/>
      <c r="AC469" s="217" t="e">
        <v>#N/A</v>
      </c>
      <c r="AD469" s="217">
        <v>91365</v>
      </c>
      <c r="AE469" s="217" t="s">
        <v>4934</v>
      </c>
      <c r="AF469" s="217" t="s">
        <v>3770</v>
      </c>
      <c r="AG469" s="217" t="s">
        <v>3719</v>
      </c>
      <c r="AH469" s="220" t="str">
        <f t="shared" si="31"/>
        <v>4590006250_012</v>
      </c>
      <c r="AI469" s="208"/>
      <c r="AJ469" s="220"/>
      <c r="AK469" s="221"/>
      <c r="AL469" s="227"/>
      <c r="AM469" s="208"/>
      <c r="AN469" s="220"/>
      <c r="AO469" s="222"/>
      <c r="AP469" s="227"/>
      <c r="AQ469" s="358">
        <f ca="1">IF(表格1[[#This Row],[PO$]]="","100%",表格1[[#This Row],[total amount]]/表格1[[#This Row],[PO$]])</f>
        <v>0</v>
      </c>
      <c r="AR469" s="223">
        <f ca="1">表格1[[#This Row],[invoice amount]]+表格1[[#This Row],[invoice amount2]]</f>
        <v>0</v>
      </c>
      <c r="AS469" s="224"/>
      <c r="AT469" s="208"/>
      <c r="AU469" s="208" t="e">
        <f ca="1">VLOOKUP(表格1[[#This Row],[PO+ITEM]],#REF!,2,FALSE)</f>
        <v>#REF!</v>
      </c>
      <c r="AV469" s="341" t="e">
        <f ca="1">VLOOKUP(表格1[[#This Row],[PO+ITEM]],#REF!,3,FALSE)</f>
        <v>#REF!</v>
      </c>
      <c r="AW469" s="208" t="e">
        <f ca="1">VLOOKUP(表格1[[#This Row],[PO+ITEM]],#REF!,4,FALSE)</f>
        <v>#REF!</v>
      </c>
      <c r="AX469" s="208" t="e" cm="1" vm="1">
        <f t="array" aca="1" ref="AX469" ca="1">VLOOKUP(AI:AI,#REF!,1,FALSE)</f>
        <v>#VALUE!</v>
      </c>
    </row>
    <row r="470" spans="1:50">
      <c r="A470" s="220">
        <v>469</v>
      </c>
      <c r="B470" s="220" t="s">
        <v>3659</v>
      </c>
      <c r="C470" s="209" t="s">
        <v>16</v>
      </c>
      <c r="D470" s="209" t="s">
        <v>3648</v>
      </c>
      <c r="E470" s="209"/>
      <c r="F470" s="209"/>
      <c r="G470" s="209"/>
      <c r="H470" s="210" t="s">
        <v>4935</v>
      </c>
      <c r="I470" s="210"/>
      <c r="J470" s="211"/>
      <c r="K470" s="210"/>
      <c r="L470" s="212" t="s">
        <v>2999</v>
      </c>
      <c r="M470" s="212" t="s">
        <v>2999</v>
      </c>
      <c r="N470" s="213"/>
      <c r="O470" s="263">
        <v>4590006250</v>
      </c>
      <c r="P470" s="214">
        <v>44836</v>
      </c>
      <c r="Q470" s="334">
        <v>13</v>
      </c>
      <c r="R470" s="216">
        <v>14109.38</v>
      </c>
      <c r="S470" s="217" t="s">
        <v>2156</v>
      </c>
      <c r="T470" s="209" t="s">
        <v>3864</v>
      </c>
      <c r="U470" s="209" t="s">
        <v>3865</v>
      </c>
      <c r="V470" s="213" t="s">
        <v>3866</v>
      </c>
      <c r="W470" s="218" t="s">
        <v>3652</v>
      </c>
      <c r="X470" s="218" t="s">
        <v>3652</v>
      </c>
      <c r="Y470" s="212" t="s">
        <v>3767</v>
      </c>
      <c r="Z470" s="209" t="s">
        <v>3664</v>
      </c>
      <c r="AA470" s="219"/>
      <c r="AB470" s="218"/>
      <c r="AC470" s="217" t="e">
        <v>#N/A</v>
      </c>
      <c r="AD470" s="217">
        <v>91368</v>
      </c>
      <c r="AE470" s="217" t="s">
        <v>4936</v>
      </c>
      <c r="AF470" s="217" t="s">
        <v>3770</v>
      </c>
      <c r="AG470" s="217" t="s">
        <v>3719</v>
      </c>
      <c r="AH470" s="220" t="str">
        <f t="shared" si="31"/>
        <v>4590006250_013</v>
      </c>
      <c r="AI470" s="208"/>
      <c r="AJ470" s="220"/>
      <c r="AK470" s="221"/>
      <c r="AL470" s="227"/>
      <c r="AM470" s="208"/>
      <c r="AN470" s="220"/>
      <c r="AO470" s="222"/>
      <c r="AP470" s="227"/>
      <c r="AQ470" s="358">
        <f ca="1">IF(表格1[[#This Row],[PO$]]="","100%",表格1[[#This Row],[total amount]]/表格1[[#This Row],[PO$]])</f>
        <v>0</v>
      </c>
      <c r="AR470" s="223">
        <f ca="1">表格1[[#This Row],[invoice amount]]+表格1[[#This Row],[invoice amount2]]</f>
        <v>0</v>
      </c>
      <c r="AS470" s="224"/>
      <c r="AT470" s="208"/>
      <c r="AU470" s="208" t="e">
        <f ca="1">VLOOKUP(表格1[[#This Row],[PO+ITEM]],#REF!,2,FALSE)</f>
        <v>#REF!</v>
      </c>
      <c r="AV470" s="341" t="e">
        <f ca="1">VLOOKUP(表格1[[#This Row],[PO+ITEM]],#REF!,3,FALSE)</f>
        <v>#REF!</v>
      </c>
      <c r="AW470" s="208" t="e">
        <f ca="1">VLOOKUP(表格1[[#This Row],[PO+ITEM]],#REF!,4,FALSE)</f>
        <v>#REF!</v>
      </c>
      <c r="AX470" s="208" t="e" cm="1" vm="1">
        <f t="array" aca="1" ref="AX470" ca="1">VLOOKUP(AI:AI,#REF!,1,FALSE)</f>
        <v>#VALUE!</v>
      </c>
    </row>
    <row r="471" spans="1:50" s="230" customFormat="1">
      <c r="A471" s="220">
        <v>470</v>
      </c>
      <c r="B471" s="220" t="s">
        <v>3659</v>
      </c>
      <c r="C471" s="209" t="s">
        <v>16</v>
      </c>
      <c r="D471" s="209" t="s">
        <v>3648</v>
      </c>
      <c r="E471" s="209"/>
      <c r="F471" s="209"/>
      <c r="G471" s="209"/>
      <c r="H471" s="217" t="s">
        <v>4937</v>
      </c>
      <c r="I471" s="217"/>
      <c r="J471" s="215"/>
      <c r="K471" s="217"/>
      <c r="L471" s="212" t="s">
        <v>2999</v>
      </c>
      <c r="M471" s="212" t="s">
        <v>2999</v>
      </c>
      <c r="N471" s="213"/>
      <c r="O471" s="263">
        <v>4590006250</v>
      </c>
      <c r="P471" s="214">
        <v>44836</v>
      </c>
      <c r="Q471" s="334">
        <v>14</v>
      </c>
      <c r="R471" s="216">
        <v>14109.38</v>
      </c>
      <c r="S471" s="217" t="s">
        <v>2156</v>
      </c>
      <c r="T471" s="209" t="s">
        <v>3864</v>
      </c>
      <c r="U471" s="209" t="s">
        <v>3865</v>
      </c>
      <c r="V471" s="213" t="s">
        <v>3866</v>
      </c>
      <c r="W471" s="218" t="s">
        <v>3652</v>
      </c>
      <c r="X471" s="218" t="s">
        <v>3652</v>
      </c>
      <c r="Y471" s="212" t="s">
        <v>3767</v>
      </c>
      <c r="Z471" s="209" t="s">
        <v>3664</v>
      </c>
      <c r="AA471" s="219"/>
      <c r="AB471" s="218"/>
      <c r="AC471" s="217" t="e">
        <v>#N/A</v>
      </c>
      <c r="AD471" s="217">
        <v>91370</v>
      </c>
      <c r="AE471" s="217" t="s">
        <v>4938</v>
      </c>
      <c r="AF471" s="217" t="s">
        <v>3770</v>
      </c>
      <c r="AG471" s="217" t="s">
        <v>3719</v>
      </c>
      <c r="AH471" s="220" t="str">
        <f t="shared" si="31"/>
        <v>4590006250_014</v>
      </c>
      <c r="AI471" s="208"/>
      <c r="AJ471" s="220"/>
      <c r="AK471" s="221"/>
      <c r="AL471" s="227"/>
      <c r="AM471" s="208"/>
      <c r="AN471" s="220"/>
      <c r="AO471" s="222"/>
      <c r="AP471" s="227"/>
      <c r="AQ471" s="358">
        <f ca="1">IF(表格1[[#This Row],[PO$]]="","100%",表格1[[#This Row],[total amount]]/表格1[[#This Row],[PO$]])</f>
        <v>0</v>
      </c>
      <c r="AR471" s="223">
        <f ca="1">表格1[[#This Row],[invoice amount]]+表格1[[#This Row],[invoice amount2]]</f>
        <v>0</v>
      </c>
      <c r="AS471" s="224"/>
      <c r="AT471" s="208"/>
      <c r="AU471" s="208" t="e">
        <f ca="1">VLOOKUP(表格1[[#This Row],[PO+ITEM]],#REF!,2,FALSE)</f>
        <v>#REF!</v>
      </c>
      <c r="AV471" s="341" t="e">
        <f ca="1">VLOOKUP(表格1[[#This Row],[PO+ITEM]],#REF!,3,FALSE)</f>
        <v>#REF!</v>
      </c>
      <c r="AW471" s="208" t="e">
        <f ca="1">VLOOKUP(表格1[[#This Row],[PO+ITEM]],#REF!,4,FALSE)</f>
        <v>#REF!</v>
      </c>
      <c r="AX471" s="208" t="e" cm="1" vm="1">
        <f t="array" aca="1" ref="AX471" ca="1">VLOOKUP(AI:AI,#REF!,1,FALSE)</f>
        <v>#VALUE!</v>
      </c>
    </row>
    <row r="472" spans="1:50">
      <c r="A472" s="220">
        <v>471</v>
      </c>
      <c r="B472" s="220" t="s">
        <v>3659</v>
      </c>
      <c r="C472" s="209" t="s">
        <v>16</v>
      </c>
      <c r="D472" s="209" t="s">
        <v>3648</v>
      </c>
      <c r="E472" s="209"/>
      <c r="F472" s="209"/>
      <c r="G472" s="209"/>
      <c r="H472" s="210" t="s">
        <v>4939</v>
      </c>
      <c r="I472" s="210"/>
      <c r="J472" s="211"/>
      <c r="K472" s="210"/>
      <c r="L472" s="212" t="s">
        <v>2999</v>
      </c>
      <c r="M472" s="212" t="s">
        <v>2999</v>
      </c>
      <c r="N472" s="213"/>
      <c r="O472" s="263">
        <v>4590006250</v>
      </c>
      <c r="P472" s="214">
        <v>44836</v>
      </c>
      <c r="Q472" s="334">
        <v>15</v>
      </c>
      <c r="R472" s="216">
        <v>14109.38</v>
      </c>
      <c r="S472" s="217" t="s">
        <v>2156</v>
      </c>
      <c r="T472" s="209" t="s">
        <v>3864</v>
      </c>
      <c r="U472" s="209" t="s">
        <v>3865</v>
      </c>
      <c r="V472" s="213" t="s">
        <v>3866</v>
      </c>
      <c r="W472" s="218" t="s">
        <v>3652</v>
      </c>
      <c r="X472" s="218" t="s">
        <v>3652</v>
      </c>
      <c r="Y472" s="212" t="s">
        <v>3767</v>
      </c>
      <c r="Z472" s="209" t="s">
        <v>3664</v>
      </c>
      <c r="AA472" s="219"/>
      <c r="AB472" s="218"/>
      <c r="AC472" s="217" t="e">
        <v>#N/A</v>
      </c>
      <c r="AD472" s="217">
        <v>91371</v>
      </c>
      <c r="AE472" s="217" t="s">
        <v>4940</v>
      </c>
      <c r="AF472" s="217" t="s">
        <v>3770</v>
      </c>
      <c r="AG472" s="217" t="s">
        <v>3719</v>
      </c>
      <c r="AH472" s="220" t="str">
        <f t="shared" si="31"/>
        <v>4590006250_015</v>
      </c>
      <c r="AI472" s="208"/>
      <c r="AJ472" s="220"/>
      <c r="AK472" s="221"/>
      <c r="AL472" s="227"/>
      <c r="AM472" s="208"/>
      <c r="AN472" s="220"/>
      <c r="AO472" s="222"/>
      <c r="AP472" s="227"/>
      <c r="AQ472" s="358">
        <f ca="1">IF(表格1[[#This Row],[PO$]]="","100%",表格1[[#This Row],[total amount]]/表格1[[#This Row],[PO$]])</f>
        <v>0</v>
      </c>
      <c r="AR472" s="223">
        <f ca="1">表格1[[#This Row],[invoice amount]]+表格1[[#This Row],[invoice amount2]]</f>
        <v>0</v>
      </c>
      <c r="AS472" s="224"/>
      <c r="AT472" s="208"/>
      <c r="AU472" s="208" t="e">
        <f ca="1">VLOOKUP(表格1[[#This Row],[PO+ITEM]],#REF!,2,FALSE)</f>
        <v>#REF!</v>
      </c>
      <c r="AV472" s="341" t="e">
        <f ca="1">VLOOKUP(表格1[[#This Row],[PO+ITEM]],#REF!,3,FALSE)</f>
        <v>#REF!</v>
      </c>
      <c r="AW472" s="208" t="e">
        <f ca="1">VLOOKUP(表格1[[#This Row],[PO+ITEM]],#REF!,4,FALSE)</f>
        <v>#REF!</v>
      </c>
      <c r="AX472" s="208" t="e" cm="1" vm="1">
        <f t="array" aca="1" ref="AX472" ca="1">VLOOKUP(AI:AI,#REF!,1,FALSE)</f>
        <v>#VALUE!</v>
      </c>
    </row>
    <row r="473" spans="1:50">
      <c r="A473" s="220">
        <v>472</v>
      </c>
      <c r="B473" s="220" t="s">
        <v>3659</v>
      </c>
      <c r="C473" s="209" t="s">
        <v>16</v>
      </c>
      <c r="D473" s="209" t="s">
        <v>3648</v>
      </c>
      <c r="E473" s="209"/>
      <c r="F473" s="209"/>
      <c r="G473" s="209"/>
      <c r="H473" s="210" t="s">
        <v>4941</v>
      </c>
      <c r="I473" s="210"/>
      <c r="J473" s="211"/>
      <c r="K473" s="210"/>
      <c r="L473" s="212" t="s">
        <v>2999</v>
      </c>
      <c r="M473" s="212" t="s">
        <v>2999</v>
      </c>
      <c r="N473" s="213"/>
      <c r="O473" s="263">
        <v>4590006250</v>
      </c>
      <c r="P473" s="214">
        <v>44836</v>
      </c>
      <c r="Q473" s="334">
        <v>16</v>
      </c>
      <c r="R473" s="216">
        <v>14109.38</v>
      </c>
      <c r="S473" s="217" t="s">
        <v>2156</v>
      </c>
      <c r="T473" s="209" t="s">
        <v>3864</v>
      </c>
      <c r="U473" s="209" t="s">
        <v>3865</v>
      </c>
      <c r="V473" s="213" t="s">
        <v>3866</v>
      </c>
      <c r="W473" s="218" t="s">
        <v>3652</v>
      </c>
      <c r="X473" s="218" t="s">
        <v>3652</v>
      </c>
      <c r="Y473" s="212" t="s">
        <v>3767</v>
      </c>
      <c r="Z473" s="209" t="s">
        <v>3664</v>
      </c>
      <c r="AA473" s="219"/>
      <c r="AB473" s="218"/>
      <c r="AC473" s="217" t="e">
        <v>#N/A</v>
      </c>
      <c r="AD473" s="217">
        <v>91372</v>
      </c>
      <c r="AE473" s="217" t="s">
        <v>4942</v>
      </c>
      <c r="AF473" s="217" t="s">
        <v>3770</v>
      </c>
      <c r="AG473" s="217" t="s">
        <v>3719</v>
      </c>
      <c r="AH473" s="220" t="str">
        <f t="shared" si="31"/>
        <v>4590006250_016</v>
      </c>
      <c r="AI473" s="208"/>
      <c r="AJ473" s="220"/>
      <c r="AK473" s="221"/>
      <c r="AL473" s="227"/>
      <c r="AM473" s="208"/>
      <c r="AN473" s="220"/>
      <c r="AO473" s="222"/>
      <c r="AP473" s="227"/>
      <c r="AQ473" s="358">
        <f ca="1">IF(表格1[[#This Row],[PO$]]="","100%",表格1[[#This Row],[total amount]]/表格1[[#This Row],[PO$]])</f>
        <v>0</v>
      </c>
      <c r="AR473" s="223">
        <f ca="1">表格1[[#This Row],[invoice amount]]+表格1[[#This Row],[invoice amount2]]</f>
        <v>0</v>
      </c>
      <c r="AS473" s="224"/>
      <c r="AT473" s="208"/>
      <c r="AU473" s="208" t="e">
        <f ca="1">VLOOKUP(表格1[[#This Row],[PO+ITEM]],#REF!,2,FALSE)</f>
        <v>#REF!</v>
      </c>
      <c r="AV473" s="341" t="e">
        <f ca="1">VLOOKUP(表格1[[#This Row],[PO+ITEM]],#REF!,3,FALSE)</f>
        <v>#REF!</v>
      </c>
      <c r="AW473" s="208" t="e">
        <f ca="1">VLOOKUP(表格1[[#This Row],[PO+ITEM]],#REF!,4,FALSE)</f>
        <v>#REF!</v>
      </c>
      <c r="AX473" s="208" t="e" cm="1" vm="1">
        <f t="array" aca="1" ref="AX473" ca="1">VLOOKUP(AI:AI,#REF!,1,FALSE)</f>
        <v>#VALUE!</v>
      </c>
    </row>
    <row r="474" spans="1:50">
      <c r="A474" s="220">
        <v>473</v>
      </c>
      <c r="B474" s="220" t="s">
        <v>3659</v>
      </c>
      <c r="C474" s="209" t="s">
        <v>16</v>
      </c>
      <c r="D474" s="209" t="s">
        <v>3648</v>
      </c>
      <c r="E474" s="209"/>
      <c r="F474" s="209"/>
      <c r="G474" s="209"/>
      <c r="H474" s="217" t="s">
        <v>4943</v>
      </c>
      <c r="I474" s="217"/>
      <c r="J474" s="215"/>
      <c r="K474" s="217"/>
      <c r="L474" s="212" t="s">
        <v>2999</v>
      </c>
      <c r="M474" s="212" t="s">
        <v>2999</v>
      </c>
      <c r="N474" s="213"/>
      <c r="O474" s="263">
        <v>4590006250</v>
      </c>
      <c r="P474" s="214">
        <v>44836</v>
      </c>
      <c r="Q474" s="334">
        <v>17</v>
      </c>
      <c r="R474" s="216">
        <v>14109.38</v>
      </c>
      <c r="S474" s="217" t="s">
        <v>2156</v>
      </c>
      <c r="T474" s="209" t="s">
        <v>3864</v>
      </c>
      <c r="U474" s="209" t="s">
        <v>3865</v>
      </c>
      <c r="V474" s="213" t="s">
        <v>3866</v>
      </c>
      <c r="W474" s="218" t="s">
        <v>3652</v>
      </c>
      <c r="X474" s="218" t="s">
        <v>3652</v>
      </c>
      <c r="Y474" s="212" t="s">
        <v>3767</v>
      </c>
      <c r="Z474" s="209" t="s">
        <v>3664</v>
      </c>
      <c r="AA474" s="219"/>
      <c r="AB474" s="218"/>
      <c r="AC474" s="217" t="e">
        <v>#N/A</v>
      </c>
      <c r="AD474" s="217">
        <v>91375</v>
      </c>
      <c r="AE474" s="217" t="s">
        <v>4944</v>
      </c>
      <c r="AF474" s="217" t="s">
        <v>3770</v>
      </c>
      <c r="AG474" s="217" t="s">
        <v>3719</v>
      </c>
      <c r="AH474" s="220" t="str">
        <f t="shared" si="31"/>
        <v>4590006250_017</v>
      </c>
      <c r="AI474" s="208"/>
      <c r="AJ474" s="220"/>
      <c r="AK474" s="221"/>
      <c r="AL474" s="227"/>
      <c r="AM474" s="208"/>
      <c r="AN474" s="220"/>
      <c r="AO474" s="222"/>
      <c r="AP474" s="227"/>
      <c r="AQ474" s="358">
        <f ca="1">IF(表格1[[#This Row],[PO$]]="","100%",表格1[[#This Row],[total amount]]/表格1[[#This Row],[PO$]])</f>
        <v>0</v>
      </c>
      <c r="AR474" s="223">
        <f ca="1">表格1[[#This Row],[invoice amount]]+表格1[[#This Row],[invoice amount2]]</f>
        <v>0</v>
      </c>
      <c r="AS474" s="224"/>
      <c r="AT474" s="208"/>
      <c r="AU474" s="208" t="e">
        <f ca="1">VLOOKUP(表格1[[#This Row],[PO+ITEM]],#REF!,2,FALSE)</f>
        <v>#REF!</v>
      </c>
      <c r="AV474" s="341" t="e">
        <f ca="1">VLOOKUP(表格1[[#This Row],[PO+ITEM]],#REF!,3,FALSE)</f>
        <v>#REF!</v>
      </c>
      <c r="AW474" s="208" t="e">
        <f ca="1">VLOOKUP(表格1[[#This Row],[PO+ITEM]],#REF!,4,FALSE)</f>
        <v>#REF!</v>
      </c>
      <c r="AX474" s="208" t="e" cm="1" vm="1">
        <f t="array" aca="1" ref="AX474" ca="1">VLOOKUP(AI:AI,#REF!,1,FALSE)</f>
        <v>#VALUE!</v>
      </c>
    </row>
    <row r="475" spans="1:50">
      <c r="A475" s="220">
        <v>474</v>
      </c>
      <c r="B475" s="220" t="s">
        <v>3659</v>
      </c>
      <c r="C475" s="209" t="s">
        <v>16</v>
      </c>
      <c r="D475" s="209" t="s">
        <v>3648</v>
      </c>
      <c r="E475" s="209"/>
      <c r="F475" s="209"/>
      <c r="G475" s="209"/>
      <c r="H475" s="210" t="s">
        <v>4945</v>
      </c>
      <c r="I475" s="210"/>
      <c r="J475" s="211"/>
      <c r="K475" s="210"/>
      <c r="L475" s="212" t="s">
        <v>2999</v>
      </c>
      <c r="M475" s="212" t="s">
        <v>2999</v>
      </c>
      <c r="N475" s="213"/>
      <c r="O475" s="263">
        <v>4590006250</v>
      </c>
      <c r="P475" s="214">
        <v>44836</v>
      </c>
      <c r="Q475" s="334">
        <v>18</v>
      </c>
      <c r="R475" s="216">
        <v>14109.38</v>
      </c>
      <c r="S475" s="217" t="s">
        <v>2156</v>
      </c>
      <c r="T475" s="209" t="s">
        <v>3864</v>
      </c>
      <c r="U475" s="209" t="s">
        <v>3865</v>
      </c>
      <c r="V475" s="213" t="s">
        <v>3866</v>
      </c>
      <c r="W475" s="218" t="s">
        <v>3652</v>
      </c>
      <c r="X475" s="218" t="s">
        <v>3652</v>
      </c>
      <c r="Y475" s="212" t="s">
        <v>3767</v>
      </c>
      <c r="Z475" s="209" t="s">
        <v>3664</v>
      </c>
      <c r="AA475" s="219"/>
      <c r="AB475" s="218"/>
      <c r="AC475" s="217" t="e">
        <v>#N/A</v>
      </c>
      <c r="AD475" s="217">
        <v>91376</v>
      </c>
      <c r="AE475" s="217" t="s">
        <v>4946</v>
      </c>
      <c r="AF475" s="217" t="s">
        <v>3770</v>
      </c>
      <c r="AG475" s="217" t="s">
        <v>3719</v>
      </c>
      <c r="AH475" s="220" t="str">
        <f t="shared" si="31"/>
        <v>4590006250_018</v>
      </c>
      <c r="AI475" s="208"/>
      <c r="AJ475" s="220"/>
      <c r="AK475" s="221"/>
      <c r="AL475" s="227"/>
      <c r="AM475" s="208"/>
      <c r="AN475" s="220"/>
      <c r="AO475" s="222"/>
      <c r="AP475" s="227"/>
      <c r="AQ475" s="358">
        <f ca="1">IF(表格1[[#This Row],[PO$]]="","100%",表格1[[#This Row],[total amount]]/表格1[[#This Row],[PO$]])</f>
        <v>0</v>
      </c>
      <c r="AR475" s="223">
        <f ca="1">表格1[[#This Row],[invoice amount]]+表格1[[#This Row],[invoice amount2]]</f>
        <v>0</v>
      </c>
      <c r="AS475" s="224"/>
      <c r="AT475" s="208"/>
      <c r="AU475" s="208" t="e">
        <f ca="1">VLOOKUP(表格1[[#This Row],[PO+ITEM]],#REF!,2,FALSE)</f>
        <v>#REF!</v>
      </c>
      <c r="AV475" s="341" t="e">
        <f ca="1">VLOOKUP(表格1[[#This Row],[PO+ITEM]],#REF!,3,FALSE)</f>
        <v>#REF!</v>
      </c>
      <c r="AW475" s="208" t="e">
        <f ca="1">VLOOKUP(表格1[[#This Row],[PO+ITEM]],#REF!,4,FALSE)</f>
        <v>#REF!</v>
      </c>
      <c r="AX475" s="208" t="e" cm="1" vm="1">
        <f t="array" aca="1" ref="AX475" ca="1">VLOOKUP(AI:AI,#REF!,1,FALSE)</f>
        <v>#VALUE!</v>
      </c>
    </row>
    <row r="476" spans="1:50">
      <c r="A476" s="220">
        <v>475</v>
      </c>
      <c r="B476" s="220" t="s">
        <v>3659</v>
      </c>
      <c r="C476" s="209" t="s">
        <v>16</v>
      </c>
      <c r="D476" s="209" t="s">
        <v>3648</v>
      </c>
      <c r="E476" s="209"/>
      <c r="F476" s="209"/>
      <c r="G476" s="209"/>
      <c r="H476" s="210" t="s">
        <v>4947</v>
      </c>
      <c r="I476" s="210"/>
      <c r="J476" s="211"/>
      <c r="K476" s="210"/>
      <c r="L476" s="212" t="s">
        <v>2999</v>
      </c>
      <c r="M476" s="212" t="s">
        <v>2999</v>
      </c>
      <c r="N476" s="213"/>
      <c r="O476" s="263">
        <v>4590006250</v>
      </c>
      <c r="P476" s="214">
        <v>44836</v>
      </c>
      <c r="Q476" s="334">
        <v>19</v>
      </c>
      <c r="R476" s="216">
        <v>14109.38</v>
      </c>
      <c r="S476" s="217" t="s">
        <v>2156</v>
      </c>
      <c r="T476" s="209" t="s">
        <v>3864</v>
      </c>
      <c r="U476" s="209" t="s">
        <v>3865</v>
      </c>
      <c r="V476" s="213" t="s">
        <v>3866</v>
      </c>
      <c r="W476" s="218" t="s">
        <v>3652</v>
      </c>
      <c r="X476" s="218" t="s">
        <v>3652</v>
      </c>
      <c r="Y476" s="212" t="s">
        <v>3767</v>
      </c>
      <c r="Z476" s="209" t="s">
        <v>3664</v>
      </c>
      <c r="AA476" s="219"/>
      <c r="AB476" s="218"/>
      <c r="AC476" s="217" t="e">
        <v>#N/A</v>
      </c>
      <c r="AD476" s="217">
        <v>91377</v>
      </c>
      <c r="AE476" s="217" t="s">
        <v>4948</v>
      </c>
      <c r="AF476" s="217" t="s">
        <v>3770</v>
      </c>
      <c r="AG476" s="217" t="s">
        <v>3719</v>
      </c>
      <c r="AH476" s="220" t="str">
        <f t="shared" si="31"/>
        <v>4590006250_019</v>
      </c>
      <c r="AI476" s="208"/>
      <c r="AJ476" s="220"/>
      <c r="AK476" s="221"/>
      <c r="AL476" s="227"/>
      <c r="AM476" s="208"/>
      <c r="AN476" s="220"/>
      <c r="AO476" s="222"/>
      <c r="AP476" s="227"/>
      <c r="AQ476" s="358">
        <f ca="1">IF(表格1[[#This Row],[PO$]]="","100%",表格1[[#This Row],[total amount]]/表格1[[#This Row],[PO$]])</f>
        <v>0</v>
      </c>
      <c r="AR476" s="223">
        <f ca="1">表格1[[#This Row],[invoice amount]]+表格1[[#This Row],[invoice amount2]]</f>
        <v>0</v>
      </c>
      <c r="AS476" s="224"/>
      <c r="AT476" s="208"/>
      <c r="AU476" s="208" t="e">
        <f ca="1">VLOOKUP(表格1[[#This Row],[PO+ITEM]],#REF!,2,FALSE)</f>
        <v>#REF!</v>
      </c>
      <c r="AV476" s="341" t="e">
        <f ca="1">VLOOKUP(表格1[[#This Row],[PO+ITEM]],#REF!,3,FALSE)</f>
        <v>#REF!</v>
      </c>
      <c r="AW476" s="208" t="e">
        <f ca="1">VLOOKUP(表格1[[#This Row],[PO+ITEM]],#REF!,4,FALSE)</f>
        <v>#REF!</v>
      </c>
      <c r="AX476" s="208" t="e" cm="1" vm="1">
        <f t="array" aca="1" ref="AX476" ca="1">VLOOKUP(AI:AI,#REF!,1,FALSE)</f>
        <v>#VALUE!</v>
      </c>
    </row>
    <row r="477" spans="1:50">
      <c r="A477" s="220">
        <v>476</v>
      </c>
      <c r="B477" s="220" t="s">
        <v>3659</v>
      </c>
      <c r="C477" s="209" t="s">
        <v>16</v>
      </c>
      <c r="D477" s="209" t="s">
        <v>3648</v>
      </c>
      <c r="E477" s="209"/>
      <c r="F477" s="209"/>
      <c r="G477" s="209"/>
      <c r="H477" s="210" t="s">
        <v>4949</v>
      </c>
      <c r="I477" s="210"/>
      <c r="J477" s="211"/>
      <c r="K477" s="210"/>
      <c r="L477" s="212" t="s">
        <v>2999</v>
      </c>
      <c r="M477" s="212" t="s">
        <v>2999</v>
      </c>
      <c r="N477" s="213"/>
      <c r="O477" s="263">
        <v>4590006250</v>
      </c>
      <c r="P477" s="214">
        <v>44836</v>
      </c>
      <c r="Q477" s="334">
        <v>20</v>
      </c>
      <c r="R477" s="216">
        <v>14109.38</v>
      </c>
      <c r="S477" s="217" t="s">
        <v>2156</v>
      </c>
      <c r="T477" s="209" t="s">
        <v>3864</v>
      </c>
      <c r="U477" s="209" t="s">
        <v>3865</v>
      </c>
      <c r="V477" s="213" t="s">
        <v>3866</v>
      </c>
      <c r="W477" s="218" t="s">
        <v>3652</v>
      </c>
      <c r="X477" s="218" t="s">
        <v>3652</v>
      </c>
      <c r="Y477" s="212" t="s">
        <v>3767</v>
      </c>
      <c r="Z477" s="209" t="s">
        <v>3664</v>
      </c>
      <c r="AA477" s="219"/>
      <c r="AB477" s="218"/>
      <c r="AC477" s="217" t="e">
        <v>#N/A</v>
      </c>
      <c r="AD477" s="217">
        <v>91378</v>
      </c>
      <c r="AE477" s="217" t="s">
        <v>4950</v>
      </c>
      <c r="AF477" s="217" t="s">
        <v>3770</v>
      </c>
      <c r="AG477" s="217" t="s">
        <v>3719</v>
      </c>
      <c r="AH477" s="220" t="str">
        <f t="shared" si="31"/>
        <v>4590006250_020</v>
      </c>
      <c r="AI477" s="208"/>
      <c r="AJ477" s="220"/>
      <c r="AK477" s="221"/>
      <c r="AL477" s="227"/>
      <c r="AM477" s="208"/>
      <c r="AN477" s="220"/>
      <c r="AO477" s="222"/>
      <c r="AP477" s="227"/>
      <c r="AQ477" s="358">
        <f ca="1">IF(表格1[[#This Row],[PO$]]="","100%",表格1[[#This Row],[total amount]]/表格1[[#This Row],[PO$]])</f>
        <v>0</v>
      </c>
      <c r="AR477" s="223">
        <f ca="1">表格1[[#This Row],[invoice amount]]+表格1[[#This Row],[invoice amount2]]</f>
        <v>0</v>
      </c>
      <c r="AS477" s="224"/>
      <c r="AT477" s="208"/>
      <c r="AU477" s="208" t="e">
        <f ca="1">VLOOKUP(表格1[[#This Row],[PO+ITEM]],#REF!,2,FALSE)</f>
        <v>#REF!</v>
      </c>
      <c r="AV477" s="341" t="e">
        <f ca="1">VLOOKUP(表格1[[#This Row],[PO+ITEM]],#REF!,3,FALSE)</f>
        <v>#REF!</v>
      </c>
      <c r="AW477" s="208" t="e">
        <f ca="1">VLOOKUP(表格1[[#This Row],[PO+ITEM]],#REF!,4,FALSE)</f>
        <v>#REF!</v>
      </c>
      <c r="AX477" s="208" t="e" cm="1" vm="1">
        <f t="array" aca="1" ref="AX477" ca="1">VLOOKUP(AI:AI,#REF!,1,FALSE)</f>
        <v>#VALUE!</v>
      </c>
    </row>
    <row r="478" spans="1:50">
      <c r="A478" s="220">
        <v>477</v>
      </c>
      <c r="B478" s="220" t="s">
        <v>3674</v>
      </c>
      <c r="C478" s="209" t="s">
        <v>16</v>
      </c>
      <c r="D478" s="209" t="s">
        <v>3648</v>
      </c>
      <c r="E478" s="209"/>
      <c r="F478" s="209"/>
      <c r="G478" s="209"/>
      <c r="H478" s="210" t="s">
        <v>4951</v>
      </c>
      <c r="I478" s="210"/>
      <c r="J478" s="211"/>
      <c r="K478" s="210"/>
      <c r="L478" s="212" t="s">
        <v>2999</v>
      </c>
      <c r="M478" s="212" t="s">
        <v>2999</v>
      </c>
      <c r="N478" s="213"/>
      <c r="O478" s="263">
        <v>4590006250</v>
      </c>
      <c r="P478" s="214">
        <v>44836</v>
      </c>
      <c r="Q478" s="334">
        <v>21</v>
      </c>
      <c r="R478" s="349">
        <v>13701.87</v>
      </c>
      <c r="S478" s="217" t="s">
        <v>2156</v>
      </c>
      <c r="T478" s="209" t="s">
        <v>3864</v>
      </c>
      <c r="U478" s="209" t="s">
        <v>3865</v>
      </c>
      <c r="V478" s="213" t="s">
        <v>3866</v>
      </c>
      <c r="W478" s="218" t="s">
        <v>3652</v>
      </c>
      <c r="X478" s="218" t="s">
        <v>3652</v>
      </c>
      <c r="Y478" s="212" t="s">
        <v>3767</v>
      </c>
      <c r="Z478" s="209" t="s">
        <v>3664</v>
      </c>
      <c r="AA478" s="219"/>
      <c r="AB478" s="218"/>
      <c r="AC478" s="217" t="e">
        <v>#N/A</v>
      </c>
      <c r="AD478" s="217">
        <v>91010</v>
      </c>
      <c r="AE478" s="217" t="s">
        <v>3803</v>
      </c>
      <c r="AF478" s="217" t="s">
        <v>3770</v>
      </c>
      <c r="AG478" s="217" t="s">
        <v>3719</v>
      </c>
      <c r="AH478" s="220" t="str">
        <f t="shared" si="31"/>
        <v>4590006250_021</v>
      </c>
      <c r="AI478" s="217" t="s">
        <v>4952</v>
      </c>
      <c r="AJ478" s="227">
        <v>45471</v>
      </c>
      <c r="AK478" s="221">
        <v>13701.87</v>
      </c>
      <c r="AL478" s="227"/>
      <c r="AM478" s="208"/>
      <c r="AN478" s="220"/>
      <c r="AO478" s="222"/>
      <c r="AP478" s="227"/>
      <c r="AQ478" s="358">
        <f ca="1">IF(表格1[[#This Row],[PO$]]="","100%",表格1[[#This Row],[total amount]]/表格1[[#This Row],[PO$]])</f>
        <v>1</v>
      </c>
      <c r="AR478" s="223">
        <f ca="1">表格1[[#This Row],[invoice amount]]+表格1[[#This Row],[invoice amount2]]</f>
        <v>13701.87</v>
      </c>
      <c r="AS478" s="224" t="s">
        <v>3752</v>
      </c>
      <c r="AT478" s="208"/>
      <c r="AU478" s="208" t="e">
        <f ca="1">VLOOKUP(表格1[[#This Row],[PO+ITEM]],#REF!,2,FALSE)</f>
        <v>#REF!</v>
      </c>
      <c r="AV478" s="341" t="e">
        <f ca="1">VLOOKUP(表格1[[#This Row],[PO+ITEM]],#REF!,3,FALSE)</f>
        <v>#REF!</v>
      </c>
      <c r="AW478" s="208" t="e">
        <f ca="1">VLOOKUP(表格1[[#This Row],[PO+ITEM]],#REF!,4,FALSE)</f>
        <v>#REF!</v>
      </c>
      <c r="AX478" s="208" t="e" cm="1" vm="1">
        <f t="array" aca="1" ref="AX478" ca="1">VLOOKUP(AI:AI,#REF!,1,FALSE)</f>
        <v>#VALUE!</v>
      </c>
    </row>
    <row r="479" spans="1:50" s="230" customFormat="1">
      <c r="A479" s="220">
        <v>478</v>
      </c>
      <c r="B479" s="220" t="s">
        <v>3659</v>
      </c>
      <c r="C479" s="209" t="s">
        <v>16</v>
      </c>
      <c r="D479" s="209" t="s">
        <v>3648</v>
      </c>
      <c r="E479" s="209"/>
      <c r="F479" s="209"/>
      <c r="G479" s="209"/>
      <c r="H479" s="210" t="s">
        <v>4953</v>
      </c>
      <c r="I479" s="210"/>
      <c r="J479" s="211"/>
      <c r="K479" s="210"/>
      <c r="L479" s="212" t="s">
        <v>2999</v>
      </c>
      <c r="M479" s="212" t="s">
        <v>2999</v>
      </c>
      <c r="N479" s="213"/>
      <c r="O479" s="263">
        <v>4590006250</v>
      </c>
      <c r="P479" s="214">
        <v>44836</v>
      </c>
      <c r="Q479" s="334">
        <v>22</v>
      </c>
      <c r="R479" s="216">
        <v>14109.38</v>
      </c>
      <c r="S479" s="217" t="s">
        <v>2156</v>
      </c>
      <c r="T479" s="209" t="s">
        <v>3864</v>
      </c>
      <c r="U479" s="209" t="s">
        <v>3865</v>
      </c>
      <c r="V479" s="213" t="s">
        <v>3866</v>
      </c>
      <c r="W479" s="218" t="s">
        <v>3652</v>
      </c>
      <c r="X479" s="218" t="s">
        <v>3652</v>
      </c>
      <c r="Y479" s="212" t="s">
        <v>3767</v>
      </c>
      <c r="Z479" s="209" t="s">
        <v>3664</v>
      </c>
      <c r="AA479" s="219"/>
      <c r="AB479" s="218"/>
      <c r="AC479" s="217" t="e">
        <v>#N/A</v>
      </c>
      <c r="AD479" s="217">
        <v>91120</v>
      </c>
      <c r="AE479" s="217" t="s">
        <v>4954</v>
      </c>
      <c r="AF479" s="217" t="s">
        <v>3770</v>
      </c>
      <c r="AG479" s="217" t="s">
        <v>3719</v>
      </c>
      <c r="AH479" s="220" t="str">
        <f t="shared" si="31"/>
        <v>4590006250_022</v>
      </c>
      <c r="AI479" s="208"/>
      <c r="AJ479" s="220"/>
      <c r="AK479" s="221"/>
      <c r="AL479" s="227"/>
      <c r="AM479" s="208"/>
      <c r="AN479" s="220"/>
      <c r="AO479" s="222"/>
      <c r="AP479" s="227"/>
      <c r="AQ479" s="358">
        <f ca="1">IF(表格1[[#This Row],[PO$]]="","100%",表格1[[#This Row],[total amount]]/表格1[[#This Row],[PO$]])</f>
        <v>0</v>
      </c>
      <c r="AR479" s="223">
        <f ca="1">表格1[[#This Row],[invoice amount]]+表格1[[#This Row],[invoice amount2]]</f>
        <v>0</v>
      </c>
      <c r="AS479" s="224"/>
      <c r="AT479" s="208"/>
      <c r="AU479" s="208" t="e">
        <f ca="1">VLOOKUP(表格1[[#This Row],[PO+ITEM]],#REF!,2,FALSE)</f>
        <v>#REF!</v>
      </c>
      <c r="AV479" s="341" t="e">
        <f ca="1">VLOOKUP(表格1[[#This Row],[PO+ITEM]],#REF!,3,FALSE)</f>
        <v>#REF!</v>
      </c>
      <c r="AW479" s="208" t="e">
        <f ca="1">VLOOKUP(表格1[[#This Row],[PO+ITEM]],#REF!,4,FALSE)</f>
        <v>#REF!</v>
      </c>
      <c r="AX479" s="208" t="e" cm="1" vm="1">
        <f t="array" aca="1" ref="AX479" ca="1">VLOOKUP(AI:AI,#REF!,1,FALSE)</f>
        <v>#VALUE!</v>
      </c>
    </row>
    <row r="480" spans="1:50">
      <c r="A480" s="220">
        <v>479</v>
      </c>
      <c r="B480" s="220" t="s">
        <v>3659</v>
      </c>
      <c r="C480" s="209" t="s">
        <v>16</v>
      </c>
      <c r="D480" s="209" t="s">
        <v>3648</v>
      </c>
      <c r="E480" s="209"/>
      <c r="F480" s="209"/>
      <c r="G480" s="209"/>
      <c r="H480" s="210" t="s">
        <v>4955</v>
      </c>
      <c r="I480" s="210"/>
      <c r="J480" s="211"/>
      <c r="K480" s="210"/>
      <c r="L480" s="212" t="s">
        <v>2999</v>
      </c>
      <c r="M480" s="212" t="s">
        <v>2999</v>
      </c>
      <c r="N480" s="213"/>
      <c r="O480" s="263">
        <v>4590006250</v>
      </c>
      <c r="P480" s="214">
        <v>44836</v>
      </c>
      <c r="Q480" s="334">
        <v>23</v>
      </c>
      <c r="R480" s="216">
        <v>14109.38</v>
      </c>
      <c r="S480" s="217" t="s">
        <v>2156</v>
      </c>
      <c r="T480" s="209" t="s">
        <v>3864</v>
      </c>
      <c r="U480" s="209" t="s">
        <v>3865</v>
      </c>
      <c r="V480" s="213" t="s">
        <v>3866</v>
      </c>
      <c r="W480" s="218" t="s">
        <v>3652</v>
      </c>
      <c r="X480" s="218" t="s">
        <v>3652</v>
      </c>
      <c r="Y480" s="212" t="s">
        <v>3767</v>
      </c>
      <c r="Z480" s="209" t="s">
        <v>3664</v>
      </c>
      <c r="AA480" s="219"/>
      <c r="AB480" s="218"/>
      <c r="AC480" s="217" t="e">
        <v>#N/A</v>
      </c>
      <c r="AD480" s="217">
        <v>91132</v>
      </c>
      <c r="AE480" s="217" t="s">
        <v>4956</v>
      </c>
      <c r="AF480" s="217" t="s">
        <v>3770</v>
      </c>
      <c r="AG480" s="217" t="s">
        <v>3719</v>
      </c>
      <c r="AH480" s="220" t="str">
        <f t="shared" si="31"/>
        <v>4590006250_023</v>
      </c>
      <c r="AI480" s="208"/>
      <c r="AJ480" s="220"/>
      <c r="AK480" s="221"/>
      <c r="AL480" s="227"/>
      <c r="AM480" s="208"/>
      <c r="AN480" s="220"/>
      <c r="AO480" s="222"/>
      <c r="AP480" s="227"/>
      <c r="AQ480" s="358">
        <f ca="1">IF(表格1[[#This Row],[PO$]]="","100%",表格1[[#This Row],[total amount]]/表格1[[#This Row],[PO$]])</f>
        <v>0</v>
      </c>
      <c r="AR480" s="223">
        <f ca="1">表格1[[#This Row],[invoice amount]]+表格1[[#This Row],[invoice amount2]]</f>
        <v>0</v>
      </c>
      <c r="AS480" s="224"/>
      <c r="AT480" s="208"/>
      <c r="AU480" s="208" t="e">
        <f ca="1">VLOOKUP(表格1[[#This Row],[PO+ITEM]],#REF!,2,FALSE)</f>
        <v>#REF!</v>
      </c>
      <c r="AV480" s="341" t="e">
        <f ca="1">VLOOKUP(表格1[[#This Row],[PO+ITEM]],#REF!,3,FALSE)</f>
        <v>#REF!</v>
      </c>
      <c r="AW480" s="208" t="e">
        <f ca="1">VLOOKUP(表格1[[#This Row],[PO+ITEM]],#REF!,4,FALSE)</f>
        <v>#REF!</v>
      </c>
      <c r="AX480" s="208" t="e" cm="1" vm="1">
        <f t="array" aca="1" ref="AX480" ca="1">VLOOKUP(AI:AI,#REF!,1,FALSE)</f>
        <v>#VALUE!</v>
      </c>
    </row>
    <row r="481" spans="1:50">
      <c r="A481" s="220">
        <v>480</v>
      </c>
      <c r="B481" s="220" t="s">
        <v>3659</v>
      </c>
      <c r="C481" s="209" t="s">
        <v>16</v>
      </c>
      <c r="D481" s="209" t="s">
        <v>3648</v>
      </c>
      <c r="E481" s="209"/>
      <c r="F481" s="209"/>
      <c r="G481" s="209"/>
      <c r="H481" s="210" t="s">
        <v>4957</v>
      </c>
      <c r="I481" s="210"/>
      <c r="J481" s="211"/>
      <c r="K481" s="210"/>
      <c r="L481" s="212" t="s">
        <v>2999</v>
      </c>
      <c r="M481" s="212" t="s">
        <v>2999</v>
      </c>
      <c r="N481" s="213"/>
      <c r="O481" s="263">
        <v>4590006250</v>
      </c>
      <c r="P481" s="214">
        <v>44836</v>
      </c>
      <c r="Q481" s="334">
        <v>24</v>
      </c>
      <c r="R481" s="216">
        <v>14109.38</v>
      </c>
      <c r="S481" s="217" t="s">
        <v>2156</v>
      </c>
      <c r="T481" s="209" t="s">
        <v>3864</v>
      </c>
      <c r="U481" s="209" t="s">
        <v>3865</v>
      </c>
      <c r="V481" s="213" t="s">
        <v>3866</v>
      </c>
      <c r="W481" s="218" t="s">
        <v>3652</v>
      </c>
      <c r="X481" s="218" t="s">
        <v>3652</v>
      </c>
      <c r="Y481" s="212" t="s">
        <v>3767</v>
      </c>
      <c r="Z481" s="209" t="s">
        <v>3664</v>
      </c>
      <c r="AA481" s="219"/>
      <c r="AB481" s="218"/>
      <c r="AC481" s="217" t="e">
        <v>#N/A</v>
      </c>
      <c r="AD481" s="217">
        <v>91133</v>
      </c>
      <c r="AE481" s="217" t="s">
        <v>4958</v>
      </c>
      <c r="AF481" s="217" t="s">
        <v>3770</v>
      </c>
      <c r="AG481" s="217" t="s">
        <v>3719</v>
      </c>
      <c r="AH481" s="220" t="str">
        <f t="shared" si="31"/>
        <v>4590006250_024</v>
      </c>
      <c r="AI481" s="208"/>
      <c r="AJ481" s="220"/>
      <c r="AK481" s="221"/>
      <c r="AL481" s="227"/>
      <c r="AM481" s="208"/>
      <c r="AN481" s="220"/>
      <c r="AO481" s="222"/>
      <c r="AP481" s="227"/>
      <c r="AQ481" s="358">
        <f ca="1">IF(表格1[[#This Row],[PO$]]="","100%",表格1[[#This Row],[total amount]]/表格1[[#This Row],[PO$]])</f>
        <v>0</v>
      </c>
      <c r="AR481" s="223">
        <f ca="1">表格1[[#This Row],[invoice amount]]+表格1[[#This Row],[invoice amount2]]</f>
        <v>0</v>
      </c>
      <c r="AS481" s="224"/>
      <c r="AT481" s="208"/>
      <c r="AU481" s="208" t="e">
        <f ca="1">VLOOKUP(表格1[[#This Row],[PO+ITEM]],#REF!,2,FALSE)</f>
        <v>#REF!</v>
      </c>
      <c r="AV481" s="341" t="e">
        <f ca="1">VLOOKUP(表格1[[#This Row],[PO+ITEM]],#REF!,3,FALSE)</f>
        <v>#REF!</v>
      </c>
      <c r="AW481" s="208" t="e">
        <f ca="1">VLOOKUP(表格1[[#This Row],[PO+ITEM]],#REF!,4,FALSE)</f>
        <v>#REF!</v>
      </c>
      <c r="AX481" s="208" t="e" cm="1" vm="1">
        <f t="array" aca="1" ref="AX481" ca="1">VLOOKUP(AI:AI,#REF!,1,FALSE)</f>
        <v>#VALUE!</v>
      </c>
    </row>
    <row r="482" spans="1:50">
      <c r="A482" s="220">
        <v>481</v>
      </c>
      <c r="B482" s="220" t="s">
        <v>3659</v>
      </c>
      <c r="C482" s="209" t="s">
        <v>16</v>
      </c>
      <c r="D482" s="209" t="s">
        <v>3648</v>
      </c>
      <c r="E482" s="209"/>
      <c r="F482" s="209"/>
      <c r="G482" s="209"/>
      <c r="H482" s="210" t="s">
        <v>4959</v>
      </c>
      <c r="I482" s="210"/>
      <c r="J482" s="211"/>
      <c r="K482" s="210"/>
      <c r="L482" s="212" t="s">
        <v>2999</v>
      </c>
      <c r="M482" s="212" t="s">
        <v>2999</v>
      </c>
      <c r="N482" s="213"/>
      <c r="O482" s="263">
        <v>4590006250</v>
      </c>
      <c r="P482" s="214">
        <v>44836</v>
      </c>
      <c r="Q482" s="334">
        <v>25</v>
      </c>
      <c r="R482" s="216">
        <v>14109.38</v>
      </c>
      <c r="S482" s="217" t="s">
        <v>2156</v>
      </c>
      <c r="T482" s="209" t="s">
        <v>3864</v>
      </c>
      <c r="U482" s="209" t="s">
        <v>3865</v>
      </c>
      <c r="V482" s="213" t="s">
        <v>3866</v>
      </c>
      <c r="W482" s="218" t="s">
        <v>3652</v>
      </c>
      <c r="X482" s="218" t="s">
        <v>3652</v>
      </c>
      <c r="Y482" s="212" t="s">
        <v>3767</v>
      </c>
      <c r="Z482" s="209" t="s">
        <v>3664</v>
      </c>
      <c r="AA482" s="219"/>
      <c r="AB482" s="218"/>
      <c r="AC482" s="217" t="e">
        <v>#N/A</v>
      </c>
      <c r="AD482" s="217">
        <v>91134</v>
      </c>
      <c r="AE482" s="217" t="s">
        <v>4960</v>
      </c>
      <c r="AF482" s="217" t="s">
        <v>3770</v>
      </c>
      <c r="AG482" s="217" t="s">
        <v>3719</v>
      </c>
      <c r="AH482" s="220" t="str">
        <f t="shared" si="31"/>
        <v>4590006250_025</v>
      </c>
      <c r="AI482" s="208"/>
      <c r="AJ482" s="220"/>
      <c r="AK482" s="221"/>
      <c r="AL482" s="227"/>
      <c r="AM482" s="208"/>
      <c r="AN482" s="220"/>
      <c r="AO482" s="222"/>
      <c r="AP482" s="227"/>
      <c r="AQ482" s="358">
        <f ca="1">IF(表格1[[#This Row],[PO$]]="","100%",表格1[[#This Row],[total amount]]/表格1[[#This Row],[PO$]])</f>
        <v>0</v>
      </c>
      <c r="AR482" s="223">
        <f ca="1">表格1[[#This Row],[invoice amount]]+表格1[[#This Row],[invoice amount2]]</f>
        <v>0</v>
      </c>
      <c r="AS482" s="224"/>
      <c r="AT482" s="208"/>
      <c r="AU482" s="208" t="e">
        <f ca="1">VLOOKUP(表格1[[#This Row],[PO+ITEM]],#REF!,2,FALSE)</f>
        <v>#REF!</v>
      </c>
      <c r="AV482" s="341" t="e">
        <f ca="1">VLOOKUP(表格1[[#This Row],[PO+ITEM]],#REF!,3,FALSE)</f>
        <v>#REF!</v>
      </c>
      <c r="AW482" s="208" t="e">
        <f ca="1">VLOOKUP(表格1[[#This Row],[PO+ITEM]],#REF!,4,FALSE)</f>
        <v>#REF!</v>
      </c>
      <c r="AX482" s="208" t="e" cm="1" vm="1">
        <f t="array" aca="1" ref="AX482" ca="1">VLOOKUP(AI:AI,#REF!,1,FALSE)</f>
        <v>#VALUE!</v>
      </c>
    </row>
    <row r="483" spans="1:50" s="230" customFormat="1">
      <c r="A483" s="239">
        <v>482</v>
      </c>
      <c r="B483" s="220" t="e">
        <v>#N/A</v>
      </c>
      <c r="C483" s="231" t="s">
        <v>16</v>
      </c>
      <c r="D483" s="231" t="s">
        <v>3648</v>
      </c>
      <c r="E483" s="231"/>
      <c r="F483" s="231"/>
      <c r="G483" s="231"/>
      <c r="H483" s="270" t="s">
        <v>4961</v>
      </c>
      <c r="I483" s="270"/>
      <c r="J483" s="271"/>
      <c r="K483" s="270"/>
      <c r="L483" s="234" t="s">
        <v>2999</v>
      </c>
      <c r="M483" s="234" t="s">
        <v>2999</v>
      </c>
      <c r="N483" s="235"/>
      <c r="O483" s="268">
        <v>4590006250</v>
      </c>
      <c r="P483" s="236">
        <v>44836</v>
      </c>
      <c r="Q483" s="336">
        <v>26</v>
      </c>
      <c r="R483" s="237"/>
      <c r="S483" s="232" t="s">
        <v>2156</v>
      </c>
      <c r="T483" s="231" t="s">
        <v>3864</v>
      </c>
      <c r="U483" s="231" t="s">
        <v>3865</v>
      </c>
      <c r="V483" s="235" t="s">
        <v>3866</v>
      </c>
      <c r="W483" s="238" t="s">
        <v>3652</v>
      </c>
      <c r="X483" s="238" t="s">
        <v>3652</v>
      </c>
      <c r="Y483" s="234" t="s">
        <v>3767</v>
      </c>
      <c r="Z483" s="231" t="s">
        <v>3664</v>
      </c>
      <c r="AA483" s="269"/>
      <c r="AB483" s="238"/>
      <c r="AC483" s="232" t="e">
        <v>#N/A</v>
      </c>
      <c r="AD483" s="232">
        <v>91135</v>
      </c>
      <c r="AE483" s="232" t="s">
        <v>4962</v>
      </c>
      <c r="AF483" s="232" t="s">
        <v>3770</v>
      </c>
      <c r="AG483" s="232" t="s">
        <v>3719</v>
      </c>
      <c r="AH483" s="239" t="str">
        <f t="shared" si="31"/>
        <v>4590006250_026</v>
      </c>
      <c r="AJ483" s="239"/>
      <c r="AK483" s="240"/>
      <c r="AL483" s="302"/>
      <c r="AN483" s="239"/>
      <c r="AO483" s="241"/>
      <c r="AP483" s="302"/>
      <c r="AQ483" s="358" t="str">
        <f ca="1">IF(表格1[[#This Row],[PO$]]="","100%",表格1[[#This Row],[total amount]]/表格1[[#This Row],[PO$]])</f>
        <v>100%</v>
      </c>
      <c r="AR483" s="242"/>
      <c r="AS483" s="243"/>
      <c r="AT483" s="208"/>
      <c r="AU483" s="208" t="e">
        <f ca="1">VLOOKUP(表格1[[#This Row],[PO+ITEM]],#REF!,2,FALSE)</f>
        <v>#REF!</v>
      </c>
      <c r="AV483" s="341" t="e">
        <f ca="1">VLOOKUP(表格1[[#This Row],[PO+ITEM]],#REF!,3,FALSE)</f>
        <v>#REF!</v>
      </c>
      <c r="AW483" s="208" t="e">
        <f ca="1">VLOOKUP(表格1[[#This Row],[PO+ITEM]],#REF!,4,FALSE)</f>
        <v>#REF!</v>
      </c>
      <c r="AX483" s="208" t="e" cm="1" vm="1">
        <f t="array" aca="1" ref="AX483" ca="1">VLOOKUP(AI:AI,#REF!,1,FALSE)</f>
        <v>#VALUE!</v>
      </c>
    </row>
    <row r="484" spans="1:50">
      <c r="A484" s="220">
        <v>483</v>
      </c>
      <c r="B484" s="220" t="s">
        <v>3659</v>
      </c>
      <c r="C484" s="209" t="s">
        <v>16</v>
      </c>
      <c r="D484" s="209" t="s">
        <v>3648</v>
      </c>
      <c r="E484" s="209"/>
      <c r="F484" s="209"/>
      <c r="G484" s="209"/>
      <c r="H484" s="210" t="s">
        <v>4963</v>
      </c>
      <c r="I484" s="210"/>
      <c r="J484" s="211"/>
      <c r="K484" s="210"/>
      <c r="L484" s="212" t="s">
        <v>2999</v>
      </c>
      <c r="M484" s="212" t="s">
        <v>2999</v>
      </c>
      <c r="N484" s="213"/>
      <c r="O484" s="263">
        <v>4590006250</v>
      </c>
      <c r="P484" s="214">
        <v>44836</v>
      </c>
      <c r="Q484" s="334">
        <v>27</v>
      </c>
      <c r="R484" s="216">
        <v>13701.87</v>
      </c>
      <c r="S484" s="217" t="s">
        <v>2156</v>
      </c>
      <c r="T484" s="209" t="s">
        <v>3864</v>
      </c>
      <c r="U484" s="209" t="s">
        <v>3865</v>
      </c>
      <c r="V484" s="213" t="s">
        <v>3866</v>
      </c>
      <c r="W484" s="218" t="s">
        <v>3652</v>
      </c>
      <c r="X484" s="218" t="s">
        <v>3652</v>
      </c>
      <c r="Y484" s="212" t="s">
        <v>3767</v>
      </c>
      <c r="Z484" s="209" t="s">
        <v>3664</v>
      </c>
      <c r="AA484" s="219"/>
      <c r="AB484" s="218"/>
      <c r="AC484" s="217" t="e">
        <v>#N/A</v>
      </c>
      <c r="AD484" s="217">
        <v>91137</v>
      </c>
      <c r="AE484" s="217" t="s">
        <v>3781</v>
      </c>
      <c r="AF484" s="217" t="s">
        <v>3770</v>
      </c>
      <c r="AG484" s="217" t="s">
        <v>3719</v>
      </c>
      <c r="AH484" s="220" t="str">
        <f t="shared" si="31"/>
        <v>4590006250_027</v>
      </c>
      <c r="AI484" s="208"/>
      <c r="AJ484" s="220"/>
      <c r="AK484" s="221"/>
      <c r="AL484" s="227"/>
      <c r="AM484" s="208"/>
      <c r="AN484" s="220"/>
      <c r="AO484" s="222"/>
      <c r="AP484" s="227"/>
      <c r="AQ484" s="358">
        <f ca="1">IF(表格1[[#This Row],[PO$]]="","100%",表格1[[#This Row],[total amount]]/表格1[[#This Row],[PO$]])</f>
        <v>0</v>
      </c>
      <c r="AR484" s="223">
        <f ca="1">表格1[[#This Row],[invoice amount]]+表格1[[#This Row],[invoice amount2]]</f>
        <v>0</v>
      </c>
      <c r="AS484" s="224"/>
      <c r="AT484" s="208"/>
      <c r="AU484" s="208" t="e">
        <f ca="1">VLOOKUP(表格1[[#This Row],[PO+ITEM]],#REF!,2,FALSE)</f>
        <v>#REF!</v>
      </c>
      <c r="AV484" s="341" t="e">
        <f ca="1">VLOOKUP(表格1[[#This Row],[PO+ITEM]],#REF!,3,FALSE)</f>
        <v>#REF!</v>
      </c>
      <c r="AW484" s="208" t="e">
        <f ca="1">VLOOKUP(表格1[[#This Row],[PO+ITEM]],#REF!,4,FALSE)</f>
        <v>#REF!</v>
      </c>
      <c r="AX484" s="208" t="e" cm="1" vm="1">
        <f t="array" aca="1" ref="AX484" ca="1">VLOOKUP(AI:AI,#REF!,1,FALSE)</f>
        <v>#VALUE!</v>
      </c>
    </row>
    <row r="485" spans="1:50" s="230" customFormat="1">
      <c r="A485" s="239">
        <v>484</v>
      </c>
      <c r="B485" s="220" t="e">
        <v>#N/A</v>
      </c>
      <c r="C485" s="231" t="s">
        <v>16</v>
      </c>
      <c r="D485" s="231" t="s">
        <v>3648</v>
      </c>
      <c r="E485" s="231"/>
      <c r="F485" s="231"/>
      <c r="G485" s="231"/>
      <c r="H485" s="270" t="s">
        <v>4964</v>
      </c>
      <c r="I485" s="270"/>
      <c r="J485" s="271"/>
      <c r="K485" s="270"/>
      <c r="L485" s="234" t="s">
        <v>2999</v>
      </c>
      <c r="M485" s="234" t="s">
        <v>2999</v>
      </c>
      <c r="N485" s="235"/>
      <c r="O485" s="268">
        <v>4590006250</v>
      </c>
      <c r="P485" s="236">
        <v>44836</v>
      </c>
      <c r="Q485" s="336">
        <v>28</v>
      </c>
      <c r="R485" s="237"/>
      <c r="S485" s="232" t="s">
        <v>2156</v>
      </c>
      <c r="T485" s="231" t="s">
        <v>3864</v>
      </c>
      <c r="U485" s="231" t="s">
        <v>3865</v>
      </c>
      <c r="V485" s="235" t="s">
        <v>3866</v>
      </c>
      <c r="W485" s="238" t="s">
        <v>3652</v>
      </c>
      <c r="X485" s="238" t="s">
        <v>3652</v>
      </c>
      <c r="Y485" s="234" t="s">
        <v>3767</v>
      </c>
      <c r="Z485" s="231" t="s">
        <v>3664</v>
      </c>
      <c r="AA485" s="269"/>
      <c r="AB485" s="238"/>
      <c r="AC485" s="232" t="e">
        <v>#N/A</v>
      </c>
      <c r="AD485" s="232">
        <v>91138</v>
      </c>
      <c r="AE485" s="232" t="s">
        <v>3801</v>
      </c>
      <c r="AF485" s="232" t="s">
        <v>3770</v>
      </c>
      <c r="AG485" s="232" t="s">
        <v>3719</v>
      </c>
      <c r="AH485" s="239" t="str">
        <f t="shared" si="31"/>
        <v>4590006250_028</v>
      </c>
      <c r="AJ485" s="239"/>
      <c r="AK485" s="240"/>
      <c r="AL485" s="302"/>
      <c r="AN485" s="239"/>
      <c r="AO485" s="241"/>
      <c r="AP485" s="302"/>
      <c r="AQ485" s="358" t="str">
        <f ca="1">IF(表格1[[#This Row],[PO$]]="","100%",表格1[[#This Row],[total amount]]/表格1[[#This Row],[PO$]])</f>
        <v>100%</v>
      </c>
      <c r="AR485" s="242"/>
      <c r="AS485" s="243"/>
      <c r="AT485" s="208"/>
      <c r="AU485" s="208" t="e">
        <f ca="1">VLOOKUP(表格1[[#This Row],[PO+ITEM]],#REF!,2,FALSE)</f>
        <v>#REF!</v>
      </c>
      <c r="AV485" s="341" t="e">
        <f ca="1">VLOOKUP(表格1[[#This Row],[PO+ITEM]],#REF!,3,FALSE)</f>
        <v>#REF!</v>
      </c>
      <c r="AW485" s="208" t="e">
        <f ca="1">VLOOKUP(表格1[[#This Row],[PO+ITEM]],#REF!,4,FALSE)</f>
        <v>#REF!</v>
      </c>
      <c r="AX485" s="208" t="e" cm="1" vm="1">
        <f t="array" aca="1" ref="AX485" ca="1">VLOOKUP(AI:AI,#REF!,1,FALSE)</f>
        <v>#VALUE!</v>
      </c>
    </row>
    <row r="486" spans="1:50" s="230" customFormat="1">
      <c r="A486" s="239">
        <v>485</v>
      </c>
      <c r="B486" s="220" t="e">
        <v>#N/A</v>
      </c>
      <c r="C486" s="231" t="s">
        <v>16</v>
      </c>
      <c r="D486" s="231" t="s">
        <v>3648</v>
      </c>
      <c r="E486" s="231"/>
      <c r="F486" s="231"/>
      <c r="G486" s="231"/>
      <c r="H486" s="270" t="s">
        <v>4965</v>
      </c>
      <c r="I486" s="270"/>
      <c r="J486" s="271"/>
      <c r="K486" s="270"/>
      <c r="L486" s="234" t="s">
        <v>2999</v>
      </c>
      <c r="M486" s="234" t="s">
        <v>2999</v>
      </c>
      <c r="N486" s="235"/>
      <c r="O486" s="268">
        <v>4590006250</v>
      </c>
      <c r="P486" s="236">
        <v>44836</v>
      </c>
      <c r="Q486" s="336">
        <v>29</v>
      </c>
      <c r="R486" s="237"/>
      <c r="S486" s="232" t="s">
        <v>2156</v>
      </c>
      <c r="T486" s="231" t="s">
        <v>3864</v>
      </c>
      <c r="U486" s="231" t="s">
        <v>3865</v>
      </c>
      <c r="V486" s="235" t="s">
        <v>3866</v>
      </c>
      <c r="W486" s="238" t="s">
        <v>3652</v>
      </c>
      <c r="X486" s="238" t="s">
        <v>3652</v>
      </c>
      <c r="Y486" s="234" t="s">
        <v>3767</v>
      </c>
      <c r="Z486" s="231" t="s">
        <v>3664</v>
      </c>
      <c r="AA486" s="269"/>
      <c r="AB486" s="238"/>
      <c r="AC486" s="232" t="e">
        <v>#N/A</v>
      </c>
      <c r="AD486" s="232">
        <v>91139</v>
      </c>
      <c r="AE486" s="232" t="s">
        <v>4966</v>
      </c>
      <c r="AF486" s="232" t="s">
        <v>3770</v>
      </c>
      <c r="AG486" s="232" t="s">
        <v>3719</v>
      </c>
      <c r="AH486" s="239" t="str">
        <f t="shared" si="31"/>
        <v>4590006250_029</v>
      </c>
      <c r="AJ486" s="239"/>
      <c r="AK486" s="240"/>
      <c r="AL486" s="302"/>
      <c r="AN486" s="239"/>
      <c r="AO486" s="241"/>
      <c r="AP486" s="302"/>
      <c r="AQ486" s="358" t="str">
        <f ca="1">IF(表格1[[#This Row],[PO$]]="","100%",表格1[[#This Row],[total amount]]/表格1[[#This Row],[PO$]])</f>
        <v>100%</v>
      </c>
      <c r="AR486" s="242"/>
      <c r="AS486" s="243"/>
      <c r="AT486" s="208"/>
      <c r="AU486" s="208" t="e">
        <f ca="1">VLOOKUP(表格1[[#This Row],[PO+ITEM]],#REF!,2,FALSE)</f>
        <v>#REF!</v>
      </c>
      <c r="AV486" s="341" t="e">
        <f ca="1">VLOOKUP(表格1[[#This Row],[PO+ITEM]],#REF!,3,FALSE)</f>
        <v>#REF!</v>
      </c>
      <c r="AW486" s="208" t="e">
        <f ca="1">VLOOKUP(表格1[[#This Row],[PO+ITEM]],#REF!,4,FALSE)</f>
        <v>#REF!</v>
      </c>
      <c r="AX486" s="208" t="e" cm="1" vm="1">
        <f t="array" aca="1" ref="AX486" ca="1">VLOOKUP(AI:AI,#REF!,1,FALSE)</f>
        <v>#VALUE!</v>
      </c>
    </row>
    <row r="487" spans="1:50">
      <c r="A487" s="220">
        <v>486</v>
      </c>
      <c r="B487" s="220" t="s">
        <v>3659</v>
      </c>
      <c r="C487" s="209" t="s">
        <v>16</v>
      </c>
      <c r="D487" s="209" t="s">
        <v>3648</v>
      </c>
      <c r="E487" s="209"/>
      <c r="F487" s="209"/>
      <c r="G487" s="209"/>
      <c r="H487" s="210" t="s">
        <v>4967</v>
      </c>
      <c r="I487" s="210"/>
      <c r="J487" s="211"/>
      <c r="K487" s="210"/>
      <c r="L487" s="212" t="s">
        <v>2999</v>
      </c>
      <c r="M487" s="212" t="s">
        <v>2999</v>
      </c>
      <c r="N487" s="213"/>
      <c r="O487" s="263">
        <v>4590006250</v>
      </c>
      <c r="P487" s="214">
        <v>44836</v>
      </c>
      <c r="Q487" s="334">
        <v>30</v>
      </c>
      <c r="R487" s="216">
        <v>14109.38</v>
      </c>
      <c r="S487" s="217" t="s">
        <v>2156</v>
      </c>
      <c r="T487" s="209" t="s">
        <v>3864</v>
      </c>
      <c r="U487" s="209" t="s">
        <v>3865</v>
      </c>
      <c r="V487" s="213" t="s">
        <v>3866</v>
      </c>
      <c r="W487" s="218" t="s">
        <v>3652</v>
      </c>
      <c r="X487" s="218" t="s">
        <v>3652</v>
      </c>
      <c r="Y487" s="212" t="s">
        <v>3767</v>
      </c>
      <c r="Z487" s="209" t="s">
        <v>3664</v>
      </c>
      <c r="AA487" s="219"/>
      <c r="AB487" s="218"/>
      <c r="AC487" s="217" t="e">
        <v>#N/A</v>
      </c>
      <c r="AD487" s="217">
        <v>91140</v>
      </c>
      <c r="AE487" s="217" t="s">
        <v>4968</v>
      </c>
      <c r="AF487" s="217" t="s">
        <v>3770</v>
      </c>
      <c r="AG487" s="217" t="s">
        <v>3719</v>
      </c>
      <c r="AH487" s="220" t="str">
        <f t="shared" si="31"/>
        <v>4590006250_030</v>
      </c>
      <c r="AI487" s="208"/>
      <c r="AJ487" s="220"/>
      <c r="AK487" s="221"/>
      <c r="AL487" s="227"/>
      <c r="AM487" s="208"/>
      <c r="AN487" s="220"/>
      <c r="AO487" s="222"/>
      <c r="AP487" s="227"/>
      <c r="AQ487" s="358">
        <f ca="1">IF(表格1[[#This Row],[PO$]]="","100%",表格1[[#This Row],[total amount]]/表格1[[#This Row],[PO$]])</f>
        <v>0</v>
      </c>
      <c r="AR487" s="223">
        <f ca="1">表格1[[#This Row],[invoice amount]]+表格1[[#This Row],[invoice amount2]]</f>
        <v>0</v>
      </c>
      <c r="AS487" s="224"/>
      <c r="AT487" s="208"/>
      <c r="AU487" s="208" t="e">
        <f ca="1">VLOOKUP(表格1[[#This Row],[PO+ITEM]],#REF!,2,FALSE)</f>
        <v>#REF!</v>
      </c>
      <c r="AV487" s="341" t="e">
        <f ca="1">VLOOKUP(表格1[[#This Row],[PO+ITEM]],#REF!,3,FALSE)</f>
        <v>#REF!</v>
      </c>
      <c r="AW487" s="208" t="e">
        <f ca="1">VLOOKUP(表格1[[#This Row],[PO+ITEM]],#REF!,4,FALSE)</f>
        <v>#REF!</v>
      </c>
      <c r="AX487" s="208" t="e" cm="1" vm="1">
        <f t="array" aca="1" ref="AX487" ca="1">VLOOKUP(AI:AI,#REF!,1,FALSE)</f>
        <v>#VALUE!</v>
      </c>
    </row>
    <row r="488" spans="1:50">
      <c r="A488" s="220">
        <v>487</v>
      </c>
      <c r="B488" s="220" t="s">
        <v>3659</v>
      </c>
      <c r="C488" s="209" t="s">
        <v>16</v>
      </c>
      <c r="D488" s="209" t="s">
        <v>3648</v>
      </c>
      <c r="E488" s="209"/>
      <c r="F488" s="209"/>
      <c r="G488" s="209"/>
      <c r="H488" s="210" t="s">
        <v>4969</v>
      </c>
      <c r="I488" s="210"/>
      <c r="J488" s="211"/>
      <c r="K488" s="210"/>
      <c r="L488" s="212" t="s">
        <v>2999</v>
      </c>
      <c r="M488" s="212" t="s">
        <v>2999</v>
      </c>
      <c r="N488" s="213"/>
      <c r="O488" s="263">
        <v>4590006250</v>
      </c>
      <c r="P488" s="214">
        <v>44836</v>
      </c>
      <c r="Q488" s="334">
        <v>31</v>
      </c>
      <c r="R488" s="216">
        <v>14109.38</v>
      </c>
      <c r="S488" s="217" t="s">
        <v>2156</v>
      </c>
      <c r="T488" s="209" t="s">
        <v>3864</v>
      </c>
      <c r="U488" s="209" t="s">
        <v>3865</v>
      </c>
      <c r="V488" s="213" t="s">
        <v>3866</v>
      </c>
      <c r="W488" s="218" t="s">
        <v>3652</v>
      </c>
      <c r="X488" s="218" t="s">
        <v>3652</v>
      </c>
      <c r="Y488" s="212" t="s">
        <v>3767</v>
      </c>
      <c r="Z488" s="209" t="s">
        <v>3664</v>
      </c>
      <c r="AA488" s="219"/>
      <c r="AB488" s="218"/>
      <c r="AC488" s="217" t="e">
        <v>#N/A</v>
      </c>
      <c r="AD488" s="217">
        <v>91142</v>
      </c>
      <c r="AE488" s="217" t="s">
        <v>3786</v>
      </c>
      <c r="AF488" s="217" t="s">
        <v>3770</v>
      </c>
      <c r="AG488" s="217" t="s">
        <v>3719</v>
      </c>
      <c r="AH488" s="220" t="str">
        <f t="shared" si="31"/>
        <v>4590006250_031</v>
      </c>
      <c r="AI488" s="208"/>
      <c r="AJ488" s="220"/>
      <c r="AK488" s="221"/>
      <c r="AL488" s="227"/>
      <c r="AM488" s="208"/>
      <c r="AN488" s="220"/>
      <c r="AO488" s="222"/>
      <c r="AP488" s="227"/>
      <c r="AQ488" s="358">
        <f ca="1">IF(表格1[[#This Row],[PO$]]="","100%",表格1[[#This Row],[total amount]]/表格1[[#This Row],[PO$]])</f>
        <v>0</v>
      </c>
      <c r="AR488" s="223">
        <f ca="1">表格1[[#This Row],[invoice amount]]+表格1[[#This Row],[invoice amount2]]</f>
        <v>0</v>
      </c>
      <c r="AS488" s="224"/>
      <c r="AT488" s="208"/>
      <c r="AU488" s="208" t="e">
        <f ca="1">VLOOKUP(表格1[[#This Row],[PO+ITEM]],#REF!,2,FALSE)</f>
        <v>#REF!</v>
      </c>
      <c r="AV488" s="341" t="e">
        <f ca="1">VLOOKUP(表格1[[#This Row],[PO+ITEM]],#REF!,3,FALSE)</f>
        <v>#REF!</v>
      </c>
      <c r="AW488" s="208" t="e">
        <f ca="1">VLOOKUP(表格1[[#This Row],[PO+ITEM]],#REF!,4,FALSE)</f>
        <v>#REF!</v>
      </c>
      <c r="AX488" s="208" t="e" cm="1" vm="1">
        <f t="array" aca="1" ref="AX488" ca="1">VLOOKUP(AI:AI,#REF!,1,FALSE)</f>
        <v>#VALUE!</v>
      </c>
    </row>
    <row r="489" spans="1:50">
      <c r="A489" s="220">
        <v>488</v>
      </c>
      <c r="B489" s="220" t="s">
        <v>3659</v>
      </c>
      <c r="C489" s="209" t="s">
        <v>16</v>
      </c>
      <c r="D489" s="209" t="s">
        <v>3648</v>
      </c>
      <c r="E489" s="209"/>
      <c r="F489" s="209"/>
      <c r="G489" s="209"/>
      <c r="H489" s="210" t="s">
        <v>4970</v>
      </c>
      <c r="I489" s="210"/>
      <c r="J489" s="211"/>
      <c r="K489" s="210"/>
      <c r="L489" s="212" t="s">
        <v>2999</v>
      </c>
      <c r="M489" s="212" t="s">
        <v>2999</v>
      </c>
      <c r="N489" s="213"/>
      <c r="O489" s="263">
        <v>4590006250</v>
      </c>
      <c r="P489" s="214">
        <v>44836</v>
      </c>
      <c r="Q489" s="334">
        <v>32</v>
      </c>
      <c r="R489" s="216">
        <v>14516.89</v>
      </c>
      <c r="S489" s="217" t="s">
        <v>2156</v>
      </c>
      <c r="T489" s="209" t="s">
        <v>3864</v>
      </c>
      <c r="U489" s="209" t="s">
        <v>3865</v>
      </c>
      <c r="V489" s="213" t="s">
        <v>3866</v>
      </c>
      <c r="W489" s="218" t="s">
        <v>3652</v>
      </c>
      <c r="X489" s="218" t="s">
        <v>3652</v>
      </c>
      <c r="Y489" s="212" t="s">
        <v>3767</v>
      </c>
      <c r="Z489" s="209" t="s">
        <v>3664</v>
      </c>
      <c r="AA489" s="219"/>
      <c r="AB489" s="218"/>
      <c r="AC489" s="217" t="e">
        <v>#N/A</v>
      </c>
      <c r="AD489" s="217">
        <v>91350</v>
      </c>
      <c r="AE489" s="217" t="s">
        <v>4971</v>
      </c>
      <c r="AF489" s="217" t="s">
        <v>3770</v>
      </c>
      <c r="AG489" s="217" t="s">
        <v>3719</v>
      </c>
      <c r="AH489" s="220" t="str">
        <f t="shared" si="31"/>
        <v>4590006250_032</v>
      </c>
      <c r="AI489" s="208"/>
      <c r="AJ489" s="220"/>
      <c r="AK489" s="221"/>
      <c r="AL489" s="227"/>
      <c r="AM489" s="208"/>
      <c r="AN489" s="220"/>
      <c r="AO489" s="222"/>
      <c r="AP489" s="227"/>
      <c r="AQ489" s="358">
        <f ca="1">IF(表格1[[#This Row],[PO$]]="","100%",表格1[[#This Row],[total amount]]/表格1[[#This Row],[PO$]])</f>
        <v>0</v>
      </c>
      <c r="AR489" s="223">
        <f ca="1">表格1[[#This Row],[invoice amount]]+表格1[[#This Row],[invoice amount2]]</f>
        <v>0</v>
      </c>
      <c r="AS489" s="224"/>
      <c r="AT489" s="208"/>
      <c r="AU489" s="208" t="e">
        <f ca="1">VLOOKUP(表格1[[#This Row],[PO+ITEM]],#REF!,2,FALSE)</f>
        <v>#REF!</v>
      </c>
      <c r="AV489" s="341" t="e">
        <f ca="1">VLOOKUP(表格1[[#This Row],[PO+ITEM]],#REF!,3,FALSE)</f>
        <v>#REF!</v>
      </c>
      <c r="AW489" s="208" t="e">
        <f ca="1">VLOOKUP(表格1[[#This Row],[PO+ITEM]],#REF!,4,FALSE)</f>
        <v>#REF!</v>
      </c>
      <c r="AX489" s="208" t="e" cm="1" vm="1">
        <f t="array" aca="1" ref="AX489" ca="1">VLOOKUP(AI:AI,#REF!,1,FALSE)</f>
        <v>#VALUE!</v>
      </c>
    </row>
    <row r="490" spans="1:50">
      <c r="A490" s="220">
        <v>489</v>
      </c>
      <c r="B490" s="220" t="s">
        <v>3659</v>
      </c>
      <c r="C490" s="209" t="s">
        <v>16</v>
      </c>
      <c r="D490" s="209" t="s">
        <v>3648</v>
      </c>
      <c r="E490" s="209"/>
      <c r="F490" s="209"/>
      <c r="G490" s="209"/>
      <c r="H490" s="210" t="s">
        <v>4972</v>
      </c>
      <c r="I490" s="210"/>
      <c r="J490" s="211"/>
      <c r="K490" s="210"/>
      <c r="L490" s="212" t="s">
        <v>2999</v>
      </c>
      <c r="M490" s="212" t="s">
        <v>2999</v>
      </c>
      <c r="N490" s="213"/>
      <c r="O490" s="263">
        <v>4590006250</v>
      </c>
      <c r="P490" s="214">
        <v>44836</v>
      </c>
      <c r="Q490" s="334">
        <v>33</v>
      </c>
      <c r="R490" s="216">
        <v>14516.89</v>
      </c>
      <c r="S490" s="217" t="s">
        <v>2156</v>
      </c>
      <c r="T490" s="209" t="s">
        <v>3864</v>
      </c>
      <c r="U490" s="209" t="s">
        <v>3865</v>
      </c>
      <c r="V490" s="213" t="s">
        <v>3866</v>
      </c>
      <c r="W490" s="218" t="s">
        <v>3652</v>
      </c>
      <c r="X490" s="218" t="s">
        <v>3652</v>
      </c>
      <c r="Y490" s="212" t="s">
        <v>3767</v>
      </c>
      <c r="Z490" s="209" t="s">
        <v>3664</v>
      </c>
      <c r="AA490" s="219"/>
      <c r="AB490" s="218"/>
      <c r="AC490" s="217" t="e">
        <v>#N/A</v>
      </c>
      <c r="AD490" s="217">
        <v>91351</v>
      </c>
      <c r="AE490" s="217" t="s">
        <v>4973</v>
      </c>
      <c r="AF490" s="217" t="s">
        <v>3770</v>
      </c>
      <c r="AG490" s="217" t="s">
        <v>3719</v>
      </c>
      <c r="AH490" s="220" t="str">
        <f t="shared" si="31"/>
        <v>4590006250_033</v>
      </c>
      <c r="AI490" s="208"/>
      <c r="AJ490" s="220"/>
      <c r="AK490" s="221"/>
      <c r="AL490" s="227"/>
      <c r="AM490" s="208"/>
      <c r="AN490" s="220"/>
      <c r="AO490" s="222"/>
      <c r="AP490" s="227"/>
      <c r="AQ490" s="358">
        <f ca="1">IF(表格1[[#This Row],[PO$]]="","100%",表格1[[#This Row],[total amount]]/表格1[[#This Row],[PO$]])</f>
        <v>0</v>
      </c>
      <c r="AR490" s="223">
        <f ca="1">表格1[[#This Row],[invoice amount]]+表格1[[#This Row],[invoice amount2]]</f>
        <v>0</v>
      </c>
      <c r="AS490" s="224"/>
      <c r="AT490" s="208"/>
      <c r="AU490" s="208" t="e">
        <f ca="1">VLOOKUP(表格1[[#This Row],[PO+ITEM]],#REF!,2,FALSE)</f>
        <v>#REF!</v>
      </c>
      <c r="AV490" s="341" t="e">
        <f ca="1">VLOOKUP(表格1[[#This Row],[PO+ITEM]],#REF!,3,FALSE)</f>
        <v>#REF!</v>
      </c>
      <c r="AW490" s="208" t="e">
        <f ca="1">VLOOKUP(表格1[[#This Row],[PO+ITEM]],#REF!,4,FALSE)</f>
        <v>#REF!</v>
      </c>
      <c r="AX490" s="208" t="e" cm="1" vm="1">
        <f t="array" aca="1" ref="AX490" ca="1">VLOOKUP(AI:AI,#REF!,1,FALSE)</f>
        <v>#VALUE!</v>
      </c>
    </row>
    <row r="491" spans="1:50" ht="15.6">
      <c r="A491" s="220">
        <v>490</v>
      </c>
      <c r="B491" s="220" t="s">
        <v>3659</v>
      </c>
      <c r="C491" s="209" t="s">
        <v>16</v>
      </c>
      <c r="D491" s="209" t="s">
        <v>3648</v>
      </c>
      <c r="E491" s="209"/>
      <c r="F491" s="209"/>
      <c r="G491" s="209"/>
      <c r="H491" s="217" t="s">
        <v>4974</v>
      </c>
      <c r="I491" s="217"/>
      <c r="J491" s="215"/>
      <c r="K491" s="217"/>
      <c r="L491" s="212" t="s">
        <v>2999</v>
      </c>
      <c r="M491" s="212" t="s">
        <v>2999</v>
      </c>
      <c r="N491" s="213"/>
      <c r="O491" s="263">
        <v>4590006250</v>
      </c>
      <c r="P491" s="214">
        <v>44836</v>
      </c>
      <c r="Q491" s="334">
        <v>34</v>
      </c>
      <c r="R491" s="216">
        <v>20621.14</v>
      </c>
      <c r="S491" s="217" t="s">
        <v>2156</v>
      </c>
      <c r="T491" s="209" t="s">
        <v>3864</v>
      </c>
      <c r="U491" s="209" t="s">
        <v>3865</v>
      </c>
      <c r="V491" s="213" t="s">
        <v>3866</v>
      </c>
      <c r="W491" s="218" t="s">
        <v>3652</v>
      </c>
      <c r="X491" s="218" t="s">
        <v>3652</v>
      </c>
      <c r="Y491" s="212" t="s">
        <v>3767</v>
      </c>
      <c r="Z491" s="209" t="s">
        <v>3664</v>
      </c>
      <c r="AA491" s="219"/>
      <c r="AB491" s="218"/>
      <c r="AC491" s="217" t="e">
        <v>#N/A</v>
      </c>
      <c r="AD491" s="217">
        <v>91352</v>
      </c>
      <c r="AE491" s="217" t="s">
        <v>4975</v>
      </c>
      <c r="AF491" s="217" t="s">
        <v>3770</v>
      </c>
      <c r="AG491" s="217" t="s">
        <v>3719</v>
      </c>
      <c r="AH491" s="220" t="str">
        <f t="shared" si="31"/>
        <v>4590006250_034</v>
      </c>
      <c r="AI491" s="208"/>
      <c r="AJ491" s="225">
        <v>45047</v>
      </c>
      <c r="AK491" s="221">
        <v>0</v>
      </c>
      <c r="AL491" s="314" t="s">
        <v>3788</v>
      </c>
      <c r="AM491" s="208"/>
      <c r="AN491" s="220"/>
      <c r="AO491" s="222"/>
      <c r="AP491" s="227"/>
      <c r="AQ491" s="358">
        <f ca="1">IF(表格1[[#This Row],[PO$]]="","100%",表格1[[#This Row],[total amount]]/表格1[[#This Row],[PO$]])</f>
        <v>0</v>
      </c>
      <c r="AR491" s="223">
        <f ca="1">表格1[[#This Row],[invoice amount]]+表格1[[#This Row],[invoice amount2]]</f>
        <v>0</v>
      </c>
      <c r="AS491" s="224" t="s">
        <v>3789</v>
      </c>
      <c r="AT491" s="208" t="s">
        <v>4976</v>
      </c>
      <c r="AU491" s="208" t="e">
        <f ca="1">VLOOKUP(表格1[[#This Row],[PO+ITEM]],#REF!,2,FALSE)</f>
        <v>#REF!</v>
      </c>
      <c r="AV491" s="341" t="e">
        <f ca="1">VLOOKUP(表格1[[#This Row],[PO+ITEM]],#REF!,3,FALSE)</f>
        <v>#REF!</v>
      </c>
      <c r="AW491" s="208" t="e">
        <f ca="1">VLOOKUP(表格1[[#This Row],[PO+ITEM]],#REF!,4,FALSE)</f>
        <v>#REF!</v>
      </c>
      <c r="AX491" s="208" t="e" cm="1" vm="1">
        <f t="array" aca="1" ref="AX491" ca="1">VLOOKUP(AI:AI,#REF!,1,FALSE)</f>
        <v>#VALUE!</v>
      </c>
    </row>
    <row r="492" spans="1:50">
      <c r="A492" s="220">
        <v>491</v>
      </c>
      <c r="B492" s="220" t="s">
        <v>3659</v>
      </c>
      <c r="C492" s="209" t="s">
        <v>16</v>
      </c>
      <c r="D492" s="209" t="s">
        <v>3648</v>
      </c>
      <c r="E492" s="209"/>
      <c r="F492" s="209"/>
      <c r="G492" s="209"/>
      <c r="H492" s="210" t="s">
        <v>4977</v>
      </c>
      <c r="I492" s="210"/>
      <c r="J492" s="211"/>
      <c r="K492" s="210"/>
      <c r="L492" s="212" t="s">
        <v>2999</v>
      </c>
      <c r="M492" s="212" t="s">
        <v>2999</v>
      </c>
      <c r="N492" s="213"/>
      <c r="O492" s="263">
        <v>4590006250</v>
      </c>
      <c r="P492" s="214">
        <v>44836</v>
      </c>
      <c r="Q492" s="334">
        <v>35</v>
      </c>
      <c r="R492" s="216">
        <v>14516.89</v>
      </c>
      <c r="S492" s="217" t="s">
        <v>2156</v>
      </c>
      <c r="T492" s="209" t="s">
        <v>3864</v>
      </c>
      <c r="U492" s="209" t="s">
        <v>3865</v>
      </c>
      <c r="V492" s="213" t="s">
        <v>3866</v>
      </c>
      <c r="W492" s="218" t="s">
        <v>3652</v>
      </c>
      <c r="X492" s="218" t="s">
        <v>3652</v>
      </c>
      <c r="Y492" s="212" t="s">
        <v>3767</v>
      </c>
      <c r="Z492" s="209" t="s">
        <v>3664</v>
      </c>
      <c r="AA492" s="219"/>
      <c r="AB492" s="218"/>
      <c r="AC492" s="217" t="e">
        <v>#N/A</v>
      </c>
      <c r="AD492" s="217">
        <v>91352</v>
      </c>
      <c r="AE492" s="217" t="s">
        <v>4975</v>
      </c>
      <c r="AF492" s="217" t="s">
        <v>3770</v>
      </c>
      <c r="AG492" s="217" t="s">
        <v>3719</v>
      </c>
      <c r="AH492" s="220" t="str">
        <f t="shared" si="31"/>
        <v>4590006250_035</v>
      </c>
      <c r="AI492" s="208"/>
      <c r="AJ492" s="220"/>
      <c r="AK492" s="221"/>
      <c r="AL492" s="227"/>
      <c r="AM492" s="208"/>
      <c r="AN492" s="220"/>
      <c r="AO492" s="222"/>
      <c r="AP492" s="227"/>
      <c r="AQ492" s="358">
        <f ca="1">IF(表格1[[#This Row],[PO$]]="","100%",表格1[[#This Row],[total amount]]/表格1[[#This Row],[PO$]])</f>
        <v>0</v>
      </c>
      <c r="AR492" s="223">
        <f ca="1">表格1[[#This Row],[invoice amount]]+表格1[[#This Row],[invoice amount2]]</f>
        <v>0</v>
      </c>
      <c r="AS492" s="224"/>
      <c r="AT492" s="208"/>
      <c r="AU492" s="208" t="e">
        <f ca="1">VLOOKUP(表格1[[#This Row],[PO+ITEM]],#REF!,2,FALSE)</f>
        <v>#REF!</v>
      </c>
      <c r="AV492" s="341" t="e">
        <f ca="1">VLOOKUP(表格1[[#This Row],[PO+ITEM]],#REF!,3,FALSE)</f>
        <v>#REF!</v>
      </c>
      <c r="AW492" s="208" t="e">
        <f ca="1">VLOOKUP(表格1[[#This Row],[PO+ITEM]],#REF!,4,FALSE)</f>
        <v>#REF!</v>
      </c>
      <c r="AX492" s="208" t="e" cm="1" vm="1">
        <f t="array" aca="1" ref="AX492" ca="1">VLOOKUP(AI:AI,#REF!,1,FALSE)</f>
        <v>#VALUE!</v>
      </c>
    </row>
    <row r="493" spans="1:50">
      <c r="A493" s="220">
        <v>492</v>
      </c>
      <c r="B493" s="220" t="s">
        <v>3659</v>
      </c>
      <c r="C493" s="209" t="s">
        <v>16</v>
      </c>
      <c r="D493" s="209" t="s">
        <v>3648</v>
      </c>
      <c r="E493" s="209"/>
      <c r="F493" s="209"/>
      <c r="G493" s="209"/>
      <c r="H493" s="210" t="s">
        <v>4978</v>
      </c>
      <c r="I493" s="210"/>
      <c r="J493" s="211"/>
      <c r="K493" s="210"/>
      <c r="L493" s="212" t="s">
        <v>2999</v>
      </c>
      <c r="M493" s="212" t="s">
        <v>2999</v>
      </c>
      <c r="N493" s="213"/>
      <c r="O493" s="263">
        <v>4590006250</v>
      </c>
      <c r="P493" s="214">
        <v>44836</v>
      </c>
      <c r="Q493" s="334">
        <v>36</v>
      </c>
      <c r="R493" s="216">
        <v>14516.89</v>
      </c>
      <c r="S493" s="217" t="s">
        <v>2156</v>
      </c>
      <c r="T493" s="209" t="s">
        <v>3864</v>
      </c>
      <c r="U493" s="209" t="s">
        <v>3865</v>
      </c>
      <c r="V493" s="213" t="s">
        <v>3866</v>
      </c>
      <c r="W493" s="218" t="s">
        <v>3652</v>
      </c>
      <c r="X493" s="218" t="s">
        <v>3652</v>
      </c>
      <c r="Y493" s="212" t="s">
        <v>3767</v>
      </c>
      <c r="Z493" s="209" t="s">
        <v>3664</v>
      </c>
      <c r="AA493" s="219"/>
      <c r="AB493" s="218"/>
      <c r="AC493" s="217" t="e">
        <v>#N/A</v>
      </c>
      <c r="AD493" s="217">
        <v>91353</v>
      </c>
      <c r="AE493" s="217" t="s">
        <v>4979</v>
      </c>
      <c r="AF493" s="217" t="s">
        <v>3770</v>
      </c>
      <c r="AG493" s="217" t="s">
        <v>3719</v>
      </c>
      <c r="AH493" s="220" t="str">
        <f t="shared" si="31"/>
        <v>4590006250_036</v>
      </c>
      <c r="AI493" s="208"/>
      <c r="AJ493" s="220"/>
      <c r="AK493" s="221"/>
      <c r="AL493" s="227"/>
      <c r="AM493" s="208"/>
      <c r="AN493" s="220"/>
      <c r="AO493" s="222"/>
      <c r="AP493" s="227"/>
      <c r="AQ493" s="358">
        <f ca="1">IF(表格1[[#This Row],[PO$]]="","100%",表格1[[#This Row],[total amount]]/表格1[[#This Row],[PO$]])</f>
        <v>0</v>
      </c>
      <c r="AR493" s="223">
        <f ca="1">表格1[[#This Row],[invoice amount]]+表格1[[#This Row],[invoice amount2]]</f>
        <v>0</v>
      </c>
      <c r="AS493" s="224"/>
      <c r="AT493" s="208"/>
      <c r="AU493" s="208" t="e">
        <f ca="1">VLOOKUP(表格1[[#This Row],[PO+ITEM]],#REF!,2,FALSE)</f>
        <v>#REF!</v>
      </c>
      <c r="AV493" s="341" t="e">
        <f ca="1">VLOOKUP(表格1[[#This Row],[PO+ITEM]],#REF!,3,FALSE)</f>
        <v>#REF!</v>
      </c>
      <c r="AW493" s="208" t="e">
        <f ca="1">VLOOKUP(表格1[[#This Row],[PO+ITEM]],#REF!,4,FALSE)</f>
        <v>#REF!</v>
      </c>
      <c r="AX493" s="208" t="e" cm="1" vm="1">
        <f t="array" aca="1" ref="AX493" ca="1">VLOOKUP(AI:AI,#REF!,1,FALSE)</f>
        <v>#VALUE!</v>
      </c>
    </row>
    <row r="494" spans="1:50" s="230" customFormat="1" ht="15.6">
      <c r="A494" s="220">
        <v>493</v>
      </c>
      <c r="B494" s="220" t="s">
        <v>3659</v>
      </c>
      <c r="C494" s="209" t="s">
        <v>16</v>
      </c>
      <c r="D494" s="209" t="s">
        <v>3648</v>
      </c>
      <c r="E494" s="209"/>
      <c r="F494" s="209"/>
      <c r="G494" s="209"/>
      <c r="H494" s="210" t="s">
        <v>4980</v>
      </c>
      <c r="I494" s="210"/>
      <c r="J494" s="211"/>
      <c r="K494" s="210"/>
      <c r="L494" s="212" t="s">
        <v>2999</v>
      </c>
      <c r="M494" s="212" t="s">
        <v>2999</v>
      </c>
      <c r="N494" s="213"/>
      <c r="O494" s="263">
        <v>4590006250</v>
      </c>
      <c r="P494" s="214">
        <v>44836</v>
      </c>
      <c r="Q494" s="334">
        <v>37</v>
      </c>
      <c r="R494" s="216">
        <v>20621.14</v>
      </c>
      <c r="S494" s="217" t="s">
        <v>2156</v>
      </c>
      <c r="T494" s="209" t="s">
        <v>3864</v>
      </c>
      <c r="U494" s="209" t="s">
        <v>3865</v>
      </c>
      <c r="V494" s="213" t="s">
        <v>3866</v>
      </c>
      <c r="W494" s="218" t="s">
        <v>3652</v>
      </c>
      <c r="X494" s="218" t="s">
        <v>3652</v>
      </c>
      <c r="Y494" s="212" t="s">
        <v>3767</v>
      </c>
      <c r="Z494" s="209" t="s">
        <v>3664</v>
      </c>
      <c r="AA494" s="219"/>
      <c r="AB494" s="218"/>
      <c r="AC494" s="217" t="e">
        <v>#N/A</v>
      </c>
      <c r="AD494" s="217">
        <v>91354</v>
      </c>
      <c r="AE494" s="217" t="s">
        <v>4981</v>
      </c>
      <c r="AF494" s="217" t="s">
        <v>3770</v>
      </c>
      <c r="AG494" s="217" t="s">
        <v>3719</v>
      </c>
      <c r="AH494" s="220" t="str">
        <f t="shared" si="31"/>
        <v>4590006250_037</v>
      </c>
      <c r="AI494" s="208"/>
      <c r="AJ494" s="225">
        <v>45047</v>
      </c>
      <c r="AK494" s="221">
        <v>0</v>
      </c>
      <c r="AL494" s="314" t="s">
        <v>3788</v>
      </c>
      <c r="AM494" s="208"/>
      <c r="AN494" s="220"/>
      <c r="AO494" s="222"/>
      <c r="AP494" s="227"/>
      <c r="AQ494" s="358">
        <f ca="1">IF(表格1[[#This Row],[PO$]]="","100%",表格1[[#This Row],[total amount]]/表格1[[#This Row],[PO$]])</f>
        <v>0</v>
      </c>
      <c r="AR494" s="223">
        <f ca="1">表格1[[#This Row],[invoice amount]]+表格1[[#This Row],[invoice amount2]]</f>
        <v>0</v>
      </c>
      <c r="AS494" s="224" t="s">
        <v>3789</v>
      </c>
      <c r="AT494" s="208" t="s">
        <v>4976</v>
      </c>
      <c r="AU494" s="208" t="e">
        <f ca="1">VLOOKUP(表格1[[#This Row],[PO+ITEM]],#REF!,2,FALSE)</f>
        <v>#REF!</v>
      </c>
      <c r="AV494" s="341" t="e">
        <f ca="1">VLOOKUP(表格1[[#This Row],[PO+ITEM]],#REF!,3,FALSE)</f>
        <v>#REF!</v>
      </c>
      <c r="AW494" s="208" t="e">
        <f ca="1">VLOOKUP(表格1[[#This Row],[PO+ITEM]],#REF!,4,FALSE)</f>
        <v>#REF!</v>
      </c>
      <c r="AX494" s="208" t="e" cm="1" vm="1">
        <f t="array" aca="1" ref="AX494" ca="1">VLOOKUP(AI:AI,#REF!,1,FALSE)</f>
        <v>#VALUE!</v>
      </c>
    </row>
    <row r="495" spans="1:50">
      <c r="A495" s="220">
        <v>494</v>
      </c>
      <c r="B495" s="220" t="s">
        <v>3659</v>
      </c>
      <c r="C495" s="209" t="s">
        <v>16</v>
      </c>
      <c r="D495" s="209" t="s">
        <v>3648</v>
      </c>
      <c r="E495" s="209"/>
      <c r="F495" s="209"/>
      <c r="G495" s="209"/>
      <c r="H495" s="210" t="s">
        <v>4982</v>
      </c>
      <c r="I495" s="210"/>
      <c r="J495" s="211"/>
      <c r="K495" s="210"/>
      <c r="L495" s="212" t="s">
        <v>2999</v>
      </c>
      <c r="M495" s="212" t="s">
        <v>2999</v>
      </c>
      <c r="N495" s="213"/>
      <c r="O495" s="263">
        <v>4590006250</v>
      </c>
      <c r="P495" s="214">
        <v>44836</v>
      </c>
      <c r="Q495" s="334">
        <v>38</v>
      </c>
      <c r="R495" s="216">
        <v>14516.89</v>
      </c>
      <c r="S495" s="217" t="s">
        <v>2156</v>
      </c>
      <c r="T495" s="209" t="s">
        <v>3864</v>
      </c>
      <c r="U495" s="209" t="s">
        <v>3865</v>
      </c>
      <c r="V495" s="213" t="s">
        <v>3866</v>
      </c>
      <c r="W495" s="218" t="s">
        <v>3652</v>
      </c>
      <c r="X495" s="218" t="s">
        <v>3652</v>
      </c>
      <c r="Y495" s="212" t="s">
        <v>3767</v>
      </c>
      <c r="Z495" s="209" t="s">
        <v>3664</v>
      </c>
      <c r="AA495" s="219"/>
      <c r="AB495" s="218"/>
      <c r="AC495" s="217" t="e">
        <v>#N/A</v>
      </c>
      <c r="AD495" s="217">
        <v>91354</v>
      </c>
      <c r="AE495" s="217" t="s">
        <v>4981</v>
      </c>
      <c r="AF495" s="217" t="s">
        <v>3770</v>
      </c>
      <c r="AG495" s="217" t="s">
        <v>3719</v>
      </c>
      <c r="AH495" s="220" t="str">
        <f t="shared" si="31"/>
        <v>4590006250_038</v>
      </c>
      <c r="AI495" s="208"/>
      <c r="AJ495" s="220"/>
      <c r="AK495" s="221"/>
      <c r="AL495" s="227"/>
      <c r="AM495" s="208"/>
      <c r="AN495" s="220"/>
      <c r="AO495" s="222"/>
      <c r="AP495" s="227"/>
      <c r="AQ495" s="358">
        <f ca="1">IF(表格1[[#This Row],[PO$]]="","100%",表格1[[#This Row],[total amount]]/表格1[[#This Row],[PO$]])</f>
        <v>0</v>
      </c>
      <c r="AR495" s="223">
        <f ca="1">表格1[[#This Row],[invoice amount]]+表格1[[#This Row],[invoice amount2]]</f>
        <v>0</v>
      </c>
      <c r="AS495" s="224"/>
      <c r="AT495" s="208"/>
      <c r="AU495" s="208" t="e">
        <f ca="1">VLOOKUP(表格1[[#This Row],[PO+ITEM]],#REF!,2,FALSE)</f>
        <v>#REF!</v>
      </c>
      <c r="AV495" s="341" t="e">
        <f ca="1">VLOOKUP(表格1[[#This Row],[PO+ITEM]],#REF!,3,FALSE)</f>
        <v>#REF!</v>
      </c>
      <c r="AW495" s="208" t="e">
        <f ca="1">VLOOKUP(表格1[[#This Row],[PO+ITEM]],#REF!,4,FALSE)</f>
        <v>#REF!</v>
      </c>
      <c r="AX495" s="208" t="e" cm="1" vm="1">
        <f t="array" aca="1" ref="AX495" ca="1">VLOOKUP(AI:AI,#REF!,1,FALSE)</f>
        <v>#VALUE!</v>
      </c>
    </row>
    <row r="496" spans="1:50" s="230" customFormat="1">
      <c r="A496" s="220">
        <v>495</v>
      </c>
      <c r="B496" s="220" t="s">
        <v>3659</v>
      </c>
      <c r="C496" s="209" t="s">
        <v>16</v>
      </c>
      <c r="D496" s="209" t="s">
        <v>3648</v>
      </c>
      <c r="E496" s="209"/>
      <c r="F496" s="209"/>
      <c r="G496" s="209"/>
      <c r="H496" s="210" t="s">
        <v>4983</v>
      </c>
      <c r="I496" s="210"/>
      <c r="J496" s="211"/>
      <c r="K496" s="210"/>
      <c r="L496" s="212" t="s">
        <v>2999</v>
      </c>
      <c r="M496" s="212" t="s">
        <v>2999</v>
      </c>
      <c r="N496" s="213"/>
      <c r="O496" s="263">
        <v>4590006250</v>
      </c>
      <c r="P496" s="214">
        <v>44836</v>
      </c>
      <c r="Q496" s="334">
        <v>39</v>
      </c>
      <c r="R496" s="216">
        <v>14516.89</v>
      </c>
      <c r="S496" s="217" t="s">
        <v>2156</v>
      </c>
      <c r="T496" s="209" t="s">
        <v>3864</v>
      </c>
      <c r="U496" s="209" t="s">
        <v>3865</v>
      </c>
      <c r="V496" s="213" t="s">
        <v>3866</v>
      </c>
      <c r="W496" s="218" t="s">
        <v>3652</v>
      </c>
      <c r="X496" s="218" t="s">
        <v>3652</v>
      </c>
      <c r="Y496" s="212" t="s">
        <v>3767</v>
      </c>
      <c r="Z496" s="209" t="s">
        <v>3664</v>
      </c>
      <c r="AA496" s="219"/>
      <c r="AB496" s="218"/>
      <c r="AC496" s="217" t="e">
        <v>#N/A</v>
      </c>
      <c r="AD496" s="217">
        <v>91362</v>
      </c>
      <c r="AE496" s="217" t="s">
        <v>4984</v>
      </c>
      <c r="AF496" s="217" t="s">
        <v>3770</v>
      </c>
      <c r="AG496" s="217" t="s">
        <v>3719</v>
      </c>
      <c r="AH496" s="220" t="str">
        <f t="shared" si="31"/>
        <v>4590006250_039</v>
      </c>
      <c r="AI496" s="208"/>
      <c r="AJ496" s="220"/>
      <c r="AK496" s="221"/>
      <c r="AL496" s="227"/>
      <c r="AM496" s="208"/>
      <c r="AN496" s="220"/>
      <c r="AO496" s="222"/>
      <c r="AP496" s="227"/>
      <c r="AQ496" s="358">
        <f ca="1">IF(表格1[[#This Row],[PO$]]="","100%",表格1[[#This Row],[total amount]]/表格1[[#This Row],[PO$]])</f>
        <v>0</v>
      </c>
      <c r="AR496" s="223">
        <f ca="1">表格1[[#This Row],[invoice amount]]+表格1[[#This Row],[invoice amount2]]</f>
        <v>0</v>
      </c>
      <c r="AS496" s="224"/>
      <c r="AT496" s="208"/>
      <c r="AU496" s="208" t="e">
        <f ca="1">VLOOKUP(表格1[[#This Row],[PO+ITEM]],#REF!,2,FALSE)</f>
        <v>#REF!</v>
      </c>
      <c r="AV496" s="341" t="e">
        <f ca="1">VLOOKUP(表格1[[#This Row],[PO+ITEM]],#REF!,3,FALSE)</f>
        <v>#REF!</v>
      </c>
      <c r="AW496" s="208" t="e">
        <f ca="1">VLOOKUP(表格1[[#This Row],[PO+ITEM]],#REF!,4,FALSE)</f>
        <v>#REF!</v>
      </c>
      <c r="AX496" s="208" t="e" cm="1" vm="1">
        <f t="array" aca="1" ref="AX496" ca="1">VLOOKUP(AI:AI,#REF!,1,FALSE)</f>
        <v>#VALUE!</v>
      </c>
    </row>
    <row r="497" spans="1:50" s="230" customFormat="1">
      <c r="A497" s="220">
        <v>496</v>
      </c>
      <c r="B497" s="220" t="s">
        <v>3659</v>
      </c>
      <c r="C497" s="209" t="s">
        <v>16</v>
      </c>
      <c r="D497" s="209" t="s">
        <v>3648</v>
      </c>
      <c r="E497" s="209"/>
      <c r="F497" s="209"/>
      <c r="G497" s="209"/>
      <c r="H497" s="217" t="s">
        <v>4985</v>
      </c>
      <c r="I497" s="217"/>
      <c r="J497" s="215"/>
      <c r="K497" s="217"/>
      <c r="L497" s="212" t="s">
        <v>2999</v>
      </c>
      <c r="M497" s="212" t="s">
        <v>2999</v>
      </c>
      <c r="N497" s="213"/>
      <c r="O497" s="263">
        <v>4590006250</v>
      </c>
      <c r="P497" s="214">
        <v>44836</v>
      </c>
      <c r="Q497" s="334">
        <v>40</v>
      </c>
      <c r="R497" s="216">
        <v>14516.89</v>
      </c>
      <c r="S497" s="217" t="s">
        <v>2156</v>
      </c>
      <c r="T497" s="209" t="s">
        <v>3864</v>
      </c>
      <c r="U497" s="209" t="s">
        <v>3865</v>
      </c>
      <c r="V497" s="213" t="s">
        <v>3866</v>
      </c>
      <c r="W497" s="218" t="s">
        <v>3652</v>
      </c>
      <c r="X497" s="218" t="s">
        <v>3652</v>
      </c>
      <c r="Y497" s="212" t="s">
        <v>3767</v>
      </c>
      <c r="Z497" s="209" t="s">
        <v>3664</v>
      </c>
      <c r="AA497" s="219"/>
      <c r="AB497" s="218"/>
      <c r="AC497" s="217" t="e">
        <v>#N/A</v>
      </c>
      <c r="AD497" s="217">
        <v>91363</v>
      </c>
      <c r="AE497" s="217" t="s">
        <v>4986</v>
      </c>
      <c r="AF497" s="217" t="s">
        <v>3770</v>
      </c>
      <c r="AG497" s="217" t="s">
        <v>3719</v>
      </c>
      <c r="AH497" s="220" t="str">
        <f t="shared" si="31"/>
        <v>4590006250_040</v>
      </c>
      <c r="AI497" s="208"/>
      <c r="AJ497" s="220"/>
      <c r="AK497" s="221"/>
      <c r="AL497" s="227"/>
      <c r="AM497" s="208"/>
      <c r="AN497" s="220"/>
      <c r="AO497" s="222"/>
      <c r="AP497" s="227"/>
      <c r="AQ497" s="358">
        <f ca="1">IF(表格1[[#This Row],[PO$]]="","100%",表格1[[#This Row],[total amount]]/表格1[[#This Row],[PO$]])</f>
        <v>0</v>
      </c>
      <c r="AR497" s="223">
        <f ca="1">表格1[[#This Row],[invoice amount]]+表格1[[#This Row],[invoice amount2]]</f>
        <v>0</v>
      </c>
      <c r="AS497" s="224"/>
      <c r="AT497" s="208"/>
      <c r="AU497" s="208" t="e">
        <f ca="1">VLOOKUP(表格1[[#This Row],[PO+ITEM]],#REF!,2,FALSE)</f>
        <v>#REF!</v>
      </c>
      <c r="AV497" s="341" t="e">
        <f ca="1">VLOOKUP(表格1[[#This Row],[PO+ITEM]],#REF!,3,FALSE)</f>
        <v>#REF!</v>
      </c>
      <c r="AW497" s="208" t="e">
        <f ca="1">VLOOKUP(表格1[[#This Row],[PO+ITEM]],#REF!,4,FALSE)</f>
        <v>#REF!</v>
      </c>
      <c r="AX497" s="208" t="e" cm="1" vm="1">
        <f t="array" aca="1" ref="AX497" ca="1">VLOOKUP(AI:AI,#REF!,1,FALSE)</f>
        <v>#VALUE!</v>
      </c>
    </row>
    <row r="498" spans="1:50" ht="15.6">
      <c r="A498" s="220">
        <v>497</v>
      </c>
      <c r="B498" s="220" t="s">
        <v>3659</v>
      </c>
      <c r="C498" s="209" t="s">
        <v>16</v>
      </c>
      <c r="D498" s="209" t="s">
        <v>3648</v>
      </c>
      <c r="E498" s="209"/>
      <c r="F498" s="209"/>
      <c r="G498" s="209"/>
      <c r="H498" s="210" t="s">
        <v>4987</v>
      </c>
      <c r="I498" s="210"/>
      <c r="J498" s="211"/>
      <c r="K498" s="210"/>
      <c r="L498" s="212" t="s">
        <v>2999</v>
      </c>
      <c r="M498" s="212" t="s">
        <v>2999</v>
      </c>
      <c r="N498" s="213"/>
      <c r="O498" s="263">
        <v>4590006250</v>
      </c>
      <c r="P498" s="214">
        <v>44836</v>
      </c>
      <c r="Q498" s="334">
        <v>41</v>
      </c>
      <c r="R498" s="216">
        <v>20621.14</v>
      </c>
      <c r="S498" s="217" t="s">
        <v>2156</v>
      </c>
      <c r="T498" s="209" t="s">
        <v>3864</v>
      </c>
      <c r="U498" s="209" t="s">
        <v>3865</v>
      </c>
      <c r="V498" s="213" t="s">
        <v>3866</v>
      </c>
      <c r="W498" s="218" t="s">
        <v>3652</v>
      </c>
      <c r="X498" s="218" t="s">
        <v>3652</v>
      </c>
      <c r="Y498" s="212" t="s">
        <v>3767</v>
      </c>
      <c r="Z498" s="209" t="s">
        <v>3664</v>
      </c>
      <c r="AA498" s="219"/>
      <c r="AB498" s="218"/>
      <c r="AC498" s="217" t="e">
        <v>#N/A</v>
      </c>
      <c r="AD498" s="217">
        <v>91353</v>
      </c>
      <c r="AE498" s="217" t="s">
        <v>4979</v>
      </c>
      <c r="AF498" s="217" t="s">
        <v>3770</v>
      </c>
      <c r="AG498" s="217" t="s">
        <v>3719</v>
      </c>
      <c r="AH498" s="220" t="str">
        <f t="shared" si="31"/>
        <v>4590006250_041</v>
      </c>
      <c r="AI498" s="208"/>
      <c r="AJ498" s="225">
        <v>45047</v>
      </c>
      <c r="AK498" s="221">
        <v>0</v>
      </c>
      <c r="AL498" s="314" t="s">
        <v>3788</v>
      </c>
      <c r="AM498" s="208"/>
      <c r="AN498" s="220"/>
      <c r="AO498" s="222"/>
      <c r="AP498" s="227"/>
      <c r="AQ498" s="358">
        <f ca="1">IF(表格1[[#This Row],[PO$]]="","100%",表格1[[#This Row],[total amount]]/表格1[[#This Row],[PO$]])</f>
        <v>0</v>
      </c>
      <c r="AR498" s="223">
        <f ca="1">表格1[[#This Row],[invoice amount]]+表格1[[#This Row],[invoice amount2]]</f>
        <v>0</v>
      </c>
      <c r="AS498" s="224" t="s">
        <v>3789</v>
      </c>
      <c r="AT498" s="208" t="s">
        <v>4976</v>
      </c>
      <c r="AU498" s="208" t="e">
        <f ca="1">VLOOKUP(表格1[[#This Row],[PO+ITEM]],#REF!,2,FALSE)</f>
        <v>#REF!</v>
      </c>
      <c r="AV498" s="341" t="e">
        <f ca="1">VLOOKUP(表格1[[#This Row],[PO+ITEM]],#REF!,3,FALSE)</f>
        <v>#REF!</v>
      </c>
      <c r="AW498" s="208" t="e">
        <f ca="1">VLOOKUP(表格1[[#This Row],[PO+ITEM]],#REF!,4,FALSE)</f>
        <v>#REF!</v>
      </c>
      <c r="AX498" s="208" t="e" cm="1" vm="1">
        <f t="array" aca="1" ref="AX498" ca="1">VLOOKUP(AI:AI,#REF!,1,FALSE)</f>
        <v>#VALUE!</v>
      </c>
    </row>
    <row r="499" spans="1:50" ht="15.6">
      <c r="A499" s="220">
        <v>498</v>
      </c>
      <c r="B499" s="220" t="s">
        <v>3659</v>
      </c>
      <c r="C499" s="209" t="s">
        <v>16</v>
      </c>
      <c r="D499" s="209" t="s">
        <v>3648</v>
      </c>
      <c r="E499" s="209"/>
      <c r="F499" s="209"/>
      <c r="G499" s="209"/>
      <c r="H499" s="210" t="s">
        <v>4988</v>
      </c>
      <c r="I499" s="210"/>
      <c r="J499" s="211"/>
      <c r="K499" s="210"/>
      <c r="L499" s="212" t="s">
        <v>2206</v>
      </c>
      <c r="M499" s="212" t="s">
        <v>2999</v>
      </c>
      <c r="N499" s="213"/>
      <c r="O499" s="263">
        <v>4590006251</v>
      </c>
      <c r="P499" s="214">
        <v>44836</v>
      </c>
      <c r="Q499" s="334">
        <v>1</v>
      </c>
      <c r="R499" s="216">
        <v>6719.7</v>
      </c>
      <c r="S499" s="217" t="s">
        <v>2156</v>
      </c>
      <c r="T499" s="209" t="s">
        <v>3864</v>
      </c>
      <c r="U499" s="209" t="s">
        <v>3865</v>
      </c>
      <c r="V499" s="213" t="s">
        <v>3866</v>
      </c>
      <c r="W499" s="218" t="s">
        <v>3652</v>
      </c>
      <c r="X499" s="218" t="s">
        <v>3652</v>
      </c>
      <c r="Y499" s="212" t="s">
        <v>4437</v>
      </c>
      <c r="Z499" s="209" t="s">
        <v>3664</v>
      </c>
      <c r="AA499" s="219"/>
      <c r="AB499" s="218"/>
      <c r="AC499" s="217" t="e">
        <v>#N/A</v>
      </c>
      <c r="AD499" s="217">
        <v>91197</v>
      </c>
      <c r="AE499" s="217" t="s">
        <v>4989</v>
      </c>
      <c r="AF499" s="217" t="s">
        <v>3681</v>
      </c>
      <c r="AG499" s="217" t="s">
        <v>846</v>
      </c>
      <c r="AH499" s="220" t="str">
        <f t="shared" ref="AH499:AH525" si="32">O499&amp;"_00"&amp;Q499</f>
        <v>4590006251_001</v>
      </c>
      <c r="AI499" s="208"/>
      <c r="AJ499" s="225">
        <v>45047</v>
      </c>
      <c r="AK499" s="221">
        <v>2687.88</v>
      </c>
      <c r="AL499" s="228">
        <v>45303</v>
      </c>
      <c r="AM499" s="208"/>
      <c r="AN499" s="220"/>
      <c r="AO499" s="222"/>
      <c r="AP499" s="227"/>
      <c r="AQ499" s="358">
        <f ca="1">IF(表格1[[#This Row],[PO$]]="","100%",表格1[[#This Row],[total amount]]/表格1[[#This Row],[PO$]])</f>
        <v>0.4</v>
      </c>
      <c r="AR499" s="223">
        <f ca="1">表格1[[#This Row],[invoice amount]]+表格1[[#This Row],[invoice amount2]]</f>
        <v>2687.88</v>
      </c>
      <c r="AS499" s="224" t="s">
        <v>3673</v>
      </c>
      <c r="AT499" s="208"/>
      <c r="AU499" s="208" t="e">
        <f ca="1">VLOOKUP(表格1[[#This Row],[PO+ITEM]],#REF!,2,FALSE)</f>
        <v>#REF!</v>
      </c>
      <c r="AV499" s="341" t="e">
        <f ca="1">VLOOKUP(表格1[[#This Row],[PO+ITEM]],#REF!,3,FALSE)</f>
        <v>#REF!</v>
      </c>
      <c r="AW499" s="208" t="e">
        <f ca="1">VLOOKUP(表格1[[#This Row],[PO+ITEM]],#REF!,4,FALSE)</f>
        <v>#REF!</v>
      </c>
      <c r="AX499" s="208" t="e" cm="1" vm="1">
        <f t="array" aca="1" ref="AX499" ca="1">VLOOKUP(AI:AI,#REF!,1,FALSE)</f>
        <v>#VALUE!</v>
      </c>
    </row>
    <row r="500" spans="1:50" ht="15.6">
      <c r="A500" s="220">
        <v>499</v>
      </c>
      <c r="B500" s="220" t="s">
        <v>3659</v>
      </c>
      <c r="C500" s="209" t="s">
        <v>16</v>
      </c>
      <c r="D500" s="209" t="s">
        <v>3648</v>
      </c>
      <c r="E500" s="209"/>
      <c r="F500" s="209"/>
      <c r="G500" s="209"/>
      <c r="H500" s="210" t="s">
        <v>4990</v>
      </c>
      <c r="I500" s="210"/>
      <c r="J500" s="211"/>
      <c r="K500" s="210"/>
      <c r="L500" s="212" t="s">
        <v>2206</v>
      </c>
      <c r="M500" s="212" t="s">
        <v>2999</v>
      </c>
      <c r="N500" s="213"/>
      <c r="O500" s="263">
        <v>4590006251</v>
      </c>
      <c r="P500" s="214">
        <v>44836</v>
      </c>
      <c r="Q500" s="334">
        <v>2</v>
      </c>
      <c r="R500" s="216">
        <v>6719.7</v>
      </c>
      <c r="S500" s="217" t="s">
        <v>2156</v>
      </c>
      <c r="T500" s="209" t="s">
        <v>3864</v>
      </c>
      <c r="U500" s="209" t="s">
        <v>3865</v>
      </c>
      <c r="V500" s="213" t="s">
        <v>3866</v>
      </c>
      <c r="W500" s="218" t="s">
        <v>3652</v>
      </c>
      <c r="X500" s="218" t="s">
        <v>3652</v>
      </c>
      <c r="Y500" s="212" t="s">
        <v>4437</v>
      </c>
      <c r="Z500" s="209" t="s">
        <v>3664</v>
      </c>
      <c r="AA500" s="219"/>
      <c r="AB500" s="218"/>
      <c r="AC500" s="217" t="e">
        <v>#N/A</v>
      </c>
      <c r="AD500" s="217">
        <v>91198</v>
      </c>
      <c r="AE500" s="217" t="s">
        <v>4991</v>
      </c>
      <c r="AF500" s="217" t="s">
        <v>3681</v>
      </c>
      <c r="AG500" s="217" t="s">
        <v>846</v>
      </c>
      <c r="AH500" s="220" t="str">
        <f t="shared" si="32"/>
        <v>4590006251_002</v>
      </c>
      <c r="AI500" s="208"/>
      <c r="AJ500" s="225">
        <v>45047</v>
      </c>
      <c r="AK500" s="221">
        <v>2687.88</v>
      </c>
      <c r="AL500" s="228">
        <v>45303</v>
      </c>
      <c r="AM500" s="208"/>
      <c r="AN500" s="220"/>
      <c r="AO500" s="222"/>
      <c r="AP500" s="227"/>
      <c r="AQ500" s="358">
        <f ca="1">IF(表格1[[#This Row],[PO$]]="","100%",表格1[[#This Row],[total amount]]/表格1[[#This Row],[PO$]])</f>
        <v>0.4</v>
      </c>
      <c r="AR500" s="223">
        <f ca="1">表格1[[#This Row],[invoice amount]]+表格1[[#This Row],[invoice amount2]]</f>
        <v>2687.88</v>
      </c>
      <c r="AS500" s="224" t="s">
        <v>3673</v>
      </c>
      <c r="AT500" s="208"/>
      <c r="AU500" s="208" t="e">
        <f ca="1">VLOOKUP(表格1[[#This Row],[PO+ITEM]],#REF!,2,FALSE)</f>
        <v>#REF!</v>
      </c>
      <c r="AV500" s="341" t="e">
        <f ca="1">VLOOKUP(表格1[[#This Row],[PO+ITEM]],#REF!,3,FALSE)</f>
        <v>#REF!</v>
      </c>
      <c r="AW500" s="208" t="e">
        <f ca="1">VLOOKUP(表格1[[#This Row],[PO+ITEM]],#REF!,4,FALSE)</f>
        <v>#REF!</v>
      </c>
      <c r="AX500" s="208" t="e" cm="1" vm="1">
        <f t="array" aca="1" ref="AX500" ca="1">VLOOKUP(AI:AI,#REF!,1,FALSE)</f>
        <v>#VALUE!</v>
      </c>
    </row>
    <row r="501" spans="1:50" ht="15.6">
      <c r="A501" s="220">
        <v>500</v>
      </c>
      <c r="B501" s="220" t="s">
        <v>3659</v>
      </c>
      <c r="C501" s="209" t="s">
        <v>16</v>
      </c>
      <c r="D501" s="209" t="s">
        <v>3648</v>
      </c>
      <c r="E501" s="209"/>
      <c r="F501" s="209"/>
      <c r="G501" s="209"/>
      <c r="H501" s="210" t="s">
        <v>4992</v>
      </c>
      <c r="I501" s="210"/>
      <c r="J501" s="211"/>
      <c r="K501" s="210"/>
      <c r="L501" s="212" t="s">
        <v>2206</v>
      </c>
      <c r="M501" s="212" t="s">
        <v>2999</v>
      </c>
      <c r="N501" s="213"/>
      <c r="O501" s="263">
        <v>4590006251</v>
      </c>
      <c r="P501" s="214">
        <v>44836</v>
      </c>
      <c r="Q501" s="334">
        <v>3</v>
      </c>
      <c r="R501" s="216">
        <v>6719.7</v>
      </c>
      <c r="S501" s="217" t="s">
        <v>2156</v>
      </c>
      <c r="T501" s="209" t="s">
        <v>3864</v>
      </c>
      <c r="U501" s="209" t="s">
        <v>3865</v>
      </c>
      <c r="V501" s="213" t="s">
        <v>3866</v>
      </c>
      <c r="W501" s="218" t="s">
        <v>3652</v>
      </c>
      <c r="X501" s="218" t="s">
        <v>3652</v>
      </c>
      <c r="Y501" s="212" t="s">
        <v>4437</v>
      </c>
      <c r="Z501" s="209" t="s">
        <v>3664</v>
      </c>
      <c r="AA501" s="219"/>
      <c r="AB501" s="218"/>
      <c r="AC501" s="217" t="e">
        <v>#N/A</v>
      </c>
      <c r="AD501" s="217">
        <v>91199</v>
      </c>
      <c r="AE501" s="217" t="s">
        <v>4993</v>
      </c>
      <c r="AF501" s="217" t="s">
        <v>3681</v>
      </c>
      <c r="AG501" s="217" t="s">
        <v>846</v>
      </c>
      <c r="AH501" s="220" t="str">
        <f t="shared" si="32"/>
        <v>4590006251_003</v>
      </c>
      <c r="AI501" s="208"/>
      <c r="AJ501" s="225">
        <v>45047</v>
      </c>
      <c r="AK501" s="221">
        <v>2687.88</v>
      </c>
      <c r="AL501" s="228">
        <v>45303</v>
      </c>
      <c r="AM501" s="208"/>
      <c r="AN501" s="220"/>
      <c r="AO501" s="222"/>
      <c r="AP501" s="227"/>
      <c r="AQ501" s="358">
        <f ca="1">IF(表格1[[#This Row],[PO$]]="","100%",表格1[[#This Row],[total amount]]/表格1[[#This Row],[PO$]])</f>
        <v>0.4</v>
      </c>
      <c r="AR501" s="223">
        <f ca="1">表格1[[#This Row],[invoice amount]]+表格1[[#This Row],[invoice amount2]]</f>
        <v>2687.88</v>
      </c>
      <c r="AS501" s="224" t="s">
        <v>3673</v>
      </c>
      <c r="AT501" s="208"/>
      <c r="AU501" s="208" t="e">
        <f ca="1">VLOOKUP(表格1[[#This Row],[PO+ITEM]],#REF!,2,FALSE)</f>
        <v>#REF!</v>
      </c>
      <c r="AV501" s="341" t="e">
        <f ca="1">VLOOKUP(表格1[[#This Row],[PO+ITEM]],#REF!,3,FALSE)</f>
        <v>#REF!</v>
      </c>
      <c r="AW501" s="208" t="e">
        <f ca="1">VLOOKUP(表格1[[#This Row],[PO+ITEM]],#REF!,4,FALSE)</f>
        <v>#REF!</v>
      </c>
      <c r="AX501" s="208" t="e" cm="1" vm="1">
        <f t="array" aca="1" ref="AX501" ca="1">VLOOKUP(AI:AI,#REF!,1,FALSE)</f>
        <v>#VALUE!</v>
      </c>
    </row>
    <row r="502" spans="1:50" ht="15.6">
      <c r="A502" s="220">
        <v>501</v>
      </c>
      <c r="B502" s="220" t="s">
        <v>3659</v>
      </c>
      <c r="C502" s="209" t="s">
        <v>16</v>
      </c>
      <c r="D502" s="209" t="s">
        <v>3648</v>
      </c>
      <c r="E502" s="209"/>
      <c r="F502" s="209"/>
      <c r="G502" s="209"/>
      <c r="H502" s="210" t="s">
        <v>4994</v>
      </c>
      <c r="I502" s="210"/>
      <c r="J502" s="211"/>
      <c r="K502" s="210"/>
      <c r="L502" s="212" t="s">
        <v>2206</v>
      </c>
      <c r="M502" s="212" t="s">
        <v>2999</v>
      </c>
      <c r="N502" s="213"/>
      <c r="O502" s="263">
        <v>4590006251</v>
      </c>
      <c r="P502" s="214">
        <v>44836</v>
      </c>
      <c r="Q502" s="334">
        <v>4</v>
      </c>
      <c r="R502" s="216">
        <v>6719.7</v>
      </c>
      <c r="S502" s="217" t="s">
        <v>2156</v>
      </c>
      <c r="T502" s="209" t="s">
        <v>3864</v>
      </c>
      <c r="U502" s="209" t="s">
        <v>3865</v>
      </c>
      <c r="V502" s="213" t="s">
        <v>3866</v>
      </c>
      <c r="W502" s="218" t="s">
        <v>3652</v>
      </c>
      <c r="X502" s="218" t="s">
        <v>3652</v>
      </c>
      <c r="Y502" s="212" t="s">
        <v>4437</v>
      </c>
      <c r="Z502" s="209" t="s">
        <v>3664</v>
      </c>
      <c r="AA502" s="219"/>
      <c r="AB502" s="218"/>
      <c r="AC502" s="217" t="e">
        <v>#N/A</v>
      </c>
      <c r="AD502" s="217">
        <v>91337</v>
      </c>
      <c r="AE502" s="217" t="s">
        <v>4995</v>
      </c>
      <c r="AF502" s="217" t="s">
        <v>3681</v>
      </c>
      <c r="AG502" s="217" t="s">
        <v>846</v>
      </c>
      <c r="AH502" s="220" t="str">
        <f t="shared" si="32"/>
        <v>4590006251_004</v>
      </c>
      <c r="AI502" s="208"/>
      <c r="AJ502" s="225">
        <v>45108</v>
      </c>
      <c r="AK502" s="221">
        <v>2687.88</v>
      </c>
      <c r="AL502" s="228">
        <v>45303</v>
      </c>
      <c r="AM502" s="208"/>
      <c r="AN502" s="220"/>
      <c r="AO502" s="222"/>
      <c r="AP502" s="227"/>
      <c r="AQ502" s="358">
        <f ca="1">IF(表格1[[#This Row],[PO$]]="","100%",表格1[[#This Row],[total amount]]/表格1[[#This Row],[PO$]])</f>
        <v>0.4</v>
      </c>
      <c r="AR502" s="223">
        <f ca="1">表格1[[#This Row],[invoice amount]]+表格1[[#This Row],[invoice amount2]]</f>
        <v>2687.88</v>
      </c>
      <c r="AS502" s="224" t="s">
        <v>3673</v>
      </c>
      <c r="AT502" s="208"/>
      <c r="AU502" s="208" t="e">
        <f ca="1">VLOOKUP(表格1[[#This Row],[PO+ITEM]],#REF!,2,FALSE)</f>
        <v>#REF!</v>
      </c>
      <c r="AV502" s="341" t="e">
        <f ca="1">VLOOKUP(表格1[[#This Row],[PO+ITEM]],#REF!,3,FALSE)</f>
        <v>#REF!</v>
      </c>
      <c r="AW502" s="208" t="e">
        <f ca="1">VLOOKUP(表格1[[#This Row],[PO+ITEM]],#REF!,4,FALSE)</f>
        <v>#REF!</v>
      </c>
      <c r="AX502" s="208" t="e" cm="1" vm="1">
        <f t="array" aca="1" ref="AX502" ca="1">VLOOKUP(AI:AI,#REF!,1,FALSE)</f>
        <v>#VALUE!</v>
      </c>
    </row>
    <row r="503" spans="1:50">
      <c r="A503" s="220">
        <v>502</v>
      </c>
      <c r="B503" s="220" t="s">
        <v>3659</v>
      </c>
      <c r="C503" s="209" t="s">
        <v>16</v>
      </c>
      <c r="D503" s="209" t="s">
        <v>3648</v>
      </c>
      <c r="E503" s="209"/>
      <c r="F503" s="209"/>
      <c r="G503" s="209"/>
      <c r="H503" s="210" t="s">
        <v>4996</v>
      </c>
      <c r="I503" s="210"/>
      <c r="J503" s="211"/>
      <c r="K503" s="210"/>
      <c r="L503" s="212" t="s">
        <v>2999</v>
      </c>
      <c r="M503" s="212" t="s">
        <v>2999</v>
      </c>
      <c r="N503" s="213"/>
      <c r="O503" s="263">
        <v>4590006251</v>
      </c>
      <c r="P503" s="214">
        <v>44836</v>
      </c>
      <c r="Q503" s="334">
        <v>5</v>
      </c>
      <c r="R503" s="216">
        <v>82970.73</v>
      </c>
      <c r="S503" s="217" t="s">
        <v>2156</v>
      </c>
      <c r="T503" s="209" t="s">
        <v>3864</v>
      </c>
      <c r="U503" s="209" t="s">
        <v>3865</v>
      </c>
      <c r="V503" s="213" t="s">
        <v>3866</v>
      </c>
      <c r="W503" s="218" t="s">
        <v>3652</v>
      </c>
      <c r="X503" s="218" t="s">
        <v>3652</v>
      </c>
      <c r="Y503" s="212">
        <v>0</v>
      </c>
      <c r="Z503" s="209" t="s">
        <v>3664</v>
      </c>
      <c r="AA503" s="219"/>
      <c r="AB503" s="218"/>
      <c r="AC503" s="217" t="e">
        <v>#N/A</v>
      </c>
      <c r="AD503" s="217">
        <v>91248</v>
      </c>
      <c r="AE503" s="217" t="s">
        <v>2880</v>
      </c>
      <c r="AF503" s="217" t="s">
        <v>3681</v>
      </c>
      <c r="AG503" s="217" t="s">
        <v>32</v>
      </c>
      <c r="AH503" s="220" t="str">
        <f t="shared" si="32"/>
        <v>4590006251_005</v>
      </c>
      <c r="AI503" s="208"/>
      <c r="AJ503" s="220"/>
      <c r="AK503" s="221"/>
      <c r="AL503" s="227"/>
      <c r="AM503" s="208"/>
      <c r="AN503" s="220"/>
      <c r="AO503" s="222"/>
      <c r="AP503" s="227"/>
      <c r="AQ503" s="358">
        <f ca="1">IF(表格1[[#This Row],[PO$]]="","100%",表格1[[#This Row],[total amount]]/表格1[[#This Row],[PO$]])</f>
        <v>0</v>
      </c>
      <c r="AR503" s="223">
        <f ca="1">表格1[[#This Row],[invoice amount]]+表格1[[#This Row],[invoice amount2]]</f>
        <v>0</v>
      </c>
      <c r="AS503" s="224"/>
      <c r="AT503" s="208"/>
      <c r="AU503" s="208" t="e">
        <f ca="1">VLOOKUP(表格1[[#This Row],[PO+ITEM]],#REF!,2,FALSE)</f>
        <v>#REF!</v>
      </c>
      <c r="AV503" s="341" t="e">
        <f ca="1">VLOOKUP(表格1[[#This Row],[PO+ITEM]],#REF!,3,FALSE)</f>
        <v>#REF!</v>
      </c>
      <c r="AW503" s="208" t="e">
        <f ca="1">VLOOKUP(表格1[[#This Row],[PO+ITEM]],#REF!,4,FALSE)</f>
        <v>#REF!</v>
      </c>
      <c r="AX503" s="208" t="e" cm="1" vm="1">
        <f t="array" aca="1" ref="AX503" ca="1">VLOOKUP(AI:AI,#REF!,1,FALSE)</f>
        <v>#VALUE!</v>
      </c>
    </row>
    <row r="504" spans="1:50">
      <c r="A504" s="220">
        <v>503</v>
      </c>
      <c r="B504" s="220" t="s">
        <v>3659</v>
      </c>
      <c r="C504" s="209" t="s">
        <v>16</v>
      </c>
      <c r="D504" s="209" t="s">
        <v>3648</v>
      </c>
      <c r="E504" s="209"/>
      <c r="F504" s="209"/>
      <c r="G504" s="209"/>
      <c r="H504" s="210" t="s">
        <v>4997</v>
      </c>
      <c r="I504" s="210"/>
      <c r="J504" s="211"/>
      <c r="K504" s="210"/>
      <c r="L504" s="212" t="s">
        <v>2206</v>
      </c>
      <c r="M504" s="212" t="s">
        <v>2999</v>
      </c>
      <c r="N504" s="213"/>
      <c r="O504" s="263">
        <v>4590006252</v>
      </c>
      <c r="P504" s="214">
        <v>44836</v>
      </c>
      <c r="Q504" s="334">
        <v>1</v>
      </c>
      <c r="R504" s="216">
        <v>2664.88</v>
      </c>
      <c r="S504" s="217" t="s">
        <v>2156</v>
      </c>
      <c r="T504" s="209" t="s">
        <v>4468</v>
      </c>
      <c r="U504" s="209" t="s">
        <v>4469</v>
      </c>
      <c r="V504" s="213" t="s">
        <v>4470</v>
      </c>
      <c r="W504" s="218" t="s">
        <v>3652</v>
      </c>
      <c r="X504" s="218" t="s">
        <v>3652</v>
      </c>
      <c r="Y504" s="212">
        <v>0</v>
      </c>
      <c r="Z504" s="209" t="s">
        <v>3664</v>
      </c>
      <c r="AA504" s="219"/>
      <c r="AB504" s="218"/>
      <c r="AC504" s="217" t="e">
        <v>#N/A</v>
      </c>
      <c r="AD504" s="217">
        <v>91239</v>
      </c>
      <c r="AE504" s="217" t="s">
        <v>4998</v>
      </c>
      <c r="AF504" s="217" t="s">
        <v>4102</v>
      </c>
      <c r="AG504" s="217" t="s">
        <v>846</v>
      </c>
      <c r="AH504" s="220" t="str">
        <f t="shared" si="32"/>
        <v>4590006252_001</v>
      </c>
      <c r="AI504" s="208"/>
      <c r="AJ504" s="220"/>
      <c r="AK504" s="221"/>
      <c r="AL504" s="227"/>
      <c r="AM504" s="208"/>
      <c r="AN504" s="220"/>
      <c r="AO504" s="222"/>
      <c r="AP504" s="227"/>
      <c r="AQ504" s="358">
        <f ca="1">IF(表格1[[#This Row],[PO$]]="","100%",表格1[[#This Row],[total amount]]/表格1[[#This Row],[PO$]])</f>
        <v>0</v>
      </c>
      <c r="AR504" s="223">
        <f ca="1">表格1[[#This Row],[invoice amount]]+表格1[[#This Row],[invoice amount2]]</f>
        <v>0</v>
      </c>
      <c r="AS504" s="224"/>
      <c r="AT504" s="208"/>
      <c r="AU504" s="208" t="e">
        <f ca="1">VLOOKUP(表格1[[#This Row],[PO+ITEM]],#REF!,2,FALSE)</f>
        <v>#REF!</v>
      </c>
      <c r="AV504" s="341" t="e">
        <f ca="1">VLOOKUP(表格1[[#This Row],[PO+ITEM]],#REF!,3,FALSE)</f>
        <v>#REF!</v>
      </c>
      <c r="AW504" s="208" t="e">
        <f ca="1">VLOOKUP(表格1[[#This Row],[PO+ITEM]],#REF!,4,FALSE)</f>
        <v>#REF!</v>
      </c>
      <c r="AX504" s="208" t="e" cm="1" vm="1">
        <f t="array" aca="1" ref="AX504" ca="1">VLOOKUP(AI:AI,#REF!,1,FALSE)</f>
        <v>#VALUE!</v>
      </c>
    </row>
    <row r="505" spans="1:50">
      <c r="A505" s="220">
        <v>504</v>
      </c>
      <c r="B505" s="220" t="s">
        <v>3659</v>
      </c>
      <c r="C505" s="209" t="s">
        <v>16</v>
      </c>
      <c r="D505" s="209" t="s">
        <v>3648</v>
      </c>
      <c r="E505" s="209"/>
      <c r="F505" s="209"/>
      <c r="G505" s="209"/>
      <c r="H505" s="210" t="s">
        <v>4999</v>
      </c>
      <c r="I505" s="210"/>
      <c r="J505" s="211"/>
      <c r="K505" s="210"/>
      <c r="L505" s="212" t="s">
        <v>2206</v>
      </c>
      <c r="M505" s="212" t="s">
        <v>2999</v>
      </c>
      <c r="N505" s="213"/>
      <c r="O505" s="263">
        <v>4590006252</v>
      </c>
      <c r="P505" s="214">
        <v>44836</v>
      </c>
      <c r="Q505" s="334">
        <v>2</v>
      </c>
      <c r="R505" s="216">
        <v>2664.88</v>
      </c>
      <c r="S505" s="217" t="s">
        <v>2156</v>
      </c>
      <c r="T505" s="209" t="s">
        <v>4468</v>
      </c>
      <c r="U505" s="209" t="s">
        <v>4469</v>
      </c>
      <c r="V505" s="213" t="s">
        <v>4470</v>
      </c>
      <c r="W505" s="218" t="s">
        <v>3652</v>
      </c>
      <c r="X505" s="218" t="s">
        <v>3652</v>
      </c>
      <c r="Y505" s="212">
        <v>0</v>
      </c>
      <c r="Z505" s="209" t="s">
        <v>3664</v>
      </c>
      <c r="AA505" s="219"/>
      <c r="AB505" s="218"/>
      <c r="AC505" s="217" t="e">
        <v>#N/A</v>
      </c>
      <c r="AD505" s="217">
        <v>91238</v>
      </c>
      <c r="AE505" s="217" t="s">
        <v>5000</v>
      </c>
      <c r="AF505" s="217" t="s">
        <v>4102</v>
      </c>
      <c r="AG505" s="217" t="s">
        <v>846</v>
      </c>
      <c r="AH505" s="220" t="str">
        <f t="shared" si="32"/>
        <v>4590006252_002</v>
      </c>
      <c r="AI505" s="208"/>
      <c r="AJ505" s="220"/>
      <c r="AK505" s="221"/>
      <c r="AL505" s="227"/>
      <c r="AM505" s="208"/>
      <c r="AN505" s="220"/>
      <c r="AO505" s="222"/>
      <c r="AP505" s="227"/>
      <c r="AQ505" s="358">
        <f ca="1">IF(表格1[[#This Row],[PO$]]="","100%",表格1[[#This Row],[total amount]]/表格1[[#This Row],[PO$]])</f>
        <v>0</v>
      </c>
      <c r="AR505" s="223">
        <f ca="1">表格1[[#This Row],[invoice amount]]+表格1[[#This Row],[invoice amount2]]</f>
        <v>0</v>
      </c>
      <c r="AS505" s="224"/>
      <c r="AT505" s="208"/>
      <c r="AU505" s="208" t="e">
        <f ca="1">VLOOKUP(表格1[[#This Row],[PO+ITEM]],#REF!,2,FALSE)</f>
        <v>#REF!</v>
      </c>
      <c r="AV505" s="341" t="e">
        <f ca="1">VLOOKUP(表格1[[#This Row],[PO+ITEM]],#REF!,3,FALSE)</f>
        <v>#REF!</v>
      </c>
      <c r="AW505" s="208" t="e">
        <f ca="1">VLOOKUP(表格1[[#This Row],[PO+ITEM]],#REF!,4,FALSE)</f>
        <v>#REF!</v>
      </c>
      <c r="AX505" s="208" t="e" cm="1" vm="1">
        <f t="array" aca="1" ref="AX505" ca="1">VLOOKUP(AI:AI,#REF!,1,FALSE)</f>
        <v>#VALUE!</v>
      </c>
    </row>
    <row r="506" spans="1:50">
      <c r="A506" s="220">
        <v>505</v>
      </c>
      <c r="B506" s="220" t="s">
        <v>3659</v>
      </c>
      <c r="C506" s="209" t="s">
        <v>16</v>
      </c>
      <c r="D506" s="209" t="s">
        <v>3648</v>
      </c>
      <c r="E506" s="209"/>
      <c r="F506" s="209"/>
      <c r="G506" s="209"/>
      <c r="H506" s="210" t="s">
        <v>5001</v>
      </c>
      <c r="I506" s="210"/>
      <c r="J506" s="211"/>
      <c r="K506" s="210"/>
      <c r="L506" s="212" t="s">
        <v>2206</v>
      </c>
      <c r="M506" s="212" t="s">
        <v>2999</v>
      </c>
      <c r="N506" s="213"/>
      <c r="O506" s="263">
        <v>4590006252</v>
      </c>
      <c r="P506" s="214">
        <v>44836</v>
      </c>
      <c r="Q506" s="334">
        <v>3</v>
      </c>
      <c r="R506" s="216">
        <v>2664.88</v>
      </c>
      <c r="S506" s="217" t="s">
        <v>2156</v>
      </c>
      <c r="T506" s="209" t="s">
        <v>4468</v>
      </c>
      <c r="U506" s="209" t="s">
        <v>4469</v>
      </c>
      <c r="V506" s="213" t="s">
        <v>4470</v>
      </c>
      <c r="W506" s="218" t="s">
        <v>3652</v>
      </c>
      <c r="X506" s="218" t="s">
        <v>3652</v>
      </c>
      <c r="Y506" s="212">
        <v>0</v>
      </c>
      <c r="Z506" s="209" t="s">
        <v>3664</v>
      </c>
      <c r="AA506" s="219"/>
      <c r="AB506" s="218"/>
      <c r="AC506" s="217" t="e">
        <v>#N/A</v>
      </c>
      <c r="AD506" s="217">
        <v>91240</v>
      </c>
      <c r="AE506" s="217" t="s">
        <v>5002</v>
      </c>
      <c r="AF506" s="217" t="s">
        <v>4102</v>
      </c>
      <c r="AG506" s="217" t="s">
        <v>846</v>
      </c>
      <c r="AH506" s="220" t="str">
        <f t="shared" si="32"/>
        <v>4590006252_003</v>
      </c>
      <c r="AI506" s="208"/>
      <c r="AJ506" s="220"/>
      <c r="AK506" s="221"/>
      <c r="AL506" s="227"/>
      <c r="AM506" s="208"/>
      <c r="AN506" s="220"/>
      <c r="AO506" s="222"/>
      <c r="AP506" s="227"/>
      <c r="AQ506" s="358">
        <f ca="1">IF(表格1[[#This Row],[PO$]]="","100%",表格1[[#This Row],[total amount]]/表格1[[#This Row],[PO$]])</f>
        <v>0</v>
      </c>
      <c r="AR506" s="223">
        <f ca="1">表格1[[#This Row],[invoice amount]]+表格1[[#This Row],[invoice amount2]]</f>
        <v>0</v>
      </c>
      <c r="AS506" s="224"/>
      <c r="AT506" s="208"/>
      <c r="AU506" s="208" t="e">
        <f ca="1">VLOOKUP(表格1[[#This Row],[PO+ITEM]],#REF!,2,FALSE)</f>
        <v>#REF!</v>
      </c>
      <c r="AV506" s="341" t="e">
        <f ca="1">VLOOKUP(表格1[[#This Row],[PO+ITEM]],#REF!,3,FALSE)</f>
        <v>#REF!</v>
      </c>
      <c r="AW506" s="208" t="e">
        <f ca="1">VLOOKUP(表格1[[#This Row],[PO+ITEM]],#REF!,4,FALSE)</f>
        <v>#REF!</v>
      </c>
      <c r="AX506" s="208" t="e" cm="1" vm="1">
        <f t="array" aca="1" ref="AX506" ca="1">VLOOKUP(AI:AI,#REF!,1,FALSE)</f>
        <v>#VALUE!</v>
      </c>
    </row>
    <row r="507" spans="1:50">
      <c r="A507" s="220">
        <v>506</v>
      </c>
      <c r="B507" s="220" t="s">
        <v>3674</v>
      </c>
      <c r="C507" s="209" t="s">
        <v>16</v>
      </c>
      <c r="D507" s="209" t="s">
        <v>3648</v>
      </c>
      <c r="E507" s="209"/>
      <c r="F507" s="209"/>
      <c r="G507" s="209"/>
      <c r="H507" s="210" t="s">
        <v>5003</v>
      </c>
      <c r="I507" s="210"/>
      <c r="J507" s="211"/>
      <c r="K507" s="210"/>
      <c r="L507" s="212" t="s">
        <v>2206</v>
      </c>
      <c r="M507" s="212" t="s">
        <v>2999</v>
      </c>
      <c r="N507" s="213"/>
      <c r="O507" s="263">
        <v>4590006252</v>
      </c>
      <c r="P507" s="214">
        <v>44836</v>
      </c>
      <c r="Q507" s="334">
        <v>4</v>
      </c>
      <c r="R507" s="216">
        <v>2664.88</v>
      </c>
      <c r="S507" s="217" t="s">
        <v>2156</v>
      </c>
      <c r="T507" s="209" t="s">
        <v>4468</v>
      </c>
      <c r="U507" s="209" t="s">
        <v>4469</v>
      </c>
      <c r="V507" s="213" t="s">
        <v>4470</v>
      </c>
      <c r="W507" s="218" t="s">
        <v>3652</v>
      </c>
      <c r="X507" s="218" t="s">
        <v>3652</v>
      </c>
      <c r="Y507" s="212">
        <v>0</v>
      </c>
      <c r="Z507" s="209" t="s">
        <v>3664</v>
      </c>
      <c r="AA507" s="219"/>
      <c r="AB507" s="218"/>
      <c r="AC507" s="217" t="e">
        <v>#N/A</v>
      </c>
      <c r="AD507" s="217">
        <v>91241</v>
      </c>
      <c r="AE507" s="217" t="s">
        <v>5004</v>
      </c>
      <c r="AF507" s="217" t="s">
        <v>4102</v>
      </c>
      <c r="AG507" s="217" t="s">
        <v>846</v>
      </c>
      <c r="AH507" s="220" t="str">
        <f t="shared" si="32"/>
        <v>4590006252_004</v>
      </c>
      <c r="AI507" s="208"/>
      <c r="AJ507" s="220"/>
      <c r="AK507" s="221"/>
      <c r="AL507" s="227"/>
      <c r="AM507" s="208"/>
      <c r="AN507" s="220"/>
      <c r="AO507" s="222"/>
      <c r="AP507" s="227"/>
      <c r="AQ507" s="358">
        <f ca="1">IF(表格1[[#This Row],[PO$]]="","100%",表格1[[#This Row],[total amount]]/表格1[[#This Row],[PO$]])</f>
        <v>0</v>
      </c>
      <c r="AR507" s="223">
        <f ca="1">表格1[[#This Row],[invoice amount]]+表格1[[#This Row],[invoice amount2]]</f>
        <v>0</v>
      </c>
      <c r="AS507" s="224"/>
      <c r="AT507" s="208"/>
      <c r="AU507" s="208" t="e">
        <f ca="1">VLOOKUP(表格1[[#This Row],[PO+ITEM]],#REF!,2,FALSE)</f>
        <v>#REF!</v>
      </c>
      <c r="AV507" s="341" t="e">
        <f ca="1">VLOOKUP(表格1[[#This Row],[PO+ITEM]],#REF!,3,FALSE)</f>
        <v>#REF!</v>
      </c>
      <c r="AW507" s="208" t="e">
        <f ca="1">VLOOKUP(表格1[[#This Row],[PO+ITEM]],#REF!,4,FALSE)</f>
        <v>#REF!</v>
      </c>
      <c r="AX507" s="208" t="e" cm="1" vm="1">
        <f t="array" aca="1" ref="AX507" ca="1">VLOOKUP(AI:AI,#REF!,1,FALSE)</f>
        <v>#VALUE!</v>
      </c>
    </row>
    <row r="508" spans="1:50">
      <c r="A508" s="220">
        <v>507</v>
      </c>
      <c r="B508" s="220" t="s">
        <v>3674</v>
      </c>
      <c r="C508" s="209" t="s">
        <v>16</v>
      </c>
      <c r="D508" s="209" t="s">
        <v>3648</v>
      </c>
      <c r="E508" s="209"/>
      <c r="F508" s="209"/>
      <c r="G508" s="209"/>
      <c r="H508" s="210" t="s">
        <v>5006</v>
      </c>
      <c r="I508" s="210"/>
      <c r="J508" s="211"/>
      <c r="K508" s="210"/>
      <c r="L508" s="212" t="s">
        <v>2206</v>
      </c>
      <c r="M508" s="212" t="s">
        <v>2999</v>
      </c>
      <c r="N508" s="213"/>
      <c r="O508" s="263">
        <v>4590006252</v>
      </c>
      <c r="P508" s="214">
        <v>44836</v>
      </c>
      <c r="Q508" s="334">
        <v>5</v>
      </c>
      <c r="R508" s="216">
        <v>2664.88</v>
      </c>
      <c r="S508" s="217" t="s">
        <v>2156</v>
      </c>
      <c r="T508" s="209" t="s">
        <v>4468</v>
      </c>
      <c r="U508" s="209" t="s">
        <v>4469</v>
      </c>
      <c r="V508" s="213" t="s">
        <v>4470</v>
      </c>
      <c r="W508" s="218" t="s">
        <v>3652</v>
      </c>
      <c r="X508" s="218" t="s">
        <v>3652</v>
      </c>
      <c r="Y508" s="212">
        <v>0</v>
      </c>
      <c r="Z508" s="209" t="s">
        <v>3664</v>
      </c>
      <c r="AA508" s="219"/>
      <c r="AB508" s="218"/>
      <c r="AC508" s="217" t="e">
        <v>#N/A</v>
      </c>
      <c r="AD508" s="217">
        <v>91242</v>
      </c>
      <c r="AE508" s="217" t="s">
        <v>5007</v>
      </c>
      <c r="AF508" s="217" t="s">
        <v>4102</v>
      </c>
      <c r="AG508" s="217" t="s">
        <v>846</v>
      </c>
      <c r="AH508" s="220" t="str">
        <f t="shared" si="32"/>
        <v>4590006252_005</v>
      </c>
      <c r="AI508" s="208"/>
      <c r="AJ508" s="220"/>
      <c r="AK508" s="221"/>
      <c r="AL508" s="227"/>
      <c r="AM508" s="208"/>
      <c r="AN508" s="220"/>
      <c r="AO508" s="222"/>
      <c r="AP508" s="227"/>
      <c r="AQ508" s="358">
        <f ca="1">IF(表格1[[#This Row],[PO$]]="","100%",表格1[[#This Row],[total amount]]/表格1[[#This Row],[PO$]])</f>
        <v>0</v>
      </c>
      <c r="AR508" s="223">
        <f ca="1">表格1[[#This Row],[invoice amount]]+表格1[[#This Row],[invoice amount2]]</f>
        <v>0</v>
      </c>
      <c r="AS508" s="224"/>
      <c r="AT508" s="208"/>
      <c r="AU508" s="208" t="e">
        <f ca="1">VLOOKUP(表格1[[#This Row],[PO+ITEM]],#REF!,2,FALSE)</f>
        <v>#REF!</v>
      </c>
      <c r="AV508" s="341" t="e">
        <f ca="1">VLOOKUP(表格1[[#This Row],[PO+ITEM]],#REF!,3,FALSE)</f>
        <v>#REF!</v>
      </c>
      <c r="AW508" s="208" t="e">
        <f ca="1">VLOOKUP(表格1[[#This Row],[PO+ITEM]],#REF!,4,FALSE)</f>
        <v>#REF!</v>
      </c>
      <c r="AX508" s="208" t="e" cm="1" vm="1">
        <f t="array" aca="1" ref="AX508" ca="1">VLOOKUP(AI:AI,#REF!,1,FALSE)</f>
        <v>#VALUE!</v>
      </c>
    </row>
    <row r="509" spans="1:50">
      <c r="A509" s="220">
        <v>508</v>
      </c>
      <c r="B509" s="220" t="s">
        <v>3659</v>
      </c>
      <c r="C509" s="209" t="s">
        <v>16</v>
      </c>
      <c r="D509" s="209" t="s">
        <v>3648</v>
      </c>
      <c r="E509" s="209"/>
      <c r="F509" s="209"/>
      <c r="G509" s="209"/>
      <c r="H509" s="210" t="s">
        <v>5008</v>
      </c>
      <c r="I509" s="210"/>
      <c r="J509" s="211"/>
      <c r="K509" s="210"/>
      <c r="L509" s="212" t="s">
        <v>2206</v>
      </c>
      <c r="M509" s="212" t="s">
        <v>2999</v>
      </c>
      <c r="N509" s="213"/>
      <c r="O509" s="263">
        <v>4590006252</v>
      </c>
      <c r="P509" s="214">
        <v>44836</v>
      </c>
      <c r="Q509" s="334">
        <v>6</v>
      </c>
      <c r="R509" s="216">
        <v>2664.88</v>
      </c>
      <c r="S509" s="217" t="s">
        <v>2156</v>
      </c>
      <c r="T509" s="209" t="s">
        <v>4468</v>
      </c>
      <c r="U509" s="209" t="s">
        <v>4469</v>
      </c>
      <c r="V509" s="213" t="s">
        <v>4470</v>
      </c>
      <c r="W509" s="218" t="s">
        <v>3652</v>
      </c>
      <c r="X509" s="218" t="s">
        <v>3652</v>
      </c>
      <c r="Y509" s="212">
        <v>0</v>
      </c>
      <c r="Z509" s="209" t="s">
        <v>3664</v>
      </c>
      <c r="AA509" s="219"/>
      <c r="AB509" s="218"/>
      <c r="AC509" s="217" t="e">
        <v>#N/A</v>
      </c>
      <c r="AD509" s="217">
        <v>91243</v>
      </c>
      <c r="AE509" s="217" t="s">
        <v>5009</v>
      </c>
      <c r="AF509" s="217" t="s">
        <v>4102</v>
      </c>
      <c r="AG509" s="217" t="s">
        <v>846</v>
      </c>
      <c r="AH509" s="220" t="str">
        <f t="shared" si="32"/>
        <v>4590006252_006</v>
      </c>
      <c r="AI509" s="208"/>
      <c r="AJ509" s="220"/>
      <c r="AK509" s="221"/>
      <c r="AL509" s="227"/>
      <c r="AM509" s="208"/>
      <c r="AN509" s="220"/>
      <c r="AO509" s="222"/>
      <c r="AP509" s="227"/>
      <c r="AQ509" s="358">
        <f ca="1">IF(表格1[[#This Row],[PO$]]="","100%",表格1[[#This Row],[total amount]]/表格1[[#This Row],[PO$]])</f>
        <v>0</v>
      </c>
      <c r="AR509" s="223">
        <f ca="1">表格1[[#This Row],[invoice amount]]+表格1[[#This Row],[invoice amount2]]</f>
        <v>0</v>
      </c>
      <c r="AS509" s="224"/>
      <c r="AT509" s="208"/>
      <c r="AU509" s="208" t="e">
        <f ca="1">VLOOKUP(表格1[[#This Row],[PO+ITEM]],#REF!,2,FALSE)</f>
        <v>#REF!</v>
      </c>
      <c r="AV509" s="341" t="e">
        <f ca="1">VLOOKUP(表格1[[#This Row],[PO+ITEM]],#REF!,3,FALSE)</f>
        <v>#REF!</v>
      </c>
      <c r="AW509" s="208" t="e">
        <f ca="1">VLOOKUP(表格1[[#This Row],[PO+ITEM]],#REF!,4,FALSE)</f>
        <v>#REF!</v>
      </c>
      <c r="AX509" s="208" t="e" cm="1" vm="1">
        <f t="array" aca="1" ref="AX509" ca="1">VLOOKUP(AI:AI,#REF!,1,FALSE)</f>
        <v>#VALUE!</v>
      </c>
    </row>
    <row r="510" spans="1:50">
      <c r="A510" s="220">
        <v>509</v>
      </c>
      <c r="B510" s="220" t="s">
        <v>3674</v>
      </c>
      <c r="C510" s="209" t="s">
        <v>16</v>
      </c>
      <c r="D510" s="209" t="s">
        <v>3648</v>
      </c>
      <c r="E510" s="209"/>
      <c r="F510" s="209"/>
      <c r="G510" s="209"/>
      <c r="H510" s="210" t="s">
        <v>5010</v>
      </c>
      <c r="I510" s="210"/>
      <c r="J510" s="211"/>
      <c r="K510" s="210"/>
      <c r="L510" s="212" t="s">
        <v>2206</v>
      </c>
      <c r="M510" s="212" t="s">
        <v>2999</v>
      </c>
      <c r="N510" s="213"/>
      <c r="O510" s="263">
        <v>4590006252</v>
      </c>
      <c r="P510" s="214">
        <v>44836</v>
      </c>
      <c r="Q510" s="334">
        <v>7</v>
      </c>
      <c r="R510" s="216">
        <v>2664.88</v>
      </c>
      <c r="S510" s="217" t="s">
        <v>2156</v>
      </c>
      <c r="T510" s="209" t="s">
        <v>4468</v>
      </c>
      <c r="U510" s="209" t="s">
        <v>4469</v>
      </c>
      <c r="V510" s="213" t="s">
        <v>4470</v>
      </c>
      <c r="W510" s="218" t="s">
        <v>3652</v>
      </c>
      <c r="X510" s="218" t="s">
        <v>3652</v>
      </c>
      <c r="Y510" s="212">
        <v>0</v>
      </c>
      <c r="Z510" s="209" t="s">
        <v>3664</v>
      </c>
      <c r="AA510" s="219"/>
      <c r="AB510" s="218"/>
      <c r="AC510" s="217" t="e">
        <v>#N/A</v>
      </c>
      <c r="AD510" s="217">
        <v>91244</v>
      </c>
      <c r="AE510" s="217" t="s">
        <v>5011</v>
      </c>
      <c r="AF510" s="217" t="s">
        <v>4102</v>
      </c>
      <c r="AG510" s="217" t="s">
        <v>846</v>
      </c>
      <c r="AH510" s="220" t="str">
        <f t="shared" si="32"/>
        <v>4590006252_007</v>
      </c>
      <c r="AI510" s="208"/>
      <c r="AJ510" s="220"/>
      <c r="AK510" s="221"/>
      <c r="AL510" s="227"/>
      <c r="AM510" s="208"/>
      <c r="AN510" s="220"/>
      <c r="AO510" s="222"/>
      <c r="AP510" s="227"/>
      <c r="AQ510" s="358">
        <f ca="1">IF(表格1[[#This Row],[PO$]]="","100%",表格1[[#This Row],[total amount]]/表格1[[#This Row],[PO$]])</f>
        <v>0</v>
      </c>
      <c r="AR510" s="223">
        <f ca="1">表格1[[#This Row],[invoice amount]]+表格1[[#This Row],[invoice amount2]]</f>
        <v>0</v>
      </c>
      <c r="AS510" s="224"/>
      <c r="AT510" s="208"/>
      <c r="AU510" s="208" t="e">
        <f ca="1">VLOOKUP(表格1[[#This Row],[PO+ITEM]],#REF!,2,FALSE)</f>
        <v>#REF!</v>
      </c>
      <c r="AV510" s="341" t="e">
        <f ca="1">VLOOKUP(表格1[[#This Row],[PO+ITEM]],#REF!,3,FALSE)</f>
        <v>#REF!</v>
      </c>
      <c r="AW510" s="208" t="e">
        <f ca="1">VLOOKUP(表格1[[#This Row],[PO+ITEM]],#REF!,4,FALSE)</f>
        <v>#REF!</v>
      </c>
      <c r="AX510" s="208" t="e" cm="1" vm="1">
        <f t="array" aca="1" ref="AX510" ca="1">VLOOKUP(AI:AI,#REF!,1,FALSE)</f>
        <v>#VALUE!</v>
      </c>
    </row>
    <row r="511" spans="1:50" ht="15.6">
      <c r="A511" s="220">
        <v>510</v>
      </c>
      <c r="B511" s="220" t="s">
        <v>3659</v>
      </c>
      <c r="C511" s="209" t="s">
        <v>16</v>
      </c>
      <c r="D511" s="209" t="s">
        <v>3648</v>
      </c>
      <c r="E511" s="209"/>
      <c r="F511" s="209"/>
      <c r="G511" s="209"/>
      <c r="H511" s="210" t="s">
        <v>5012</v>
      </c>
      <c r="I511" s="210"/>
      <c r="J511" s="211"/>
      <c r="K511" s="210"/>
      <c r="L511" s="212" t="s">
        <v>2206</v>
      </c>
      <c r="M511" s="212" t="s">
        <v>2999</v>
      </c>
      <c r="N511" s="213"/>
      <c r="O511" s="263">
        <v>4590006254</v>
      </c>
      <c r="P511" s="214">
        <v>44836</v>
      </c>
      <c r="Q511" s="334">
        <v>1</v>
      </c>
      <c r="R511" s="216">
        <v>1369.77</v>
      </c>
      <c r="S511" s="217" t="s">
        <v>2156</v>
      </c>
      <c r="T511" s="209" t="s">
        <v>3661</v>
      </c>
      <c r="U511" s="209" t="s">
        <v>3662</v>
      </c>
      <c r="V511" s="213" t="s">
        <v>3663</v>
      </c>
      <c r="W511" s="218" t="s">
        <v>3652</v>
      </c>
      <c r="X511" s="218" t="s">
        <v>3652</v>
      </c>
      <c r="Y511" s="212" t="s">
        <v>4482</v>
      </c>
      <c r="Z511" s="209" t="s">
        <v>3664</v>
      </c>
      <c r="AA511" s="219"/>
      <c r="AB511" s="218"/>
      <c r="AC511" s="217" t="e">
        <v>#N/A</v>
      </c>
      <c r="AD511" s="217">
        <v>91416</v>
      </c>
      <c r="AE511" s="217" t="s">
        <v>5013</v>
      </c>
      <c r="AF511" s="217" t="s">
        <v>3665</v>
      </c>
      <c r="AG511" s="217" t="s">
        <v>846</v>
      </c>
      <c r="AH511" s="220" t="str">
        <f t="shared" si="32"/>
        <v>4590006254_001</v>
      </c>
      <c r="AI511" s="208"/>
      <c r="AJ511" s="225">
        <v>45108</v>
      </c>
      <c r="AK511" s="221">
        <v>547.90800000000002</v>
      </c>
      <c r="AL511" s="244">
        <v>45229</v>
      </c>
      <c r="AM511" s="208"/>
      <c r="AN511" s="220"/>
      <c r="AO511" s="222"/>
      <c r="AP511" s="227"/>
      <c r="AQ511" s="358">
        <f ca="1">IF(表格1[[#This Row],[PO$]]="","100%",表格1[[#This Row],[total amount]]/表格1[[#This Row],[PO$]])</f>
        <v>0.4</v>
      </c>
      <c r="AR511" s="223">
        <f ca="1">表格1[[#This Row],[invoice amount]]+表格1[[#This Row],[invoice amount2]]</f>
        <v>547.90800000000002</v>
      </c>
      <c r="AS511" s="224" t="s">
        <v>3673</v>
      </c>
      <c r="AT511" s="208"/>
      <c r="AU511" s="208" t="e">
        <f ca="1">VLOOKUP(表格1[[#This Row],[PO+ITEM]],#REF!,2,FALSE)</f>
        <v>#REF!</v>
      </c>
      <c r="AV511" s="341" t="e">
        <f ca="1">VLOOKUP(表格1[[#This Row],[PO+ITEM]],#REF!,3,FALSE)</f>
        <v>#REF!</v>
      </c>
      <c r="AW511" s="208" t="e">
        <f ca="1">VLOOKUP(表格1[[#This Row],[PO+ITEM]],#REF!,4,FALSE)</f>
        <v>#REF!</v>
      </c>
      <c r="AX511" s="208" t="e" cm="1" vm="1">
        <f t="array" aca="1" ref="AX511" ca="1">VLOOKUP(AI:AI,#REF!,1,FALSE)</f>
        <v>#VALUE!</v>
      </c>
    </row>
    <row r="512" spans="1:50" ht="15.6">
      <c r="A512" s="220">
        <v>511</v>
      </c>
      <c r="B512" s="220" t="s">
        <v>3659</v>
      </c>
      <c r="C512" s="209" t="s">
        <v>16</v>
      </c>
      <c r="D512" s="209" t="s">
        <v>3648</v>
      </c>
      <c r="E512" s="209"/>
      <c r="F512" s="209"/>
      <c r="G512" s="209"/>
      <c r="H512" s="210" t="s">
        <v>5014</v>
      </c>
      <c r="I512" s="210"/>
      <c r="J512" s="211"/>
      <c r="K512" s="210"/>
      <c r="L512" s="212" t="s">
        <v>2999</v>
      </c>
      <c r="M512" s="212" t="s">
        <v>2999</v>
      </c>
      <c r="N512" s="213"/>
      <c r="O512" s="263">
        <v>4590006254</v>
      </c>
      <c r="P512" s="214">
        <v>44836</v>
      </c>
      <c r="Q512" s="334">
        <v>2</v>
      </c>
      <c r="R512" s="216">
        <v>3908.12</v>
      </c>
      <c r="S512" s="217" t="s">
        <v>2156</v>
      </c>
      <c r="T512" s="209" t="s">
        <v>3661</v>
      </c>
      <c r="U512" s="209" t="s">
        <v>3662</v>
      </c>
      <c r="V512" s="213" t="s">
        <v>3663</v>
      </c>
      <c r="W512" s="218" t="s">
        <v>3652</v>
      </c>
      <c r="X512" s="218" t="s">
        <v>3652</v>
      </c>
      <c r="Y512" s="212" t="s">
        <v>4482</v>
      </c>
      <c r="Z512" s="209" t="s">
        <v>3664</v>
      </c>
      <c r="AA512" s="219"/>
      <c r="AB512" s="218"/>
      <c r="AC512" s="217" t="e">
        <v>#N/A</v>
      </c>
      <c r="AD512" s="217">
        <v>91417</v>
      </c>
      <c r="AE512" s="217" t="s">
        <v>5015</v>
      </c>
      <c r="AF512" s="217" t="s">
        <v>3665</v>
      </c>
      <c r="AG512" s="217" t="s">
        <v>3719</v>
      </c>
      <c r="AH512" s="220" t="str">
        <f t="shared" si="32"/>
        <v>4590006254_002</v>
      </c>
      <c r="AI512" s="208"/>
      <c r="AJ512" s="225">
        <v>45108</v>
      </c>
      <c r="AK512" s="221">
        <v>1563.248</v>
      </c>
      <c r="AL512" s="244">
        <v>45229</v>
      </c>
      <c r="AM512" s="208"/>
      <c r="AN512" s="220"/>
      <c r="AO512" s="222"/>
      <c r="AP512" s="227"/>
      <c r="AQ512" s="358">
        <f ca="1">IF(表格1[[#This Row],[PO$]]="","100%",表格1[[#This Row],[total amount]]/表格1[[#This Row],[PO$]])</f>
        <v>0.4</v>
      </c>
      <c r="AR512" s="223">
        <f ca="1">表格1[[#This Row],[invoice amount]]+表格1[[#This Row],[invoice amount2]]</f>
        <v>1563.248</v>
      </c>
      <c r="AS512" s="224" t="s">
        <v>3673</v>
      </c>
      <c r="AT512" s="208"/>
      <c r="AU512" s="208" t="e">
        <f ca="1">VLOOKUP(表格1[[#This Row],[PO+ITEM]],#REF!,2,FALSE)</f>
        <v>#REF!</v>
      </c>
      <c r="AV512" s="341" t="e">
        <f ca="1">VLOOKUP(表格1[[#This Row],[PO+ITEM]],#REF!,3,FALSE)</f>
        <v>#REF!</v>
      </c>
      <c r="AW512" s="208" t="e">
        <f ca="1">VLOOKUP(表格1[[#This Row],[PO+ITEM]],#REF!,4,FALSE)</f>
        <v>#REF!</v>
      </c>
      <c r="AX512" s="208" t="e" cm="1" vm="1">
        <f t="array" aca="1" ref="AX512" ca="1">VLOOKUP(AI:AI,#REF!,1,FALSE)</f>
        <v>#VALUE!</v>
      </c>
    </row>
    <row r="513" spans="1:50" ht="15.6">
      <c r="A513" s="220">
        <v>512</v>
      </c>
      <c r="B513" s="220" t="s">
        <v>3659</v>
      </c>
      <c r="C513" s="209" t="s">
        <v>16</v>
      </c>
      <c r="D513" s="209" t="s">
        <v>3648</v>
      </c>
      <c r="E513" s="209"/>
      <c r="F513" s="209"/>
      <c r="G513" s="209"/>
      <c r="H513" s="210" t="s">
        <v>5016</v>
      </c>
      <c r="I513" s="210"/>
      <c r="J513" s="211"/>
      <c r="K513" s="210"/>
      <c r="L513" s="212" t="s">
        <v>2999</v>
      </c>
      <c r="M513" s="212" t="s">
        <v>2999</v>
      </c>
      <c r="N513" s="213"/>
      <c r="O513" s="263">
        <v>4590006254</v>
      </c>
      <c r="P513" s="214">
        <v>44836</v>
      </c>
      <c r="Q513" s="334">
        <v>3</v>
      </c>
      <c r="R513" s="216">
        <v>3908.12</v>
      </c>
      <c r="S513" s="217" t="s">
        <v>2156</v>
      </c>
      <c r="T513" s="209" t="s">
        <v>3661</v>
      </c>
      <c r="U513" s="209" t="s">
        <v>3662</v>
      </c>
      <c r="V513" s="213" t="s">
        <v>3663</v>
      </c>
      <c r="W513" s="218" t="s">
        <v>3652</v>
      </c>
      <c r="X513" s="218" t="s">
        <v>3652</v>
      </c>
      <c r="Y513" s="212" t="s">
        <v>4482</v>
      </c>
      <c r="Z513" s="209" t="s">
        <v>3664</v>
      </c>
      <c r="AA513" s="219"/>
      <c r="AB513" s="218"/>
      <c r="AC513" s="217" t="e">
        <v>#N/A</v>
      </c>
      <c r="AD513" s="217">
        <v>91418</v>
      </c>
      <c r="AE513" s="217" t="s">
        <v>5017</v>
      </c>
      <c r="AF513" s="217" t="s">
        <v>3665</v>
      </c>
      <c r="AG513" s="217" t="s">
        <v>3719</v>
      </c>
      <c r="AH513" s="220" t="str">
        <f t="shared" si="32"/>
        <v>4590006254_003</v>
      </c>
      <c r="AI513" s="208"/>
      <c r="AJ513" s="225">
        <v>45108</v>
      </c>
      <c r="AK513" s="221">
        <v>1563.248</v>
      </c>
      <c r="AL513" s="258">
        <v>45275</v>
      </c>
      <c r="AM513" s="208"/>
      <c r="AN513" s="220"/>
      <c r="AO513" s="222"/>
      <c r="AP513" s="227"/>
      <c r="AQ513" s="358">
        <f ca="1">IF(表格1[[#This Row],[PO$]]="","100%",表格1[[#This Row],[total amount]]/表格1[[#This Row],[PO$]])</f>
        <v>0.4</v>
      </c>
      <c r="AR513" s="223">
        <f ca="1">表格1[[#This Row],[invoice amount]]+表格1[[#This Row],[invoice amount2]]</f>
        <v>1563.248</v>
      </c>
      <c r="AS513" s="224" t="s">
        <v>3673</v>
      </c>
      <c r="AT513" s="208"/>
      <c r="AU513" s="208" t="e">
        <f ca="1">VLOOKUP(表格1[[#This Row],[PO+ITEM]],#REF!,2,FALSE)</f>
        <v>#REF!</v>
      </c>
      <c r="AV513" s="341" t="e">
        <f ca="1">VLOOKUP(表格1[[#This Row],[PO+ITEM]],#REF!,3,FALSE)</f>
        <v>#REF!</v>
      </c>
      <c r="AW513" s="208" t="e">
        <f ca="1">VLOOKUP(表格1[[#This Row],[PO+ITEM]],#REF!,4,FALSE)</f>
        <v>#REF!</v>
      </c>
      <c r="AX513" s="208" t="e" cm="1" vm="1">
        <f t="array" aca="1" ref="AX513" ca="1">VLOOKUP(AI:AI,#REF!,1,FALSE)</f>
        <v>#VALUE!</v>
      </c>
    </row>
    <row r="514" spans="1:50" ht="15.6">
      <c r="A514" s="220">
        <v>513</v>
      </c>
      <c r="B514" s="220" t="s">
        <v>3659</v>
      </c>
      <c r="C514" s="209" t="s">
        <v>16</v>
      </c>
      <c r="D514" s="209" t="s">
        <v>3648</v>
      </c>
      <c r="E514" s="209"/>
      <c r="F514" s="209"/>
      <c r="G514" s="209"/>
      <c r="H514" s="217" t="s">
        <v>5018</v>
      </c>
      <c r="I514" s="217"/>
      <c r="J514" s="215"/>
      <c r="K514" s="217"/>
      <c r="L514" s="212" t="s">
        <v>2999</v>
      </c>
      <c r="M514" s="212" t="s">
        <v>2999</v>
      </c>
      <c r="N514" s="213"/>
      <c r="O514" s="263">
        <v>4590006254</v>
      </c>
      <c r="P514" s="214">
        <v>44836</v>
      </c>
      <c r="Q514" s="334">
        <v>4</v>
      </c>
      <c r="R514" s="216">
        <v>3908.12</v>
      </c>
      <c r="S514" s="217" t="s">
        <v>2156</v>
      </c>
      <c r="T514" s="209" t="s">
        <v>3661</v>
      </c>
      <c r="U514" s="209" t="s">
        <v>3662</v>
      </c>
      <c r="V514" s="213" t="s">
        <v>3663</v>
      </c>
      <c r="W514" s="218" t="s">
        <v>3652</v>
      </c>
      <c r="X514" s="218" t="s">
        <v>3652</v>
      </c>
      <c r="Y514" s="212" t="s">
        <v>4482</v>
      </c>
      <c r="Z514" s="209" t="s">
        <v>3664</v>
      </c>
      <c r="AA514" s="219"/>
      <c r="AB514" s="218"/>
      <c r="AC514" s="217" t="e">
        <v>#N/A</v>
      </c>
      <c r="AD514" s="217">
        <v>91419</v>
      </c>
      <c r="AE514" s="217" t="s">
        <v>5019</v>
      </c>
      <c r="AF514" s="217" t="s">
        <v>3665</v>
      </c>
      <c r="AG514" s="217" t="s">
        <v>3719</v>
      </c>
      <c r="AH514" s="220" t="str">
        <f t="shared" si="32"/>
        <v>4590006254_004</v>
      </c>
      <c r="AI514" s="208"/>
      <c r="AJ514" s="225">
        <v>45108</v>
      </c>
      <c r="AK514" s="221">
        <v>1563.248</v>
      </c>
      <c r="AL514" s="244">
        <v>45229</v>
      </c>
      <c r="AM514" s="208"/>
      <c r="AN514" s="220"/>
      <c r="AO514" s="222"/>
      <c r="AP514" s="227"/>
      <c r="AQ514" s="358">
        <f ca="1">IF(表格1[[#This Row],[PO$]]="","100%",表格1[[#This Row],[total amount]]/表格1[[#This Row],[PO$]])</f>
        <v>0.4</v>
      </c>
      <c r="AR514" s="223">
        <f ca="1">表格1[[#This Row],[invoice amount]]+表格1[[#This Row],[invoice amount2]]</f>
        <v>1563.248</v>
      </c>
      <c r="AS514" s="224" t="s">
        <v>3673</v>
      </c>
      <c r="AT514" s="208"/>
      <c r="AU514" s="208" t="e">
        <f ca="1">VLOOKUP(表格1[[#This Row],[PO+ITEM]],#REF!,2,FALSE)</f>
        <v>#REF!</v>
      </c>
      <c r="AV514" s="341" t="e">
        <f ca="1">VLOOKUP(表格1[[#This Row],[PO+ITEM]],#REF!,3,FALSE)</f>
        <v>#REF!</v>
      </c>
      <c r="AW514" s="208" t="e">
        <f ca="1">VLOOKUP(表格1[[#This Row],[PO+ITEM]],#REF!,4,FALSE)</f>
        <v>#REF!</v>
      </c>
      <c r="AX514" s="208" t="e" cm="1" vm="1">
        <f t="array" aca="1" ref="AX514" ca="1">VLOOKUP(AI:AI,#REF!,1,FALSE)</f>
        <v>#VALUE!</v>
      </c>
    </row>
    <row r="515" spans="1:50" ht="15.6">
      <c r="A515" s="220">
        <v>514</v>
      </c>
      <c r="B515" s="220" t="s">
        <v>3659</v>
      </c>
      <c r="C515" s="209" t="s">
        <v>16</v>
      </c>
      <c r="D515" s="209" t="s">
        <v>3648</v>
      </c>
      <c r="E515" s="209"/>
      <c r="F515" s="209"/>
      <c r="G515" s="209"/>
      <c r="H515" s="210" t="s">
        <v>5020</v>
      </c>
      <c r="I515" s="210"/>
      <c r="J515" s="211"/>
      <c r="K515" s="210"/>
      <c r="L515" s="212" t="s">
        <v>2999</v>
      </c>
      <c r="M515" s="212" t="s">
        <v>2999</v>
      </c>
      <c r="N515" s="213"/>
      <c r="O515" s="263">
        <v>4590006254</v>
      </c>
      <c r="P515" s="214">
        <v>44836</v>
      </c>
      <c r="Q515" s="334">
        <v>5</v>
      </c>
      <c r="R515" s="216">
        <v>3908.12</v>
      </c>
      <c r="S515" s="217" t="s">
        <v>2156</v>
      </c>
      <c r="T515" s="209" t="s">
        <v>3661</v>
      </c>
      <c r="U515" s="209" t="s">
        <v>3662</v>
      </c>
      <c r="V515" s="213" t="s">
        <v>3663</v>
      </c>
      <c r="W515" s="218" t="s">
        <v>3652</v>
      </c>
      <c r="X515" s="218" t="s">
        <v>3652</v>
      </c>
      <c r="Y515" s="212" t="s">
        <v>4482</v>
      </c>
      <c r="Z515" s="209" t="s">
        <v>3664</v>
      </c>
      <c r="AA515" s="219"/>
      <c r="AB515" s="218"/>
      <c r="AC515" s="217" t="e">
        <v>#N/A</v>
      </c>
      <c r="AD515" s="217">
        <v>91422</v>
      </c>
      <c r="AE515" s="217" t="s">
        <v>5021</v>
      </c>
      <c r="AF515" s="217" t="s">
        <v>3665</v>
      </c>
      <c r="AG515" s="217" t="s">
        <v>3719</v>
      </c>
      <c r="AH515" s="220" t="str">
        <f t="shared" si="32"/>
        <v>4590006254_005</v>
      </c>
      <c r="AI515" s="208"/>
      <c r="AJ515" s="225">
        <v>45108</v>
      </c>
      <c r="AK515" s="221">
        <v>1563.248</v>
      </c>
      <c r="AL515" s="244">
        <v>45229</v>
      </c>
      <c r="AM515" s="208"/>
      <c r="AN515" s="220"/>
      <c r="AO515" s="222"/>
      <c r="AP515" s="227"/>
      <c r="AQ515" s="358">
        <f ca="1">IF(表格1[[#This Row],[PO$]]="","100%",表格1[[#This Row],[total amount]]/表格1[[#This Row],[PO$]])</f>
        <v>0.4</v>
      </c>
      <c r="AR515" s="223">
        <f ca="1">表格1[[#This Row],[invoice amount]]+表格1[[#This Row],[invoice amount2]]</f>
        <v>1563.248</v>
      </c>
      <c r="AS515" s="224" t="s">
        <v>3673</v>
      </c>
      <c r="AT515" s="208"/>
      <c r="AU515" s="208" t="e">
        <f ca="1">VLOOKUP(表格1[[#This Row],[PO+ITEM]],#REF!,2,FALSE)</f>
        <v>#REF!</v>
      </c>
      <c r="AV515" s="341" t="e">
        <f ca="1">VLOOKUP(表格1[[#This Row],[PO+ITEM]],#REF!,3,FALSE)</f>
        <v>#REF!</v>
      </c>
      <c r="AW515" s="208" t="e">
        <f ca="1">VLOOKUP(表格1[[#This Row],[PO+ITEM]],#REF!,4,FALSE)</f>
        <v>#REF!</v>
      </c>
      <c r="AX515" s="208" t="e" cm="1" vm="1">
        <f t="array" aca="1" ref="AX515" ca="1">VLOOKUP(AI:AI,#REF!,1,FALSE)</f>
        <v>#VALUE!</v>
      </c>
    </row>
    <row r="516" spans="1:50" ht="15.6">
      <c r="A516" s="220">
        <v>515</v>
      </c>
      <c r="B516" s="220" t="e">
        <v>#N/A</v>
      </c>
      <c r="C516" s="209" t="s">
        <v>16</v>
      </c>
      <c r="D516" s="209" t="s">
        <v>3648</v>
      </c>
      <c r="E516" s="209"/>
      <c r="F516" s="209"/>
      <c r="G516" s="209"/>
      <c r="H516" s="210" t="s">
        <v>5022</v>
      </c>
      <c r="I516" s="210"/>
      <c r="J516" s="211"/>
      <c r="K516" s="210"/>
      <c r="L516" s="212" t="s">
        <v>2999</v>
      </c>
      <c r="M516" s="212" t="s">
        <v>2999</v>
      </c>
      <c r="N516" s="213"/>
      <c r="O516" s="263">
        <v>4590006254</v>
      </c>
      <c r="P516" s="214">
        <v>44836</v>
      </c>
      <c r="Q516" s="334">
        <v>6</v>
      </c>
      <c r="R516" s="216">
        <v>1369.77</v>
      </c>
      <c r="S516" s="217" t="s">
        <v>2156</v>
      </c>
      <c r="T516" s="209" t="s">
        <v>3661</v>
      </c>
      <c r="U516" s="209" t="s">
        <v>3662</v>
      </c>
      <c r="V516" s="213" t="s">
        <v>3663</v>
      </c>
      <c r="W516" s="218" t="s">
        <v>3652</v>
      </c>
      <c r="X516" s="218" t="s">
        <v>3652</v>
      </c>
      <c r="Y516" s="212" t="s">
        <v>4482</v>
      </c>
      <c r="Z516" s="209" t="s">
        <v>3664</v>
      </c>
      <c r="AA516" s="219"/>
      <c r="AB516" s="218"/>
      <c r="AC516" s="217" t="e">
        <v>#N/A</v>
      </c>
      <c r="AD516" s="217">
        <v>91429</v>
      </c>
      <c r="AE516" s="217" t="s">
        <v>5023</v>
      </c>
      <c r="AF516" s="217" t="s">
        <v>3665</v>
      </c>
      <c r="AG516" s="217" t="s">
        <v>3719</v>
      </c>
      <c r="AH516" s="220" t="str">
        <f t="shared" si="32"/>
        <v>4590006254_006</v>
      </c>
      <c r="AI516" s="208"/>
      <c r="AJ516" s="225">
        <v>45108</v>
      </c>
      <c r="AK516" s="221">
        <v>547.90800000000002</v>
      </c>
      <c r="AL516" s="244">
        <v>45229</v>
      </c>
      <c r="AM516" s="208"/>
      <c r="AN516" s="220"/>
      <c r="AO516" s="222"/>
      <c r="AP516" s="227"/>
      <c r="AQ516" s="358">
        <f ca="1">IF(表格1[[#This Row],[PO$]]="","100%",表格1[[#This Row],[total amount]]/表格1[[#This Row],[PO$]])</f>
        <v>0.4</v>
      </c>
      <c r="AR516" s="223">
        <f ca="1">表格1[[#This Row],[invoice amount]]+表格1[[#This Row],[invoice amount2]]</f>
        <v>547.90800000000002</v>
      </c>
      <c r="AS516" s="224" t="s">
        <v>3673</v>
      </c>
      <c r="AT516" s="208"/>
      <c r="AU516" s="208" t="e">
        <f ca="1">VLOOKUP(表格1[[#This Row],[PO+ITEM]],#REF!,2,FALSE)</f>
        <v>#REF!</v>
      </c>
      <c r="AV516" s="341" t="e">
        <f ca="1">VLOOKUP(表格1[[#This Row],[PO+ITEM]],#REF!,3,FALSE)</f>
        <v>#REF!</v>
      </c>
      <c r="AW516" s="208" t="e">
        <f ca="1">VLOOKUP(表格1[[#This Row],[PO+ITEM]],#REF!,4,FALSE)</f>
        <v>#REF!</v>
      </c>
      <c r="AX516" s="208" t="e" cm="1" vm="1">
        <f t="array" aca="1" ref="AX516" ca="1">VLOOKUP(AI:AI,#REF!,1,FALSE)</f>
        <v>#VALUE!</v>
      </c>
    </row>
    <row r="517" spans="1:50">
      <c r="A517" s="220">
        <v>516</v>
      </c>
      <c r="B517" s="220" t="s">
        <v>3659</v>
      </c>
      <c r="C517" s="209" t="s">
        <v>16</v>
      </c>
      <c r="D517" s="209" t="s">
        <v>3648</v>
      </c>
      <c r="E517" s="209"/>
      <c r="F517" s="209"/>
      <c r="G517" s="209"/>
      <c r="H517" s="210" t="s">
        <v>5024</v>
      </c>
      <c r="I517" s="210"/>
      <c r="J517" s="211"/>
      <c r="K517" s="210"/>
      <c r="L517" s="212" t="s">
        <v>2999</v>
      </c>
      <c r="M517" s="212" t="s">
        <v>2999</v>
      </c>
      <c r="N517" s="213"/>
      <c r="O517" s="263">
        <v>4590006255</v>
      </c>
      <c r="P517" s="214">
        <v>44836</v>
      </c>
      <c r="Q517" s="334">
        <v>1</v>
      </c>
      <c r="R517" s="216">
        <v>2588.64</v>
      </c>
      <c r="S517" s="217" t="s">
        <v>2156</v>
      </c>
      <c r="T517" s="209" t="s">
        <v>3661</v>
      </c>
      <c r="U517" s="209" t="s">
        <v>3662</v>
      </c>
      <c r="V517" s="213" t="s">
        <v>3663</v>
      </c>
      <c r="W517" s="218" t="s">
        <v>3652</v>
      </c>
      <c r="X517" s="218" t="s">
        <v>3652</v>
      </c>
      <c r="Y517" s="212" t="s">
        <v>5025</v>
      </c>
      <c r="Z517" s="209" t="s">
        <v>3664</v>
      </c>
      <c r="AA517" s="219"/>
      <c r="AB517" s="218"/>
      <c r="AC517" s="217" t="e">
        <v>#N/A</v>
      </c>
      <c r="AD517" s="217">
        <v>90949</v>
      </c>
      <c r="AE517" s="217" t="s">
        <v>3210</v>
      </c>
      <c r="AF517" s="217" t="s">
        <v>3665</v>
      </c>
      <c r="AG517" s="217" t="s">
        <v>3666</v>
      </c>
      <c r="AH517" s="220" t="str">
        <f t="shared" si="32"/>
        <v>4590006255_001</v>
      </c>
      <c r="AI517" s="208"/>
      <c r="AJ517" s="225">
        <v>45047</v>
      </c>
      <c r="AK517" s="221">
        <v>1035.46</v>
      </c>
      <c r="AL517" s="227">
        <v>45153</v>
      </c>
      <c r="AM517" s="208"/>
      <c r="AN517" s="220"/>
      <c r="AO517" s="222"/>
      <c r="AP517" s="227"/>
      <c r="AQ517" s="358">
        <f ca="1">IF(表格1[[#This Row],[PO$]]="","100%",表格1[[#This Row],[total amount]]/表格1[[#This Row],[PO$]])</f>
        <v>0.40000154521293035</v>
      </c>
      <c r="AR517" s="223">
        <f ca="1">表格1[[#This Row],[invoice amount]]+表格1[[#This Row],[invoice amount2]]</f>
        <v>1035.46</v>
      </c>
      <c r="AS517" s="224" t="s">
        <v>3673</v>
      </c>
      <c r="AT517" s="208"/>
      <c r="AU517" s="208" t="e">
        <f ca="1">VLOOKUP(表格1[[#This Row],[PO+ITEM]],#REF!,2,FALSE)</f>
        <v>#REF!</v>
      </c>
      <c r="AV517" s="341" t="e">
        <f ca="1">VLOOKUP(表格1[[#This Row],[PO+ITEM]],#REF!,3,FALSE)</f>
        <v>#REF!</v>
      </c>
      <c r="AW517" s="208" t="e">
        <f ca="1">VLOOKUP(表格1[[#This Row],[PO+ITEM]],#REF!,4,FALSE)</f>
        <v>#REF!</v>
      </c>
      <c r="AX517" s="208" t="e" cm="1" vm="1">
        <f t="array" aca="1" ref="AX517" ca="1">VLOOKUP(AI:AI,#REF!,1,FALSE)</f>
        <v>#VALUE!</v>
      </c>
    </row>
    <row r="518" spans="1:50">
      <c r="A518" s="220">
        <v>517</v>
      </c>
      <c r="B518" s="220" t="s">
        <v>3659</v>
      </c>
      <c r="C518" s="209" t="s">
        <v>16</v>
      </c>
      <c r="D518" s="209" t="s">
        <v>3648</v>
      </c>
      <c r="E518" s="209"/>
      <c r="F518" s="209"/>
      <c r="G518" s="209"/>
      <c r="H518" s="217" t="s">
        <v>5026</v>
      </c>
      <c r="I518" s="217"/>
      <c r="J518" s="215"/>
      <c r="K518" s="217"/>
      <c r="L518" s="212" t="s">
        <v>2999</v>
      </c>
      <c r="M518" s="212" t="s">
        <v>2999</v>
      </c>
      <c r="N518" s="213"/>
      <c r="O518" s="263">
        <v>4590006255</v>
      </c>
      <c r="P518" s="214">
        <v>44836</v>
      </c>
      <c r="Q518" s="334">
        <v>2</v>
      </c>
      <c r="R518" s="216">
        <v>2588.64</v>
      </c>
      <c r="S518" s="217" t="s">
        <v>2156</v>
      </c>
      <c r="T518" s="209" t="s">
        <v>3661</v>
      </c>
      <c r="U518" s="209" t="s">
        <v>3662</v>
      </c>
      <c r="V518" s="213" t="s">
        <v>3663</v>
      </c>
      <c r="W518" s="218" t="s">
        <v>3652</v>
      </c>
      <c r="X518" s="218" t="s">
        <v>3652</v>
      </c>
      <c r="Y518" s="212" t="s">
        <v>5025</v>
      </c>
      <c r="Z518" s="209" t="s">
        <v>3664</v>
      </c>
      <c r="AA518" s="219"/>
      <c r="AB518" s="218"/>
      <c r="AC518" s="217" t="e">
        <v>#N/A</v>
      </c>
      <c r="AD518" s="217">
        <v>90951</v>
      </c>
      <c r="AE518" s="217" t="s">
        <v>3212</v>
      </c>
      <c r="AF518" s="217" t="s">
        <v>3665</v>
      </c>
      <c r="AG518" s="217" t="s">
        <v>3666</v>
      </c>
      <c r="AH518" s="220" t="str">
        <f t="shared" si="32"/>
        <v>4590006255_002</v>
      </c>
      <c r="AI518" s="208"/>
      <c r="AJ518" s="225">
        <v>45047</v>
      </c>
      <c r="AK518" s="221">
        <v>1035.46</v>
      </c>
      <c r="AL518" s="227">
        <v>45153</v>
      </c>
      <c r="AM518" s="208"/>
      <c r="AN518" s="220"/>
      <c r="AO518" s="222"/>
      <c r="AP518" s="227"/>
      <c r="AQ518" s="358">
        <f ca="1">IF(表格1[[#This Row],[PO$]]="","100%",表格1[[#This Row],[total amount]]/表格1[[#This Row],[PO$]])</f>
        <v>0.40000154521293035</v>
      </c>
      <c r="AR518" s="223">
        <f ca="1">表格1[[#This Row],[invoice amount]]+表格1[[#This Row],[invoice amount2]]</f>
        <v>1035.46</v>
      </c>
      <c r="AS518" s="224" t="s">
        <v>3673</v>
      </c>
      <c r="AT518" s="208"/>
      <c r="AU518" s="208" t="e">
        <f ca="1">VLOOKUP(表格1[[#This Row],[PO+ITEM]],#REF!,2,FALSE)</f>
        <v>#REF!</v>
      </c>
      <c r="AV518" s="341" t="e">
        <f ca="1">VLOOKUP(表格1[[#This Row],[PO+ITEM]],#REF!,3,FALSE)</f>
        <v>#REF!</v>
      </c>
      <c r="AW518" s="208" t="e">
        <f ca="1">VLOOKUP(表格1[[#This Row],[PO+ITEM]],#REF!,4,FALSE)</f>
        <v>#REF!</v>
      </c>
      <c r="AX518" s="208" t="e" cm="1" vm="1">
        <f t="array" aca="1" ref="AX518" ca="1">VLOOKUP(AI:AI,#REF!,1,FALSE)</f>
        <v>#VALUE!</v>
      </c>
    </row>
    <row r="519" spans="1:50">
      <c r="A519" s="220">
        <v>518</v>
      </c>
      <c r="B519" s="220" t="e">
        <v>#N/A</v>
      </c>
      <c r="C519" s="209" t="s">
        <v>16</v>
      </c>
      <c r="D519" s="209" t="s">
        <v>3648</v>
      </c>
      <c r="E519" s="209"/>
      <c r="F519" s="209"/>
      <c r="G519" s="209"/>
      <c r="H519" s="217" t="s">
        <v>5027</v>
      </c>
      <c r="I519" s="217"/>
      <c r="J519" s="215"/>
      <c r="K519" s="217"/>
      <c r="L519" s="212" t="s">
        <v>2999</v>
      </c>
      <c r="M519" s="212" t="s">
        <v>2999</v>
      </c>
      <c r="N519" s="213"/>
      <c r="O519" s="263">
        <v>4590006255</v>
      </c>
      <c r="P519" s="214">
        <v>44836</v>
      </c>
      <c r="Q519" s="334">
        <v>3</v>
      </c>
      <c r="R519" s="216">
        <v>1319.47</v>
      </c>
      <c r="S519" s="217" t="s">
        <v>2156</v>
      </c>
      <c r="T519" s="209" t="s">
        <v>3661</v>
      </c>
      <c r="U519" s="209" t="s">
        <v>3662</v>
      </c>
      <c r="V519" s="213" t="s">
        <v>3663</v>
      </c>
      <c r="W519" s="218" t="s">
        <v>3652</v>
      </c>
      <c r="X519" s="218" t="s">
        <v>3652</v>
      </c>
      <c r="Y519" s="212" t="s">
        <v>5025</v>
      </c>
      <c r="Z519" s="209" t="s">
        <v>3664</v>
      </c>
      <c r="AA519" s="219"/>
      <c r="AB519" s="218"/>
      <c r="AC519" s="217" t="e">
        <v>#N/A</v>
      </c>
      <c r="AD519" s="217">
        <v>90993</v>
      </c>
      <c r="AE519" s="217" t="s">
        <v>3188</v>
      </c>
      <c r="AF519" s="217" t="s">
        <v>3665</v>
      </c>
      <c r="AG519" s="217" t="s">
        <v>3666</v>
      </c>
      <c r="AH519" s="220" t="str">
        <f t="shared" si="32"/>
        <v>4590006255_003</v>
      </c>
      <c r="AI519" s="208"/>
      <c r="AJ519" s="225">
        <v>45047</v>
      </c>
      <c r="AK519" s="221">
        <v>527.79</v>
      </c>
      <c r="AL519" s="227">
        <v>45153</v>
      </c>
      <c r="AM519" s="208"/>
      <c r="AN519" s="220"/>
      <c r="AO519" s="222"/>
      <c r="AP519" s="227"/>
      <c r="AQ519" s="358">
        <f ca="1">IF(表格1[[#This Row],[PO$]]="","100%",表格1[[#This Row],[total amount]]/表格1[[#This Row],[PO$]])</f>
        <v>0.40000151576011578</v>
      </c>
      <c r="AR519" s="223">
        <f ca="1">表格1[[#This Row],[invoice amount]]+表格1[[#This Row],[invoice amount2]]</f>
        <v>527.79</v>
      </c>
      <c r="AS519" s="224" t="s">
        <v>3673</v>
      </c>
      <c r="AT519" s="208"/>
      <c r="AU519" s="208" t="e">
        <f ca="1">VLOOKUP(表格1[[#This Row],[PO+ITEM]],#REF!,2,FALSE)</f>
        <v>#REF!</v>
      </c>
      <c r="AV519" s="341" t="e">
        <f ca="1">VLOOKUP(表格1[[#This Row],[PO+ITEM]],#REF!,3,FALSE)</f>
        <v>#REF!</v>
      </c>
      <c r="AW519" s="208" t="e">
        <f ca="1">VLOOKUP(表格1[[#This Row],[PO+ITEM]],#REF!,4,FALSE)</f>
        <v>#REF!</v>
      </c>
      <c r="AX519" s="208" t="e" cm="1" vm="1">
        <f t="array" aca="1" ref="AX519" ca="1">VLOOKUP(AI:AI,#REF!,1,FALSE)</f>
        <v>#VALUE!</v>
      </c>
    </row>
    <row r="520" spans="1:50">
      <c r="A520" s="220">
        <v>519</v>
      </c>
      <c r="B520" s="220" t="s">
        <v>3659</v>
      </c>
      <c r="C520" s="209" t="s">
        <v>16</v>
      </c>
      <c r="D520" s="209" t="s">
        <v>3648</v>
      </c>
      <c r="E520" s="209"/>
      <c r="F520" s="209"/>
      <c r="G520" s="209"/>
      <c r="H520" s="210" t="s">
        <v>5028</v>
      </c>
      <c r="I520" s="210"/>
      <c r="J520" s="211"/>
      <c r="K520" s="210"/>
      <c r="L520" s="212" t="s">
        <v>2206</v>
      </c>
      <c r="M520" s="212" t="s">
        <v>2999</v>
      </c>
      <c r="N520" s="213"/>
      <c r="O520" s="263">
        <v>4590006255</v>
      </c>
      <c r="P520" s="214">
        <v>44836</v>
      </c>
      <c r="Q520" s="334">
        <v>4</v>
      </c>
      <c r="R520" s="216">
        <v>1369.77</v>
      </c>
      <c r="S520" s="217" t="s">
        <v>2156</v>
      </c>
      <c r="T520" s="209" t="s">
        <v>3661</v>
      </c>
      <c r="U520" s="209" t="s">
        <v>3662</v>
      </c>
      <c r="V520" s="213" t="s">
        <v>3663</v>
      </c>
      <c r="W520" s="218" t="s">
        <v>3652</v>
      </c>
      <c r="X520" s="218" t="s">
        <v>3652</v>
      </c>
      <c r="Y520" s="212" t="s">
        <v>5025</v>
      </c>
      <c r="Z520" s="209" t="s">
        <v>3664</v>
      </c>
      <c r="AA520" s="219"/>
      <c r="AB520" s="218"/>
      <c r="AC520" s="217" t="e">
        <v>#N/A</v>
      </c>
      <c r="AD520" s="217">
        <v>90997</v>
      </c>
      <c r="AE520" s="217" t="s">
        <v>5029</v>
      </c>
      <c r="AF520" s="217" t="s">
        <v>3665</v>
      </c>
      <c r="AG520" s="217" t="s">
        <v>846</v>
      </c>
      <c r="AH520" s="220" t="str">
        <f t="shared" si="32"/>
        <v>4590006255_004</v>
      </c>
      <c r="AI520" s="208"/>
      <c r="AJ520" s="225">
        <v>45108</v>
      </c>
      <c r="AK520" s="221">
        <v>547.91</v>
      </c>
      <c r="AL520" s="227">
        <v>45212</v>
      </c>
      <c r="AM520" s="208"/>
      <c r="AN520" s="220"/>
      <c r="AO520" s="222"/>
      <c r="AP520" s="227"/>
      <c r="AQ520" s="358">
        <f ca="1">IF(表格1[[#This Row],[PO$]]="","100%",表格1[[#This Row],[total amount]]/表格1[[#This Row],[PO$]])</f>
        <v>0.40000146009914073</v>
      </c>
      <c r="AR520" s="223">
        <f ca="1">表格1[[#This Row],[invoice amount]]+表格1[[#This Row],[invoice amount2]]</f>
        <v>547.91</v>
      </c>
      <c r="AS520" s="224" t="s">
        <v>3673</v>
      </c>
      <c r="AT520" s="208"/>
      <c r="AU520" s="208" t="e">
        <f ca="1">VLOOKUP(表格1[[#This Row],[PO+ITEM]],#REF!,2,FALSE)</f>
        <v>#REF!</v>
      </c>
      <c r="AV520" s="341" t="e">
        <f ca="1">VLOOKUP(表格1[[#This Row],[PO+ITEM]],#REF!,3,FALSE)</f>
        <v>#REF!</v>
      </c>
      <c r="AW520" s="208" t="e">
        <f ca="1">VLOOKUP(表格1[[#This Row],[PO+ITEM]],#REF!,4,FALSE)</f>
        <v>#REF!</v>
      </c>
      <c r="AX520" s="208" t="e" cm="1" vm="1">
        <f t="array" aca="1" ref="AX520" ca="1">VLOOKUP(AI:AI,#REF!,1,FALSE)</f>
        <v>#VALUE!</v>
      </c>
    </row>
    <row r="521" spans="1:50">
      <c r="A521" s="220">
        <v>520</v>
      </c>
      <c r="B521" s="220" t="s">
        <v>3659</v>
      </c>
      <c r="C521" s="209" t="s">
        <v>16</v>
      </c>
      <c r="D521" s="209" t="s">
        <v>3648</v>
      </c>
      <c r="E521" s="209"/>
      <c r="F521" s="209"/>
      <c r="G521" s="209"/>
      <c r="H521" s="210" t="s">
        <v>5030</v>
      </c>
      <c r="I521" s="210"/>
      <c r="J521" s="211"/>
      <c r="K521" s="210"/>
      <c r="L521" s="212" t="s">
        <v>2999</v>
      </c>
      <c r="M521" s="212" t="s">
        <v>2999</v>
      </c>
      <c r="N521" s="213"/>
      <c r="O521" s="263">
        <v>4590006255</v>
      </c>
      <c r="P521" s="214">
        <v>44836</v>
      </c>
      <c r="Q521" s="334">
        <v>5</v>
      </c>
      <c r="R521" s="216">
        <v>2588.64</v>
      </c>
      <c r="S521" s="217" t="s">
        <v>2156</v>
      </c>
      <c r="T521" s="209" t="s">
        <v>3661</v>
      </c>
      <c r="U521" s="209" t="s">
        <v>3662</v>
      </c>
      <c r="V521" s="213" t="s">
        <v>3663</v>
      </c>
      <c r="W521" s="218" t="s">
        <v>3652</v>
      </c>
      <c r="X521" s="218" t="s">
        <v>3652</v>
      </c>
      <c r="Y521" s="212" t="s">
        <v>5025</v>
      </c>
      <c r="Z521" s="209" t="s">
        <v>3664</v>
      </c>
      <c r="AA521" s="219"/>
      <c r="AB521" s="218"/>
      <c r="AC521" s="217" t="e">
        <v>#N/A</v>
      </c>
      <c r="AD521" s="217">
        <v>90998</v>
      </c>
      <c r="AE521" s="217" t="s">
        <v>3224</v>
      </c>
      <c r="AF521" s="217" t="s">
        <v>3665</v>
      </c>
      <c r="AG521" s="217" t="s">
        <v>3666</v>
      </c>
      <c r="AH521" s="220" t="str">
        <f t="shared" si="32"/>
        <v>4590006255_005</v>
      </c>
      <c r="AI521" s="208"/>
      <c r="AJ521" s="225">
        <v>45047</v>
      </c>
      <c r="AK521" s="221">
        <v>1035.46</v>
      </c>
      <c r="AL521" s="227">
        <v>45153</v>
      </c>
      <c r="AM521" s="208"/>
      <c r="AN521" s="220"/>
      <c r="AO521" s="222"/>
      <c r="AP521" s="227"/>
      <c r="AQ521" s="358">
        <f ca="1">IF(表格1[[#This Row],[PO$]]="","100%",表格1[[#This Row],[total amount]]/表格1[[#This Row],[PO$]])</f>
        <v>0.40000154521293035</v>
      </c>
      <c r="AR521" s="223">
        <f ca="1">表格1[[#This Row],[invoice amount]]+表格1[[#This Row],[invoice amount2]]</f>
        <v>1035.46</v>
      </c>
      <c r="AS521" s="224" t="s">
        <v>3673</v>
      </c>
      <c r="AT521" s="208"/>
      <c r="AU521" s="208" t="e">
        <f ca="1">VLOOKUP(表格1[[#This Row],[PO+ITEM]],#REF!,2,FALSE)</f>
        <v>#REF!</v>
      </c>
      <c r="AV521" s="341" t="e">
        <f ca="1">VLOOKUP(表格1[[#This Row],[PO+ITEM]],#REF!,3,FALSE)</f>
        <v>#REF!</v>
      </c>
      <c r="AW521" s="208" t="e">
        <f ca="1">VLOOKUP(表格1[[#This Row],[PO+ITEM]],#REF!,4,FALSE)</f>
        <v>#REF!</v>
      </c>
      <c r="AX521" s="208" t="e" cm="1" vm="1">
        <f t="array" aca="1" ref="AX521" ca="1">VLOOKUP(AI:AI,#REF!,1,FALSE)</f>
        <v>#VALUE!</v>
      </c>
    </row>
    <row r="522" spans="1:50">
      <c r="A522" s="220">
        <v>521</v>
      </c>
      <c r="B522" s="220" t="s">
        <v>3659</v>
      </c>
      <c r="C522" s="209" t="s">
        <v>16</v>
      </c>
      <c r="D522" s="209" t="s">
        <v>3648</v>
      </c>
      <c r="E522" s="209"/>
      <c r="F522" s="209"/>
      <c r="G522" s="209"/>
      <c r="H522" s="210" t="s">
        <v>5031</v>
      </c>
      <c r="I522" s="210"/>
      <c r="J522" s="211"/>
      <c r="K522" s="210"/>
      <c r="L522" s="212" t="s">
        <v>2206</v>
      </c>
      <c r="M522" s="212" t="s">
        <v>2999</v>
      </c>
      <c r="N522" s="213"/>
      <c r="O522" s="263">
        <v>4590006255</v>
      </c>
      <c r="P522" s="214">
        <v>44836</v>
      </c>
      <c r="Q522" s="334">
        <v>6</v>
      </c>
      <c r="R522" s="216">
        <v>3806.44</v>
      </c>
      <c r="S522" s="217" t="s">
        <v>2156</v>
      </c>
      <c r="T522" s="209" t="s">
        <v>3661</v>
      </c>
      <c r="U522" s="209" t="s">
        <v>3662</v>
      </c>
      <c r="V522" s="213" t="s">
        <v>3663</v>
      </c>
      <c r="W522" s="218" t="s">
        <v>3652</v>
      </c>
      <c r="X522" s="218" t="s">
        <v>3652</v>
      </c>
      <c r="Y522" s="212" t="s">
        <v>5032</v>
      </c>
      <c r="Z522" s="209" t="s">
        <v>3664</v>
      </c>
      <c r="AA522" s="219"/>
      <c r="AB522" s="218"/>
      <c r="AC522" s="217" t="e">
        <v>#N/A</v>
      </c>
      <c r="AD522" s="217">
        <v>91233</v>
      </c>
      <c r="AE522" s="217" t="s">
        <v>5033</v>
      </c>
      <c r="AF522" s="217" t="s">
        <v>3665</v>
      </c>
      <c r="AG522" s="217" t="s">
        <v>846</v>
      </c>
      <c r="AH522" s="220" t="str">
        <f t="shared" si="32"/>
        <v>4590006255_006</v>
      </c>
      <c r="AI522" s="208"/>
      <c r="AJ522" s="220"/>
      <c r="AK522" s="221"/>
      <c r="AL522" s="227"/>
      <c r="AM522" s="208"/>
      <c r="AN522" s="220"/>
      <c r="AO522" s="222"/>
      <c r="AP522" s="227"/>
      <c r="AQ522" s="358">
        <f ca="1">IF(表格1[[#This Row],[PO$]]="","100%",表格1[[#This Row],[total amount]]/表格1[[#This Row],[PO$]])</f>
        <v>0</v>
      </c>
      <c r="AR522" s="223">
        <f ca="1">表格1[[#This Row],[invoice amount]]+表格1[[#This Row],[invoice amount2]]</f>
        <v>0</v>
      </c>
      <c r="AS522" s="224"/>
      <c r="AT522" s="208"/>
      <c r="AU522" s="208" t="e">
        <f ca="1">VLOOKUP(表格1[[#This Row],[PO+ITEM]],#REF!,2,FALSE)</f>
        <v>#REF!</v>
      </c>
      <c r="AV522" s="341" t="e">
        <f ca="1">VLOOKUP(表格1[[#This Row],[PO+ITEM]],#REF!,3,FALSE)</f>
        <v>#REF!</v>
      </c>
      <c r="AW522" s="208" t="e">
        <f ca="1">VLOOKUP(表格1[[#This Row],[PO+ITEM]],#REF!,4,FALSE)</f>
        <v>#REF!</v>
      </c>
      <c r="AX522" s="208" t="e" cm="1" vm="1">
        <f t="array" aca="1" ref="AX522" ca="1">VLOOKUP(AI:AI,#REF!,1,FALSE)</f>
        <v>#VALUE!</v>
      </c>
    </row>
    <row r="523" spans="1:50">
      <c r="A523" s="220">
        <v>522</v>
      </c>
      <c r="B523" s="220" t="s">
        <v>3659</v>
      </c>
      <c r="C523" s="209" t="s">
        <v>16</v>
      </c>
      <c r="D523" s="209" t="s">
        <v>3648</v>
      </c>
      <c r="E523" s="209"/>
      <c r="F523" s="209"/>
      <c r="G523" s="209"/>
      <c r="H523" s="210" t="s">
        <v>5034</v>
      </c>
      <c r="I523" s="210"/>
      <c r="J523" s="211"/>
      <c r="K523" s="210"/>
      <c r="L523" s="212" t="s">
        <v>2206</v>
      </c>
      <c r="M523" s="212" t="s">
        <v>2999</v>
      </c>
      <c r="N523" s="213"/>
      <c r="O523" s="263">
        <v>4590006255</v>
      </c>
      <c r="P523" s="214">
        <v>44836</v>
      </c>
      <c r="Q523" s="334">
        <v>7</v>
      </c>
      <c r="R523" s="216">
        <v>3806.44</v>
      </c>
      <c r="S523" s="217" t="s">
        <v>2156</v>
      </c>
      <c r="T523" s="209" t="s">
        <v>3661</v>
      </c>
      <c r="U523" s="209" t="s">
        <v>3662</v>
      </c>
      <c r="V523" s="213" t="s">
        <v>3663</v>
      </c>
      <c r="W523" s="218" t="s">
        <v>3652</v>
      </c>
      <c r="X523" s="218" t="s">
        <v>3652</v>
      </c>
      <c r="Y523" s="212" t="s">
        <v>5032</v>
      </c>
      <c r="Z523" s="209" t="s">
        <v>3664</v>
      </c>
      <c r="AA523" s="219"/>
      <c r="AB523" s="218"/>
      <c r="AC523" s="217" t="e">
        <v>#N/A</v>
      </c>
      <c r="AD523" s="217">
        <v>91234</v>
      </c>
      <c r="AE523" s="217" t="s">
        <v>5035</v>
      </c>
      <c r="AF523" s="217" t="s">
        <v>3665</v>
      </c>
      <c r="AG523" s="217" t="s">
        <v>846</v>
      </c>
      <c r="AH523" s="220" t="str">
        <f t="shared" si="32"/>
        <v>4590006255_007</v>
      </c>
      <c r="AI523" s="208"/>
      <c r="AJ523" s="220"/>
      <c r="AK523" s="221"/>
      <c r="AL523" s="227"/>
      <c r="AM523" s="208"/>
      <c r="AN523" s="220"/>
      <c r="AO523" s="222"/>
      <c r="AP523" s="227"/>
      <c r="AQ523" s="358">
        <f ca="1">IF(表格1[[#This Row],[PO$]]="","100%",表格1[[#This Row],[total amount]]/表格1[[#This Row],[PO$]])</f>
        <v>0</v>
      </c>
      <c r="AR523" s="223">
        <f ca="1">表格1[[#This Row],[invoice amount]]+表格1[[#This Row],[invoice amount2]]</f>
        <v>0</v>
      </c>
      <c r="AS523" s="224"/>
      <c r="AT523" s="208"/>
      <c r="AU523" s="208" t="e">
        <f ca="1">VLOOKUP(表格1[[#This Row],[PO+ITEM]],#REF!,2,FALSE)</f>
        <v>#REF!</v>
      </c>
      <c r="AV523" s="341" t="e">
        <f ca="1">VLOOKUP(表格1[[#This Row],[PO+ITEM]],#REF!,3,FALSE)</f>
        <v>#REF!</v>
      </c>
      <c r="AW523" s="208" t="e">
        <f ca="1">VLOOKUP(表格1[[#This Row],[PO+ITEM]],#REF!,4,FALSE)</f>
        <v>#REF!</v>
      </c>
      <c r="AX523" s="208" t="e" cm="1" vm="1">
        <f t="array" aca="1" ref="AX523" ca="1">VLOOKUP(AI:AI,#REF!,1,FALSE)</f>
        <v>#VALUE!</v>
      </c>
    </row>
    <row r="524" spans="1:50">
      <c r="A524" s="220">
        <v>523</v>
      </c>
      <c r="B524" s="220" t="s">
        <v>3659</v>
      </c>
      <c r="C524" s="209" t="s">
        <v>16</v>
      </c>
      <c r="D524" s="209" t="s">
        <v>3648</v>
      </c>
      <c r="E524" s="209"/>
      <c r="F524" s="209"/>
      <c r="G524" s="209"/>
      <c r="H524" s="210" t="s">
        <v>5036</v>
      </c>
      <c r="I524" s="210"/>
      <c r="J524" s="211"/>
      <c r="K524" s="210"/>
      <c r="L524" s="212" t="s">
        <v>2206</v>
      </c>
      <c r="M524" s="212" t="s">
        <v>2999</v>
      </c>
      <c r="N524" s="213"/>
      <c r="O524" s="263">
        <v>4590006255</v>
      </c>
      <c r="P524" s="214">
        <v>44836</v>
      </c>
      <c r="Q524" s="334">
        <v>8</v>
      </c>
      <c r="R524" s="216">
        <v>3806.44</v>
      </c>
      <c r="S524" s="217" t="s">
        <v>2156</v>
      </c>
      <c r="T524" s="209" t="s">
        <v>3661</v>
      </c>
      <c r="U524" s="209" t="s">
        <v>3662</v>
      </c>
      <c r="V524" s="213" t="s">
        <v>3663</v>
      </c>
      <c r="W524" s="218" t="s">
        <v>3652</v>
      </c>
      <c r="X524" s="218" t="s">
        <v>3652</v>
      </c>
      <c r="Y524" s="212" t="s">
        <v>5032</v>
      </c>
      <c r="Z524" s="209" t="s">
        <v>3664</v>
      </c>
      <c r="AA524" s="219"/>
      <c r="AB524" s="218"/>
      <c r="AC524" s="217" t="e">
        <v>#N/A</v>
      </c>
      <c r="AD524" s="217">
        <v>91236</v>
      </c>
      <c r="AE524" s="217" t="s">
        <v>5037</v>
      </c>
      <c r="AF524" s="217" t="s">
        <v>3665</v>
      </c>
      <c r="AG524" s="217" t="s">
        <v>846</v>
      </c>
      <c r="AH524" s="220" t="str">
        <f t="shared" si="32"/>
        <v>4590006255_008</v>
      </c>
      <c r="AI524" s="208"/>
      <c r="AJ524" s="220"/>
      <c r="AK524" s="221"/>
      <c r="AL524" s="227"/>
      <c r="AM524" s="208"/>
      <c r="AN524" s="220"/>
      <c r="AO524" s="222"/>
      <c r="AP524" s="227"/>
      <c r="AQ524" s="358">
        <f ca="1">IF(表格1[[#This Row],[PO$]]="","100%",表格1[[#This Row],[total amount]]/表格1[[#This Row],[PO$]])</f>
        <v>0</v>
      </c>
      <c r="AR524" s="223">
        <f ca="1">表格1[[#This Row],[invoice amount]]+表格1[[#This Row],[invoice amount2]]</f>
        <v>0</v>
      </c>
      <c r="AS524" s="224"/>
      <c r="AT524" s="208"/>
      <c r="AU524" s="208" t="e">
        <f ca="1">VLOOKUP(表格1[[#This Row],[PO+ITEM]],#REF!,2,FALSE)</f>
        <v>#REF!</v>
      </c>
      <c r="AV524" s="341" t="e">
        <f ca="1">VLOOKUP(表格1[[#This Row],[PO+ITEM]],#REF!,3,FALSE)</f>
        <v>#REF!</v>
      </c>
      <c r="AW524" s="208" t="e">
        <f ca="1">VLOOKUP(表格1[[#This Row],[PO+ITEM]],#REF!,4,FALSE)</f>
        <v>#REF!</v>
      </c>
      <c r="AX524" s="208" t="e" cm="1" vm="1">
        <f t="array" aca="1" ref="AX524" ca="1">VLOOKUP(AI:AI,#REF!,1,FALSE)</f>
        <v>#VALUE!</v>
      </c>
    </row>
    <row r="525" spans="1:50">
      <c r="A525" s="220">
        <v>524</v>
      </c>
      <c r="B525" s="220" t="s">
        <v>3659</v>
      </c>
      <c r="C525" s="209" t="s">
        <v>16</v>
      </c>
      <c r="D525" s="209" t="s">
        <v>3648</v>
      </c>
      <c r="E525" s="209"/>
      <c r="F525" s="209"/>
      <c r="G525" s="209"/>
      <c r="H525" s="210" t="s">
        <v>5038</v>
      </c>
      <c r="I525" s="210"/>
      <c r="J525" s="211"/>
      <c r="K525" s="210"/>
      <c r="L525" s="212" t="s">
        <v>2999</v>
      </c>
      <c r="M525" s="212" t="s">
        <v>2999</v>
      </c>
      <c r="N525" s="213"/>
      <c r="O525" s="263">
        <v>4590006255</v>
      </c>
      <c r="P525" s="214">
        <v>44836</v>
      </c>
      <c r="Q525" s="334">
        <v>9</v>
      </c>
      <c r="R525" s="216">
        <v>2588.64</v>
      </c>
      <c r="S525" s="217" t="s">
        <v>2156</v>
      </c>
      <c r="T525" s="209" t="s">
        <v>3661</v>
      </c>
      <c r="U525" s="209" t="s">
        <v>3662</v>
      </c>
      <c r="V525" s="213" t="s">
        <v>3663</v>
      </c>
      <c r="W525" s="218" t="s">
        <v>3652</v>
      </c>
      <c r="X525" s="218" t="s">
        <v>3652</v>
      </c>
      <c r="Y525" s="212" t="s">
        <v>5025</v>
      </c>
      <c r="Z525" s="209" t="s">
        <v>3664</v>
      </c>
      <c r="AA525" s="219"/>
      <c r="AB525" s="218"/>
      <c r="AC525" s="217" t="e">
        <v>#N/A</v>
      </c>
      <c r="AD525" s="217">
        <v>91298</v>
      </c>
      <c r="AE525" s="217" t="s">
        <v>3228</v>
      </c>
      <c r="AF525" s="217" t="s">
        <v>3665</v>
      </c>
      <c r="AG525" s="217" t="s">
        <v>3666</v>
      </c>
      <c r="AH525" s="220" t="str">
        <f t="shared" si="32"/>
        <v>4590006255_009</v>
      </c>
      <c r="AI525" s="208"/>
      <c r="AJ525" s="225">
        <v>45047</v>
      </c>
      <c r="AK525" s="221">
        <v>1035.46</v>
      </c>
      <c r="AL525" s="227">
        <v>45153</v>
      </c>
      <c r="AM525" s="208"/>
      <c r="AN525" s="220"/>
      <c r="AO525" s="222"/>
      <c r="AP525" s="227"/>
      <c r="AQ525" s="358">
        <f ca="1">IF(表格1[[#This Row],[PO$]]="","100%",表格1[[#This Row],[total amount]]/表格1[[#This Row],[PO$]])</f>
        <v>0.40000154521293035</v>
      </c>
      <c r="AR525" s="223">
        <f ca="1">表格1[[#This Row],[invoice amount]]+表格1[[#This Row],[invoice amount2]]</f>
        <v>1035.46</v>
      </c>
      <c r="AS525" s="224" t="s">
        <v>3673</v>
      </c>
      <c r="AT525" s="208"/>
      <c r="AU525" s="208" t="e">
        <f ca="1">VLOOKUP(表格1[[#This Row],[PO+ITEM]],#REF!,2,FALSE)</f>
        <v>#REF!</v>
      </c>
      <c r="AV525" s="341" t="e">
        <f ca="1">VLOOKUP(表格1[[#This Row],[PO+ITEM]],#REF!,3,FALSE)</f>
        <v>#REF!</v>
      </c>
      <c r="AW525" s="208" t="e">
        <f ca="1">VLOOKUP(表格1[[#This Row],[PO+ITEM]],#REF!,4,FALSE)</f>
        <v>#REF!</v>
      </c>
      <c r="AX525" s="208" t="e" cm="1" vm="1">
        <f t="array" aca="1" ref="AX525" ca="1">VLOOKUP(AI:AI,#REF!,1,FALSE)</f>
        <v>#VALUE!</v>
      </c>
    </row>
    <row r="526" spans="1:50">
      <c r="A526" s="220">
        <v>525</v>
      </c>
      <c r="B526" s="220" t="s">
        <v>3659</v>
      </c>
      <c r="C526" s="209" t="s">
        <v>16</v>
      </c>
      <c r="D526" s="209" t="s">
        <v>3648</v>
      </c>
      <c r="E526" s="209"/>
      <c r="F526" s="209"/>
      <c r="G526" s="209"/>
      <c r="H526" s="217" t="s">
        <v>5039</v>
      </c>
      <c r="I526" s="217"/>
      <c r="J526" s="215"/>
      <c r="K526" s="217"/>
      <c r="L526" s="212" t="s">
        <v>2999</v>
      </c>
      <c r="M526" s="212" t="s">
        <v>2999</v>
      </c>
      <c r="N526" s="213"/>
      <c r="O526" s="263">
        <v>4590006255</v>
      </c>
      <c r="P526" s="214">
        <v>44836</v>
      </c>
      <c r="Q526" s="334">
        <v>10</v>
      </c>
      <c r="R526" s="216">
        <v>2588.64</v>
      </c>
      <c r="S526" s="217" t="s">
        <v>2156</v>
      </c>
      <c r="T526" s="209" t="s">
        <v>3661</v>
      </c>
      <c r="U526" s="209" t="s">
        <v>3662</v>
      </c>
      <c r="V526" s="213" t="s">
        <v>3663</v>
      </c>
      <c r="W526" s="218" t="s">
        <v>3652</v>
      </c>
      <c r="X526" s="218" t="s">
        <v>3652</v>
      </c>
      <c r="Y526" s="212" t="s">
        <v>5025</v>
      </c>
      <c r="Z526" s="209" t="s">
        <v>3664</v>
      </c>
      <c r="AA526" s="219"/>
      <c r="AB526" s="218"/>
      <c r="AC526" s="217" t="e">
        <v>#N/A</v>
      </c>
      <c r="AD526" s="217">
        <v>91302</v>
      </c>
      <c r="AE526" s="217" t="s">
        <v>3226</v>
      </c>
      <c r="AF526" s="217" t="s">
        <v>3665</v>
      </c>
      <c r="AG526" s="217" t="s">
        <v>3666</v>
      </c>
      <c r="AH526" s="220" t="str">
        <f t="shared" ref="AH526:AH539" si="33">O526&amp;"_0"&amp;Q526</f>
        <v>4590006255_010</v>
      </c>
      <c r="AI526" s="208"/>
      <c r="AJ526" s="225">
        <v>45047</v>
      </c>
      <c r="AK526" s="221">
        <v>1035.46</v>
      </c>
      <c r="AL526" s="227">
        <v>45153</v>
      </c>
      <c r="AM526" s="208"/>
      <c r="AN526" s="220"/>
      <c r="AO526" s="222"/>
      <c r="AP526" s="227"/>
      <c r="AQ526" s="358">
        <f ca="1">IF(表格1[[#This Row],[PO$]]="","100%",表格1[[#This Row],[total amount]]/表格1[[#This Row],[PO$]])</f>
        <v>0.40000154521293035</v>
      </c>
      <c r="AR526" s="223">
        <f ca="1">表格1[[#This Row],[invoice amount]]+表格1[[#This Row],[invoice amount2]]</f>
        <v>1035.46</v>
      </c>
      <c r="AS526" s="224" t="s">
        <v>3673</v>
      </c>
      <c r="AT526" s="208"/>
      <c r="AU526" s="208" t="e">
        <f ca="1">VLOOKUP(表格1[[#This Row],[PO+ITEM]],#REF!,2,FALSE)</f>
        <v>#REF!</v>
      </c>
      <c r="AV526" s="341" t="e">
        <f ca="1">VLOOKUP(表格1[[#This Row],[PO+ITEM]],#REF!,3,FALSE)</f>
        <v>#REF!</v>
      </c>
      <c r="AW526" s="208" t="e">
        <f ca="1">VLOOKUP(表格1[[#This Row],[PO+ITEM]],#REF!,4,FALSE)</f>
        <v>#REF!</v>
      </c>
      <c r="AX526" s="208" t="e" cm="1" vm="1">
        <f t="array" aca="1" ref="AX526" ca="1">VLOOKUP(AI:AI,#REF!,1,FALSE)</f>
        <v>#VALUE!</v>
      </c>
    </row>
    <row r="527" spans="1:50">
      <c r="A527" s="220">
        <v>526</v>
      </c>
      <c r="B527" s="220" t="s">
        <v>3659</v>
      </c>
      <c r="C527" s="209" t="s">
        <v>16</v>
      </c>
      <c r="D527" s="209" t="s">
        <v>3648</v>
      </c>
      <c r="E527" s="209"/>
      <c r="F527" s="209"/>
      <c r="G527" s="209"/>
      <c r="H527" s="210" t="s">
        <v>5040</v>
      </c>
      <c r="I527" s="210"/>
      <c r="J527" s="211"/>
      <c r="K527" s="210"/>
      <c r="L527" s="212" t="s">
        <v>2999</v>
      </c>
      <c r="M527" s="212" t="s">
        <v>2999</v>
      </c>
      <c r="N527" s="213"/>
      <c r="O527" s="263">
        <v>4590006255</v>
      </c>
      <c r="P527" s="214">
        <v>44836</v>
      </c>
      <c r="Q527" s="334">
        <v>11</v>
      </c>
      <c r="R527" s="216">
        <v>2588.64</v>
      </c>
      <c r="S527" s="217" t="s">
        <v>2156</v>
      </c>
      <c r="T527" s="209" t="s">
        <v>3661</v>
      </c>
      <c r="U527" s="209" t="s">
        <v>3662</v>
      </c>
      <c r="V527" s="213" t="s">
        <v>3663</v>
      </c>
      <c r="W527" s="218" t="s">
        <v>3652</v>
      </c>
      <c r="X527" s="218" t="s">
        <v>3652</v>
      </c>
      <c r="Y527" s="212" t="s">
        <v>5025</v>
      </c>
      <c r="Z527" s="209" t="s">
        <v>3664</v>
      </c>
      <c r="AA527" s="219"/>
      <c r="AB527" s="218"/>
      <c r="AC527" s="217" t="e">
        <v>#N/A</v>
      </c>
      <c r="AD527" s="217">
        <v>91306</v>
      </c>
      <c r="AE527" s="217" t="s">
        <v>3232</v>
      </c>
      <c r="AF527" s="217" t="s">
        <v>3665</v>
      </c>
      <c r="AG527" s="217" t="s">
        <v>3666</v>
      </c>
      <c r="AH527" s="220" t="str">
        <f t="shared" si="33"/>
        <v>4590006255_011</v>
      </c>
      <c r="AI527" s="208"/>
      <c r="AJ527" s="225">
        <v>45047</v>
      </c>
      <c r="AK527" s="221">
        <v>1035.46</v>
      </c>
      <c r="AL527" s="227">
        <v>45153</v>
      </c>
      <c r="AM527" s="208"/>
      <c r="AN527" s="220"/>
      <c r="AO527" s="222"/>
      <c r="AP527" s="227"/>
      <c r="AQ527" s="358">
        <f ca="1">IF(表格1[[#This Row],[PO$]]="","100%",表格1[[#This Row],[total amount]]/表格1[[#This Row],[PO$]])</f>
        <v>0.40000154521293035</v>
      </c>
      <c r="AR527" s="223">
        <f ca="1">表格1[[#This Row],[invoice amount]]+表格1[[#This Row],[invoice amount2]]</f>
        <v>1035.46</v>
      </c>
      <c r="AS527" s="224" t="s">
        <v>3673</v>
      </c>
      <c r="AT527" s="208"/>
      <c r="AU527" s="208" t="e">
        <f ca="1">VLOOKUP(表格1[[#This Row],[PO+ITEM]],#REF!,2,FALSE)</f>
        <v>#REF!</v>
      </c>
      <c r="AV527" s="341" t="e">
        <f ca="1">VLOOKUP(表格1[[#This Row],[PO+ITEM]],#REF!,3,FALSE)</f>
        <v>#REF!</v>
      </c>
      <c r="AW527" s="208" t="e">
        <f ca="1">VLOOKUP(表格1[[#This Row],[PO+ITEM]],#REF!,4,FALSE)</f>
        <v>#REF!</v>
      </c>
      <c r="AX527" s="208" t="e" cm="1" vm="1">
        <f t="array" aca="1" ref="AX527" ca="1">VLOOKUP(AI:AI,#REF!,1,FALSE)</f>
        <v>#VALUE!</v>
      </c>
    </row>
    <row r="528" spans="1:50">
      <c r="A528" s="220">
        <v>527</v>
      </c>
      <c r="B528" s="220" t="s">
        <v>3659</v>
      </c>
      <c r="C528" s="209" t="s">
        <v>16</v>
      </c>
      <c r="D528" s="209" t="s">
        <v>3648</v>
      </c>
      <c r="E528" s="209"/>
      <c r="F528" s="209"/>
      <c r="G528" s="209"/>
      <c r="H528" s="217" t="s">
        <v>5041</v>
      </c>
      <c r="I528" s="217"/>
      <c r="J528" s="215"/>
      <c r="K528" s="217"/>
      <c r="L528" s="212" t="s">
        <v>2999</v>
      </c>
      <c r="M528" s="212" t="s">
        <v>2999</v>
      </c>
      <c r="N528" s="213"/>
      <c r="O528" s="263">
        <v>4590006255</v>
      </c>
      <c r="P528" s="214">
        <v>44836</v>
      </c>
      <c r="Q528" s="334">
        <v>12</v>
      </c>
      <c r="R528" s="216">
        <v>2588.64</v>
      </c>
      <c r="S528" s="217" t="s">
        <v>2156</v>
      </c>
      <c r="T528" s="209" t="s">
        <v>3661</v>
      </c>
      <c r="U528" s="209" t="s">
        <v>3662</v>
      </c>
      <c r="V528" s="213" t="s">
        <v>3663</v>
      </c>
      <c r="W528" s="218" t="s">
        <v>3652</v>
      </c>
      <c r="X528" s="218" t="s">
        <v>3652</v>
      </c>
      <c r="Y528" s="212" t="s">
        <v>5025</v>
      </c>
      <c r="Z528" s="209" t="s">
        <v>3664</v>
      </c>
      <c r="AA528" s="219"/>
      <c r="AB528" s="218"/>
      <c r="AC528" s="217" t="e">
        <v>#N/A</v>
      </c>
      <c r="AD528" s="217">
        <v>91307</v>
      </c>
      <c r="AE528" s="217" t="s">
        <v>3208</v>
      </c>
      <c r="AF528" s="217" t="s">
        <v>3665</v>
      </c>
      <c r="AG528" s="217" t="s">
        <v>3666</v>
      </c>
      <c r="AH528" s="220" t="str">
        <f t="shared" si="33"/>
        <v>4590006255_012</v>
      </c>
      <c r="AI528" s="208"/>
      <c r="AJ528" s="225">
        <v>45047</v>
      </c>
      <c r="AK528" s="221">
        <v>1035.46</v>
      </c>
      <c r="AL528" s="227">
        <v>45153</v>
      </c>
      <c r="AM528" s="208"/>
      <c r="AN528" s="220"/>
      <c r="AO528" s="222"/>
      <c r="AP528" s="227"/>
      <c r="AQ528" s="358">
        <f ca="1">IF(表格1[[#This Row],[PO$]]="","100%",表格1[[#This Row],[total amount]]/表格1[[#This Row],[PO$]])</f>
        <v>0.40000154521293035</v>
      </c>
      <c r="AR528" s="223">
        <f ca="1">表格1[[#This Row],[invoice amount]]+表格1[[#This Row],[invoice amount2]]</f>
        <v>1035.46</v>
      </c>
      <c r="AS528" s="224" t="s">
        <v>3673</v>
      </c>
      <c r="AT528" s="208"/>
      <c r="AU528" s="208" t="e">
        <f ca="1">VLOOKUP(表格1[[#This Row],[PO+ITEM]],#REF!,2,FALSE)</f>
        <v>#REF!</v>
      </c>
      <c r="AV528" s="341" t="e">
        <f ca="1">VLOOKUP(表格1[[#This Row],[PO+ITEM]],#REF!,3,FALSE)</f>
        <v>#REF!</v>
      </c>
      <c r="AW528" s="208" t="e">
        <f ca="1">VLOOKUP(表格1[[#This Row],[PO+ITEM]],#REF!,4,FALSE)</f>
        <v>#REF!</v>
      </c>
      <c r="AX528" s="208" t="e" cm="1" vm="1">
        <f t="array" aca="1" ref="AX528" ca="1">VLOOKUP(AI:AI,#REF!,1,FALSE)</f>
        <v>#VALUE!</v>
      </c>
    </row>
    <row r="529" spans="1:50">
      <c r="A529" s="220">
        <v>528</v>
      </c>
      <c r="B529" s="220" t="s">
        <v>3659</v>
      </c>
      <c r="C529" s="209" t="s">
        <v>16</v>
      </c>
      <c r="D529" s="209" t="s">
        <v>3648</v>
      </c>
      <c r="E529" s="209"/>
      <c r="F529" s="209"/>
      <c r="G529" s="209"/>
      <c r="H529" s="210" t="s">
        <v>5042</v>
      </c>
      <c r="I529" s="210"/>
      <c r="J529" s="211"/>
      <c r="K529" s="210"/>
      <c r="L529" s="212" t="s">
        <v>2999</v>
      </c>
      <c r="M529" s="212" t="s">
        <v>2999</v>
      </c>
      <c r="N529" s="213"/>
      <c r="O529" s="263">
        <v>4590006255</v>
      </c>
      <c r="P529" s="214">
        <v>44836</v>
      </c>
      <c r="Q529" s="334">
        <v>13</v>
      </c>
      <c r="R529" s="216">
        <v>2588.64</v>
      </c>
      <c r="S529" s="217" t="s">
        <v>2156</v>
      </c>
      <c r="T529" s="209" t="s">
        <v>3661</v>
      </c>
      <c r="U529" s="209" t="s">
        <v>3662</v>
      </c>
      <c r="V529" s="213" t="s">
        <v>3663</v>
      </c>
      <c r="W529" s="218" t="s">
        <v>3652</v>
      </c>
      <c r="X529" s="218" t="s">
        <v>3652</v>
      </c>
      <c r="Y529" s="212" t="s">
        <v>5025</v>
      </c>
      <c r="Z529" s="209" t="s">
        <v>3664</v>
      </c>
      <c r="AA529" s="219"/>
      <c r="AB529" s="218"/>
      <c r="AC529" s="217" t="e">
        <v>#N/A</v>
      </c>
      <c r="AD529" s="217">
        <v>91308</v>
      </c>
      <c r="AE529" s="217" t="s">
        <v>3235</v>
      </c>
      <c r="AF529" s="217" t="s">
        <v>3665</v>
      </c>
      <c r="AG529" s="217" t="s">
        <v>3666</v>
      </c>
      <c r="AH529" s="220" t="str">
        <f t="shared" si="33"/>
        <v>4590006255_013</v>
      </c>
      <c r="AI529" s="208"/>
      <c r="AJ529" s="225">
        <v>45047</v>
      </c>
      <c r="AK529" s="221">
        <v>1035.46</v>
      </c>
      <c r="AL529" s="227">
        <v>45153</v>
      </c>
      <c r="AM529" s="208"/>
      <c r="AN529" s="220"/>
      <c r="AO529" s="222"/>
      <c r="AP529" s="227"/>
      <c r="AQ529" s="358">
        <f ca="1">IF(表格1[[#This Row],[PO$]]="","100%",表格1[[#This Row],[total amount]]/表格1[[#This Row],[PO$]])</f>
        <v>0.40000154521293035</v>
      </c>
      <c r="AR529" s="223">
        <f ca="1">表格1[[#This Row],[invoice amount]]+表格1[[#This Row],[invoice amount2]]</f>
        <v>1035.46</v>
      </c>
      <c r="AS529" s="224" t="s">
        <v>3673</v>
      </c>
      <c r="AT529" s="208"/>
      <c r="AU529" s="208" t="e">
        <f ca="1">VLOOKUP(表格1[[#This Row],[PO+ITEM]],#REF!,2,FALSE)</f>
        <v>#REF!</v>
      </c>
      <c r="AV529" s="341" t="e">
        <f ca="1">VLOOKUP(表格1[[#This Row],[PO+ITEM]],#REF!,3,FALSE)</f>
        <v>#REF!</v>
      </c>
      <c r="AW529" s="208" t="e">
        <f ca="1">VLOOKUP(表格1[[#This Row],[PO+ITEM]],#REF!,4,FALSE)</f>
        <v>#REF!</v>
      </c>
      <c r="AX529" s="208" t="e" cm="1" vm="1">
        <f t="array" aca="1" ref="AX529" ca="1">VLOOKUP(AI:AI,#REF!,1,FALSE)</f>
        <v>#VALUE!</v>
      </c>
    </row>
    <row r="530" spans="1:50">
      <c r="A530" s="220">
        <v>529</v>
      </c>
      <c r="B530" s="220" t="s">
        <v>3659</v>
      </c>
      <c r="C530" s="209" t="s">
        <v>16</v>
      </c>
      <c r="D530" s="209" t="s">
        <v>3648</v>
      </c>
      <c r="E530" s="209"/>
      <c r="F530" s="209"/>
      <c r="G530" s="209"/>
      <c r="H530" s="210" t="s">
        <v>5043</v>
      </c>
      <c r="I530" s="210"/>
      <c r="J530" s="211"/>
      <c r="K530" s="210"/>
      <c r="L530" s="212" t="s">
        <v>2999</v>
      </c>
      <c r="M530" s="212" t="s">
        <v>2999</v>
      </c>
      <c r="N530" s="213"/>
      <c r="O530" s="263">
        <v>4590006255</v>
      </c>
      <c r="P530" s="214">
        <v>44836</v>
      </c>
      <c r="Q530" s="334">
        <v>14</v>
      </c>
      <c r="R530" s="216">
        <v>2588.64</v>
      </c>
      <c r="S530" s="217" t="s">
        <v>2156</v>
      </c>
      <c r="T530" s="209" t="s">
        <v>3661</v>
      </c>
      <c r="U530" s="209" t="s">
        <v>3662</v>
      </c>
      <c r="V530" s="213" t="s">
        <v>3663</v>
      </c>
      <c r="W530" s="218" t="s">
        <v>3652</v>
      </c>
      <c r="X530" s="218" t="s">
        <v>3652</v>
      </c>
      <c r="Y530" s="212" t="s">
        <v>5025</v>
      </c>
      <c r="Z530" s="209" t="s">
        <v>3664</v>
      </c>
      <c r="AA530" s="219"/>
      <c r="AB530" s="218"/>
      <c r="AC530" s="217" t="e">
        <v>#N/A</v>
      </c>
      <c r="AD530" s="217">
        <v>91309</v>
      </c>
      <c r="AE530" s="217" t="s">
        <v>3237</v>
      </c>
      <c r="AF530" s="217" t="s">
        <v>3665</v>
      </c>
      <c r="AG530" s="217" t="s">
        <v>3666</v>
      </c>
      <c r="AH530" s="220" t="str">
        <f t="shared" si="33"/>
        <v>4590006255_014</v>
      </c>
      <c r="AI530" s="208"/>
      <c r="AJ530" s="225">
        <v>45047</v>
      </c>
      <c r="AK530" s="221">
        <v>1035.46</v>
      </c>
      <c r="AL530" s="227">
        <v>45153</v>
      </c>
      <c r="AM530" s="208"/>
      <c r="AN530" s="220"/>
      <c r="AO530" s="222"/>
      <c r="AP530" s="227"/>
      <c r="AQ530" s="358">
        <f ca="1">IF(表格1[[#This Row],[PO$]]="","100%",表格1[[#This Row],[total amount]]/表格1[[#This Row],[PO$]])</f>
        <v>0.40000154521293035</v>
      </c>
      <c r="AR530" s="223">
        <f ca="1">表格1[[#This Row],[invoice amount]]+表格1[[#This Row],[invoice amount2]]</f>
        <v>1035.46</v>
      </c>
      <c r="AS530" s="224" t="s">
        <v>3673</v>
      </c>
      <c r="AT530" s="208"/>
      <c r="AU530" s="208" t="e">
        <f ca="1">VLOOKUP(表格1[[#This Row],[PO+ITEM]],#REF!,2,FALSE)</f>
        <v>#REF!</v>
      </c>
      <c r="AV530" s="341" t="e">
        <f ca="1">VLOOKUP(表格1[[#This Row],[PO+ITEM]],#REF!,3,FALSE)</f>
        <v>#REF!</v>
      </c>
      <c r="AW530" s="208" t="e">
        <f ca="1">VLOOKUP(表格1[[#This Row],[PO+ITEM]],#REF!,4,FALSE)</f>
        <v>#REF!</v>
      </c>
      <c r="AX530" s="208" t="e" cm="1" vm="1">
        <f t="array" aca="1" ref="AX530" ca="1">VLOOKUP(AI:AI,#REF!,1,FALSE)</f>
        <v>#VALUE!</v>
      </c>
    </row>
    <row r="531" spans="1:50">
      <c r="A531" s="220">
        <v>530</v>
      </c>
      <c r="B531" s="220" t="s">
        <v>3659</v>
      </c>
      <c r="C531" s="209" t="s">
        <v>16</v>
      </c>
      <c r="D531" s="209" t="s">
        <v>3648</v>
      </c>
      <c r="E531" s="209"/>
      <c r="F531" s="209"/>
      <c r="G531" s="209"/>
      <c r="H531" s="210" t="s">
        <v>5044</v>
      </c>
      <c r="I531" s="210"/>
      <c r="J531" s="211"/>
      <c r="K531" s="210"/>
      <c r="L531" s="212" t="s">
        <v>2999</v>
      </c>
      <c r="M531" s="212" t="s">
        <v>2999</v>
      </c>
      <c r="N531" s="213"/>
      <c r="O531" s="263">
        <v>4590006255</v>
      </c>
      <c r="P531" s="214">
        <v>44836</v>
      </c>
      <c r="Q531" s="334">
        <v>15</v>
      </c>
      <c r="R531" s="216">
        <v>2588.64</v>
      </c>
      <c r="S531" s="217" t="s">
        <v>2156</v>
      </c>
      <c r="T531" s="209" t="s">
        <v>3661</v>
      </c>
      <c r="U531" s="209" t="s">
        <v>3662</v>
      </c>
      <c r="V531" s="213" t="s">
        <v>3663</v>
      </c>
      <c r="W531" s="218" t="s">
        <v>3652</v>
      </c>
      <c r="X531" s="218" t="s">
        <v>3652</v>
      </c>
      <c r="Y531" s="212" t="s">
        <v>5025</v>
      </c>
      <c r="Z531" s="209" t="s">
        <v>3664</v>
      </c>
      <c r="AA531" s="219"/>
      <c r="AB531" s="218"/>
      <c r="AC531" s="217" t="e">
        <v>#N/A</v>
      </c>
      <c r="AD531" s="217">
        <v>91312</v>
      </c>
      <c r="AE531" s="217" t="s">
        <v>3216</v>
      </c>
      <c r="AF531" s="217" t="s">
        <v>3665</v>
      </c>
      <c r="AG531" s="217" t="s">
        <v>3666</v>
      </c>
      <c r="AH531" s="220" t="str">
        <f t="shared" si="33"/>
        <v>4590006255_015</v>
      </c>
      <c r="AI531" s="208"/>
      <c r="AJ531" s="225">
        <v>45047</v>
      </c>
      <c r="AK531" s="221">
        <v>1035.46</v>
      </c>
      <c r="AL531" s="227">
        <v>45153</v>
      </c>
      <c r="AM531" s="208"/>
      <c r="AN531" s="220"/>
      <c r="AO531" s="222"/>
      <c r="AP531" s="227"/>
      <c r="AQ531" s="358">
        <f ca="1">IF(表格1[[#This Row],[PO$]]="","100%",表格1[[#This Row],[total amount]]/表格1[[#This Row],[PO$]])</f>
        <v>0.40000154521293035</v>
      </c>
      <c r="AR531" s="223">
        <f ca="1">表格1[[#This Row],[invoice amount]]+表格1[[#This Row],[invoice amount2]]</f>
        <v>1035.46</v>
      </c>
      <c r="AS531" s="224" t="s">
        <v>3673</v>
      </c>
      <c r="AT531" s="208"/>
      <c r="AU531" s="208" t="e">
        <f ca="1">VLOOKUP(表格1[[#This Row],[PO+ITEM]],#REF!,2,FALSE)</f>
        <v>#REF!</v>
      </c>
      <c r="AV531" s="341" t="e">
        <f ca="1">VLOOKUP(表格1[[#This Row],[PO+ITEM]],#REF!,3,FALSE)</f>
        <v>#REF!</v>
      </c>
      <c r="AW531" s="208" t="e">
        <f ca="1">VLOOKUP(表格1[[#This Row],[PO+ITEM]],#REF!,4,FALSE)</f>
        <v>#REF!</v>
      </c>
      <c r="AX531" s="208" t="e" cm="1" vm="1">
        <f t="array" aca="1" ref="AX531" ca="1">VLOOKUP(AI:AI,#REF!,1,FALSE)</f>
        <v>#VALUE!</v>
      </c>
    </row>
    <row r="532" spans="1:50">
      <c r="A532" s="220">
        <v>531</v>
      </c>
      <c r="B532" s="220" t="s">
        <v>3659</v>
      </c>
      <c r="C532" s="209" t="s">
        <v>16</v>
      </c>
      <c r="D532" s="209" t="s">
        <v>3648</v>
      </c>
      <c r="E532" s="209"/>
      <c r="F532" s="209"/>
      <c r="G532" s="209"/>
      <c r="H532" s="210" t="s">
        <v>5045</v>
      </c>
      <c r="I532" s="210"/>
      <c r="J532" s="211"/>
      <c r="K532" s="210"/>
      <c r="L532" s="212" t="s">
        <v>2999</v>
      </c>
      <c r="M532" s="212" t="s">
        <v>2999</v>
      </c>
      <c r="N532" s="213"/>
      <c r="O532" s="263">
        <v>4590006255</v>
      </c>
      <c r="P532" s="214">
        <v>44836</v>
      </c>
      <c r="Q532" s="334">
        <v>16</v>
      </c>
      <c r="R532" s="216">
        <v>2588.64</v>
      </c>
      <c r="S532" s="217" t="s">
        <v>2156</v>
      </c>
      <c r="T532" s="209" t="s">
        <v>3661</v>
      </c>
      <c r="U532" s="209" t="s">
        <v>3662</v>
      </c>
      <c r="V532" s="213" t="s">
        <v>3663</v>
      </c>
      <c r="W532" s="218" t="s">
        <v>3652</v>
      </c>
      <c r="X532" s="218" t="s">
        <v>3652</v>
      </c>
      <c r="Y532" s="212" t="s">
        <v>5025</v>
      </c>
      <c r="Z532" s="209" t="s">
        <v>3664</v>
      </c>
      <c r="AA532" s="219"/>
      <c r="AB532" s="218"/>
      <c r="AC532" s="217" t="e">
        <v>#N/A</v>
      </c>
      <c r="AD532" s="217">
        <v>91320</v>
      </c>
      <c r="AE532" s="217" t="s">
        <v>3220</v>
      </c>
      <c r="AF532" s="217" t="s">
        <v>3665</v>
      </c>
      <c r="AG532" s="217" t="s">
        <v>3666</v>
      </c>
      <c r="AH532" s="220" t="str">
        <f t="shared" si="33"/>
        <v>4590006255_016</v>
      </c>
      <c r="AI532" s="208"/>
      <c r="AJ532" s="225">
        <v>45047</v>
      </c>
      <c r="AK532" s="221">
        <v>1035.46</v>
      </c>
      <c r="AL532" s="227">
        <v>45153</v>
      </c>
      <c r="AM532" s="208"/>
      <c r="AN532" s="220"/>
      <c r="AO532" s="222"/>
      <c r="AP532" s="227"/>
      <c r="AQ532" s="358">
        <f ca="1">IF(表格1[[#This Row],[PO$]]="","100%",表格1[[#This Row],[total amount]]/表格1[[#This Row],[PO$]])</f>
        <v>0.40000154521293035</v>
      </c>
      <c r="AR532" s="223">
        <f ca="1">表格1[[#This Row],[invoice amount]]+表格1[[#This Row],[invoice amount2]]</f>
        <v>1035.46</v>
      </c>
      <c r="AS532" s="224" t="s">
        <v>3673</v>
      </c>
      <c r="AT532" s="208"/>
      <c r="AU532" s="208" t="e">
        <f ca="1">VLOOKUP(表格1[[#This Row],[PO+ITEM]],#REF!,2,FALSE)</f>
        <v>#REF!</v>
      </c>
      <c r="AV532" s="341" t="e">
        <f ca="1">VLOOKUP(表格1[[#This Row],[PO+ITEM]],#REF!,3,FALSE)</f>
        <v>#REF!</v>
      </c>
      <c r="AW532" s="208" t="e">
        <f ca="1">VLOOKUP(表格1[[#This Row],[PO+ITEM]],#REF!,4,FALSE)</f>
        <v>#REF!</v>
      </c>
      <c r="AX532" s="208" t="e" cm="1" vm="1">
        <f t="array" aca="1" ref="AX532" ca="1">VLOOKUP(AI:AI,#REF!,1,FALSE)</f>
        <v>#VALUE!</v>
      </c>
    </row>
    <row r="533" spans="1:50">
      <c r="A533" s="220">
        <v>532</v>
      </c>
      <c r="B533" s="220" t="s">
        <v>3659</v>
      </c>
      <c r="C533" s="209" t="s">
        <v>16</v>
      </c>
      <c r="D533" s="209" t="s">
        <v>3648</v>
      </c>
      <c r="E533" s="209"/>
      <c r="F533" s="209"/>
      <c r="G533" s="209"/>
      <c r="H533" s="210" t="s">
        <v>5046</v>
      </c>
      <c r="I533" s="210"/>
      <c r="J533" s="211"/>
      <c r="K533" s="210"/>
      <c r="L533" s="212" t="s">
        <v>2999</v>
      </c>
      <c r="M533" s="212" t="s">
        <v>2999</v>
      </c>
      <c r="N533" s="213"/>
      <c r="O533" s="263">
        <v>4590006255</v>
      </c>
      <c r="P533" s="214">
        <v>44836</v>
      </c>
      <c r="Q533" s="334">
        <v>17</v>
      </c>
      <c r="R533" s="216">
        <v>2588.64</v>
      </c>
      <c r="S533" s="217" t="s">
        <v>2156</v>
      </c>
      <c r="T533" s="209" t="s">
        <v>3661</v>
      </c>
      <c r="U533" s="209" t="s">
        <v>3662</v>
      </c>
      <c r="V533" s="213" t="s">
        <v>3663</v>
      </c>
      <c r="W533" s="218" t="s">
        <v>3652</v>
      </c>
      <c r="X533" s="218" t="s">
        <v>3652</v>
      </c>
      <c r="Y533" s="212" t="s">
        <v>5025</v>
      </c>
      <c r="Z533" s="209" t="s">
        <v>3664</v>
      </c>
      <c r="AA533" s="219"/>
      <c r="AB533" s="218"/>
      <c r="AC533" s="217" t="e">
        <v>#N/A</v>
      </c>
      <c r="AD533" s="217">
        <v>91321</v>
      </c>
      <c r="AE533" s="217" t="s">
        <v>3222</v>
      </c>
      <c r="AF533" s="217" t="s">
        <v>3665</v>
      </c>
      <c r="AG533" s="217" t="s">
        <v>3666</v>
      </c>
      <c r="AH533" s="220" t="str">
        <f t="shared" si="33"/>
        <v>4590006255_017</v>
      </c>
      <c r="AI533" s="208"/>
      <c r="AJ533" s="225">
        <v>45047</v>
      </c>
      <c r="AK533" s="221">
        <v>1035.46</v>
      </c>
      <c r="AL533" s="227">
        <v>45153</v>
      </c>
      <c r="AM533" s="208"/>
      <c r="AN533" s="220"/>
      <c r="AO533" s="222"/>
      <c r="AP533" s="227"/>
      <c r="AQ533" s="358">
        <f ca="1">IF(表格1[[#This Row],[PO$]]="","100%",表格1[[#This Row],[total amount]]/表格1[[#This Row],[PO$]])</f>
        <v>0.40000154521293035</v>
      </c>
      <c r="AR533" s="223">
        <f ca="1">表格1[[#This Row],[invoice amount]]+表格1[[#This Row],[invoice amount2]]</f>
        <v>1035.46</v>
      </c>
      <c r="AS533" s="224" t="s">
        <v>3673</v>
      </c>
      <c r="AT533" s="208"/>
      <c r="AU533" s="208" t="e">
        <f ca="1">VLOOKUP(表格1[[#This Row],[PO+ITEM]],#REF!,2,FALSE)</f>
        <v>#REF!</v>
      </c>
      <c r="AV533" s="341" t="e">
        <f ca="1">VLOOKUP(表格1[[#This Row],[PO+ITEM]],#REF!,3,FALSE)</f>
        <v>#REF!</v>
      </c>
      <c r="AW533" s="208" t="e">
        <f ca="1">VLOOKUP(表格1[[#This Row],[PO+ITEM]],#REF!,4,FALSE)</f>
        <v>#REF!</v>
      </c>
      <c r="AX533" s="208" t="e" cm="1" vm="1">
        <f t="array" aca="1" ref="AX533" ca="1">VLOOKUP(AI:AI,#REF!,1,FALSE)</f>
        <v>#VALUE!</v>
      </c>
    </row>
    <row r="534" spans="1:50">
      <c r="A534" s="220">
        <v>533</v>
      </c>
      <c r="B534" s="220" t="s">
        <v>3659</v>
      </c>
      <c r="C534" s="209" t="s">
        <v>16</v>
      </c>
      <c r="D534" s="209" t="s">
        <v>3648</v>
      </c>
      <c r="E534" s="209"/>
      <c r="F534" s="209"/>
      <c r="G534" s="209"/>
      <c r="H534" s="217" t="s">
        <v>5047</v>
      </c>
      <c r="I534" s="217"/>
      <c r="J534" s="215"/>
      <c r="K534" s="217"/>
      <c r="L534" s="212" t="s">
        <v>2999</v>
      </c>
      <c r="M534" s="212" t="s">
        <v>2999</v>
      </c>
      <c r="N534" s="213"/>
      <c r="O534" s="263">
        <v>4590006255</v>
      </c>
      <c r="P534" s="214">
        <v>44836</v>
      </c>
      <c r="Q534" s="334">
        <v>18</v>
      </c>
      <c r="R534" s="216">
        <v>2588.64</v>
      </c>
      <c r="S534" s="217" t="s">
        <v>2156</v>
      </c>
      <c r="T534" s="209" t="s">
        <v>3661</v>
      </c>
      <c r="U534" s="209" t="s">
        <v>3662</v>
      </c>
      <c r="V534" s="213" t="s">
        <v>3663</v>
      </c>
      <c r="W534" s="218" t="s">
        <v>3652</v>
      </c>
      <c r="X534" s="218" t="s">
        <v>3652</v>
      </c>
      <c r="Y534" s="212" t="s">
        <v>5025</v>
      </c>
      <c r="Z534" s="209" t="s">
        <v>3664</v>
      </c>
      <c r="AA534" s="219"/>
      <c r="AB534" s="218"/>
      <c r="AC534" s="217" t="e">
        <v>#N/A</v>
      </c>
      <c r="AD534" s="217">
        <v>91333</v>
      </c>
      <c r="AE534" s="217" t="s">
        <v>3214</v>
      </c>
      <c r="AF534" s="217" t="s">
        <v>3665</v>
      </c>
      <c r="AG534" s="217" t="s">
        <v>3666</v>
      </c>
      <c r="AH534" s="220" t="str">
        <f t="shared" si="33"/>
        <v>4590006255_018</v>
      </c>
      <c r="AI534" s="208"/>
      <c r="AJ534" s="225">
        <v>45047</v>
      </c>
      <c r="AK534" s="221">
        <v>1035.46</v>
      </c>
      <c r="AL534" s="227">
        <v>45153</v>
      </c>
      <c r="AM534" s="208"/>
      <c r="AN534" s="220"/>
      <c r="AO534" s="222"/>
      <c r="AP534" s="227"/>
      <c r="AQ534" s="358">
        <f ca="1">IF(表格1[[#This Row],[PO$]]="","100%",表格1[[#This Row],[total amount]]/表格1[[#This Row],[PO$]])</f>
        <v>0.40000154521293035</v>
      </c>
      <c r="AR534" s="223">
        <f ca="1">表格1[[#This Row],[invoice amount]]+表格1[[#This Row],[invoice amount2]]</f>
        <v>1035.46</v>
      </c>
      <c r="AS534" s="224" t="s">
        <v>3673</v>
      </c>
      <c r="AT534" s="208"/>
      <c r="AU534" s="208" t="e">
        <f ca="1">VLOOKUP(表格1[[#This Row],[PO+ITEM]],#REF!,2,FALSE)</f>
        <v>#REF!</v>
      </c>
      <c r="AV534" s="341" t="e">
        <f ca="1">VLOOKUP(表格1[[#This Row],[PO+ITEM]],#REF!,3,FALSE)</f>
        <v>#REF!</v>
      </c>
      <c r="AW534" s="208" t="e">
        <f ca="1">VLOOKUP(表格1[[#This Row],[PO+ITEM]],#REF!,4,FALSE)</f>
        <v>#REF!</v>
      </c>
      <c r="AX534" s="208" t="e" cm="1" vm="1">
        <f t="array" aca="1" ref="AX534" ca="1">VLOOKUP(AI:AI,#REF!,1,FALSE)</f>
        <v>#VALUE!</v>
      </c>
    </row>
    <row r="535" spans="1:50">
      <c r="A535" s="220">
        <v>534</v>
      </c>
      <c r="B535" s="220" t="s">
        <v>3659</v>
      </c>
      <c r="C535" s="209" t="s">
        <v>16</v>
      </c>
      <c r="D535" s="209" t="s">
        <v>3648</v>
      </c>
      <c r="E535" s="209"/>
      <c r="F535" s="209"/>
      <c r="G535" s="209"/>
      <c r="H535" s="210" t="s">
        <v>5048</v>
      </c>
      <c r="I535" s="210"/>
      <c r="J535" s="211"/>
      <c r="K535" s="210"/>
      <c r="L535" s="212" t="s">
        <v>2999</v>
      </c>
      <c r="M535" s="212" t="s">
        <v>2999</v>
      </c>
      <c r="N535" s="213"/>
      <c r="O535" s="263">
        <v>4590006255</v>
      </c>
      <c r="P535" s="214">
        <v>44836</v>
      </c>
      <c r="Q535" s="334">
        <v>19</v>
      </c>
      <c r="R535" s="216">
        <v>2588.64</v>
      </c>
      <c r="S535" s="217" t="s">
        <v>2156</v>
      </c>
      <c r="T535" s="209" t="s">
        <v>3661</v>
      </c>
      <c r="U535" s="209" t="s">
        <v>3662</v>
      </c>
      <c r="V535" s="213" t="s">
        <v>3663</v>
      </c>
      <c r="W535" s="218" t="s">
        <v>3652</v>
      </c>
      <c r="X535" s="218" t="s">
        <v>3652</v>
      </c>
      <c r="Y535" s="212" t="s">
        <v>5025</v>
      </c>
      <c r="Z535" s="209" t="s">
        <v>3664</v>
      </c>
      <c r="AA535" s="219"/>
      <c r="AB535" s="218"/>
      <c r="AC535" s="217" t="e">
        <v>#N/A</v>
      </c>
      <c r="AD535" s="217">
        <v>91334</v>
      </c>
      <c r="AE535" s="217" t="s">
        <v>3218</v>
      </c>
      <c r="AF535" s="217" t="s">
        <v>3665</v>
      </c>
      <c r="AG535" s="217" t="s">
        <v>3666</v>
      </c>
      <c r="AH535" s="220" t="str">
        <f t="shared" si="33"/>
        <v>4590006255_019</v>
      </c>
      <c r="AI535" s="208"/>
      <c r="AJ535" s="225">
        <v>45047</v>
      </c>
      <c r="AK535" s="221">
        <v>1035.46</v>
      </c>
      <c r="AL535" s="227">
        <v>45153</v>
      </c>
      <c r="AM535" s="208"/>
      <c r="AN535" s="220"/>
      <c r="AO535" s="222"/>
      <c r="AP535" s="227"/>
      <c r="AQ535" s="358">
        <f ca="1">IF(表格1[[#This Row],[PO$]]="","100%",表格1[[#This Row],[total amount]]/表格1[[#This Row],[PO$]])</f>
        <v>0.40000154521293035</v>
      </c>
      <c r="AR535" s="223">
        <f ca="1">表格1[[#This Row],[invoice amount]]+表格1[[#This Row],[invoice amount2]]</f>
        <v>1035.46</v>
      </c>
      <c r="AS535" s="224" t="s">
        <v>3673</v>
      </c>
      <c r="AT535" s="208"/>
      <c r="AU535" s="208" t="e">
        <f ca="1">VLOOKUP(表格1[[#This Row],[PO+ITEM]],#REF!,2,FALSE)</f>
        <v>#REF!</v>
      </c>
      <c r="AV535" s="341" t="e">
        <f ca="1">VLOOKUP(表格1[[#This Row],[PO+ITEM]],#REF!,3,FALSE)</f>
        <v>#REF!</v>
      </c>
      <c r="AW535" s="208" t="e">
        <f ca="1">VLOOKUP(表格1[[#This Row],[PO+ITEM]],#REF!,4,FALSE)</f>
        <v>#REF!</v>
      </c>
      <c r="AX535" s="208" t="e" cm="1" vm="1">
        <f t="array" aca="1" ref="AX535" ca="1">VLOOKUP(AI:AI,#REF!,1,FALSE)</f>
        <v>#VALUE!</v>
      </c>
    </row>
    <row r="536" spans="1:50">
      <c r="A536" s="220">
        <v>535</v>
      </c>
      <c r="B536" s="220" t="s">
        <v>3659</v>
      </c>
      <c r="C536" s="209" t="s">
        <v>16</v>
      </c>
      <c r="D536" s="209" t="s">
        <v>3648</v>
      </c>
      <c r="E536" s="209"/>
      <c r="F536" s="209"/>
      <c r="G536" s="209"/>
      <c r="H536" s="210" t="s">
        <v>5049</v>
      </c>
      <c r="I536" s="210"/>
      <c r="J536" s="211"/>
      <c r="K536" s="210"/>
      <c r="L536" s="212" t="s">
        <v>2999</v>
      </c>
      <c r="M536" s="212" t="s">
        <v>2999</v>
      </c>
      <c r="N536" s="213"/>
      <c r="O536" s="263">
        <v>4590006255</v>
      </c>
      <c r="P536" s="214">
        <v>44836</v>
      </c>
      <c r="Q536" s="334">
        <v>20</v>
      </c>
      <c r="R536" s="216">
        <v>1369.77</v>
      </c>
      <c r="S536" s="217" t="s">
        <v>2156</v>
      </c>
      <c r="T536" s="209" t="s">
        <v>3661</v>
      </c>
      <c r="U536" s="209" t="s">
        <v>3662</v>
      </c>
      <c r="V536" s="213" t="s">
        <v>3663</v>
      </c>
      <c r="W536" s="218" t="s">
        <v>3652</v>
      </c>
      <c r="X536" s="218" t="s">
        <v>3652</v>
      </c>
      <c r="Y536" s="212" t="s">
        <v>5025</v>
      </c>
      <c r="Z536" s="209" t="s">
        <v>3664</v>
      </c>
      <c r="AA536" s="219"/>
      <c r="AB536" s="218"/>
      <c r="AC536" s="217" t="e">
        <v>#N/A</v>
      </c>
      <c r="AD536" s="217">
        <v>91366</v>
      </c>
      <c r="AE536" s="217" t="s">
        <v>5050</v>
      </c>
      <c r="AF536" s="217" t="s">
        <v>3665</v>
      </c>
      <c r="AG536" s="217" t="s">
        <v>3719</v>
      </c>
      <c r="AH536" s="220" t="str">
        <f t="shared" si="33"/>
        <v>4590006255_020</v>
      </c>
      <c r="AI536" s="208"/>
      <c r="AJ536" s="225">
        <v>45108</v>
      </c>
      <c r="AK536" s="221">
        <v>547.91</v>
      </c>
      <c r="AL536" s="227">
        <v>45212</v>
      </c>
      <c r="AM536" s="208"/>
      <c r="AN536" s="220"/>
      <c r="AO536" s="222"/>
      <c r="AP536" s="227"/>
      <c r="AQ536" s="358">
        <f ca="1">IF(表格1[[#This Row],[PO$]]="","100%",表格1[[#This Row],[total amount]]/表格1[[#This Row],[PO$]])</f>
        <v>0.40000146009914073</v>
      </c>
      <c r="AR536" s="223">
        <f ca="1">表格1[[#This Row],[invoice amount]]+表格1[[#This Row],[invoice amount2]]</f>
        <v>547.91</v>
      </c>
      <c r="AS536" s="224" t="s">
        <v>3673</v>
      </c>
      <c r="AT536" s="208"/>
      <c r="AU536" s="208" t="e">
        <f ca="1">VLOOKUP(表格1[[#This Row],[PO+ITEM]],#REF!,2,FALSE)</f>
        <v>#REF!</v>
      </c>
      <c r="AV536" s="341" t="e">
        <f ca="1">VLOOKUP(表格1[[#This Row],[PO+ITEM]],#REF!,3,FALSE)</f>
        <v>#REF!</v>
      </c>
      <c r="AW536" s="208" t="e">
        <f ca="1">VLOOKUP(表格1[[#This Row],[PO+ITEM]],#REF!,4,FALSE)</f>
        <v>#REF!</v>
      </c>
      <c r="AX536" s="208" t="e" cm="1" vm="1">
        <f t="array" aca="1" ref="AX536" ca="1">VLOOKUP(AI:AI,#REF!,1,FALSE)</f>
        <v>#VALUE!</v>
      </c>
    </row>
    <row r="537" spans="1:50">
      <c r="A537" s="220">
        <v>536</v>
      </c>
      <c r="B537" s="220" t="s">
        <v>3659</v>
      </c>
      <c r="C537" s="209" t="s">
        <v>16</v>
      </c>
      <c r="D537" s="209" t="s">
        <v>3648</v>
      </c>
      <c r="E537" s="209"/>
      <c r="F537" s="209"/>
      <c r="G537" s="209"/>
      <c r="H537" s="210" t="s">
        <v>5051</v>
      </c>
      <c r="I537" s="210"/>
      <c r="J537" s="211"/>
      <c r="K537" s="210"/>
      <c r="L537" s="212" t="s">
        <v>2999</v>
      </c>
      <c r="M537" s="212" t="s">
        <v>2999</v>
      </c>
      <c r="N537" s="213"/>
      <c r="O537" s="263">
        <v>4590006255</v>
      </c>
      <c r="P537" s="214">
        <v>44836</v>
      </c>
      <c r="Q537" s="334">
        <v>21</v>
      </c>
      <c r="R537" s="216">
        <v>1369.77</v>
      </c>
      <c r="S537" s="217" t="s">
        <v>2156</v>
      </c>
      <c r="T537" s="209" t="s">
        <v>3661</v>
      </c>
      <c r="U537" s="209" t="s">
        <v>3662</v>
      </c>
      <c r="V537" s="213" t="s">
        <v>3663</v>
      </c>
      <c r="W537" s="218" t="s">
        <v>3652</v>
      </c>
      <c r="X537" s="218" t="s">
        <v>3652</v>
      </c>
      <c r="Y537" s="212" t="s">
        <v>5025</v>
      </c>
      <c r="Z537" s="209" t="s">
        <v>3664</v>
      </c>
      <c r="AA537" s="219"/>
      <c r="AB537" s="218"/>
      <c r="AC537" s="217" t="e">
        <v>#N/A</v>
      </c>
      <c r="AD537" s="217">
        <v>91367</v>
      </c>
      <c r="AE537" s="217" t="s">
        <v>5052</v>
      </c>
      <c r="AF537" s="217" t="s">
        <v>3665</v>
      </c>
      <c r="AG537" s="217" t="s">
        <v>3719</v>
      </c>
      <c r="AH537" s="220" t="str">
        <f t="shared" si="33"/>
        <v>4590006255_021</v>
      </c>
      <c r="AI537" s="208"/>
      <c r="AJ537" s="225">
        <v>45108</v>
      </c>
      <c r="AK537" s="221">
        <v>547.91</v>
      </c>
      <c r="AL537" s="227">
        <v>45212</v>
      </c>
      <c r="AM537" s="208"/>
      <c r="AN537" s="220"/>
      <c r="AO537" s="222"/>
      <c r="AP537" s="227"/>
      <c r="AQ537" s="358">
        <f ca="1">IF(表格1[[#This Row],[PO$]]="","100%",表格1[[#This Row],[total amount]]/表格1[[#This Row],[PO$]])</f>
        <v>0.40000146009914073</v>
      </c>
      <c r="AR537" s="223">
        <f ca="1">表格1[[#This Row],[invoice amount]]+表格1[[#This Row],[invoice amount2]]</f>
        <v>547.91</v>
      </c>
      <c r="AS537" s="224" t="s">
        <v>3673</v>
      </c>
      <c r="AT537" s="208"/>
      <c r="AU537" s="208" t="e">
        <f ca="1">VLOOKUP(表格1[[#This Row],[PO+ITEM]],#REF!,2,FALSE)</f>
        <v>#REF!</v>
      </c>
      <c r="AV537" s="341" t="e">
        <f ca="1">VLOOKUP(表格1[[#This Row],[PO+ITEM]],#REF!,3,FALSE)</f>
        <v>#REF!</v>
      </c>
      <c r="AW537" s="208" t="e">
        <f ca="1">VLOOKUP(表格1[[#This Row],[PO+ITEM]],#REF!,4,FALSE)</f>
        <v>#REF!</v>
      </c>
      <c r="AX537" s="208" t="e" cm="1" vm="1">
        <f t="array" aca="1" ref="AX537" ca="1">VLOOKUP(AI:AI,#REF!,1,FALSE)</f>
        <v>#VALUE!</v>
      </c>
    </row>
    <row r="538" spans="1:50">
      <c r="A538" s="220">
        <v>537</v>
      </c>
      <c r="B538" s="220" t="s">
        <v>3659</v>
      </c>
      <c r="C538" s="209" t="s">
        <v>16</v>
      </c>
      <c r="D538" s="209" t="s">
        <v>3648</v>
      </c>
      <c r="E538" s="209"/>
      <c r="F538" s="209"/>
      <c r="G538" s="209"/>
      <c r="H538" s="210" t="s">
        <v>5053</v>
      </c>
      <c r="I538" s="210"/>
      <c r="J538" s="211"/>
      <c r="K538" s="210"/>
      <c r="L538" s="212" t="s">
        <v>2999</v>
      </c>
      <c r="M538" s="212" t="s">
        <v>2999</v>
      </c>
      <c r="N538" s="213"/>
      <c r="O538" s="263">
        <v>4590006255</v>
      </c>
      <c r="P538" s="214">
        <v>44836</v>
      </c>
      <c r="Q538" s="334">
        <v>22</v>
      </c>
      <c r="R538" s="216">
        <v>2588.64</v>
      </c>
      <c r="S538" s="217" t="s">
        <v>2156</v>
      </c>
      <c r="T538" s="209" t="s">
        <v>3661</v>
      </c>
      <c r="U538" s="209" t="s">
        <v>3662</v>
      </c>
      <c r="V538" s="213" t="s">
        <v>3663</v>
      </c>
      <c r="W538" s="218" t="s">
        <v>3652</v>
      </c>
      <c r="X538" s="218" t="s">
        <v>3652</v>
      </c>
      <c r="Y538" s="212" t="s">
        <v>5025</v>
      </c>
      <c r="Z538" s="209" t="s">
        <v>3664</v>
      </c>
      <c r="AA538" s="219"/>
      <c r="AB538" s="218"/>
      <c r="AC538" s="217" t="e">
        <v>#N/A</v>
      </c>
      <c r="AD538" s="217">
        <v>91396</v>
      </c>
      <c r="AE538" s="217" t="s">
        <v>3230</v>
      </c>
      <c r="AF538" s="217" t="s">
        <v>3665</v>
      </c>
      <c r="AG538" s="217" t="s">
        <v>3666</v>
      </c>
      <c r="AH538" s="220" t="str">
        <f t="shared" si="33"/>
        <v>4590006255_022</v>
      </c>
      <c r="AI538" s="208"/>
      <c r="AJ538" s="225">
        <v>45047</v>
      </c>
      <c r="AK538" s="221">
        <v>1035.46</v>
      </c>
      <c r="AL538" s="227">
        <v>45153</v>
      </c>
      <c r="AM538" s="208"/>
      <c r="AN538" s="220"/>
      <c r="AO538" s="222"/>
      <c r="AP538" s="227"/>
      <c r="AQ538" s="358">
        <f ca="1">IF(表格1[[#This Row],[PO$]]="","100%",表格1[[#This Row],[total amount]]/表格1[[#This Row],[PO$]])</f>
        <v>0.40000154521293035</v>
      </c>
      <c r="AR538" s="223">
        <f ca="1">表格1[[#This Row],[invoice amount]]+表格1[[#This Row],[invoice amount2]]</f>
        <v>1035.46</v>
      </c>
      <c r="AS538" s="224" t="s">
        <v>3673</v>
      </c>
      <c r="AT538" s="208"/>
      <c r="AU538" s="208" t="e">
        <f ca="1">VLOOKUP(表格1[[#This Row],[PO+ITEM]],#REF!,2,FALSE)</f>
        <v>#REF!</v>
      </c>
      <c r="AV538" s="341" t="e">
        <f ca="1">VLOOKUP(表格1[[#This Row],[PO+ITEM]],#REF!,3,FALSE)</f>
        <v>#REF!</v>
      </c>
      <c r="AW538" s="208" t="e">
        <f ca="1">VLOOKUP(表格1[[#This Row],[PO+ITEM]],#REF!,4,FALSE)</f>
        <v>#REF!</v>
      </c>
      <c r="AX538" s="208" t="e" cm="1" vm="1">
        <f t="array" aca="1" ref="AX538" ca="1">VLOOKUP(AI:AI,#REF!,1,FALSE)</f>
        <v>#VALUE!</v>
      </c>
    </row>
    <row r="539" spans="1:50">
      <c r="A539" s="220">
        <v>538</v>
      </c>
      <c r="B539" s="220" t="s">
        <v>3659</v>
      </c>
      <c r="C539" s="209" t="s">
        <v>16</v>
      </c>
      <c r="D539" s="209" t="s">
        <v>3648</v>
      </c>
      <c r="E539" s="209"/>
      <c r="F539" s="209"/>
      <c r="G539" s="209"/>
      <c r="H539" s="210" t="s">
        <v>5054</v>
      </c>
      <c r="I539" s="210"/>
      <c r="J539" s="211"/>
      <c r="K539" s="210"/>
      <c r="L539" s="212" t="s">
        <v>2999</v>
      </c>
      <c r="M539" s="212" t="s">
        <v>2999</v>
      </c>
      <c r="N539" s="213"/>
      <c r="O539" s="263">
        <v>4590006255</v>
      </c>
      <c r="P539" s="214">
        <v>44836</v>
      </c>
      <c r="Q539" s="334">
        <v>23</v>
      </c>
      <c r="R539" s="216">
        <v>1369.77</v>
      </c>
      <c r="S539" s="217" t="s">
        <v>2156</v>
      </c>
      <c r="T539" s="209" t="s">
        <v>3661</v>
      </c>
      <c r="U539" s="209" t="s">
        <v>3662</v>
      </c>
      <c r="V539" s="213" t="s">
        <v>3663</v>
      </c>
      <c r="W539" s="218" t="s">
        <v>3652</v>
      </c>
      <c r="X539" s="218" t="s">
        <v>3652</v>
      </c>
      <c r="Y539" s="212" t="s">
        <v>5025</v>
      </c>
      <c r="Z539" s="209" t="s">
        <v>3664</v>
      </c>
      <c r="AA539" s="219"/>
      <c r="AB539" s="218"/>
      <c r="AC539" s="217" t="e">
        <v>#N/A</v>
      </c>
      <c r="AD539" s="217">
        <v>91412</v>
      </c>
      <c r="AE539" s="217" t="s">
        <v>5055</v>
      </c>
      <c r="AF539" s="217" t="s">
        <v>3665</v>
      </c>
      <c r="AG539" s="217" t="s">
        <v>3719</v>
      </c>
      <c r="AH539" s="220" t="str">
        <f t="shared" si="33"/>
        <v>4590006255_023</v>
      </c>
      <c r="AI539" s="208"/>
      <c r="AJ539" s="225">
        <v>45108</v>
      </c>
      <c r="AK539" s="221">
        <v>547.91</v>
      </c>
      <c r="AL539" s="227">
        <v>45212</v>
      </c>
      <c r="AM539" s="208"/>
      <c r="AN539" s="220"/>
      <c r="AO539" s="222"/>
      <c r="AP539" s="227"/>
      <c r="AQ539" s="358">
        <f ca="1">IF(表格1[[#This Row],[PO$]]="","100%",表格1[[#This Row],[total amount]]/表格1[[#This Row],[PO$]])</f>
        <v>0.40000146009914073</v>
      </c>
      <c r="AR539" s="223">
        <f ca="1">表格1[[#This Row],[invoice amount]]+表格1[[#This Row],[invoice amount2]]</f>
        <v>547.91</v>
      </c>
      <c r="AS539" s="224" t="s">
        <v>3673</v>
      </c>
      <c r="AT539" s="208"/>
      <c r="AU539" s="208" t="e">
        <f ca="1">VLOOKUP(表格1[[#This Row],[PO+ITEM]],#REF!,2,FALSE)</f>
        <v>#REF!</v>
      </c>
      <c r="AV539" s="341" t="e">
        <f ca="1">VLOOKUP(表格1[[#This Row],[PO+ITEM]],#REF!,3,FALSE)</f>
        <v>#REF!</v>
      </c>
      <c r="AW539" s="208" t="e">
        <f ca="1">VLOOKUP(表格1[[#This Row],[PO+ITEM]],#REF!,4,FALSE)</f>
        <v>#REF!</v>
      </c>
      <c r="AX539" s="208" t="e" cm="1" vm="1">
        <f t="array" aca="1" ref="AX539" ca="1">VLOOKUP(AI:AI,#REF!,1,FALSE)</f>
        <v>#VALUE!</v>
      </c>
    </row>
    <row r="540" spans="1:50">
      <c r="A540" s="220">
        <v>539</v>
      </c>
      <c r="B540" s="220" t="s">
        <v>3659</v>
      </c>
      <c r="C540" s="209" t="s">
        <v>16</v>
      </c>
      <c r="D540" s="209" t="s">
        <v>3648</v>
      </c>
      <c r="E540" s="209"/>
      <c r="F540" s="209"/>
      <c r="G540" s="209"/>
      <c r="H540" s="210" t="s">
        <v>5056</v>
      </c>
      <c r="I540" s="210"/>
      <c r="J540" s="211"/>
      <c r="K540" s="210"/>
      <c r="L540" s="212" t="s">
        <v>2999</v>
      </c>
      <c r="M540" s="212" t="s">
        <v>2999</v>
      </c>
      <c r="N540" s="213"/>
      <c r="O540" s="263">
        <v>4590006257</v>
      </c>
      <c r="P540" s="214">
        <v>44836</v>
      </c>
      <c r="Q540" s="334">
        <v>1</v>
      </c>
      <c r="R540" s="216">
        <v>913.18</v>
      </c>
      <c r="S540" s="217" t="s">
        <v>2156</v>
      </c>
      <c r="T540" s="209" t="s">
        <v>3661</v>
      </c>
      <c r="U540" s="209" t="s">
        <v>3662</v>
      </c>
      <c r="V540" s="213" t="s">
        <v>3663</v>
      </c>
      <c r="W540" s="218" t="s">
        <v>3652</v>
      </c>
      <c r="X540" s="218" t="s">
        <v>3652</v>
      </c>
      <c r="Y540" s="212" t="s">
        <v>4648</v>
      </c>
      <c r="Z540" s="209" t="s">
        <v>3664</v>
      </c>
      <c r="AA540" s="219"/>
      <c r="AB540" s="218"/>
      <c r="AC540" s="217" t="e">
        <v>#N/A</v>
      </c>
      <c r="AD540" s="217">
        <v>90995</v>
      </c>
      <c r="AE540" s="217" t="s">
        <v>3254</v>
      </c>
      <c r="AF540" s="217" t="s">
        <v>3711</v>
      </c>
      <c r="AG540" s="217" t="s">
        <v>3666</v>
      </c>
      <c r="AH540" s="220" t="str">
        <f t="shared" ref="AH540:AH548" si="34">O540&amp;"_00"&amp;Q540</f>
        <v>4590006257_001</v>
      </c>
      <c r="AI540" s="208"/>
      <c r="AJ540" s="225">
        <v>45108</v>
      </c>
      <c r="AK540" s="221">
        <v>365.27199999999999</v>
      </c>
      <c r="AL540" s="227">
        <v>45260</v>
      </c>
      <c r="AM540" s="208"/>
      <c r="AN540" s="220"/>
      <c r="AO540" s="222"/>
      <c r="AP540" s="227"/>
      <c r="AQ540" s="358">
        <f ca="1">IF(表格1[[#This Row],[PO$]]="","100%",表格1[[#This Row],[total amount]]/表格1[[#This Row],[PO$]])</f>
        <v>0.4</v>
      </c>
      <c r="AR540" s="223">
        <f ca="1">表格1[[#This Row],[invoice amount]]+表格1[[#This Row],[invoice amount2]]</f>
        <v>365.27199999999999</v>
      </c>
      <c r="AS540" s="224" t="s">
        <v>3673</v>
      </c>
      <c r="AT540" s="208"/>
      <c r="AU540" s="208" t="e">
        <f ca="1">VLOOKUP(表格1[[#This Row],[PO+ITEM]],#REF!,2,FALSE)</f>
        <v>#REF!</v>
      </c>
      <c r="AV540" s="341" t="e">
        <f ca="1">VLOOKUP(表格1[[#This Row],[PO+ITEM]],#REF!,3,FALSE)</f>
        <v>#REF!</v>
      </c>
      <c r="AW540" s="208" t="e">
        <f ca="1">VLOOKUP(表格1[[#This Row],[PO+ITEM]],#REF!,4,FALSE)</f>
        <v>#REF!</v>
      </c>
      <c r="AX540" s="208" t="e" cm="1" vm="1">
        <f t="array" aca="1" ref="AX540" ca="1">VLOOKUP(AI:AI,#REF!,1,FALSE)</f>
        <v>#VALUE!</v>
      </c>
    </row>
    <row r="541" spans="1:50" ht="15.6">
      <c r="A541" s="220">
        <v>540</v>
      </c>
      <c r="B541" s="220" t="s">
        <v>3659</v>
      </c>
      <c r="C541" s="209" t="s">
        <v>16</v>
      </c>
      <c r="D541" s="209" t="s">
        <v>3648</v>
      </c>
      <c r="E541" s="209"/>
      <c r="F541" s="209"/>
      <c r="G541" s="209"/>
      <c r="H541" s="210" t="s">
        <v>5057</v>
      </c>
      <c r="I541" s="210"/>
      <c r="J541" s="211"/>
      <c r="K541" s="210"/>
      <c r="L541" s="212" t="s">
        <v>2999</v>
      </c>
      <c r="M541" s="212" t="s">
        <v>2999</v>
      </c>
      <c r="N541" s="213"/>
      <c r="O541" s="263">
        <v>4590006257</v>
      </c>
      <c r="P541" s="214">
        <v>44836</v>
      </c>
      <c r="Q541" s="334">
        <v>2</v>
      </c>
      <c r="R541" s="216">
        <v>95912.23</v>
      </c>
      <c r="S541" s="217" t="s">
        <v>2156</v>
      </c>
      <c r="T541" s="209" t="s">
        <v>3661</v>
      </c>
      <c r="U541" s="209" t="s">
        <v>3662</v>
      </c>
      <c r="V541" s="213" t="s">
        <v>3663</v>
      </c>
      <c r="W541" s="218" t="s">
        <v>3652</v>
      </c>
      <c r="X541" s="218" t="s">
        <v>3652</v>
      </c>
      <c r="Y541" s="212" t="s">
        <v>4648</v>
      </c>
      <c r="Z541" s="209" t="s">
        <v>3664</v>
      </c>
      <c r="AA541" s="219"/>
      <c r="AB541" s="218"/>
      <c r="AC541" s="217" t="e">
        <v>#N/A</v>
      </c>
      <c r="AD541" s="217">
        <v>90999</v>
      </c>
      <c r="AE541" s="217" t="s">
        <v>3271</v>
      </c>
      <c r="AF541" s="217" t="s">
        <v>3711</v>
      </c>
      <c r="AG541" s="217" t="s">
        <v>3666</v>
      </c>
      <c r="AH541" s="220" t="str">
        <f t="shared" si="34"/>
        <v>4590006257_002</v>
      </c>
      <c r="AI541" s="208"/>
      <c r="AJ541" s="225">
        <v>45108</v>
      </c>
      <c r="AK541" s="221">
        <v>38364.892</v>
      </c>
      <c r="AL541" s="258">
        <v>45288</v>
      </c>
      <c r="AM541" s="208"/>
      <c r="AN541" s="220"/>
      <c r="AO541" s="222"/>
      <c r="AP541" s="227"/>
      <c r="AQ541" s="358">
        <f ca="1">IF(表格1[[#This Row],[PO$]]="","100%",表格1[[#This Row],[total amount]]/表格1[[#This Row],[PO$]])</f>
        <v>0.4</v>
      </c>
      <c r="AR541" s="223">
        <f ca="1">表格1[[#This Row],[invoice amount]]+表格1[[#This Row],[invoice amount2]]</f>
        <v>38364.892</v>
      </c>
      <c r="AS541" s="224" t="s">
        <v>3673</v>
      </c>
      <c r="AT541" s="208"/>
      <c r="AU541" s="208" t="e">
        <f ca="1">VLOOKUP(表格1[[#This Row],[PO+ITEM]],#REF!,2,FALSE)</f>
        <v>#REF!</v>
      </c>
      <c r="AV541" s="341" t="e">
        <f ca="1">VLOOKUP(表格1[[#This Row],[PO+ITEM]],#REF!,3,FALSE)</f>
        <v>#REF!</v>
      </c>
      <c r="AW541" s="208" t="e">
        <f ca="1">VLOOKUP(表格1[[#This Row],[PO+ITEM]],#REF!,4,FALSE)</f>
        <v>#REF!</v>
      </c>
      <c r="AX541" s="208" t="e" cm="1" vm="1">
        <f t="array" aca="1" ref="AX541" ca="1">VLOOKUP(AI:AI,#REF!,1,FALSE)</f>
        <v>#VALUE!</v>
      </c>
    </row>
    <row r="542" spans="1:50">
      <c r="A542" s="220">
        <v>541</v>
      </c>
      <c r="B542" s="220" t="s">
        <v>3659</v>
      </c>
      <c r="C542" s="209" t="s">
        <v>16</v>
      </c>
      <c r="D542" s="209" t="s">
        <v>3648</v>
      </c>
      <c r="E542" s="209"/>
      <c r="F542" s="209"/>
      <c r="G542" s="209"/>
      <c r="H542" s="210" t="s">
        <v>5058</v>
      </c>
      <c r="I542" s="210"/>
      <c r="J542" s="211"/>
      <c r="K542" s="210"/>
      <c r="L542" s="212" t="s">
        <v>2999</v>
      </c>
      <c r="M542" s="212" t="s">
        <v>2999</v>
      </c>
      <c r="N542" s="213"/>
      <c r="O542" s="263">
        <v>4590006257</v>
      </c>
      <c r="P542" s="214">
        <v>44836</v>
      </c>
      <c r="Q542" s="334">
        <v>3</v>
      </c>
      <c r="R542" s="216">
        <v>4720.7</v>
      </c>
      <c r="S542" s="217" t="s">
        <v>2156</v>
      </c>
      <c r="T542" s="209" t="s">
        <v>3661</v>
      </c>
      <c r="U542" s="209" t="s">
        <v>3662</v>
      </c>
      <c r="V542" s="213" t="s">
        <v>3663</v>
      </c>
      <c r="W542" s="218" t="s">
        <v>3652</v>
      </c>
      <c r="X542" s="218" t="s">
        <v>3652</v>
      </c>
      <c r="Y542" s="212" t="s">
        <v>4648</v>
      </c>
      <c r="Z542" s="209" t="s">
        <v>3664</v>
      </c>
      <c r="AA542" s="219"/>
      <c r="AB542" s="218"/>
      <c r="AC542" s="217" t="e">
        <v>#N/A</v>
      </c>
      <c r="AD542" s="217">
        <v>91089</v>
      </c>
      <c r="AE542" s="217" t="s">
        <v>5059</v>
      </c>
      <c r="AF542" s="217" t="s">
        <v>3711</v>
      </c>
      <c r="AG542" s="217" t="s">
        <v>3719</v>
      </c>
      <c r="AH542" s="220" t="str">
        <f t="shared" si="34"/>
        <v>4590006257_003</v>
      </c>
      <c r="AI542" s="208"/>
      <c r="AJ542" s="220"/>
      <c r="AK542" s="221"/>
      <c r="AL542" s="227"/>
      <c r="AM542" s="208"/>
      <c r="AN542" s="220"/>
      <c r="AO542" s="222"/>
      <c r="AP542" s="227"/>
      <c r="AQ542" s="358">
        <f ca="1">IF(表格1[[#This Row],[PO$]]="","100%",表格1[[#This Row],[total amount]]/表格1[[#This Row],[PO$]])</f>
        <v>0</v>
      </c>
      <c r="AR542" s="223">
        <f ca="1">表格1[[#This Row],[invoice amount]]+表格1[[#This Row],[invoice amount2]]</f>
        <v>0</v>
      </c>
      <c r="AS542" s="224"/>
      <c r="AT542" s="208"/>
      <c r="AU542" s="208" t="e">
        <f ca="1">VLOOKUP(表格1[[#This Row],[PO+ITEM]],#REF!,2,FALSE)</f>
        <v>#REF!</v>
      </c>
      <c r="AV542" s="341" t="e">
        <f ca="1">VLOOKUP(表格1[[#This Row],[PO+ITEM]],#REF!,3,FALSE)</f>
        <v>#REF!</v>
      </c>
      <c r="AW542" s="208" t="e">
        <f ca="1">VLOOKUP(表格1[[#This Row],[PO+ITEM]],#REF!,4,FALSE)</f>
        <v>#REF!</v>
      </c>
      <c r="AX542" s="208" t="e" cm="1" vm="1">
        <f t="array" aca="1" ref="AX542" ca="1">VLOOKUP(AI:AI,#REF!,1,FALSE)</f>
        <v>#VALUE!</v>
      </c>
    </row>
    <row r="543" spans="1:50">
      <c r="A543" s="220">
        <v>542</v>
      </c>
      <c r="B543" s="220" t="s">
        <v>3659</v>
      </c>
      <c r="C543" s="209" t="s">
        <v>16</v>
      </c>
      <c r="D543" s="209" t="s">
        <v>3648</v>
      </c>
      <c r="E543" s="209"/>
      <c r="F543" s="209"/>
      <c r="G543" s="209"/>
      <c r="H543" s="217" t="s">
        <v>5060</v>
      </c>
      <c r="I543" s="217"/>
      <c r="J543" s="215"/>
      <c r="K543" s="217"/>
      <c r="L543" s="212" t="s">
        <v>2999</v>
      </c>
      <c r="M543" s="212" t="s">
        <v>2999</v>
      </c>
      <c r="N543" s="213"/>
      <c r="O543" s="263">
        <v>4590006257</v>
      </c>
      <c r="P543" s="214">
        <v>44836</v>
      </c>
      <c r="Q543" s="334">
        <v>4</v>
      </c>
      <c r="R543" s="216">
        <v>4720.7</v>
      </c>
      <c r="S543" s="217" t="s">
        <v>2156</v>
      </c>
      <c r="T543" s="209" t="s">
        <v>3661</v>
      </c>
      <c r="U543" s="209" t="s">
        <v>3662</v>
      </c>
      <c r="V543" s="213" t="s">
        <v>3663</v>
      </c>
      <c r="W543" s="218" t="s">
        <v>3652</v>
      </c>
      <c r="X543" s="218" t="s">
        <v>3652</v>
      </c>
      <c r="Y543" s="212" t="s">
        <v>4648</v>
      </c>
      <c r="Z543" s="209" t="s">
        <v>3664</v>
      </c>
      <c r="AA543" s="219"/>
      <c r="AB543" s="218"/>
      <c r="AC543" s="217" t="e">
        <v>#N/A</v>
      </c>
      <c r="AD543" s="217">
        <v>91090</v>
      </c>
      <c r="AE543" s="217" t="s">
        <v>5061</v>
      </c>
      <c r="AF543" s="217" t="s">
        <v>3711</v>
      </c>
      <c r="AG543" s="217" t="s">
        <v>3719</v>
      </c>
      <c r="AH543" s="220" t="str">
        <f t="shared" si="34"/>
        <v>4590006257_004</v>
      </c>
      <c r="AI543" s="208"/>
      <c r="AJ543" s="220"/>
      <c r="AK543" s="221"/>
      <c r="AL543" s="227"/>
      <c r="AM543" s="208"/>
      <c r="AN543" s="220"/>
      <c r="AO543" s="222"/>
      <c r="AP543" s="227"/>
      <c r="AQ543" s="358">
        <f ca="1">IF(表格1[[#This Row],[PO$]]="","100%",表格1[[#This Row],[total amount]]/表格1[[#This Row],[PO$]])</f>
        <v>0</v>
      </c>
      <c r="AR543" s="223">
        <f ca="1">表格1[[#This Row],[invoice amount]]+表格1[[#This Row],[invoice amount2]]</f>
        <v>0</v>
      </c>
      <c r="AS543" s="224"/>
      <c r="AT543" s="208"/>
      <c r="AU543" s="208" t="e">
        <f ca="1">VLOOKUP(表格1[[#This Row],[PO+ITEM]],#REF!,2,FALSE)</f>
        <v>#REF!</v>
      </c>
      <c r="AV543" s="341" t="e">
        <f ca="1">VLOOKUP(表格1[[#This Row],[PO+ITEM]],#REF!,3,FALSE)</f>
        <v>#REF!</v>
      </c>
      <c r="AW543" s="208" t="e">
        <f ca="1">VLOOKUP(表格1[[#This Row],[PO+ITEM]],#REF!,4,FALSE)</f>
        <v>#REF!</v>
      </c>
      <c r="AX543" s="208" t="e" cm="1" vm="1">
        <f t="array" aca="1" ref="AX543" ca="1">VLOOKUP(AI:AI,#REF!,1,FALSE)</f>
        <v>#VALUE!</v>
      </c>
    </row>
    <row r="544" spans="1:50">
      <c r="A544" s="220">
        <v>543</v>
      </c>
      <c r="B544" s="220" t="s">
        <v>3659</v>
      </c>
      <c r="C544" s="209" t="s">
        <v>16</v>
      </c>
      <c r="D544" s="209" t="s">
        <v>3648</v>
      </c>
      <c r="E544" s="209"/>
      <c r="F544" s="209"/>
      <c r="G544" s="209"/>
      <c r="H544" s="210" t="s">
        <v>5062</v>
      </c>
      <c r="I544" s="210"/>
      <c r="J544" s="211"/>
      <c r="K544" s="210"/>
      <c r="L544" s="212" t="s">
        <v>2999</v>
      </c>
      <c r="M544" s="212" t="s">
        <v>2999</v>
      </c>
      <c r="N544" s="213"/>
      <c r="O544" s="263">
        <v>4590006257</v>
      </c>
      <c r="P544" s="214">
        <v>44836</v>
      </c>
      <c r="Q544" s="334">
        <v>5</v>
      </c>
      <c r="R544" s="216">
        <v>4720.7</v>
      </c>
      <c r="S544" s="217" t="s">
        <v>2156</v>
      </c>
      <c r="T544" s="209" t="s">
        <v>3661</v>
      </c>
      <c r="U544" s="209" t="s">
        <v>3662</v>
      </c>
      <c r="V544" s="213" t="s">
        <v>3663</v>
      </c>
      <c r="W544" s="218" t="s">
        <v>3652</v>
      </c>
      <c r="X544" s="218" t="s">
        <v>3652</v>
      </c>
      <c r="Y544" s="212" t="s">
        <v>4648</v>
      </c>
      <c r="Z544" s="209" t="s">
        <v>3664</v>
      </c>
      <c r="AA544" s="219"/>
      <c r="AB544" s="218"/>
      <c r="AC544" s="217" t="e">
        <v>#N/A</v>
      </c>
      <c r="AD544" s="217">
        <v>91091</v>
      </c>
      <c r="AE544" s="217" t="s">
        <v>5063</v>
      </c>
      <c r="AF544" s="217" t="s">
        <v>3711</v>
      </c>
      <c r="AG544" s="217" t="s">
        <v>3719</v>
      </c>
      <c r="AH544" s="220" t="str">
        <f t="shared" si="34"/>
        <v>4590006257_005</v>
      </c>
      <c r="AI544" s="208"/>
      <c r="AJ544" s="225">
        <v>45108</v>
      </c>
      <c r="AK544" s="221">
        <v>1888.28</v>
      </c>
      <c r="AL544" s="227">
        <v>45198</v>
      </c>
      <c r="AM544" s="208"/>
      <c r="AN544" s="220"/>
      <c r="AO544" s="222"/>
      <c r="AP544" s="227"/>
      <c r="AQ544" s="358">
        <f ca="1">IF(表格1[[#This Row],[PO$]]="","100%",表格1[[#This Row],[total amount]]/表格1[[#This Row],[PO$]])</f>
        <v>0.4</v>
      </c>
      <c r="AR544" s="223">
        <f ca="1">表格1[[#This Row],[invoice amount]]+表格1[[#This Row],[invoice amount2]]</f>
        <v>1888.28</v>
      </c>
      <c r="AS544" s="224" t="s">
        <v>3673</v>
      </c>
      <c r="AT544" s="208"/>
      <c r="AU544" s="208" t="e">
        <f ca="1">VLOOKUP(表格1[[#This Row],[PO+ITEM]],#REF!,2,FALSE)</f>
        <v>#REF!</v>
      </c>
      <c r="AV544" s="341" t="e">
        <f ca="1">VLOOKUP(表格1[[#This Row],[PO+ITEM]],#REF!,3,FALSE)</f>
        <v>#REF!</v>
      </c>
      <c r="AW544" s="208" t="e">
        <f ca="1">VLOOKUP(表格1[[#This Row],[PO+ITEM]],#REF!,4,FALSE)</f>
        <v>#REF!</v>
      </c>
      <c r="AX544" s="208" t="e" cm="1" vm="1">
        <f t="array" aca="1" ref="AX544" ca="1">VLOOKUP(AI:AI,#REF!,1,FALSE)</f>
        <v>#VALUE!</v>
      </c>
    </row>
    <row r="545" spans="1:50">
      <c r="A545" s="220">
        <v>544</v>
      </c>
      <c r="B545" s="220" t="s">
        <v>3659</v>
      </c>
      <c r="C545" s="209" t="s">
        <v>16</v>
      </c>
      <c r="D545" s="209" t="s">
        <v>3648</v>
      </c>
      <c r="E545" s="209"/>
      <c r="F545" s="209"/>
      <c r="G545" s="209"/>
      <c r="H545" s="217" t="s">
        <v>5064</v>
      </c>
      <c r="I545" s="217"/>
      <c r="J545" s="215"/>
      <c r="K545" s="217"/>
      <c r="L545" s="212" t="s">
        <v>2999</v>
      </c>
      <c r="M545" s="212" t="s">
        <v>2999</v>
      </c>
      <c r="N545" s="213"/>
      <c r="O545" s="263">
        <v>4590006257</v>
      </c>
      <c r="P545" s="214">
        <v>44836</v>
      </c>
      <c r="Q545" s="334">
        <v>6</v>
      </c>
      <c r="R545" s="216">
        <v>4720.7</v>
      </c>
      <c r="S545" s="217" t="s">
        <v>2156</v>
      </c>
      <c r="T545" s="209" t="s">
        <v>3661</v>
      </c>
      <c r="U545" s="209" t="s">
        <v>3662</v>
      </c>
      <c r="V545" s="213" t="s">
        <v>3663</v>
      </c>
      <c r="W545" s="218" t="s">
        <v>3652</v>
      </c>
      <c r="X545" s="218" t="s">
        <v>3652</v>
      </c>
      <c r="Y545" s="212" t="s">
        <v>4648</v>
      </c>
      <c r="Z545" s="209" t="s">
        <v>3664</v>
      </c>
      <c r="AA545" s="219"/>
      <c r="AB545" s="218"/>
      <c r="AC545" s="217" t="e">
        <v>#N/A</v>
      </c>
      <c r="AD545" s="217">
        <v>91092</v>
      </c>
      <c r="AE545" s="217" t="s">
        <v>5065</v>
      </c>
      <c r="AF545" s="217" t="s">
        <v>3711</v>
      </c>
      <c r="AG545" s="217" t="s">
        <v>3719</v>
      </c>
      <c r="AH545" s="220" t="str">
        <f t="shared" si="34"/>
        <v>4590006257_006</v>
      </c>
      <c r="AI545" s="208"/>
      <c r="AJ545" s="225">
        <v>45108</v>
      </c>
      <c r="AK545" s="221">
        <v>1888.28</v>
      </c>
      <c r="AL545" s="227">
        <v>45198</v>
      </c>
      <c r="AM545" s="208"/>
      <c r="AN545" s="220"/>
      <c r="AO545" s="222"/>
      <c r="AP545" s="227"/>
      <c r="AQ545" s="358">
        <f ca="1">IF(表格1[[#This Row],[PO$]]="","100%",表格1[[#This Row],[total amount]]/表格1[[#This Row],[PO$]])</f>
        <v>0.4</v>
      </c>
      <c r="AR545" s="223">
        <f ca="1">表格1[[#This Row],[invoice amount]]+表格1[[#This Row],[invoice amount2]]</f>
        <v>1888.28</v>
      </c>
      <c r="AS545" s="224" t="s">
        <v>3673</v>
      </c>
      <c r="AT545" s="208"/>
      <c r="AU545" s="208" t="e">
        <f ca="1">VLOOKUP(表格1[[#This Row],[PO+ITEM]],#REF!,2,FALSE)</f>
        <v>#REF!</v>
      </c>
      <c r="AV545" s="341" t="e">
        <f ca="1">VLOOKUP(表格1[[#This Row],[PO+ITEM]],#REF!,3,FALSE)</f>
        <v>#REF!</v>
      </c>
      <c r="AW545" s="208" t="e">
        <f ca="1">VLOOKUP(表格1[[#This Row],[PO+ITEM]],#REF!,4,FALSE)</f>
        <v>#REF!</v>
      </c>
      <c r="AX545" s="208" t="e" cm="1" vm="1">
        <f t="array" aca="1" ref="AX545" ca="1">VLOOKUP(AI:AI,#REF!,1,FALSE)</f>
        <v>#VALUE!</v>
      </c>
    </row>
    <row r="546" spans="1:50">
      <c r="A546" s="220">
        <v>545</v>
      </c>
      <c r="B546" s="220" t="s">
        <v>3659</v>
      </c>
      <c r="C546" s="209" t="s">
        <v>16</v>
      </c>
      <c r="D546" s="209" t="s">
        <v>3648</v>
      </c>
      <c r="E546" s="209"/>
      <c r="F546" s="209"/>
      <c r="G546" s="209"/>
      <c r="H546" s="210" t="s">
        <v>5066</v>
      </c>
      <c r="I546" s="210"/>
      <c r="J546" s="211"/>
      <c r="K546" s="210"/>
      <c r="L546" s="212" t="s">
        <v>2999</v>
      </c>
      <c r="M546" s="212" t="s">
        <v>2999</v>
      </c>
      <c r="N546" s="213"/>
      <c r="O546" s="263">
        <v>4590006257</v>
      </c>
      <c r="P546" s="214">
        <v>44836</v>
      </c>
      <c r="Q546" s="334">
        <v>7</v>
      </c>
      <c r="R546" s="216">
        <v>4720.7</v>
      </c>
      <c r="S546" s="217" t="s">
        <v>2156</v>
      </c>
      <c r="T546" s="209" t="s">
        <v>3661</v>
      </c>
      <c r="U546" s="209" t="s">
        <v>3662</v>
      </c>
      <c r="V546" s="213" t="s">
        <v>3663</v>
      </c>
      <c r="W546" s="218" t="s">
        <v>3652</v>
      </c>
      <c r="X546" s="218" t="s">
        <v>3652</v>
      </c>
      <c r="Y546" s="212" t="s">
        <v>4648</v>
      </c>
      <c r="Z546" s="209" t="s">
        <v>3664</v>
      </c>
      <c r="AA546" s="219"/>
      <c r="AB546" s="218"/>
      <c r="AC546" s="217" t="e">
        <v>#N/A</v>
      </c>
      <c r="AD546" s="217">
        <v>91094</v>
      </c>
      <c r="AE546" s="217" t="s">
        <v>5067</v>
      </c>
      <c r="AF546" s="217" t="s">
        <v>3711</v>
      </c>
      <c r="AG546" s="217" t="s">
        <v>3719</v>
      </c>
      <c r="AH546" s="220" t="str">
        <f t="shared" si="34"/>
        <v>4590006257_007</v>
      </c>
      <c r="AI546" s="208"/>
      <c r="AJ546" s="225">
        <v>45108</v>
      </c>
      <c r="AK546" s="221">
        <v>1888.28</v>
      </c>
      <c r="AL546" s="227">
        <v>45198</v>
      </c>
      <c r="AM546" s="208"/>
      <c r="AN546" s="220"/>
      <c r="AO546" s="222"/>
      <c r="AP546" s="227"/>
      <c r="AQ546" s="358">
        <f ca="1">IF(表格1[[#This Row],[PO$]]="","100%",表格1[[#This Row],[total amount]]/表格1[[#This Row],[PO$]])</f>
        <v>0.4</v>
      </c>
      <c r="AR546" s="223">
        <f ca="1">表格1[[#This Row],[invoice amount]]+表格1[[#This Row],[invoice amount2]]</f>
        <v>1888.28</v>
      </c>
      <c r="AS546" s="224" t="s">
        <v>3673</v>
      </c>
      <c r="AT546" s="208"/>
      <c r="AU546" s="208" t="e">
        <f ca="1">VLOOKUP(表格1[[#This Row],[PO+ITEM]],#REF!,2,FALSE)</f>
        <v>#REF!</v>
      </c>
      <c r="AV546" s="341" t="e">
        <f ca="1">VLOOKUP(表格1[[#This Row],[PO+ITEM]],#REF!,3,FALSE)</f>
        <v>#REF!</v>
      </c>
      <c r="AW546" s="208" t="e">
        <f ca="1">VLOOKUP(表格1[[#This Row],[PO+ITEM]],#REF!,4,FALSE)</f>
        <v>#REF!</v>
      </c>
      <c r="AX546" s="208" t="e" cm="1" vm="1">
        <f t="array" aca="1" ref="AX546" ca="1">VLOOKUP(AI:AI,#REF!,1,FALSE)</f>
        <v>#VALUE!</v>
      </c>
    </row>
    <row r="547" spans="1:50">
      <c r="A547" s="220">
        <v>546</v>
      </c>
      <c r="B547" s="220" t="s">
        <v>3659</v>
      </c>
      <c r="C547" s="209" t="s">
        <v>16</v>
      </c>
      <c r="D547" s="209" t="s">
        <v>3648</v>
      </c>
      <c r="E547" s="209"/>
      <c r="F547" s="209"/>
      <c r="G547" s="209"/>
      <c r="H547" s="210" t="s">
        <v>5068</v>
      </c>
      <c r="I547" s="210"/>
      <c r="J547" s="211"/>
      <c r="K547" s="210"/>
      <c r="L547" s="212" t="s">
        <v>2999</v>
      </c>
      <c r="M547" s="212" t="s">
        <v>2999</v>
      </c>
      <c r="N547" s="213"/>
      <c r="O547" s="263">
        <v>4590006257</v>
      </c>
      <c r="P547" s="214">
        <v>44836</v>
      </c>
      <c r="Q547" s="334">
        <v>8</v>
      </c>
      <c r="R547" s="216">
        <v>4720.7</v>
      </c>
      <c r="S547" s="217" t="s">
        <v>2156</v>
      </c>
      <c r="T547" s="209" t="s">
        <v>3661</v>
      </c>
      <c r="U547" s="209" t="s">
        <v>3662</v>
      </c>
      <c r="V547" s="213" t="s">
        <v>3663</v>
      </c>
      <c r="W547" s="218" t="s">
        <v>3652</v>
      </c>
      <c r="X547" s="218" t="s">
        <v>3652</v>
      </c>
      <c r="Y547" s="212" t="s">
        <v>4648</v>
      </c>
      <c r="Z547" s="209" t="s">
        <v>3664</v>
      </c>
      <c r="AA547" s="219"/>
      <c r="AB547" s="218"/>
      <c r="AC547" s="217" t="e">
        <v>#N/A</v>
      </c>
      <c r="AD547" s="217">
        <v>91095</v>
      </c>
      <c r="AE547" s="217" t="s">
        <v>5069</v>
      </c>
      <c r="AF547" s="217" t="s">
        <v>3711</v>
      </c>
      <c r="AG547" s="217" t="s">
        <v>3719</v>
      </c>
      <c r="AH547" s="220" t="str">
        <f t="shared" si="34"/>
        <v>4590006257_008</v>
      </c>
      <c r="AI547" s="208"/>
      <c r="AJ547" s="225">
        <v>45108</v>
      </c>
      <c r="AK547" s="221">
        <v>1888.28</v>
      </c>
      <c r="AL547" s="227">
        <v>45198</v>
      </c>
      <c r="AM547" s="208"/>
      <c r="AN547" s="220"/>
      <c r="AO547" s="222"/>
      <c r="AP547" s="227"/>
      <c r="AQ547" s="358">
        <f ca="1">IF(表格1[[#This Row],[PO$]]="","100%",表格1[[#This Row],[total amount]]/表格1[[#This Row],[PO$]])</f>
        <v>0.4</v>
      </c>
      <c r="AR547" s="223">
        <f ca="1">表格1[[#This Row],[invoice amount]]+表格1[[#This Row],[invoice amount2]]</f>
        <v>1888.28</v>
      </c>
      <c r="AS547" s="224" t="s">
        <v>3673</v>
      </c>
      <c r="AT547" s="208"/>
      <c r="AU547" s="208" t="e">
        <f ca="1">VLOOKUP(表格1[[#This Row],[PO+ITEM]],#REF!,2,FALSE)</f>
        <v>#REF!</v>
      </c>
      <c r="AV547" s="341" t="e">
        <f ca="1">VLOOKUP(表格1[[#This Row],[PO+ITEM]],#REF!,3,FALSE)</f>
        <v>#REF!</v>
      </c>
      <c r="AW547" s="208" t="e">
        <f ca="1">VLOOKUP(表格1[[#This Row],[PO+ITEM]],#REF!,4,FALSE)</f>
        <v>#REF!</v>
      </c>
      <c r="AX547" s="208" t="e" cm="1" vm="1">
        <f t="array" aca="1" ref="AX547" ca="1">VLOOKUP(AI:AI,#REF!,1,FALSE)</f>
        <v>#VALUE!</v>
      </c>
    </row>
    <row r="548" spans="1:50">
      <c r="A548" s="220">
        <v>547</v>
      </c>
      <c r="B548" s="220" t="s">
        <v>3659</v>
      </c>
      <c r="C548" s="209" t="s">
        <v>16</v>
      </c>
      <c r="D548" s="209" t="s">
        <v>3648</v>
      </c>
      <c r="E548" s="209"/>
      <c r="F548" s="209"/>
      <c r="G548" s="209"/>
      <c r="H548" s="210" t="s">
        <v>5070</v>
      </c>
      <c r="I548" s="210"/>
      <c r="J548" s="211"/>
      <c r="K548" s="210"/>
      <c r="L548" s="212" t="s">
        <v>2999</v>
      </c>
      <c r="M548" s="212" t="s">
        <v>2999</v>
      </c>
      <c r="N548" s="213"/>
      <c r="O548" s="263">
        <v>4590006257</v>
      </c>
      <c r="P548" s="214">
        <v>44836</v>
      </c>
      <c r="Q548" s="334">
        <v>9</v>
      </c>
      <c r="R548" s="216">
        <v>4720.7</v>
      </c>
      <c r="S548" s="217" t="s">
        <v>2156</v>
      </c>
      <c r="T548" s="209" t="s">
        <v>3661</v>
      </c>
      <c r="U548" s="209" t="s">
        <v>3662</v>
      </c>
      <c r="V548" s="213" t="s">
        <v>3663</v>
      </c>
      <c r="W548" s="218" t="s">
        <v>3652</v>
      </c>
      <c r="X548" s="218" t="s">
        <v>3652</v>
      </c>
      <c r="Y548" s="212" t="s">
        <v>4648</v>
      </c>
      <c r="Z548" s="209" t="s">
        <v>3664</v>
      </c>
      <c r="AA548" s="219"/>
      <c r="AB548" s="218"/>
      <c r="AC548" s="217" t="e">
        <v>#N/A</v>
      </c>
      <c r="AD548" s="217">
        <v>91096</v>
      </c>
      <c r="AE548" s="217" t="s">
        <v>5071</v>
      </c>
      <c r="AF548" s="217" t="s">
        <v>3711</v>
      </c>
      <c r="AG548" s="217" t="s">
        <v>3719</v>
      </c>
      <c r="AH548" s="220" t="str">
        <f t="shared" si="34"/>
        <v>4590006257_009</v>
      </c>
      <c r="AI548" s="208"/>
      <c r="AJ548" s="225">
        <v>45108</v>
      </c>
      <c r="AK548" s="221">
        <v>1888.28</v>
      </c>
      <c r="AL548" s="227">
        <v>45198</v>
      </c>
      <c r="AM548" s="208"/>
      <c r="AN548" s="220"/>
      <c r="AO548" s="222"/>
      <c r="AP548" s="227"/>
      <c r="AQ548" s="358">
        <f ca="1">IF(表格1[[#This Row],[PO$]]="","100%",表格1[[#This Row],[total amount]]/表格1[[#This Row],[PO$]])</f>
        <v>0.4</v>
      </c>
      <c r="AR548" s="223">
        <f ca="1">表格1[[#This Row],[invoice amount]]+表格1[[#This Row],[invoice amount2]]</f>
        <v>1888.28</v>
      </c>
      <c r="AS548" s="224" t="s">
        <v>3673</v>
      </c>
      <c r="AT548" s="208"/>
      <c r="AU548" s="208" t="e">
        <f ca="1">VLOOKUP(表格1[[#This Row],[PO+ITEM]],#REF!,2,FALSE)</f>
        <v>#REF!</v>
      </c>
      <c r="AV548" s="341" t="e">
        <f ca="1">VLOOKUP(表格1[[#This Row],[PO+ITEM]],#REF!,3,FALSE)</f>
        <v>#REF!</v>
      </c>
      <c r="AW548" s="208" t="e">
        <f ca="1">VLOOKUP(表格1[[#This Row],[PO+ITEM]],#REF!,4,FALSE)</f>
        <v>#REF!</v>
      </c>
      <c r="AX548" s="208" t="e" cm="1" vm="1">
        <f t="array" aca="1" ref="AX548" ca="1">VLOOKUP(AI:AI,#REF!,1,FALSE)</f>
        <v>#VALUE!</v>
      </c>
    </row>
    <row r="549" spans="1:50">
      <c r="A549" s="220">
        <v>548</v>
      </c>
      <c r="B549" s="220" t="s">
        <v>3659</v>
      </c>
      <c r="C549" s="209" t="s">
        <v>16</v>
      </c>
      <c r="D549" s="209" t="s">
        <v>3648</v>
      </c>
      <c r="E549" s="209"/>
      <c r="F549" s="209"/>
      <c r="G549" s="209"/>
      <c r="H549" s="210" t="s">
        <v>5072</v>
      </c>
      <c r="I549" s="210"/>
      <c r="J549" s="211"/>
      <c r="K549" s="210"/>
      <c r="L549" s="212" t="s">
        <v>2999</v>
      </c>
      <c r="M549" s="212" t="s">
        <v>2999</v>
      </c>
      <c r="N549" s="213"/>
      <c r="O549" s="263">
        <v>4590006257</v>
      </c>
      <c r="P549" s="214">
        <v>44836</v>
      </c>
      <c r="Q549" s="334">
        <v>10</v>
      </c>
      <c r="R549" s="216">
        <v>4720.7</v>
      </c>
      <c r="S549" s="217" t="s">
        <v>2156</v>
      </c>
      <c r="T549" s="209" t="s">
        <v>3661</v>
      </c>
      <c r="U549" s="209" t="s">
        <v>3662</v>
      </c>
      <c r="V549" s="213" t="s">
        <v>3663</v>
      </c>
      <c r="W549" s="218" t="s">
        <v>3652</v>
      </c>
      <c r="X549" s="218" t="s">
        <v>3652</v>
      </c>
      <c r="Y549" s="212" t="s">
        <v>4648</v>
      </c>
      <c r="Z549" s="209" t="s">
        <v>3664</v>
      </c>
      <c r="AA549" s="219"/>
      <c r="AB549" s="218"/>
      <c r="AC549" s="217" t="e">
        <v>#N/A</v>
      </c>
      <c r="AD549" s="217">
        <v>91097</v>
      </c>
      <c r="AE549" s="217" t="s">
        <v>5073</v>
      </c>
      <c r="AF549" s="217" t="s">
        <v>3711</v>
      </c>
      <c r="AG549" s="217" t="s">
        <v>3719</v>
      </c>
      <c r="AH549" s="220" t="str">
        <f t="shared" ref="AH549:AH566" si="35">O549&amp;"_0"&amp;Q549</f>
        <v>4590006257_010</v>
      </c>
      <c r="AI549" s="208"/>
      <c r="AJ549" s="220"/>
      <c r="AK549" s="221"/>
      <c r="AL549" s="227"/>
      <c r="AM549" s="208"/>
      <c r="AN549" s="220"/>
      <c r="AO549" s="222"/>
      <c r="AP549" s="227"/>
      <c r="AQ549" s="358">
        <f ca="1">IF(表格1[[#This Row],[PO$]]="","100%",表格1[[#This Row],[total amount]]/表格1[[#This Row],[PO$]])</f>
        <v>0</v>
      </c>
      <c r="AR549" s="223">
        <f ca="1">表格1[[#This Row],[invoice amount]]+表格1[[#This Row],[invoice amount2]]</f>
        <v>0</v>
      </c>
      <c r="AS549" s="224"/>
      <c r="AT549" s="208"/>
      <c r="AU549" s="208" t="e">
        <f ca="1">VLOOKUP(表格1[[#This Row],[PO+ITEM]],#REF!,2,FALSE)</f>
        <v>#REF!</v>
      </c>
      <c r="AV549" s="341" t="e">
        <f ca="1">VLOOKUP(表格1[[#This Row],[PO+ITEM]],#REF!,3,FALSE)</f>
        <v>#REF!</v>
      </c>
      <c r="AW549" s="208" t="e">
        <f ca="1">VLOOKUP(表格1[[#This Row],[PO+ITEM]],#REF!,4,FALSE)</f>
        <v>#REF!</v>
      </c>
      <c r="AX549" s="208" t="e" cm="1" vm="1">
        <f t="array" aca="1" ref="AX549" ca="1">VLOOKUP(AI:AI,#REF!,1,FALSE)</f>
        <v>#VALUE!</v>
      </c>
    </row>
    <row r="550" spans="1:50">
      <c r="A550" s="220">
        <v>549</v>
      </c>
      <c r="B550" s="220" t="s">
        <v>3659</v>
      </c>
      <c r="C550" s="209" t="s">
        <v>16</v>
      </c>
      <c r="D550" s="209" t="s">
        <v>3648</v>
      </c>
      <c r="E550" s="209"/>
      <c r="F550" s="209"/>
      <c r="G550" s="209"/>
      <c r="H550" s="210" t="s">
        <v>5074</v>
      </c>
      <c r="I550" s="210"/>
      <c r="J550" s="211"/>
      <c r="K550" s="210"/>
      <c r="L550" s="212" t="s">
        <v>2999</v>
      </c>
      <c r="M550" s="212" t="s">
        <v>2999</v>
      </c>
      <c r="N550" s="213"/>
      <c r="O550" s="263">
        <v>4590006257</v>
      </c>
      <c r="P550" s="214">
        <v>44836</v>
      </c>
      <c r="Q550" s="334">
        <v>11</v>
      </c>
      <c r="R550" s="216">
        <v>4720.7</v>
      </c>
      <c r="S550" s="217" t="s">
        <v>2156</v>
      </c>
      <c r="T550" s="209" t="s">
        <v>3661</v>
      </c>
      <c r="U550" s="209" t="s">
        <v>3662</v>
      </c>
      <c r="V550" s="213" t="s">
        <v>3663</v>
      </c>
      <c r="W550" s="218" t="s">
        <v>3652</v>
      </c>
      <c r="X550" s="218" t="s">
        <v>3652</v>
      </c>
      <c r="Y550" s="212" t="s">
        <v>4648</v>
      </c>
      <c r="Z550" s="209" t="s">
        <v>3664</v>
      </c>
      <c r="AA550" s="219"/>
      <c r="AB550" s="218"/>
      <c r="AC550" s="217" t="e">
        <v>#N/A</v>
      </c>
      <c r="AD550" s="217">
        <v>91098</v>
      </c>
      <c r="AE550" s="217" t="s">
        <v>5075</v>
      </c>
      <c r="AF550" s="217" t="s">
        <v>3711</v>
      </c>
      <c r="AG550" s="217" t="s">
        <v>3719</v>
      </c>
      <c r="AH550" s="220" t="str">
        <f t="shared" si="35"/>
        <v>4590006257_011</v>
      </c>
      <c r="AI550" s="208"/>
      <c r="AJ550" s="225">
        <v>45108</v>
      </c>
      <c r="AK550" s="221">
        <v>1888.28</v>
      </c>
      <c r="AL550" s="227">
        <v>45198</v>
      </c>
      <c r="AM550" s="208"/>
      <c r="AN550" s="220"/>
      <c r="AO550" s="222"/>
      <c r="AP550" s="227"/>
      <c r="AQ550" s="358">
        <f ca="1">IF(表格1[[#This Row],[PO$]]="","100%",表格1[[#This Row],[total amount]]/表格1[[#This Row],[PO$]])</f>
        <v>0.4</v>
      </c>
      <c r="AR550" s="223">
        <f ca="1">表格1[[#This Row],[invoice amount]]+表格1[[#This Row],[invoice amount2]]</f>
        <v>1888.28</v>
      </c>
      <c r="AS550" s="224" t="s">
        <v>3673</v>
      </c>
      <c r="AT550" s="208"/>
      <c r="AU550" s="208" t="e">
        <f ca="1">VLOOKUP(表格1[[#This Row],[PO+ITEM]],#REF!,2,FALSE)</f>
        <v>#REF!</v>
      </c>
      <c r="AV550" s="341" t="e">
        <f ca="1">VLOOKUP(表格1[[#This Row],[PO+ITEM]],#REF!,3,FALSE)</f>
        <v>#REF!</v>
      </c>
      <c r="AW550" s="208" t="e">
        <f ca="1">VLOOKUP(表格1[[#This Row],[PO+ITEM]],#REF!,4,FALSE)</f>
        <v>#REF!</v>
      </c>
      <c r="AX550" s="208" t="e" cm="1" vm="1">
        <f t="array" aca="1" ref="AX550" ca="1">VLOOKUP(AI:AI,#REF!,1,FALSE)</f>
        <v>#VALUE!</v>
      </c>
    </row>
    <row r="551" spans="1:50">
      <c r="A551" s="220">
        <v>550</v>
      </c>
      <c r="B551" s="220" t="s">
        <v>3659</v>
      </c>
      <c r="C551" s="209" t="s">
        <v>16</v>
      </c>
      <c r="D551" s="209" t="s">
        <v>3648</v>
      </c>
      <c r="E551" s="209"/>
      <c r="F551" s="209"/>
      <c r="G551" s="209"/>
      <c r="H551" s="210" t="s">
        <v>5076</v>
      </c>
      <c r="I551" s="210"/>
      <c r="J551" s="211"/>
      <c r="K551" s="210"/>
      <c r="L551" s="212" t="s">
        <v>2999</v>
      </c>
      <c r="M551" s="212" t="s">
        <v>2999</v>
      </c>
      <c r="N551" s="213"/>
      <c r="O551" s="263">
        <v>4590006257</v>
      </c>
      <c r="P551" s="214">
        <v>44836</v>
      </c>
      <c r="Q551" s="334">
        <v>12</v>
      </c>
      <c r="R551" s="216">
        <v>4720.7</v>
      </c>
      <c r="S551" s="217" t="s">
        <v>2156</v>
      </c>
      <c r="T551" s="209" t="s">
        <v>3661</v>
      </c>
      <c r="U551" s="209" t="s">
        <v>3662</v>
      </c>
      <c r="V551" s="213" t="s">
        <v>3663</v>
      </c>
      <c r="W551" s="218" t="s">
        <v>3652</v>
      </c>
      <c r="X551" s="218" t="s">
        <v>3652</v>
      </c>
      <c r="Y551" s="212" t="s">
        <v>4648</v>
      </c>
      <c r="Z551" s="209" t="s">
        <v>3664</v>
      </c>
      <c r="AA551" s="219"/>
      <c r="AB551" s="218"/>
      <c r="AC551" s="217" t="e">
        <v>#N/A</v>
      </c>
      <c r="AD551" s="217">
        <v>91099</v>
      </c>
      <c r="AE551" s="217" t="s">
        <v>5077</v>
      </c>
      <c r="AF551" s="217" t="s">
        <v>3711</v>
      </c>
      <c r="AG551" s="217" t="s">
        <v>3719</v>
      </c>
      <c r="AH551" s="220" t="str">
        <f t="shared" si="35"/>
        <v>4590006257_012</v>
      </c>
      <c r="AI551" s="208"/>
      <c r="AJ551" s="220"/>
      <c r="AK551" s="221"/>
      <c r="AL551" s="227"/>
      <c r="AM551" s="208"/>
      <c r="AN551" s="220"/>
      <c r="AO551" s="222"/>
      <c r="AP551" s="227"/>
      <c r="AQ551" s="358">
        <f ca="1">IF(表格1[[#This Row],[PO$]]="","100%",表格1[[#This Row],[total amount]]/表格1[[#This Row],[PO$]])</f>
        <v>0</v>
      </c>
      <c r="AR551" s="223">
        <f ca="1">表格1[[#This Row],[invoice amount]]+表格1[[#This Row],[invoice amount2]]</f>
        <v>0</v>
      </c>
      <c r="AS551" s="224"/>
      <c r="AT551" s="208"/>
      <c r="AU551" s="208" t="e">
        <f ca="1">VLOOKUP(表格1[[#This Row],[PO+ITEM]],#REF!,2,FALSE)</f>
        <v>#REF!</v>
      </c>
      <c r="AV551" s="341" t="e">
        <f ca="1">VLOOKUP(表格1[[#This Row],[PO+ITEM]],#REF!,3,FALSE)</f>
        <v>#REF!</v>
      </c>
      <c r="AW551" s="208" t="e">
        <f ca="1">VLOOKUP(表格1[[#This Row],[PO+ITEM]],#REF!,4,FALSE)</f>
        <v>#REF!</v>
      </c>
      <c r="AX551" s="208" t="e" cm="1" vm="1">
        <f t="array" aca="1" ref="AX551" ca="1">VLOOKUP(AI:AI,#REF!,1,FALSE)</f>
        <v>#VALUE!</v>
      </c>
    </row>
    <row r="552" spans="1:50">
      <c r="A552" s="220">
        <v>551</v>
      </c>
      <c r="B552" s="220" t="s">
        <v>3659</v>
      </c>
      <c r="C552" s="209" t="s">
        <v>16</v>
      </c>
      <c r="D552" s="209" t="s">
        <v>3648</v>
      </c>
      <c r="E552" s="209"/>
      <c r="F552" s="209"/>
      <c r="G552" s="209"/>
      <c r="H552" s="210" t="s">
        <v>5078</v>
      </c>
      <c r="I552" s="210"/>
      <c r="J552" s="211"/>
      <c r="K552" s="210"/>
      <c r="L552" s="212" t="s">
        <v>2999</v>
      </c>
      <c r="M552" s="212" t="s">
        <v>2999</v>
      </c>
      <c r="N552" s="213"/>
      <c r="O552" s="263">
        <v>4590006257</v>
      </c>
      <c r="P552" s="214">
        <v>44836</v>
      </c>
      <c r="Q552" s="334">
        <v>13</v>
      </c>
      <c r="R552" s="216">
        <v>4720.7</v>
      </c>
      <c r="S552" s="217" t="s">
        <v>2156</v>
      </c>
      <c r="T552" s="209" t="s">
        <v>3661</v>
      </c>
      <c r="U552" s="209" t="s">
        <v>3662</v>
      </c>
      <c r="V552" s="213" t="s">
        <v>3663</v>
      </c>
      <c r="W552" s="218" t="s">
        <v>3652</v>
      </c>
      <c r="X552" s="218" t="s">
        <v>3652</v>
      </c>
      <c r="Y552" s="212" t="s">
        <v>4648</v>
      </c>
      <c r="Z552" s="209" t="s">
        <v>3664</v>
      </c>
      <c r="AA552" s="219"/>
      <c r="AB552" s="218"/>
      <c r="AC552" s="217" t="e">
        <v>#N/A</v>
      </c>
      <c r="AD552" s="217">
        <v>91101</v>
      </c>
      <c r="AE552" s="217" t="s">
        <v>5079</v>
      </c>
      <c r="AF552" s="217" t="s">
        <v>3711</v>
      </c>
      <c r="AG552" s="217" t="s">
        <v>3719</v>
      </c>
      <c r="AH552" s="220" t="str">
        <f t="shared" si="35"/>
        <v>4590006257_013</v>
      </c>
      <c r="AI552" s="208"/>
      <c r="AJ552" s="225">
        <v>45108</v>
      </c>
      <c r="AK552" s="221">
        <v>1888.28</v>
      </c>
      <c r="AL552" s="227">
        <v>45198</v>
      </c>
      <c r="AM552" s="208"/>
      <c r="AN552" s="220"/>
      <c r="AO552" s="222"/>
      <c r="AP552" s="227"/>
      <c r="AQ552" s="358">
        <f ca="1">IF(表格1[[#This Row],[PO$]]="","100%",表格1[[#This Row],[total amount]]/表格1[[#This Row],[PO$]])</f>
        <v>0.4</v>
      </c>
      <c r="AR552" s="223">
        <f ca="1">表格1[[#This Row],[invoice amount]]+表格1[[#This Row],[invoice amount2]]</f>
        <v>1888.28</v>
      </c>
      <c r="AS552" s="224" t="s">
        <v>3673</v>
      </c>
      <c r="AT552" s="208"/>
      <c r="AU552" s="208" t="e">
        <f ca="1">VLOOKUP(表格1[[#This Row],[PO+ITEM]],#REF!,2,FALSE)</f>
        <v>#REF!</v>
      </c>
      <c r="AV552" s="341" t="e">
        <f ca="1">VLOOKUP(表格1[[#This Row],[PO+ITEM]],#REF!,3,FALSE)</f>
        <v>#REF!</v>
      </c>
      <c r="AW552" s="208" t="e">
        <f ca="1">VLOOKUP(表格1[[#This Row],[PO+ITEM]],#REF!,4,FALSE)</f>
        <v>#REF!</v>
      </c>
      <c r="AX552" s="208" t="e" cm="1" vm="1">
        <f t="array" aca="1" ref="AX552" ca="1">VLOOKUP(AI:AI,#REF!,1,FALSE)</f>
        <v>#VALUE!</v>
      </c>
    </row>
    <row r="553" spans="1:50">
      <c r="A553" s="220">
        <v>552</v>
      </c>
      <c r="B553" s="220" t="s">
        <v>3659</v>
      </c>
      <c r="C553" s="209" t="s">
        <v>16</v>
      </c>
      <c r="D553" s="209" t="s">
        <v>3648</v>
      </c>
      <c r="E553" s="209"/>
      <c r="F553" s="209"/>
      <c r="G553" s="209"/>
      <c r="H553" s="217" t="s">
        <v>5080</v>
      </c>
      <c r="I553" s="217"/>
      <c r="J553" s="215"/>
      <c r="K553" s="217"/>
      <c r="L553" s="212" t="s">
        <v>2206</v>
      </c>
      <c r="M553" s="212" t="s">
        <v>2999</v>
      </c>
      <c r="N553" s="213"/>
      <c r="O553" s="263">
        <v>4590006257</v>
      </c>
      <c r="P553" s="214">
        <v>44836</v>
      </c>
      <c r="Q553" s="334">
        <v>14</v>
      </c>
      <c r="R553" s="216">
        <v>28348.33</v>
      </c>
      <c r="S553" s="217" t="s">
        <v>2156</v>
      </c>
      <c r="T553" s="209" t="s">
        <v>3661</v>
      </c>
      <c r="U553" s="209" t="s">
        <v>3662</v>
      </c>
      <c r="V553" s="213" t="s">
        <v>3663</v>
      </c>
      <c r="W553" s="218" t="s">
        <v>3652</v>
      </c>
      <c r="X553" s="218" t="s">
        <v>3652</v>
      </c>
      <c r="Y553" s="212" t="s">
        <v>4648</v>
      </c>
      <c r="Z553" s="209" t="s">
        <v>3664</v>
      </c>
      <c r="AA553" s="219"/>
      <c r="AB553" s="218"/>
      <c r="AC553" s="217" t="e">
        <v>#N/A</v>
      </c>
      <c r="AD553" s="217">
        <v>91232</v>
      </c>
      <c r="AE553" s="217" t="s">
        <v>5081</v>
      </c>
      <c r="AF553" s="217" t="s">
        <v>3711</v>
      </c>
      <c r="AG553" s="217" t="s">
        <v>846</v>
      </c>
      <c r="AH553" s="220" t="str">
        <f t="shared" si="35"/>
        <v>4590006257_014</v>
      </c>
      <c r="AI553" s="208"/>
      <c r="AJ553" s="220"/>
      <c r="AK553" s="221"/>
      <c r="AL553" s="227"/>
      <c r="AM553" s="208"/>
      <c r="AN553" s="220"/>
      <c r="AO553" s="222"/>
      <c r="AP553" s="227"/>
      <c r="AQ553" s="358">
        <f ca="1">IF(表格1[[#This Row],[PO$]]="","100%",表格1[[#This Row],[total amount]]/表格1[[#This Row],[PO$]])</f>
        <v>0</v>
      </c>
      <c r="AR553" s="223">
        <f ca="1">表格1[[#This Row],[invoice amount]]+表格1[[#This Row],[invoice amount2]]</f>
        <v>0</v>
      </c>
      <c r="AS553" s="224"/>
      <c r="AT553" s="208"/>
      <c r="AU553" s="208" t="e">
        <f ca="1">VLOOKUP(表格1[[#This Row],[PO+ITEM]],#REF!,2,FALSE)</f>
        <v>#REF!</v>
      </c>
      <c r="AV553" s="341" t="e">
        <f ca="1">VLOOKUP(表格1[[#This Row],[PO+ITEM]],#REF!,3,FALSE)</f>
        <v>#REF!</v>
      </c>
      <c r="AW553" s="208" t="e">
        <f ca="1">VLOOKUP(表格1[[#This Row],[PO+ITEM]],#REF!,4,FALSE)</f>
        <v>#REF!</v>
      </c>
      <c r="AX553" s="208" t="e" cm="1" vm="1">
        <f t="array" aca="1" ref="AX553" ca="1">VLOOKUP(AI:AI,#REF!,1,FALSE)</f>
        <v>#VALUE!</v>
      </c>
    </row>
    <row r="554" spans="1:50">
      <c r="A554" s="220">
        <v>553</v>
      </c>
      <c r="B554" s="220" t="s">
        <v>3659</v>
      </c>
      <c r="C554" s="209" t="s">
        <v>16</v>
      </c>
      <c r="D554" s="209" t="s">
        <v>3648</v>
      </c>
      <c r="E554" s="209"/>
      <c r="F554" s="209"/>
      <c r="G554" s="209"/>
      <c r="H554" s="210" t="s">
        <v>5082</v>
      </c>
      <c r="I554" s="210"/>
      <c r="J554" s="211"/>
      <c r="K554" s="210"/>
      <c r="L554" s="212" t="s">
        <v>2206</v>
      </c>
      <c r="M554" s="212" t="s">
        <v>2999</v>
      </c>
      <c r="N554" s="213"/>
      <c r="O554" s="263">
        <v>4590006257</v>
      </c>
      <c r="P554" s="214">
        <v>44836</v>
      </c>
      <c r="Q554" s="334">
        <v>15</v>
      </c>
      <c r="R554" s="216">
        <v>913.18</v>
      </c>
      <c r="S554" s="217" t="s">
        <v>2156</v>
      </c>
      <c r="T554" s="209" t="s">
        <v>3661</v>
      </c>
      <c r="U554" s="209" t="s">
        <v>3662</v>
      </c>
      <c r="V554" s="213" t="s">
        <v>3663</v>
      </c>
      <c r="W554" s="218" t="s">
        <v>3652</v>
      </c>
      <c r="X554" s="218" t="s">
        <v>3652</v>
      </c>
      <c r="Y554" s="212" t="s">
        <v>4648</v>
      </c>
      <c r="Z554" s="209" t="s">
        <v>3664</v>
      </c>
      <c r="AA554" s="219"/>
      <c r="AB554" s="218"/>
      <c r="AC554" s="217" t="e">
        <v>#N/A</v>
      </c>
      <c r="AD554" s="217">
        <v>91235</v>
      </c>
      <c r="AE554" s="217" t="s">
        <v>5083</v>
      </c>
      <c r="AF554" s="217" t="s">
        <v>3711</v>
      </c>
      <c r="AG554" s="217" t="s">
        <v>846</v>
      </c>
      <c r="AH554" s="220" t="str">
        <f t="shared" si="35"/>
        <v>4590006257_015</v>
      </c>
      <c r="AI554" s="208"/>
      <c r="AJ554" s="225">
        <v>45108</v>
      </c>
      <c r="AK554" s="221">
        <v>365.27199999999999</v>
      </c>
      <c r="AL554" s="227">
        <v>45198</v>
      </c>
      <c r="AM554" s="208"/>
      <c r="AN554" s="220"/>
      <c r="AO554" s="222"/>
      <c r="AP554" s="227"/>
      <c r="AQ554" s="358">
        <f ca="1">IF(表格1[[#This Row],[PO$]]="","100%",表格1[[#This Row],[total amount]]/表格1[[#This Row],[PO$]])</f>
        <v>0.4</v>
      </c>
      <c r="AR554" s="223">
        <f ca="1">表格1[[#This Row],[invoice amount]]+表格1[[#This Row],[invoice amount2]]</f>
        <v>365.27199999999999</v>
      </c>
      <c r="AS554" s="224" t="s">
        <v>3673</v>
      </c>
      <c r="AT554" s="208"/>
      <c r="AU554" s="208" t="e">
        <f ca="1">VLOOKUP(表格1[[#This Row],[PO+ITEM]],#REF!,2,FALSE)</f>
        <v>#REF!</v>
      </c>
      <c r="AV554" s="341" t="e">
        <f ca="1">VLOOKUP(表格1[[#This Row],[PO+ITEM]],#REF!,3,FALSE)</f>
        <v>#REF!</v>
      </c>
      <c r="AW554" s="208" t="e">
        <f ca="1">VLOOKUP(表格1[[#This Row],[PO+ITEM]],#REF!,4,FALSE)</f>
        <v>#REF!</v>
      </c>
      <c r="AX554" s="208" t="e" cm="1" vm="1">
        <f t="array" aca="1" ref="AX554" ca="1">VLOOKUP(AI:AI,#REF!,1,FALSE)</f>
        <v>#VALUE!</v>
      </c>
    </row>
    <row r="555" spans="1:50">
      <c r="A555" s="220">
        <v>554</v>
      </c>
      <c r="B555" s="220" t="s">
        <v>3659</v>
      </c>
      <c r="C555" s="209" t="s">
        <v>16</v>
      </c>
      <c r="D555" s="209" t="s">
        <v>3648</v>
      </c>
      <c r="E555" s="209"/>
      <c r="F555" s="209"/>
      <c r="G555" s="209"/>
      <c r="H555" s="210" t="s">
        <v>5084</v>
      </c>
      <c r="I555" s="210"/>
      <c r="J555" s="211"/>
      <c r="K555" s="210"/>
      <c r="L555" s="212" t="s">
        <v>2999</v>
      </c>
      <c r="M555" s="212" t="s">
        <v>2999</v>
      </c>
      <c r="N555" s="213"/>
      <c r="O555" s="263">
        <v>4590006257</v>
      </c>
      <c r="P555" s="214">
        <v>44836</v>
      </c>
      <c r="Q555" s="334">
        <v>16</v>
      </c>
      <c r="R555" s="216">
        <v>1369.77</v>
      </c>
      <c r="S555" s="217" t="s">
        <v>2156</v>
      </c>
      <c r="T555" s="209" t="s">
        <v>3661</v>
      </c>
      <c r="U555" s="209" t="s">
        <v>3662</v>
      </c>
      <c r="V555" s="213" t="s">
        <v>3663</v>
      </c>
      <c r="W555" s="218" t="s">
        <v>3652</v>
      </c>
      <c r="X555" s="218" t="s">
        <v>3652</v>
      </c>
      <c r="Y555" s="212" t="s">
        <v>4648</v>
      </c>
      <c r="Z555" s="209" t="s">
        <v>3664</v>
      </c>
      <c r="AA555" s="219"/>
      <c r="AB555" s="218"/>
      <c r="AC555" s="217" t="e">
        <v>#N/A</v>
      </c>
      <c r="AD555" s="217">
        <v>91310</v>
      </c>
      <c r="AE555" s="217" t="s">
        <v>3190</v>
      </c>
      <c r="AF555" s="217" t="s">
        <v>3711</v>
      </c>
      <c r="AG555" s="217" t="s">
        <v>3666</v>
      </c>
      <c r="AH555" s="220" t="str">
        <f t="shared" si="35"/>
        <v>4590006257_016</v>
      </c>
      <c r="AI555" s="208"/>
      <c r="AJ555" s="225">
        <v>45108</v>
      </c>
      <c r="AK555" s="221">
        <v>547.90800000000002</v>
      </c>
      <c r="AL555" s="227">
        <v>45260</v>
      </c>
      <c r="AM555" s="208"/>
      <c r="AN555" s="220"/>
      <c r="AO555" s="222"/>
      <c r="AP555" s="227"/>
      <c r="AQ555" s="358">
        <f ca="1">IF(表格1[[#This Row],[PO$]]="","100%",表格1[[#This Row],[total amount]]/表格1[[#This Row],[PO$]])</f>
        <v>0.4</v>
      </c>
      <c r="AR555" s="223">
        <f ca="1">表格1[[#This Row],[invoice amount]]+表格1[[#This Row],[invoice amount2]]</f>
        <v>547.90800000000002</v>
      </c>
      <c r="AS555" s="224" t="s">
        <v>3673</v>
      </c>
      <c r="AT555" s="208"/>
      <c r="AU555" s="208" t="e">
        <f ca="1">VLOOKUP(表格1[[#This Row],[PO+ITEM]],#REF!,2,FALSE)</f>
        <v>#REF!</v>
      </c>
      <c r="AV555" s="341" t="e">
        <f ca="1">VLOOKUP(表格1[[#This Row],[PO+ITEM]],#REF!,3,FALSE)</f>
        <v>#REF!</v>
      </c>
      <c r="AW555" s="208" t="e">
        <f ca="1">VLOOKUP(表格1[[#This Row],[PO+ITEM]],#REF!,4,FALSE)</f>
        <v>#REF!</v>
      </c>
      <c r="AX555" s="208" t="e" cm="1" vm="1">
        <f t="array" aca="1" ref="AX555" ca="1">VLOOKUP(AI:AI,#REF!,1,FALSE)</f>
        <v>#VALUE!</v>
      </c>
    </row>
    <row r="556" spans="1:50">
      <c r="A556" s="220">
        <v>555</v>
      </c>
      <c r="B556" s="220" t="s">
        <v>3659</v>
      </c>
      <c r="C556" s="209" t="s">
        <v>16</v>
      </c>
      <c r="D556" s="209" t="s">
        <v>3648</v>
      </c>
      <c r="E556" s="209"/>
      <c r="F556" s="209"/>
      <c r="G556" s="209"/>
      <c r="H556" s="210" t="s">
        <v>5085</v>
      </c>
      <c r="I556" s="210"/>
      <c r="J556" s="211"/>
      <c r="K556" s="210"/>
      <c r="L556" s="212" t="s">
        <v>2999</v>
      </c>
      <c r="M556" s="212" t="s">
        <v>2999</v>
      </c>
      <c r="N556" s="213"/>
      <c r="O556" s="263">
        <v>4590006257</v>
      </c>
      <c r="P556" s="214">
        <v>44836</v>
      </c>
      <c r="Q556" s="334">
        <v>17</v>
      </c>
      <c r="R556" s="216">
        <v>61402.51</v>
      </c>
      <c r="S556" s="217" t="s">
        <v>2156</v>
      </c>
      <c r="T556" s="209" t="s">
        <v>3661</v>
      </c>
      <c r="U556" s="209" t="s">
        <v>3662</v>
      </c>
      <c r="V556" s="213" t="s">
        <v>3663</v>
      </c>
      <c r="W556" s="218" t="s">
        <v>3652</v>
      </c>
      <c r="X556" s="218" t="s">
        <v>3652</v>
      </c>
      <c r="Y556" s="212" t="s">
        <v>4648</v>
      </c>
      <c r="Z556" s="209" t="s">
        <v>3664</v>
      </c>
      <c r="AA556" s="219"/>
      <c r="AB556" s="218"/>
      <c r="AC556" s="217" t="e">
        <v>#N/A</v>
      </c>
      <c r="AD556" s="217">
        <v>91311</v>
      </c>
      <c r="AE556" s="217" t="s">
        <v>3289</v>
      </c>
      <c r="AF556" s="217" t="s">
        <v>3711</v>
      </c>
      <c r="AG556" s="217" t="s">
        <v>3666</v>
      </c>
      <c r="AH556" s="220" t="str">
        <f t="shared" si="35"/>
        <v>4590006257_017</v>
      </c>
      <c r="AI556" s="208"/>
      <c r="AJ556" s="220"/>
      <c r="AK556" s="221"/>
      <c r="AL556" s="227"/>
      <c r="AM556" s="208"/>
      <c r="AN556" s="220"/>
      <c r="AO556" s="222"/>
      <c r="AP556" s="227"/>
      <c r="AQ556" s="358">
        <f ca="1">IF(表格1[[#This Row],[PO$]]="","100%",表格1[[#This Row],[total amount]]/表格1[[#This Row],[PO$]])</f>
        <v>0</v>
      </c>
      <c r="AR556" s="223">
        <f ca="1">表格1[[#This Row],[invoice amount]]+表格1[[#This Row],[invoice amount2]]</f>
        <v>0</v>
      </c>
      <c r="AS556" s="224"/>
      <c r="AT556" s="208"/>
      <c r="AU556" s="208" t="e">
        <f ca="1">VLOOKUP(表格1[[#This Row],[PO+ITEM]],#REF!,2,FALSE)</f>
        <v>#REF!</v>
      </c>
      <c r="AV556" s="341" t="e">
        <f ca="1">VLOOKUP(表格1[[#This Row],[PO+ITEM]],#REF!,3,FALSE)</f>
        <v>#REF!</v>
      </c>
      <c r="AW556" s="208" t="e">
        <f ca="1">VLOOKUP(表格1[[#This Row],[PO+ITEM]],#REF!,4,FALSE)</f>
        <v>#REF!</v>
      </c>
      <c r="AX556" s="208" t="e" cm="1" vm="1">
        <f t="array" aca="1" ref="AX556" ca="1">VLOOKUP(AI:AI,#REF!,1,FALSE)</f>
        <v>#VALUE!</v>
      </c>
    </row>
    <row r="557" spans="1:50">
      <c r="A557" s="220">
        <v>556</v>
      </c>
      <c r="B557" s="220" t="s">
        <v>3659</v>
      </c>
      <c r="C557" s="209" t="s">
        <v>16</v>
      </c>
      <c r="D557" s="209" t="s">
        <v>3648</v>
      </c>
      <c r="E557" s="209"/>
      <c r="F557" s="209"/>
      <c r="G557" s="209"/>
      <c r="H557" s="210" t="s">
        <v>5086</v>
      </c>
      <c r="I557" s="210"/>
      <c r="J557" s="211"/>
      <c r="K557" s="210"/>
      <c r="L557" s="212" t="s">
        <v>2999</v>
      </c>
      <c r="M557" s="212" t="s">
        <v>2999</v>
      </c>
      <c r="N557" s="213"/>
      <c r="O557" s="263">
        <v>4590006257</v>
      </c>
      <c r="P557" s="214">
        <v>44836</v>
      </c>
      <c r="Q557" s="334">
        <v>18</v>
      </c>
      <c r="R557" s="216">
        <v>913.18</v>
      </c>
      <c r="S557" s="217" t="s">
        <v>2156</v>
      </c>
      <c r="T557" s="209" t="s">
        <v>3661</v>
      </c>
      <c r="U557" s="209" t="s">
        <v>3662</v>
      </c>
      <c r="V557" s="213" t="s">
        <v>3663</v>
      </c>
      <c r="W557" s="218" t="s">
        <v>3652</v>
      </c>
      <c r="X557" s="218" t="s">
        <v>3652</v>
      </c>
      <c r="Y557" s="212" t="s">
        <v>4648</v>
      </c>
      <c r="Z557" s="209" t="s">
        <v>3664</v>
      </c>
      <c r="AA557" s="219"/>
      <c r="AB557" s="218"/>
      <c r="AC557" s="217" t="e">
        <v>#N/A</v>
      </c>
      <c r="AD557" s="217">
        <v>91314</v>
      </c>
      <c r="AE557" s="217" t="s">
        <v>3248</v>
      </c>
      <c r="AF557" s="217" t="s">
        <v>3711</v>
      </c>
      <c r="AG557" s="217" t="s">
        <v>3666</v>
      </c>
      <c r="AH557" s="220" t="str">
        <f t="shared" si="35"/>
        <v>4590006257_018</v>
      </c>
      <c r="AI557" s="208"/>
      <c r="AJ557" s="225">
        <v>45108</v>
      </c>
      <c r="AK557" s="221">
        <v>365.27199999999999</v>
      </c>
      <c r="AL557" s="227">
        <v>45260</v>
      </c>
      <c r="AM557" s="208"/>
      <c r="AN557" s="220"/>
      <c r="AO557" s="222"/>
      <c r="AP557" s="227"/>
      <c r="AQ557" s="358">
        <f ca="1">IF(表格1[[#This Row],[PO$]]="","100%",表格1[[#This Row],[total amount]]/表格1[[#This Row],[PO$]])</f>
        <v>0.4</v>
      </c>
      <c r="AR557" s="223">
        <f ca="1">表格1[[#This Row],[invoice amount]]+表格1[[#This Row],[invoice amount2]]</f>
        <v>365.27199999999999</v>
      </c>
      <c r="AS557" s="224" t="s">
        <v>3673</v>
      </c>
      <c r="AT557" s="208"/>
      <c r="AU557" s="208" t="e">
        <f ca="1">VLOOKUP(表格1[[#This Row],[PO+ITEM]],#REF!,2,FALSE)</f>
        <v>#REF!</v>
      </c>
      <c r="AV557" s="341" t="e">
        <f ca="1">VLOOKUP(表格1[[#This Row],[PO+ITEM]],#REF!,3,FALSE)</f>
        <v>#REF!</v>
      </c>
      <c r="AW557" s="208" t="e">
        <f ca="1">VLOOKUP(表格1[[#This Row],[PO+ITEM]],#REF!,4,FALSE)</f>
        <v>#REF!</v>
      </c>
      <c r="AX557" s="208" t="e" cm="1" vm="1">
        <f t="array" aca="1" ref="AX557" ca="1">VLOOKUP(AI:AI,#REF!,1,FALSE)</f>
        <v>#VALUE!</v>
      </c>
    </row>
    <row r="558" spans="1:50">
      <c r="A558" s="220">
        <v>557</v>
      </c>
      <c r="B558" s="220" t="s">
        <v>3659</v>
      </c>
      <c r="C558" s="209" t="s">
        <v>16</v>
      </c>
      <c r="D558" s="209" t="s">
        <v>3648</v>
      </c>
      <c r="E558" s="209"/>
      <c r="F558" s="209"/>
      <c r="G558" s="209"/>
      <c r="H558" s="210" t="s">
        <v>5087</v>
      </c>
      <c r="I558" s="210"/>
      <c r="J558" s="211"/>
      <c r="K558" s="210"/>
      <c r="L558" s="212" t="s">
        <v>2999</v>
      </c>
      <c r="M558" s="212" t="s">
        <v>2999</v>
      </c>
      <c r="N558" s="213"/>
      <c r="O558" s="263">
        <v>4590006257</v>
      </c>
      <c r="P558" s="214">
        <v>44836</v>
      </c>
      <c r="Q558" s="334">
        <v>19</v>
      </c>
      <c r="R558" s="216">
        <v>913.18</v>
      </c>
      <c r="S558" s="217" t="s">
        <v>2156</v>
      </c>
      <c r="T558" s="209" t="s">
        <v>3661</v>
      </c>
      <c r="U558" s="209" t="s">
        <v>3662</v>
      </c>
      <c r="V558" s="213" t="s">
        <v>3663</v>
      </c>
      <c r="W558" s="218" t="s">
        <v>3652</v>
      </c>
      <c r="X558" s="218" t="s">
        <v>3652</v>
      </c>
      <c r="Y558" s="212" t="s">
        <v>4648</v>
      </c>
      <c r="Z558" s="209" t="s">
        <v>3664</v>
      </c>
      <c r="AA558" s="219"/>
      <c r="AB558" s="218"/>
      <c r="AC558" s="217" t="e">
        <v>#N/A</v>
      </c>
      <c r="AD558" s="217">
        <v>91315</v>
      </c>
      <c r="AE558" s="217" t="s">
        <v>3250</v>
      </c>
      <c r="AF558" s="217" t="s">
        <v>3711</v>
      </c>
      <c r="AG558" s="217" t="s">
        <v>3666</v>
      </c>
      <c r="AH558" s="220" t="str">
        <f t="shared" si="35"/>
        <v>4590006257_019</v>
      </c>
      <c r="AI558" s="208"/>
      <c r="AJ558" s="225">
        <v>45108</v>
      </c>
      <c r="AK558" s="221">
        <v>365.27199999999999</v>
      </c>
      <c r="AL558" s="227">
        <v>45260</v>
      </c>
      <c r="AM558" s="208"/>
      <c r="AN558" s="220"/>
      <c r="AO558" s="222"/>
      <c r="AP558" s="227"/>
      <c r="AQ558" s="358">
        <f ca="1">IF(表格1[[#This Row],[PO$]]="","100%",表格1[[#This Row],[total amount]]/表格1[[#This Row],[PO$]])</f>
        <v>0.4</v>
      </c>
      <c r="AR558" s="223">
        <f ca="1">表格1[[#This Row],[invoice amount]]+表格1[[#This Row],[invoice amount2]]</f>
        <v>365.27199999999999</v>
      </c>
      <c r="AS558" s="224" t="s">
        <v>3673</v>
      </c>
      <c r="AT558" s="208"/>
      <c r="AU558" s="208" t="e">
        <f ca="1">VLOOKUP(表格1[[#This Row],[PO+ITEM]],#REF!,2,FALSE)</f>
        <v>#REF!</v>
      </c>
      <c r="AV558" s="341" t="e">
        <f ca="1">VLOOKUP(表格1[[#This Row],[PO+ITEM]],#REF!,3,FALSE)</f>
        <v>#REF!</v>
      </c>
      <c r="AW558" s="208" t="e">
        <f ca="1">VLOOKUP(表格1[[#This Row],[PO+ITEM]],#REF!,4,FALSE)</f>
        <v>#REF!</v>
      </c>
      <c r="AX558" s="208" t="e" cm="1" vm="1">
        <f t="array" aca="1" ref="AX558" ca="1">VLOOKUP(AI:AI,#REF!,1,FALSE)</f>
        <v>#VALUE!</v>
      </c>
    </row>
    <row r="559" spans="1:50">
      <c r="A559" s="220">
        <v>558</v>
      </c>
      <c r="B559" s="220" t="s">
        <v>3659</v>
      </c>
      <c r="C559" s="209" t="s">
        <v>16</v>
      </c>
      <c r="D559" s="209" t="s">
        <v>3648</v>
      </c>
      <c r="E559" s="209"/>
      <c r="F559" s="209"/>
      <c r="G559" s="209"/>
      <c r="H559" s="210" t="s">
        <v>5088</v>
      </c>
      <c r="I559" s="210"/>
      <c r="J559" s="211"/>
      <c r="K559" s="210"/>
      <c r="L559" s="212" t="s">
        <v>2999</v>
      </c>
      <c r="M559" s="212" t="s">
        <v>2999</v>
      </c>
      <c r="N559" s="213"/>
      <c r="O559" s="263">
        <v>4590006257</v>
      </c>
      <c r="P559" s="214">
        <v>44836</v>
      </c>
      <c r="Q559" s="334">
        <v>20</v>
      </c>
      <c r="R559" s="216">
        <v>1369.77</v>
      </c>
      <c r="S559" s="217" t="s">
        <v>2156</v>
      </c>
      <c r="T559" s="209" t="s">
        <v>3661</v>
      </c>
      <c r="U559" s="209" t="s">
        <v>3662</v>
      </c>
      <c r="V559" s="213" t="s">
        <v>3663</v>
      </c>
      <c r="W559" s="218" t="s">
        <v>3652</v>
      </c>
      <c r="X559" s="218" t="s">
        <v>3652</v>
      </c>
      <c r="Y559" s="212" t="s">
        <v>4648</v>
      </c>
      <c r="Z559" s="209" t="s">
        <v>3664</v>
      </c>
      <c r="AA559" s="219"/>
      <c r="AB559" s="218"/>
      <c r="AC559" s="217" t="e">
        <v>#N/A</v>
      </c>
      <c r="AD559" s="217">
        <v>91317</v>
      </c>
      <c r="AE559" s="217" t="s">
        <v>3177</v>
      </c>
      <c r="AF559" s="217" t="s">
        <v>3711</v>
      </c>
      <c r="AG559" s="217" t="s">
        <v>3666</v>
      </c>
      <c r="AH559" s="220" t="str">
        <f t="shared" si="35"/>
        <v>4590006257_020</v>
      </c>
      <c r="AI559" s="208"/>
      <c r="AJ559" s="225">
        <v>45108</v>
      </c>
      <c r="AK559" s="221">
        <v>547.90800000000002</v>
      </c>
      <c r="AL559" s="227">
        <v>45260</v>
      </c>
      <c r="AM559" s="208"/>
      <c r="AN559" s="220"/>
      <c r="AO559" s="222"/>
      <c r="AP559" s="227"/>
      <c r="AQ559" s="358">
        <f ca="1">IF(表格1[[#This Row],[PO$]]="","100%",表格1[[#This Row],[total amount]]/表格1[[#This Row],[PO$]])</f>
        <v>0.4</v>
      </c>
      <c r="AR559" s="223">
        <f ca="1">表格1[[#This Row],[invoice amount]]+表格1[[#This Row],[invoice amount2]]</f>
        <v>547.90800000000002</v>
      </c>
      <c r="AS559" s="224" t="s">
        <v>3673</v>
      </c>
      <c r="AT559" s="208"/>
      <c r="AU559" s="208" t="e">
        <f ca="1">VLOOKUP(表格1[[#This Row],[PO+ITEM]],#REF!,2,FALSE)</f>
        <v>#REF!</v>
      </c>
      <c r="AV559" s="341" t="e">
        <f ca="1">VLOOKUP(表格1[[#This Row],[PO+ITEM]],#REF!,3,FALSE)</f>
        <v>#REF!</v>
      </c>
      <c r="AW559" s="208" t="e">
        <f ca="1">VLOOKUP(表格1[[#This Row],[PO+ITEM]],#REF!,4,FALSE)</f>
        <v>#REF!</v>
      </c>
      <c r="AX559" s="208" t="e" cm="1" vm="1">
        <f t="array" aca="1" ref="AX559" ca="1">VLOOKUP(AI:AI,#REF!,1,FALSE)</f>
        <v>#VALUE!</v>
      </c>
    </row>
    <row r="560" spans="1:50">
      <c r="A560" s="220">
        <v>559</v>
      </c>
      <c r="B560" s="220" t="s">
        <v>3659</v>
      </c>
      <c r="C560" s="209" t="s">
        <v>16</v>
      </c>
      <c r="D560" s="209" t="s">
        <v>3648</v>
      </c>
      <c r="E560" s="209"/>
      <c r="F560" s="209"/>
      <c r="G560" s="209"/>
      <c r="H560" s="217" t="s">
        <v>5089</v>
      </c>
      <c r="I560" s="217"/>
      <c r="J560" s="215"/>
      <c r="K560" s="217"/>
      <c r="L560" s="212" t="s">
        <v>2999</v>
      </c>
      <c r="M560" s="212" t="s">
        <v>2999</v>
      </c>
      <c r="N560" s="213"/>
      <c r="O560" s="263">
        <v>4590006257</v>
      </c>
      <c r="P560" s="214">
        <v>44836</v>
      </c>
      <c r="Q560" s="334">
        <v>21</v>
      </c>
      <c r="R560" s="216">
        <v>913.18</v>
      </c>
      <c r="S560" s="217" t="s">
        <v>2156</v>
      </c>
      <c r="T560" s="209" t="s">
        <v>3661</v>
      </c>
      <c r="U560" s="209" t="s">
        <v>3662</v>
      </c>
      <c r="V560" s="213" t="s">
        <v>3663</v>
      </c>
      <c r="W560" s="218" t="s">
        <v>3652</v>
      </c>
      <c r="X560" s="218" t="s">
        <v>3652</v>
      </c>
      <c r="Y560" s="212" t="s">
        <v>4648</v>
      </c>
      <c r="Z560" s="209" t="s">
        <v>3664</v>
      </c>
      <c r="AA560" s="219"/>
      <c r="AB560" s="218"/>
      <c r="AC560" s="217" t="e">
        <v>#N/A</v>
      </c>
      <c r="AD560" s="217">
        <v>91319</v>
      </c>
      <c r="AE560" s="217" t="s">
        <v>3252</v>
      </c>
      <c r="AF560" s="217" t="s">
        <v>3711</v>
      </c>
      <c r="AG560" s="217" t="s">
        <v>3666</v>
      </c>
      <c r="AH560" s="220" t="str">
        <f t="shared" si="35"/>
        <v>4590006257_021</v>
      </c>
      <c r="AI560" s="208"/>
      <c r="AJ560" s="225">
        <v>45108</v>
      </c>
      <c r="AK560" s="221">
        <v>365.27199999999999</v>
      </c>
      <c r="AL560" s="227">
        <v>45260</v>
      </c>
      <c r="AM560" s="208"/>
      <c r="AN560" s="220"/>
      <c r="AO560" s="222"/>
      <c r="AP560" s="227"/>
      <c r="AQ560" s="358">
        <f ca="1">IF(表格1[[#This Row],[PO$]]="","100%",表格1[[#This Row],[total amount]]/表格1[[#This Row],[PO$]])</f>
        <v>0.4</v>
      </c>
      <c r="AR560" s="223">
        <f ca="1">表格1[[#This Row],[invoice amount]]+表格1[[#This Row],[invoice amount2]]</f>
        <v>365.27199999999999</v>
      </c>
      <c r="AS560" s="224" t="s">
        <v>3673</v>
      </c>
      <c r="AT560" s="208"/>
      <c r="AU560" s="208" t="e">
        <f ca="1">VLOOKUP(表格1[[#This Row],[PO+ITEM]],#REF!,2,FALSE)</f>
        <v>#REF!</v>
      </c>
      <c r="AV560" s="341" t="e">
        <f ca="1">VLOOKUP(表格1[[#This Row],[PO+ITEM]],#REF!,3,FALSE)</f>
        <v>#REF!</v>
      </c>
      <c r="AW560" s="208" t="e">
        <f ca="1">VLOOKUP(表格1[[#This Row],[PO+ITEM]],#REF!,4,FALSE)</f>
        <v>#REF!</v>
      </c>
      <c r="AX560" s="208" t="e" cm="1" vm="1">
        <f t="array" aca="1" ref="AX560" ca="1">VLOOKUP(AI:AI,#REF!,1,FALSE)</f>
        <v>#VALUE!</v>
      </c>
    </row>
    <row r="561" spans="1:50">
      <c r="A561" s="220">
        <v>560</v>
      </c>
      <c r="B561" s="220" t="s">
        <v>3659</v>
      </c>
      <c r="C561" s="209" t="s">
        <v>16</v>
      </c>
      <c r="D561" s="209" t="s">
        <v>3648</v>
      </c>
      <c r="E561" s="209"/>
      <c r="F561" s="209"/>
      <c r="G561" s="209"/>
      <c r="H561" s="210" t="s">
        <v>5090</v>
      </c>
      <c r="I561" s="210"/>
      <c r="J561" s="211"/>
      <c r="K561" s="210"/>
      <c r="L561" s="212" t="s">
        <v>2206</v>
      </c>
      <c r="M561" s="212" t="s">
        <v>2999</v>
      </c>
      <c r="N561" s="213"/>
      <c r="O561" s="263">
        <v>4590006257</v>
      </c>
      <c r="P561" s="214">
        <v>44836</v>
      </c>
      <c r="Q561" s="334">
        <v>22</v>
      </c>
      <c r="R561" s="216">
        <v>28348.33</v>
      </c>
      <c r="S561" s="217" t="s">
        <v>2156</v>
      </c>
      <c r="T561" s="209" t="s">
        <v>3661</v>
      </c>
      <c r="U561" s="209" t="s">
        <v>3662</v>
      </c>
      <c r="V561" s="213" t="s">
        <v>3663</v>
      </c>
      <c r="W561" s="218" t="s">
        <v>3652</v>
      </c>
      <c r="X561" s="218" t="s">
        <v>3652</v>
      </c>
      <c r="Y561" s="212" t="s">
        <v>4648</v>
      </c>
      <c r="Z561" s="209" t="s">
        <v>3664</v>
      </c>
      <c r="AA561" s="219"/>
      <c r="AB561" s="218"/>
      <c r="AC561" s="217" t="e">
        <v>#N/A</v>
      </c>
      <c r="AD561" s="217">
        <v>91393</v>
      </c>
      <c r="AE561" s="217" t="s">
        <v>5091</v>
      </c>
      <c r="AF561" s="217" t="s">
        <v>3711</v>
      </c>
      <c r="AG561" s="217" t="s">
        <v>846</v>
      </c>
      <c r="AH561" s="220" t="str">
        <f t="shared" si="35"/>
        <v>4590006257_022</v>
      </c>
      <c r="AI561" s="208"/>
      <c r="AJ561" s="220"/>
      <c r="AK561" s="221"/>
      <c r="AL561" s="227"/>
      <c r="AM561" s="208"/>
      <c r="AN561" s="220"/>
      <c r="AO561" s="222"/>
      <c r="AP561" s="227"/>
      <c r="AQ561" s="358">
        <f ca="1">IF(表格1[[#This Row],[PO$]]="","100%",表格1[[#This Row],[total amount]]/表格1[[#This Row],[PO$]])</f>
        <v>0</v>
      </c>
      <c r="AR561" s="223">
        <f ca="1">表格1[[#This Row],[invoice amount]]+表格1[[#This Row],[invoice amount2]]</f>
        <v>0</v>
      </c>
      <c r="AS561" s="224"/>
      <c r="AT561" s="208"/>
      <c r="AU561" s="208" t="e">
        <f ca="1">VLOOKUP(表格1[[#This Row],[PO+ITEM]],#REF!,2,FALSE)</f>
        <v>#REF!</v>
      </c>
      <c r="AV561" s="341" t="e">
        <f ca="1">VLOOKUP(表格1[[#This Row],[PO+ITEM]],#REF!,3,FALSE)</f>
        <v>#REF!</v>
      </c>
      <c r="AW561" s="208" t="e">
        <f ca="1">VLOOKUP(表格1[[#This Row],[PO+ITEM]],#REF!,4,FALSE)</f>
        <v>#REF!</v>
      </c>
      <c r="AX561" s="208" t="e" cm="1" vm="1">
        <f t="array" aca="1" ref="AX561" ca="1">VLOOKUP(AI:AI,#REF!,1,FALSE)</f>
        <v>#VALUE!</v>
      </c>
    </row>
    <row r="562" spans="1:50">
      <c r="A562" s="220">
        <v>561</v>
      </c>
      <c r="B562" s="220" t="s">
        <v>3659</v>
      </c>
      <c r="C562" s="209" t="s">
        <v>16</v>
      </c>
      <c r="D562" s="209" t="s">
        <v>3648</v>
      </c>
      <c r="E562" s="209"/>
      <c r="F562" s="209"/>
      <c r="G562" s="209"/>
      <c r="H562" s="217" t="s">
        <v>5092</v>
      </c>
      <c r="I562" s="217"/>
      <c r="J562" s="215"/>
      <c r="K562" s="217"/>
      <c r="L562" s="212" t="s">
        <v>2999</v>
      </c>
      <c r="M562" s="212" t="s">
        <v>2999</v>
      </c>
      <c r="N562" s="213"/>
      <c r="O562" s="263">
        <v>4590006257</v>
      </c>
      <c r="P562" s="214">
        <v>44836</v>
      </c>
      <c r="Q562" s="334">
        <v>23</v>
      </c>
      <c r="R562" s="216">
        <v>4720.7</v>
      </c>
      <c r="S562" s="217" t="s">
        <v>2156</v>
      </c>
      <c r="T562" s="209" t="s">
        <v>3661</v>
      </c>
      <c r="U562" s="209" t="s">
        <v>3662</v>
      </c>
      <c r="V562" s="213" t="s">
        <v>3663</v>
      </c>
      <c r="W562" s="218" t="s">
        <v>3652</v>
      </c>
      <c r="X562" s="218" t="s">
        <v>3652</v>
      </c>
      <c r="Y562" s="212" t="s">
        <v>4648</v>
      </c>
      <c r="Z562" s="209" t="s">
        <v>3664</v>
      </c>
      <c r="AA562" s="219"/>
      <c r="AB562" s="218"/>
      <c r="AC562" s="217" t="e">
        <v>#N/A</v>
      </c>
      <c r="AD562" s="217">
        <v>91415</v>
      </c>
      <c r="AE562" s="217" t="s">
        <v>5093</v>
      </c>
      <c r="AF562" s="217" t="s">
        <v>3711</v>
      </c>
      <c r="AG562" s="217" t="s">
        <v>3719</v>
      </c>
      <c r="AH562" s="220" t="str">
        <f t="shared" si="35"/>
        <v>4590006257_023</v>
      </c>
      <c r="AI562" s="208"/>
      <c r="AJ562" s="225">
        <v>45108</v>
      </c>
      <c r="AK562" s="221">
        <v>1888.28</v>
      </c>
      <c r="AL562" s="227">
        <v>45198</v>
      </c>
      <c r="AM562" s="208"/>
      <c r="AN562" s="220"/>
      <c r="AO562" s="222"/>
      <c r="AP562" s="227"/>
      <c r="AQ562" s="358">
        <f ca="1">IF(表格1[[#This Row],[PO$]]="","100%",表格1[[#This Row],[total amount]]/表格1[[#This Row],[PO$]])</f>
        <v>0.4</v>
      </c>
      <c r="AR562" s="223">
        <f ca="1">表格1[[#This Row],[invoice amount]]+表格1[[#This Row],[invoice amount2]]</f>
        <v>1888.28</v>
      </c>
      <c r="AS562" s="224" t="s">
        <v>3673</v>
      </c>
      <c r="AT562" s="208"/>
      <c r="AU562" s="208" t="e">
        <f ca="1">VLOOKUP(表格1[[#This Row],[PO+ITEM]],#REF!,2,FALSE)</f>
        <v>#REF!</v>
      </c>
      <c r="AV562" s="341" t="e">
        <f ca="1">VLOOKUP(表格1[[#This Row],[PO+ITEM]],#REF!,3,FALSE)</f>
        <v>#REF!</v>
      </c>
      <c r="AW562" s="208" t="e">
        <f ca="1">VLOOKUP(表格1[[#This Row],[PO+ITEM]],#REF!,4,FALSE)</f>
        <v>#REF!</v>
      </c>
      <c r="AX562" s="208" t="e" cm="1" vm="1">
        <f t="array" aca="1" ref="AX562" ca="1">VLOOKUP(AI:AI,#REF!,1,FALSE)</f>
        <v>#VALUE!</v>
      </c>
    </row>
    <row r="563" spans="1:50">
      <c r="A563" s="220">
        <v>562</v>
      </c>
      <c r="B563" s="220" t="s">
        <v>3659</v>
      </c>
      <c r="C563" s="209" t="s">
        <v>16</v>
      </c>
      <c r="D563" s="209" t="s">
        <v>3648</v>
      </c>
      <c r="E563" s="209"/>
      <c r="F563" s="209"/>
      <c r="G563" s="209"/>
      <c r="H563" s="217" t="s">
        <v>5094</v>
      </c>
      <c r="I563" s="217"/>
      <c r="J563" s="215"/>
      <c r="K563" s="217"/>
      <c r="L563" s="212" t="s">
        <v>2206</v>
      </c>
      <c r="M563" s="212" t="s">
        <v>2999</v>
      </c>
      <c r="N563" s="213"/>
      <c r="O563" s="263">
        <v>4590006257</v>
      </c>
      <c r="P563" s="214">
        <v>44836</v>
      </c>
      <c r="Q563" s="334">
        <v>24</v>
      </c>
      <c r="R563" s="216">
        <v>913.18</v>
      </c>
      <c r="S563" s="217" t="s">
        <v>2156</v>
      </c>
      <c r="T563" s="209" t="s">
        <v>3661</v>
      </c>
      <c r="U563" s="209" t="s">
        <v>3662</v>
      </c>
      <c r="V563" s="213" t="s">
        <v>3663</v>
      </c>
      <c r="W563" s="218" t="s">
        <v>3652</v>
      </c>
      <c r="X563" s="218" t="s">
        <v>3652</v>
      </c>
      <c r="Y563" s="212" t="s">
        <v>4648</v>
      </c>
      <c r="Z563" s="209" t="s">
        <v>3664</v>
      </c>
      <c r="AA563" s="219"/>
      <c r="AB563" s="218"/>
      <c r="AC563" s="217" t="e">
        <v>#N/A</v>
      </c>
      <c r="AD563" s="217">
        <v>91420</v>
      </c>
      <c r="AE563" s="217" t="s">
        <v>5095</v>
      </c>
      <c r="AF563" s="217" t="s">
        <v>3711</v>
      </c>
      <c r="AG563" s="217" t="s">
        <v>846</v>
      </c>
      <c r="AH563" s="220" t="str">
        <f t="shared" si="35"/>
        <v>4590006257_024</v>
      </c>
      <c r="AI563" s="208"/>
      <c r="AJ563" s="225">
        <v>45108</v>
      </c>
      <c r="AK563" s="221">
        <v>365.27199999999999</v>
      </c>
      <c r="AL563" s="227">
        <v>45198</v>
      </c>
      <c r="AM563" s="208"/>
      <c r="AN563" s="220"/>
      <c r="AO563" s="222"/>
      <c r="AP563" s="227"/>
      <c r="AQ563" s="358">
        <f ca="1">IF(表格1[[#This Row],[PO$]]="","100%",表格1[[#This Row],[total amount]]/表格1[[#This Row],[PO$]])</f>
        <v>0.4</v>
      </c>
      <c r="AR563" s="223">
        <f ca="1">表格1[[#This Row],[invoice amount]]+表格1[[#This Row],[invoice amount2]]</f>
        <v>365.27199999999999</v>
      </c>
      <c r="AS563" s="224" t="s">
        <v>3673</v>
      </c>
      <c r="AT563" s="208"/>
      <c r="AU563" s="208" t="e">
        <f ca="1">VLOOKUP(表格1[[#This Row],[PO+ITEM]],#REF!,2,FALSE)</f>
        <v>#REF!</v>
      </c>
      <c r="AV563" s="341" t="e">
        <f ca="1">VLOOKUP(表格1[[#This Row],[PO+ITEM]],#REF!,3,FALSE)</f>
        <v>#REF!</v>
      </c>
      <c r="AW563" s="208" t="e">
        <f ca="1">VLOOKUP(表格1[[#This Row],[PO+ITEM]],#REF!,4,FALSE)</f>
        <v>#REF!</v>
      </c>
      <c r="AX563" s="208" t="e" cm="1" vm="1">
        <f t="array" aca="1" ref="AX563" ca="1">VLOOKUP(AI:AI,#REF!,1,FALSE)</f>
        <v>#VALUE!</v>
      </c>
    </row>
    <row r="564" spans="1:50">
      <c r="A564" s="220">
        <v>563</v>
      </c>
      <c r="B564" s="220" t="s">
        <v>3659</v>
      </c>
      <c r="C564" s="209" t="s">
        <v>16</v>
      </c>
      <c r="D564" s="209" t="s">
        <v>3648</v>
      </c>
      <c r="E564" s="209"/>
      <c r="F564" s="209"/>
      <c r="G564" s="209"/>
      <c r="H564" s="217" t="s">
        <v>5096</v>
      </c>
      <c r="I564" s="217"/>
      <c r="J564" s="215"/>
      <c r="K564" s="217"/>
      <c r="L564" s="212" t="s">
        <v>2206</v>
      </c>
      <c r="M564" s="212" t="s">
        <v>2999</v>
      </c>
      <c r="N564" s="213"/>
      <c r="O564" s="263">
        <v>4590006257</v>
      </c>
      <c r="P564" s="214">
        <v>44836</v>
      </c>
      <c r="Q564" s="334">
        <v>25</v>
      </c>
      <c r="R564" s="216">
        <v>28348.33</v>
      </c>
      <c r="S564" s="217" t="s">
        <v>2156</v>
      </c>
      <c r="T564" s="209" t="s">
        <v>3661</v>
      </c>
      <c r="U564" s="209" t="s">
        <v>3662</v>
      </c>
      <c r="V564" s="213" t="s">
        <v>3663</v>
      </c>
      <c r="W564" s="218" t="s">
        <v>3652</v>
      </c>
      <c r="X564" s="218" t="s">
        <v>3652</v>
      </c>
      <c r="Y564" s="212" t="s">
        <v>4648</v>
      </c>
      <c r="Z564" s="209" t="s">
        <v>3664</v>
      </c>
      <c r="AA564" s="219"/>
      <c r="AB564" s="218"/>
      <c r="AC564" s="217" t="e">
        <v>#N/A</v>
      </c>
      <c r="AD564" s="217">
        <v>91421</v>
      </c>
      <c r="AE564" s="217" t="s">
        <v>5097</v>
      </c>
      <c r="AF564" s="217" t="s">
        <v>3711</v>
      </c>
      <c r="AG564" s="217" t="s">
        <v>846</v>
      </c>
      <c r="AH564" s="220" t="str">
        <f t="shared" si="35"/>
        <v>4590006257_025</v>
      </c>
      <c r="AI564" s="208"/>
      <c r="AJ564" s="220"/>
      <c r="AK564" s="221"/>
      <c r="AL564" s="227"/>
      <c r="AM564" s="208"/>
      <c r="AN564" s="220"/>
      <c r="AO564" s="222"/>
      <c r="AP564" s="227"/>
      <c r="AQ564" s="358">
        <f ca="1">IF(表格1[[#This Row],[PO$]]="","100%",表格1[[#This Row],[total amount]]/表格1[[#This Row],[PO$]])</f>
        <v>0</v>
      </c>
      <c r="AR564" s="223">
        <f ca="1">表格1[[#This Row],[invoice amount]]+表格1[[#This Row],[invoice amount2]]</f>
        <v>0</v>
      </c>
      <c r="AS564" s="224"/>
      <c r="AT564" s="208"/>
      <c r="AU564" s="208" t="e">
        <f ca="1">VLOOKUP(表格1[[#This Row],[PO+ITEM]],#REF!,2,FALSE)</f>
        <v>#REF!</v>
      </c>
      <c r="AV564" s="341" t="e">
        <f ca="1">VLOOKUP(表格1[[#This Row],[PO+ITEM]],#REF!,3,FALSE)</f>
        <v>#REF!</v>
      </c>
      <c r="AW564" s="208" t="e">
        <f ca="1">VLOOKUP(表格1[[#This Row],[PO+ITEM]],#REF!,4,FALSE)</f>
        <v>#REF!</v>
      </c>
      <c r="AX564" s="208" t="e" cm="1" vm="1">
        <f t="array" aca="1" ref="AX564" ca="1">VLOOKUP(AI:AI,#REF!,1,FALSE)</f>
        <v>#VALUE!</v>
      </c>
    </row>
    <row r="565" spans="1:50">
      <c r="A565" s="220">
        <v>564</v>
      </c>
      <c r="B565" s="220" t="s">
        <v>3659</v>
      </c>
      <c r="C565" s="209" t="s">
        <v>16</v>
      </c>
      <c r="D565" s="209" t="s">
        <v>3648</v>
      </c>
      <c r="E565" s="209"/>
      <c r="F565" s="209"/>
      <c r="G565" s="209"/>
      <c r="H565" s="210" t="s">
        <v>5098</v>
      </c>
      <c r="I565" s="210"/>
      <c r="J565" s="211"/>
      <c r="K565" s="210"/>
      <c r="L565" s="212" t="s">
        <v>2999</v>
      </c>
      <c r="M565" s="212" t="s">
        <v>2999</v>
      </c>
      <c r="N565" s="213"/>
      <c r="O565" s="263">
        <v>4590006257</v>
      </c>
      <c r="P565" s="214">
        <v>44836</v>
      </c>
      <c r="Q565" s="334">
        <v>26</v>
      </c>
      <c r="R565" s="216">
        <v>1369.77</v>
      </c>
      <c r="S565" s="217" t="s">
        <v>2156</v>
      </c>
      <c r="T565" s="209" t="s">
        <v>3661</v>
      </c>
      <c r="U565" s="209" t="s">
        <v>3662</v>
      </c>
      <c r="V565" s="213" t="s">
        <v>3663</v>
      </c>
      <c r="W565" s="218" t="s">
        <v>3652</v>
      </c>
      <c r="X565" s="218" t="s">
        <v>3652</v>
      </c>
      <c r="Y565" s="212" t="s">
        <v>4648</v>
      </c>
      <c r="Z565" s="209" t="s">
        <v>3664</v>
      </c>
      <c r="AA565" s="219"/>
      <c r="AB565" s="218"/>
      <c r="AC565" s="217" t="e">
        <v>#N/A</v>
      </c>
      <c r="AD565" s="217">
        <v>91424</v>
      </c>
      <c r="AE565" s="217" t="s">
        <v>3179</v>
      </c>
      <c r="AF565" s="217" t="s">
        <v>3711</v>
      </c>
      <c r="AG565" s="217" t="s">
        <v>3666</v>
      </c>
      <c r="AH565" s="220" t="str">
        <f t="shared" si="35"/>
        <v>4590006257_026</v>
      </c>
      <c r="AI565" s="208"/>
      <c r="AJ565" s="225">
        <v>45108</v>
      </c>
      <c r="AK565" s="221">
        <v>547.90800000000002</v>
      </c>
      <c r="AL565" s="227">
        <v>45198</v>
      </c>
      <c r="AM565" s="208"/>
      <c r="AN565" s="220"/>
      <c r="AO565" s="222"/>
      <c r="AP565" s="227"/>
      <c r="AQ565" s="358">
        <f ca="1">IF(表格1[[#This Row],[PO$]]="","100%",表格1[[#This Row],[total amount]]/表格1[[#This Row],[PO$]])</f>
        <v>0.4</v>
      </c>
      <c r="AR565" s="223">
        <f ca="1">表格1[[#This Row],[invoice amount]]+表格1[[#This Row],[invoice amount2]]</f>
        <v>547.90800000000002</v>
      </c>
      <c r="AS565" s="224" t="s">
        <v>3673</v>
      </c>
      <c r="AT565" s="208"/>
      <c r="AU565" s="208" t="e">
        <f ca="1">VLOOKUP(表格1[[#This Row],[PO+ITEM]],#REF!,2,FALSE)</f>
        <v>#REF!</v>
      </c>
      <c r="AV565" s="341" t="e">
        <f ca="1">VLOOKUP(表格1[[#This Row],[PO+ITEM]],#REF!,3,FALSE)</f>
        <v>#REF!</v>
      </c>
      <c r="AW565" s="208" t="e">
        <f ca="1">VLOOKUP(表格1[[#This Row],[PO+ITEM]],#REF!,4,FALSE)</f>
        <v>#REF!</v>
      </c>
      <c r="AX565" s="208" t="e" cm="1" vm="1">
        <f t="array" aca="1" ref="AX565" ca="1">VLOOKUP(AI:AI,#REF!,1,FALSE)</f>
        <v>#VALUE!</v>
      </c>
    </row>
    <row r="566" spans="1:50">
      <c r="A566" s="220">
        <v>565</v>
      </c>
      <c r="B566" s="220" t="e">
        <v>#N/A</v>
      </c>
      <c r="C566" s="209" t="s">
        <v>16</v>
      </c>
      <c r="D566" s="209" t="s">
        <v>3648</v>
      </c>
      <c r="E566" s="209"/>
      <c r="F566" s="209"/>
      <c r="G566" s="209"/>
      <c r="H566" s="210" t="s">
        <v>5099</v>
      </c>
      <c r="I566" s="210"/>
      <c r="J566" s="211"/>
      <c r="K566" s="210"/>
      <c r="L566" s="212" t="s">
        <v>2999</v>
      </c>
      <c r="M566" s="212" t="s">
        <v>2999</v>
      </c>
      <c r="N566" s="213"/>
      <c r="O566" s="263">
        <v>4590006257</v>
      </c>
      <c r="P566" s="214">
        <v>44836</v>
      </c>
      <c r="Q566" s="334">
        <v>27</v>
      </c>
      <c r="R566" s="216">
        <v>4720.7</v>
      </c>
      <c r="S566" s="217" t="s">
        <v>2156</v>
      </c>
      <c r="T566" s="209" t="s">
        <v>3661</v>
      </c>
      <c r="U566" s="209" t="s">
        <v>3662</v>
      </c>
      <c r="V566" s="213" t="s">
        <v>3663</v>
      </c>
      <c r="W566" s="218" t="s">
        <v>3652</v>
      </c>
      <c r="X566" s="218" t="s">
        <v>3652</v>
      </c>
      <c r="Y566" s="212" t="s">
        <v>4648</v>
      </c>
      <c r="Z566" s="209" t="s">
        <v>3664</v>
      </c>
      <c r="AA566" s="219"/>
      <c r="AB566" s="218"/>
      <c r="AC566" s="217" t="e">
        <v>#N/A</v>
      </c>
      <c r="AD566" s="217">
        <v>91430</v>
      </c>
      <c r="AE566" s="217" t="s">
        <v>5100</v>
      </c>
      <c r="AF566" s="217" t="s">
        <v>3711</v>
      </c>
      <c r="AG566" s="217" t="s">
        <v>3719</v>
      </c>
      <c r="AH566" s="220" t="str">
        <f t="shared" si="35"/>
        <v>4590006257_027</v>
      </c>
      <c r="AI566" s="208"/>
      <c r="AJ566" s="220"/>
      <c r="AK566" s="221"/>
      <c r="AL566" s="227"/>
      <c r="AM566" s="208"/>
      <c r="AN566" s="220"/>
      <c r="AO566" s="222"/>
      <c r="AP566" s="227"/>
      <c r="AQ566" s="358">
        <f ca="1">IF(表格1[[#This Row],[PO$]]="","100%",表格1[[#This Row],[total amount]]/表格1[[#This Row],[PO$]])</f>
        <v>0</v>
      </c>
      <c r="AR566" s="223">
        <f ca="1">表格1[[#This Row],[invoice amount]]+表格1[[#This Row],[invoice amount2]]</f>
        <v>0</v>
      </c>
      <c r="AS566" s="224"/>
      <c r="AT566" s="208"/>
      <c r="AU566" s="208" t="e">
        <f ca="1">VLOOKUP(表格1[[#This Row],[PO+ITEM]],#REF!,2,FALSE)</f>
        <v>#REF!</v>
      </c>
      <c r="AV566" s="341" t="e">
        <f ca="1">VLOOKUP(表格1[[#This Row],[PO+ITEM]],#REF!,3,FALSE)</f>
        <v>#REF!</v>
      </c>
      <c r="AW566" s="208" t="e">
        <f ca="1">VLOOKUP(表格1[[#This Row],[PO+ITEM]],#REF!,4,FALSE)</f>
        <v>#REF!</v>
      </c>
      <c r="AX566" s="208" t="e" cm="1" vm="1">
        <f t="array" aca="1" ref="AX566" ca="1">VLOOKUP(AI:AI,#REF!,1,FALSE)</f>
        <v>#VALUE!</v>
      </c>
    </row>
    <row r="567" spans="1:50" ht="15.6">
      <c r="A567" s="220">
        <v>566</v>
      </c>
      <c r="B567" s="220" t="s">
        <v>3674</v>
      </c>
      <c r="C567" s="209" t="s">
        <v>16</v>
      </c>
      <c r="D567" s="209" t="s">
        <v>3648</v>
      </c>
      <c r="E567" s="209"/>
      <c r="F567" s="209"/>
      <c r="G567" s="209"/>
      <c r="H567" s="210" t="s">
        <v>5101</v>
      </c>
      <c r="I567" s="210"/>
      <c r="J567" s="211"/>
      <c r="K567" s="210"/>
      <c r="L567" s="212" t="s">
        <v>2999</v>
      </c>
      <c r="M567" s="212" t="s">
        <v>2999</v>
      </c>
      <c r="N567" s="213"/>
      <c r="O567" s="263">
        <v>4590006258</v>
      </c>
      <c r="P567" s="214">
        <v>44836</v>
      </c>
      <c r="Q567" s="334">
        <v>1</v>
      </c>
      <c r="R567" s="216">
        <v>1521.25</v>
      </c>
      <c r="S567" s="217" t="s">
        <v>2156</v>
      </c>
      <c r="T567" s="209" t="s">
        <v>4027</v>
      </c>
      <c r="U567" s="209" t="s">
        <v>3992</v>
      </c>
      <c r="V567" s="213" t="s">
        <v>3993</v>
      </c>
      <c r="W567" s="218" t="s">
        <v>3652</v>
      </c>
      <c r="X567" s="218" t="s">
        <v>3652</v>
      </c>
      <c r="Y567" s="212" t="s">
        <v>4721</v>
      </c>
      <c r="Z567" s="209" t="s">
        <v>3664</v>
      </c>
      <c r="AA567" s="219"/>
      <c r="AB567" s="218"/>
      <c r="AC567" s="217" t="e">
        <v>#N/A</v>
      </c>
      <c r="AD567" s="217">
        <v>91016</v>
      </c>
      <c r="AE567" s="217" t="s">
        <v>3885</v>
      </c>
      <c r="AF567" s="217" t="s">
        <v>2250</v>
      </c>
      <c r="AG567" s="217" t="s">
        <v>3875</v>
      </c>
      <c r="AH567" s="220" t="str">
        <f t="shared" ref="AH567:AH583" si="36">O567&amp;"_00"&amp;Q567</f>
        <v>4590006258_001</v>
      </c>
      <c r="AI567" s="208"/>
      <c r="AJ567" s="225">
        <v>45047</v>
      </c>
      <c r="AK567" s="221">
        <v>608.5</v>
      </c>
      <c r="AL567" s="226">
        <v>45153</v>
      </c>
      <c r="AM567" s="208"/>
      <c r="AN567" s="220"/>
      <c r="AO567" s="222"/>
      <c r="AP567" s="227"/>
      <c r="AQ567" s="358">
        <f ca="1">IF(表格1[[#This Row],[PO$]]="","100%",表格1[[#This Row],[total amount]]/表格1[[#This Row],[PO$]])</f>
        <v>0.4</v>
      </c>
      <c r="AR567" s="223">
        <f ca="1">表格1[[#This Row],[invoice amount]]+表格1[[#This Row],[invoice amount2]]</f>
        <v>608.5</v>
      </c>
      <c r="AS567" s="224" t="s">
        <v>3673</v>
      </c>
      <c r="AT567" s="208"/>
      <c r="AU567" s="208" t="e">
        <f ca="1">VLOOKUP(表格1[[#This Row],[PO+ITEM]],#REF!,2,FALSE)</f>
        <v>#REF!</v>
      </c>
      <c r="AV567" s="341" t="e">
        <f ca="1">VLOOKUP(表格1[[#This Row],[PO+ITEM]],#REF!,3,FALSE)</f>
        <v>#REF!</v>
      </c>
      <c r="AW567" s="208" t="e">
        <f ca="1">VLOOKUP(表格1[[#This Row],[PO+ITEM]],#REF!,4,FALSE)</f>
        <v>#REF!</v>
      </c>
      <c r="AX567" s="208" t="e" cm="1" vm="1">
        <f t="array" aca="1" ref="AX567" ca="1">VLOOKUP(AI:AI,#REF!,1,FALSE)</f>
        <v>#VALUE!</v>
      </c>
    </row>
    <row r="568" spans="1:50" ht="15.6">
      <c r="A568" s="220">
        <v>567</v>
      </c>
      <c r="B568" s="220" t="s">
        <v>3674</v>
      </c>
      <c r="C568" s="209" t="s">
        <v>16</v>
      </c>
      <c r="D568" s="209" t="s">
        <v>3648</v>
      </c>
      <c r="E568" s="209"/>
      <c r="F568" s="209"/>
      <c r="G568" s="209"/>
      <c r="H568" s="217" t="s">
        <v>5104</v>
      </c>
      <c r="I568" s="217"/>
      <c r="J568" s="215"/>
      <c r="K568" s="217"/>
      <c r="L568" s="212" t="s">
        <v>2999</v>
      </c>
      <c r="M568" s="212" t="s">
        <v>2999</v>
      </c>
      <c r="N568" s="213"/>
      <c r="O568" s="263">
        <v>4590006258</v>
      </c>
      <c r="P568" s="214">
        <v>44836</v>
      </c>
      <c r="Q568" s="334">
        <v>2</v>
      </c>
      <c r="R568" s="216">
        <v>1521.25</v>
      </c>
      <c r="S568" s="217" t="s">
        <v>2156</v>
      </c>
      <c r="T568" s="209" t="s">
        <v>4027</v>
      </c>
      <c r="U568" s="209" t="s">
        <v>3992</v>
      </c>
      <c r="V568" s="213" t="s">
        <v>3993</v>
      </c>
      <c r="W568" s="218" t="s">
        <v>3652</v>
      </c>
      <c r="X568" s="218" t="s">
        <v>3652</v>
      </c>
      <c r="Y568" s="212" t="s">
        <v>4721</v>
      </c>
      <c r="Z568" s="209" t="s">
        <v>3664</v>
      </c>
      <c r="AA568" s="219"/>
      <c r="AB568" s="218"/>
      <c r="AC568" s="217" t="e">
        <v>#N/A</v>
      </c>
      <c r="AD568" s="217">
        <v>91017</v>
      </c>
      <c r="AE568" s="217" t="s">
        <v>3895</v>
      </c>
      <c r="AF568" s="217" t="s">
        <v>2250</v>
      </c>
      <c r="AG568" s="217" t="s">
        <v>3875</v>
      </c>
      <c r="AH568" s="220" t="str">
        <f t="shared" si="36"/>
        <v>4590006258_002</v>
      </c>
      <c r="AI568" s="208"/>
      <c r="AJ568" s="225">
        <v>45047</v>
      </c>
      <c r="AK568" s="221">
        <v>608.5</v>
      </c>
      <c r="AL568" s="226">
        <v>45153</v>
      </c>
      <c r="AM568" s="208"/>
      <c r="AN568" s="220"/>
      <c r="AO568" s="222"/>
      <c r="AP568" s="227"/>
      <c r="AQ568" s="358">
        <f ca="1">IF(表格1[[#This Row],[PO$]]="","100%",表格1[[#This Row],[total amount]]/表格1[[#This Row],[PO$]])</f>
        <v>0.4</v>
      </c>
      <c r="AR568" s="223">
        <f ca="1">表格1[[#This Row],[invoice amount]]+表格1[[#This Row],[invoice amount2]]</f>
        <v>608.5</v>
      </c>
      <c r="AS568" s="224" t="s">
        <v>3673</v>
      </c>
      <c r="AT568" s="208"/>
      <c r="AU568" s="208" t="e">
        <f ca="1">VLOOKUP(表格1[[#This Row],[PO+ITEM]],#REF!,2,FALSE)</f>
        <v>#REF!</v>
      </c>
      <c r="AV568" s="341" t="e">
        <f ca="1">VLOOKUP(表格1[[#This Row],[PO+ITEM]],#REF!,3,FALSE)</f>
        <v>#REF!</v>
      </c>
      <c r="AW568" s="208" t="e">
        <f ca="1">VLOOKUP(表格1[[#This Row],[PO+ITEM]],#REF!,4,FALSE)</f>
        <v>#REF!</v>
      </c>
      <c r="AX568" s="208" t="e" cm="1" vm="1">
        <f t="array" aca="1" ref="AX568" ca="1">VLOOKUP(AI:AI,#REF!,1,FALSE)</f>
        <v>#VALUE!</v>
      </c>
    </row>
    <row r="569" spans="1:50" ht="15.6">
      <c r="A569" s="220">
        <v>568</v>
      </c>
      <c r="B569" s="220" t="s">
        <v>3659</v>
      </c>
      <c r="C569" s="209" t="s">
        <v>16</v>
      </c>
      <c r="D569" s="209" t="s">
        <v>3648</v>
      </c>
      <c r="E569" s="209"/>
      <c r="F569" s="209"/>
      <c r="G569" s="209"/>
      <c r="H569" s="210" t="s">
        <v>5105</v>
      </c>
      <c r="I569" s="210"/>
      <c r="J569" s="211"/>
      <c r="K569" s="210"/>
      <c r="L569" s="212" t="s">
        <v>3762</v>
      </c>
      <c r="M569" s="212" t="s">
        <v>3762</v>
      </c>
      <c r="N569" s="213"/>
      <c r="O569" s="263">
        <v>4590006259</v>
      </c>
      <c r="P569" s="214">
        <v>44836</v>
      </c>
      <c r="Q569" s="334">
        <v>1</v>
      </c>
      <c r="R569" s="216">
        <v>30443.5</v>
      </c>
      <c r="S569" s="217" t="s">
        <v>2156</v>
      </c>
      <c r="T569" s="209" t="s">
        <v>4027</v>
      </c>
      <c r="U569" s="209" t="s">
        <v>3992</v>
      </c>
      <c r="V569" s="213" t="s">
        <v>3993</v>
      </c>
      <c r="W569" s="218" t="s">
        <v>3652</v>
      </c>
      <c r="X569" s="218" t="s">
        <v>3652</v>
      </c>
      <c r="Y569" s="212" t="s">
        <v>4732</v>
      </c>
      <c r="Z569" s="209" t="s">
        <v>3664</v>
      </c>
      <c r="AA569" s="219"/>
      <c r="AB569" s="218"/>
      <c r="AC569" s="217" t="e">
        <v>#N/A</v>
      </c>
      <c r="AD569" s="217">
        <v>91285</v>
      </c>
      <c r="AE569" s="217" t="s">
        <v>5106</v>
      </c>
      <c r="AF569" s="217" t="s">
        <v>3718</v>
      </c>
      <c r="AG569" s="217" t="s">
        <v>4734</v>
      </c>
      <c r="AH569" s="220" t="str">
        <f t="shared" si="36"/>
        <v>4590006259_001</v>
      </c>
      <c r="AI569" s="208"/>
      <c r="AJ569" s="225">
        <v>45047</v>
      </c>
      <c r="AK569" s="221">
        <v>12177.400000000001</v>
      </c>
      <c r="AL569" s="226">
        <v>45153</v>
      </c>
      <c r="AM569" s="208"/>
      <c r="AN569" s="220"/>
      <c r="AO569" s="222"/>
      <c r="AP569" s="227"/>
      <c r="AQ569" s="358">
        <f ca="1">IF(表格1[[#This Row],[PO$]]="","100%",表格1[[#This Row],[total amount]]/表格1[[#This Row],[PO$]])</f>
        <v>0.4</v>
      </c>
      <c r="AR569" s="223">
        <f ca="1">表格1[[#This Row],[invoice amount]]+表格1[[#This Row],[invoice amount2]]</f>
        <v>12177.400000000001</v>
      </c>
      <c r="AS569" s="224" t="s">
        <v>3673</v>
      </c>
      <c r="AT569" s="208"/>
      <c r="AU569" s="208" t="e">
        <f ca="1">VLOOKUP(表格1[[#This Row],[PO+ITEM]],#REF!,2,FALSE)</f>
        <v>#REF!</v>
      </c>
      <c r="AV569" s="341" t="e">
        <f ca="1">VLOOKUP(表格1[[#This Row],[PO+ITEM]],#REF!,3,FALSE)</f>
        <v>#REF!</v>
      </c>
      <c r="AW569" s="208" t="e">
        <f ca="1">VLOOKUP(表格1[[#This Row],[PO+ITEM]],#REF!,4,FALSE)</f>
        <v>#REF!</v>
      </c>
      <c r="AX569" s="208" t="e" cm="1" vm="1">
        <f t="array" aca="1" ref="AX569" ca="1">VLOOKUP(AI:AI,#REF!,1,FALSE)</f>
        <v>#VALUE!</v>
      </c>
    </row>
    <row r="570" spans="1:50" ht="15.6">
      <c r="A570" s="220">
        <v>569</v>
      </c>
      <c r="B570" s="220" t="s">
        <v>3659</v>
      </c>
      <c r="C570" s="209" t="s">
        <v>16</v>
      </c>
      <c r="D570" s="209" t="s">
        <v>3648</v>
      </c>
      <c r="E570" s="209"/>
      <c r="F570" s="209"/>
      <c r="G570" s="209"/>
      <c r="H570" s="210" t="s">
        <v>5108</v>
      </c>
      <c r="I570" s="210"/>
      <c r="J570" s="211"/>
      <c r="K570" s="210"/>
      <c r="L570" s="212" t="s">
        <v>3762</v>
      </c>
      <c r="M570" s="212" t="s">
        <v>3762</v>
      </c>
      <c r="N570" s="213"/>
      <c r="O570" s="263">
        <v>4590006259</v>
      </c>
      <c r="P570" s="214">
        <v>44836</v>
      </c>
      <c r="Q570" s="334">
        <v>2</v>
      </c>
      <c r="R570" s="216">
        <v>16737.97</v>
      </c>
      <c r="S570" s="217" t="s">
        <v>2156</v>
      </c>
      <c r="T570" s="209" t="s">
        <v>4027</v>
      </c>
      <c r="U570" s="209" t="s">
        <v>3992</v>
      </c>
      <c r="V570" s="213" t="s">
        <v>3993</v>
      </c>
      <c r="W570" s="218" t="s">
        <v>3652</v>
      </c>
      <c r="X570" s="218" t="s">
        <v>3652</v>
      </c>
      <c r="Y570" s="212" t="s">
        <v>4732</v>
      </c>
      <c r="Z570" s="209" t="s">
        <v>3664</v>
      </c>
      <c r="AA570" s="219"/>
      <c r="AB570" s="218"/>
      <c r="AC570" s="217" t="e">
        <v>#N/A</v>
      </c>
      <c r="AD570" s="217">
        <v>91286</v>
      </c>
      <c r="AE570" s="217" t="s">
        <v>5109</v>
      </c>
      <c r="AF570" s="217" t="s">
        <v>3718</v>
      </c>
      <c r="AG570" s="217" t="s">
        <v>3719</v>
      </c>
      <c r="AH570" s="220" t="str">
        <f t="shared" si="36"/>
        <v>4590006259_002</v>
      </c>
      <c r="AI570" s="208"/>
      <c r="AJ570" s="225">
        <v>45047</v>
      </c>
      <c r="AK570" s="221">
        <v>6695.19</v>
      </c>
      <c r="AL570" s="226">
        <v>45153</v>
      </c>
      <c r="AM570" s="208"/>
      <c r="AN570" s="220"/>
      <c r="AO570" s="222"/>
      <c r="AP570" s="227"/>
      <c r="AQ570" s="358">
        <f ca="1">IF(表格1[[#This Row],[PO$]]="","100%",表格1[[#This Row],[total amount]]/表格1[[#This Row],[PO$]])</f>
        <v>0.40000011948880293</v>
      </c>
      <c r="AR570" s="223">
        <f ca="1">表格1[[#This Row],[invoice amount]]+表格1[[#This Row],[invoice amount2]]</f>
        <v>6695.19</v>
      </c>
      <c r="AS570" s="224" t="s">
        <v>3673</v>
      </c>
      <c r="AT570" s="208"/>
      <c r="AU570" s="208" t="e">
        <f ca="1">VLOOKUP(表格1[[#This Row],[PO+ITEM]],#REF!,2,FALSE)</f>
        <v>#REF!</v>
      </c>
      <c r="AV570" s="341" t="e">
        <f ca="1">VLOOKUP(表格1[[#This Row],[PO+ITEM]],#REF!,3,FALSE)</f>
        <v>#REF!</v>
      </c>
      <c r="AW570" s="208" t="e">
        <f ca="1">VLOOKUP(表格1[[#This Row],[PO+ITEM]],#REF!,4,FALSE)</f>
        <v>#REF!</v>
      </c>
      <c r="AX570" s="208" t="e" cm="1" vm="1">
        <f t="array" aca="1" ref="AX570" ca="1">VLOOKUP(AI:AI,#REF!,1,FALSE)</f>
        <v>#VALUE!</v>
      </c>
    </row>
    <row r="571" spans="1:50" ht="15.6">
      <c r="A571" s="220">
        <v>570</v>
      </c>
      <c r="B571" s="220" t="s">
        <v>3659</v>
      </c>
      <c r="C571" s="209" t="s">
        <v>16</v>
      </c>
      <c r="D571" s="209" t="s">
        <v>3648</v>
      </c>
      <c r="E571" s="209"/>
      <c r="F571" s="209"/>
      <c r="G571" s="209"/>
      <c r="H571" s="210" t="s">
        <v>5110</v>
      </c>
      <c r="I571" s="210"/>
      <c r="J571" s="211"/>
      <c r="K571" s="210"/>
      <c r="L571" s="212" t="s">
        <v>3762</v>
      </c>
      <c r="M571" s="212" t="s">
        <v>3762</v>
      </c>
      <c r="N571" s="213"/>
      <c r="O571" s="263">
        <v>4590006259</v>
      </c>
      <c r="P571" s="214">
        <v>44836</v>
      </c>
      <c r="Q571" s="334">
        <v>3</v>
      </c>
      <c r="R571" s="216">
        <v>55386.48</v>
      </c>
      <c r="S571" s="217" t="s">
        <v>2156</v>
      </c>
      <c r="T571" s="209" t="s">
        <v>4027</v>
      </c>
      <c r="U571" s="209" t="s">
        <v>3992</v>
      </c>
      <c r="V571" s="213" t="s">
        <v>3993</v>
      </c>
      <c r="W571" s="218" t="s">
        <v>3652</v>
      </c>
      <c r="X571" s="218" t="s">
        <v>3652</v>
      </c>
      <c r="Y571" s="212" t="s">
        <v>4732</v>
      </c>
      <c r="Z571" s="209" t="s">
        <v>3664</v>
      </c>
      <c r="AA571" s="219"/>
      <c r="AB571" s="218"/>
      <c r="AC571" s="217" t="e">
        <v>#N/A</v>
      </c>
      <c r="AD571" s="217">
        <v>91288</v>
      </c>
      <c r="AE571" s="217" t="s">
        <v>3758</v>
      </c>
      <c r="AF571" s="217" t="s">
        <v>3718</v>
      </c>
      <c r="AG571" s="217" t="s">
        <v>3719</v>
      </c>
      <c r="AH571" s="220" t="str">
        <f t="shared" si="36"/>
        <v>4590006259_003</v>
      </c>
      <c r="AI571" s="208"/>
      <c r="AJ571" s="225">
        <v>45047</v>
      </c>
      <c r="AK571" s="221">
        <v>22154.59</v>
      </c>
      <c r="AL571" s="226">
        <v>45153</v>
      </c>
      <c r="AM571" s="208"/>
      <c r="AN571" s="220"/>
      <c r="AO571" s="222"/>
      <c r="AP571" s="227"/>
      <c r="AQ571" s="358">
        <f ca="1">IF(表格1[[#This Row],[PO$]]="","100%",表格1[[#This Row],[total amount]]/表格1[[#This Row],[PO$]])</f>
        <v>0.39999996389010456</v>
      </c>
      <c r="AR571" s="223">
        <f ca="1">表格1[[#This Row],[invoice amount]]+表格1[[#This Row],[invoice amount2]]</f>
        <v>22154.59</v>
      </c>
      <c r="AS571" s="224" t="s">
        <v>3673</v>
      </c>
      <c r="AT571" s="208"/>
      <c r="AU571" s="208" t="e">
        <f ca="1">VLOOKUP(表格1[[#This Row],[PO+ITEM]],#REF!,2,FALSE)</f>
        <v>#REF!</v>
      </c>
      <c r="AV571" s="341" t="e">
        <f ca="1">VLOOKUP(表格1[[#This Row],[PO+ITEM]],#REF!,3,FALSE)</f>
        <v>#REF!</v>
      </c>
      <c r="AW571" s="208" t="e">
        <f ca="1">VLOOKUP(表格1[[#This Row],[PO+ITEM]],#REF!,4,FALSE)</f>
        <v>#REF!</v>
      </c>
      <c r="AX571" s="208" t="e" cm="1" vm="1">
        <f t="array" aca="1" ref="AX571" ca="1">VLOOKUP(AI:AI,#REF!,1,FALSE)</f>
        <v>#VALUE!</v>
      </c>
    </row>
    <row r="572" spans="1:50" ht="15.6">
      <c r="A572" s="220">
        <v>571</v>
      </c>
      <c r="B572" s="220" t="s">
        <v>3659</v>
      </c>
      <c r="C572" s="209" t="s">
        <v>16</v>
      </c>
      <c r="D572" s="209" t="s">
        <v>3648</v>
      </c>
      <c r="E572" s="209"/>
      <c r="F572" s="209"/>
      <c r="G572" s="209"/>
      <c r="H572" s="210" t="s">
        <v>5111</v>
      </c>
      <c r="I572" s="210"/>
      <c r="J572" s="211"/>
      <c r="K572" s="210"/>
      <c r="L572" s="212" t="s">
        <v>3762</v>
      </c>
      <c r="M572" s="212" t="s">
        <v>3762</v>
      </c>
      <c r="N572" s="213"/>
      <c r="O572" s="263">
        <v>4590006259</v>
      </c>
      <c r="P572" s="214">
        <v>44836</v>
      </c>
      <c r="Q572" s="334">
        <v>4</v>
      </c>
      <c r="R572" s="216">
        <v>41539.86</v>
      </c>
      <c r="S572" s="217" t="s">
        <v>2156</v>
      </c>
      <c r="T572" s="209" t="s">
        <v>4027</v>
      </c>
      <c r="U572" s="209" t="s">
        <v>3992</v>
      </c>
      <c r="V572" s="213" t="s">
        <v>3993</v>
      </c>
      <c r="W572" s="218" t="s">
        <v>3652</v>
      </c>
      <c r="X572" s="218" t="s">
        <v>3652</v>
      </c>
      <c r="Y572" s="212" t="s">
        <v>4732</v>
      </c>
      <c r="Z572" s="209" t="s">
        <v>3664</v>
      </c>
      <c r="AA572" s="219"/>
      <c r="AB572" s="218"/>
      <c r="AC572" s="217" t="e">
        <v>#N/A</v>
      </c>
      <c r="AD572" s="217">
        <v>91289</v>
      </c>
      <c r="AE572" s="217" t="s">
        <v>5112</v>
      </c>
      <c r="AF572" s="217" t="s">
        <v>3718</v>
      </c>
      <c r="AG572" s="217" t="s">
        <v>5113</v>
      </c>
      <c r="AH572" s="220" t="str">
        <f t="shared" si="36"/>
        <v>4590006259_004</v>
      </c>
      <c r="AI572" s="208"/>
      <c r="AJ572" s="225">
        <v>45047</v>
      </c>
      <c r="AK572" s="221">
        <v>16615.939999999999</v>
      </c>
      <c r="AL572" s="226">
        <v>45153</v>
      </c>
      <c r="AM572" s="208"/>
      <c r="AN572" s="220"/>
      <c r="AO572" s="222"/>
      <c r="AP572" s="227"/>
      <c r="AQ572" s="358">
        <f ca="1">IF(表格1[[#This Row],[PO$]]="","100%",表格1[[#This Row],[total amount]]/表格1[[#This Row],[PO$]])</f>
        <v>0.39999990370694555</v>
      </c>
      <c r="AR572" s="223">
        <f ca="1">表格1[[#This Row],[invoice amount]]+表格1[[#This Row],[invoice amount2]]</f>
        <v>16615.939999999999</v>
      </c>
      <c r="AS572" s="224" t="s">
        <v>3673</v>
      </c>
      <c r="AT572" s="208"/>
      <c r="AU572" s="208" t="e">
        <f ca="1">VLOOKUP(表格1[[#This Row],[PO+ITEM]],#REF!,2,FALSE)</f>
        <v>#REF!</v>
      </c>
      <c r="AV572" s="341" t="e">
        <f ca="1">VLOOKUP(表格1[[#This Row],[PO+ITEM]],#REF!,3,FALSE)</f>
        <v>#REF!</v>
      </c>
      <c r="AW572" s="208" t="e">
        <f ca="1">VLOOKUP(表格1[[#This Row],[PO+ITEM]],#REF!,4,FALSE)</f>
        <v>#REF!</v>
      </c>
      <c r="AX572" s="208" t="e" cm="1" vm="1">
        <f t="array" aca="1" ref="AX572" ca="1">VLOOKUP(AI:AI,#REF!,1,FALSE)</f>
        <v>#VALUE!</v>
      </c>
    </row>
    <row r="573" spans="1:50" ht="15.6">
      <c r="A573" s="220">
        <v>572</v>
      </c>
      <c r="B573" s="220" t="s">
        <v>3659</v>
      </c>
      <c r="C573" s="209" t="s">
        <v>16</v>
      </c>
      <c r="D573" s="209" t="s">
        <v>3648</v>
      </c>
      <c r="E573" s="209"/>
      <c r="F573" s="209"/>
      <c r="G573" s="209"/>
      <c r="H573" s="210" t="s">
        <v>5114</v>
      </c>
      <c r="I573" s="210"/>
      <c r="J573" s="211"/>
      <c r="K573" s="210"/>
      <c r="L573" s="212" t="s">
        <v>3762</v>
      </c>
      <c r="M573" s="212" t="s">
        <v>3762</v>
      </c>
      <c r="N573" s="213"/>
      <c r="O573" s="263">
        <v>4590006259</v>
      </c>
      <c r="P573" s="214">
        <v>44836</v>
      </c>
      <c r="Q573" s="334">
        <v>5</v>
      </c>
      <c r="R573" s="216">
        <v>60887.01</v>
      </c>
      <c r="S573" s="217" t="s">
        <v>2156</v>
      </c>
      <c r="T573" s="209" t="s">
        <v>4027</v>
      </c>
      <c r="U573" s="209" t="s">
        <v>3992</v>
      </c>
      <c r="V573" s="213" t="s">
        <v>3993</v>
      </c>
      <c r="W573" s="218" t="s">
        <v>3652</v>
      </c>
      <c r="X573" s="218" t="s">
        <v>3652</v>
      </c>
      <c r="Y573" s="212" t="s">
        <v>4732</v>
      </c>
      <c r="Z573" s="209" t="s">
        <v>3664</v>
      </c>
      <c r="AA573" s="219"/>
      <c r="AB573" s="218"/>
      <c r="AC573" s="217" t="e">
        <v>#N/A</v>
      </c>
      <c r="AD573" s="217">
        <v>90988</v>
      </c>
      <c r="AE573" s="217" t="s">
        <v>5115</v>
      </c>
      <c r="AF573" s="217" t="s">
        <v>3718</v>
      </c>
      <c r="AG573" s="217" t="s">
        <v>5116</v>
      </c>
      <c r="AH573" s="220" t="str">
        <f t="shared" si="36"/>
        <v>4590006259_005</v>
      </c>
      <c r="AI573" s="208"/>
      <c r="AJ573" s="225">
        <v>45108</v>
      </c>
      <c r="AK573" s="221">
        <v>24354.799999999999</v>
      </c>
      <c r="AL573" s="226">
        <v>45168</v>
      </c>
      <c r="AM573" s="208"/>
      <c r="AN573" s="220"/>
      <c r="AO573" s="222"/>
      <c r="AP573" s="227"/>
      <c r="AQ573" s="358">
        <f ca="1">IF(表格1[[#This Row],[PO$]]="","100%",表格1[[#This Row],[total amount]]/表格1[[#This Row],[PO$]])</f>
        <v>0.39999993430454212</v>
      </c>
      <c r="AR573" s="223">
        <f ca="1">表格1[[#This Row],[invoice amount]]+表格1[[#This Row],[invoice amount2]]</f>
        <v>24354.799999999999</v>
      </c>
      <c r="AS573" s="224" t="s">
        <v>3673</v>
      </c>
      <c r="AT573" s="208"/>
      <c r="AU573" s="208" t="e">
        <f ca="1">VLOOKUP(表格1[[#This Row],[PO+ITEM]],#REF!,2,FALSE)</f>
        <v>#REF!</v>
      </c>
      <c r="AV573" s="341" t="e">
        <f ca="1">VLOOKUP(表格1[[#This Row],[PO+ITEM]],#REF!,3,FALSE)</f>
        <v>#REF!</v>
      </c>
      <c r="AW573" s="208" t="e">
        <f ca="1">VLOOKUP(表格1[[#This Row],[PO+ITEM]],#REF!,4,FALSE)</f>
        <v>#REF!</v>
      </c>
      <c r="AX573" s="208" t="e" cm="1" vm="1">
        <f t="array" aca="1" ref="AX573" ca="1">VLOOKUP(AI:AI,#REF!,1,FALSE)</f>
        <v>#VALUE!</v>
      </c>
    </row>
    <row r="574" spans="1:50" ht="15.6">
      <c r="A574" s="220">
        <v>573</v>
      </c>
      <c r="B574" s="220" t="s">
        <v>3659</v>
      </c>
      <c r="C574" s="209" t="s">
        <v>16</v>
      </c>
      <c r="D574" s="209" t="s">
        <v>3648</v>
      </c>
      <c r="E574" s="209"/>
      <c r="F574" s="209"/>
      <c r="G574" s="209"/>
      <c r="H574" s="210" t="s">
        <v>5117</v>
      </c>
      <c r="I574" s="210"/>
      <c r="J574" s="211"/>
      <c r="K574" s="210"/>
      <c r="L574" s="212" t="s">
        <v>3762</v>
      </c>
      <c r="M574" s="212" t="s">
        <v>3762</v>
      </c>
      <c r="N574" s="213"/>
      <c r="O574" s="263">
        <v>4590006259</v>
      </c>
      <c r="P574" s="214">
        <v>44836</v>
      </c>
      <c r="Q574" s="334">
        <v>6</v>
      </c>
      <c r="R574" s="216">
        <v>41539.86</v>
      </c>
      <c r="S574" s="217" t="s">
        <v>2156</v>
      </c>
      <c r="T574" s="209" t="s">
        <v>4027</v>
      </c>
      <c r="U574" s="209" t="s">
        <v>3992</v>
      </c>
      <c r="V574" s="213" t="s">
        <v>3993</v>
      </c>
      <c r="W574" s="218" t="s">
        <v>3652</v>
      </c>
      <c r="X574" s="218" t="s">
        <v>3652</v>
      </c>
      <c r="Y574" s="212" t="s">
        <v>4732</v>
      </c>
      <c r="Z574" s="209" t="s">
        <v>3664</v>
      </c>
      <c r="AA574" s="219"/>
      <c r="AB574" s="218"/>
      <c r="AC574" s="217" t="e">
        <v>#N/A</v>
      </c>
      <c r="AD574" s="217">
        <v>91279</v>
      </c>
      <c r="AE574" s="217" t="s">
        <v>5118</v>
      </c>
      <c r="AF574" s="217" t="s">
        <v>3718</v>
      </c>
      <c r="AG574" s="217" t="s">
        <v>5113</v>
      </c>
      <c r="AH574" s="220" t="str">
        <f t="shared" si="36"/>
        <v>4590006259_006</v>
      </c>
      <c r="AI574" s="208"/>
      <c r="AJ574" s="225">
        <v>45108</v>
      </c>
      <c r="AK574" s="221">
        <v>16615.939999999999</v>
      </c>
      <c r="AL574" s="226">
        <v>45168</v>
      </c>
      <c r="AM574" s="208"/>
      <c r="AN574" s="220"/>
      <c r="AO574" s="222"/>
      <c r="AP574" s="227"/>
      <c r="AQ574" s="358">
        <f ca="1">IF(表格1[[#This Row],[PO$]]="","100%",表格1[[#This Row],[total amount]]/表格1[[#This Row],[PO$]])</f>
        <v>0.39999990370694555</v>
      </c>
      <c r="AR574" s="223">
        <f ca="1">表格1[[#This Row],[invoice amount]]+表格1[[#This Row],[invoice amount2]]</f>
        <v>16615.939999999999</v>
      </c>
      <c r="AS574" s="224" t="s">
        <v>3673</v>
      </c>
      <c r="AT574" s="208"/>
      <c r="AU574" s="208" t="e">
        <f ca="1">VLOOKUP(表格1[[#This Row],[PO+ITEM]],#REF!,2,FALSE)</f>
        <v>#REF!</v>
      </c>
      <c r="AV574" s="341" t="e">
        <f ca="1">VLOOKUP(表格1[[#This Row],[PO+ITEM]],#REF!,3,FALSE)</f>
        <v>#REF!</v>
      </c>
      <c r="AW574" s="208" t="e">
        <f ca="1">VLOOKUP(表格1[[#This Row],[PO+ITEM]],#REF!,4,FALSE)</f>
        <v>#REF!</v>
      </c>
      <c r="AX574" s="208" t="e" cm="1" vm="1">
        <f t="array" aca="1" ref="AX574" ca="1">VLOOKUP(AI:AI,#REF!,1,FALSE)</f>
        <v>#VALUE!</v>
      </c>
    </row>
    <row r="575" spans="1:50">
      <c r="A575" s="220">
        <v>574</v>
      </c>
      <c r="B575" s="220" t="s">
        <v>3674</v>
      </c>
      <c r="C575" s="209" t="s">
        <v>16</v>
      </c>
      <c r="D575" s="209" t="s">
        <v>3648</v>
      </c>
      <c r="E575" s="209"/>
      <c r="F575" s="209"/>
      <c r="G575" s="209"/>
      <c r="H575" s="210" t="s">
        <v>5119</v>
      </c>
      <c r="I575" s="210"/>
      <c r="J575" s="211"/>
      <c r="K575" s="210"/>
      <c r="L575" s="212" t="s">
        <v>4269</v>
      </c>
      <c r="M575" s="212" t="s">
        <v>2999</v>
      </c>
      <c r="N575" s="213"/>
      <c r="O575" s="263">
        <v>4590006260</v>
      </c>
      <c r="P575" s="214">
        <v>44836</v>
      </c>
      <c r="Q575" s="334">
        <v>1</v>
      </c>
      <c r="R575" s="216">
        <v>2286.87</v>
      </c>
      <c r="S575" s="217" t="s">
        <v>2156</v>
      </c>
      <c r="T575" s="209" t="s">
        <v>4021</v>
      </c>
      <c r="U575" s="209" t="s">
        <v>4022</v>
      </c>
      <c r="V575" s="213" t="s">
        <v>4023</v>
      </c>
      <c r="W575" s="218" t="s">
        <v>3652</v>
      </c>
      <c r="X575" s="218" t="s">
        <v>3652</v>
      </c>
      <c r="Y575" s="212">
        <v>0</v>
      </c>
      <c r="Z575" s="209" t="s">
        <v>3664</v>
      </c>
      <c r="AA575" s="219"/>
      <c r="AB575" s="218"/>
      <c r="AC575" s="217" t="e">
        <v>#N/A</v>
      </c>
      <c r="AD575" s="217">
        <v>90611</v>
      </c>
      <c r="AE575" s="217" t="s">
        <v>3438</v>
      </c>
      <c r="AF575" s="217" t="s">
        <v>3911</v>
      </c>
      <c r="AG575" s="217" t="s">
        <v>5120</v>
      </c>
      <c r="AH575" s="220" t="str">
        <f t="shared" si="36"/>
        <v>4590006260_001</v>
      </c>
      <c r="AI575" s="208"/>
      <c r="AJ575" s="220"/>
      <c r="AK575" s="221"/>
      <c r="AL575" s="227"/>
      <c r="AM575" s="208"/>
      <c r="AN575" s="220"/>
      <c r="AO575" s="222"/>
      <c r="AP575" s="227"/>
      <c r="AQ575" s="358">
        <f ca="1">IF(表格1[[#This Row],[PO$]]="","100%",表格1[[#This Row],[total amount]]/表格1[[#This Row],[PO$]])</f>
        <v>0</v>
      </c>
      <c r="AR575" s="223">
        <f ca="1">表格1[[#This Row],[invoice amount]]+表格1[[#This Row],[invoice amount2]]</f>
        <v>0</v>
      </c>
      <c r="AS575" s="224"/>
      <c r="AT575" s="208"/>
      <c r="AU575" s="208" t="e">
        <f ca="1">VLOOKUP(表格1[[#This Row],[PO+ITEM]],#REF!,2,FALSE)</f>
        <v>#REF!</v>
      </c>
      <c r="AV575" s="341" t="e">
        <f ca="1">VLOOKUP(表格1[[#This Row],[PO+ITEM]],#REF!,3,FALSE)</f>
        <v>#REF!</v>
      </c>
      <c r="AW575" s="208" t="e">
        <f ca="1">VLOOKUP(表格1[[#This Row],[PO+ITEM]],#REF!,4,FALSE)</f>
        <v>#REF!</v>
      </c>
      <c r="AX575" s="208" t="e" cm="1" vm="1">
        <f t="array" aca="1" ref="AX575" ca="1">VLOOKUP(AI:AI,#REF!,1,FALSE)</f>
        <v>#VALUE!</v>
      </c>
    </row>
    <row r="576" spans="1:50" ht="15.6">
      <c r="A576" s="220">
        <v>575</v>
      </c>
      <c r="B576" s="220" t="s">
        <v>3659</v>
      </c>
      <c r="C576" s="209" t="s">
        <v>16</v>
      </c>
      <c r="D576" s="209" t="s">
        <v>3648</v>
      </c>
      <c r="E576" s="209"/>
      <c r="F576" s="209"/>
      <c r="G576" s="209"/>
      <c r="H576" s="210" t="s">
        <v>5122</v>
      </c>
      <c r="I576" s="210"/>
      <c r="J576" s="211"/>
      <c r="K576" s="210"/>
      <c r="L576" s="212" t="s">
        <v>2206</v>
      </c>
      <c r="M576" s="212" t="s">
        <v>2999</v>
      </c>
      <c r="N576" s="213"/>
      <c r="O576" s="263">
        <v>4590006260</v>
      </c>
      <c r="P576" s="214">
        <v>44836</v>
      </c>
      <c r="Q576" s="334">
        <v>2</v>
      </c>
      <c r="R576" s="216">
        <v>10229.49</v>
      </c>
      <c r="S576" s="217" t="s">
        <v>2156</v>
      </c>
      <c r="T576" s="209" t="s">
        <v>4021</v>
      </c>
      <c r="U576" s="209" t="s">
        <v>4022</v>
      </c>
      <c r="V576" s="213" t="s">
        <v>4023</v>
      </c>
      <c r="W576" s="218" t="s">
        <v>3652</v>
      </c>
      <c r="X576" s="218" t="s">
        <v>3652</v>
      </c>
      <c r="Y576" s="212" t="s">
        <v>4752</v>
      </c>
      <c r="Z576" s="209" t="s">
        <v>3664</v>
      </c>
      <c r="AA576" s="219"/>
      <c r="AB576" s="218"/>
      <c r="AC576" s="217" t="e">
        <v>#N/A</v>
      </c>
      <c r="AD576" s="217">
        <v>91224</v>
      </c>
      <c r="AE576" s="217" t="s">
        <v>5123</v>
      </c>
      <c r="AF576" s="217" t="s">
        <v>3911</v>
      </c>
      <c r="AG576" s="217" t="s">
        <v>846</v>
      </c>
      <c r="AH576" s="220" t="str">
        <f t="shared" si="36"/>
        <v>4590006260_002</v>
      </c>
      <c r="AI576" s="208"/>
      <c r="AJ576" s="225">
        <v>45108</v>
      </c>
      <c r="AK576" s="221">
        <v>4091.7960000000003</v>
      </c>
      <c r="AL576" s="258">
        <v>45288</v>
      </c>
      <c r="AM576" s="208"/>
      <c r="AN576" s="220"/>
      <c r="AO576" s="222"/>
      <c r="AP576" s="227"/>
      <c r="AQ576" s="358">
        <f ca="1">IF(表格1[[#This Row],[PO$]]="","100%",表格1[[#This Row],[total amount]]/表格1[[#This Row],[PO$]])</f>
        <v>0.4</v>
      </c>
      <c r="AR576" s="223">
        <f ca="1">表格1[[#This Row],[invoice amount]]+表格1[[#This Row],[invoice amount2]]</f>
        <v>4091.7960000000003</v>
      </c>
      <c r="AS576" s="224" t="s">
        <v>3673</v>
      </c>
      <c r="AT576" s="208"/>
      <c r="AU576" s="208" t="e">
        <f ca="1">VLOOKUP(表格1[[#This Row],[PO+ITEM]],#REF!,2,FALSE)</f>
        <v>#REF!</v>
      </c>
      <c r="AV576" s="341" t="e">
        <f ca="1">VLOOKUP(表格1[[#This Row],[PO+ITEM]],#REF!,3,FALSE)</f>
        <v>#REF!</v>
      </c>
      <c r="AW576" s="208" t="e">
        <f ca="1">VLOOKUP(表格1[[#This Row],[PO+ITEM]],#REF!,4,FALSE)</f>
        <v>#REF!</v>
      </c>
      <c r="AX576" s="208" t="e" cm="1" vm="1">
        <f t="array" aca="1" ref="AX576" ca="1">VLOOKUP(AI:AI,#REF!,1,FALSE)</f>
        <v>#VALUE!</v>
      </c>
    </row>
    <row r="577" spans="1:50" ht="15.6">
      <c r="A577" s="220">
        <v>576</v>
      </c>
      <c r="B577" s="220" t="s">
        <v>3659</v>
      </c>
      <c r="C577" s="209" t="s">
        <v>16</v>
      </c>
      <c r="D577" s="209" t="s">
        <v>3648</v>
      </c>
      <c r="E577" s="209"/>
      <c r="F577" s="209"/>
      <c r="G577" s="209"/>
      <c r="H577" s="210" t="s">
        <v>5124</v>
      </c>
      <c r="I577" s="210"/>
      <c r="J577" s="211"/>
      <c r="K577" s="210"/>
      <c r="L577" s="212" t="s">
        <v>2206</v>
      </c>
      <c r="M577" s="212" t="s">
        <v>2999</v>
      </c>
      <c r="N577" s="213"/>
      <c r="O577" s="263">
        <v>4590006260</v>
      </c>
      <c r="P577" s="214">
        <v>44836</v>
      </c>
      <c r="Q577" s="334">
        <v>3</v>
      </c>
      <c r="R577" s="216">
        <v>3803.58</v>
      </c>
      <c r="S577" s="217" t="s">
        <v>2156</v>
      </c>
      <c r="T577" s="209" t="s">
        <v>4021</v>
      </c>
      <c r="U577" s="209" t="s">
        <v>4022</v>
      </c>
      <c r="V577" s="213" t="s">
        <v>4023</v>
      </c>
      <c r="W577" s="218" t="s">
        <v>3652</v>
      </c>
      <c r="X577" s="218" t="s">
        <v>3652</v>
      </c>
      <c r="Y577" s="212" t="s">
        <v>4752</v>
      </c>
      <c r="Z577" s="209" t="s">
        <v>3664</v>
      </c>
      <c r="AA577" s="219"/>
      <c r="AB577" s="218"/>
      <c r="AC577" s="217" t="e">
        <v>#N/A</v>
      </c>
      <c r="AD577" s="217">
        <v>91225</v>
      </c>
      <c r="AE577" s="217" t="s">
        <v>5125</v>
      </c>
      <c r="AF577" s="217" t="s">
        <v>3911</v>
      </c>
      <c r="AG577" s="217" t="s">
        <v>846</v>
      </c>
      <c r="AH577" s="220" t="str">
        <f t="shared" si="36"/>
        <v>4590006260_003</v>
      </c>
      <c r="AI577" s="208"/>
      <c r="AJ577" s="225">
        <v>45017</v>
      </c>
      <c r="AK577" s="221">
        <v>1521.432</v>
      </c>
      <c r="AL577" s="258">
        <v>45288</v>
      </c>
      <c r="AM577" s="208"/>
      <c r="AN577" s="220"/>
      <c r="AO577" s="222"/>
      <c r="AP577" s="227"/>
      <c r="AQ577" s="358">
        <f ca="1">IF(表格1[[#This Row],[PO$]]="","100%",表格1[[#This Row],[total amount]]/表格1[[#This Row],[PO$]])</f>
        <v>0.4</v>
      </c>
      <c r="AR577" s="223">
        <f ca="1">表格1[[#This Row],[invoice amount]]+表格1[[#This Row],[invoice amount2]]</f>
        <v>1521.432</v>
      </c>
      <c r="AS577" s="224" t="s">
        <v>3673</v>
      </c>
      <c r="AT577" s="208"/>
      <c r="AU577" s="208" t="e">
        <f ca="1">VLOOKUP(表格1[[#This Row],[PO+ITEM]],#REF!,2,FALSE)</f>
        <v>#REF!</v>
      </c>
      <c r="AV577" s="341" t="e">
        <f ca="1">VLOOKUP(表格1[[#This Row],[PO+ITEM]],#REF!,3,FALSE)</f>
        <v>#REF!</v>
      </c>
      <c r="AW577" s="208" t="e">
        <f ca="1">VLOOKUP(表格1[[#This Row],[PO+ITEM]],#REF!,4,FALSE)</f>
        <v>#REF!</v>
      </c>
      <c r="AX577" s="208" t="e" cm="1" vm="1">
        <f t="array" aca="1" ref="AX577" ca="1">VLOOKUP(AI:AI,#REF!,1,FALSE)</f>
        <v>#VALUE!</v>
      </c>
    </row>
    <row r="578" spans="1:50" ht="15.6">
      <c r="A578" s="220">
        <v>577</v>
      </c>
      <c r="B578" s="220" t="s">
        <v>3659</v>
      </c>
      <c r="C578" s="209" t="s">
        <v>16</v>
      </c>
      <c r="D578" s="209" t="s">
        <v>3648</v>
      </c>
      <c r="E578" s="209"/>
      <c r="F578" s="209"/>
      <c r="G578" s="209"/>
      <c r="H578" s="217" t="s">
        <v>5126</v>
      </c>
      <c r="I578" s="217"/>
      <c r="J578" s="215"/>
      <c r="K578" s="217"/>
      <c r="L578" s="212" t="s">
        <v>2206</v>
      </c>
      <c r="M578" s="212" t="s">
        <v>2999</v>
      </c>
      <c r="N578" s="213"/>
      <c r="O578" s="263">
        <v>4590006260</v>
      </c>
      <c r="P578" s="214">
        <v>44836</v>
      </c>
      <c r="Q578" s="334">
        <v>4</v>
      </c>
      <c r="R578" s="216">
        <v>3803.58</v>
      </c>
      <c r="S578" s="217" t="s">
        <v>2156</v>
      </c>
      <c r="T578" s="209" t="s">
        <v>4021</v>
      </c>
      <c r="U578" s="209" t="s">
        <v>4022</v>
      </c>
      <c r="V578" s="213" t="s">
        <v>4023</v>
      </c>
      <c r="W578" s="218" t="s">
        <v>3652</v>
      </c>
      <c r="X578" s="218" t="s">
        <v>3652</v>
      </c>
      <c r="Y578" s="212" t="s">
        <v>4752</v>
      </c>
      <c r="Z578" s="209" t="s">
        <v>3664</v>
      </c>
      <c r="AA578" s="219"/>
      <c r="AB578" s="218"/>
      <c r="AC578" s="217" t="e">
        <v>#N/A</v>
      </c>
      <c r="AD578" s="217">
        <v>91226</v>
      </c>
      <c r="AE578" s="217" t="s">
        <v>5127</v>
      </c>
      <c r="AF578" s="217" t="s">
        <v>3911</v>
      </c>
      <c r="AG578" s="217" t="s">
        <v>846</v>
      </c>
      <c r="AH578" s="220" t="str">
        <f t="shared" si="36"/>
        <v>4590006260_004</v>
      </c>
      <c r="AI578" s="208"/>
      <c r="AJ578" s="225">
        <v>45108</v>
      </c>
      <c r="AK578" s="221">
        <v>1521.43</v>
      </c>
      <c r="AL578" s="258">
        <v>45288</v>
      </c>
      <c r="AM578" s="208"/>
      <c r="AN578" s="220"/>
      <c r="AO578" s="222"/>
      <c r="AP578" s="227"/>
      <c r="AQ578" s="358">
        <f ca="1">IF(表格1[[#This Row],[PO$]]="","100%",表格1[[#This Row],[total amount]]/表格1[[#This Row],[PO$]])</f>
        <v>0.39999947417958875</v>
      </c>
      <c r="AR578" s="223">
        <f ca="1">表格1[[#This Row],[invoice amount]]+表格1[[#This Row],[invoice amount2]]</f>
        <v>1521.43</v>
      </c>
      <c r="AS578" s="224" t="s">
        <v>3673</v>
      </c>
      <c r="AT578" s="208"/>
      <c r="AU578" s="208" t="e">
        <f ca="1">VLOOKUP(表格1[[#This Row],[PO+ITEM]],#REF!,2,FALSE)</f>
        <v>#REF!</v>
      </c>
      <c r="AV578" s="341" t="e">
        <f ca="1">VLOOKUP(表格1[[#This Row],[PO+ITEM]],#REF!,3,FALSE)</f>
        <v>#REF!</v>
      </c>
      <c r="AW578" s="208" t="e">
        <f ca="1">VLOOKUP(表格1[[#This Row],[PO+ITEM]],#REF!,4,FALSE)</f>
        <v>#REF!</v>
      </c>
      <c r="AX578" s="208" t="e" cm="1" vm="1">
        <f t="array" aca="1" ref="AX578" ca="1">VLOOKUP(AI:AI,#REF!,1,FALSE)</f>
        <v>#VALUE!</v>
      </c>
    </row>
    <row r="579" spans="1:50" ht="15.6">
      <c r="A579" s="220">
        <v>578</v>
      </c>
      <c r="B579" s="220" t="s">
        <v>3659</v>
      </c>
      <c r="C579" s="209" t="s">
        <v>16</v>
      </c>
      <c r="D579" s="209" t="s">
        <v>3648</v>
      </c>
      <c r="E579" s="209"/>
      <c r="F579" s="209"/>
      <c r="G579" s="209"/>
      <c r="H579" s="210" t="s">
        <v>5128</v>
      </c>
      <c r="I579" s="210"/>
      <c r="J579" s="211"/>
      <c r="K579" s="210"/>
      <c r="L579" s="212" t="s">
        <v>2206</v>
      </c>
      <c r="M579" s="212" t="s">
        <v>2999</v>
      </c>
      <c r="N579" s="213"/>
      <c r="O579" s="263">
        <v>4590006260</v>
      </c>
      <c r="P579" s="214">
        <v>44836</v>
      </c>
      <c r="Q579" s="334">
        <v>5</v>
      </c>
      <c r="R579" s="216">
        <v>3803.58</v>
      </c>
      <c r="S579" s="217" t="s">
        <v>2156</v>
      </c>
      <c r="T579" s="209" t="s">
        <v>4021</v>
      </c>
      <c r="U579" s="209" t="s">
        <v>4022</v>
      </c>
      <c r="V579" s="213" t="s">
        <v>4023</v>
      </c>
      <c r="W579" s="218" t="s">
        <v>3652</v>
      </c>
      <c r="X579" s="218" t="s">
        <v>3652</v>
      </c>
      <c r="Y579" s="212" t="s">
        <v>4752</v>
      </c>
      <c r="Z579" s="209" t="s">
        <v>3664</v>
      </c>
      <c r="AA579" s="219"/>
      <c r="AB579" s="218"/>
      <c r="AC579" s="217" t="e">
        <v>#N/A</v>
      </c>
      <c r="AD579" s="217">
        <v>91335</v>
      </c>
      <c r="AE579" s="217" t="s">
        <v>5129</v>
      </c>
      <c r="AF579" s="217" t="s">
        <v>3911</v>
      </c>
      <c r="AG579" s="217" t="s">
        <v>846</v>
      </c>
      <c r="AH579" s="220" t="str">
        <f t="shared" si="36"/>
        <v>4590006260_005</v>
      </c>
      <c r="AI579" s="208"/>
      <c r="AJ579" s="225">
        <v>45017</v>
      </c>
      <c r="AK579" s="221">
        <v>1521.432</v>
      </c>
      <c r="AL579" s="258">
        <v>45288</v>
      </c>
      <c r="AM579" s="208"/>
      <c r="AN579" s="220"/>
      <c r="AO579" s="222"/>
      <c r="AP579" s="227"/>
      <c r="AQ579" s="358">
        <f ca="1">IF(表格1[[#This Row],[PO$]]="","100%",表格1[[#This Row],[total amount]]/表格1[[#This Row],[PO$]])</f>
        <v>0.4</v>
      </c>
      <c r="AR579" s="223">
        <f ca="1">表格1[[#This Row],[invoice amount]]+表格1[[#This Row],[invoice amount2]]</f>
        <v>1521.432</v>
      </c>
      <c r="AS579" s="224" t="s">
        <v>3673</v>
      </c>
      <c r="AT579" s="208"/>
      <c r="AU579" s="208" t="e">
        <f ca="1">VLOOKUP(表格1[[#This Row],[PO+ITEM]],#REF!,2,FALSE)</f>
        <v>#REF!</v>
      </c>
      <c r="AV579" s="341" t="e">
        <f ca="1">VLOOKUP(表格1[[#This Row],[PO+ITEM]],#REF!,3,FALSE)</f>
        <v>#REF!</v>
      </c>
      <c r="AW579" s="208" t="e">
        <f ca="1">VLOOKUP(表格1[[#This Row],[PO+ITEM]],#REF!,4,FALSE)</f>
        <v>#REF!</v>
      </c>
      <c r="AX579" s="208" t="e" cm="1" vm="1">
        <f t="array" aca="1" ref="AX579" ca="1">VLOOKUP(AI:AI,#REF!,1,FALSE)</f>
        <v>#VALUE!</v>
      </c>
    </row>
    <row r="580" spans="1:50" ht="15.6">
      <c r="A580" s="220">
        <v>579</v>
      </c>
      <c r="B580" s="220" t="s">
        <v>3659</v>
      </c>
      <c r="C580" s="209" t="s">
        <v>16</v>
      </c>
      <c r="D580" s="209" t="s">
        <v>3648</v>
      </c>
      <c r="E580" s="209"/>
      <c r="F580" s="209"/>
      <c r="G580" s="209"/>
      <c r="H580" s="210" t="s">
        <v>5130</v>
      </c>
      <c r="I580" s="210"/>
      <c r="J580" s="211"/>
      <c r="K580" s="210"/>
      <c r="L580" s="212" t="s">
        <v>2206</v>
      </c>
      <c r="M580" s="212" t="s">
        <v>2999</v>
      </c>
      <c r="N580" s="213"/>
      <c r="O580" s="263">
        <v>4590006260</v>
      </c>
      <c r="P580" s="214">
        <v>44836</v>
      </c>
      <c r="Q580" s="334">
        <v>6</v>
      </c>
      <c r="R580" s="216">
        <v>3803.58</v>
      </c>
      <c r="S580" s="217" t="s">
        <v>2156</v>
      </c>
      <c r="T580" s="209" t="s">
        <v>4021</v>
      </c>
      <c r="U580" s="209" t="s">
        <v>4022</v>
      </c>
      <c r="V580" s="213" t="s">
        <v>4023</v>
      </c>
      <c r="W580" s="218" t="s">
        <v>3652</v>
      </c>
      <c r="X580" s="218" t="s">
        <v>3652</v>
      </c>
      <c r="Y580" s="212" t="s">
        <v>4752</v>
      </c>
      <c r="Z580" s="209" t="s">
        <v>3664</v>
      </c>
      <c r="AA580" s="219"/>
      <c r="AB580" s="218"/>
      <c r="AC580" s="217" t="e">
        <v>#N/A</v>
      </c>
      <c r="AD580" s="217">
        <v>91336</v>
      </c>
      <c r="AE580" s="217" t="s">
        <v>5131</v>
      </c>
      <c r="AF580" s="217" t="s">
        <v>3911</v>
      </c>
      <c r="AG580" s="217" t="s">
        <v>846</v>
      </c>
      <c r="AH580" s="220" t="str">
        <f t="shared" si="36"/>
        <v>4590006260_006</v>
      </c>
      <c r="AI580" s="208"/>
      <c r="AJ580" s="225">
        <v>45047</v>
      </c>
      <c r="AK580" s="221">
        <v>1521.432</v>
      </c>
      <c r="AL580" s="258">
        <v>45288</v>
      </c>
      <c r="AM580" s="208"/>
      <c r="AN580" s="220"/>
      <c r="AO580" s="222"/>
      <c r="AP580" s="227"/>
      <c r="AQ580" s="358">
        <f ca="1">IF(表格1[[#This Row],[PO$]]="","100%",表格1[[#This Row],[total amount]]/表格1[[#This Row],[PO$]])</f>
        <v>0.4</v>
      </c>
      <c r="AR580" s="223">
        <f ca="1">表格1[[#This Row],[invoice amount]]+表格1[[#This Row],[invoice amount2]]</f>
        <v>1521.432</v>
      </c>
      <c r="AS580" s="224" t="s">
        <v>3673</v>
      </c>
      <c r="AT580" s="208"/>
      <c r="AU580" s="208" t="e">
        <f ca="1">VLOOKUP(表格1[[#This Row],[PO+ITEM]],#REF!,2,FALSE)</f>
        <v>#REF!</v>
      </c>
      <c r="AV580" s="341" t="e">
        <f ca="1">VLOOKUP(表格1[[#This Row],[PO+ITEM]],#REF!,3,FALSE)</f>
        <v>#REF!</v>
      </c>
      <c r="AW580" s="208" t="e">
        <f ca="1">VLOOKUP(表格1[[#This Row],[PO+ITEM]],#REF!,4,FALSE)</f>
        <v>#REF!</v>
      </c>
      <c r="AX580" s="208" t="e" cm="1" vm="1">
        <f t="array" aca="1" ref="AX580" ca="1">VLOOKUP(AI:AI,#REF!,1,FALSE)</f>
        <v>#VALUE!</v>
      </c>
    </row>
    <row r="581" spans="1:50" ht="15.6">
      <c r="A581" s="220">
        <v>580</v>
      </c>
      <c r="B581" s="220" t="s">
        <v>3659</v>
      </c>
      <c r="C581" s="209" t="s">
        <v>16</v>
      </c>
      <c r="D581" s="209" t="s">
        <v>3648</v>
      </c>
      <c r="E581" s="209"/>
      <c r="F581" s="209"/>
      <c r="G581" s="209"/>
      <c r="H581" s="210" t="s">
        <v>5130</v>
      </c>
      <c r="I581" s="210"/>
      <c r="J581" s="211"/>
      <c r="K581" s="210"/>
      <c r="L581" s="212" t="s">
        <v>2206</v>
      </c>
      <c r="M581" s="212" t="s">
        <v>2999</v>
      </c>
      <c r="N581" s="213"/>
      <c r="O581" s="263">
        <v>4590006260</v>
      </c>
      <c r="P581" s="214">
        <v>44836</v>
      </c>
      <c r="Q581" s="334">
        <v>7</v>
      </c>
      <c r="R581" s="216">
        <v>8393.52</v>
      </c>
      <c r="S581" s="217" t="s">
        <v>2156</v>
      </c>
      <c r="T581" s="209" t="s">
        <v>4021</v>
      </c>
      <c r="U581" s="209" t="s">
        <v>4022</v>
      </c>
      <c r="V581" s="213" t="s">
        <v>4023</v>
      </c>
      <c r="W581" s="218" t="s">
        <v>3652</v>
      </c>
      <c r="X581" s="218" t="s">
        <v>3652</v>
      </c>
      <c r="Y581" s="212" t="s">
        <v>4752</v>
      </c>
      <c r="Z581" s="209" t="s">
        <v>3664</v>
      </c>
      <c r="AA581" s="219"/>
      <c r="AB581" s="218"/>
      <c r="AC581" s="217" t="e">
        <v>#N/A</v>
      </c>
      <c r="AD581" s="217">
        <v>91336</v>
      </c>
      <c r="AE581" s="217" t="s">
        <v>5131</v>
      </c>
      <c r="AF581" s="217" t="s">
        <v>3911</v>
      </c>
      <c r="AG581" s="217" t="s">
        <v>846</v>
      </c>
      <c r="AH581" s="220" t="str">
        <f t="shared" si="36"/>
        <v>4590006260_007</v>
      </c>
      <c r="AI581" s="208"/>
      <c r="AJ581" s="225">
        <v>45170</v>
      </c>
      <c r="AK581" s="221">
        <v>3357.41</v>
      </c>
      <c r="AL581" s="258">
        <v>45288</v>
      </c>
      <c r="AM581" s="208"/>
      <c r="AN581" s="220"/>
      <c r="AO581" s="222"/>
      <c r="AP581" s="227"/>
      <c r="AQ581" s="358">
        <f ca="1">IF(表格1[[#This Row],[PO$]]="","100%",表格1[[#This Row],[total amount]]/表格1[[#This Row],[PO$]])</f>
        <v>0.40000023827905334</v>
      </c>
      <c r="AR581" s="223">
        <f ca="1">表格1[[#This Row],[invoice amount]]+表格1[[#This Row],[invoice amount2]]</f>
        <v>3357.41</v>
      </c>
      <c r="AS581" s="224" t="s">
        <v>3673</v>
      </c>
      <c r="AT581" s="208"/>
      <c r="AU581" s="208" t="e">
        <f ca="1">VLOOKUP(表格1[[#This Row],[PO+ITEM]],#REF!,2,FALSE)</f>
        <v>#REF!</v>
      </c>
      <c r="AV581" s="341" t="e">
        <f ca="1">VLOOKUP(表格1[[#This Row],[PO+ITEM]],#REF!,3,FALSE)</f>
        <v>#REF!</v>
      </c>
      <c r="AW581" s="208" t="e">
        <f ca="1">VLOOKUP(表格1[[#This Row],[PO+ITEM]],#REF!,4,FALSE)</f>
        <v>#REF!</v>
      </c>
      <c r="AX581" s="208" t="e" cm="1" vm="1">
        <f t="array" aca="1" ref="AX581" ca="1">VLOOKUP(AI:AI,#REF!,1,FALSE)</f>
        <v>#VALUE!</v>
      </c>
    </row>
    <row r="582" spans="1:50" ht="15.6">
      <c r="A582" s="220">
        <v>581</v>
      </c>
      <c r="B582" s="220" t="s">
        <v>3659</v>
      </c>
      <c r="C582" s="209" t="s">
        <v>16</v>
      </c>
      <c r="D582" s="209" t="s">
        <v>3648</v>
      </c>
      <c r="E582" s="209"/>
      <c r="F582" s="209"/>
      <c r="G582" s="209"/>
      <c r="H582" s="210" t="s">
        <v>5132</v>
      </c>
      <c r="I582" s="210"/>
      <c r="J582" s="211"/>
      <c r="K582" s="210"/>
      <c r="L582" s="212" t="s">
        <v>2206</v>
      </c>
      <c r="M582" s="212" t="s">
        <v>2999</v>
      </c>
      <c r="N582" s="213"/>
      <c r="O582" s="263">
        <v>4590006260</v>
      </c>
      <c r="P582" s="214">
        <v>44836</v>
      </c>
      <c r="Q582" s="334">
        <v>8</v>
      </c>
      <c r="R582" s="216">
        <v>7475.53</v>
      </c>
      <c r="S582" s="217" t="s">
        <v>2156</v>
      </c>
      <c r="T582" s="209" t="s">
        <v>4021</v>
      </c>
      <c r="U582" s="209" t="s">
        <v>4022</v>
      </c>
      <c r="V582" s="213" t="s">
        <v>4023</v>
      </c>
      <c r="W582" s="218" t="s">
        <v>3652</v>
      </c>
      <c r="X582" s="218" t="s">
        <v>3652</v>
      </c>
      <c r="Y582" s="212" t="s">
        <v>4752</v>
      </c>
      <c r="Z582" s="209" t="s">
        <v>3664</v>
      </c>
      <c r="AA582" s="219"/>
      <c r="AB582" s="218"/>
      <c r="AC582" s="217" t="e">
        <v>#N/A</v>
      </c>
      <c r="AD582" s="217">
        <v>91399</v>
      </c>
      <c r="AE582" s="217" t="s">
        <v>5133</v>
      </c>
      <c r="AF582" s="217" t="s">
        <v>3911</v>
      </c>
      <c r="AG582" s="217" t="s">
        <v>846</v>
      </c>
      <c r="AH582" s="220" t="str">
        <f t="shared" si="36"/>
        <v>4590006260_008</v>
      </c>
      <c r="AI582" s="208"/>
      <c r="AJ582" s="225">
        <v>45047</v>
      </c>
      <c r="AK582" s="221">
        <v>2990.212</v>
      </c>
      <c r="AL582" s="258">
        <v>45288</v>
      </c>
      <c r="AM582" s="208"/>
      <c r="AN582" s="220"/>
      <c r="AO582" s="222"/>
      <c r="AP582" s="227"/>
      <c r="AQ582" s="358">
        <f ca="1">IF(表格1[[#This Row],[PO$]]="","100%",表格1[[#This Row],[total amount]]/表格1[[#This Row],[PO$]])</f>
        <v>0.4</v>
      </c>
      <c r="AR582" s="223">
        <f ca="1">表格1[[#This Row],[invoice amount]]+表格1[[#This Row],[invoice amount2]]</f>
        <v>2990.212</v>
      </c>
      <c r="AS582" s="224" t="s">
        <v>3673</v>
      </c>
      <c r="AT582" s="208"/>
      <c r="AU582" s="208" t="e">
        <f ca="1">VLOOKUP(表格1[[#This Row],[PO+ITEM]],#REF!,2,FALSE)</f>
        <v>#REF!</v>
      </c>
      <c r="AV582" s="341" t="e">
        <f ca="1">VLOOKUP(表格1[[#This Row],[PO+ITEM]],#REF!,3,FALSE)</f>
        <v>#REF!</v>
      </c>
      <c r="AW582" s="208" t="e">
        <f ca="1">VLOOKUP(表格1[[#This Row],[PO+ITEM]],#REF!,4,FALSE)</f>
        <v>#REF!</v>
      </c>
      <c r="AX582" s="208" t="e" cm="1" vm="1">
        <f t="array" aca="1" ref="AX582" ca="1">VLOOKUP(AI:AI,#REF!,1,FALSE)</f>
        <v>#VALUE!</v>
      </c>
    </row>
    <row r="583" spans="1:50" ht="15.6">
      <c r="A583" s="220">
        <v>582</v>
      </c>
      <c r="B583" s="220" t="s">
        <v>3659</v>
      </c>
      <c r="C583" s="209" t="s">
        <v>16</v>
      </c>
      <c r="D583" s="209" t="s">
        <v>3648</v>
      </c>
      <c r="E583" s="209"/>
      <c r="F583" s="209"/>
      <c r="G583" s="209"/>
      <c r="H583" s="210" t="s">
        <v>5134</v>
      </c>
      <c r="I583" s="210"/>
      <c r="J583" s="211"/>
      <c r="K583" s="210"/>
      <c r="L583" s="212" t="s">
        <v>2206</v>
      </c>
      <c r="M583" s="212" t="s">
        <v>2999</v>
      </c>
      <c r="N583" s="213"/>
      <c r="O583" s="263">
        <v>4590006260</v>
      </c>
      <c r="P583" s="214">
        <v>44836</v>
      </c>
      <c r="Q583" s="334">
        <v>9</v>
      </c>
      <c r="R583" s="216">
        <v>7475.53</v>
      </c>
      <c r="S583" s="217" t="s">
        <v>2156</v>
      </c>
      <c r="T583" s="209" t="s">
        <v>4021</v>
      </c>
      <c r="U583" s="209" t="s">
        <v>4022</v>
      </c>
      <c r="V583" s="213" t="s">
        <v>4023</v>
      </c>
      <c r="W583" s="218" t="s">
        <v>3652</v>
      </c>
      <c r="X583" s="218" t="s">
        <v>3652</v>
      </c>
      <c r="Y583" s="212" t="s">
        <v>4752</v>
      </c>
      <c r="Z583" s="209" t="s">
        <v>3664</v>
      </c>
      <c r="AA583" s="219"/>
      <c r="AB583" s="218"/>
      <c r="AC583" s="217" t="e">
        <v>#N/A</v>
      </c>
      <c r="AD583" s="217">
        <v>91400</v>
      </c>
      <c r="AE583" s="217" t="s">
        <v>5135</v>
      </c>
      <c r="AF583" s="217" t="s">
        <v>3911</v>
      </c>
      <c r="AG583" s="217" t="s">
        <v>846</v>
      </c>
      <c r="AH583" s="220" t="str">
        <f t="shared" si="36"/>
        <v>4590006260_009</v>
      </c>
      <c r="AI583" s="208"/>
      <c r="AJ583" s="225">
        <v>45047</v>
      </c>
      <c r="AK583" s="221">
        <v>2990.212</v>
      </c>
      <c r="AL583" s="258">
        <v>45288</v>
      </c>
      <c r="AM583" s="208"/>
      <c r="AN583" s="220"/>
      <c r="AO583" s="222"/>
      <c r="AP583" s="227"/>
      <c r="AQ583" s="358">
        <f ca="1">IF(表格1[[#This Row],[PO$]]="","100%",表格1[[#This Row],[total amount]]/表格1[[#This Row],[PO$]])</f>
        <v>0.4</v>
      </c>
      <c r="AR583" s="223">
        <f ca="1">表格1[[#This Row],[invoice amount]]+表格1[[#This Row],[invoice amount2]]</f>
        <v>2990.212</v>
      </c>
      <c r="AS583" s="224" t="s">
        <v>3673</v>
      </c>
      <c r="AT583" s="208"/>
      <c r="AU583" s="208" t="e">
        <f ca="1">VLOOKUP(表格1[[#This Row],[PO+ITEM]],#REF!,2,FALSE)</f>
        <v>#REF!</v>
      </c>
      <c r="AV583" s="341" t="e">
        <f ca="1">VLOOKUP(表格1[[#This Row],[PO+ITEM]],#REF!,3,FALSE)</f>
        <v>#REF!</v>
      </c>
      <c r="AW583" s="208" t="e">
        <f ca="1">VLOOKUP(表格1[[#This Row],[PO+ITEM]],#REF!,4,FALSE)</f>
        <v>#REF!</v>
      </c>
      <c r="AX583" s="208" t="e" cm="1" vm="1">
        <f t="array" aca="1" ref="AX583" ca="1">VLOOKUP(AI:AI,#REF!,1,FALSE)</f>
        <v>#VALUE!</v>
      </c>
    </row>
    <row r="584" spans="1:50" ht="15.6">
      <c r="A584" s="220">
        <v>583</v>
      </c>
      <c r="B584" s="220" t="s">
        <v>3659</v>
      </c>
      <c r="C584" s="209" t="s">
        <v>16</v>
      </c>
      <c r="D584" s="209" t="s">
        <v>3648</v>
      </c>
      <c r="E584" s="209"/>
      <c r="F584" s="209"/>
      <c r="G584" s="209"/>
      <c r="H584" s="210" t="s">
        <v>5136</v>
      </c>
      <c r="I584" s="210"/>
      <c r="J584" s="211"/>
      <c r="K584" s="210"/>
      <c r="L584" s="212" t="s">
        <v>2206</v>
      </c>
      <c r="M584" s="212" t="s">
        <v>2999</v>
      </c>
      <c r="N584" s="213"/>
      <c r="O584" s="263">
        <v>4590006260</v>
      </c>
      <c r="P584" s="214">
        <v>44836</v>
      </c>
      <c r="Q584" s="334">
        <v>10</v>
      </c>
      <c r="R584" s="216">
        <v>7475.53</v>
      </c>
      <c r="S584" s="217" t="s">
        <v>2156</v>
      </c>
      <c r="T584" s="209" t="s">
        <v>4021</v>
      </c>
      <c r="U584" s="209" t="s">
        <v>4022</v>
      </c>
      <c r="V584" s="213" t="s">
        <v>4023</v>
      </c>
      <c r="W584" s="218" t="s">
        <v>3652</v>
      </c>
      <c r="X584" s="218" t="s">
        <v>3652</v>
      </c>
      <c r="Y584" s="212" t="s">
        <v>4752</v>
      </c>
      <c r="Z584" s="209" t="s">
        <v>3664</v>
      </c>
      <c r="AA584" s="219"/>
      <c r="AB584" s="218"/>
      <c r="AC584" s="217" t="e">
        <v>#N/A</v>
      </c>
      <c r="AD584" s="217">
        <v>91401</v>
      </c>
      <c r="AE584" s="217" t="s">
        <v>5137</v>
      </c>
      <c r="AF584" s="217" t="s">
        <v>3911</v>
      </c>
      <c r="AG584" s="217" t="s">
        <v>846</v>
      </c>
      <c r="AH584" s="220" t="str">
        <f t="shared" ref="AH584:AH599" si="37">O584&amp;"_0"&amp;Q584</f>
        <v>4590006260_010</v>
      </c>
      <c r="AI584" s="208"/>
      <c r="AJ584" s="225">
        <v>45047</v>
      </c>
      <c r="AK584" s="221">
        <v>2990.212</v>
      </c>
      <c r="AL584" s="258">
        <v>45288</v>
      </c>
      <c r="AM584" s="208"/>
      <c r="AN584" s="220"/>
      <c r="AO584" s="222"/>
      <c r="AP584" s="227"/>
      <c r="AQ584" s="358">
        <f ca="1">IF(表格1[[#This Row],[PO$]]="","100%",表格1[[#This Row],[total amount]]/表格1[[#This Row],[PO$]])</f>
        <v>0.4</v>
      </c>
      <c r="AR584" s="223">
        <f ca="1">表格1[[#This Row],[invoice amount]]+表格1[[#This Row],[invoice amount2]]</f>
        <v>2990.212</v>
      </c>
      <c r="AS584" s="224" t="s">
        <v>3673</v>
      </c>
      <c r="AT584" s="208"/>
      <c r="AU584" s="208" t="e">
        <f ca="1">VLOOKUP(表格1[[#This Row],[PO+ITEM]],#REF!,2,FALSE)</f>
        <v>#REF!</v>
      </c>
      <c r="AV584" s="341" t="e">
        <f ca="1">VLOOKUP(表格1[[#This Row],[PO+ITEM]],#REF!,3,FALSE)</f>
        <v>#REF!</v>
      </c>
      <c r="AW584" s="208" t="e">
        <f ca="1">VLOOKUP(表格1[[#This Row],[PO+ITEM]],#REF!,4,FALSE)</f>
        <v>#REF!</v>
      </c>
      <c r="AX584" s="208" t="e" cm="1" vm="1">
        <f t="array" aca="1" ref="AX584" ca="1">VLOOKUP(AI:AI,#REF!,1,FALSE)</f>
        <v>#VALUE!</v>
      </c>
    </row>
    <row r="585" spans="1:50" ht="15.6">
      <c r="A585" s="220">
        <v>584</v>
      </c>
      <c r="B585" s="220" t="s">
        <v>3659</v>
      </c>
      <c r="C585" s="209" t="s">
        <v>16</v>
      </c>
      <c r="D585" s="209" t="s">
        <v>3648</v>
      </c>
      <c r="E585" s="209"/>
      <c r="F585" s="209"/>
      <c r="G585" s="209"/>
      <c r="H585" s="210" t="s">
        <v>5138</v>
      </c>
      <c r="I585" s="210"/>
      <c r="J585" s="211"/>
      <c r="K585" s="210"/>
      <c r="L585" s="212" t="s">
        <v>2206</v>
      </c>
      <c r="M585" s="212" t="s">
        <v>2999</v>
      </c>
      <c r="N585" s="213"/>
      <c r="O585" s="263">
        <v>4590006260</v>
      </c>
      <c r="P585" s="214">
        <v>44836</v>
      </c>
      <c r="Q585" s="334">
        <v>11</v>
      </c>
      <c r="R585" s="216">
        <v>7475.53</v>
      </c>
      <c r="S585" s="217" t="s">
        <v>2156</v>
      </c>
      <c r="T585" s="209" t="s">
        <v>4021</v>
      </c>
      <c r="U585" s="209" t="s">
        <v>4022</v>
      </c>
      <c r="V585" s="213" t="s">
        <v>4023</v>
      </c>
      <c r="W585" s="218" t="s">
        <v>3652</v>
      </c>
      <c r="X585" s="218" t="s">
        <v>3652</v>
      </c>
      <c r="Y585" s="212" t="s">
        <v>4752</v>
      </c>
      <c r="Z585" s="209" t="s">
        <v>3664</v>
      </c>
      <c r="AA585" s="219"/>
      <c r="AB585" s="218"/>
      <c r="AC585" s="217" t="e">
        <v>#N/A</v>
      </c>
      <c r="AD585" s="217">
        <v>91402</v>
      </c>
      <c r="AE585" s="217" t="s">
        <v>5139</v>
      </c>
      <c r="AF585" s="217" t="s">
        <v>3911</v>
      </c>
      <c r="AG585" s="217" t="s">
        <v>846</v>
      </c>
      <c r="AH585" s="220" t="str">
        <f t="shared" si="37"/>
        <v>4590006260_011</v>
      </c>
      <c r="AI585" s="208"/>
      <c r="AJ585" s="225">
        <v>45047</v>
      </c>
      <c r="AK585" s="221">
        <v>2990.212</v>
      </c>
      <c r="AL585" s="258">
        <v>45288</v>
      </c>
      <c r="AM585" s="208"/>
      <c r="AN585" s="220"/>
      <c r="AO585" s="222"/>
      <c r="AP585" s="227"/>
      <c r="AQ585" s="358">
        <f ca="1">IF(表格1[[#This Row],[PO$]]="","100%",表格1[[#This Row],[total amount]]/表格1[[#This Row],[PO$]])</f>
        <v>0.4</v>
      </c>
      <c r="AR585" s="223">
        <f ca="1">表格1[[#This Row],[invoice amount]]+表格1[[#This Row],[invoice amount2]]</f>
        <v>2990.212</v>
      </c>
      <c r="AS585" s="224" t="s">
        <v>3673</v>
      </c>
      <c r="AT585" s="208"/>
      <c r="AU585" s="208" t="e">
        <f ca="1">VLOOKUP(表格1[[#This Row],[PO+ITEM]],#REF!,2,FALSE)</f>
        <v>#REF!</v>
      </c>
      <c r="AV585" s="341" t="e">
        <f ca="1">VLOOKUP(表格1[[#This Row],[PO+ITEM]],#REF!,3,FALSE)</f>
        <v>#REF!</v>
      </c>
      <c r="AW585" s="208" t="e">
        <f ca="1">VLOOKUP(表格1[[#This Row],[PO+ITEM]],#REF!,4,FALSE)</f>
        <v>#REF!</v>
      </c>
      <c r="AX585" s="208" t="e" cm="1" vm="1">
        <f t="array" aca="1" ref="AX585" ca="1">VLOOKUP(AI:AI,#REF!,1,FALSE)</f>
        <v>#VALUE!</v>
      </c>
    </row>
    <row r="586" spans="1:50" ht="15.6">
      <c r="A586" s="220">
        <v>585</v>
      </c>
      <c r="B586" s="220" t="s">
        <v>3659</v>
      </c>
      <c r="C586" s="209" t="s">
        <v>16</v>
      </c>
      <c r="D586" s="209" t="s">
        <v>3648</v>
      </c>
      <c r="E586" s="209"/>
      <c r="F586" s="209"/>
      <c r="G586" s="209"/>
      <c r="H586" s="217" t="s">
        <v>5140</v>
      </c>
      <c r="I586" s="217"/>
      <c r="J586" s="215"/>
      <c r="K586" s="217"/>
      <c r="L586" s="212" t="s">
        <v>2206</v>
      </c>
      <c r="M586" s="212" t="s">
        <v>2999</v>
      </c>
      <c r="N586" s="213"/>
      <c r="O586" s="263">
        <v>4590006260</v>
      </c>
      <c r="P586" s="214">
        <v>44836</v>
      </c>
      <c r="Q586" s="334">
        <v>12</v>
      </c>
      <c r="R586" s="216">
        <v>7475.53</v>
      </c>
      <c r="S586" s="217" t="s">
        <v>2156</v>
      </c>
      <c r="T586" s="209" t="s">
        <v>4021</v>
      </c>
      <c r="U586" s="209" t="s">
        <v>4022</v>
      </c>
      <c r="V586" s="213" t="s">
        <v>4023</v>
      </c>
      <c r="W586" s="218" t="s">
        <v>3652</v>
      </c>
      <c r="X586" s="218" t="s">
        <v>3652</v>
      </c>
      <c r="Y586" s="212" t="s">
        <v>4752</v>
      </c>
      <c r="Z586" s="209" t="s">
        <v>3664</v>
      </c>
      <c r="AA586" s="219"/>
      <c r="AB586" s="218"/>
      <c r="AC586" s="217" t="e">
        <v>#N/A</v>
      </c>
      <c r="AD586" s="217">
        <v>91406</v>
      </c>
      <c r="AE586" s="217" t="s">
        <v>5141</v>
      </c>
      <c r="AF586" s="217" t="s">
        <v>3911</v>
      </c>
      <c r="AG586" s="217" t="s">
        <v>846</v>
      </c>
      <c r="AH586" s="220" t="str">
        <f t="shared" si="37"/>
        <v>4590006260_012</v>
      </c>
      <c r="AI586" s="208"/>
      <c r="AJ586" s="225">
        <v>45170</v>
      </c>
      <c r="AK586" s="221">
        <v>2990.21</v>
      </c>
      <c r="AL586" s="258">
        <v>45288</v>
      </c>
      <c r="AM586" s="208"/>
      <c r="AN586" s="220"/>
      <c r="AO586" s="222"/>
      <c r="AP586" s="227"/>
      <c r="AQ586" s="358">
        <f ca="1">IF(表格1[[#This Row],[PO$]]="","100%",表格1[[#This Row],[total amount]]/表格1[[#This Row],[PO$]])</f>
        <v>0.39999973246044096</v>
      </c>
      <c r="AR586" s="223">
        <f ca="1">表格1[[#This Row],[invoice amount]]+表格1[[#This Row],[invoice amount2]]</f>
        <v>2990.21</v>
      </c>
      <c r="AS586" s="224" t="s">
        <v>3673</v>
      </c>
      <c r="AT586" s="208"/>
      <c r="AU586" s="208" t="e">
        <f ca="1">VLOOKUP(表格1[[#This Row],[PO+ITEM]],#REF!,2,FALSE)</f>
        <v>#REF!</v>
      </c>
      <c r="AV586" s="341" t="e">
        <f ca="1">VLOOKUP(表格1[[#This Row],[PO+ITEM]],#REF!,3,FALSE)</f>
        <v>#REF!</v>
      </c>
      <c r="AW586" s="208" t="e">
        <f ca="1">VLOOKUP(表格1[[#This Row],[PO+ITEM]],#REF!,4,FALSE)</f>
        <v>#REF!</v>
      </c>
      <c r="AX586" s="208" t="e" cm="1" vm="1">
        <f t="array" aca="1" ref="AX586" ca="1">VLOOKUP(AI:AI,#REF!,1,FALSE)</f>
        <v>#VALUE!</v>
      </c>
    </row>
    <row r="587" spans="1:50" ht="15.6">
      <c r="A587" s="220">
        <v>586</v>
      </c>
      <c r="B587" s="220" t="s">
        <v>3659</v>
      </c>
      <c r="C587" s="209" t="s">
        <v>16</v>
      </c>
      <c r="D587" s="209" t="s">
        <v>3648</v>
      </c>
      <c r="E587" s="209"/>
      <c r="F587" s="209"/>
      <c r="G587" s="209"/>
      <c r="H587" s="210" t="s">
        <v>5142</v>
      </c>
      <c r="I587" s="210"/>
      <c r="J587" s="211"/>
      <c r="K587" s="210"/>
      <c r="L587" s="212" t="s">
        <v>2206</v>
      </c>
      <c r="M587" s="212" t="s">
        <v>2999</v>
      </c>
      <c r="N587" s="213"/>
      <c r="O587" s="263">
        <v>4590006260</v>
      </c>
      <c r="P587" s="214">
        <v>44836</v>
      </c>
      <c r="Q587" s="334">
        <v>13</v>
      </c>
      <c r="R587" s="216">
        <v>3803.58</v>
      </c>
      <c r="S587" s="217" t="s">
        <v>2156</v>
      </c>
      <c r="T587" s="209" t="s">
        <v>4021</v>
      </c>
      <c r="U587" s="209" t="s">
        <v>4022</v>
      </c>
      <c r="V587" s="213" t="s">
        <v>4023</v>
      </c>
      <c r="W587" s="218" t="s">
        <v>3652</v>
      </c>
      <c r="X587" s="218" t="s">
        <v>3652</v>
      </c>
      <c r="Y587" s="212" t="s">
        <v>4752</v>
      </c>
      <c r="Z587" s="209" t="s">
        <v>3664</v>
      </c>
      <c r="AA587" s="219"/>
      <c r="AB587" s="218"/>
      <c r="AC587" s="217" t="e">
        <v>#N/A</v>
      </c>
      <c r="AD587" s="217">
        <v>91003</v>
      </c>
      <c r="AE587" s="217" t="s">
        <v>5143</v>
      </c>
      <c r="AF587" s="217" t="s">
        <v>3911</v>
      </c>
      <c r="AG587" s="217" t="s">
        <v>846</v>
      </c>
      <c r="AH587" s="220" t="str">
        <f t="shared" si="37"/>
        <v>4590006260_013</v>
      </c>
      <c r="AI587" s="208"/>
      <c r="AJ587" s="225">
        <v>45170</v>
      </c>
      <c r="AK587" s="221">
        <v>1521.43</v>
      </c>
      <c r="AL587" s="258">
        <v>45288</v>
      </c>
      <c r="AM587" s="208"/>
      <c r="AN587" s="220"/>
      <c r="AO587" s="222"/>
      <c r="AP587" s="227"/>
      <c r="AQ587" s="358">
        <f ca="1">IF(表格1[[#This Row],[PO$]]="","100%",表格1[[#This Row],[total amount]]/表格1[[#This Row],[PO$]])</f>
        <v>0.39999947417958875</v>
      </c>
      <c r="AR587" s="223">
        <f ca="1">表格1[[#This Row],[invoice amount]]+表格1[[#This Row],[invoice amount2]]</f>
        <v>1521.43</v>
      </c>
      <c r="AS587" s="224" t="s">
        <v>3673</v>
      </c>
      <c r="AT587" s="208"/>
      <c r="AU587" s="208" t="e">
        <f ca="1">VLOOKUP(表格1[[#This Row],[PO+ITEM]],#REF!,2,FALSE)</f>
        <v>#REF!</v>
      </c>
      <c r="AV587" s="341" t="e">
        <f ca="1">VLOOKUP(表格1[[#This Row],[PO+ITEM]],#REF!,3,FALSE)</f>
        <v>#REF!</v>
      </c>
      <c r="AW587" s="208" t="e">
        <f ca="1">VLOOKUP(表格1[[#This Row],[PO+ITEM]],#REF!,4,FALSE)</f>
        <v>#REF!</v>
      </c>
      <c r="AX587" s="208" t="e" cm="1" vm="1">
        <f t="array" aca="1" ref="AX587" ca="1">VLOOKUP(AI:AI,#REF!,1,FALSE)</f>
        <v>#VALUE!</v>
      </c>
    </row>
    <row r="588" spans="1:50" ht="15.6">
      <c r="A588" s="220">
        <v>587</v>
      </c>
      <c r="B588" s="220" t="s">
        <v>3659</v>
      </c>
      <c r="C588" s="209" t="s">
        <v>16</v>
      </c>
      <c r="D588" s="209" t="s">
        <v>3648</v>
      </c>
      <c r="E588" s="209"/>
      <c r="F588" s="209"/>
      <c r="G588" s="209"/>
      <c r="H588" s="210" t="s">
        <v>5144</v>
      </c>
      <c r="I588" s="210"/>
      <c r="J588" s="211"/>
      <c r="K588" s="210"/>
      <c r="L588" s="212" t="s">
        <v>2206</v>
      </c>
      <c r="M588" s="212" t="s">
        <v>2999</v>
      </c>
      <c r="N588" s="213"/>
      <c r="O588" s="263">
        <v>4590006260</v>
      </c>
      <c r="P588" s="214">
        <v>44836</v>
      </c>
      <c r="Q588" s="334">
        <v>14</v>
      </c>
      <c r="R588" s="216">
        <v>7901.07</v>
      </c>
      <c r="S588" s="217" t="s">
        <v>2156</v>
      </c>
      <c r="T588" s="209" t="s">
        <v>4021</v>
      </c>
      <c r="U588" s="209" t="s">
        <v>4022</v>
      </c>
      <c r="V588" s="213" t="s">
        <v>4023</v>
      </c>
      <c r="W588" s="218" t="s">
        <v>3652</v>
      </c>
      <c r="X588" s="218" t="s">
        <v>3652</v>
      </c>
      <c r="Y588" s="212" t="s">
        <v>4752</v>
      </c>
      <c r="Z588" s="209" t="s">
        <v>3664</v>
      </c>
      <c r="AA588" s="219"/>
      <c r="AB588" s="218"/>
      <c r="AC588" s="217" t="e">
        <v>#N/A</v>
      </c>
      <c r="AD588" s="217">
        <v>91373</v>
      </c>
      <c r="AE588" s="217" t="s">
        <v>5145</v>
      </c>
      <c r="AF588" s="217" t="s">
        <v>3911</v>
      </c>
      <c r="AG588" s="217" t="s">
        <v>846</v>
      </c>
      <c r="AH588" s="220" t="str">
        <f t="shared" si="37"/>
        <v>4590006260_014</v>
      </c>
      <c r="AI588" s="208"/>
      <c r="AJ588" s="225">
        <v>45017</v>
      </c>
      <c r="AK588" s="221">
        <v>3160.4279999999999</v>
      </c>
      <c r="AL588" s="258">
        <v>45288</v>
      </c>
      <c r="AM588" s="208"/>
      <c r="AN588" s="220"/>
      <c r="AO588" s="222"/>
      <c r="AP588" s="227"/>
      <c r="AQ588" s="358">
        <f ca="1">IF(表格1[[#This Row],[PO$]]="","100%",表格1[[#This Row],[total amount]]/表格1[[#This Row],[PO$]])</f>
        <v>0.4</v>
      </c>
      <c r="AR588" s="223">
        <f ca="1">表格1[[#This Row],[invoice amount]]+表格1[[#This Row],[invoice amount2]]</f>
        <v>3160.4279999999999</v>
      </c>
      <c r="AS588" s="224" t="s">
        <v>3673</v>
      </c>
      <c r="AT588" s="208"/>
      <c r="AU588" s="208" t="e">
        <f ca="1">VLOOKUP(表格1[[#This Row],[PO+ITEM]],#REF!,2,FALSE)</f>
        <v>#REF!</v>
      </c>
      <c r="AV588" s="341" t="e">
        <f ca="1">VLOOKUP(表格1[[#This Row],[PO+ITEM]],#REF!,3,FALSE)</f>
        <v>#REF!</v>
      </c>
      <c r="AW588" s="208" t="e">
        <f ca="1">VLOOKUP(表格1[[#This Row],[PO+ITEM]],#REF!,4,FALSE)</f>
        <v>#REF!</v>
      </c>
      <c r="AX588" s="208" t="e" cm="1" vm="1">
        <f t="array" aca="1" ref="AX588" ca="1">VLOOKUP(AI:AI,#REF!,1,FALSE)</f>
        <v>#VALUE!</v>
      </c>
    </row>
    <row r="589" spans="1:50" ht="15.6">
      <c r="A589" s="220">
        <v>588</v>
      </c>
      <c r="B589" s="220" t="s">
        <v>3659</v>
      </c>
      <c r="C589" s="209" t="s">
        <v>16</v>
      </c>
      <c r="D589" s="209" t="s">
        <v>3648</v>
      </c>
      <c r="E589" s="209"/>
      <c r="F589" s="209"/>
      <c r="G589" s="209"/>
      <c r="H589" s="210" t="s">
        <v>5146</v>
      </c>
      <c r="I589" s="210"/>
      <c r="J589" s="211"/>
      <c r="K589" s="210"/>
      <c r="L589" s="212" t="s">
        <v>2206</v>
      </c>
      <c r="M589" s="212" t="s">
        <v>2999</v>
      </c>
      <c r="N589" s="213"/>
      <c r="O589" s="263">
        <v>4590006260</v>
      </c>
      <c r="P589" s="214">
        <v>44836</v>
      </c>
      <c r="Q589" s="334">
        <v>15</v>
      </c>
      <c r="R589" s="216">
        <v>7901.07</v>
      </c>
      <c r="S589" s="217" t="s">
        <v>2156</v>
      </c>
      <c r="T589" s="209" t="s">
        <v>4021</v>
      </c>
      <c r="U589" s="209" t="s">
        <v>4022</v>
      </c>
      <c r="V589" s="213" t="s">
        <v>4023</v>
      </c>
      <c r="W589" s="218" t="s">
        <v>3652</v>
      </c>
      <c r="X589" s="218" t="s">
        <v>3652</v>
      </c>
      <c r="Y589" s="212" t="s">
        <v>4752</v>
      </c>
      <c r="Z589" s="209" t="s">
        <v>3664</v>
      </c>
      <c r="AA589" s="219"/>
      <c r="AB589" s="218"/>
      <c r="AC589" s="217" t="e">
        <v>#N/A</v>
      </c>
      <c r="AD589" s="217">
        <v>91379</v>
      </c>
      <c r="AE589" s="217" t="s">
        <v>5147</v>
      </c>
      <c r="AF589" s="217" t="s">
        <v>3911</v>
      </c>
      <c r="AG589" s="217" t="s">
        <v>846</v>
      </c>
      <c r="AH589" s="220" t="str">
        <f t="shared" si="37"/>
        <v>4590006260_015</v>
      </c>
      <c r="AI589" s="208"/>
      <c r="AJ589" s="225">
        <v>45017</v>
      </c>
      <c r="AK589" s="221">
        <v>3160.4279999999999</v>
      </c>
      <c r="AL589" s="258">
        <v>45288</v>
      </c>
      <c r="AM589" s="208"/>
      <c r="AN589" s="220"/>
      <c r="AO589" s="222"/>
      <c r="AP589" s="227"/>
      <c r="AQ589" s="358">
        <f ca="1">IF(表格1[[#This Row],[PO$]]="","100%",表格1[[#This Row],[total amount]]/表格1[[#This Row],[PO$]])</f>
        <v>0.4</v>
      </c>
      <c r="AR589" s="223">
        <f ca="1">表格1[[#This Row],[invoice amount]]+表格1[[#This Row],[invoice amount2]]</f>
        <v>3160.4279999999999</v>
      </c>
      <c r="AS589" s="224" t="s">
        <v>3673</v>
      </c>
      <c r="AT589" s="208"/>
      <c r="AU589" s="208" t="e">
        <f ca="1">VLOOKUP(表格1[[#This Row],[PO+ITEM]],#REF!,2,FALSE)</f>
        <v>#REF!</v>
      </c>
      <c r="AV589" s="341" t="e">
        <f ca="1">VLOOKUP(表格1[[#This Row],[PO+ITEM]],#REF!,3,FALSE)</f>
        <v>#REF!</v>
      </c>
      <c r="AW589" s="208" t="e">
        <f ca="1">VLOOKUP(表格1[[#This Row],[PO+ITEM]],#REF!,4,FALSE)</f>
        <v>#REF!</v>
      </c>
      <c r="AX589" s="208" t="e" cm="1" vm="1">
        <f t="array" aca="1" ref="AX589" ca="1">VLOOKUP(AI:AI,#REF!,1,FALSE)</f>
        <v>#VALUE!</v>
      </c>
    </row>
    <row r="590" spans="1:50" ht="15.6">
      <c r="A590" s="220">
        <v>589</v>
      </c>
      <c r="B590" s="220" t="s">
        <v>3659</v>
      </c>
      <c r="C590" s="209" t="s">
        <v>16</v>
      </c>
      <c r="D590" s="209" t="s">
        <v>3648</v>
      </c>
      <c r="E590" s="209"/>
      <c r="F590" s="209"/>
      <c r="G590" s="209"/>
      <c r="H590" s="210" t="s">
        <v>5148</v>
      </c>
      <c r="I590" s="210"/>
      <c r="J590" s="211"/>
      <c r="K590" s="210"/>
      <c r="L590" s="212" t="s">
        <v>2206</v>
      </c>
      <c r="M590" s="212" t="s">
        <v>2999</v>
      </c>
      <c r="N590" s="213"/>
      <c r="O590" s="263">
        <v>4590006260</v>
      </c>
      <c r="P590" s="214">
        <v>44836</v>
      </c>
      <c r="Q590" s="334">
        <v>16</v>
      </c>
      <c r="R590" s="216">
        <v>8393.52</v>
      </c>
      <c r="S590" s="217" t="s">
        <v>2156</v>
      </c>
      <c r="T590" s="209" t="s">
        <v>4021</v>
      </c>
      <c r="U590" s="209" t="s">
        <v>4022</v>
      </c>
      <c r="V590" s="213" t="s">
        <v>4023</v>
      </c>
      <c r="W590" s="218" t="s">
        <v>3652</v>
      </c>
      <c r="X590" s="218" t="s">
        <v>3652</v>
      </c>
      <c r="Y590" s="212" t="s">
        <v>4752</v>
      </c>
      <c r="Z590" s="209" t="s">
        <v>3664</v>
      </c>
      <c r="AA590" s="219"/>
      <c r="AB590" s="218"/>
      <c r="AC590" s="217" t="e">
        <v>#N/A</v>
      </c>
      <c r="AD590" s="217">
        <v>91404</v>
      </c>
      <c r="AE590" s="217" t="s">
        <v>5149</v>
      </c>
      <c r="AF590" s="217" t="s">
        <v>3911</v>
      </c>
      <c r="AG590" s="217" t="s">
        <v>846</v>
      </c>
      <c r="AH590" s="220" t="str">
        <f t="shared" si="37"/>
        <v>4590006260_016</v>
      </c>
      <c r="AI590" s="208"/>
      <c r="AJ590" s="225">
        <v>45170</v>
      </c>
      <c r="AK590" s="221">
        <v>3357.41</v>
      </c>
      <c r="AL590" s="258">
        <v>45288</v>
      </c>
      <c r="AM590" s="208"/>
      <c r="AN590" s="220"/>
      <c r="AO590" s="222"/>
      <c r="AP590" s="227"/>
      <c r="AQ590" s="358">
        <f ca="1">IF(表格1[[#This Row],[PO$]]="","100%",表格1[[#This Row],[total amount]]/表格1[[#This Row],[PO$]])</f>
        <v>0.40000023827905334</v>
      </c>
      <c r="AR590" s="223">
        <f ca="1">表格1[[#This Row],[invoice amount]]+表格1[[#This Row],[invoice amount2]]</f>
        <v>3357.41</v>
      </c>
      <c r="AS590" s="224" t="s">
        <v>3673</v>
      </c>
      <c r="AT590" s="208"/>
      <c r="AU590" s="208" t="e">
        <f ca="1">VLOOKUP(表格1[[#This Row],[PO+ITEM]],#REF!,2,FALSE)</f>
        <v>#REF!</v>
      </c>
      <c r="AV590" s="341" t="e">
        <f ca="1">VLOOKUP(表格1[[#This Row],[PO+ITEM]],#REF!,3,FALSE)</f>
        <v>#REF!</v>
      </c>
      <c r="AW590" s="208" t="e">
        <f ca="1">VLOOKUP(表格1[[#This Row],[PO+ITEM]],#REF!,4,FALSE)</f>
        <v>#REF!</v>
      </c>
      <c r="AX590" s="208" t="e" cm="1" vm="1">
        <f t="array" aca="1" ref="AX590" ca="1">VLOOKUP(AI:AI,#REF!,1,FALSE)</f>
        <v>#VALUE!</v>
      </c>
    </row>
    <row r="591" spans="1:50" ht="15.6">
      <c r="A591" s="220">
        <v>590</v>
      </c>
      <c r="B591" s="220" t="e">
        <v>#N/A</v>
      </c>
      <c r="C591" s="209" t="s">
        <v>16</v>
      </c>
      <c r="D591" s="209" t="s">
        <v>3648</v>
      </c>
      <c r="E591" s="209"/>
      <c r="F591" s="209"/>
      <c r="G591" s="209"/>
      <c r="H591" s="217" t="s">
        <v>5150</v>
      </c>
      <c r="I591" s="217"/>
      <c r="J591" s="215"/>
      <c r="K591" s="217"/>
      <c r="L591" s="212" t="s">
        <v>2206</v>
      </c>
      <c r="M591" s="212" t="s">
        <v>2999</v>
      </c>
      <c r="N591" s="213"/>
      <c r="O591" s="263">
        <v>4590006260</v>
      </c>
      <c r="P591" s="214">
        <v>44836</v>
      </c>
      <c r="Q591" s="334">
        <v>17</v>
      </c>
      <c r="R591" s="216">
        <v>7475.53</v>
      </c>
      <c r="S591" s="217" t="s">
        <v>2156</v>
      </c>
      <c r="T591" s="209" t="s">
        <v>4021</v>
      </c>
      <c r="U591" s="209" t="s">
        <v>4022</v>
      </c>
      <c r="V591" s="213" t="s">
        <v>4023</v>
      </c>
      <c r="W591" s="218" t="s">
        <v>3652</v>
      </c>
      <c r="X591" s="218" t="s">
        <v>3652</v>
      </c>
      <c r="Y591" s="212" t="s">
        <v>4752</v>
      </c>
      <c r="Z591" s="209" t="s">
        <v>3664</v>
      </c>
      <c r="AA591" s="219"/>
      <c r="AB591" s="218"/>
      <c r="AC591" s="217" t="e">
        <v>#N/A</v>
      </c>
      <c r="AD591" s="217">
        <v>91407</v>
      </c>
      <c r="AE591" s="217" t="s">
        <v>5151</v>
      </c>
      <c r="AF591" s="217" t="s">
        <v>3911</v>
      </c>
      <c r="AG591" s="217" t="s">
        <v>846</v>
      </c>
      <c r="AH591" s="220" t="str">
        <f t="shared" si="37"/>
        <v>4590006260_017</v>
      </c>
      <c r="AI591" s="208"/>
      <c r="AJ591" s="225">
        <v>45170</v>
      </c>
      <c r="AK591" s="221">
        <v>2990.21</v>
      </c>
      <c r="AL591" s="258">
        <v>45288</v>
      </c>
      <c r="AM591" s="208"/>
      <c r="AN591" s="220"/>
      <c r="AO591" s="222"/>
      <c r="AP591" s="227"/>
      <c r="AQ591" s="358">
        <f ca="1">IF(表格1[[#This Row],[PO$]]="","100%",表格1[[#This Row],[total amount]]/表格1[[#This Row],[PO$]])</f>
        <v>0.39999973246044096</v>
      </c>
      <c r="AR591" s="223">
        <f ca="1">表格1[[#This Row],[invoice amount]]+表格1[[#This Row],[invoice amount2]]</f>
        <v>2990.21</v>
      </c>
      <c r="AS591" s="224" t="s">
        <v>3673</v>
      </c>
      <c r="AT591" s="208"/>
      <c r="AU591" s="208" t="e">
        <f ca="1">VLOOKUP(表格1[[#This Row],[PO+ITEM]],#REF!,2,FALSE)</f>
        <v>#REF!</v>
      </c>
      <c r="AV591" s="341" t="e">
        <f ca="1">VLOOKUP(表格1[[#This Row],[PO+ITEM]],#REF!,3,FALSE)</f>
        <v>#REF!</v>
      </c>
      <c r="AW591" s="208" t="e">
        <f ca="1">VLOOKUP(表格1[[#This Row],[PO+ITEM]],#REF!,4,FALSE)</f>
        <v>#REF!</v>
      </c>
      <c r="AX591" s="208" t="e" cm="1" vm="1">
        <f t="array" aca="1" ref="AX591" ca="1">VLOOKUP(AI:AI,#REF!,1,FALSE)</f>
        <v>#VALUE!</v>
      </c>
    </row>
    <row r="592" spans="1:50" ht="15.6">
      <c r="A592" s="220">
        <v>591</v>
      </c>
      <c r="B592" s="220" t="s">
        <v>3659</v>
      </c>
      <c r="C592" s="209" t="s">
        <v>16</v>
      </c>
      <c r="D592" s="209" t="s">
        <v>3648</v>
      </c>
      <c r="E592" s="209"/>
      <c r="F592" s="209"/>
      <c r="G592" s="209"/>
      <c r="H592" s="210" t="s">
        <v>5152</v>
      </c>
      <c r="I592" s="210"/>
      <c r="J592" s="211"/>
      <c r="K592" s="210"/>
      <c r="L592" s="212" t="s">
        <v>2206</v>
      </c>
      <c r="M592" s="212" t="s">
        <v>2999</v>
      </c>
      <c r="N592" s="213"/>
      <c r="O592" s="263">
        <v>4590006260</v>
      </c>
      <c r="P592" s="214">
        <v>44836</v>
      </c>
      <c r="Q592" s="334">
        <v>18</v>
      </c>
      <c r="R592" s="216">
        <v>7475.53</v>
      </c>
      <c r="S592" s="217" t="s">
        <v>2156</v>
      </c>
      <c r="T592" s="209" t="s">
        <v>4021</v>
      </c>
      <c r="U592" s="209" t="s">
        <v>4022</v>
      </c>
      <c r="V592" s="213" t="s">
        <v>4023</v>
      </c>
      <c r="W592" s="218" t="s">
        <v>3652</v>
      </c>
      <c r="X592" s="218" t="s">
        <v>3652</v>
      </c>
      <c r="Y592" s="212" t="s">
        <v>4752</v>
      </c>
      <c r="Z592" s="209" t="s">
        <v>3664</v>
      </c>
      <c r="AA592" s="219"/>
      <c r="AB592" s="218"/>
      <c r="AC592" s="217" t="e">
        <v>#N/A</v>
      </c>
      <c r="AD592" s="217">
        <v>91411</v>
      </c>
      <c r="AE592" s="217" t="s">
        <v>5153</v>
      </c>
      <c r="AF592" s="217" t="s">
        <v>3911</v>
      </c>
      <c r="AG592" s="217" t="s">
        <v>846</v>
      </c>
      <c r="AH592" s="220" t="str">
        <f t="shared" si="37"/>
        <v>4590006260_018</v>
      </c>
      <c r="AI592" s="208"/>
      <c r="AJ592" s="225">
        <v>45108</v>
      </c>
      <c r="AK592" s="221">
        <v>2990.212</v>
      </c>
      <c r="AL592" s="258">
        <v>45288</v>
      </c>
      <c r="AM592" s="208"/>
      <c r="AN592" s="220"/>
      <c r="AO592" s="222"/>
      <c r="AP592" s="227"/>
      <c r="AQ592" s="358">
        <f ca="1">IF(表格1[[#This Row],[PO$]]="","100%",表格1[[#This Row],[total amount]]/表格1[[#This Row],[PO$]])</f>
        <v>0.4</v>
      </c>
      <c r="AR592" s="223">
        <f ca="1">表格1[[#This Row],[invoice amount]]+表格1[[#This Row],[invoice amount2]]</f>
        <v>2990.212</v>
      </c>
      <c r="AS592" s="224" t="s">
        <v>3673</v>
      </c>
      <c r="AT592" s="208"/>
      <c r="AU592" s="208" t="e">
        <f ca="1">VLOOKUP(表格1[[#This Row],[PO+ITEM]],#REF!,2,FALSE)</f>
        <v>#REF!</v>
      </c>
      <c r="AV592" s="341" t="e">
        <f ca="1">VLOOKUP(表格1[[#This Row],[PO+ITEM]],#REF!,3,FALSE)</f>
        <v>#REF!</v>
      </c>
      <c r="AW592" s="208" t="e">
        <f ca="1">VLOOKUP(表格1[[#This Row],[PO+ITEM]],#REF!,4,FALSE)</f>
        <v>#REF!</v>
      </c>
      <c r="AX592" s="208" t="e" cm="1" vm="1">
        <f t="array" aca="1" ref="AX592" ca="1">VLOOKUP(AI:AI,#REF!,1,FALSE)</f>
        <v>#VALUE!</v>
      </c>
    </row>
    <row r="593" spans="1:50">
      <c r="A593" s="220">
        <v>592</v>
      </c>
      <c r="B593" s="220" t="s">
        <v>3674</v>
      </c>
      <c r="C593" s="209" t="s">
        <v>16</v>
      </c>
      <c r="D593" s="209" t="s">
        <v>3648</v>
      </c>
      <c r="E593" s="209"/>
      <c r="F593" s="209"/>
      <c r="G593" s="209"/>
      <c r="H593" s="210" t="s">
        <v>5154</v>
      </c>
      <c r="I593" s="210"/>
      <c r="J593" s="211"/>
      <c r="K593" s="210"/>
      <c r="L593" s="212" t="s">
        <v>4269</v>
      </c>
      <c r="M593" s="212" t="s">
        <v>2999</v>
      </c>
      <c r="N593" s="213"/>
      <c r="O593" s="263">
        <v>4590006260</v>
      </c>
      <c r="P593" s="214">
        <v>44836</v>
      </c>
      <c r="Q593" s="334">
        <v>19</v>
      </c>
      <c r="R593" s="216">
        <v>2286.87</v>
      </c>
      <c r="S593" s="217" t="s">
        <v>2156</v>
      </c>
      <c r="T593" s="209" t="s">
        <v>4021</v>
      </c>
      <c r="U593" s="209" t="s">
        <v>4022</v>
      </c>
      <c r="V593" s="213" t="s">
        <v>4023</v>
      </c>
      <c r="W593" s="218" t="s">
        <v>3652</v>
      </c>
      <c r="X593" s="218" t="s">
        <v>3652</v>
      </c>
      <c r="Y593" s="212">
        <v>0</v>
      </c>
      <c r="Z593" s="209" t="s">
        <v>3664</v>
      </c>
      <c r="AA593" s="219"/>
      <c r="AB593" s="218"/>
      <c r="AC593" s="217" t="e">
        <v>#N/A</v>
      </c>
      <c r="AD593" s="217">
        <v>90965</v>
      </c>
      <c r="AE593" s="217" t="s">
        <v>3436</v>
      </c>
      <c r="AF593" s="217" t="s">
        <v>3911</v>
      </c>
      <c r="AG593" s="217" t="s">
        <v>5120</v>
      </c>
      <c r="AH593" s="220" t="str">
        <f t="shared" si="37"/>
        <v>4590006260_019</v>
      </c>
      <c r="AI593" s="208"/>
      <c r="AJ593" s="220"/>
      <c r="AK593" s="221"/>
      <c r="AL593" s="227"/>
      <c r="AM593" s="208"/>
      <c r="AN593" s="220"/>
      <c r="AO593" s="222"/>
      <c r="AP593" s="227"/>
      <c r="AQ593" s="358">
        <f ca="1">IF(表格1[[#This Row],[PO$]]="","100%",表格1[[#This Row],[total amount]]/表格1[[#This Row],[PO$]])</f>
        <v>0</v>
      </c>
      <c r="AR593" s="223">
        <f ca="1">表格1[[#This Row],[invoice amount]]+表格1[[#This Row],[invoice amount2]]</f>
        <v>0</v>
      </c>
      <c r="AS593" s="224"/>
      <c r="AT593" s="208"/>
      <c r="AU593" s="208" t="e">
        <f ca="1">VLOOKUP(表格1[[#This Row],[PO+ITEM]],#REF!,2,FALSE)</f>
        <v>#REF!</v>
      </c>
      <c r="AV593" s="341" t="e">
        <f ca="1">VLOOKUP(表格1[[#This Row],[PO+ITEM]],#REF!,3,FALSE)</f>
        <v>#REF!</v>
      </c>
      <c r="AW593" s="208" t="e">
        <f ca="1">VLOOKUP(表格1[[#This Row],[PO+ITEM]],#REF!,4,FALSE)</f>
        <v>#REF!</v>
      </c>
      <c r="AX593" s="208" t="e" cm="1" vm="1">
        <f t="array" aca="1" ref="AX593" ca="1">VLOOKUP(AI:AI,#REF!,1,FALSE)</f>
        <v>#VALUE!</v>
      </c>
    </row>
    <row r="594" spans="1:50">
      <c r="A594" s="220">
        <v>593</v>
      </c>
      <c r="B594" s="220" t="s">
        <v>3659</v>
      </c>
      <c r="C594" s="209" t="s">
        <v>16</v>
      </c>
      <c r="D594" s="209" t="s">
        <v>3648</v>
      </c>
      <c r="E594" s="209"/>
      <c r="F594" s="209"/>
      <c r="G594" s="209"/>
      <c r="H594" s="210" t="s">
        <v>5156</v>
      </c>
      <c r="I594" s="210"/>
      <c r="J594" s="211"/>
      <c r="K594" s="210"/>
      <c r="L594" s="212" t="s">
        <v>4269</v>
      </c>
      <c r="M594" s="212" t="s">
        <v>2999</v>
      </c>
      <c r="N594" s="213"/>
      <c r="O594" s="263">
        <v>4590006260</v>
      </c>
      <c r="P594" s="214">
        <v>44836</v>
      </c>
      <c r="Q594" s="334">
        <v>20</v>
      </c>
      <c r="R594" s="216">
        <v>2286.87</v>
      </c>
      <c r="S594" s="217" t="s">
        <v>2156</v>
      </c>
      <c r="T594" s="209" t="s">
        <v>4021</v>
      </c>
      <c r="U594" s="209" t="s">
        <v>4022</v>
      </c>
      <c r="V594" s="213" t="s">
        <v>4023</v>
      </c>
      <c r="W594" s="218" t="s">
        <v>3652</v>
      </c>
      <c r="X594" s="218" t="s">
        <v>3652</v>
      </c>
      <c r="Y594" s="212">
        <v>0</v>
      </c>
      <c r="Z594" s="209" t="s">
        <v>3664</v>
      </c>
      <c r="AA594" s="219"/>
      <c r="AB594" s="218"/>
      <c r="AC594" s="217" t="e">
        <v>#N/A</v>
      </c>
      <c r="AD594" s="217">
        <v>91002</v>
      </c>
      <c r="AE594" s="217" t="s">
        <v>3433</v>
      </c>
      <c r="AF594" s="217" t="s">
        <v>3911</v>
      </c>
      <c r="AG594" s="217" t="s">
        <v>5120</v>
      </c>
      <c r="AH594" s="220" t="str">
        <f t="shared" si="37"/>
        <v>4590006260_020</v>
      </c>
      <c r="AI594" s="208"/>
      <c r="AJ594" s="220"/>
      <c r="AK594" s="221"/>
      <c r="AL594" s="227"/>
      <c r="AM594" s="208"/>
      <c r="AN594" s="220"/>
      <c r="AO594" s="222"/>
      <c r="AP594" s="227"/>
      <c r="AQ594" s="358">
        <f ca="1">IF(表格1[[#This Row],[PO$]]="","100%",表格1[[#This Row],[total amount]]/表格1[[#This Row],[PO$]])</f>
        <v>0</v>
      </c>
      <c r="AR594" s="223">
        <f ca="1">表格1[[#This Row],[invoice amount]]+表格1[[#This Row],[invoice amount2]]</f>
        <v>0</v>
      </c>
      <c r="AS594" s="224"/>
      <c r="AT594" s="208"/>
      <c r="AU594" s="208" t="e">
        <f ca="1">VLOOKUP(表格1[[#This Row],[PO+ITEM]],#REF!,2,FALSE)</f>
        <v>#REF!</v>
      </c>
      <c r="AV594" s="341" t="e">
        <f ca="1">VLOOKUP(表格1[[#This Row],[PO+ITEM]],#REF!,3,FALSE)</f>
        <v>#REF!</v>
      </c>
      <c r="AW594" s="208" t="e">
        <f ca="1">VLOOKUP(表格1[[#This Row],[PO+ITEM]],#REF!,4,FALSE)</f>
        <v>#REF!</v>
      </c>
      <c r="AX594" s="208" t="e" cm="1" vm="1">
        <f t="array" aca="1" ref="AX594" ca="1">VLOOKUP(AI:AI,#REF!,1,FALSE)</f>
        <v>#VALUE!</v>
      </c>
    </row>
    <row r="595" spans="1:50" ht="15.6">
      <c r="A595" s="220">
        <v>594</v>
      </c>
      <c r="B595" s="220" t="s">
        <v>3674</v>
      </c>
      <c r="C595" s="209" t="s">
        <v>16</v>
      </c>
      <c r="D595" s="209" t="s">
        <v>3648</v>
      </c>
      <c r="E595" s="209"/>
      <c r="F595" s="209"/>
      <c r="G595" s="209"/>
      <c r="H595" s="210" t="s">
        <v>5157</v>
      </c>
      <c r="I595" s="210"/>
      <c r="J595" s="211"/>
      <c r="K595" s="210"/>
      <c r="L595" s="212" t="s">
        <v>2206</v>
      </c>
      <c r="M595" s="212" t="s">
        <v>2999</v>
      </c>
      <c r="N595" s="213"/>
      <c r="O595" s="263">
        <v>4590006260</v>
      </c>
      <c r="P595" s="214">
        <v>44836</v>
      </c>
      <c r="Q595" s="334">
        <v>21</v>
      </c>
      <c r="R595" s="216">
        <v>3803.58</v>
      </c>
      <c r="S595" s="217" t="s">
        <v>2156</v>
      </c>
      <c r="T595" s="209" t="s">
        <v>4021</v>
      </c>
      <c r="U595" s="209" t="s">
        <v>4022</v>
      </c>
      <c r="V595" s="213" t="s">
        <v>4023</v>
      </c>
      <c r="W595" s="218" t="s">
        <v>3652</v>
      </c>
      <c r="X595" s="218" t="s">
        <v>3652</v>
      </c>
      <c r="Y595" s="212" t="s">
        <v>4752</v>
      </c>
      <c r="Z595" s="209" t="s">
        <v>3664</v>
      </c>
      <c r="AA595" s="219"/>
      <c r="AB595" s="218"/>
      <c r="AC595" s="217" t="e">
        <v>#N/A</v>
      </c>
      <c r="AD595" s="217">
        <v>91222</v>
      </c>
      <c r="AE595" s="217" t="s">
        <v>5158</v>
      </c>
      <c r="AF595" s="217" t="s">
        <v>3911</v>
      </c>
      <c r="AG595" s="217" t="s">
        <v>846</v>
      </c>
      <c r="AH595" s="220" t="str">
        <f t="shared" si="37"/>
        <v>4590006260_021</v>
      </c>
      <c r="AI595" s="208"/>
      <c r="AJ595" s="225">
        <v>45108</v>
      </c>
      <c r="AK595" s="221">
        <v>1521.432</v>
      </c>
      <c r="AL595" s="258">
        <v>45288</v>
      </c>
      <c r="AM595" s="208"/>
      <c r="AN595" s="220"/>
      <c r="AO595" s="222"/>
      <c r="AP595" s="227"/>
      <c r="AQ595" s="358">
        <f ca="1">IF(表格1[[#This Row],[PO$]]="","100%",表格1[[#This Row],[total amount]]/表格1[[#This Row],[PO$]])</f>
        <v>0.4</v>
      </c>
      <c r="AR595" s="223">
        <f ca="1">表格1[[#This Row],[invoice amount]]+表格1[[#This Row],[invoice amount2]]</f>
        <v>1521.432</v>
      </c>
      <c r="AS595" s="224" t="s">
        <v>3673</v>
      </c>
      <c r="AT595" s="208"/>
      <c r="AU595" s="208" t="e">
        <f ca="1">VLOOKUP(表格1[[#This Row],[PO+ITEM]],#REF!,2,FALSE)</f>
        <v>#REF!</v>
      </c>
      <c r="AV595" s="341" t="e">
        <f ca="1">VLOOKUP(表格1[[#This Row],[PO+ITEM]],#REF!,3,FALSE)</f>
        <v>#REF!</v>
      </c>
      <c r="AW595" s="208" t="e">
        <f ca="1">VLOOKUP(表格1[[#This Row],[PO+ITEM]],#REF!,4,FALSE)</f>
        <v>#REF!</v>
      </c>
      <c r="AX595" s="208" t="e" cm="1" vm="1">
        <f t="array" aca="1" ref="AX595" ca="1">VLOOKUP(AI:AI,#REF!,1,FALSE)</f>
        <v>#VALUE!</v>
      </c>
    </row>
    <row r="596" spans="1:50" ht="15.6">
      <c r="A596" s="220">
        <v>595</v>
      </c>
      <c r="B596" s="220" t="s">
        <v>3659</v>
      </c>
      <c r="C596" s="209" t="s">
        <v>16</v>
      </c>
      <c r="D596" s="209" t="s">
        <v>3648</v>
      </c>
      <c r="E596" s="209"/>
      <c r="F596" s="209"/>
      <c r="G596" s="209"/>
      <c r="H596" s="217" t="s">
        <v>5159</v>
      </c>
      <c r="I596" s="217"/>
      <c r="J596" s="215"/>
      <c r="K596" s="217"/>
      <c r="L596" s="212" t="s">
        <v>2206</v>
      </c>
      <c r="M596" s="212" t="s">
        <v>2999</v>
      </c>
      <c r="N596" s="213"/>
      <c r="O596" s="263">
        <v>4590006260</v>
      </c>
      <c r="P596" s="214">
        <v>44836</v>
      </c>
      <c r="Q596" s="334">
        <v>22</v>
      </c>
      <c r="R596" s="216">
        <v>10229.49</v>
      </c>
      <c r="S596" s="217" t="s">
        <v>2156</v>
      </c>
      <c r="T596" s="209" t="s">
        <v>4021</v>
      </c>
      <c r="U596" s="209" t="s">
        <v>4022</v>
      </c>
      <c r="V596" s="213" t="s">
        <v>4023</v>
      </c>
      <c r="W596" s="218" t="s">
        <v>3652</v>
      </c>
      <c r="X596" s="218" t="s">
        <v>3652</v>
      </c>
      <c r="Y596" s="212" t="s">
        <v>4752</v>
      </c>
      <c r="Z596" s="209" t="s">
        <v>3664</v>
      </c>
      <c r="AA596" s="219"/>
      <c r="AB596" s="218"/>
      <c r="AC596" s="217" t="e">
        <v>#N/A</v>
      </c>
      <c r="AD596" s="217">
        <v>91223</v>
      </c>
      <c r="AE596" s="217" t="s">
        <v>5160</v>
      </c>
      <c r="AF596" s="217" t="s">
        <v>3911</v>
      </c>
      <c r="AG596" s="217" t="s">
        <v>846</v>
      </c>
      <c r="AH596" s="220" t="str">
        <f t="shared" si="37"/>
        <v>4590006260_022</v>
      </c>
      <c r="AI596" s="208"/>
      <c r="AJ596" s="225">
        <v>45108</v>
      </c>
      <c r="AK596" s="221">
        <v>4091.7960000000003</v>
      </c>
      <c r="AL596" s="258">
        <v>45288</v>
      </c>
      <c r="AM596" s="208"/>
      <c r="AN596" s="220"/>
      <c r="AO596" s="222"/>
      <c r="AP596" s="227"/>
      <c r="AQ596" s="358">
        <f ca="1">IF(表格1[[#This Row],[PO$]]="","100%",表格1[[#This Row],[total amount]]/表格1[[#This Row],[PO$]])</f>
        <v>0.4</v>
      </c>
      <c r="AR596" s="223">
        <f ca="1">表格1[[#This Row],[invoice amount]]+表格1[[#This Row],[invoice amount2]]</f>
        <v>4091.7960000000003</v>
      </c>
      <c r="AS596" s="224" t="s">
        <v>3673</v>
      </c>
      <c r="AT596" s="208"/>
      <c r="AU596" s="208" t="e">
        <f ca="1">VLOOKUP(表格1[[#This Row],[PO+ITEM]],#REF!,2,FALSE)</f>
        <v>#REF!</v>
      </c>
      <c r="AV596" s="341" t="e">
        <f ca="1">VLOOKUP(表格1[[#This Row],[PO+ITEM]],#REF!,3,FALSE)</f>
        <v>#REF!</v>
      </c>
      <c r="AW596" s="208" t="e">
        <f ca="1">VLOOKUP(表格1[[#This Row],[PO+ITEM]],#REF!,4,FALSE)</f>
        <v>#REF!</v>
      </c>
      <c r="AX596" s="208" t="e" cm="1" vm="1">
        <f t="array" aca="1" ref="AX596" ca="1">VLOOKUP(AI:AI,#REF!,1,FALSE)</f>
        <v>#VALUE!</v>
      </c>
    </row>
    <row r="597" spans="1:50" ht="15.6">
      <c r="A597" s="220">
        <v>596</v>
      </c>
      <c r="B597" s="220" t="s">
        <v>3659</v>
      </c>
      <c r="C597" s="209" t="s">
        <v>16</v>
      </c>
      <c r="D597" s="209" t="s">
        <v>3648</v>
      </c>
      <c r="E597" s="209"/>
      <c r="F597" s="209"/>
      <c r="G597" s="209"/>
      <c r="H597" s="210" t="s">
        <v>5161</v>
      </c>
      <c r="I597" s="210"/>
      <c r="J597" s="211"/>
      <c r="K597" s="210"/>
      <c r="L597" s="212" t="s">
        <v>2206</v>
      </c>
      <c r="M597" s="212" t="s">
        <v>2999</v>
      </c>
      <c r="N597" s="213"/>
      <c r="O597" s="263">
        <v>4590006260</v>
      </c>
      <c r="P597" s="214">
        <v>44836</v>
      </c>
      <c r="Q597" s="334">
        <v>23</v>
      </c>
      <c r="R597" s="216">
        <v>3803.58</v>
      </c>
      <c r="S597" s="217" t="s">
        <v>2156</v>
      </c>
      <c r="T597" s="209" t="s">
        <v>4021</v>
      </c>
      <c r="U597" s="209" t="s">
        <v>4022</v>
      </c>
      <c r="V597" s="213" t="s">
        <v>4023</v>
      </c>
      <c r="W597" s="218" t="s">
        <v>3652</v>
      </c>
      <c r="X597" s="218" t="s">
        <v>3652</v>
      </c>
      <c r="Y597" s="212" t="s">
        <v>4752</v>
      </c>
      <c r="Z597" s="209" t="s">
        <v>3664</v>
      </c>
      <c r="AA597" s="219"/>
      <c r="AB597" s="218"/>
      <c r="AC597" s="217" t="e">
        <v>#N/A</v>
      </c>
      <c r="AD597" s="217">
        <v>91389</v>
      </c>
      <c r="AE597" s="217" t="s">
        <v>5162</v>
      </c>
      <c r="AF597" s="217" t="s">
        <v>3911</v>
      </c>
      <c r="AG597" s="217" t="s">
        <v>846</v>
      </c>
      <c r="AH597" s="220" t="str">
        <f t="shared" si="37"/>
        <v>4590006260_023</v>
      </c>
      <c r="AI597" s="208"/>
      <c r="AJ597" s="225">
        <v>45108</v>
      </c>
      <c r="AK597" s="221">
        <v>1521.432</v>
      </c>
      <c r="AL597" s="258">
        <v>45288</v>
      </c>
      <c r="AM597" s="208"/>
      <c r="AN597" s="220"/>
      <c r="AO597" s="222"/>
      <c r="AP597" s="227"/>
      <c r="AQ597" s="358">
        <f ca="1">IF(表格1[[#This Row],[PO$]]="","100%",表格1[[#This Row],[total amount]]/表格1[[#This Row],[PO$]])</f>
        <v>0.4</v>
      </c>
      <c r="AR597" s="223">
        <f ca="1">表格1[[#This Row],[invoice amount]]+表格1[[#This Row],[invoice amount2]]</f>
        <v>1521.432</v>
      </c>
      <c r="AS597" s="224" t="s">
        <v>3673</v>
      </c>
      <c r="AT597" s="208"/>
      <c r="AU597" s="208" t="e">
        <f ca="1">VLOOKUP(表格1[[#This Row],[PO+ITEM]],#REF!,2,FALSE)</f>
        <v>#REF!</v>
      </c>
      <c r="AV597" s="341" t="e">
        <f ca="1">VLOOKUP(表格1[[#This Row],[PO+ITEM]],#REF!,3,FALSE)</f>
        <v>#REF!</v>
      </c>
      <c r="AW597" s="208" t="e">
        <f ca="1">VLOOKUP(表格1[[#This Row],[PO+ITEM]],#REF!,4,FALSE)</f>
        <v>#REF!</v>
      </c>
      <c r="AX597" s="208" t="e" cm="1" vm="1">
        <f t="array" aca="1" ref="AX597" ca="1">VLOOKUP(AI:AI,#REF!,1,FALSE)</f>
        <v>#VALUE!</v>
      </c>
    </row>
    <row r="598" spans="1:50" ht="15.6">
      <c r="A598" s="220">
        <v>597</v>
      </c>
      <c r="B598" s="220" t="s">
        <v>3659</v>
      </c>
      <c r="C598" s="209" t="s">
        <v>16</v>
      </c>
      <c r="D598" s="209" t="s">
        <v>3648</v>
      </c>
      <c r="E598" s="209"/>
      <c r="F598" s="209"/>
      <c r="G598" s="209"/>
      <c r="H598" s="210" t="s">
        <v>5163</v>
      </c>
      <c r="I598" s="210"/>
      <c r="J598" s="211"/>
      <c r="K598" s="210"/>
      <c r="L598" s="212" t="s">
        <v>2206</v>
      </c>
      <c r="M598" s="212" t="s">
        <v>2999</v>
      </c>
      <c r="N598" s="213"/>
      <c r="O598" s="263">
        <v>4590006260</v>
      </c>
      <c r="P598" s="214">
        <v>44836</v>
      </c>
      <c r="Q598" s="334">
        <v>24</v>
      </c>
      <c r="R598" s="216">
        <v>3803.58</v>
      </c>
      <c r="S598" s="217" t="s">
        <v>2156</v>
      </c>
      <c r="T598" s="209" t="s">
        <v>4021</v>
      </c>
      <c r="U598" s="209" t="s">
        <v>4022</v>
      </c>
      <c r="V598" s="213" t="s">
        <v>4023</v>
      </c>
      <c r="W598" s="218" t="s">
        <v>3652</v>
      </c>
      <c r="X598" s="218" t="s">
        <v>3652</v>
      </c>
      <c r="Y598" s="212" t="s">
        <v>4752</v>
      </c>
      <c r="Z598" s="209" t="s">
        <v>3664</v>
      </c>
      <c r="AA598" s="219"/>
      <c r="AB598" s="218"/>
      <c r="AC598" s="217" t="e">
        <v>#N/A</v>
      </c>
      <c r="AD598" s="217">
        <v>91394</v>
      </c>
      <c r="AE598" s="217" t="s">
        <v>5164</v>
      </c>
      <c r="AF598" s="217" t="s">
        <v>3911</v>
      </c>
      <c r="AG598" s="217" t="s">
        <v>846</v>
      </c>
      <c r="AH598" s="220" t="str">
        <f t="shared" si="37"/>
        <v>4590006260_024</v>
      </c>
      <c r="AI598" s="208"/>
      <c r="AJ598" s="225">
        <v>45108</v>
      </c>
      <c r="AK598" s="221">
        <v>1521.432</v>
      </c>
      <c r="AL598" s="258">
        <v>45288</v>
      </c>
      <c r="AM598" s="208"/>
      <c r="AN598" s="220"/>
      <c r="AO598" s="222"/>
      <c r="AP598" s="227"/>
      <c r="AQ598" s="358">
        <f ca="1">IF(表格1[[#This Row],[PO$]]="","100%",表格1[[#This Row],[total amount]]/表格1[[#This Row],[PO$]])</f>
        <v>0.4</v>
      </c>
      <c r="AR598" s="223">
        <f ca="1">表格1[[#This Row],[invoice amount]]+表格1[[#This Row],[invoice amount2]]</f>
        <v>1521.432</v>
      </c>
      <c r="AS598" s="224" t="s">
        <v>3673</v>
      </c>
      <c r="AT598" s="208"/>
      <c r="AU598" s="208" t="e">
        <f ca="1">VLOOKUP(表格1[[#This Row],[PO+ITEM]],#REF!,2,FALSE)</f>
        <v>#REF!</v>
      </c>
      <c r="AV598" s="341" t="e">
        <f ca="1">VLOOKUP(表格1[[#This Row],[PO+ITEM]],#REF!,3,FALSE)</f>
        <v>#REF!</v>
      </c>
      <c r="AW598" s="208" t="e">
        <f ca="1">VLOOKUP(表格1[[#This Row],[PO+ITEM]],#REF!,4,FALSE)</f>
        <v>#REF!</v>
      </c>
      <c r="AX598" s="208" t="e" cm="1" vm="1">
        <f t="array" aca="1" ref="AX598" ca="1">VLOOKUP(AI:AI,#REF!,1,FALSE)</f>
        <v>#VALUE!</v>
      </c>
    </row>
    <row r="599" spans="1:50" ht="15.6">
      <c r="A599" s="220">
        <v>598</v>
      </c>
      <c r="B599" s="220" t="s">
        <v>3659</v>
      </c>
      <c r="C599" s="209" t="s">
        <v>16</v>
      </c>
      <c r="D599" s="209" t="s">
        <v>3648</v>
      </c>
      <c r="E599" s="209"/>
      <c r="F599" s="209"/>
      <c r="G599" s="209"/>
      <c r="H599" s="210" t="s">
        <v>5165</v>
      </c>
      <c r="I599" s="210"/>
      <c r="J599" s="211"/>
      <c r="K599" s="210"/>
      <c r="L599" s="212" t="s">
        <v>2206</v>
      </c>
      <c r="M599" s="212" t="s">
        <v>2999</v>
      </c>
      <c r="N599" s="213"/>
      <c r="O599" s="263">
        <v>4590006260</v>
      </c>
      <c r="P599" s="214">
        <v>44836</v>
      </c>
      <c r="Q599" s="334">
        <v>25</v>
      </c>
      <c r="R599" s="216">
        <v>6557.54</v>
      </c>
      <c r="S599" s="217" t="s">
        <v>2156</v>
      </c>
      <c r="T599" s="209" t="s">
        <v>4021</v>
      </c>
      <c r="U599" s="209" t="s">
        <v>4022</v>
      </c>
      <c r="V599" s="213" t="s">
        <v>4023</v>
      </c>
      <c r="W599" s="218" t="s">
        <v>3652</v>
      </c>
      <c r="X599" s="218" t="s">
        <v>3652</v>
      </c>
      <c r="Y599" s="212" t="s">
        <v>4752</v>
      </c>
      <c r="Z599" s="209" t="s">
        <v>3664</v>
      </c>
      <c r="AA599" s="219"/>
      <c r="AB599" s="218"/>
      <c r="AC599" s="217" t="e">
        <v>#N/A</v>
      </c>
      <c r="AD599" s="217">
        <v>91403</v>
      </c>
      <c r="AE599" s="217" t="s">
        <v>5166</v>
      </c>
      <c r="AF599" s="217" t="s">
        <v>3911</v>
      </c>
      <c r="AG599" s="217" t="s">
        <v>846</v>
      </c>
      <c r="AH599" s="220" t="str">
        <f t="shared" si="37"/>
        <v>4590006260_025</v>
      </c>
      <c r="AI599" s="208"/>
      <c r="AJ599" s="225">
        <v>45108</v>
      </c>
      <c r="AK599" s="221">
        <v>2623.0160000000001</v>
      </c>
      <c r="AL599" s="258">
        <v>45288</v>
      </c>
      <c r="AM599" s="208"/>
      <c r="AN599" s="220"/>
      <c r="AO599" s="222"/>
      <c r="AP599" s="227"/>
      <c r="AQ599" s="358">
        <f ca="1">IF(表格1[[#This Row],[PO$]]="","100%",表格1[[#This Row],[total amount]]/表格1[[#This Row],[PO$]])</f>
        <v>0.4</v>
      </c>
      <c r="AR599" s="223">
        <f ca="1">表格1[[#This Row],[invoice amount]]+表格1[[#This Row],[invoice amount2]]</f>
        <v>2623.0160000000001</v>
      </c>
      <c r="AS599" s="224" t="s">
        <v>3673</v>
      </c>
      <c r="AT599" s="208"/>
      <c r="AU599" s="208" t="e">
        <f ca="1">VLOOKUP(表格1[[#This Row],[PO+ITEM]],#REF!,2,FALSE)</f>
        <v>#REF!</v>
      </c>
      <c r="AV599" s="341" t="e">
        <f ca="1">VLOOKUP(表格1[[#This Row],[PO+ITEM]],#REF!,3,FALSE)</f>
        <v>#REF!</v>
      </c>
      <c r="AW599" s="208" t="e">
        <f ca="1">VLOOKUP(表格1[[#This Row],[PO+ITEM]],#REF!,4,FALSE)</f>
        <v>#REF!</v>
      </c>
      <c r="AX599" s="208" t="e" cm="1" vm="1">
        <f t="array" aca="1" ref="AX599" ca="1">VLOOKUP(AI:AI,#REF!,1,FALSE)</f>
        <v>#VALUE!</v>
      </c>
    </row>
    <row r="600" spans="1:50" ht="15.6">
      <c r="A600" s="220">
        <v>599</v>
      </c>
      <c r="B600" s="220" t="s">
        <v>3674</v>
      </c>
      <c r="C600" s="209" t="s">
        <v>16</v>
      </c>
      <c r="D600" s="209" t="s">
        <v>3648</v>
      </c>
      <c r="E600" s="209"/>
      <c r="F600" s="209"/>
      <c r="G600" s="209"/>
      <c r="H600" s="210" t="s">
        <v>5167</v>
      </c>
      <c r="I600" s="210"/>
      <c r="J600" s="211"/>
      <c r="K600" s="210"/>
      <c r="L600" s="212" t="s">
        <v>2206</v>
      </c>
      <c r="M600" s="212" t="s">
        <v>2999</v>
      </c>
      <c r="N600" s="213"/>
      <c r="O600" s="263">
        <v>4590006261</v>
      </c>
      <c r="P600" s="214">
        <v>44836</v>
      </c>
      <c r="Q600" s="334">
        <v>1</v>
      </c>
      <c r="R600" s="216">
        <v>12141.96</v>
      </c>
      <c r="S600" s="217" t="s">
        <v>2156</v>
      </c>
      <c r="T600" s="209" t="s">
        <v>4021</v>
      </c>
      <c r="U600" s="209" t="s">
        <v>4022</v>
      </c>
      <c r="V600" s="213" t="s">
        <v>4023</v>
      </c>
      <c r="W600" s="218" t="s">
        <v>3652</v>
      </c>
      <c r="X600" s="218" t="s">
        <v>3652</v>
      </c>
      <c r="Y600" s="212" t="s">
        <v>5169</v>
      </c>
      <c r="Z600" s="209" t="s">
        <v>3664</v>
      </c>
      <c r="AA600" s="219"/>
      <c r="AB600" s="218"/>
      <c r="AC600" s="217" t="e">
        <v>#N/A</v>
      </c>
      <c r="AD600" s="217">
        <v>90113</v>
      </c>
      <c r="AE600" s="217" t="s">
        <v>2698</v>
      </c>
      <c r="AF600" s="217" t="s">
        <v>4784</v>
      </c>
      <c r="AG600" s="217" t="s">
        <v>846</v>
      </c>
      <c r="AH600" s="220" t="str">
        <f t="shared" ref="AH600:AH608" si="38">O600&amp;"_00"&amp;Q600</f>
        <v>4590006261_001</v>
      </c>
      <c r="AI600" s="208"/>
      <c r="AJ600" s="225">
        <v>45108</v>
      </c>
      <c r="AK600" s="221">
        <v>4856.7839999999997</v>
      </c>
      <c r="AL600" s="226">
        <v>45168</v>
      </c>
      <c r="AM600" s="208"/>
      <c r="AN600" s="220"/>
      <c r="AO600" s="222"/>
      <c r="AP600" s="227"/>
      <c r="AQ600" s="358">
        <f ca="1">IF(表格1[[#This Row],[PO$]]="","100%",表格1[[#This Row],[total amount]]/表格1[[#This Row],[PO$]])</f>
        <v>0.4</v>
      </c>
      <c r="AR600" s="223">
        <f ca="1">表格1[[#This Row],[invoice amount]]+表格1[[#This Row],[invoice amount2]]</f>
        <v>4856.7839999999997</v>
      </c>
      <c r="AS600" s="224" t="s">
        <v>3673</v>
      </c>
      <c r="AT600" s="208"/>
      <c r="AU600" s="208" t="e">
        <f ca="1">VLOOKUP(表格1[[#This Row],[PO+ITEM]],#REF!,2,FALSE)</f>
        <v>#REF!</v>
      </c>
      <c r="AV600" s="341" t="e">
        <f ca="1">VLOOKUP(表格1[[#This Row],[PO+ITEM]],#REF!,3,FALSE)</f>
        <v>#REF!</v>
      </c>
      <c r="AW600" s="208" t="e">
        <f ca="1">VLOOKUP(表格1[[#This Row],[PO+ITEM]],#REF!,4,FALSE)</f>
        <v>#REF!</v>
      </c>
      <c r="AX600" s="208" t="e" cm="1" vm="1">
        <f t="array" aca="1" ref="AX600" ca="1">VLOOKUP(AI:AI,#REF!,1,FALSE)</f>
        <v>#VALUE!</v>
      </c>
    </row>
    <row r="601" spans="1:50" ht="15.6">
      <c r="A601" s="220">
        <v>600</v>
      </c>
      <c r="B601" s="220" t="s">
        <v>3659</v>
      </c>
      <c r="C601" s="209" t="s">
        <v>16</v>
      </c>
      <c r="D601" s="209" t="s">
        <v>3648</v>
      </c>
      <c r="E601" s="209"/>
      <c r="F601" s="209"/>
      <c r="G601" s="209"/>
      <c r="H601" s="210" t="s">
        <v>5168</v>
      </c>
      <c r="I601" s="210"/>
      <c r="J601" s="211"/>
      <c r="K601" s="210"/>
      <c r="L601" s="212" t="s">
        <v>2206</v>
      </c>
      <c r="M601" s="212" t="s">
        <v>2999</v>
      </c>
      <c r="N601" s="213"/>
      <c r="O601" s="263">
        <v>4590006261</v>
      </c>
      <c r="P601" s="214">
        <v>44836</v>
      </c>
      <c r="Q601" s="334">
        <v>2</v>
      </c>
      <c r="R601" s="216">
        <v>12141.96</v>
      </c>
      <c r="S601" s="217" t="s">
        <v>2156</v>
      </c>
      <c r="T601" s="209" t="s">
        <v>4021</v>
      </c>
      <c r="U601" s="209" t="s">
        <v>4022</v>
      </c>
      <c r="V601" s="213" t="s">
        <v>4023</v>
      </c>
      <c r="W601" s="218" t="s">
        <v>3652</v>
      </c>
      <c r="X601" s="218" t="s">
        <v>3652</v>
      </c>
      <c r="Y601" s="212" t="s">
        <v>5169</v>
      </c>
      <c r="Z601" s="209" t="s">
        <v>3664</v>
      </c>
      <c r="AA601" s="219"/>
      <c r="AB601" s="218"/>
      <c r="AC601" s="217" t="e">
        <v>#N/A</v>
      </c>
      <c r="AD601" s="217">
        <v>90089</v>
      </c>
      <c r="AE601" s="217" t="s">
        <v>5170</v>
      </c>
      <c r="AF601" s="217" t="s">
        <v>4784</v>
      </c>
      <c r="AG601" s="217" t="s">
        <v>846</v>
      </c>
      <c r="AH601" s="220" t="str">
        <f t="shared" si="38"/>
        <v>4590006261_002</v>
      </c>
      <c r="AI601" s="208"/>
      <c r="AJ601" s="225">
        <v>45108</v>
      </c>
      <c r="AK601" s="221">
        <v>0</v>
      </c>
      <c r="AL601" s="314" t="s">
        <v>3788</v>
      </c>
      <c r="AM601" s="208"/>
      <c r="AN601" s="220"/>
      <c r="AO601" s="222"/>
      <c r="AP601" s="227"/>
      <c r="AQ601" s="358">
        <f ca="1">IF(表格1[[#This Row],[PO$]]="","100%",表格1[[#This Row],[total amount]]/表格1[[#This Row],[PO$]])</f>
        <v>0</v>
      </c>
      <c r="AR601" s="223">
        <f ca="1">表格1[[#This Row],[invoice amount]]+表格1[[#This Row],[invoice amount2]]</f>
        <v>0</v>
      </c>
      <c r="AS601" s="224" t="s">
        <v>3789</v>
      </c>
      <c r="AT601" s="208"/>
      <c r="AU601" s="208" t="e">
        <f ca="1">VLOOKUP(表格1[[#This Row],[PO+ITEM]],#REF!,2,FALSE)</f>
        <v>#REF!</v>
      </c>
      <c r="AV601" s="341" t="e">
        <f ca="1">VLOOKUP(表格1[[#This Row],[PO+ITEM]],#REF!,3,FALSE)</f>
        <v>#REF!</v>
      </c>
      <c r="AW601" s="208" t="e">
        <f ca="1">VLOOKUP(表格1[[#This Row],[PO+ITEM]],#REF!,4,FALSE)</f>
        <v>#REF!</v>
      </c>
      <c r="AX601" s="208" t="e" cm="1" vm="1">
        <f t="array" aca="1" ref="AX601" ca="1">VLOOKUP(AI:AI,#REF!,1,FALSE)</f>
        <v>#VALUE!</v>
      </c>
    </row>
    <row r="602" spans="1:50">
      <c r="A602" s="220">
        <v>601</v>
      </c>
      <c r="B602" s="220" t="s">
        <v>3659</v>
      </c>
      <c r="C602" s="209" t="s">
        <v>16</v>
      </c>
      <c r="D602" s="209" t="s">
        <v>3648</v>
      </c>
      <c r="E602" s="209"/>
      <c r="F602" s="209"/>
      <c r="G602" s="209"/>
      <c r="H602" s="210" t="s">
        <v>5171</v>
      </c>
      <c r="I602" s="210"/>
      <c r="J602" s="211"/>
      <c r="K602" s="210"/>
      <c r="L602" s="212" t="s">
        <v>4269</v>
      </c>
      <c r="M602" s="212" t="s">
        <v>2999</v>
      </c>
      <c r="N602" s="213"/>
      <c r="O602" s="263">
        <v>4590006261</v>
      </c>
      <c r="P602" s="214">
        <v>44836</v>
      </c>
      <c r="Q602" s="334">
        <v>3</v>
      </c>
      <c r="R602" s="216">
        <v>1835.98</v>
      </c>
      <c r="S602" s="217" t="s">
        <v>2156</v>
      </c>
      <c r="T602" s="209" t="s">
        <v>4021</v>
      </c>
      <c r="U602" s="209" t="s">
        <v>4022</v>
      </c>
      <c r="V602" s="213" t="s">
        <v>4023</v>
      </c>
      <c r="W602" s="218" t="s">
        <v>3652</v>
      </c>
      <c r="X602" s="218" t="s">
        <v>3652</v>
      </c>
      <c r="Y602" s="212" t="s">
        <v>5169</v>
      </c>
      <c r="Z602" s="209" t="s">
        <v>3664</v>
      </c>
      <c r="AA602" s="219"/>
      <c r="AB602" s="218"/>
      <c r="AC602" s="217" t="e">
        <v>#N/A</v>
      </c>
      <c r="AD602" s="217">
        <v>91026</v>
      </c>
      <c r="AE602" s="217" t="s">
        <v>3127</v>
      </c>
      <c r="AF602" s="217" t="s">
        <v>4784</v>
      </c>
      <c r="AG602" s="217" t="s">
        <v>4309</v>
      </c>
      <c r="AH602" s="220" t="str">
        <f t="shared" si="38"/>
        <v>4590006261_003</v>
      </c>
      <c r="AI602" s="208"/>
      <c r="AJ602" s="220"/>
      <c r="AK602" s="221"/>
      <c r="AL602" s="227"/>
      <c r="AM602" s="208"/>
      <c r="AN602" s="220"/>
      <c r="AO602" s="222"/>
      <c r="AP602" s="227"/>
      <c r="AQ602" s="358">
        <f ca="1">IF(表格1[[#This Row],[PO$]]="","100%",表格1[[#This Row],[total amount]]/表格1[[#This Row],[PO$]])</f>
        <v>0</v>
      </c>
      <c r="AR602" s="223">
        <f ca="1">表格1[[#This Row],[invoice amount]]+表格1[[#This Row],[invoice amount2]]</f>
        <v>0</v>
      </c>
      <c r="AS602" s="224"/>
      <c r="AT602" s="208"/>
      <c r="AU602" s="208" t="e">
        <f ca="1">VLOOKUP(表格1[[#This Row],[PO+ITEM]],#REF!,2,FALSE)</f>
        <v>#REF!</v>
      </c>
      <c r="AV602" s="341" t="e">
        <f ca="1">VLOOKUP(表格1[[#This Row],[PO+ITEM]],#REF!,3,FALSE)</f>
        <v>#REF!</v>
      </c>
      <c r="AW602" s="208" t="e">
        <f ca="1">VLOOKUP(表格1[[#This Row],[PO+ITEM]],#REF!,4,FALSE)</f>
        <v>#REF!</v>
      </c>
      <c r="AX602" s="208" t="e" cm="1" vm="1">
        <f t="array" aca="1" ref="AX602" ca="1">VLOOKUP(AI:AI,#REF!,1,FALSE)</f>
        <v>#VALUE!</v>
      </c>
    </row>
    <row r="603" spans="1:50">
      <c r="A603" s="220">
        <v>602</v>
      </c>
      <c r="B603" s="220" t="s">
        <v>3659</v>
      </c>
      <c r="C603" s="209" t="s">
        <v>16</v>
      </c>
      <c r="D603" s="209" t="s">
        <v>3648</v>
      </c>
      <c r="E603" s="209"/>
      <c r="F603" s="209"/>
      <c r="G603" s="209"/>
      <c r="H603" s="210" t="s">
        <v>5172</v>
      </c>
      <c r="I603" s="210"/>
      <c r="J603" s="211"/>
      <c r="K603" s="210"/>
      <c r="L603" s="212" t="s">
        <v>4269</v>
      </c>
      <c r="M603" s="212" t="s">
        <v>2999</v>
      </c>
      <c r="N603" s="213"/>
      <c r="O603" s="263">
        <v>4590006261</v>
      </c>
      <c r="P603" s="214">
        <v>44836</v>
      </c>
      <c r="Q603" s="334">
        <v>4</v>
      </c>
      <c r="R603" s="216">
        <v>1835.98</v>
      </c>
      <c r="S603" s="217" t="s">
        <v>2156</v>
      </c>
      <c r="T603" s="209" t="s">
        <v>4021</v>
      </c>
      <c r="U603" s="209" t="s">
        <v>4022</v>
      </c>
      <c r="V603" s="213" t="s">
        <v>4023</v>
      </c>
      <c r="W603" s="218" t="s">
        <v>3652</v>
      </c>
      <c r="X603" s="218" t="s">
        <v>3652</v>
      </c>
      <c r="Y603" s="212" t="s">
        <v>5169</v>
      </c>
      <c r="Z603" s="209" t="s">
        <v>3664</v>
      </c>
      <c r="AA603" s="219"/>
      <c r="AB603" s="218"/>
      <c r="AC603" s="217" t="e">
        <v>#N/A</v>
      </c>
      <c r="AD603" s="217">
        <v>91027</v>
      </c>
      <c r="AE603" s="217" t="s">
        <v>3128</v>
      </c>
      <c r="AF603" s="217" t="s">
        <v>4784</v>
      </c>
      <c r="AG603" s="217" t="s">
        <v>4309</v>
      </c>
      <c r="AH603" s="220" t="str">
        <f t="shared" si="38"/>
        <v>4590006261_004</v>
      </c>
      <c r="AI603" s="208"/>
      <c r="AJ603" s="220"/>
      <c r="AK603" s="221"/>
      <c r="AL603" s="227"/>
      <c r="AM603" s="208"/>
      <c r="AN603" s="220"/>
      <c r="AO603" s="222"/>
      <c r="AP603" s="227"/>
      <c r="AQ603" s="358">
        <f ca="1">IF(表格1[[#This Row],[PO$]]="","100%",表格1[[#This Row],[total amount]]/表格1[[#This Row],[PO$]])</f>
        <v>0</v>
      </c>
      <c r="AR603" s="223">
        <f ca="1">表格1[[#This Row],[invoice amount]]+表格1[[#This Row],[invoice amount2]]</f>
        <v>0</v>
      </c>
      <c r="AS603" s="224"/>
      <c r="AT603" s="208"/>
      <c r="AU603" s="208" t="e">
        <f ca="1">VLOOKUP(表格1[[#This Row],[PO+ITEM]],#REF!,2,FALSE)</f>
        <v>#REF!</v>
      </c>
      <c r="AV603" s="341" t="e">
        <f ca="1">VLOOKUP(表格1[[#This Row],[PO+ITEM]],#REF!,3,FALSE)</f>
        <v>#REF!</v>
      </c>
      <c r="AW603" s="208" t="e">
        <f ca="1">VLOOKUP(表格1[[#This Row],[PO+ITEM]],#REF!,4,FALSE)</f>
        <v>#REF!</v>
      </c>
      <c r="AX603" s="208" t="e" cm="1" vm="1">
        <f t="array" aca="1" ref="AX603" ca="1">VLOOKUP(AI:AI,#REF!,1,FALSE)</f>
        <v>#VALUE!</v>
      </c>
    </row>
    <row r="604" spans="1:50">
      <c r="A604" s="220">
        <v>603</v>
      </c>
      <c r="B604" s="220" t="s">
        <v>3659</v>
      </c>
      <c r="C604" s="209" t="s">
        <v>16</v>
      </c>
      <c r="D604" s="209" t="s">
        <v>3648</v>
      </c>
      <c r="E604" s="209"/>
      <c r="F604" s="209"/>
      <c r="G604" s="209"/>
      <c r="H604" s="210" t="s">
        <v>5173</v>
      </c>
      <c r="I604" s="210"/>
      <c r="J604" s="211"/>
      <c r="K604" s="210"/>
      <c r="L604" s="212" t="s">
        <v>4269</v>
      </c>
      <c r="M604" s="212" t="s">
        <v>2999</v>
      </c>
      <c r="N604" s="213"/>
      <c r="O604" s="263">
        <v>4590006261</v>
      </c>
      <c r="P604" s="214">
        <v>44836</v>
      </c>
      <c r="Q604" s="334">
        <v>5</v>
      </c>
      <c r="R604" s="216">
        <v>1835.98</v>
      </c>
      <c r="S604" s="217" t="s">
        <v>2156</v>
      </c>
      <c r="T604" s="209" t="s">
        <v>4021</v>
      </c>
      <c r="U604" s="209" t="s">
        <v>4022</v>
      </c>
      <c r="V604" s="213" t="s">
        <v>4023</v>
      </c>
      <c r="W604" s="218" t="s">
        <v>3652</v>
      </c>
      <c r="X604" s="218" t="s">
        <v>3652</v>
      </c>
      <c r="Y604" s="212" t="s">
        <v>5169</v>
      </c>
      <c r="Z604" s="209" t="s">
        <v>3664</v>
      </c>
      <c r="AA604" s="219"/>
      <c r="AB604" s="218"/>
      <c r="AC604" s="217" t="e">
        <v>#N/A</v>
      </c>
      <c r="AD604" s="217">
        <v>91028</v>
      </c>
      <c r="AE604" s="217" t="s">
        <v>3126</v>
      </c>
      <c r="AF604" s="217" t="s">
        <v>4784</v>
      </c>
      <c r="AG604" s="217" t="s">
        <v>4309</v>
      </c>
      <c r="AH604" s="220" t="str">
        <f t="shared" si="38"/>
        <v>4590006261_005</v>
      </c>
      <c r="AI604" s="208"/>
      <c r="AJ604" s="220"/>
      <c r="AK604" s="221"/>
      <c r="AL604" s="227"/>
      <c r="AM604" s="208"/>
      <c r="AN604" s="220"/>
      <c r="AO604" s="222"/>
      <c r="AP604" s="227"/>
      <c r="AQ604" s="358">
        <f ca="1">IF(表格1[[#This Row],[PO$]]="","100%",表格1[[#This Row],[total amount]]/表格1[[#This Row],[PO$]])</f>
        <v>0</v>
      </c>
      <c r="AR604" s="223">
        <f ca="1">表格1[[#This Row],[invoice amount]]+表格1[[#This Row],[invoice amount2]]</f>
        <v>0</v>
      </c>
      <c r="AS604" s="224"/>
      <c r="AT604" s="208"/>
      <c r="AU604" s="208" t="e">
        <f ca="1">VLOOKUP(表格1[[#This Row],[PO+ITEM]],#REF!,2,FALSE)</f>
        <v>#REF!</v>
      </c>
      <c r="AV604" s="341" t="e">
        <f ca="1">VLOOKUP(表格1[[#This Row],[PO+ITEM]],#REF!,3,FALSE)</f>
        <v>#REF!</v>
      </c>
      <c r="AW604" s="208" t="e">
        <f ca="1">VLOOKUP(表格1[[#This Row],[PO+ITEM]],#REF!,4,FALSE)</f>
        <v>#REF!</v>
      </c>
      <c r="AX604" s="208" t="e" cm="1" vm="1">
        <f t="array" aca="1" ref="AX604" ca="1">VLOOKUP(AI:AI,#REF!,1,FALSE)</f>
        <v>#VALUE!</v>
      </c>
    </row>
    <row r="605" spans="1:50">
      <c r="A605" s="220">
        <v>604</v>
      </c>
      <c r="B605" s="220" t="s">
        <v>3659</v>
      </c>
      <c r="C605" s="209" t="s">
        <v>16</v>
      </c>
      <c r="D605" s="209" t="s">
        <v>3648</v>
      </c>
      <c r="E605" s="209"/>
      <c r="F605" s="209"/>
      <c r="G605" s="209"/>
      <c r="H605" s="210" t="s">
        <v>5174</v>
      </c>
      <c r="I605" s="210"/>
      <c r="J605" s="211"/>
      <c r="K605" s="210"/>
      <c r="L605" s="212" t="s">
        <v>4269</v>
      </c>
      <c r="M605" s="212" t="s">
        <v>2999</v>
      </c>
      <c r="N605" s="213"/>
      <c r="O605" s="263">
        <v>4590006261</v>
      </c>
      <c r="P605" s="214">
        <v>44836</v>
      </c>
      <c r="Q605" s="334">
        <v>6</v>
      </c>
      <c r="R605" s="216">
        <v>1835.98</v>
      </c>
      <c r="S605" s="217" t="s">
        <v>2156</v>
      </c>
      <c r="T605" s="209" t="s">
        <v>4021</v>
      </c>
      <c r="U605" s="209" t="s">
        <v>4022</v>
      </c>
      <c r="V605" s="213" t="s">
        <v>4023</v>
      </c>
      <c r="W605" s="218" t="s">
        <v>3652</v>
      </c>
      <c r="X605" s="218" t="s">
        <v>3652</v>
      </c>
      <c r="Y605" s="212" t="s">
        <v>5169</v>
      </c>
      <c r="Z605" s="209" t="s">
        <v>3664</v>
      </c>
      <c r="AA605" s="219"/>
      <c r="AB605" s="218"/>
      <c r="AC605" s="217" t="e">
        <v>#N/A</v>
      </c>
      <c r="AD605" s="217">
        <v>91031</v>
      </c>
      <c r="AE605" s="217" t="s">
        <v>5175</v>
      </c>
      <c r="AF605" s="217" t="s">
        <v>4784</v>
      </c>
      <c r="AG605" s="217" t="s">
        <v>4309</v>
      </c>
      <c r="AH605" s="220" t="str">
        <f t="shared" si="38"/>
        <v>4590006261_006</v>
      </c>
      <c r="AI605" s="208"/>
      <c r="AJ605" s="220"/>
      <c r="AK605" s="221"/>
      <c r="AL605" s="227"/>
      <c r="AM605" s="208"/>
      <c r="AN605" s="220"/>
      <c r="AO605" s="222"/>
      <c r="AP605" s="227"/>
      <c r="AQ605" s="358">
        <f ca="1">IF(表格1[[#This Row],[PO$]]="","100%",表格1[[#This Row],[total amount]]/表格1[[#This Row],[PO$]])</f>
        <v>0</v>
      </c>
      <c r="AR605" s="223">
        <f ca="1">表格1[[#This Row],[invoice amount]]+表格1[[#This Row],[invoice amount2]]</f>
        <v>0</v>
      </c>
      <c r="AS605" s="224"/>
      <c r="AT605" s="208"/>
      <c r="AU605" s="208" t="e">
        <f ca="1">VLOOKUP(表格1[[#This Row],[PO+ITEM]],#REF!,2,FALSE)</f>
        <v>#REF!</v>
      </c>
      <c r="AV605" s="341" t="e">
        <f ca="1">VLOOKUP(表格1[[#This Row],[PO+ITEM]],#REF!,3,FALSE)</f>
        <v>#REF!</v>
      </c>
      <c r="AW605" s="208" t="e">
        <f ca="1">VLOOKUP(表格1[[#This Row],[PO+ITEM]],#REF!,4,FALSE)</f>
        <v>#REF!</v>
      </c>
      <c r="AX605" s="208" t="e" cm="1" vm="1">
        <f t="array" aca="1" ref="AX605" ca="1">VLOOKUP(AI:AI,#REF!,1,FALSE)</f>
        <v>#VALUE!</v>
      </c>
    </row>
    <row r="606" spans="1:50">
      <c r="A606" s="220">
        <v>605</v>
      </c>
      <c r="B606" s="220" t="s">
        <v>3659</v>
      </c>
      <c r="C606" s="209" t="s">
        <v>16</v>
      </c>
      <c r="D606" s="209" t="s">
        <v>3648</v>
      </c>
      <c r="E606" s="209"/>
      <c r="F606" s="209"/>
      <c r="G606" s="209"/>
      <c r="H606" s="210" t="s">
        <v>5176</v>
      </c>
      <c r="I606" s="210"/>
      <c r="J606" s="211"/>
      <c r="K606" s="210"/>
      <c r="L606" s="212" t="s">
        <v>4269</v>
      </c>
      <c r="M606" s="212" t="s">
        <v>2999</v>
      </c>
      <c r="N606" s="213"/>
      <c r="O606" s="263">
        <v>4590006261</v>
      </c>
      <c r="P606" s="214">
        <v>44836</v>
      </c>
      <c r="Q606" s="334">
        <v>7</v>
      </c>
      <c r="R606" s="216">
        <v>1835.98</v>
      </c>
      <c r="S606" s="217" t="s">
        <v>2156</v>
      </c>
      <c r="T606" s="209" t="s">
        <v>4021</v>
      </c>
      <c r="U606" s="209" t="s">
        <v>4022</v>
      </c>
      <c r="V606" s="213" t="s">
        <v>4023</v>
      </c>
      <c r="W606" s="218" t="s">
        <v>3652</v>
      </c>
      <c r="X606" s="218" t="s">
        <v>3652</v>
      </c>
      <c r="Y606" s="212" t="s">
        <v>5169</v>
      </c>
      <c r="Z606" s="209" t="s">
        <v>3664</v>
      </c>
      <c r="AA606" s="219"/>
      <c r="AB606" s="218"/>
      <c r="AC606" s="217" t="e">
        <v>#N/A</v>
      </c>
      <c r="AD606" s="217">
        <v>91032</v>
      </c>
      <c r="AE606" s="217" t="s">
        <v>3124</v>
      </c>
      <c r="AF606" s="217" t="s">
        <v>4784</v>
      </c>
      <c r="AG606" s="217" t="s">
        <v>4309</v>
      </c>
      <c r="AH606" s="220" t="str">
        <f t="shared" si="38"/>
        <v>4590006261_007</v>
      </c>
      <c r="AI606" s="208"/>
      <c r="AJ606" s="220"/>
      <c r="AK606" s="221"/>
      <c r="AL606" s="227"/>
      <c r="AM606" s="208"/>
      <c r="AN606" s="220"/>
      <c r="AO606" s="222"/>
      <c r="AP606" s="227"/>
      <c r="AQ606" s="358">
        <f ca="1">IF(表格1[[#This Row],[PO$]]="","100%",表格1[[#This Row],[total amount]]/表格1[[#This Row],[PO$]])</f>
        <v>0</v>
      </c>
      <c r="AR606" s="223">
        <f ca="1">表格1[[#This Row],[invoice amount]]+表格1[[#This Row],[invoice amount2]]</f>
        <v>0</v>
      </c>
      <c r="AS606" s="224"/>
      <c r="AT606" s="208"/>
      <c r="AU606" s="208" t="e">
        <f ca="1">VLOOKUP(表格1[[#This Row],[PO+ITEM]],#REF!,2,FALSE)</f>
        <v>#REF!</v>
      </c>
      <c r="AV606" s="341" t="e">
        <f ca="1">VLOOKUP(表格1[[#This Row],[PO+ITEM]],#REF!,3,FALSE)</f>
        <v>#REF!</v>
      </c>
      <c r="AW606" s="208" t="e">
        <f ca="1">VLOOKUP(表格1[[#This Row],[PO+ITEM]],#REF!,4,FALSE)</f>
        <v>#REF!</v>
      </c>
      <c r="AX606" s="208" t="e" cm="1" vm="1">
        <f t="array" aca="1" ref="AX606" ca="1">VLOOKUP(AI:AI,#REF!,1,FALSE)</f>
        <v>#VALUE!</v>
      </c>
    </row>
    <row r="607" spans="1:50">
      <c r="A607" s="220">
        <v>606</v>
      </c>
      <c r="B607" s="220" t="s">
        <v>3659</v>
      </c>
      <c r="C607" s="209" t="s">
        <v>16</v>
      </c>
      <c r="D607" s="209" t="s">
        <v>3648</v>
      </c>
      <c r="E607" s="209"/>
      <c r="F607" s="209"/>
      <c r="G607" s="209"/>
      <c r="H607" s="210" t="s">
        <v>5177</v>
      </c>
      <c r="I607" s="210"/>
      <c r="J607" s="211"/>
      <c r="K607" s="210"/>
      <c r="L607" s="212" t="s">
        <v>4269</v>
      </c>
      <c r="M607" s="212" t="s">
        <v>2999</v>
      </c>
      <c r="N607" s="213"/>
      <c r="O607" s="263">
        <v>4590006261</v>
      </c>
      <c r="P607" s="214">
        <v>44836</v>
      </c>
      <c r="Q607" s="334">
        <v>8</v>
      </c>
      <c r="R607" s="216">
        <v>1835.98</v>
      </c>
      <c r="S607" s="217" t="s">
        <v>2156</v>
      </c>
      <c r="T607" s="209" t="s">
        <v>4021</v>
      </c>
      <c r="U607" s="209" t="s">
        <v>4022</v>
      </c>
      <c r="V607" s="213" t="s">
        <v>4023</v>
      </c>
      <c r="W607" s="218" t="s">
        <v>3652</v>
      </c>
      <c r="X607" s="218" t="s">
        <v>3652</v>
      </c>
      <c r="Y607" s="212" t="s">
        <v>5169</v>
      </c>
      <c r="Z607" s="209" t="s">
        <v>3664</v>
      </c>
      <c r="AA607" s="219"/>
      <c r="AB607" s="218"/>
      <c r="AC607" s="217" t="e">
        <v>#N/A</v>
      </c>
      <c r="AD607" s="217">
        <v>91081</v>
      </c>
      <c r="AE607" s="217" t="s">
        <v>3117</v>
      </c>
      <c r="AF607" s="217" t="s">
        <v>4784</v>
      </c>
      <c r="AG607" s="217" t="s">
        <v>4309</v>
      </c>
      <c r="AH607" s="220" t="str">
        <f t="shared" si="38"/>
        <v>4590006261_008</v>
      </c>
      <c r="AI607" s="208"/>
      <c r="AJ607" s="220"/>
      <c r="AK607" s="221"/>
      <c r="AL607" s="227"/>
      <c r="AM607" s="208"/>
      <c r="AN607" s="220"/>
      <c r="AO607" s="222"/>
      <c r="AP607" s="227"/>
      <c r="AQ607" s="358">
        <f ca="1">IF(表格1[[#This Row],[PO$]]="","100%",表格1[[#This Row],[total amount]]/表格1[[#This Row],[PO$]])</f>
        <v>0</v>
      </c>
      <c r="AR607" s="223">
        <f ca="1">表格1[[#This Row],[invoice amount]]+表格1[[#This Row],[invoice amount2]]</f>
        <v>0</v>
      </c>
      <c r="AS607" s="224"/>
      <c r="AT607" s="208"/>
      <c r="AU607" s="208" t="e">
        <f ca="1">VLOOKUP(表格1[[#This Row],[PO+ITEM]],#REF!,2,FALSE)</f>
        <v>#REF!</v>
      </c>
      <c r="AV607" s="341" t="e">
        <f ca="1">VLOOKUP(表格1[[#This Row],[PO+ITEM]],#REF!,3,FALSE)</f>
        <v>#REF!</v>
      </c>
      <c r="AW607" s="208" t="e">
        <f ca="1">VLOOKUP(表格1[[#This Row],[PO+ITEM]],#REF!,4,FALSE)</f>
        <v>#REF!</v>
      </c>
      <c r="AX607" s="208" t="e" cm="1" vm="1">
        <f t="array" aca="1" ref="AX607" ca="1">VLOOKUP(AI:AI,#REF!,1,FALSE)</f>
        <v>#VALUE!</v>
      </c>
    </row>
    <row r="608" spans="1:50">
      <c r="A608" s="220">
        <v>607</v>
      </c>
      <c r="B608" s="220" t="s">
        <v>3659</v>
      </c>
      <c r="C608" s="209" t="s">
        <v>16</v>
      </c>
      <c r="D608" s="209" t="s">
        <v>3648</v>
      </c>
      <c r="E608" s="209"/>
      <c r="F608" s="209"/>
      <c r="G608" s="209"/>
      <c r="H608" s="210" t="s">
        <v>5178</v>
      </c>
      <c r="I608" s="210"/>
      <c r="J608" s="211"/>
      <c r="K608" s="210"/>
      <c r="L608" s="212" t="s">
        <v>4269</v>
      </c>
      <c r="M608" s="212" t="s">
        <v>2999</v>
      </c>
      <c r="N608" s="213"/>
      <c r="O608" s="263">
        <v>4590006261</v>
      </c>
      <c r="P608" s="214">
        <v>44836</v>
      </c>
      <c r="Q608" s="334">
        <v>9</v>
      </c>
      <c r="R608" s="216">
        <v>1835.98</v>
      </c>
      <c r="S608" s="217" t="s">
        <v>2156</v>
      </c>
      <c r="T608" s="209" t="s">
        <v>4021</v>
      </c>
      <c r="U608" s="209" t="s">
        <v>4022</v>
      </c>
      <c r="V608" s="213" t="s">
        <v>4023</v>
      </c>
      <c r="W608" s="218" t="s">
        <v>3652</v>
      </c>
      <c r="X608" s="218" t="s">
        <v>3652</v>
      </c>
      <c r="Y608" s="212" t="s">
        <v>5169</v>
      </c>
      <c r="Z608" s="209" t="s">
        <v>3664</v>
      </c>
      <c r="AA608" s="219"/>
      <c r="AB608" s="218"/>
      <c r="AC608" s="217" t="e">
        <v>#N/A</v>
      </c>
      <c r="AD608" s="217">
        <v>91086</v>
      </c>
      <c r="AE608" s="217" t="s">
        <v>3122</v>
      </c>
      <c r="AF608" s="217" t="s">
        <v>4784</v>
      </c>
      <c r="AG608" s="217" t="s">
        <v>4309</v>
      </c>
      <c r="AH608" s="220" t="str">
        <f t="shared" si="38"/>
        <v>4590006261_009</v>
      </c>
      <c r="AI608" s="208"/>
      <c r="AJ608" s="220"/>
      <c r="AK608" s="221"/>
      <c r="AL608" s="227"/>
      <c r="AM608" s="208"/>
      <c r="AN608" s="220"/>
      <c r="AO608" s="222"/>
      <c r="AP608" s="227"/>
      <c r="AQ608" s="358">
        <f ca="1">IF(表格1[[#This Row],[PO$]]="","100%",表格1[[#This Row],[total amount]]/表格1[[#This Row],[PO$]])</f>
        <v>0</v>
      </c>
      <c r="AR608" s="223">
        <f ca="1">表格1[[#This Row],[invoice amount]]+表格1[[#This Row],[invoice amount2]]</f>
        <v>0</v>
      </c>
      <c r="AS608" s="224"/>
      <c r="AT608" s="208"/>
      <c r="AU608" s="208" t="e">
        <f ca="1">VLOOKUP(表格1[[#This Row],[PO+ITEM]],#REF!,2,FALSE)</f>
        <v>#REF!</v>
      </c>
      <c r="AV608" s="341" t="e">
        <f ca="1">VLOOKUP(表格1[[#This Row],[PO+ITEM]],#REF!,3,FALSE)</f>
        <v>#REF!</v>
      </c>
      <c r="AW608" s="208" t="e">
        <f ca="1">VLOOKUP(表格1[[#This Row],[PO+ITEM]],#REF!,4,FALSE)</f>
        <v>#REF!</v>
      </c>
      <c r="AX608" s="208" t="e" cm="1" vm="1">
        <f t="array" aca="1" ref="AX608" ca="1">VLOOKUP(AI:AI,#REF!,1,FALSE)</f>
        <v>#VALUE!</v>
      </c>
    </row>
    <row r="609" spans="1:50">
      <c r="A609" s="220">
        <v>608</v>
      </c>
      <c r="B609" s="220" t="s">
        <v>3659</v>
      </c>
      <c r="C609" s="209" t="s">
        <v>16</v>
      </c>
      <c r="D609" s="209" t="s">
        <v>3648</v>
      </c>
      <c r="E609" s="209"/>
      <c r="F609" s="209"/>
      <c r="G609" s="209"/>
      <c r="H609" s="210" t="s">
        <v>5179</v>
      </c>
      <c r="I609" s="210"/>
      <c r="J609" s="211"/>
      <c r="K609" s="210"/>
      <c r="L609" s="212" t="s">
        <v>4269</v>
      </c>
      <c r="M609" s="212" t="s">
        <v>2999</v>
      </c>
      <c r="N609" s="213"/>
      <c r="O609" s="263">
        <v>4590006261</v>
      </c>
      <c r="P609" s="214">
        <v>44836</v>
      </c>
      <c r="Q609" s="334">
        <v>10</v>
      </c>
      <c r="R609" s="216">
        <v>1835.98</v>
      </c>
      <c r="S609" s="217" t="s">
        <v>2156</v>
      </c>
      <c r="T609" s="209" t="s">
        <v>4021</v>
      </c>
      <c r="U609" s="209" t="s">
        <v>4022</v>
      </c>
      <c r="V609" s="213" t="s">
        <v>4023</v>
      </c>
      <c r="W609" s="218" t="s">
        <v>3652</v>
      </c>
      <c r="X609" s="218" t="s">
        <v>3652</v>
      </c>
      <c r="Y609" s="212" t="s">
        <v>5169</v>
      </c>
      <c r="Z609" s="209" t="s">
        <v>3664</v>
      </c>
      <c r="AA609" s="219"/>
      <c r="AB609" s="218"/>
      <c r="AC609" s="217" t="e">
        <v>#N/A</v>
      </c>
      <c r="AD609" s="217">
        <v>91087</v>
      </c>
      <c r="AE609" s="217" t="s">
        <v>3123</v>
      </c>
      <c r="AF609" s="217" t="s">
        <v>4784</v>
      </c>
      <c r="AG609" s="217" t="s">
        <v>4309</v>
      </c>
      <c r="AH609" s="220" t="str">
        <f t="shared" ref="AH609:AH622" si="39">O609&amp;"_0"&amp;Q609</f>
        <v>4590006261_010</v>
      </c>
      <c r="AI609" s="208"/>
      <c r="AJ609" s="220"/>
      <c r="AK609" s="221"/>
      <c r="AL609" s="227"/>
      <c r="AM609" s="208"/>
      <c r="AN609" s="220"/>
      <c r="AO609" s="222"/>
      <c r="AP609" s="227"/>
      <c r="AQ609" s="358">
        <f ca="1">IF(表格1[[#This Row],[PO$]]="","100%",表格1[[#This Row],[total amount]]/表格1[[#This Row],[PO$]])</f>
        <v>0</v>
      </c>
      <c r="AR609" s="223">
        <f ca="1">表格1[[#This Row],[invoice amount]]+表格1[[#This Row],[invoice amount2]]</f>
        <v>0</v>
      </c>
      <c r="AS609" s="224"/>
      <c r="AT609" s="208"/>
      <c r="AU609" s="208" t="e">
        <f ca="1">VLOOKUP(表格1[[#This Row],[PO+ITEM]],#REF!,2,FALSE)</f>
        <v>#REF!</v>
      </c>
      <c r="AV609" s="341" t="e">
        <f ca="1">VLOOKUP(表格1[[#This Row],[PO+ITEM]],#REF!,3,FALSE)</f>
        <v>#REF!</v>
      </c>
      <c r="AW609" s="208" t="e">
        <f ca="1">VLOOKUP(表格1[[#This Row],[PO+ITEM]],#REF!,4,FALSE)</f>
        <v>#REF!</v>
      </c>
      <c r="AX609" s="208" t="e" cm="1" vm="1">
        <f t="array" aca="1" ref="AX609" ca="1">VLOOKUP(AI:AI,#REF!,1,FALSE)</f>
        <v>#VALUE!</v>
      </c>
    </row>
    <row r="610" spans="1:50">
      <c r="A610" s="220">
        <v>609</v>
      </c>
      <c r="B610" s="220" t="s">
        <v>3659</v>
      </c>
      <c r="C610" s="209" t="s">
        <v>16</v>
      </c>
      <c r="D610" s="209" t="s">
        <v>3648</v>
      </c>
      <c r="E610" s="209"/>
      <c r="F610" s="209"/>
      <c r="G610" s="209"/>
      <c r="H610" s="210" t="s">
        <v>5180</v>
      </c>
      <c r="I610" s="210"/>
      <c r="J610" s="211"/>
      <c r="K610" s="210"/>
      <c r="L610" s="212" t="s">
        <v>4269</v>
      </c>
      <c r="M610" s="212" t="s">
        <v>2999</v>
      </c>
      <c r="N610" s="213"/>
      <c r="O610" s="263">
        <v>4590006261</v>
      </c>
      <c r="P610" s="214">
        <v>44836</v>
      </c>
      <c r="Q610" s="334">
        <v>11</v>
      </c>
      <c r="R610" s="216">
        <v>1835.98</v>
      </c>
      <c r="S610" s="217" t="s">
        <v>2156</v>
      </c>
      <c r="T610" s="209" t="s">
        <v>4021</v>
      </c>
      <c r="U610" s="209" t="s">
        <v>4022</v>
      </c>
      <c r="V610" s="213" t="s">
        <v>4023</v>
      </c>
      <c r="W610" s="218" t="s">
        <v>3652</v>
      </c>
      <c r="X610" s="218" t="s">
        <v>3652</v>
      </c>
      <c r="Y610" s="212" t="s">
        <v>5169</v>
      </c>
      <c r="Z610" s="209" t="s">
        <v>3664</v>
      </c>
      <c r="AA610" s="219"/>
      <c r="AB610" s="218"/>
      <c r="AC610" s="217" t="e">
        <v>#N/A</v>
      </c>
      <c r="AD610" s="217">
        <v>91088</v>
      </c>
      <c r="AE610" s="217" t="s">
        <v>3112</v>
      </c>
      <c r="AF610" s="217" t="s">
        <v>4784</v>
      </c>
      <c r="AG610" s="217" t="s">
        <v>4309</v>
      </c>
      <c r="AH610" s="220" t="str">
        <f t="shared" si="39"/>
        <v>4590006261_011</v>
      </c>
      <c r="AI610" s="208"/>
      <c r="AJ610" s="220"/>
      <c r="AK610" s="221"/>
      <c r="AL610" s="227"/>
      <c r="AM610" s="208"/>
      <c r="AN610" s="220"/>
      <c r="AO610" s="222"/>
      <c r="AP610" s="227"/>
      <c r="AQ610" s="358">
        <f ca="1">IF(表格1[[#This Row],[PO$]]="","100%",表格1[[#This Row],[total amount]]/表格1[[#This Row],[PO$]])</f>
        <v>0</v>
      </c>
      <c r="AR610" s="223">
        <f ca="1">表格1[[#This Row],[invoice amount]]+表格1[[#This Row],[invoice amount2]]</f>
        <v>0</v>
      </c>
      <c r="AS610" s="224"/>
      <c r="AT610" s="208"/>
      <c r="AU610" s="208" t="e">
        <f ca="1">VLOOKUP(表格1[[#This Row],[PO+ITEM]],#REF!,2,FALSE)</f>
        <v>#REF!</v>
      </c>
      <c r="AV610" s="341" t="e">
        <f ca="1">VLOOKUP(表格1[[#This Row],[PO+ITEM]],#REF!,3,FALSE)</f>
        <v>#REF!</v>
      </c>
      <c r="AW610" s="208" t="e">
        <f ca="1">VLOOKUP(表格1[[#This Row],[PO+ITEM]],#REF!,4,FALSE)</f>
        <v>#REF!</v>
      </c>
      <c r="AX610" s="208" t="e" cm="1" vm="1">
        <f t="array" aca="1" ref="AX610" ca="1">VLOOKUP(AI:AI,#REF!,1,FALSE)</f>
        <v>#VALUE!</v>
      </c>
    </row>
    <row r="611" spans="1:50" ht="15.6">
      <c r="A611" s="220">
        <v>610</v>
      </c>
      <c r="B611" s="220" t="s">
        <v>3659</v>
      </c>
      <c r="C611" s="209" t="s">
        <v>16</v>
      </c>
      <c r="D611" s="209" t="s">
        <v>3648</v>
      </c>
      <c r="E611" s="209"/>
      <c r="F611" s="209"/>
      <c r="G611" s="209"/>
      <c r="H611" s="210" t="s">
        <v>5181</v>
      </c>
      <c r="I611" s="210"/>
      <c r="J611" s="211"/>
      <c r="K611" s="210"/>
      <c r="L611" s="212" t="s">
        <v>2206</v>
      </c>
      <c r="M611" s="212" t="s">
        <v>2999</v>
      </c>
      <c r="N611" s="213"/>
      <c r="O611" s="263">
        <v>4590006261</v>
      </c>
      <c r="P611" s="214">
        <v>44836</v>
      </c>
      <c r="Q611" s="334">
        <v>12</v>
      </c>
      <c r="R611" s="216">
        <v>12141.96</v>
      </c>
      <c r="S611" s="217" t="s">
        <v>2156</v>
      </c>
      <c r="T611" s="209" t="s">
        <v>4021</v>
      </c>
      <c r="U611" s="209" t="s">
        <v>4022</v>
      </c>
      <c r="V611" s="213" t="s">
        <v>4023</v>
      </c>
      <c r="W611" s="218" t="s">
        <v>3652</v>
      </c>
      <c r="X611" s="218" t="s">
        <v>3652</v>
      </c>
      <c r="Y611" s="212" t="s">
        <v>5169</v>
      </c>
      <c r="Z611" s="209" t="s">
        <v>3664</v>
      </c>
      <c r="AA611" s="219"/>
      <c r="AB611" s="218"/>
      <c r="AC611" s="217" t="e">
        <v>#N/A</v>
      </c>
      <c r="AD611" s="217">
        <v>91150</v>
      </c>
      <c r="AE611" s="217" t="s">
        <v>5182</v>
      </c>
      <c r="AF611" s="217" t="s">
        <v>4784</v>
      </c>
      <c r="AG611" s="217" t="s">
        <v>846</v>
      </c>
      <c r="AH611" s="220" t="str">
        <f t="shared" si="39"/>
        <v>4590006261_012</v>
      </c>
      <c r="AI611" s="208"/>
      <c r="AJ611" s="225">
        <v>45108</v>
      </c>
      <c r="AK611" s="221">
        <v>4856.7839999999997</v>
      </c>
      <c r="AL611" s="226">
        <v>45168</v>
      </c>
      <c r="AM611" s="208"/>
      <c r="AN611" s="220"/>
      <c r="AO611" s="222"/>
      <c r="AP611" s="227"/>
      <c r="AQ611" s="358">
        <f ca="1">IF(表格1[[#This Row],[PO$]]="","100%",表格1[[#This Row],[total amount]]/表格1[[#This Row],[PO$]])</f>
        <v>0.4</v>
      </c>
      <c r="AR611" s="223">
        <f ca="1">表格1[[#This Row],[invoice amount]]+表格1[[#This Row],[invoice amount2]]</f>
        <v>4856.7839999999997</v>
      </c>
      <c r="AS611" s="224" t="s">
        <v>3673</v>
      </c>
      <c r="AT611" s="208"/>
      <c r="AU611" s="208" t="e">
        <f ca="1">VLOOKUP(表格1[[#This Row],[PO+ITEM]],#REF!,2,FALSE)</f>
        <v>#REF!</v>
      </c>
      <c r="AV611" s="341" t="e">
        <f ca="1">VLOOKUP(表格1[[#This Row],[PO+ITEM]],#REF!,3,FALSE)</f>
        <v>#REF!</v>
      </c>
      <c r="AW611" s="208" t="e">
        <f ca="1">VLOOKUP(表格1[[#This Row],[PO+ITEM]],#REF!,4,FALSE)</f>
        <v>#REF!</v>
      </c>
      <c r="AX611" s="208" t="e" cm="1" vm="1">
        <f t="array" aca="1" ref="AX611" ca="1">VLOOKUP(AI:AI,#REF!,1,FALSE)</f>
        <v>#VALUE!</v>
      </c>
    </row>
    <row r="612" spans="1:50" ht="15.6">
      <c r="A612" s="220">
        <v>611</v>
      </c>
      <c r="B612" s="220" t="s">
        <v>3659</v>
      </c>
      <c r="C612" s="209" t="s">
        <v>16</v>
      </c>
      <c r="D612" s="209" t="s">
        <v>3648</v>
      </c>
      <c r="E612" s="209"/>
      <c r="F612" s="209"/>
      <c r="G612" s="209"/>
      <c r="H612" s="217" t="s">
        <v>5183</v>
      </c>
      <c r="I612" s="217"/>
      <c r="J612" s="215"/>
      <c r="K612" s="217"/>
      <c r="L612" s="212" t="s">
        <v>2206</v>
      </c>
      <c r="M612" s="212" t="s">
        <v>2999</v>
      </c>
      <c r="N612" s="213"/>
      <c r="O612" s="263">
        <v>4590006261</v>
      </c>
      <c r="P612" s="214">
        <v>44836</v>
      </c>
      <c r="Q612" s="334">
        <v>13</v>
      </c>
      <c r="R612" s="216">
        <v>12141.96</v>
      </c>
      <c r="S612" s="217" t="s">
        <v>2156</v>
      </c>
      <c r="T612" s="209" t="s">
        <v>4021</v>
      </c>
      <c r="U612" s="209" t="s">
        <v>4022</v>
      </c>
      <c r="V612" s="213" t="s">
        <v>4023</v>
      </c>
      <c r="W612" s="218" t="s">
        <v>3652</v>
      </c>
      <c r="X612" s="218" t="s">
        <v>3652</v>
      </c>
      <c r="Y612" s="212" t="s">
        <v>5169</v>
      </c>
      <c r="Z612" s="209" t="s">
        <v>3664</v>
      </c>
      <c r="AA612" s="219"/>
      <c r="AB612" s="218"/>
      <c r="AC612" s="217" t="e">
        <v>#N/A</v>
      </c>
      <c r="AD612" s="217">
        <v>91152</v>
      </c>
      <c r="AE612" s="217" t="s">
        <v>5184</v>
      </c>
      <c r="AF612" s="217" t="s">
        <v>4784</v>
      </c>
      <c r="AG612" s="217" t="s">
        <v>846</v>
      </c>
      <c r="AH612" s="220" t="str">
        <f t="shared" si="39"/>
        <v>4590006261_013</v>
      </c>
      <c r="AI612" s="208"/>
      <c r="AJ612" s="225">
        <v>45108</v>
      </c>
      <c r="AK612" s="221">
        <v>4856.7839999999997</v>
      </c>
      <c r="AL612" s="226">
        <v>45168</v>
      </c>
      <c r="AM612" s="208"/>
      <c r="AN612" s="220"/>
      <c r="AO612" s="222"/>
      <c r="AP612" s="227"/>
      <c r="AQ612" s="358">
        <f ca="1">IF(表格1[[#This Row],[PO$]]="","100%",表格1[[#This Row],[total amount]]/表格1[[#This Row],[PO$]])</f>
        <v>0.4</v>
      </c>
      <c r="AR612" s="223">
        <f ca="1">表格1[[#This Row],[invoice amount]]+表格1[[#This Row],[invoice amount2]]</f>
        <v>4856.7839999999997</v>
      </c>
      <c r="AS612" s="224" t="s">
        <v>3673</v>
      </c>
      <c r="AT612" s="208"/>
      <c r="AU612" s="208" t="e">
        <f ca="1">VLOOKUP(表格1[[#This Row],[PO+ITEM]],#REF!,2,FALSE)</f>
        <v>#REF!</v>
      </c>
      <c r="AV612" s="341" t="e">
        <f ca="1">VLOOKUP(表格1[[#This Row],[PO+ITEM]],#REF!,3,FALSE)</f>
        <v>#REF!</v>
      </c>
      <c r="AW612" s="208" t="e">
        <f ca="1">VLOOKUP(表格1[[#This Row],[PO+ITEM]],#REF!,4,FALSE)</f>
        <v>#REF!</v>
      </c>
      <c r="AX612" s="208" t="e" cm="1" vm="1">
        <f t="array" aca="1" ref="AX612" ca="1">VLOOKUP(AI:AI,#REF!,1,FALSE)</f>
        <v>#VALUE!</v>
      </c>
    </row>
    <row r="613" spans="1:50" s="230" customFormat="1">
      <c r="A613" s="239">
        <v>612</v>
      </c>
      <c r="B613" s="220" t="e">
        <v>#N/A</v>
      </c>
      <c r="C613" s="231" t="s">
        <v>16</v>
      </c>
      <c r="D613" s="231" t="s">
        <v>3648</v>
      </c>
      <c r="E613" s="231"/>
      <c r="F613" s="231"/>
      <c r="G613" s="231"/>
      <c r="H613" s="270" t="s">
        <v>5185</v>
      </c>
      <c r="I613" s="270"/>
      <c r="J613" s="271"/>
      <c r="K613" s="270"/>
      <c r="L613" s="234" t="s">
        <v>4269</v>
      </c>
      <c r="M613" s="234" t="s">
        <v>2999</v>
      </c>
      <c r="N613" s="235"/>
      <c r="O613" s="268">
        <v>4590006261</v>
      </c>
      <c r="P613" s="236">
        <v>44836</v>
      </c>
      <c r="Q613" s="336">
        <v>14</v>
      </c>
      <c r="R613" s="237"/>
      <c r="S613" s="232" t="s">
        <v>2156</v>
      </c>
      <c r="T613" s="231" t="s">
        <v>4021</v>
      </c>
      <c r="U613" s="231" t="s">
        <v>4022</v>
      </c>
      <c r="V613" s="235" t="s">
        <v>4023</v>
      </c>
      <c r="W613" s="238" t="s">
        <v>3652</v>
      </c>
      <c r="X613" s="238" t="s">
        <v>3652</v>
      </c>
      <c r="Y613" s="234" t="s">
        <v>5169</v>
      </c>
      <c r="Z613" s="231" t="s">
        <v>3664</v>
      </c>
      <c r="AA613" s="269"/>
      <c r="AB613" s="238"/>
      <c r="AC613" s="232" t="e">
        <v>#N/A</v>
      </c>
      <c r="AD613" s="232">
        <v>91291</v>
      </c>
      <c r="AE613" s="232" t="s">
        <v>3116</v>
      </c>
      <c r="AF613" s="232" t="s">
        <v>4784</v>
      </c>
      <c r="AG613" s="232" t="s">
        <v>4309</v>
      </c>
      <c r="AH613" s="239" t="str">
        <f t="shared" si="39"/>
        <v>4590006261_014</v>
      </c>
      <c r="AJ613" s="239"/>
      <c r="AK613" s="240"/>
      <c r="AL613" s="302"/>
      <c r="AN613" s="239"/>
      <c r="AO613" s="241"/>
      <c r="AP613" s="302"/>
      <c r="AQ613" s="358" t="str">
        <f ca="1">IF(表格1[[#This Row],[PO$]]="","100%",表格1[[#This Row],[total amount]]/表格1[[#This Row],[PO$]])</f>
        <v>100%</v>
      </c>
      <c r="AR613" s="242"/>
      <c r="AS613" s="243"/>
      <c r="AT613" s="208"/>
      <c r="AU613" s="208" t="e">
        <f ca="1">VLOOKUP(表格1[[#This Row],[PO+ITEM]],#REF!,2,FALSE)</f>
        <v>#REF!</v>
      </c>
      <c r="AV613" s="341" t="e">
        <f ca="1">VLOOKUP(表格1[[#This Row],[PO+ITEM]],#REF!,3,FALSE)</f>
        <v>#REF!</v>
      </c>
      <c r="AW613" s="208" t="e">
        <f ca="1">VLOOKUP(表格1[[#This Row],[PO+ITEM]],#REF!,4,FALSE)</f>
        <v>#REF!</v>
      </c>
      <c r="AX613" s="208" t="e" cm="1" vm="1">
        <f t="array" aca="1" ref="AX613" ca="1">VLOOKUP(AI:AI,#REF!,1,FALSE)</f>
        <v>#VALUE!</v>
      </c>
    </row>
    <row r="614" spans="1:50">
      <c r="A614" s="220">
        <v>613</v>
      </c>
      <c r="B614" s="220" t="s">
        <v>3659</v>
      </c>
      <c r="C614" s="209" t="s">
        <v>16</v>
      </c>
      <c r="D614" s="209" t="s">
        <v>3648</v>
      </c>
      <c r="E614" s="209"/>
      <c r="F614" s="209"/>
      <c r="G614" s="209"/>
      <c r="H614" s="210" t="s">
        <v>5186</v>
      </c>
      <c r="I614" s="210"/>
      <c r="J614" s="211"/>
      <c r="K614" s="210"/>
      <c r="L614" s="212" t="s">
        <v>4269</v>
      </c>
      <c r="M614" s="212" t="s">
        <v>2999</v>
      </c>
      <c r="N614" s="213"/>
      <c r="O614" s="263">
        <v>4590006261</v>
      </c>
      <c r="P614" s="214">
        <v>44836</v>
      </c>
      <c r="Q614" s="334">
        <v>15</v>
      </c>
      <c r="R614" s="216">
        <v>1835.98</v>
      </c>
      <c r="S614" s="217" t="s">
        <v>2156</v>
      </c>
      <c r="T614" s="209" t="s">
        <v>4021</v>
      </c>
      <c r="U614" s="209" t="s">
        <v>4022</v>
      </c>
      <c r="V614" s="213" t="s">
        <v>4023</v>
      </c>
      <c r="W614" s="218" t="s">
        <v>3652</v>
      </c>
      <c r="X614" s="218" t="s">
        <v>3652</v>
      </c>
      <c r="Y614" s="212" t="s">
        <v>5169</v>
      </c>
      <c r="Z614" s="209" t="s">
        <v>3664</v>
      </c>
      <c r="AA614" s="219"/>
      <c r="AB614" s="218"/>
      <c r="AC614" s="217" t="e">
        <v>#N/A</v>
      </c>
      <c r="AD614" s="217">
        <v>91292</v>
      </c>
      <c r="AE614" s="217" t="s">
        <v>3115</v>
      </c>
      <c r="AF614" s="217" t="s">
        <v>4784</v>
      </c>
      <c r="AG614" s="217" t="s">
        <v>4309</v>
      </c>
      <c r="AH614" s="220" t="str">
        <f t="shared" si="39"/>
        <v>4590006261_015</v>
      </c>
      <c r="AI614" s="208"/>
      <c r="AJ614" s="220"/>
      <c r="AK614" s="221"/>
      <c r="AL614" s="227"/>
      <c r="AM614" s="208"/>
      <c r="AN614" s="220"/>
      <c r="AO614" s="222"/>
      <c r="AP614" s="227"/>
      <c r="AQ614" s="358">
        <f ca="1">IF(表格1[[#This Row],[PO$]]="","100%",表格1[[#This Row],[total amount]]/表格1[[#This Row],[PO$]])</f>
        <v>0</v>
      </c>
      <c r="AR614" s="223">
        <f ca="1">表格1[[#This Row],[invoice amount]]+表格1[[#This Row],[invoice amount2]]</f>
        <v>0</v>
      </c>
      <c r="AS614" s="224"/>
      <c r="AT614" s="208"/>
      <c r="AU614" s="208" t="e">
        <f ca="1">VLOOKUP(表格1[[#This Row],[PO+ITEM]],#REF!,2,FALSE)</f>
        <v>#REF!</v>
      </c>
      <c r="AV614" s="341" t="e">
        <f ca="1">VLOOKUP(表格1[[#This Row],[PO+ITEM]],#REF!,3,FALSE)</f>
        <v>#REF!</v>
      </c>
      <c r="AW614" s="208" t="e">
        <f ca="1">VLOOKUP(表格1[[#This Row],[PO+ITEM]],#REF!,4,FALSE)</f>
        <v>#REF!</v>
      </c>
      <c r="AX614" s="208" t="e" cm="1" vm="1">
        <f t="array" aca="1" ref="AX614" ca="1">VLOOKUP(AI:AI,#REF!,1,FALSE)</f>
        <v>#VALUE!</v>
      </c>
    </row>
    <row r="615" spans="1:50">
      <c r="A615" s="220">
        <v>614</v>
      </c>
      <c r="B615" s="220" t="s">
        <v>3659</v>
      </c>
      <c r="C615" s="209" t="s">
        <v>16</v>
      </c>
      <c r="D615" s="209" t="s">
        <v>3648</v>
      </c>
      <c r="E615" s="209"/>
      <c r="F615" s="209"/>
      <c r="G615" s="209"/>
      <c r="H615" s="217" t="s">
        <v>5187</v>
      </c>
      <c r="I615" s="217"/>
      <c r="J615" s="215"/>
      <c r="K615" s="217"/>
      <c r="L615" s="212" t="s">
        <v>4269</v>
      </c>
      <c r="M615" s="212" t="s">
        <v>2999</v>
      </c>
      <c r="N615" s="213"/>
      <c r="O615" s="263">
        <v>4590006261</v>
      </c>
      <c r="P615" s="214">
        <v>44836</v>
      </c>
      <c r="Q615" s="334">
        <v>16</v>
      </c>
      <c r="R615" s="216">
        <v>1835.98</v>
      </c>
      <c r="S615" s="217" t="s">
        <v>2156</v>
      </c>
      <c r="T615" s="209" t="s">
        <v>4021</v>
      </c>
      <c r="U615" s="209" t="s">
        <v>4022</v>
      </c>
      <c r="V615" s="213" t="s">
        <v>4023</v>
      </c>
      <c r="W615" s="218" t="s">
        <v>3652</v>
      </c>
      <c r="X615" s="218" t="s">
        <v>3652</v>
      </c>
      <c r="Y615" s="212" t="s">
        <v>5169</v>
      </c>
      <c r="Z615" s="209" t="s">
        <v>3664</v>
      </c>
      <c r="AA615" s="219"/>
      <c r="AB615" s="218"/>
      <c r="AC615" s="217" t="e">
        <v>#N/A</v>
      </c>
      <c r="AD615" s="217">
        <v>91293</v>
      </c>
      <c r="AE615" s="217" t="s">
        <v>3114</v>
      </c>
      <c r="AF615" s="217" t="s">
        <v>4784</v>
      </c>
      <c r="AG615" s="217" t="s">
        <v>4309</v>
      </c>
      <c r="AH615" s="220" t="str">
        <f t="shared" si="39"/>
        <v>4590006261_016</v>
      </c>
      <c r="AI615" s="208"/>
      <c r="AJ615" s="220"/>
      <c r="AK615" s="221"/>
      <c r="AL615" s="227"/>
      <c r="AM615" s="208"/>
      <c r="AN615" s="220"/>
      <c r="AO615" s="222"/>
      <c r="AP615" s="227"/>
      <c r="AQ615" s="358">
        <f ca="1">IF(表格1[[#This Row],[PO$]]="","100%",表格1[[#This Row],[total amount]]/表格1[[#This Row],[PO$]])</f>
        <v>0</v>
      </c>
      <c r="AR615" s="223">
        <f ca="1">表格1[[#This Row],[invoice amount]]+表格1[[#This Row],[invoice amount2]]</f>
        <v>0</v>
      </c>
      <c r="AS615" s="224"/>
      <c r="AT615" s="208"/>
      <c r="AU615" s="208" t="e">
        <f ca="1">VLOOKUP(表格1[[#This Row],[PO+ITEM]],#REF!,2,FALSE)</f>
        <v>#REF!</v>
      </c>
      <c r="AV615" s="341" t="e">
        <f ca="1">VLOOKUP(表格1[[#This Row],[PO+ITEM]],#REF!,3,FALSE)</f>
        <v>#REF!</v>
      </c>
      <c r="AW615" s="208" t="e">
        <f ca="1">VLOOKUP(表格1[[#This Row],[PO+ITEM]],#REF!,4,FALSE)</f>
        <v>#REF!</v>
      </c>
      <c r="AX615" s="208" t="e" cm="1" vm="1">
        <f t="array" aca="1" ref="AX615" ca="1">VLOOKUP(AI:AI,#REF!,1,FALSE)</f>
        <v>#VALUE!</v>
      </c>
    </row>
    <row r="616" spans="1:50" ht="15.6">
      <c r="A616" s="220">
        <v>615</v>
      </c>
      <c r="B616" s="220" t="s">
        <v>3659</v>
      </c>
      <c r="C616" s="209" t="s">
        <v>16</v>
      </c>
      <c r="D616" s="209" t="s">
        <v>3648</v>
      </c>
      <c r="E616" s="209"/>
      <c r="F616" s="209"/>
      <c r="G616" s="209"/>
      <c r="H616" s="210" t="s">
        <v>5188</v>
      </c>
      <c r="I616" s="210"/>
      <c r="J616" s="211"/>
      <c r="K616" s="210"/>
      <c r="L616" s="212" t="s">
        <v>2206</v>
      </c>
      <c r="M616" s="212" t="s">
        <v>2999</v>
      </c>
      <c r="N616" s="213"/>
      <c r="O616" s="263">
        <v>4590006261</v>
      </c>
      <c r="P616" s="214">
        <v>44836</v>
      </c>
      <c r="Q616" s="334">
        <v>17</v>
      </c>
      <c r="R616" s="216">
        <v>6557.54</v>
      </c>
      <c r="S616" s="217" t="s">
        <v>2156</v>
      </c>
      <c r="T616" s="209" t="s">
        <v>4021</v>
      </c>
      <c r="U616" s="209" t="s">
        <v>4022</v>
      </c>
      <c r="V616" s="213" t="s">
        <v>4023</v>
      </c>
      <c r="W616" s="218" t="s">
        <v>3652</v>
      </c>
      <c r="X616" s="218" t="s">
        <v>3652</v>
      </c>
      <c r="Y616" s="212" t="s">
        <v>5169</v>
      </c>
      <c r="Z616" s="209" t="s">
        <v>3664</v>
      </c>
      <c r="AA616" s="219"/>
      <c r="AB616" s="218"/>
      <c r="AC616" s="217" t="e">
        <v>#N/A</v>
      </c>
      <c r="AD616" s="217">
        <v>91397</v>
      </c>
      <c r="AE616" s="217" t="s">
        <v>5189</v>
      </c>
      <c r="AF616" s="217" t="s">
        <v>4784</v>
      </c>
      <c r="AG616" s="217" t="s">
        <v>846</v>
      </c>
      <c r="AH616" s="220" t="str">
        <f t="shared" si="39"/>
        <v>4590006261_017</v>
      </c>
      <c r="AI616" s="208"/>
      <c r="AJ616" s="225">
        <v>45017</v>
      </c>
      <c r="AK616" s="221">
        <v>2623.0160000000001</v>
      </c>
      <c r="AL616" s="226">
        <v>45168</v>
      </c>
      <c r="AM616" s="208"/>
      <c r="AN616" s="220"/>
      <c r="AO616" s="222"/>
      <c r="AP616" s="227"/>
      <c r="AQ616" s="358">
        <f ca="1">IF(表格1[[#This Row],[PO$]]="","100%",表格1[[#This Row],[total amount]]/表格1[[#This Row],[PO$]])</f>
        <v>0.4</v>
      </c>
      <c r="AR616" s="223">
        <f ca="1">表格1[[#This Row],[invoice amount]]+表格1[[#This Row],[invoice amount2]]</f>
        <v>2623.0160000000001</v>
      </c>
      <c r="AS616" s="224" t="s">
        <v>3673</v>
      </c>
      <c r="AT616" s="208"/>
      <c r="AU616" s="208" t="e">
        <f ca="1">VLOOKUP(表格1[[#This Row],[PO+ITEM]],#REF!,2,FALSE)</f>
        <v>#REF!</v>
      </c>
      <c r="AV616" s="341" t="e">
        <f ca="1">VLOOKUP(表格1[[#This Row],[PO+ITEM]],#REF!,3,FALSE)</f>
        <v>#REF!</v>
      </c>
      <c r="AW616" s="208" t="e">
        <f ca="1">VLOOKUP(表格1[[#This Row],[PO+ITEM]],#REF!,4,FALSE)</f>
        <v>#REF!</v>
      </c>
      <c r="AX616" s="208" t="e" cm="1" vm="1">
        <f t="array" aca="1" ref="AX616" ca="1">VLOOKUP(AI:AI,#REF!,1,FALSE)</f>
        <v>#VALUE!</v>
      </c>
    </row>
    <row r="617" spans="1:50" ht="15.6">
      <c r="A617" s="220">
        <v>616</v>
      </c>
      <c r="B617" s="220" t="s">
        <v>3659</v>
      </c>
      <c r="C617" s="209" t="s">
        <v>16</v>
      </c>
      <c r="D617" s="209" t="s">
        <v>3648</v>
      </c>
      <c r="E617" s="209"/>
      <c r="F617" s="209"/>
      <c r="G617" s="209"/>
      <c r="H617" s="210" t="s">
        <v>5190</v>
      </c>
      <c r="I617" s="210"/>
      <c r="J617" s="211"/>
      <c r="K617" s="210"/>
      <c r="L617" s="212" t="s">
        <v>2206</v>
      </c>
      <c r="M617" s="212" t="s">
        <v>2999</v>
      </c>
      <c r="N617" s="213"/>
      <c r="O617" s="263">
        <v>4590006261</v>
      </c>
      <c r="P617" s="214">
        <v>44836</v>
      </c>
      <c r="Q617" s="334">
        <v>18</v>
      </c>
      <c r="R617" s="216">
        <v>8393.52</v>
      </c>
      <c r="S617" s="217" t="s">
        <v>2156</v>
      </c>
      <c r="T617" s="209" t="s">
        <v>4021</v>
      </c>
      <c r="U617" s="209" t="s">
        <v>4022</v>
      </c>
      <c r="V617" s="213" t="s">
        <v>4023</v>
      </c>
      <c r="W617" s="218" t="s">
        <v>3652</v>
      </c>
      <c r="X617" s="218" t="s">
        <v>3652</v>
      </c>
      <c r="Y617" s="212" t="s">
        <v>5169</v>
      </c>
      <c r="Z617" s="209" t="s">
        <v>3664</v>
      </c>
      <c r="AA617" s="219"/>
      <c r="AB617" s="218"/>
      <c r="AC617" s="217" t="e">
        <v>#N/A</v>
      </c>
      <c r="AD617" s="217">
        <v>91398</v>
      </c>
      <c r="AE617" s="217" t="s">
        <v>5191</v>
      </c>
      <c r="AF617" s="217" t="s">
        <v>4784</v>
      </c>
      <c r="AG617" s="217" t="s">
        <v>846</v>
      </c>
      <c r="AH617" s="220" t="str">
        <f t="shared" si="39"/>
        <v>4590006261_018</v>
      </c>
      <c r="AI617" s="208"/>
      <c r="AJ617" s="225">
        <v>45108</v>
      </c>
      <c r="AK617" s="221">
        <v>3357.4080000000004</v>
      </c>
      <c r="AL617" s="226">
        <v>45168</v>
      </c>
      <c r="AM617" s="208"/>
      <c r="AN617" s="220"/>
      <c r="AO617" s="222"/>
      <c r="AP617" s="227"/>
      <c r="AQ617" s="358">
        <f ca="1">IF(表格1[[#This Row],[PO$]]="","100%",表格1[[#This Row],[total amount]]/表格1[[#This Row],[PO$]])</f>
        <v>0.4</v>
      </c>
      <c r="AR617" s="223">
        <f ca="1">表格1[[#This Row],[invoice amount]]+表格1[[#This Row],[invoice amount2]]</f>
        <v>3357.4080000000004</v>
      </c>
      <c r="AS617" s="224" t="s">
        <v>3673</v>
      </c>
      <c r="AT617" s="208"/>
      <c r="AU617" s="208" t="e">
        <f ca="1">VLOOKUP(表格1[[#This Row],[PO+ITEM]],#REF!,2,FALSE)</f>
        <v>#REF!</v>
      </c>
      <c r="AV617" s="341" t="e">
        <f ca="1">VLOOKUP(表格1[[#This Row],[PO+ITEM]],#REF!,3,FALSE)</f>
        <v>#REF!</v>
      </c>
      <c r="AW617" s="208" t="e">
        <f ca="1">VLOOKUP(表格1[[#This Row],[PO+ITEM]],#REF!,4,FALSE)</f>
        <v>#REF!</v>
      </c>
      <c r="AX617" s="208" t="e" cm="1" vm="1">
        <f t="array" aca="1" ref="AX617" ca="1">VLOOKUP(AI:AI,#REF!,1,FALSE)</f>
        <v>#VALUE!</v>
      </c>
    </row>
    <row r="618" spans="1:50" ht="15.6">
      <c r="A618" s="220">
        <v>617</v>
      </c>
      <c r="B618" s="220" t="s">
        <v>3659</v>
      </c>
      <c r="C618" s="209" t="s">
        <v>16</v>
      </c>
      <c r="D618" s="209" t="s">
        <v>3648</v>
      </c>
      <c r="E618" s="209"/>
      <c r="F618" s="209"/>
      <c r="G618" s="209"/>
      <c r="H618" s="210" t="s">
        <v>5192</v>
      </c>
      <c r="I618" s="210"/>
      <c r="J618" s="211"/>
      <c r="K618" s="210"/>
      <c r="L618" s="212" t="s">
        <v>2206</v>
      </c>
      <c r="M618" s="212" t="s">
        <v>2999</v>
      </c>
      <c r="N618" s="213"/>
      <c r="O618" s="263">
        <v>4590006261</v>
      </c>
      <c r="P618" s="214">
        <v>44836</v>
      </c>
      <c r="Q618" s="334">
        <v>19</v>
      </c>
      <c r="R618" s="216">
        <v>6557.54</v>
      </c>
      <c r="S618" s="217" t="s">
        <v>2156</v>
      </c>
      <c r="T618" s="209" t="s">
        <v>4021</v>
      </c>
      <c r="U618" s="209" t="s">
        <v>4022</v>
      </c>
      <c r="V618" s="213" t="s">
        <v>4023</v>
      </c>
      <c r="W618" s="218" t="s">
        <v>3652</v>
      </c>
      <c r="X618" s="218" t="s">
        <v>3652</v>
      </c>
      <c r="Y618" s="212" t="s">
        <v>5169</v>
      </c>
      <c r="Z618" s="209" t="s">
        <v>3664</v>
      </c>
      <c r="AA618" s="219"/>
      <c r="AB618" s="218"/>
      <c r="AC618" s="217" t="e">
        <v>#N/A</v>
      </c>
      <c r="AD618" s="217">
        <v>91405</v>
      </c>
      <c r="AE618" s="217" t="s">
        <v>5193</v>
      </c>
      <c r="AF618" s="217" t="s">
        <v>4784</v>
      </c>
      <c r="AG618" s="217" t="s">
        <v>846</v>
      </c>
      <c r="AH618" s="220" t="str">
        <f t="shared" si="39"/>
        <v>4590006261_019</v>
      </c>
      <c r="AI618" s="208"/>
      <c r="AJ618" s="225">
        <v>45017</v>
      </c>
      <c r="AK618" s="221">
        <v>2623.0160000000001</v>
      </c>
      <c r="AL618" s="226">
        <v>45168</v>
      </c>
      <c r="AM618" s="208"/>
      <c r="AN618" s="220"/>
      <c r="AO618" s="222"/>
      <c r="AP618" s="227"/>
      <c r="AQ618" s="358">
        <f ca="1">IF(表格1[[#This Row],[PO$]]="","100%",表格1[[#This Row],[total amount]]/表格1[[#This Row],[PO$]])</f>
        <v>0.4</v>
      </c>
      <c r="AR618" s="223">
        <f ca="1">表格1[[#This Row],[invoice amount]]+表格1[[#This Row],[invoice amount2]]</f>
        <v>2623.0160000000001</v>
      </c>
      <c r="AS618" s="224" t="s">
        <v>3673</v>
      </c>
      <c r="AT618" s="208"/>
      <c r="AU618" s="208" t="e">
        <f ca="1">VLOOKUP(表格1[[#This Row],[PO+ITEM]],#REF!,2,FALSE)</f>
        <v>#REF!</v>
      </c>
      <c r="AV618" s="341" t="e">
        <f ca="1">VLOOKUP(表格1[[#This Row],[PO+ITEM]],#REF!,3,FALSE)</f>
        <v>#REF!</v>
      </c>
      <c r="AW618" s="208" t="e">
        <f ca="1">VLOOKUP(表格1[[#This Row],[PO+ITEM]],#REF!,4,FALSE)</f>
        <v>#REF!</v>
      </c>
      <c r="AX618" s="208" t="e" cm="1" vm="1">
        <f t="array" aca="1" ref="AX618" ca="1">VLOOKUP(AI:AI,#REF!,1,FALSE)</f>
        <v>#VALUE!</v>
      </c>
    </row>
    <row r="619" spans="1:50">
      <c r="A619" s="220">
        <v>618</v>
      </c>
      <c r="B619" s="220" t="s">
        <v>3659</v>
      </c>
      <c r="C619" s="209" t="s">
        <v>16</v>
      </c>
      <c r="D619" s="209" t="s">
        <v>3648</v>
      </c>
      <c r="E619" s="209"/>
      <c r="F619" s="209"/>
      <c r="G619" s="209"/>
      <c r="H619" s="210" t="s">
        <v>5194</v>
      </c>
      <c r="I619" s="210"/>
      <c r="J619" s="211"/>
      <c r="K619" s="210"/>
      <c r="L619" s="212" t="s">
        <v>4269</v>
      </c>
      <c r="M619" s="212" t="s">
        <v>2999</v>
      </c>
      <c r="N619" s="213"/>
      <c r="O619" s="263">
        <v>4590006261</v>
      </c>
      <c r="P619" s="214">
        <v>44836</v>
      </c>
      <c r="Q619" s="334">
        <v>20</v>
      </c>
      <c r="R619" s="216">
        <v>3931.29</v>
      </c>
      <c r="S619" s="217" t="s">
        <v>2156</v>
      </c>
      <c r="T619" s="209" t="s">
        <v>4021</v>
      </c>
      <c r="U619" s="209" t="s">
        <v>4022</v>
      </c>
      <c r="V619" s="213" t="s">
        <v>4023</v>
      </c>
      <c r="W619" s="218" t="s">
        <v>3652</v>
      </c>
      <c r="X619" s="218" t="s">
        <v>3652</v>
      </c>
      <c r="Y619" s="212" t="s">
        <v>5169</v>
      </c>
      <c r="Z619" s="209" t="s">
        <v>3664</v>
      </c>
      <c r="AA619" s="219"/>
      <c r="AB619" s="218"/>
      <c r="AC619" s="217" t="e">
        <v>#N/A</v>
      </c>
      <c r="AD619" s="217">
        <v>91413</v>
      </c>
      <c r="AE619" s="217" t="s">
        <v>5195</v>
      </c>
      <c r="AF619" s="217" t="s">
        <v>4784</v>
      </c>
      <c r="AG619" s="217" t="s">
        <v>3719</v>
      </c>
      <c r="AH619" s="220" t="str">
        <f t="shared" si="39"/>
        <v>4590006261_020</v>
      </c>
      <c r="AI619" s="208"/>
      <c r="AJ619" s="220"/>
      <c r="AK619" s="221"/>
      <c r="AL619" s="227"/>
      <c r="AM619" s="208"/>
      <c r="AN619" s="220"/>
      <c r="AO619" s="222"/>
      <c r="AP619" s="227"/>
      <c r="AQ619" s="358">
        <f ca="1">IF(表格1[[#This Row],[PO$]]="","100%",表格1[[#This Row],[total amount]]/表格1[[#This Row],[PO$]])</f>
        <v>0</v>
      </c>
      <c r="AR619" s="223">
        <f ca="1">表格1[[#This Row],[invoice amount]]+表格1[[#This Row],[invoice amount2]]</f>
        <v>0</v>
      </c>
      <c r="AS619" s="224"/>
      <c r="AT619" s="208"/>
      <c r="AU619" s="208" t="e">
        <f ca="1">VLOOKUP(表格1[[#This Row],[PO+ITEM]],#REF!,2,FALSE)</f>
        <v>#REF!</v>
      </c>
      <c r="AV619" s="341" t="e">
        <f ca="1">VLOOKUP(表格1[[#This Row],[PO+ITEM]],#REF!,3,FALSE)</f>
        <v>#REF!</v>
      </c>
      <c r="AW619" s="208" t="e">
        <f ca="1">VLOOKUP(表格1[[#This Row],[PO+ITEM]],#REF!,4,FALSE)</f>
        <v>#REF!</v>
      </c>
      <c r="AX619" s="208" t="e" cm="1" vm="1">
        <f t="array" aca="1" ref="AX619" ca="1">VLOOKUP(AI:AI,#REF!,1,FALSE)</f>
        <v>#VALUE!</v>
      </c>
    </row>
    <row r="620" spans="1:50">
      <c r="A620" s="220">
        <v>619</v>
      </c>
      <c r="B620" s="220" t="s">
        <v>3659</v>
      </c>
      <c r="C620" s="209" t="s">
        <v>16</v>
      </c>
      <c r="D620" s="209" t="s">
        <v>3648</v>
      </c>
      <c r="E620" s="209"/>
      <c r="F620" s="209"/>
      <c r="G620" s="209"/>
      <c r="H620" s="210" t="s">
        <v>5196</v>
      </c>
      <c r="I620" s="210"/>
      <c r="J620" s="211"/>
      <c r="K620" s="210"/>
      <c r="L620" s="212" t="s">
        <v>4269</v>
      </c>
      <c r="M620" s="212" t="s">
        <v>2999</v>
      </c>
      <c r="N620" s="213"/>
      <c r="O620" s="263">
        <v>4590006261</v>
      </c>
      <c r="P620" s="214">
        <v>44836</v>
      </c>
      <c r="Q620" s="334">
        <v>21</v>
      </c>
      <c r="R620" s="216">
        <v>12341.94</v>
      </c>
      <c r="S620" s="217" t="s">
        <v>2156</v>
      </c>
      <c r="T620" s="209" t="s">
        <v>4021</v>
      </c>
      <c r="U620" s="209" t="s">
        <v>4022</v>
      </c>
      <c r="V620" s="213" t="s">
        <v>4023</v>
      </c>
      <c r="W620" s="218" t="s">
        <v>3652</v>
      </c>
      <c r="X620" s="218" t="s">
        <v>3652</v>
      </c>
      <c r="Y620" s="212" t="s">
        <v>5169</v>
      </c>
      <c r="Z620" s="209" t="s">
        <v>3664</v>
      </c>
      <c r="AA620" s="219"/>
      <c r="AB620" s="218"/>
      <c r="AC620" s="217" t="e">
        <v>#N/A</v>
      </c>
      <c r="AD620" s="217">
        <v>91022</v>
      </c>
      <c r="AE620" s="217" t="s">
        <v>2832</v>
      </c>
      <c r="AF620" s="217" t="s">
        <v>4784</v>
      </c>
      <c r="AG620" s="217" t="s">
        <v>32</v>
      </c>
      <c r="AH620" s="220" t="str">
        <f t="shared" si="39"/>
        <v>4590006261_021</v>
      </c>
      <c r="AI620" s="208"/>
      <c r="AJ620" s="220"/>
      <c r="AK620" s="221"/>
      <c r="AL620" s="227"/>
      <c r="AM620" s="208"/>
      <c r="AN620" s="220"/>
      <c r="AO620" s="222"/>
      <c r="AP620" s="227"/>
      <c r="AQ620" s="358">
        <f ca="1">IF(表格1[[#This Row],[PO$]]="","100%",表格1[[#This Row],[total amount]]/表格1[[#This Row],[PO$]])</f>
        <v>0</v>
      </c>
      <c r="AR620" s="223">
        <f ca="1">表格1[[#This Row],[invoice amount]]+表格1[[#This Row],[invoice amount2]]</f>
        <v>0</v>
      </c>
      <c r="AS620" s="224"/>
      <c r="AT620" s="208"/>
      <c r="AU620" s="208" t="e">
        <f ca="1">VLOOKUP(表格1[[#This Row],[PO+ITEM]],#REF!,2,FALSE)</f>
        <v>#REF!</v>
      </c>
      <c r="AV620" s="341" t="e">
        <f ca="1">VLOOKUP(表格1[[#This Row],[PO+ITEM]],#REF!,3,FALSE)</f>
        <v>#REF!</v>
      </c>
      <c r="AW620" s="208" t="e">
        <f ca="1">VLOOKUP(表格1[[#This Row],[PO+ITEM]],#REF!,4,FALSE)</f>
        <v>#REF!</v>
      </c>
      <c r="AX620" s="208" t="e" cm="1" vm="1">
        <f t="array" aca="1" ref="AX620" ca="1">VLOOKUP(AI:AI,#REF!,1,FALSE)</f>
        <v>#VALUE!</v>
      </c>
    </row>
    <row r="621" spans="1:50">
      <c r="A621" s="220">
        <v>620</v>
      </c>
      <c r="B621" s="220" t="s">
        <v>3659</v>
      </c>
      <c r="C621" s="209" t="s">
        <v>16</v>
      </c>
      <c r="D621" s="209" t="s">
        <v>3648</v>
      </c>
      <c r="E621" s="209"/>
      <c r="F621" s="209"/>
      <c r="G621" s="209"/>
      <c r="H621" s="217" t="s">
        <v>5197</v>
      </c>
      <c r="I621" s="217"/>
      <c r="J621" s="215"/>
      <c r="K621" s="217"/>
      <c r="L621" s="212" t="s">
        <v>4269</v>
      </c>
      <c r="M621" s="212" t="s">
        <v>2999</v>
      </c>
      <c r="N621" s="213"/>
      <c r="O621" s="263">
        <v>4590006261</v>
      </c>
      <c r="P621" s="214">
        <v>44836</v>
      </c>
      <c r="Q621" s="334">
        <v>22</v>
      </c>
      <c r="R621" s="216">
        <v>12341.94</v>
      </c>
      <c r="S621" s="217" t="s">
        <v>2156</v>
      </c>
      <c r="T621" s="209" t="s">
        <v>4021</v>
      </c>
      <c r="U621" s="209" t="s">
        <v>4022</v>
      </c>
      <c r="V621" s="213" t="s">
        <v>4023</v>
      </c>
      <c r="W621" s="218" t="s">
        <v>3652</v>
      </c>
      <c r="X621" s="218" t="s">
        <v>3652</v>
      </c>
      <c r="Y621" s="212" t="s">
        <v>5169</v>
      </c>
      <c r="Z621" s="209" t="s">
        <v>3664</v>
      </c>
      <c r="AA621" s="219"/>
      <c r="AB621" s="218"/>
      <c r="AC621" s="217" t="e">
        <v>#N/A</v>
      </c>
      <c r="AD621" s="217">
        <v>91151</v>
      </c>
      <c r="AE621" s="217" t="s">
        <v>2864</v>
      </c>
      <c r="AF621" s="217" t="s">
        <v>4784</v>
      </c>
      <c r="AG621" s="217" t="s">
        <v>32</v>
      </c>
      <c r="AH621" s="220" t="str">
        <f t="shared" si="39"/>
        <v>4590006261_022</v>
      </c>
      <c r="AI621" s="208"/>
      <c r="AJ621" s="220"/>
      <c r="AK621" s="221"/>
      <c r="AL621" s="227"/>
      <c r="AM621" s="208"/>
      <c r="AN621" s="220"/>
      <c r="AO621" s="222"/>
      <c r="AP621" s="227"/>
      <c r="AQ621" s="358">
        <f ca="1">IF(表格1[[#This Row],[PO$]]="","100%",表格1[[#This Row],[total amount]]/表格1[[#This Row],[PO$]])</f>
        <v>0</v>
      </c>
      <c r="AR621" s="223">
        <f ca="1">表格1[[#This Row],[invoice amount]]+表格1[[#This Row],[invoice amount2]]</f>
        <v>0</v>
      </c>
      <c r="AS621" s="224"/>
      <c r="AT621" s="208"/>
      <c r="AU621" s="208" t="e">
        <f ca="1">VLOOKUP(表格1[[#This Row],[PO+ITEM]],#REF!,2,FALSE)</f>
        <v>#REF!</v>
      </c>
      <c r="AV621" s="341" t="e">
        <f ca="1">VLOOKUP(表格1[[#This Row],[PO+ITEM]],#REF!,3,FALSE)</f>
        <v>#REF!</v>
      </c>
      <c r="AW621" s="208" t="e">
        <f ca="1">VLOOKUP(表格1[[#This Row],[PO+ITEM]],#REF!,4,FALSE)</f>
        <v>#REF!</v>
      </c>
      <c r="AX621" s="208" t="e" cm="1" vm="1">
        <f t="array" aca="1" ref="AX621" ca="1">VLOOKUP(AI:AI,#REF!,1,FALSE)</f>
        <v>#VALUE!</v>
      </c>
    </row>
    <row r="622" spans="1:50">
      <c r="A622" s="220">
        <v>621</v>
      </c>
      <c r="B622" s="220" t="s">
        <v>3659</v>
      </c>
      <c r="C622" s="209" t="s">
        <v>16</v>
      </c>
      <c r="D622" s="209" t="s">
        <v>3648</v>
      </c>
      <c r="E622" s="209"/>
      <c r="F622" s="209"/>
      <c r="G622" s="209"/>
      <c r="H622" s="210" t="s">
        <v>5198</v>
      </c>
      <c r="I622" s="210"/>
      <c r="J622" s="211"/>
      <c r="K622" s="210"/>
      <c r="L622" s="212" t="s">
        <v>2206</v>
      </c>
      <c r="M622" s="212" t="s">
        <v>2999</v>
      </c>
      <c r="N622" s="213"/>
      <c r="O622" s="263">
        <v>4590006261</v>
      </c>
      <c r="P622" s="214">
        <v>44836</v>
      </c>
      <c r="Q622" s="334">
        <v>23</v>
      </c>
      <c r="R622" s="216">
        <v>14348.29</v>
      </c>
      <c r="S622" s="217" t="s">
        <v>2156</v>
      </c>
      <c r="T622" s="209" t="s">
        <v>4021</v>
      </c>
      <c r="U622" s="209" t="s">
        <v>4022</v>
      </c>
      <c r="V622" s="213" t="s">
        <v>4023</v>
      </c>
      <c r="W622" s="218" t="s">
        <v>3652</v>
      </c>
      <c r="X622" s="218" t="s">
        <v>3652</v>
      </c>
      <c r="Y622" s="212" t="s">
        <v>5169</v>
      </c>
      <c r="Z622" s="209" t="s">
        <v>3664</v>
      </c>
      <c r="AA622" s="219"/>
      <c r="AB622" s="218"/>
      <c r="AC622" s="217" t="e">
        <v>#N/A</v>
      </c>
      <c r="AD622" s="217">
        <v>91153</v>
      </c>
      <c r="AE622" s="217" t="s">
        <v>5199</v>
      </c>
      <c r="AF622" s="217" t="s">
        <v>4784</v>
      </c>
      <c r="AG622" s="217" t="s">
        <v>846</v>
      </c>
      <c r="AH622" s="220" t="str">
        <f t="shared" si="39"/>
        <v>4590006261_023</v>
      </c>
      <c r="AI622" s="208"/>
      <c r="AJ622" s="220"/>
      <c r="AK622" s="221"/>
      <c r="AL622" s="227"/>
      <c r="AM622" s="208"/>
      <c r="AN622" s="220"/>
      <c r="AO622" s="222"/>
      <c r="AP622" s="227"/>
      <c r="AQ622" s="358">
        <f ca="1">IF(表格1[[#This Row],[PO$]]="","100%",表格1[[#This Row],[total amount]]/表格1[[#This Row],[PO$]])</f>
        <v>0</v>
      </c>
      <c r="AR622" s="223">
        <f ca="1">表格1[[#This Row],[invoice amount]]+表格1[[#This Row],[invoice amount2]]</f>
        <v>0</v>
      </c>
      <c r="AS622" s="224"/>
      <c r="AT622" s="208"/>
      <c r="AU622" s="208" t="e">
        <f ca="1">VLOOKUP(表格1[[#This Row],[PO+ITEM]],#REF!,2,FALSE)</f>
        <v>#REF!</v>
      </c>
      <c r="AV622" s="341" t="e">
        <f ca="1">VLOOKUP(表格1[[#This Row],[PO+ITEM]],#REF!,3,FALSE)</f>
        <v>#REF!</v>
      </c>
      <c r="AW622" s="208" t="e">
        <f ca="1">VLOOKUP(表格1[[#This Row],[PO+ITEM]],#REF!,4,FALSE)</f>
        <v>#REF!</v>
      </c>
      <c r="AX622" s="208" t="e" cm="1" vm="1">
        <f t="array" aca="1" ref="AX622" ca="1">VLOOKUP(AI:AI,#REF!,1,FALSE)</f>
        <v>#VALUE!</v>
      </c>
    </row>
    <row r="623" spans="1:50">
      <c r="A623" s="220">
        <v>622</v>
      </c>
      <c r="B623" s="220" t="s">
        <v>3659</v>
      </c>
      <c r="C623" s="209" t="s">
        <v>17</v>
      </c>
      <c r="D623" s="209" t="s">
        <v>3648</v>
      </c>
      <c r="E623" s="209"/>
      <c r="F623" s="209"/>
      <c r="G623" s="209"/>
      <c r="H623" s="210" t="s">
        <v>5200</v>
      </c>
      <c r="I623" s="210"/>
      <c r="J623" s="211"/>
      <c r="K623" s="210"/>
      <c r="L623" s="212" t="s">
        <v>2999</v>
      </c>
      <c r="M623" s="212" t="s">
        <v>2999</v>
      </c>
      <c r="N623" s="213"/>
      <c r="O623" s="263">
        <v>4590007615</v>
      </c>
      <c r="P623" s="214">
        <v>44855</v>
      </c>
      <c r="Q623" s="334">
        <v>1</v>
      </c>
      <c r="R623" s="216">
        <v>25272</v>
      </c>
      <c r="S623" s="217" t="s">
        <v>2156</v>
      </c>
      <c r="T623" s="209" t="s">
        <v>3713</v>
      </c>
      <c r="U623" s="209" t="s">
        <v>3714</v>
      </c>
      <c r="V623" s="213" t="s">
        <v>3715</v>
      </c>
      <c r="W623" s="218" t="s">
        <v>3652</v>
      </c>
      <c r="X623" s="218" t="s">
        <v>3652</v>
      </c>
      <c r="Y623" s="212" t="s">
        <v>3767</v>
      </c>
      <c r="Z623" s="209" t="s">
        <v>3768</v>
      </c>
      <c r="AA623" s="215"/>
      <c r="AB623" s="218"/>
      <c r="AC623" s="217" t="e">
        <v>#N/A</v>
      </c>
      <c r="AD623" s="217">
        <v>91348</v>
      </c>
      <c r="AE623" s="217" t="s">
        <v>4924</v>
      </c>
      <c r="AF623" s="217" t="s">
        <v>3770</v>
      </c>
      <c r="AG623" s="217" t="s">
        <v>3771</v>
      </c>
      <c r="AH623" s="220" t="str">
        <f t="shared" ref="AH623:AH631" si="40">O623&amp;"_00"&amp;Q623</f>
        <v>4590007615_001</v>
      </c>
      <c r="AI623" s="208"/>
      <c r="AJ623" s="220"/>
      <c r="AK623" s="221"/>
      <c r="AL623" s="227"/>
      <c r="AM623" s="208"/>
      <c r="AN623" s="220"/>
      <c r="AO623" s="222"/>
      <c r="AP623" s="227"/>
      <c r="AQ623" s="358">
        <f ca="1">IF(表格1[[#This Row],[PO$]]="","100%",表格1[[#This Row],[total amount]]/表格1[[#This Row],[PO$]])</f>
        <v>0</v>
      </c>
      <c r="AR623" s="223">
        <f ca="1">表格1[[#This Row],[invoice amount]]+表格1[[#This Row],[invoice amount2]]</f>
        <v>0</v>
      </c>
      <c r="AS623" s="224"/>
      <c r="AT623" s="208"/>
      <c r="AU623" s="208" t="e">
        <f ca="1">VLOOKUP(表格1[[#This Row],[PO+ITEM]],#REF!,2,FALSE)</f>
        <v>#REF!</v>
      </c>
      <c r="AV623" s="341" t="e">
        <f ca="1">VLOOKUP(表格1[[#This Row],[PO+ITEM]],#REF!,3,FALSE)</f>
        <v>#REF!</v>
      </c>
      <c r="AW623" s="208" t="e">
        <f ca="1">VLOOKUP(表格1[[#This Row],[PO+ITEM]],#REF!,4,FALSE)</f>
        <v>#REF!</v>
      </c>
      <c r="AX623" s="208" t="e" cm="1" vm="1">
        <f t="array" aca="1" ref="AX623" ca="1">VLOOKUP(AI:AI,#REF!,1,FALSE)</f>
        <v>#VALUE!</v>
      </c>
    </row>
    <row r="624" spans="1:50" s="230" customFormat="1">
      <c r="A624" s="220">
        <v>623</v>
      </c>
      <c r="B624" s="220" t="s">
        <v>3659</v>
      </c>
      <c r="C624" s="209" t="s">
        <v>17</v>
      </c>
      <c r="D624" s="209" t="s">
        <v>3648</v>
      </c>
      <c r="E624" s="209"/>
      <c r="F624" s="209"/>
      <c r="G624" s="209"/>
      <c r="H624" s="210" t="s">
        <v>5201</v>
      </c>
      <c r="I624" s="210"/>
      <c r="J624" s="211"/>
      <c r="K624" s="210"/>
      <c r="L624" s="212" t="s">
        <v>2999</v>
      </c>
      <c r="M624" s="212" t="s">
        <v>2999</v>
      </c>
      <c r="N624" s="213"/>
      <c r="O624" s="263">
        <v>4590007615</v>
      </c>
      <c r="P624" s="214">
        <v>44855</v>
      </c>
      <c r="Q624" s="334">
        <v>2</v>
      </c>
      <c r="R624" s="216">
        <v>25272</v>
      </c>
      <c r="S624" s="217" t="s">
        <v>2156</v>
      </c>
      <c r="T624" s="209" t="s">
        <v>3713</v>
      </c>
      <c r="U624" s="209" t="s">
        <v>3714</v>
      </c>
      <c r="V624" s="213" t="s">
        <v>3715</v>
      </c>
      <c r="W624" s="218" t="s">
        <v>3652</v>
      </c>
      <c r="X624" s="218" t="s">
        <v>3652</v>
      </c>
      <c r="Y624" s="212" t="s">
        <v>3767</v>
      </c>
      <c r="Z624" s="209" t="s">
        <v>3768</v>
      </c>
      <c r="AA624" s="215"/>
      <c r="AB624" s="218"/>
      <c r="AC624" s="217" t="e">
        <v>#N/A</v>
      </c>
      <c r="AD624" s="217">
        <v>91349</v>
      </c>
      <c r="AE624" s="217" t="s">
        <v>4926</v>
      </c>
      <c r="AF624" s="217" t="s">
        <v>3770</v>
      </c>
      <c r="AG624" s="217" t="s">
        <v>3771</v>
      </c>
      <c r="AH624" s="220" t="str">
        <f t="shared" si="40"/>
        <v>4590007615_002</v>
      </c>
      <c r="AI624" s="208"/>
      <c r="AJ624" s="220"/>
      <c r="AK624" s="221"/>
      <c r="AL624" s="227"/>
      <c r="AM624" s="208"/>
      <c r="AN624" s="220"/>
      <c r="AO624" s="222"/>
      <c r="AP624" s="227"/>
      <c r="AQ624" s="358">
        <f ca="1">IF(表格1[[#This Row],[PO$]]="","100%",表格1[[#This Row],[total amount]]/表格1[[#This Row],[PO$]])</f>
        <v>0</v>
      </c>
      <c r="AR624" s="223">
        <f ca="1">表格1[[#This Row],[invoice amount]]+表格1[[#This Row],[invoice amount2]]</f>
        <v>0</v>
      </c>
      <c r="AS624" s="224"/>
      <c r="AT624" s="208"/>
      <c r="AU624" s="208" t="e">
        <f ca="1">VLOOKUP(表格1[[#This Row],[PO+ITEM]],#REF!,2,FALSE)</f>
        <v>#REF!</v>
      </c>
      <c r="AV624" s="341" t="e">
        <f ca="1">VLOOKUP(表格1[[#This Row],[PO+ITEM]],#REF!,3,FALSE)</f>
        <v>#REF!</v>
      </c>
      <c r="AW624" s="208" t="e">
        <f ca="1">VLOOKUP(表格1[[#This Row],[PO+ITEM]],#REF!,4,FALSE)</f>
        <v>#REF!</v>
      </c>
      <c r="AX624" s="208" t="e" cm="1" vm="1">
        <f t="array" aca="1" ref="AX624" ca="1">VLOOKUP(AI:AI,#REF!,1,FALSE)</f>
        <v>#VALUE!</v>
      </c>
    </row>
    <row r="625" spans="1:50" ht="15.6">
      <c r="A625" s="220">
        <v>624</v>
      </c>
      <c r="B625" s="220" t="s">
        <v>3674</v>
      </c>
      <c r="C625" s="209" t="s">
        <v>17</v>
      </c>
      <c r="D625" s="209" t="s">
        <v>3648</v>
      </c>
      <c r="E625" s="209"/>
      <c r="F625" s="209"/>
      <c r="G625" s="209"/>
      <c r="H625" s="210" t="s">
        <v>5202</v>
      </c>
      <c r="I625" s="210"/>
      <c r="J625" s="211"/>
      <c r="K625" s="210"/>
      <c r="L625" s="212" t="s">
        <v>2999</v>
      </c>
      <c r="M625" s="212" t="s">
        <v>2999</v>
      </c>
      <c r="N625" s="213"/>
      <c r="O625" s="263">
        <v>4590007615</v>
      </c>
      <c r="P625" s="214">
        <v>44855</v>
      </c>
      <c r="Q625" s="334">
        <v>3</v>
      </c>
      <c r="R625" s="216">
        <v>25272</v>
      </c>
      <c r="S625" s="217" t="s">
        <v>2156</v>
      </c>
      <c r="T625" s="209" t="s">
        <v>3713</v>
      </c>
      <c r="U625" s="209" t="s">
        <v>3714</v>
      </c>
      <c r="V625" s="213" t="s">
        <v>3715</v>
      </c>
      <c r="W625" s="218" t="s">
        <v>3652</v>
      </c>
      <c r="X625" s="218" t="s">
        <v>3652</v>
      </c>
      <c r="Y625" s="212" t="s">
        <v>3767</v>
      </c>
      <c r="Z625" s="209" t="s">
        <v>3768</v>
      </c>
      <c r="AA625" s="215"/>
      <c r="AB625" s="218"/>
      <c r="AC625" s="217" t="e">
        <v>#N/A</v>
      </c>
      <c r="AD625" s="217">
        <v>90557</v>
      </c>
      <c r="AE625" s="217" t="s">
        <v>4375</v>
      </c>
      <c r="AF625" s="217" t="s">
        <v>3770</v>
      </c>
      <c r="AG625" s="217" t="s">
        <v>3771</v>
      </c>
      <c r="AH625" s="220" t="str">
        <f t="shared" si="40"/>
        <v>4590007615_003</v>
      </c>
      <c r="AI625" s="208" t="s">
        <v>5203</v>
      </c>
      <c r="AJ625" s="227">
        <v>45415</v>
      </c>
      <c r="AK625" s="222">
        <v>25272</v>
      </c>
      <c r="AL625" s="314" t="s">
        <v>6691</v>
      </c>
      <c r="AM625" s="208"/>
      <c r="AN625" s="220"/>
      <c r="AO625" s="222"/>
      <c r="AP625" s="227"/>
      <c r="AQ625" s="358">
        <f ca="1">IF(表格1[[#This Row],[PO$]]="","100%",表格1[[#This Row],[total amount]]/表格1[[#This Row],[PO$]])</f>
        <v>1</v>
      </c>
      <c r="AR625" s="223">
        <f ca="1">表格1[[#This Row],[invoice amount]]+表格1[[#This Row],[invoice amount2]]</f>
        <v>25272</v>
      </c>
      <c r="AS625" s="224" t="s">
        <v>3752</v>
      </c>
      <c r="AT625" s="208" t="s">
        <v>3773</v>
      </c>
      <c r="AU625" s="208" t="e">
        <f ca="1">VLOOKUP(表格1[[#This Row],[PO+ITEM]],#REF!,2,FALSE)</f>
        <v>#REF!</v>
      </c>
      <c r="AV625" s="341" t="e">
        <f ca="1">VLOOKUP(表格1[[#This Row],[PO+ITEM]],#REF!,3,FALSE)</f>
        <v>#REF!</v>
      </c>
      <c r="AW625" s="208" t="e">
        <f ca="1">VLOOKUP(表格1[[#This Row],[PO+ITEM]],#REF!,4,FALSE)</f>
        <v>#REF!</v>
      </c>
      <c r="AX625" s="208" t="e" cm="1" vm="1">
        <f t="array" aca="1" ref="AX625" ca="1">VLOOKUP(AI:AI,#REF!,1,FALSE)</f>
        <v>#VALUE!</v>
      </c>
    </row>
    <row r="626" spans="1:50" ht="15.6">
      <c r="A626" s="220">
        <v>625</v>
      </c>
      <c r="B626" s="220" t="s">
        <v>3674</v>
      </c>
      <c r="C626" s="209" t="s">
        <v>17</v>
      </c>
      <c r="D626" s="209" t="s">
        <v>3648</v>
      </c>
      <c r="E626" s="209"/>
      <c r="F626" s="209"/>
      <c r="G626" s="209"/>
      <c r="H626" s="217" t="s">
        <v>5204</v>
      </c>
      <c r="I626" s="217"/>
      <c r="J626" s="215"/>
      <c r="K626" s="217"/>
      <c r="L626" s="212" t="s">
        <v>2999</v>
      </c>
      <c r="M626" s="212" t="s">
        <v>2999</v>
      </c>
      <c r="N626" s="213"/>
      <c r="O626" s="263">
        <v>4590007615</v>
      </c>
      <c r="P626" s="214">
        <v>44855</v>
      </c>
      <c r="Q626" s="334">
        <v>4</v>
      </c>
      <c r="R626" s="216">
        <v>25272</v>
      </c>
      <c r="S626" s="217" t="s">
        <v>2156</v>
      </c>
      <c r="T626" s="209" t="s">
        <v>3713</v>
      </c>
      <c r="U626" s="209" t="s">
        <v>3714</v>
      </c>
      <c r="V626" s="213" t="s">
        <v>3715</v>
      </c>
      <c r="W626" s="218" t="s">
        <v>3652</v>
      </c>
      <c r="X626" s="218" t="s">
        <v>3652</v>
      </c>
      <c r="Y626" s="212" t="s">
        <v>3767</v>
      </c>
      <c r="Z626" s="209" t="s">
        <v>3768</v>
      </c>
      <c r="AA626" s="215"/>
      <c r="AB626" s="218"/>
      <c r="AC626" s="217" t="e">
        <v>#N/A</v>
      </c>
      <c r="AD626" s="217">
        <v>90558</v>
      </c>
      <c r="AE626" s="217" t="s">
        <v>4378</v>
      </c>
      <c r="AF626" s="217" t="s">
        <v>3770</v>
      </c>
      <c r="AG626" s="217" t="s">
        <v>3771</v>
      </c>
      <c r="AH626" s="220" t="str">
        <f t="shared" si="40"/>
        <v>4590007615_004</v>
      </c>
      <c r="AI626" s="208" t="s">
        <v>5205</v>
      </c>
      <c r="AJ626" s="227">
        <v>45415</v>
      </c>
      <c r="AK626" s="222">
        <v>25272</v>
      </c>
      <c r="AL626" s="314" t="s">
        <v>6691</v>
      </c>
      <c r="AM626" s="208"/>
      <c r="AN626" s="220"/>
      <c r="AO626" s="222"/>
      <c r="AP626" s="227"/>
      <c r="AQ626" s="358">
        <f ca="1">IF(表格1[[#This Row],[PO$]]="","100%",表格1[[#This Row],[total amount]]/表格1[[#This Row],[PO$]])</f>
        <v>1</v>
      </c>
      <c r="AR626" s="223">
        <f ca="1">表格1[[#This Row],[invoice amount]]+表格1[[#This Row],[invoice amount2]]</f>
        <v>25272</v>
      </c>
      <c r="AS626" s="224" t="s">
        <v>3752</v>
      </c>
      <c r="AT626" s="208" t="s">
        <v>3773</v>
      </c>
      <c r="AU626" s="208" t="e">
        <f ca="1">VLOOKUP(表格1[[#This Row],[PO+ITEM]],#REF!,2,FALSE)</f>
        <v>#REF!</v>
      </c>
      <c r="AV626" s="341" t="e">
        <f ca="1">VLOOKUP(表格1[[#This Row],[PO+ITEM]],#REF!,3,FALSE)</f>
        <v>#REF!</v>
      </c>
      <c r="AW626" s="208" t="e">
        <f ca="1">VLOOKUP(表格1[[#This Row],[PO+ITEM]],#REF!,4,FALSE)</f>
        <v>#REF!</v>
      </c>
      <c r="AX626" s="208" t="e" cm="1" vm="1">
        <f t="array" aca="1" ref="AX626" ca="1">VLOOKUP(AI:AI,#REF!,1,FALSE)</f>
        <v>#VALUE!</v>
      </c>
    </row>
    <row r="627" spans="1:50">
      <c r="A627" s="220">
        <v>626</v>
      </c>
      <c r="B627" s="220" t="s">
        <v>3674</v>
      </c>
      <c r="C627" s="209" t="s">
        <v>17</v>
      </c>
      <c r="D627" s="209" t="s">
        <v>3648</v>
      </c>
      <c r="E627" s="209"/>
      <c r="F627" s="209"/>
      <c r="G627" s="209"/>
      <c r="H627" s="210" t="s">
        <v>5206</v>
      </c>
      <c r="I627" s="210"/>
      <c r="J627" s="211"/>
      <c r="K627" s="210"/>
      <c r="L627" s="212" t="s">
        <v>2999</v>
      </c>
      <c r="M627" s="212" t="s">
        <v>2999</v>
      </c>
      <c r="N627" s="213"/>
      <c r="O627" s="263">
        <v>4590007615</v>
      </c>
      <c r="P627" s="214">
        <v>44855</v>
      </c>
      <c r="Q627" s="334">
        <v>5</v>
      </c>
      <c r="R627" s="216">
        <v>25272</v>
      </c>
      <c r="S627" s="217" t="s">
        <v>2156</v>
      </c>
      <c r="T627" s="209" t="s">
        <v>3713</v>
      </c>
      <c r="U627" s="209" t="s">
        <v>3714</v>
      </c>
      <c r="V627" s="213" t="s">
        <v>3715</v>
      </c>
      <c r="W627" s="218" t="s">
        <v>3652</v>
      </c>
      <c r="X627" s="218" t="s">
        <v>3652</v>
      </c>
      <c r="Y627" s="212" t="s">
        <v>3767</v>
      </c>
      <c r="Z627" s="209" t="s">
        <v>3768</v>
      </c>
      <c r="AA627" s="215"/>
      <c r="AB627" s="218"/>
      <c r="AC627" s="217" t="e">
        <v>#N/A</v>
      </c>
      <c r="AD627" s="217">
        <v>90559</v>
      </c>
      <c r="AE627" s="217" t="s">
        <v>4381</v>
      </c>
      <c r="AF627" s="217" t="s">
        <v>3770</v>
      </c>
      <c r="AG627" s="217" t="s">
        <v>3771</v>
      </c>
      <c r="AH627" s="220" t="str">
        <f t="shared" si="40"/>
        <v>4590007615_005</v>
      </c>
      <c r="AI627" s="208" t="s">
        <v>5207</v>
      </c>
      <c r="AJ627" s="227">
        <v>45401</v>
      </c>
      <c r="AK627" s="221">
        <v>25272</v>
      </c>
      <c r="AL627" s="227" t="s">
        <v>3805</v>
      </c>
      <c r="AM627" s="208"/>
      <c r="AN627" s="220"/>
      <c r="AO627" s="222"/>
      <c r="AP627" s="227"/>
      <c r="AQ627" s="358">
        <f ca="1">IF(表格1[[#This Row],[PO$]]="","100%",表格1[[#This Row],[total amount]]/表格1[[#This Row],[PO$]])</f>
        <v>1</v>
      </c>
      <c r="AR627" s="223">
        <f ca="1">表格1[[#This Row],[invoice amount]]+表格1[[#This Row],[invoice amount2]]</f>
        <v>25272</v>
      </c>
      <c r="AS627" s="224" t="s">
        <v>3806</v>
      </c>
      <c r="AT627" s="208"/>
      <c r="AU627" s="208" t="e">
        <f ca="1">VLOOKUP(表格1[[#This Row],[PO+ITEM]],#REF!,2,FALSE)</f>
        <v>#REF!</v>
      </c>
      <c r="AV627" s="341" t="e">
        <f ca="1">VLOOKUP(表格1[[#This Row],[PO+ITEM]],#REF!,3,FALSE)</f>
        <v>#REF!</v>
      </c>
      <c r="AW627" s="208" t="e">
        <f ca="1">VLOOKUP(表格1[[#This Row],[PO+ITEM]],#REF!,4,FALSE)</f>
        <v>#REF!</v>
      </c>
      <c r="AX627" s="208" t="e" cm="1" vm="1">
        <f t="array" aca="1" ref="AX627" ca="1">VLOOKUP(AI:AI,#REF!,1,FALSE)</f>
        <v>#VALUE!</v>
      </c>
    </row>
    <row r="628" spans="1:50" ht="15.6">
      <c r="A628" s="220">
        <v>627</v>
      </c>
      <c r="B628" s="220" t="s">
        <v>3674</v>
      </c>
      <c r="C628" s="209" t="s">
        <v>17</v>
      </c>
      <c r="D628" s="209" t="s">
        <v>3648</v>
      </c>
      <c r="E628" s="209"/>
      <c r="F628" s="209"/>
      <c r="G628" s="209"/>
      <c r="H628" s="210" t="s">
        <v>5208</v>
      </c>
      <c r="I628" s="210"/>
      <c r="J628" s="211"/>
      <c r="K628" s="210"/>
      <c r="L628" s="212" t="s">
        <v>2999</v>
      </c>
      <c r="M628" s="212" t="s">
        <v>2999</v>
      </c>
      <c r="N628" s="213"/>
      <c r="O628" s="263">
        <v>4590007615</v>
      </c>
      <c r="P628" s="214">
        <v>44855</v>
      </c>
      <c r="Q628" s="334">
        <v>6</v>
      </c>
      <c r="R628" s="216">
        <v>25272</v>
      </c>
      <c r="S628" s="217" t="s">
        <v>2156</v>
      </c>
      <c r="T628" s="209" t="s">
        <v>3713</v>
      </c>
      <c r="U628" s="209" t="s">
        <v>3714</v>
      </c>
      <c r="V628" s="213" t="s">
        <v>3715</v>
      </c>
      <c r="W628" s="218" t="s">
        <v>3652</v>
      </c>
      <c r="X628" s="218" t="s">
        <v>3652</v>
      </c>
      <c r="Y628" s="212" t="s">
        <v>3767</v>
      </c>
      <c r="Z628" s="209" t="s">
        <v>3768</v>
      </c>
      <c r="AA628" s="215"/>
      <c r="AB628" s="218"/>
      <c r="AC628" s="217" t="e">
        <v>#N/A</v>
      </c>
      <c r="AD628" s="217">
        <v>90560</v>
      </c>
      <c r="AE628" s="217" t="s">
        <v>4384</v>
      </c>
      <c r="AF628" s="217" t="s">
        <v>3770</v>
      </c>
      <c r="AG628" s="217" t="s">
        <v>3771</v>
      </c>
      <c r="AH628" s="220" t="str">
        <f t="shared" si="40"/>
        <v>4590007615_006</v>
      </c>
      <c r="AI628" s="208" t="s">
        <v>5209</v>
      </c>
      <c r="AJ628" s="227">
        <v>45401</v>
      </c>
      <c r="AK628" s="222">
        <v>25272</v>
      </c>
      <c r="AL628" s="314">
        <v>45458</v>
      </c>
      <c r="AM628" s="208"/>
      <c r="AN628" s="220"/>
      <c r="AO628" s="222"/>
      <c r="AP628" s="227"/>
      <c r="AQ628" s="358">
        <f ca="1">IF(表格1[[#This Row],[PO$]]="","100%",表格1[[#This Row],[total amount]]/表格1[[#This Row],[PO$]])</f>
        <v>1</v>
      </c>
      <c r="AR628" s="223">
        <f ca="1">表格1[[#This Row],[invoice amount]]+表格1[[#This Row],[invoice amount2]]</f>
        <v>25272</v>
      </c>
      <c r="AS628" s="224" t="s">
        <v>3725</v>
      </c>
      <c r="AT628" s="208" t="s">
        <v>3773</v>
      </c>
      <c r="AU628" s="208" t="e">
        <f ca="1">VLOOKUP(表格1[[#This Row],[PO+ITEM]],#REF!,2,FALSE)</f>
        <v>#REF!</v>
      </c>
      <c r="AV628" s="341" t="e">
        <f ca="1">VLOOKUP(表格1[[#This Row],[PO+ITEM]],#REF!,3,FALSE)</f>
        <v>#REF!</v>
      </c>
      <c r="AW628" s="208" t="e">
        <f ca="1">VLOOKUP(表格1[[#This Row],[PO+ITEM]],#REF!,4,FALSE)</f>
        <v>#REF!</v>
      </c>
      <c r="AX628" s="208" t="e" cm="1" vm="1">
        <f t="array" aca="1" ref="AX628" ca="1">VLOOKUP(AI:AI,#REF!,1,FALSE)</f>
        <v>#VALUE!</v>
      </c>
    </row>
    <row r="629" spans="1:50">
      <c r="A629" s="220">
        <v>628</v>
      </c>
      <c r="B629" s="220" t="s">
        <v>3659</v>
      </c>
      <c r="C629" s="209" t="s">
        <v>17</v>
      </c>
      <c r="D629" s="209" t="s">
        <v>3648</v>
      </c>
      <c r="E629" s="209"/>
      <c r="F629" s="209"/>
      <c r="G629" s="209"/>
      <c r="H629" s="210" t="s">
        <v>5210</v>
      </c>
      <c r="I629" s="210"/>
      <c r="J629" s="211"/>
      <c r="K629" s="210"/>
      <c r="L629" s="212" t="s">
        <v>2999</v>
      </c>
      <c r="M629" s="212" t="s">
        <v>2999</v>
      </c>
      <c r="N629" s="213"/>
      <c r="O629" s="263">
        <v>4590007615</v>
      </c>
      <c r="P629" s="214">
        <v>44855</v>
      </c>
      <c r="Q629" s="334">
        <v>7</v>
      </c>
      <c r="R629" s="216">
        <v>25272</v>
      </c>
      <c r="S629" s="217" t="s">
        <v>2156</v>
      </c>
      <c r="T629" s="209" t="s">
        <v>3713</v>
      </c>
      <c r="U629" s="209" t="s">
        <v>3714</v>
      </c>
      <c r="V629" s="210" t="s">
        <v>3715</v>
      </c>
      <c r="W629" s="218" t="s">
        <v>3652</v>
      </c>
      <c r="X629" s="218" t="s">
        <v>3652</v>
      </c>
      <c r="Y629" s="212" t="s">
        <v>3767</v>
      </c>
      <c r="Z629" s="209" t="s">
        <v>3768</v>
      </c>
      <c r="AA629" s="215"/>
      <c r="AB629" s="218"/>
      <c r="AC629" s="217" t="e">
        <v>#N/A</v>
      </c>
      <c r="AD629" s="217">
        <v>91368</v>
      </c>
      <c r="AE629" s="217" t="s">
        <v>4936</v>
      </c>
      <c r="AF629" s="217" t="s">
        <v>3770</v>
      </c>
      <c r="AG629" s="217" t="s">
        <v>3771</v>
      </c>
      <c r="AH629" s="220" t="str">
        <f t="shared" si="40"/>
        <v>4590007615_007</v>
      </c>
      <c r="AI629" s="208"/>
      <c r="AJ629" s="220"/>
      <c r="AK629" s="221"/>
      <c r="AL629" s="227"/>
      <c r="AM629" s="208"/>
      <c r="AN629" s="220"/>
      <c r="AO629" s="222"/>
      <c r="AP629" s="227"/>
      <c r="AQ629" s="358">
        <f ca="1">IF(表格1[[#This Row],[PO$]]="","100%",表格1[[#This Row],[total amount]]/表格1[[#This Row],[PO$]])</f>
        <v>0</v>
      </c>
      <c r="AR629" s="223">
        <f ca="1">表格1[[#This Row],[invoice amount]]+表格1[[#This Row],[invoice amount2]]</f>
        <v>0</v>
      </c>
      <c r="AS629" s="224"/>
      <c r="AT629" s="208"/>
      <c r="AU629" s="208" t="e">
        <f ca="1">VLOOKUP(表格1[[#This Row],[PO+ITEM]],#REF!,2,FALSE)</f>
        <v>#REF!</v>
      </c>
      <c r="AV629" s="341" t="e">
        <f ca="1">VLOOKUP(表格1[[#This Row],[PO+ITEM]],#REF!,3,FALSE)</f>
        <v>#REF!</v>
      </c>
      <c r="AW629" s="208" t="e">
        <f ca="1">VLOOKUP(表格1[[#This Row],[PO+ITEM]],#REF!,4,FALSE)</f>
        <v>#REF!</v>
      </c>
      <c r="AX629" s="208" t="e" cm="1" vm="1">
        <f t="array" aca="1" ref="AX629" ca="1">VLOOKUP(AI:AI,#REF!,1,FALSE)</f>
        <v>#VALUE!</v>
      </c>
    </row>
    <row r="630" spans="1:50">
      <c r="A630" s="220">
        <v>629</v>
      </c>
      <c r="B630" s="220" t="s">
        <v>3659</v>
      </c>
      <c r="C630" s="209" t="s">
        <v>17</v>
      </c>
      <c r="D630" s="209" t="s">
        <v>3648</v>
      </c>
      <c r="E630" s="209"/>
      <c r="F630" s="209"/>
      <c r="G630" s="209"/>
      <c r="H630" s="210" t="s">
        <v>5211</v>
      </c>
      <c r="I630" s="210"/>
      <c r="J630" s="211"/>
      <c r="K630" s="210"/>
      <c r="L630" s="212" t="s">
        <v>2999</v>
      </c>
      <c r="M630" s="212" t="s">
        <v>2999</v>
      </c>
      <c r="N630" s="213"/>
      <c r="O630" s="263">
        <v>4590007615</v>
      </c>
      <c r="P630" s="214">
        <v>44855</v>
      </c>
      <c r="Q630" s="334">
        <v>8</v>
      </c>
      <c r="R630" s="216">
        <v>25272</v>
      </c>
      <c r="S630" s="217" t="s">
        <v>2156</v>
      </c>
      <c r="T630" s="209" t="s">
        <v>3713</v>
      </c>
      <c r="U630" s="209" t="s">
        <v>3714</v>
      </c>
      <c r="V630" s="213" t="s">
        <v>3715</v>
      </c>
      <c r="W630" s="218" t="s">
        <v>3652</v>
      </c>
      <c r="X630" s="218" t="s">
        <v>3652</v>
      </c>
      <c r="Y630" s="212" t="s">
        <v>3767</v>
      </c>
      <c r="Z630" s="209" t="s">
        <v>3768</v>
      </c>
      <c r="AA630" s="215"/>
      <c r="AB630" s="218"/>
      <c r="AC630" s="217" t="e">
        <v>#N/A</v>
      </c>
      <c r="AD630" s="217">
        <v>91369</v>
      </c>
      <c r="AE630" s="217" t="s">
        <v>3867</v>
      </c>
      <c r="AF630" s="217" t="s">
        <v>3770</v>
      </c>
      <c r="AG630" s="217" t="s">
        <v>3771</v>
      </c>
      <c r="AH630" s="220" t="str">
        <f t="shared" si="40"/>
        <v>4590007615_008</v>
      </c>
      <c r="AI630" s="208"/>
      <c r="AJ630" s="220"/>
      <c r="AK630" s="221"/>
      <c r="AL630" s="227"/>
      <c r="AM630" s="208"/>
      <c r="AN630" s="220"/>
      <c r="AO630" s="222"/>
      <c r="AP630" s="227"/>
      <c r="AQ630" s="358">
        <f ca="1">IF(表格1[[#This Row],[PO$]]="","100%",表格1[[#This Row],[total amount]]/表格1[[#This Row],[PO$]])</f>
        <v>0</v>
      </c>
      <c r="AR630" s="223">
        <f ca="1">表格1[[#This Row],[invoice amount]]+表格1[[#This Row],[invoice amount2]]</f>
        <v>0</v>
      </c>
      <c r="AS630" s="224"/>
      <c r="AT630" s="208"/>
      <c r="AU630" s="208" t="e">
        <f ca="1">VLOOKUP(表格1[[#This Row],[PO+ITEM]],#REF!,2,FALSE)</f>
        <v>#REF!</v>
      </c>
      <c r="AV630" s="341" t="e">
        <f ca="1">VLOOKUP(表格1[[#This Row],[PO+ITEM]],#REF!,3,FALSE)</f>
        <v>#REF!</v>
      </c>
      <c r="AW630" s="208" t="e">
        <f ca="1">VLOOKUP(表格1[[#This Row],[PO+ITEM]],#REF!,4,FALSE)</f>
        <v>#REF!</v>
      </c>
      <c r="AX630" s="208" t="e" cm="1" vm="1">
        <f t="array" aca="1" ref="AX630" ca="1">VLOOKUP(AI:AI,#REF!,1,FALSE)</f>
        <v>#VALUE!</v>
      </c>
    </row>
    <row r="631" spans="1:50">
      <c r="A631" s="220">
        <v>630</v>
      </c>
      <c r="B631" s="220" t="s">
        <v>3659</v>
      </c>
      <c r="C631" s="209" t="s">
        <v>17</v>
      </c>
      <c r="D631" s="209" t="s">
        <v>3648</v>
      </c>
      <c r="E631" s="209"/>
      <c r="F631" s="209"/>
      <c r="G631" s="209"/>
      <c r="H631" s="210" t="s">
        <v>5212</v>
      </c>
      <c r="I631" s="210"/>
      <c r="J631" s="211"/>
      <c r="K631" s="210"/>
      <c r="L631" s="212" t="s">
        <v>2999</v>
      </c>
      <c r="M631" s="212" t="s">
        <v>2999</v>
      </c>
      <c r="N631" s="213"/>
      <c r="O631" s="263">
        <v>4590007615</v>
      </c>
      <c r="P631" s="214">
        <v>44855</v>
      </c>
      <c r="Q631" s="334">
        <v>9</v>
      </c>
      <c r="R631" s="216">
        <v>25272</v>
      </c>
      <c r="S631" s="217" t="s">
        <v>2156</v>
      </c>
      <c r="T631" s="209" t="s">
        <v>3713</v>
      </c>
      <c r="U631" s="209" t="s">
        <v>3714</v>
      </c>
      <c r="V631" s="213" t="s">
        <v>3715</v>
      </c>
      <c r="W631" s="218" t="s">
        <v>3652</v>
      </c>
      <c r="X631" s="218" t="s">
        <v>3652</v>
      </c>
      <c r="Y631" s="212" t="s">
        <v>3767</v>
      </c>
      <c r="Z631" s="209" t="s">
        <v>3768</v>
      </c>
      <c r="AA631" s="215"/>
      <c r="AB631" s="218"/>
      <c r="AC631" s="217" t="e">
        <v>#N/A</v>
      </c>
      <c r="AD631" s="217">
        <v>91370</v>
      </c>
      <c r="AE631" s="217" t="s">
        <v>4938</v>
      </c>
      <c r="AF631" s="217" t="s">
        <v>3770</v>
      </c>
      <c r="AG631" s="217" t="s">
        <v>3771</v>
      </c>
      <c r="AH631" s="220" t="str">
        <f t="shared" si="40"/>
        <v>4590007615_009</v>
      </c>
      <c r="AI631" s="208"/>
      <c r="AJ631" s="220"/>
      <c r="AK631" s="221"/>
      <c r="AL631" s="227"/>
      <c r="AM631" s="208"/>
      <c r="AN631" s="220"/>
      <c r="AO631" s="222"/>
      <c r="AP631" s="227"/>
      <c r="AQ631" s="358">
        <f ca="1">IF(表格1[[#This Row],[PO$]]="","100%",表格1[[#This Row],[total amount]]/表格1[[#This Row],[PO$]])</f>
        <v>0</v>
      </c>
      <c r="AR631" s="223">
        <f ca="1">表格1[[#This Row],[invoice amount]]+表格1[[#This Row],[invoice amount2]]</f>
        <v>0</v>
      </c>
      <c r="AS631" s="224"/>
      <c r="AT631" s="208"/>
      <c r="AU631" s="208" t="e">
        <f ca="1">VLOOKUP(表格1[[#This Row],[PO+ITEM]],#REF!,2,FALSE)</f>
        <v>#REF!</v>
      </c>
      <c r="AV631" s="341" t="e">
        <f ca="1">VLOOKUP(表格1[[#This Row],[PO+ITEM]],#REF!,3,FALSE)</f>
        <v>#REF!</v>
      </c>
      <c r="AW631" s="208" t="e">
        <f ca="1">VLOOKUP(表格1[[#This Row],[PO+ITEM]],#REF!,4,FALSE)</f>
        <v>#REF!</v>
      </c>
      <c r="AX631" s="208" t="e" cm="1" vm="1">
        <f t="array" aca="1" ref="AX631" ca="1">VLOOKUP(AI:AI,#REF!,1,FALSE)</f>
        <v>#VALUE!</v>
      </c>
    </row>
    <row r="632" spans="1:50">
      <c r="A632" s="220">
        <v>631</v>
      </c>
      <c r="B632" s="220" t="s">
        <v>3659</v>
      </c>
      <c r="C632" s="209" t="s">
        <v>17</v>
      </c>
      <c r="D632" s="209" t="s">
        <v>3648</v>
      </c>
      <c r="E632" s="209"/>
      <c r="F632" s="209"/>
      <c r="G632" s="209"/>
      <c r="H632" s="210" t="s">
        <v>5213</v>
      </c>
      <c r="I632" s="210"/>
      <c r="J632" s="211"/>
      <c r="K632" s="210"/>
      <c r="L632" s="212" t="s">
        <v>2999</v>
      </c>
      <c r="M632" s="212" t="s">
        <v>2999</v>
      </c>
      <c r="N632" s="213"/>
      <c r="O632" s="263">
        <v>4590007615</v>
      </c>
      <c r="P632" s="214">
        <v>44855</v>
      </c>
      <c r="Q632" s="334">
        <v>10</v>
      </c>
      <c r="R632" s="216">
        <v>25272</v>
      </c>
      <c r="S632" s="217" t="s">
        <v>2156</v>
      </c>
      <c r="T632" s="209" t="s">
        <v>3713</v>
      </c>
      <c r="U632" s="209" t="s">
        <v>3714</v>
      </c>
      <c r="V632" s="213" t="s">
        <v>3715</v>
      </c>
      <c r="W632" s="218" t="s">
        <v>3652</v>
      </c>
      <c r="X632" s="218" t="s">
        <v>3652</v>
      </c>
      <c r="Y632" s="212" t="s">
        <v>3767</v>
      </c>
      <c r="Z632" s="209" t="s">
        <v>3768</v>
      </c>
      <c r="AA632" s="215"/>
      <c r="AB632" s="218"/>
      <c r="AC632" s="217" t="e">
        <v>#N/A</v>
      </c>
      <c r="AD632" s="217">
        <v>91371</v>
      </c>
      <c r="AE632" s="217" t="s">
        <v>4940</v>
      </c>
      <c r="AF632" s="217" t="s">
        <v>3770</v>
      </c>
      <c r="AG632" s="217" t="s">
        <v>3771</v>
      </c>
      <c r="AH632" s="220" t="str">
        <f t="shared" ref="AH632:AH642" si="41">O632&amp;"_0"&amp;Q632</f>
        <v>4590007615_010</v>
      </c>
      <c r="AI632" s="208"/>
      <c r="AJ632" s="220"/>
      <c r="AK632" s="221"/>
      <c r="AL632" s="227"/>
      <c r="AM632" s="208"/>
      <c r="AN632" s="220"/>
      <c r="AO632" s="222"/>
      <c r="AP632" s="227"/>
      <c r="AQ632" s="358">
        <f ca="1">IF(表格1[[#This Row],[PO$]]="","100%",表格1[[#This Row],[total amount]]/表格1[[#This Row],[PO$]])</f>
        <v>0</v>
      </c>
      <c r="AR632" s="223">
        <f ca="1">表格1[[#This Row],[invoice amount]]+表格1[[#This Row],[invoice amount2]]</f>
        <v>0</v>
      </c>
      <c r="AS632" s="224"/>
      <c r="AT632" s="208"/>
      <c r="AU632" s="208" t="e">
        <f ca="1">VLOOKUP(表格1[[#This Row],[PO+ITEM]],#REF!,2,FALSE)</f>
        <v>#REF!</v>
      </c>
      <c r="AV632" s="341" t="e">
        <f ca="1">VLOOKUP(表格1[[#This Row],[PO+ITEM]],#REF!,3,FALSE)</f>
        <v>#REF!</v>
      </c>
      <c r="AW632" s="208" t="e">
        <f ca="1">VLOOKUP(表格1[[#This Row],[PO+ITEM]],#REF!,4,FALSE)</f>
        <v>#REF!</v>
      </c>
      <c r="AX632" s="208" t="e" cm="1" vm="1">
        <f t="array" aca="1" ref="AX632" ca="1">VLOOKUP(AI:AI,#REF!,1,FALSE)</f>
        <v>#VALUE!</v>
      </c>
    </row>
    <row r="633" spans="1:50">
      <c r="A633" s="220">
        <v>632</v>
      </c>
      <c r="B633" s="220" t="s">
        <v>3659</v>
      </c>
      <c r="C633" s="209" t="s">
        <v>17</v>
      </c>
      <c r="D633" s="209" t="s">
        <v>3648</v>
      </c>
      <c r="E633" s="209"/>
      <c r="F633" s="209"/>
      <c r="G633" s="209"/>
      <c r="H633" s="210" t="s">
        <v>5214</v>
      </c>
      <c r="I633" s="210"/>
      <c r="J633" s="211"/>
      <c r="K633" s="210"/>
      <c r="L633" s="212" t="s">
        <v>2999</v>
      </c>
      <c r="M633" s="212" t="s">
        <v>2999</v>
      </c>
      <c r="N633" s="213"/>
      <c r="O633" s="263">
        <v>4590007615</v>
      </c>
      <c r="P633" s="214">
        <v>44855</v>
      </c>
      <c r="Q633" s="334">
        <v>11</v>
      </c>
      <c r="R633" s="216">
        <v>25272</v>
      </c>
      <c r="S633" s="217" t="s">
        <v>2156</v>
      </c>
      <c r="T633" s="209" t="s">
        <v>3713</v>
      </c>
      <c r="U633" s="209" t="s">
        <v>3714</v>
      </c>
      <c r="V633" s="213" t="s">
        <v>3715</v>
      </c>
      <c r="W633" s="218" t="s">
        <v>3652</v>
      </c>
      <c r="X633" s="218" t="s">
        <v>3652</v>
      </c>
      <c r="Y633" s="212" t="s">
        <v>3767</v>
      </c>
      <c r="Z633" s="209" t="s">
        <v>3768</v>
      </c>
      <c r="AA633" s="215"/>
      <c r="AB633" s="218"/>
      <c r="AC633" s="217" t="e">
        <v>#N/A</v>
      </c>
      <c r="AD633" s="217">
        <v>91372</v>
      </c>
      <c r="AE633" s="217" t="s">
        <v>4942</v>
      </c>
      <c r="AF633" s="217" t="s">
        <v>3770</v>
      </c>
      <c r="AG633" s="217" t="s">
        <v>3771</v>
      </c>
      <c r="AH633" s="220" t="str">
        <f t="shared" si="41"/>
        <v>4590007615_011</v>
      </c>
      <c r="AI633" s="208"/>
      <c r="AJ633" s="220"/>
      <c r="AK633" s="221"/>
      <c r="AL633" s="227"/>
      <c r="AM633" s="208"/>
      <c r="AN633" s="220"/>
      <c r="AO633" s="222"/>
      <c r="AP633" s="227"/>
      <c r="AQ633" s="358">
        <f ca="1">IF(表格1[[#This Row],[PO$]]="","100%",表格1[[#This Row],[total amount]]/表格1[[#This Row],[PO$]])</f>
        <v>0</v>
      </c>
      <c r="AR633" s="223">
        <f ca="1">表格1[[#This Row],[invoice amount]]+表格1[[#This Row],[invoice amount2]]</f>
        <v>0</v>
      </c>
      <c r="AS633" s="224"/>
      <c r="AT633" s="208"/>
      <c r="AU633" s="208" t="e">
        <f ca="1">VLOOKUP(表格1[[#This Row],[PO+ITEM]],#REF!,2,FALSE)</f>
        <v>#REF!</v>
      </c>
      <c r="AV633" s="341" t="e">
        <f ca="1">VLOOKUP(表格1[[#This Row],[PO+ITEM]],#REF!,3,FALSE)</f>
        <v>#REF!</v>
      </c>
      <c r="AW633" s="208" t="e">
        <f ca="1">VLOOKUP(表格1[[#This Row],[PO+ITEM]],#REF!,4,FALSE)</f>
        <v>#REF!</v>
      </c>
      <c r="AX633" s="208" t="e" cm="1" vm="1">
        <f t="array" aca="1" ref="AX633" ca="1">VLOOKUP(AI:AI,#REF!,1,FALSE)</f>
        <v>#VALUE!</v>
      </c>
    </row>
    <row r="634" spans="1:50" ht="15.6">
      <c r="A634" s="220">
        <v>633</v>
      </c>
      <c r="B634" s="220" t="s">
        <v>3674</v>
      </c>
      <c r="C634" s="209" t="s">
        <v>17</v>
      </c>
      <c r="D634" s="209" t="s">
        <v>3648</v>
      </c>
      <c r="E634" s="209"/>
      <c r="F634" s="209"/>
      <c r="G634" s="209"/>
      <c r="H634" s="210" t="s">
        <v>5215</v>
      </c>
      <c r="I634" s="210"/>
      <c r="J634" s="211"/>
      <c r="K634" s="210"/>
      <c r="L634" s="212" t="s">
        <v>2999</v>
      </c>
      <c r="M634" s="212" t="s">
        <v>2999</v>
      </c>
      <c r="N634" s="213"/>
      <c r="O634" s="263">
        <v>4590007615</v>
      </c>
      <c r="P634" s="214">
        <v>44855</v>
      </c>
      <c r="Q634" s="334">
        <v>12</v>
      </c>
      <c r="R634" s="216">
        <v>25272</v>
      </c>
      <c r="S634" s="217" t="s">
        <v>2156</v>
      </c>
      <c r="T634" s="209" t="s">
        <v>3713</v>
      </c>
      <c r="U634" s="209" t="s">
        <v>3714</v>
      </c>
      <c r="V634" s="213" t="s">
        <v>3715</v>
      </c>
      <c r="W634" s="218" t="s">
        <v>3652</v>
      </c>
      <c r="X634" s="218" t="s">
        <v>3652</v>
      </c>
      <c r="Y634" s="212" t="s">
        <v>3767</v>
      </c>
      <c r="Z634" s="209" t="s">
        <v>3768</v>
      </c>
      <c r="AA634" s="215"/>
      <c r="AB634" s="218"/>
      <c r="AC634" s="217" t="e">
        <v>#N/A</v>
      </c>
      <c r="AD634" s="217">
        <v>90569</v>
      </c>
      <c r="AE634" s="217" t="s">
        <v>4391</v>
      </c>
      <c r="AF634" s="217" t="s">
        <v>3770</v>
      </c>
      <c r="AG634" s="217" t="s">
        <v>3771</v>
      </c>
      <c r="AH634" s="220" t="str">
        <f t="shared" si="41"/>
        <v>4590007615_012</v>
      </c>
      <c r="AI634" s="208" t="s">
        <v>5216</v>
      </c>
      <c r="AJ634" s="227">
        <v>45415</v>
      </c>
      <c r="AK634" s="222">
        <v>25272</v>
      </c>
      <c r="AL634" s="314" t="s">
        <v>6691</v>
      </c>
      <c r="AM634" s="208"/>
      <c r="AN634" s="220"/>
      <c r="AO634" s="222"/>
      <c r="AP634" s="227"/>
      <c r="AQ634" s="358">
        <f ca="1">IF(表格1[[#This Row],[PO$]]="","100%",表格1[[#This Row],[total amount]]/表格1[[#This Row],[PO$]])</f>
        <v>1</v>
      </c>
      <c r="AR634" s="223">
        <f ca="1">表格1[[#This Row],[invoice amount]]+表格1[[#This Row],[invoice amount2]]</f>
        <v>25272</v>
      </c>
      <c r="AS634" s="224" t="s">
        <v>3752</v>
      </c>
      <c r="AT634" s="208" t="s">
        <v>3773</v>
      </c>
      <c r="AU634" s="208" t="e">
        <f ca="1">VLOOKUP(表格1[[#This Row],[PO+ITEM]],#REF!,2,FALSE)</f>
        <v>#REF!</v>
      </c>
      <c r="AV634" s="341" t="e">
        <f ca="1">VLOOKUP(表格1[[#This Row],[PO+ITEM]],#REF!,3,FALSE)</f>
        <v>#REF!</v>
      </c>
      <c r="AW634" s="208" t="e">
        <f ca="1">VLOOKUP(表格1[[#This Row],[PO+ITEM]],#REF!,4,FALSE)</f>
        <v>#REF!</v>
      </c>
      <c r="AX634" s="208" t="e" cm="1" vm="1">
        <f t="array" aca="1" ref="AX634" ca="1">VLOOKUP(AI:AI,#REF!,1,FALSE)</f>
        <v>#VALUE!</v>
      </c>
    </row>
    <row r="635" spans="1:50">
      <c r="A635" s="220">
        <v>634</v>
      </c>
      <c r="B635" s="220" t="s">
        <v>3659</v>
      </c>
      <c r="C635" s="209" t="s">
        <v>17</v>
      </c>
      <c r="D635" s="209" t="s">
        <v>3648</v>
      </c>
      <c r="E635" s="209"/>
      <c r="F635" s="209"/>
      <c r="G635" s="209"/>
      <c r="H635" s="210" t="s">
        <v>5217</v>
      </c>
      <c r="I635" s="210"/>
      <c r="J635" s="211"/>
      <c r="K635" s="210"/>
      <c r="L635" s="212" t="s">
        <v>2999</v>
      </c>
      <c r="M635" s="212" t="s">
        <v>2999</v>
      </c>
      <c r="N635" s="213"/>
      <c r="O635" s="263">
        <v>4590007615</v>
      </c>
      <c r="P635" s="214">
        <v>44855</v>
      </c>
      <c r="Q635" s="334">
        <v>13</v>
      </c>
      <c r="R635" s="216">
        <v>25272</v>
      </c>
      <c r="S635" s="217" t="s">
        <v>2156</v>
      </c>
      <c r="T635" s="209" t="s">
        <v>3713</v>
      </c>
      <c r="U635" s="209" t="s">
        <v>3714</v>
      </c>
      <c r="V635" s="213" t="s">
        <v>3715</v>
      </c>
      <c r="W635" s="218" t="s">
        <v>3652</v>
      </c>
      <c r="X635" s="218" t="s">
        <v>3652</v>
      </c>
      <c r="Y635" s="212" t="s">
        <v>3767</v>
      </c>
      <c r="Z635" s="209" t="s">
        <v>3768</v>
      </c>
      <c r="AA635" s="215"/>
      <c r="AB635" s="218"/>
      <c r="AC635" s="217" t="e">
        <v>#N/A</v>
      </c>
      <c r="AD635" s="217">
        <v>91375</v>
      </c>
      <c r="AE635" s="217" t="s">
        <v>4944</v>
      </c>
      <c r="AF635" s="217" t="s">
        <v>3770</v>
      </c>
      <c r="AG635" s="217" t="s">
        <v>3771</v>
      </c>
      <c r="AH635" s="220" t="str">
        <f t="shared" si="41"/>
        <v>4590007615_013</v>
      </c>
      <c r="AI635" s="208"/>
      <c r="AJ635" s="220"/>
      <c r="AK635" s="221"/>
      <c r="AL635" s="227"/>
      <c r="AM635" s="208"/>
      <c r="AN635" s="220"/>
      <c r="AO635" s="222"/>
      <c r="AP635" s="227"/>
      <c r="AQ635" s="358">
        <f ca="1">IF(表格1[[#This Row],[PO$]]="","100%",表格1[[#This Row],[total amount]]/表格1[[#This Row],[PO$]])</f>
        <v>0</v>
      </c>
      <c r="AR635" s="223">
        <f ca="1">表格1[[#This Row],[invoice amount]]+表格1[[#This Row],[invoice amount2]]</f>
        <v>0</v>
      </c>
      <c r="AS635" s="224"/>
      <c r="AT635" s="208"/>
      <c r="AU635" s="208" t="e">
        <f ca="1">VLOOKUP(表格1[[#This Row],[PO+ITEM]],#REF!,2,FALSE)</f>
        <v>#REF!</v>
      </c>
      <c r="AV635" s="341" t="e">
        <f ca="1">VLOOKUP(表格1[[#This Row],[PO+ITEM]],#REF!,3,FALSE)</f>
        <v>#REF!</v>
      </c>
      <c r="AW635" s="208" t="e">
        <f ca="1">VLOOKUP(表格1[[#This Row],[PO+ITEM]],#REF!,4,FALSE)</f>
        <v>#REF!</v>
      </c>
      <c r="AX635" s="208" t="e" cm="1" vm="1">
        <f t="array" aca="1" ref="AX635" ca="1">VLOOKUP(AI:AI,#REF!,1,FALSE)</f>
        <v>#VALUE!</v>
      </c>
    </row>
    <row r="636" spans="1:50">
      <c r="A636" s="220">
        <v>635</v>
      </c>
      <c r="B636" s="220" t="s">
        <v>3659</v>
      </c>
      <c r="C636" s="209" t="s">
        <v>17</v>
      </c>
      <c r="D636" s="209" t="s">
        <v>3648</v>
      </c>
      <c r="E636" s="209"/>
      <c r="F636" s="209"/>
      <c r="G636" s="209"/>
      <c r="H636" s="210" t="s">
        <v>5218</v>
      </c>
      <c r="I636" s="210"/>
      <c r="J636" s="211"/>
      <c r="K636" s="210"/>
      <c r="L636" s="212" t="s">
        <v>2999</v>
      </c>
      <c r="M636" s="212" t="s">
        <v>2999</v>
      </c>
      <c r="N636" s="213"/>
      <c r="O636" s="263">
        <v>4590007615</v>
      </c>
      <c r="P636" s="214">
        <v>44855</v>
      </c>
      <c r="Q636" s="334">
        <v>14</v>
      </c>
      <c r="R636" s="216">
        <v>25272</v>
      </c>
      <c r="S636" s="217" t="s">
        <v>2156</v>
      </c>
      <c r="T636" s="209" t="s">
        <v>3713</v>
      </c>
      <c r="U636" s="209" t="s">
        <v>3714</v>
      </c>
      <c r="V636" s="213" t="s">
        <v>3715</v>
      </c>
      <c r="W636" s="218" t="s">
        <v>3652</v>
      </c>
      <c r="X636" s="218" t="s">
        <v>3652</v>
      </c>
      <c r="Y636" s="212" t="s">
        <v>3767</v>
      </c>
      <c r="Z636" s="209" t="s">
        <v>3768</v>
      </c>
      <c r="AA636" s="215"/>
      <c r="AB636" s="218"/>
      <c r="AC636" s="217" t="e">
        <v>#N/A</v>
      </c>
      <c r="AD636" s="217">
        <v>91360</v>
      </c>
      <c r="AE636" s="217" t="s">
        <v>4928</v>
      </c>
      <c r="AF636" s="217" t="s">
        <v>3770</v>
      </c>
      <c r="AG636" s="217" t="s">
        <v>3771</v>
      </c>
      <c r="AH636" s="220" t="str">
        <f t="shared" si="41"/>
        <v>4590007615_014</v>
      </c>
      <c r="AI636" s="208"/>
      <c r="AJ636" s="220"/>
      <c r="AK636" s="221"/>
      <c r="AL636" s="227"/>
      <c r="AM636" s="208"/>
      <c r="AN636" s="220"/>
      <c r="AO636" s="222"/>
      <c r="AP636" s="227"/>
      <c r="AQ636" s="358">
        <f ca="1">IF(表格1[[#This Row],[PO$]]="","100%",表格1[[#This Row],[total amount]]/表格1[[#This Row],[PO$]])</f>
        <v>0</v>
      </c>
      <c r="AR636" s="223">
        <f ca="1">表格1[[#This Row],[invoice amount]]+表格1[[#This Row],[invoice amount2]]</f>
        <v>0</v>
      </c>
      <c r="AS636" s="224"/>
      <c r="AT636" s="208"/>
      <c r="AU636" s="208" t="e">
        <f ca="1">VLOOKUP(表格1[[#This Row],[PO+ITEM]],#REF!,2,FALSE)</f>
        <v>#REF!</v>
      </c>
      <c r="AV636" s="341" t="e">
        <f ca="1">VLOOKUP(表格1[[#This Row],[PO+ITEM]],#REF!,3,FALSE)</f>
        <v>#REF!</v>
      </c>
      <c r="AW636" s="208" t="e">
        <f ca="1">VLOOKUP(表格1[[#This Row],[PO+ITEM]],#REF!,4,FALSE)</f>
        <v>#REF!</v>
      </c>
      <c r="AX636" s="208" t="e" cm="1" vm="1">
        <f t="array" aca="1" ref="AX636" ca="1">VLOOKUP(AI:AI,#REF!,1,FALSE)</f>
        <v>#VALUE!</v>
      </c>
    </row>
    <row r="637" spans="1:50">
      <c r="A637" s="220">
        <v>636</v>
      </c>
      <c r="B637" s="220" t="s">
        <v>3659</v>
      </c>
      <c r="C637" s="209" t="s">
        <v>17</v>
      </c>
      <c r="D637" s="209" t="s">
        <v>3648</v>
      </c>
      <c r="E637" s="209"/>
      <c r="F637" s="209"/>
      <c r="G637" s="209"/>
      <c r="H637" s="210" t="s">
        <v>5219</v>
      </c>
      <c r="I637" s="210"/>
      <c r="J637" s="211"/>
      <c r="K637" s="210"/>
      <c r="L637" s="212" t="s">
        <v>2999</v>
      </c>
      <c r="M637" s="212" t="s">
        <v>2999</v>
      </c>
      <c r="N637" s="213"/>
      <c r="O637" s="263">
        <v>4590007615</v>
      </c>
      <c r="P637" s="214">
        <v>44855</v>
      </c>
      <c r="Q637" s="334">
        <v>15</v>
      </c>
      <c r="R637" s="216">
        <v>25272</v>
      </c>
      <c r="S637" s="217" t="s">
        <v>2156</v>
      </c>
      <c r="T637" s="209" t="s">
        <v>3713</v>
      </c>
      <c r="U637" s="209" t="s">
        <v>3714</v>
      </c>
      <c r="V637" s="213" t="s">
        <v>3715</v>
      </c>
      <c r="W637" s="218" t="s">
        <v>3652</v>
      </c>
      <c r="X637" s="218" t="s">
        <v>3652</v>
      </c>
      <c r="Y637" s="212" t="s">
        <v>3767</v>
      </c>
      <c r="Z637" s="209" t="s">
        <v>3768</v>
      </c>
      <c r="AA637" s="215"/>
      <c r="AB637" s="218"/>
      <c r="AC637" s="217" t="e">
        <v>#N/A</v>
      </c>
      <c r="AD637" s="217">
        <v>91376</v>
      </c>
      <c r="AE637" s="217" t="s">
        <v>4946</v>
      </c>
      <c r="AF637" s="217" t="s">
        <v>3770</v>
      </c>
      <c r="AG637" s="217" t="s">
        <v>3771</v>
      </c>
      <c r="AH637" s="220" t="str">
        <f t="shared" si="41"/>
        <v>4590007615_015</v>
      </c>
      <c r="AI637" s="208"/>
      <c r="AJ637" s="220"/>
      <c r="AK637" s="221"/>
      <c r="AL637" s="227"/>
      <c r="AM637" s="208"/>
      <c r="AN637" s="220"/>
      <c r="AO637" s="222"/>
      <c r="AP637" s="227"/>
      <c r="AQ637" s="358">
        <f ca="1">IF(表格1[[#This Row],[PO$]]="","100%",表格1[[#This Row],[total amount]]/表格1[[#This Row],[PO$]])</f>
        <v>0</v>
      </c>
      <c r="AR637" s="223">
        <f ca="1">表格1[[#This Row],[invoice amount]]+表格1[[#This Row],[invoice amount2]]</f>
        <v>0</v>
      </c>
      <c r="AS637" s="224"/>
      <c r="AT637" s="208"/>
      <c r="AU637" s="208" t="e">
        <f ca="1">VLOOKUP(表格1[[#This Row],[PO+ITEM]],#REF!,2,FALSE)</f>
        <v>#REF!</v>
      </c>
      <c r="AV637" s="341" t="e">
        <f ca="1">VLOOKUP(表格1[[#This Row],[PO+ITEM]],#REF!,3,FALSE)</f>
        <v>#REF!</v>
      </c>
      <c r="AW637" s="208" t="e">
        <f ca="1">VLOOKUP(表格1[[#This Row],[PO+ITEM]],#REF!,4,FALSE)</f>
        <v>#REF!</v>
      </c>
      <c r="AX637" s="208" t="e" cm="1" vm="1">
        <f t="array" aca="1" ref="AX637" ca="1">VLOOKUP(AI:AI,#REF!,1,FALSE)</f>
        <v>#VALUE!</v>
      </c>
    </row>
    <row r="638" spans="1:50">
      <c r="A638" s="220">
        <v>637</v>
      </c>
      <c r="B638" s="220" t="s">
        <v>3659</v>
      </c>
      <c r="C638" s="209" t="s">
        <v>17</v>
      </c>
      <c r="D638" s="209" t="s">
        <v>3648</v>
      </c>
      <c r="E638" s="209"/>
      <c r="F638" s="209"/>
      <c r="G638" s="209"/>
      <c r="H638" s="210" t="s">
        <v>5220</v>
      </c>
      <c r="I638" s="210"/>
      <c r="J638" s="211"/>
      <c r="K638" s="210"/>
      <c r="L638" s="212" t="s">
        <v>2999</v>
      </c>
      <c r="M638" s="212" t="s">
        <v>2999</v>
      </c>
      <c r="N638" s="213"/>
      <c r="O638" s="263">
        <v>4590007615</v>
      </c>
      <c r="P638" s="214">
        <v>44855</v>
      </c>
      <c r="Q638" s="334">
        <v>16</v>
      </c>
      <c r="R638" s="216">
        <v>25272</v>
      </c>
      <c r="S638" s="217" t="s">
        <v>2156</v>
      </c>
      <c r="T638" s="209" t="s">
        <v>3713</v>
      </c>
      <c r="U638" s="209" t="s">
        <v>3714</v>
      </c>
      <c r="V638" s="213" t="s">
        <v>3715</v>
      </c>
      <c r="W638" s="218" t="s">
        <v>3652</v>
      </c>
      <c r="X638" s="218" t="s">
        <v>3652</v>
      </c>
      <c r="Y638" s="212" t="s">
        <v>3767</v>
      </c>
      <c r="Z638" s="209" t="s">
        <v>3768</v>
      </c>
      <c r="AA638" s="215"/>
      <c r="AB638" s="218"/>
      <c r="AC638" s="217" t="e">
        <v>#N/A</v>
      </c>
      <c r="AD638" s="217">
        <v>91361</v>
      </c>
      <c r="AE638" s="217" t="s">
        <v>4930</v>
      </c>
      <c r="AF638" s="217" t="s">
        <v>3770</v>
      </c>
      <c r="AG638" s="217" t="s">
        <v>3771</v>
      </c>
      <c r="AH638" s="220" t="str">
        <f t="shared" si="41"/>
        <v>4590007615_016</v>
      </c>
      <c r="AI638" s="208"/>
      <c r="AJ638" s="220"/>
      <c r="AK638" s="221"/>
      <c r="AL638" s="227"/>
      <c r="AM638" s="208"/>
      <c r="AN638" s="220"/>
      <c r="AO638" s="222"/>
      <c r="AP638" s="227"/>
      <c r="AQ638" s="358">
        <f ca="1">IF(表格1[[#This Row],[PO$]]="","100%",表格1[[#This Row],[total amount]]/表格1[[#This Row],[PO$]])</f>
        <v>0</v>
      </c>
      <c r="AR638" s="223">
        <f ca="1">表格1[[#This Row],[invoice amount]]+表格1[[#This Row],[invoice amount2]]</f>
        <v>0</v>
      </c>
      <c r="AS638" s="224"/>
      <c r="AT638" s="208"/>
      <c r="AU638" s="208" t="e">
        <f ca="1">VLOOKUP(表格1[[#This Row],[PO+ITEM]],#REF!,2,FALSE)</f>
        <v>#REF!</v>
      </c>
      <c r="AV638" s="341" t="e">
        <f ca="1">VLOOKUP(表格1[[#This Row],[PO+ITEM]],#REF!,3,FALSE)</f>
        <v>#REF!</v>
      </c>
      <c r="AW638" s="208" t="e">
        <f ca="1">VLOOKUP(表格1[[#This Row],[PO+ITEM]],#REF!,4,FALSE)</f>
        <v>#REF!</v>
      </c>
      <c r="AX638" s="208" t="e" cm="1" vm="1">
        <f t="array" aca="1" ref="AX638" ca="1">VLOOKUP(AI:AI,#REF!,1,FALSE)</f>
        <v>#VALUE!</v>
      </c>
    </row>
    <row r="639" spans="1:50" s="230" customFormat="1">
      <c r="A639" s="239">
        <v>638</v>
      </c>
      <c r="B639" s="220" t="s">
        <v>3659</v>
      </c>
      <c r="C639" s="231" t="s">
        <v>17</v>
      </c>
      <c r="D639" s="231" t="s">
        <v>3648</v>
      </c>
      <c r="E639" s="231"/>
      <c r="F639" s="231"/>
      <c r="G639" s="231"/>
      <c r="H639" s="270" t="s">
        <v>5221</v>
      </c>
      <c r="I639" s="270"/>
      <c r="J639" s="271"/>
      <c r="K639" s="270"/>
      <c r="L639" s="234" t="s">
        <v>2999</v>
      </c>
      <c r="M639" s="234" t="s">
        <v>2999</v>
      </c>
      <c r="N639" s="235"/>
      <c r="O639" s="268">
        <v>4590007615</v>
      </c>
      <c r="P639" s="236">
        <v>44855</v>
      </c>
      <c r="Q639" s="336">
        <v>17</v>
      </c>
      <c r="R639" s="237"/>
      <c r="S639" s="232" t="s">
        <v>2156</v>
      </c>
      <c r="T639" s="231" t="s">
        <v>3713</v>
      </c>
      <c r="U639" s="231" t="s">
        <v>3714</v>
      </c>
      <c r="V639" s="235" t="s">
        <v>3715</v>
      </c>
      <c r="W639" s="238" t="s">
        <v>3652</v>
      </c>
      <c r="X639" s="238" t="s">
        <v>3652</v>
      </c>
      <c r="Y639" s="234" t="s">
        <v>3767</v>
      </c>
      <c r="Z639" s="231" t="s">
        <v>3768</v>
      </c>
      <c r="AA639" s="233"/>
      <c r="AB639" s="238"/>
      <c r="AC639" s="232" t="e">
        <v>#N/A</v>
      </c>
      <c r="AD639" s="232">
        <v>91364</v>
      </c>
      <c r="AE639" s="232" t="s">
        <v>4932</v>
      </c>
      <c r="AF639" s="232" t="s">
        <v>3770</v>
      </c>
      <c r="AG639" s="232" t="s">
        <v>3771</v>
      </c>
      <c r="AH639" s="239" t="str">
        <f t="shared" si="41"/>
        <v>4590007615_017</v>
      </c>
      <c r="AJ639" s="239"/>
      <c r="AK639" s="240"/>
      <c r="AL639" s="302"/>
      <c r="AN639" s="239"/>
      <c r="AO639" s="241"/>
      <c r="AP639" s="302"/>
      <c r="AQ639" s="358" t="str">
        <f ca="1">IF(表格1[[#This Row],[PO$]]="","100%",表格1[[#This Row],[total amount]]/表格1[[#This Row],[PO$]])</f>
        <v>100%</v>
      </c>
      <c r="AR639" s="242"/>
      <c r="AS639" s="243"/>
      <c r="AT639" s="208"/>
      <c r="AU639" s="208" t="e">
        <f ca="1">VLOOKUP(表格1[[#This Row],[PO+ITEM]],#REF!,2,FALSE)</f>
        <v>#REF!</v>
      </c>
      <c r="AV639" s="341" t="e">
        <f ca="1">VLOOKUP(表格1[[#This Row],[PO+ITEM]],#REF!,3,FALSE)</f>
        <v>#REF!</v>
      </c>
      <c r="AW639" s="208" t="e">
        <f ca="1">VLOOKUP(表格1[[#This Row],[PO+ITEM]],#REF!,4,FALSE)</f>
        <v>#REF!</v>
      </c>
      <c r="AX639" s="208" t="e" cm="1" vm="1">
        <f t="array" aca="1" ref="AX639" ca="1">VLOOKUP(AI:AI,#REF!,1,FALSE)</f>
        <v>#VALUE!</v>
      </c>
    </row>
    <row r="640" spans="1:50">
      <c r="A640" s="220">
        <v>639</v>
      </c>
      <c r="B640" s="220" t="s">
        <v>3659</v>
      </c>
      <c r="C640" s="209" t="s">
        <v>17</v>
      </c>
      <c r="D640" s="209" t="s">
        <v>3648</v>
      </c>
      <c r="E640" s="209"/>
      <c r="F640" s="209"/>
      <c r="G640" s="209"/>
      <c r="H640" s="210" t="s">
        <v>5222</v>
      </c>
      <c r="I640" s="210"/>
      <c r="J640" s="211"/>
      <c r="K640" s="210"/>
      <c r="L640" s="212" t="s">
        <v>2999</v>
      </c>
      <c r="M640" s="212" t="s">
        <v>2999</v>
      </c>
      <c r="N640" s="213"/>
      <c r="O640" s="263">
        <v>4590007615</v>
      </c>
      <c r="P640" s="214">
        <v>44855</v>
      </c>
      <c r="Q640" s="334">
        <v>18</v>
      </c>
      <c r="R640" s="216">
        <v>25272</v>
      </c>
      <c r="S640" s="217" t="s">
        <v>2156</v>
      </c>
      <c r="T640" s="209" t="s">
        <v>3713</v>
      </c>
      <c r="U640" s="209" t="s">
        <v>3714</v>
      </c>
      <c r="V640" s="213" t="s">
        <v>3715</v>
      </c>
      <c r="W640" s="218" t="s">
        <v>3652</v>
      </c>
      <c r="X640" s="218" t="s">
        <v>3652</v>
      </c>
      <c r="Y640" s="212" t="s">
        <v>3767</v>
      </c>
      <c r="Z640" s="209" t="s">
        <v>3768</v>
      </c>
      <c r="AA640" s="215"/>
      <c r="AB640" s="218"/>
      <c r="AC640" s="217" t="e">
        <v>#N/A</v>
      </c>
      <c r="AD640" s="217">
        <v>91377</v>
      </c>
      <c r="AE640" s="217" t="s">
        <v>4948</v>
      </c>
      <c r="AF640" s="217" t="s">
        <v>3770</v>
      </c>
      <c r="AG640" s="217" t="s">
        <v>3771</v>
      </c>
      <c r="AH640" s="220" t="str">
        <f t="shared" si="41"/>
        <v>4590007615_018</v>
      </c>
      <c r="AI640" s="208"/>
      <c r="AJ640" s="220"/>
      <c r="AK640" s="221"/>
      <c r="AL640" s="227"/>
      <c r="AM640" s="208"/>
      <c r="AN640" s="220"/>
      <c r="AO640" s="222"/>
      <c r="AP640" s="227"/>
      <c r="AQ640" s="358">
        <f ca="1">IF(表格1[[#This Row],[PO$]]="","100%",表格1[[#This Row],[total amount]]/表格1[[#This Row],[PO$]])</f>
        <v>0</v>
      </c>
      <c r="AR640" s="223">
        <f ca="1">表格1[[#This Row],[invoice amount]]+表格1[[#This Row],[invoice amount2]]</f>
        <v>0</v>
      </c>
      <c r="AS640" s="224"/>
      <c r="AT640" s="208"/>
      <c r="AU640" s="208" t="e">
        <f ca="1">VLOOKUP(表格1[[#This Row],[PO+ITEM]],#REF!,2,FALSE)</f>
        <v>#REF!</v>
      </c>
      <c r="AV640" s="341" t="e">
        <f ca="1">VLOOKUP(表格1[[#This Row],[PO+ITEM]],#REF!,3,FALSE)</f>
        <v>#REF!</v>
      </c>
      <c r="AW640" s="208" t="e">
        <f ca="1">VLOOKUP(表格1[[#This Row],[PO+ITEM]],#REF!,4,FALSE)</f>
        <v>#REF!</v>
      </c>
      <c r="AX640" s="208" t="e" cm="1" vm="1">
        <f t="array" aca="1" ref="AX640" ca="1">VLOOKUP(AI:AI,#REF!,1,FALSE)</f>
        <v>#VALUE!</v>
      </c>
    </row>
    <row r="641" spans="1:50">
      <c r="A641" s="220">
        <v>640</v>
      </c>
      <c r="B641" s="220" t="s">
        <v>3659</v>
      </c>
      <c r="C641" s="209" t="s">
        <v>17</v>
      </c>
      <c r="D641" s="209" t="s">
        <v>3648</v>
      </c>
      <c r="E641" s="209"/>
      <c r="F641" s="209"/>
      <c r="G641" s="209"/>
      <c r="H641" s="210" t="s">
        <v>5223</v>
      </c>
      <c r="I641" s="210"/>
      <c r="J641" s="211"/>
      <c r="K641" s="210"/>
      <c r="L641" s="212" t="s">
        <v>2999</v>
      </c>
      <c r="M641" s="212" t="s">
        <v>2999</v>
      </c>
      <c r="N641" s="213"/>
      <c r="O641" s="263">
        <v>4590007615</v>
      </c>
      <c r="P641" s="214">
        <v>44855</v>
      </c>
      <c r="Q641" s="334">
        <v>19</v>
      </c>
      <c r="R641" s="216">
        <v>25272</v>
      </c>
      <c r="S641" s="217" t="s">
        <v>2156</v>
      </c>
      <c r="T641" s="209" t="s">
        <v>3713</v>
      </c>
      <c r="U641" s="209" t="s">
        <v>3714</v>
      </c>
      <c r="V641" s="213" t="s">
        <v>3715</v>
      </c>
      <c r="W641" s="218" t="s">
        <v>3652</v>
      </c>
      <c r="X641" s="218" t="s">
        <v>3652</v>
      </c>
      <c r="Y641" s="212" t="s">
        <v>3767</v>
      </c>
      <c r="Z641" s="209" t="s">
        <v>3768</v>
      </c>
      <c r="AA641" s="215"/>
      <c r="AB641" s="218"/>
      <c r="AC641" s="217" t="e">
        <v>#N/A</v>
      </c>
      <c r="AD641" s="217">
        <v>91378</v>
      </c>
      <c r="AE641" s="217" t="s">
        <v>4950</v>
      </c>
      <c r="AF641" s="217" t="s">
        <v>3770</v>
      </c>
      <c r="AG641" s="217" t="s">
        <v>3771</v>
      </c>
      <c r="AH641" s="220" t="str">
        <f t="shared" si="41"/>
        <v>4590007615_019</v>
      </c>
      <c r="AI641" s="208"/>
      <c r="AJ641" s="220"/>
      <c r="AK641" s="221"/>
      <c r="AL641" s="227"/>
      <c r="AM641" s="208"/>
      <c r="AN641" s="220"/>
      <c r="AO641" s="222"/>
      <c r="AP641" s="227"/>
      <c r="AQ641" s="358">
        <f ca="1">IF(表格1[[#This Row],[PO$]]="","100%",表格1[[#This Row],[total amount]]/表格1[[#This Row],[PO$]])</f>
        <v>0</v>
      </c>
      <c r="AR641" s="223">
        <f ca="1">表格1[[#This Row],[invoice amount]]+表格1[[#This Row],[invoice amount2]]</f>
        <v>0</v>
      </c>
      <c r="AS641" s="224"/>
      <c r="AT641" s="208"/>
      <c r="AU641" s="208" t="e">
        <f ca="1">VLOOKUP(表格1[[#This Row],[PO+ITEM]],#REF!,2,FALSE)</f>
        <v>#REF!</v>
      </c>
      <c r="AV641" s="341" t="e">
        <f ca="1">VLOOKUP(表格1[[#This Row],[PO+ITEM]],#REF!,3,FALSE)</f>
        <v>#REF!</v>
      </c>
      <c r="AW641" s="208" t="e">
        <f ca="1">VLOOKUP(表格1[[#This Row],[PO+ITEM]],#REF!,4,FALSE)</f>
        <v>#REF!</v>
      </c>
      <c r="AX641" s="208" t="e" cm="1" vm="1">
        <f t="array" aca="1" ref="AX641" ca="1">VLOOKUP(AI:AI,#REF!,1,FALSE)</f>
        <v>#VALUE!</v>
      </c>
    </row>
    <row r="642" spans="1:50">
      <c r="A642" s="220">
        <v>641</v>
      </c>
      <c r="B642" s="220" t="s">
        <v>3659</v>
      </c>
      <c r="C642" s="209" t="s">
        <v>17</v>
      </c>
      <c r="D642" s="209" t="s">
        <v>3648</v>
      </c>
      <c r="E642" s="209"/>
      <c r="F642" s="209"/>
      <c r="G642" s="209"/>
      <c r="H642" s="210" t="s">
        <v>5224</v>
      </c>
      <c r="I642" s="210"/>
      <c r="J642" s="211"/>
      <c r="K642" s="210"/>
      <c r="L642" s="212" t="s">
        <v>2999</v>
      </c>
      <c r="M642" s="212" t="s">
        <v>2999</v>
      </c>
      <c r="N642" s="213"/>
      <c r="O642" s="263">
        <v>4590007615</v>
      </c>
      <c r="P642" s="214">
        <v>44855</v>
      </c>
      <c r="Q642" s="334">
        <v>20</v>
      </c>
      <c r="R642" s="216">
        <v>25272</v>
      </c>
      <c r="S642" s="217" t="s">
        <v>2156</v>
      </c>
      <c r="T642" s="209" t="s">
        <v>3713</v>
      </c>
      <c r="U642" s="209" t="s">
        <v>3714</v>
      </c>
      <c r="V642" s="213" t="s">
        <v>3715</v>
      </c>
      <c r="W642" s="218" t="s">
        <v>3652</v>
      </c>
      <c r="X642" s="218" t="s">
        <v>3652</v>
      </c>
      <c r="Y642" s="212" t="s">
        <v>3767</v>
      </c>
      <c r="Z642" s="209" t="s">
        <v>3768</v>
      </c>
      <c r="AA642" s="215"/>
      <c r="AB642" s="218"/>
      <c r="AC642" s="217" t="e">
        <v>#N/A</v>
      </c>
      <c r="AD642" s="217">
        <v>91365</v>
      </c>
      <c r="AE642" s="217" t="s">
        <v>4934</v>
      </c>
      <c r="AF642" s="217" t="s">
        <v>3770</v>
      </c>
      <c r="AG642" s="217" t="s">
        <v>3771</v>
      </c>
      <c r="AH642" s="220" t="str">
        <f t="shared" si="41"/>
        <v>4590007615_020</v>
      </c>
      <c r="AI642" s="208"/>
      <c r="AJ642" s="220"/>
      <c r="AK642" s="221"/>
      <c r="AL642" s="227"/>
      <c r="AM642" s="208"/>
      <c r="AN642" s="220"/>
      <c r="AO642" s="222"/>
      <c r="AP642" s="227"/>
      <c r="AQ642" s="358">
        <f ca="1">IF(表格1[[#This Row],[PO$]]="","100%",表格1[[#This Row],[total amount]]/表格1[[#This Row],[PO$]])</f>
        <v>0</v>
      </c>
      <c r="AR642" s="223">
        <f ca="1">表格1[[#This Row],[invoice amount]]+表格1[[#This Row],[invoice amount2]]</f>
        <v>0</v>
      </c>
      <c r="AS642" s="224"/>
      <c r="AT642" s="208"/>
      <c r="AU642" s="208" t="e">
        <f ca="1">VLOOKUP(表格1[[#This Row],[PO+ITEM]],#REF!,2,FALSE)</f>
        <v>#REF!</v>
      </c>
      <c r="AV642" s="341" t="e">
        <f ca="1">VLOOKUP(表格1[[#This Row],[PO+ITEM]],#REF!,3,FALSE)</f>
        <v>#REF!</v>
      </c>
      <c r="AW642" s="208" t="e">
        <f ca="1">VLOOKUP(表格1[[#This Row],[PO+ITEM]],#REF!,4,FALSE)</f>
        <v>#REF!</v>
      </c>
      <c r="AX642" s="208" t="e" cm="1" vm="1">
        <f t="array" aca="1" ref="AX642" ca="1">VLOOKUP(AI:AI,#REF!,1,FALSE)</f>
        <v>#VALUE!</v>
      </c>
    </row>
    <row r="643" spans="1:50" ht="15.6">
      <c r="A643" s="220">
        <v>642</v>
      </c>
      <c r="B643" s="220" t="s">
        <v>3674</v>
      </c>
      <c r="C643" s="209" t="s">
        <v>17</v>
      </c>
      <c r="D643" s="209" t="s">
        <v>3648</v>
      </c>
      <c r="E643" s="209"/>
      <c r="F643" s="209"/>
      <c r="G643" s="209"/>
      <c r="H643" s="210" t="s">
        <v>5225</v>
      </c>
      <c r="I643" s="210"/>
      <c r="J643" s="211"/>
      <c r="K643" s="210"/>
      <c r="L643" s="212" t="s">
        <v>2999</v>
      </c>
      <c r="M643" s="212" t="s">
        <v>2999</v>
      </c>
      <c r="N643" s="213"/>
      <c r="O643" s="263">
        <v>4590007616</v>
      </c>
      <c r="P643" s="214">
        <v>44855</v>
      </c>
      <c r="Q643" s="334">
        <v>1</v>
      </c>
      <c r="R643" s="216">
        <v>23868</v>
      </c>
      <c r="S643" s="217" t="s">
        <v>2156</v>
      </c>
      <c r="T643" s="209" t="s">
        <v>3713</v>
      </c>
      <c r="U643" s="209" t="s">
        <v>3714</v>
      </c>
      <c r="V643" s="213" t="s">
        <v>3715</v>
      </c>
      <c r="W643" s="218" t="s">
        <v>3652</v>
      </c>
      <c r="X643" s="218" t="s">
        <v>3652</v>
      </c>
      <c r="Y643" s="212" t="s">
        <v>3767</v>
      </c>
      <c r="Z643" s="209" t="s">
        <v>3768</v>
      </c>
      <c r="AA643" s="215"/>
      <c r="AB643" s="218"/>
      <c r="AC643" s="217" t="e">
        <v>#N/A</v>
      </c>
      <c r="AD643" s="217">
        <v>90807</v>
      </c>
      <c r="AE643" s="217" t="s">
        <v>4417</v>
      </c>
      <c r="AF643" s="217" t="s">
        <v>3770</v>
      </c>
      <c r="AG643" s="217" t="s">
        <v>3771</v>
      </c>
      <c r="AH643" s="220" t="str">
        <f t="shared" ref="AH643:AH651" si="42">O643&amp;"_00"&amp;Q643</f>
        <v>4590007616_001</v>
      </c>
      <c r="AI643" s="208" t="s">
        <v>5226</v>
      </c>
      <c r="AJ643" s="227">
        <v>45418</v>
      </c>
      <c r="AK643" s="221">
        <v>23868</v>
      </c>
      <c r="AL643" s="314" t="s">
        <v>6691</v>
      </c>
      <c r="AM643" s="208"/>
      <c r="AN643" s="220"/>
      <c r="AO643" s="222"/>
      <c r="AP643" s="227"/>
      <c r="AQ643" s="358">
        <f ca="1">IF(表格1[[#This Row],[PO$]]="","100%",表格1[[#This Row],[total amount]]/表格1[[#This Row],[PO$]])</f>
        <v>1</v>
      </c>
      <c r="AR643" s="223">
        <f ca="1">表格1[[#This Row],[invoice amount]]+表格1[[#This Row],[invoice amount2]]</f>
        <v>23868</v>
      </c>
      <c r="AS643" s="224" t="s">
        <v>3752</v>
      </c>
      <c r="AT643" s="208" t="s">
        <v>3773</v>
      </c>
      <c r="AU643" s="208" t="e">
        <f ca="1">VLOOKUP(表格1[[#This Row],[PO+ITEM]],#REF!,2,FALSE)</f>
        <v>#REF!</v>
      </c>
      <c r="AV643" s="341" t="e">
        <f ca="1">VLOOKUP(表格1[[#This Row],[PO+ITEM]],#REF!,3,FALSE)</f>
        <v>#REF!</v>
      </c>
      <c r="AW643" s="208" t="e">
        <f ca="1">VLOOKUP(表格1[[#This Row],[PO+ITEM]],#REF!,4,FALSE)</f>
        <v>#REF!</v>
      </c>
      <c r="AX643" s="208" t="e" cm="1" vm="1">
        <f t="array" aca="1" ref="AX643" ca="1">VLOOKUP(AI:AI,#REF!,1,FALSE)</f>
        <v>#VALUE!</v>
      </c>
    </row>
    <row r="644" spans="1:50">
      <c r="A644" s="220">
        <v>643</v>
      </c>
      <c r="B644" s="220" t="s">
        <v>3674</v>
      </c>
      <c r="C644" s="209" t="s">
        <v>17</v>
      </c>
      <c r="D644" s="209" t="s">
        <v>3648</v>
      </c>
      <c r="E644" s="209"/>
      <c r="F644" s="209"/>
      <c r="G644" s="209"/>
      <c r="H644" s="210" t="s">
        <v>5227</v>
      </c>
      <c r="I644" s="210"/>
      <c r="J644" s="211"/>
      <c r="K644" s="210"/>
      <c r="L644" s="212" t="s">
        <v>2999</v>
      </c>
      <c r="M644" s="212" t="s">
        <v>2999</v>
      </c>
      <c r="N644" s="213"/>
      <c r="O644" s="263">
        <v>4590007616</v>
      </c>
      <c r="P644" s="214">
        <v>44855</v>
      </c>
      <c r="Q644" s="334">
        <v>2</v>
      </c>
      <c r="R644" s="216">
        <v>23868</v>
      </c>
      <c r="S644" s="217" t="s">
        <v>2156</v>
      </c>
      <c r="T644" s="209" t="s">
        <v>3713</v>
      </c>
      <c r="U644" s="209" t="s">
        <v>3714</v>
      </c>
      <c r="V644" s="213" t="s">
        <v>3715</v>
      </c>
      <c r="W644" s="218" t="s">
        <v>3652</v>
      </c>
      <c r="X644" s="218" t="s">
        <v>3652</v>
      </c>
      <c r="Y644" s="212" t="s">
        <v>3767</v>
      </c>
      <c r="Z644" s="209" t="s">
        <v>3768</v>
      </c>
      <c r="AA644" s="215"/>
      <c r="AB644" s="218"/>
      <c r="AC644" s="217" t="e">
        <v>#N/A</v>
      </c>
      <c r="AD644" s="217">
        <v>90808</v>
      </c>
      <c r="AE644" s="217" t="s">
        <v>4420</v>
      </c>
      <c r="AF644" s="217" t="s">
        <v>3770</v>
      </c>
      <c r="AG644" s="217" t="s">
        <v>3771</v>
      </c>
      <c r="AH644" s="220" t="str">
        <f t="shared" si="42"/>
        <v>4590007616_002</v>
      </c>
      <c r="AI644" s="208" t="s">
        <v>5228</v>
      </c>
      <c r="AJ644" s="227">
        <v>45422</v>
      </c>
      <c r="AK644" s="221">
        <v>23868</v>
      </c>
      <c r="AL644" s="227" t="s">
        <v>3805</v>
      </c>
      <c r="AM644" s="208"/>
      <c r="AN644" s="220"/>
      <c r="AO644" s="222"/>
      <c r="AP644" s="227"/>
      <c r="AQ644" s="358">
        <f ca="1">IF(表格1[[#This Row],[PO$]]="","100%",表格1[[#This Row],[total amount]]/表格1[[#This Row],[PO$]])</f>
        <v>1</v>
      </c>
      <c r="AR644" s="223">
        <f ca="1">表格1[[#This Row],[invoice amount]]+表格1[[#This Row],[invoice amount2]]</f>
        <v>23868</v>
      </c>
      <c r="AS644" s="224" t="s">
        <v>3701</v>
      </c>
      <c r="AT644" s="208" t="s">
        <v>3657</v>
      </c>
      <c r="AU644" s="208" t="e">
        <f ca="1">VLOOKUP(表格1[[#This Row],[PO+ITEM]],#REF!,2,FALSE)</f>
        <v>#REF!</v>
      </c>
      <c r="AV644" s="341" t="e">
        <f ca="1">VLOOKUP(表格1[[#This Row],[PO+ITEM]],#REF!,3,FALSE)</f>
        <v>#REF!</v>
      </c>
      <c r="AW644" s="208" t="e">
        <f ca="1">VLOOKUP(表格1[[#This Row],[PO+ITEM]],#REF!,4,FALSE)</f>
        <v>#REF!</v>
      </c>
      <c r="AX644" s="208" t="e" cm="1" vm="1">
        <f t="array" aca="1" ref="AX644" ca="1">VLOOKUP(AI:AI,#REF!,1,FALSE)</f>
        <v>#VALUE!</v>
      </c>
    </row>
    <row r="645" spans="1:50">
      <c r="A645" s="220">
        <v>644</v>
      </c>
      <c r="B645" s="220" t="s">
        <v>3674</v>
      </c>
      <c r="C645" s="209" t="s">
        <v>17</v>
      </c>
      <c r="D645" s="209" t="s">
        <v>3648</v>
      </c>
      <c r="E645" s="209"/>
      <c r="F645" s="209"/>
      <c r="G645" s="209"/>
      <c r="H645" s="217" t="s">
        <v>5229</v>
      </c>
      <c r="I645" s="217"/>
      <c r="J645" s="215"/>
      <c r="K645" s="217"/>
      <c r="L645" s="212" t="s">
        <v>2999</v>
      </c>
      <c r="M645" s="212" t="s">
        <v>2999</v>
      </c>
      <c r="N645" s="213"/>
      <c r="O645" s="263">
        <v>4590007616</v>
      </c>
      <c r="P645" s="214">
        <v>44855</v>
      </c>
      <c r="Q645" s="334">
        <v>3</v>
      </c>
      <c r="R645" s="349">
        <v>23868</v>
      </c>
      <c r="S645" s="217" t="s">
        <v>2156</v>
      </c>
      <c r="T645" s="209" t="s">
        <v>3713</v>
      </c>
      <c r="U645" s="209" t="s">
        <v>3714</v>
      </c>
      <c r="V645" s="213" t="s">
        <v>3715</v>
      </c>
      <c r="W645" s="218" t="s">
        <v>3652</v>
      </c>
      <c r="X645" s="218" t="s">
        <v>3652</v>
      </c>
      <c r="Y645" s="212" t="s">
        <v>3767</v>
      </c>
      <c r="Z645" s="209" t="s">
        <v>3768</v>
      </c>
      <c r="AA645" s="215"/>
      <c r="AB645" s="218"/>
      <c r="AC645" s="217" t="e">
        <v>#N/A</v>
      </c>
      <c r="AD645" s="217">
        <v>90809</v>
      </c>
      <c r="AE645" s="217" t="s">
        <v>4423</v>
      </c>
      <c r="AF645" s="217" t="s">
        <v>3770</v>
      </c>
      <c r="AG645" s="217" t="s">
        <v>3771</v>
      </c>
      <c r="AH645" s="220" t="str">
        <f t="shared" si="42"/>
        <v>4590007616_003</v>
      </c>
      <c r="AI645" s="217" t="s">
        <v>5230</v>
      </c>
      <c r="AJ645" s="227">
        <v>45471</v>
      </c>
      <c r="AK645" s="221">
        <v>23868</v>
      </c>
      <c r="AL645" s="227"/>
      <c r="AM645" s="208"/>
      <c r="AN645" s="220"/>
      <c r="AO645" s="222"/>
      <c r="AP645" s="227"/>
      <c r="AQ645" s="358">
        <f ca="1">IF(表格1[[#This Row],[PO$]]="","100%",表格1[[#This Row],[total amount]]/表格1[[#This Row],[PO$]])</f>
        <v>1</v>
      </c>
      <c r="AR645" s="223">
        <f ca="1">表格1[[#This Row],[invoice amount]]+表格1[[#This Row],[invoice amount2]]</f>
        <v>23868</v>
      </c>
      <c r="AS645" s="224" t="s">
        <v>3752</v>
      </c>
      <c r="AT645" s="208"/>
      <c r="AU645" s="208" t="e">
        <f ca="1">VLOOKUP(表格1[[#This Row],[PO+ITEM]],#REF!,2,FALSE)</f>
        <v>#REF!</v>
      </c>
      <c r="AV645" s="341" t="e">
        <f ca="1">VLOOKUP(表格1[[#This Row],[PO+ITEM]],#REF!,3,FALSE)</f>
        <v>#REF!</v>
      </c>
      <c r="AW645" s="208" t="e">
        <f ca="1">VLOOKUP(表格1[[#This Row],[PO+ITEM]],#REF!,4,FALSE)</f>
        <v>#REF!</v>
      </c>
      <c r="AX645" s="208" t="e" cm="1" vm="1">
        <f t="array" aca="1" ref="AX645" ca="1">VLOOKUP(AI:AI,#REF!,1,FALSE)</f>
        <v>#VALUE!</v>
      </c>
    </row>
    <row r="646" spans="1:50">
      <c r="A646" s="220">
        <v>645</v>
      </c>
      <c r="B646" s="220" t="s">
        <v>3659</v>
      </c>
      <c r="C646" s="209" t="s">
        <v>17</v>
      </c>
      <c r="D646" s="209" t="s">
        <v>3648</v>
      </c>
      <c r="E646" s="209"/>
      <c r="F646" s="209"/>
      <c r="G646" s="209"/>
      <c r="H646" s="217" t="s">
        <v>5231</v>
      </c>
      <c r="I646" s="217"/>
      <c r="J646" s="215"/>
      <c r="K646" s="217"/>
      <c r="L646" s="212" t="s">
        <v>2999</v>
      </c>
      <c r="M646" s="212" t="s">
        <v>2999</v>
      </c>
      <c r="N646" s="213"/>
      <c r="O646" s="263">
        <v>4590007616</v>
      </c>
      <c r="P646" s="214">
        <v>44855</v>
      </c>
      <c r="Q646" s="334">
        <v>4</v>
      </c>
      <c r="R646" s="216">
        <v>23868</v>
      </c>
      <c r="S646" s="217" t="s">
        <v>2156</v>
      </c>
      <c r="T646" s="209" t="s">
        <v>3713</v>
      </c>
      <c r="U646" s="209" t="s">
        <v>3714</v>
      </c>
      <c r="V646" s="213" t="s">
        <v>3715</v>
      </c>
      <c r="W646" s="218" t="s">
        <v>3652</v>
      </c>
      <c r="X646" s="218" t="s">
        <v>3652</v>
      </c>
      <c r="Y646" s="212" t="s">
        <v>3767</v>
      </c>
      <c r="Z646" s="209" t="s">
        <v>3768</v>
      </c>
      <c r="AA646" s="215"/>
      <c r="AB646" s="218"/>
      <c r="AC646" s="217" t="e">
        <v>#N/A</v>
      </c>
      <c r="AD646" s="217">
        <v>91350</v>
      </c>
      <c r="AE646" s="217" t="s">
        <v>4971</v>
      </c>
      <c r="AF646" s="217" t="s">
        <v>3770</v>
      </c>
      <c r="AG646" s="217" t="s">
        <v>3771</v>
      </c>
      <c r="AH646" s="220" t="str">
        <f t="shared" si="42"/>
        <v>4590007616_004</v>
      </c>
      <c r="AI646" s="208"/>
      <c r="AJ646" s="220"/>
      <c r="AK646" s="221"/>
      <c r="AL646" s="227"/>
      <c r="AM646" s="208"/>
      <c r="AN646" s="220"/>
      <c r="AO646" s="222"/>
      <c r="AP646" s="227"/>
      <c r="AQ646" s="358">
        <f ca="1">IF(表格1[[#This Row],[PO$]]="","100%",表格1[[#This Row],[total amount]]/表格1[[#This Row],[PO$]])</f>
        <v>0</v>
      </c>
      <c r="AR646" s="223">
        <f ca="1">表格1[[#This Row],[invoice amount]]+表格1[[#This Row],[invoice amount2]]</f>
        <v>0</v>
      </c>
      <c r="AS646" s="224"/>
      <c r="AT646" s="208"/>
      <c r="AU646" s="208" t="e">
        <f ca="1">VLOOKUP(表格1[[#This Row],[PO+ITEM]],#REF!,2,FALSE)</f>
        <v>#REF!</v>
      </c>
      <c r="AV646" s="341" t="e">
        <f ca="1">VLOOKUP(表格1[[#This Row],[PO+ITEM]],#REF!,3,FALSE)</f>
        <v>#REF!</v>
      </c>
      <c r="AW646" s="208" t="e">
        <f ca="1">VLOOKUP(表格1[[#This Row],[PO+ITEM]],#REF!,4,FALSE)</f>
        <v>#REF!</v>
      </c>
      <c r="AX646" s="208" t="e" cm="1" vm="1">
        <f t="array" aca="1" ref="AX646" ca="1">VLOOKUP(AI:AI,#REF!,1,FALSE)</f>
        <v>#VALUE!</v>
      </c>
    </row>
    <row r="647" spans="1:50">
      <c r="A647" s="220">
        <v>646</v>
      </c>
      <c r="B647" s="220" t="s">
        <v>3659</v>
      </c>
      <c r="C647" s="209" t="s">
        <v>17</v>
      </c>
      <c r="D647" s="209" t="s">
        <v>3648</v>
      </c>
      <c r="E647" s="209"/>
      <c r="F647" s="209"/>
      <c r="G647" s="209"/>
      <c r="H647" s="210" t="s">
        <v>5232</v>
      </c>
      <c r="I647" s="210"/>
      <c r="J647" s="211"/>
      <c r="K647" s="210"/>
      <c r="L647" s="212" t="s">
        <v>2999</v>
      </c>
      <c r="M647" s="212" t="s">
        <v>2999</v>
      </c>
      <c r="N647" s="213"/>
      <c r="O647" s="263">
        <v>4590007616</v>
      </c>
      <c r="P647" s="214">
        <v>44855</v>
      </c>
      <c r="Q647" s="334">
        <v>5</v>
      </c>
      <c r="R647" s="216">
        <v>23868</v>
      </c>
      <c r="S647" s="217" t="s">
        <v>2156</v>
      </c>
      <c r="T647" s="209" t="s">
        <v>3713</v>
      </c>
      <c r="U647" s="209" t="s">
        <v>3714</v>
      </c>
      <c r="V647" s="213" t="s">
        <v>3715</v>
      </c>
      <c r="W647" s="218" t="s">
        <v>3652</v>
      </c>
      <c r="X647" s="218" t="s">
        <v>3652</v>
      </c>
      <c r="Y647" s="212" t="s">
        <v>3767</v>
      </c>
      <c r="Z647" s="209" t="s">
        <v>3768</v>
      </c>
      <c r="AA647" s="215"/>
      <c r="AB647" s="218"/>
      <c r="AC647" s="217" t="e">
        <v>#N/A</v>
      </c>
      <c r="AD647" s="217">
        <v>91351</v>
      </c>
      <c r="AE647" s="217" t="s">
        <v>4973</v>
      </c>
      <c r="AF647" s="217" t="s">
        <v>3770</v>
      </c>
      <c r="AG647" s="217" t="s">
        <v>3771</v>
      </c>
      <c r="AH647" s="220" t="str">
        <f t="shared" si="42"/>
        <v>4590007616_005</v>
      </c>
      <c r="AI647" s="208"/>
      <c r="AJ647" s="220"/>
      <c r="AK647" s="221"/>
      <c r="AL647" s="227"/>
      <c r="AM647" s="208"/>
      <c r="AN647" s="220"/>
      <c r="AO647" s="222"/>
      <c r="AP647" s="227"/>
      <c r="AQ647" s="358">
        <f ca="1">IF(表格1[[#This Row],[PO$]]="","100%",表格1[[#This Row],[total amount]]/表格1[[#This Row],[PO$]])</f>
        <v>0</v>
      </c>
      <c r="AR647" s="223">
        <f ca="1">表格1[[#This Row],[invoice amount]]+表格1[[#This Row],[invoice amount2]]</f>
        <v>0</v>
      </c>
      <c r="AS647" s="224"/>
      <c r="AT647" s="208"/>
      <c r="AU647" s="208" t="e">
        <f ca="1">VLOOKUP(表格1[[#This Row],[PO+ITEM]],#REF!,2,FALSE)</f>
        <v>#REF!</v>
      </c>
      <c r="AV647" s="341" t="e">
        <f ca="1">VLOOKUP(表格1[[#This Row],[PO+ITEM]],#REF!,3,FALSE)</f>
        <v>#REF!</v>
      </c>
      <c r="AW647" s="208" t="e">
        <f ca="1">VLOOKUP(表格1[[#This Row],[PO+ITEM]],#REF!,4,FALSE)</f>
        <v>#REF!</v>
      </c>
      <c r="AX647" s="208" t="e" cm="1" vm="1">
        <f t="array" aca="1" ref="AX647" ca="1">VLOOKUP(AI:AI,#REF!,1,FALSE)</f>
        <v>#VALUE!</v>
      </c>
    </row>
    <row r="648" spans="1:50">
      <c r="A648" s="220">
        <v>647</v>
      </c>
      <c r="B648" s="220" t="s">
        <v>3659</v>
      </c>
      <c r="C648" s="209" t="s">
        <v>17</v>
      </c>
      <c r="D648" s="209" t="s">
        <v>3648</v>
      </c>
      <c r="E648" s="209"/>
      <c r="F648" s="209"/>
      <c r="G648" s="209"/>
      <c r="H648" s="210" t="s">
        <v>5233</v>
      </c>
      <c r="I648" s="210"/>
      <c r="J648" s="211"/>
      <c r="K648" s="210"/>
      <c r="L648" s="212" t="s">
        <v>2999</v>
      </c>
      <c r="M648" s="212" t="s">
        <v>2999</v>
      </c>
      <c r="N648" s="213"/>
      <c r="O648" s="263">
        <v>4590007616</v>
      </c>
      <c r="P648" s="214">
        <v>44855</v>
      </c>
      <c r="Q648" s="334">
        <v>6</v>
      </c>
      <c r="R648" s="216">
        <v>23868</v>
      </c>
      <c r="S648" s="217" t="s">
        <v>2156</v>
      </c>
      <c r="T648" s="209" t="s">
        <v>3713</v>
      </c>
      <c r="U648" s="209" t="s">
        <v>3714</v>
      </c>
      <c r="V648" s="213" t="s">
        <v>3715</v>
      </c>
      <c r="W648" s="218" t="s">
        <v>3652</v>
      </c>
      <c r="X648" s="218" t="s">
        <v>3652</v>
      </c>
      <c r="Y648" s="212" t="s">
        <v>3767</v>
      </c>
      <c r="Z648" s="209" t="s">
        <v>3768</v>
      </c>
      <c r="AA648" s="215"/>
      <c r="AB648" s="218"/>
      <c r="AC648" s="217" t="e">
        <v>#N/A</v>
      </c>
      <c r="AD648" s="217">
        <v>91352</v>
      </c>
      <c r="AE648" s="217" t="s">
        <v>4975</v>
      </c>
      <c r="AF648" s="217" t="s">
        <v>3770</v>
      </c>
      <c r="AG648" s="217" t="s">
        <v>3771</v>
      </c>
      <c r="AH648" s="220" t="str">
        <f t="shared" si="42"/>
        <v>4590007616_006</v>
      </c>
      <c r="AI648" s="208"/>
      <c r="AJ648" s="220"/>
      <c r="AK648" s="221"/>
      <c r="AL648" s="227"/>
      <c r="AM648" s="208"/>
      <c r="AN648" s="220"/>
      <c r="AO648" s="222"/>
      <c r="AP648" s="227"/>
      <c r="AQ648" s="358">
        <f ca="1">IF(表格1[[#This Row],[PO$]]="","100%",表格1[[#This Row],[total amount]]/表格1[[#This Row],[PO$]])</f>
        <v>0</v>
      </c>
      <c r="AR648" s="223">
        <f ca="1">表格1[[#This Row],[invoice amount]]+表格1[[#This Row],[invoice amount2]]</f>
        <v>0</v>
      </c>
      <c r="AS648" s="224"/>
      <c r="AT648" s="208"/>
      <c r="AU648" s="208" t="e">
        <f ca="1">VLOOKUP(表格1[[#This Row],[PO+ITEM]],#REF!,2,FALSE)</f>
        <v>#REF!</v>
      </c>
      <c r="AV648" s="341" t="e">
        <f ca="1">VLOOKUP(表格1[[#This Row],[PO+ITEM]],#REF!,3,FALSE)</f>
        <v>#REF!</v>
      </c>
      <c r="AW648" s="208" t="e">
        <f ca="1">VLOOKUP(表格1[[#This Row],[PO+ITEM]],#REF!,4,FALSE)</f>
        <v>#REF!</v>
      </c>
      <c r="AX648" s="208" t="e" cm="1" vm="1">
        <f t="array" aca="1" ref="AX648" ca="1">VLOOKUP(AI:AI,#REF!,1,FALSE)</f>
        <v>#VALUE!</v>
      </c>
    </row>
    <row r="649" spans="1:50">
      <c r="A649" s="220">
        <v>648</v>
      </c>
      <c r="B649" s="220" t="s">
        <v>3659</v>
      </c>
      <c r="C649" s="209" t="s">
        <v>17</v>
      </c>
      <c r="D649" s="209" t="s">
        <v>3648</v>
      </c>
      <c r="E649" s="209"/>
      <c r="F649" s="209"/>
      <c r="G649" s="209"/>
      <c r="H649" s="210" t="s">
        <v>5234</v>
      </c>
      <c r="I649" s="210"/>
      <c r="J649" s="211"/>
      <c r="K649" s="210"/>
      <c r="L649" s="212" t="s">
        <v>2999</v>
      </c>
      <c r="M649" s="212" t="s">
        <v>2999</v>
      </c>
      <c r="N649" s="213"/>
      <c r="O649" s="263">
        <v>4590007616</v>
      </c>
      <c r="P649" s="214">
        <v>44855</v>
      </c>
      <c r="Q649" s="334">
        <v>7</v>
      </c>
      <c r="R649" s="216">
        <v>23868</v>
      </c>
      <c r="S649" s="217" t="s">
        <v>2156</v>
      </c>
      <c r="T649" s="209" t="s">
        <v>3713</v>
      </c>
      <c r="U649" s="209" t="s">
        <v>3714</v>
      </c>
      <c r="V649" s="213" t="s">
        <v>3715</v>
      </c>
      <c r="W649" s="218" t="s">
        <v>3652</v>
      </c>
      <c r="X649" s="218" t="s">
        <v>3652</v>
      </c>
      <c r="Y649" s="212" t="s">
        <v>3767</v>
      </c>
      <c r="Z649" s="209" t="s">
        <v>3768</v>
      </c>
      <c r="AA649" s="215"/>
      <c r="AB649" s="218"/>
      <c r="AC649" s="217" t="e">
        <v>#N/A</v>
      </c>
      <c r="AD649" s="217">
        <v>91353</v>
      </c>
      <c r="AE649" s="217" t="s">
        <v>4979</v>
      </c>
      <c r="AF649" s="217" t="s">
        <v>3770</v>
      </c>
      <c r="AG649" s="217" t="s">
        <v>3771</v>
      </c>
      <c r="AH649" s="220" t="str">
        <f t="shared" si="42"/>
        <v>4590007616_007</v>
      </c>
      <c r="AI649" s="208"/>
      <c r="AJ649" s="220"/>
      <c r="AK649" s="221"/>
      <c r="AL649" s="227"/>
      <c r="AM649" s="208"/>
      <c r="AN649" s="220"/>
      <c r="AO649" s="222"/>
      <c r="AP649" s="227"/>
      <c r="AQ649" s="358">
        <f ca="1">IF(表格1[[#This Row],[PO$]]="","100%",表格1[[#This Row],[total amount]]/表格1[[#This Row],[PO$]])</f>
        <v>0</v>
      </c>
      <c r="AR649" s="223">
        <f ca="1">表格1[[#This Row],[invoice amount]]+表格1[[#This Row],[invoice amount2]]</f>
        <v>0</v>
      </c>
      <c r="AS649" s="224"/>
      <c r="AT649" s="208"/>
      <c r="AU649" s="208" t="e">
        <f ca="1">VLOOKUP(表格1[[#This Row],[PO+ITEM]],#REF!,2,FALSE)</f>
        <v>#REF!</v>
      </c>
      <c r="AV649" s="341" t="e">
        <f ca="1">VLOOKUP(表格1[[#This Row],[PO+ITEM]],#REF!,3,FALSE)</f>
        <v>#REF!</v>
      </c>
      <c r="AW649" s="208" t="e">
        <f ca="1">VLOOKUP(表格1[[#This Row],[PO+ITEM]],#REF!,4,FALSE)</f>
        <v>#REF!</v>
      </c>
      <c r="AX649" s="208" t="e" cm="1" vm="1">
        <f t="array" aca="1" ref="AX649" ca="1">VLOOKUP(AI:AI,#REF!,1,FALSE)</f>
        <v>#VALUE!</v>
      </c>
    </row>
    <row r="650" spans="1:50" s="230" customFormat="1">
      <c r="A650" s="220">
        <v>649</v>
      </c>
      <c r="B650" s="220" t="s">
        <v>3659</v>
      </c>
      <c r="C650" s="209" t="s">
        <v>17</v>
      </c>
      <c r="D650" s="209" t="s">
        <v>3648</v>
      </c>
      <c r="E650" s="209"/>
      <c r="F650" s="209"/>
      <c r="G650" s="209"/>
      <c r="H650" s="210" t="s">
        <v>5235</v>
      </c>
      <c r="I650" s="210"/>
      <c r="J650" s="211"/>
      <c r="K650" s="210"/>
      <c r="L650" s="212" t="s">
        <v>2999</v>
      </c>
      <c r="M650" s="212" t="s">
        <v>2999</v>
      </c>
      <c r="N650" s="213"/>
      <c r="O650" s="263">
        <v>4590007616</v>
      </c>
      <c r="P650" s="214">
        <v>44855</v>
      </c>
      <c r="Q650" s="334">
        <v>8</v>
      </c>
      <c r="R650" s="216">
        <v>23868</v>
      </c>
      <c r="S650" s="217" t="s">
        <v>2156</v>
      </c>
      <c r="T650" s="209" t="s">
        <v>3713</v>
      </c>
      <c r="U650" s="209" t="s">
        <v>3714</v>
      </c>
      <c r="V650" s="213" t="s">
        <v>3715</v>
      </c>
      <c r="W650" s="218" t="s">
        <v>3652</v>
      </c>
      <c r="X650" s="218" t="s">
        <v>3652</v>
      </c>
      <c r="Y650" s="212" t="s">
        <v>3767</v>
      </c>
      <c r="Z650" s="209" t="s">
        <v>3768</v>
      </c>
      <c r="AA650" s="215"/>
      <c r="AB650" s="218"/>
      <c r="AC650" s="217" t="e">
        <v>#N/A</v>
      </c>
      <c r="AD650" s="217">
        <v>91354</v>
      </c>
      <c r="AE650" s="217" t="s">
        <v>4981</v>
      </c>
      <c r="AF650" s="217" t="s">
        <v>3770</v>
      </c>
      <c r="AG650" s="217" t="s">
        <v>3771</v>
      </c>
      <c r="AH650" s="220" t="str">
        <f t="shared" si="42"/>
        <v>4590007616_008</v>
      </c>
      <c r="AI650" s="208"/>
      <c r="AJ650" s="220"/>
      <c r="AK650" s="221"/>
      <c r="AL650" s="227"/>
      <c r="AM650" s="208"/>
      <c r="AN650" s="220"/>
      <c r="AO650" s="222"/>
      <c r="AP650" s="227"/>
      <c r="AQ650" s="358">
        <f ca="1">IF(表格1[[#This Row],[PO$]]="","100%",表格1[[#This Row],[total amount]]/表格1[[#This Row],[PO$]])</f>
        <v>0</v>
      </c>
      <c r="AR650" s="223">
        <f ca="1">表格1[[#This Row],[invoice amount]]+表格1[[#This Row],[invoice amount2]]</f>
        <v>0</v>
      </c>
      <c r="AS650" s="224"/>
      <c r="AT650" s="208"/>
      <c r="AU650" s="208" t="e">
        <f ca="1">VLOOKUP(表格1[[#This Row],[PO+ITEM]],#REF!,2,FALSE)</f>
        <v>#REF!</v>
      </c>
      <c r="AV650" s="341" t="e">
        <f ca="1">VLOOKUP(表格1[[#This Row],[PO+ITEM]],#REF!,3,FALSE)</f>
        <v>#REF!</v>
      </c>
      <c r="AW650" s="208" t="e">
        <f ca="1">VLOOKUP(表格1[[#This Row],[PO+ITEM]],#REF!,4,FALSE)</f>
        <v>#REF!</v>
      </c>
      <c r="AX650" s="208" t="e" cm="1" vm="1">
        <f t="array" aca="1" ref="AX650" ca="1">VLOOKUP(AI:AI,#REF!,1,FALSE)</f>
        <v>#VALUE!</v>
      </c>
    </row>
    <row r="651" spans="1:50">
      <c r="A651" s="220">
        <v>650</v>
      </c>
      <c r="B651" s="220" t="s">
        <v>3659</v>
      </c>
      <c r="C651" s="209" t="s">
        <v>17</v>
      </c>
      <c r="D651" s="209" t="s">
        <v>3648</v>
      </c>
      <c r="E651" s="209"/>
      <c r="F651" s="209"/>
      <c r="G651" s="209"/>
      <c r="H651" s="210" t="s">
        <v>5236</v>
      </c>
      <c r="I651" s="210"/>
      <c r="J651" s="211"/>
      <c r="K651" s="210"/>
      <c r="L651" s="212" t="s">
        <v>2999</v>
      </c>
      <c r="M651" s="212" t="s">
        <v>2999</v>
      </c>
      <c r="N651" s="213"/>
      <c r="O651" s="263">
        <v>4590007616</v>
      </c>
      <c r="P651" s="214">
        <v>44855</v>
      </c>
      <c r="Q651" s="334">
        <v>9</v>
      </c>
      <c r="R651" s="216">
        <v>23868</v>
      </c>
      <c r="S651" s="217" t="s">
        <v>2156</v>
      </c>
      <c r="T651" s="209" t="s">
        <v>3713</v>
      </c>
      <c r="U651" s="209" t="s">
        <v>3714</v>
      </c>
      <c r="V651" s="213" t="s">
        <v>3715</v>
      </c>
      <c r="W651" s="218" t="s">
        <v>3652</v>
      </c>
      <c r="X651" s="218" t="s">
        <v>3652</v>
      </c>
      <c r="Y651" s="212" t="s">
        <v>3767</v>
      </c>
      <c r="Z651" s="209" t="s">
        <v>3768</v>
      </c>
      <c r="AA651" s="215"/>
      <c r="AB651" s="218"/>
      <c r="AC651" s="217" t="e">
        <v>#N/A</v>
      </c>
      <c r="AD651" s="217">
        <v>91362</v>
      </c>
      <c r="AE651" s="217" t="s">
        <v>4984</v>
      </c>
      <c r="AF651" s="217" t="s">
        <v>3770</v>
      </c>
      <c r="AG651" s="217" t="s">
        <v>3771</v>
      </c>
      <c r="AH651" s="220" t="str">
        <f t="shared" si="42"/>
        <v>4590007616_009</v>
      </c>
      <c r="AI651" s="208"/>
      <c r="AJ651" s="220"/>
      <c r="AK651" s="221"/>
      <c r="AL651" s="227"/>
      <c r="AM651" s="208"/>
      <c r="AN651" s="220"/>
      <c r="AO651" s="222"/>
      <c r="AP651" s="227"/>
      <c r="AQ651" s="358">
        <f ca="1">IF(表格1[[#This Row],[PO$]]="","100%",表格1[[#This Row],[total amount]]/表格1[[#This Row],[PO$]])</f>
        <v>0</v>
      </c>
      <c r="AR651" s="223">
        <f ca="1">表格1[[#This Row],[invoice amount]]+表格1[[#This Row],[invoice amount2]]</f>
        <v>0</v>
      </c>
      <c r="AS651" s="224"/>
      <c r="AT651" s="208"/>
      <c r="AU651" s="208" t="e">
        <f ca="1">VLOOKUP(表格1[[#This Row],[PO+ITEM]],#REF!,2,FALSE)</f>
        <v>#REF!</v>
      </c>
      <c r="AV651" s="341" t="e">
        <f ca="1">VLOOKUP(表格1[[#This Row],[PO+ITEM]],#REF!,3,FALSE)</f>
        <v>#REF!</v>
      </c>
      <c r="AW651" s="208" t="e">
        <f ca="1">VLOOKUP(表格1[[#This Row],[PO+ITEM]],#REF!,4,FALSE)</f>
        <v>#REF!</v>
      </c>
      <c r="AX651" s="208" t="e" cm="1" vm="1">
        <f t="array" aca="1" ref="AX651" ca="1">VLOOKUP(AI:AI,#REF!,1,FALSE)</f>
        <v>#VALUE!</v>
      </c>
    </row>
    <row r="652" spans="1:50">
      <c r="A652" s="220">
        <v>651</v>
      </c>
      <c r="B652" s="220" t="s">
        <v>3659</v>
      </c>
      <c r="C652" s="209" t="s">
        <v>17</v>
      </c>
      <c r="D652" s="209" t="s">
        <v>3648</v>
      </c>
      <c r="E652" s="209"/>
      <c r="F652" s="209"/>
      <c r="G652" s="209"/>
      <c r="H652" s="210" t="s">
        <v>5237</v>
      </c>
      <c r="I652" s="210"/>
      <c r="J652" s="211"/>
      <c r="K652" s="210"/>
      <c r="L652" s="212" t="s">
        <v>2999</v>
      </c>
      <c r="M652" s="212" t="s">
        <v>2999</v>
      </c>
      <c r="N652" s="213"/>
      <c r="O652" s="263">
        <v>4590007616</v>
      </c>
      <c r="P652" s="214">
        <v>44855</v>
      </c>
      <c r="Q652" s="334">
        <v>10</v>
      </c>
      <c r="R652" s="216">
        <v>23868</v>
      </c>
      <c r="S652" s="217" t="s">
        <v>2156</v>
      </c>
      <c r="T652" s="209" t="s">
        <v>3713</v>
      </c>
      <c r="U652" s="209" t="s">
        <v>3714</v>
      </c>
      <c r="V652" s="213" t="s">
        <v>3715</v>
      </c>
      <c r="W652" s="218" t="s">
        <v>3652</v>
      </c>
      <c r="X652" s="218" t="s">
        <v>3652</v>
      </c>
      <c r="Y652" s="212" t="s">
        <v>3767</v>
      </c>
      <c r="Z652" s="209" t="s">
        <v>3768</v>
      </c>
      <c r="AA652" s="215"/>
      <c r="AB652" s="218"/>
      <c r="AC652" s="217" t="e">
        <v>#N/A</v>
      </c>
      <c r="AD652" s="217">
        <v>91363</v>
      </c>
      <c r="AE652" s="217" t="s">
        <v>4986</v>
      </c>
      <c r="AF652" s="217" t="s">
        <v>3770</v>
      </c>
      <c r="AG652" s="217" t="s">
        <v>3771</v>
      </c>
      <c r="AH652" s="220" t="str">
        <f>O652&amp;"_0"&amp;Q652</f>
        <v>4590007616_010</v>
      </c>
      <c r="AI652" s="208"/>
      <c r="AJ652" s="220"/>
      <c r="AK652" s="221"/>
      <c r="AL652" s="227"/>
      <c r="AM652" s="208"/>
      <c r="AN652" s="220"/>
      <c r="AO652" s="222"/>
      <c r="AP652" s="227"/>
      <c r="AQ652" s="358">
        <f ca="1">IF(表格1[[#This Row],[PO$]]="","100%",表格1[[#This Row],[total amount]]/表格1[[#This Row],[PO$]])</f>
        <v>0</v>
      </c>
      <c r="AR652" s="223">
        <f ca="1">表格1[[#This Row],[invoice amount]]+表格1[[#This Row],[invoice amount2]]</f>
        <v>0</v>
      </c>
      <c r="AS652" s="224"/>
      <c r="AT652" s="208"/>
      <c r="AU652" s="208" t="e">
        <f ca="1">VLOOKUP(表格1[[#This Row],[PO+ITEM]],#REF!,2,FALSE)</f>
        <v>#REF!</v>
      </c>
      <c r="AV652" s="341" t="e">
        <f ca="1">VLOOKUP(表格1[[#This Row],[PO+ITEM]],#REF!,3,FALSE)</f>
        <v>#REF!</v>
      </c>
      <c r="AW652" s="208" t="e">
        <f ca="1">VLOOKUP(表格1[[#This Row],[PO+ITEM]],#REF!,4,FALSE)</f>
        <v>#REF!</v>
      </c>
      <c r="AX652" s="208" t="e" cm="1" vm="1">
        <f t="array" aca="1" ref="AX652" ca="1">VLOOKUP(AI:AI,#REF!,1,FALSE)</f>
        <v>#VALUE!</v>
      </c>
    </row>
    <row r="653" spans="1:50" ht="15.6">
      <c r="A653" s="220">
        <v>652</v>
      </c>
      <c r="B653" s="220" t="s">
        <v>3674</v>
      </c>
      <c r="C653" s="209" t="s">
        <v>17</v>
      </c>
      <c r="D653" s="209" t="s">
        <v>3648</v>
      </c>
      <c r="E653" s="209"/>
      <c r="F653" s="209"/>
      <c r="G653" s="209"/>
      <c r="H653" s="210" t="s">
        <v>5238</v>
      </c>
      <c r="I653" s="210"/>
      <c r="J653" s="211"/>
      <c r="K653" s="210"/>
      <c r="L653" s="212" t="s">
        <v>2999</v>
      </c>
      <c r="M653" s="212" t="s">
        <v>2999</v>
      </c>
      <c r="N653" s="213"/>
      <c r="O653" s="263">
        <v>4590007617</v>
      </c>
      <c r="P653" s="214">
        <v>44855</v>
      </c>
      <c r="Q653" s="334">
        <v>1</v>
      </c>
      <c r="R653" s="216">
        <v>23868</v>
      </c>
      <c r="S653" s="217" t="s">
        <v>2156</v>
      </c>
      <c r="T653" s="209" t="s">
        <v>3713</v>
      </c>
      <c r="U653" s="209" t="s">
        <v>3714</v>
      </c>
      <c r="V653" s="213" t="s">
        <v>3715</v>
      </c>
      <c r="W653" s="218" t="s">
        <v>3652</v>
      </c>
      <c r="X653" s="218" t="s">
        <v>3652</v>
      </c>
      <c r="Y653" s="212" t="s">
        <v>3767</v>
      </c>
      <c r="Z653" s="209" t="s">
        <v>3768</v>
      </c>
      <c r="AA653" s="215"/>
      <c r="AB653" s="218"/>
      <c r="AC653" s="217" t="e">
        <v>#N/A</v>
      </c>
      <c r="AD653" s="217">
        <v>90791</v>
      </c>
      <c r="AE653" s="217" t="s">
        <v>4402</v>
      </c>
      <c r="AF653" s="217" t="s">
        <v>3770</v>
      </c>
      <c r="AG653" s="217" t="s">
        <v>3771</v>
      </c>
      <c r="AH653" s="220" t="str">
        <f t="shared" ref="AH653:AH661" si="43">O653&amp;"_00"&amp;Q653</f>
        <v>4590007617_001</v>
      </c>
      <c r="AI653" s="208" t="s">
        <v>5239</v>
      </c>
      <c r="AJ653" s="227">
        <v>45401</v>
      </c>
      <c r="AK653" s="221">
        <v>23868</v>
      </c>
      <c r="AL653" s="314">
        <v>45458</v>
      </c>
      <c r="AM653" s="208"/>
      <c r="AN653" s="220"/>
      <c r="AO653" s="222"/>
      <c r="AP653" s="227"/>
      <c r="AQ653" s="358">
        <f ca="1">IF(表格1[[#This Row],[PO$]]="","100%",表格1[[#This Row],[total amount]]/表格1[[#This Row],[PO$]])</f>
        <v>1</v>
      </c>
      <c r="AR653" s="223">
        <f ca="1">表格1[[#This Row],[invoice amount]]+表格1[[#This Row],[invoice amount2]]</f>
        <v>23868</v>
      </c>
      <c r="AS653" s="224" t="s">
        <v>3725</v>
      </c>
      <c r="AT653" s="208" t="s">
        <v>3773</v>
      </c>
      <c r="AU653" s="208" t="e">
        <f ca="1">VLOOKUP(表格1[[#This Row],[PO+ITEM]],#REF!,2,FALSE)</f>
        <v>#REF!</v>
      </c>
      <c r="AV653" s="341" t="e">
        <f ca="1">VLOOKUP(表格1[[#This Row],[PO+ITEM]],#REF!,3,FALSE)</f>
        <v>#REF!</v>
      </c>
      <c r="AW653" s="208" t="e">
        <f ca="1">VLOOKUP(表格1[[#This Row],[PO+ITEM]],#REF!,4,FALSE)</f>
        <v>#REF!</v>
      </c>
      <c r="AX653" s="208" t="e" cm="1" vm="1">
        <f t="array" aca="1" ref="AX653" ca="1">VLOOKUP(AI:AI,#REF!,1,FALSE)</f>
        <v>#VALUE!</v>
      </c>
    </row>
    <row r="654" spans="1:50" ht="15.6">
      <c r="A654" s="220">
        <v>653</v>
      </c>
      <c r="B654" s="220" t="s">
        <v>3674</v>
      </c>
      <c r="C654" s="209" t="s">
        <v>17</v>
      </c>
      <c r="D654" s="209" t="s">
        <v>3648</v>
      </c>
      <c r="E654" s="209"/>
      <c r="F654" s="209"/>
      <c r="G654" s="209"/>
      <c r="H654" s="210" t="s">
        <v>5240</v>
      </c>
      <c r="I654" s="210"/>
      <c r="J654" s="211"/>
      <c r="K654" s="210"/>
      <c r="L654" s="212" t="s">
        <v>2999</v>
      </c>
      <c r="M654" s="212" t="s">
        <v>2999</v>
      </c>
      <c r="N654" s="213"/>
      <c r="O654" s="263">
        <v>4590007617</v>
      </c>
      <c r="P654" s="214">
        <v>44855</v>
      </c>
      <c r="Q654" s="334">
        <v>2</v>
      </c>
      <c r="R654" s="216">
        <v>23868</v>
      </c>
      <c r="S654" s="217" t="s">
        <v>2156</v>
      </c>
      <c r="T654" s="209" t="s">
        <v>3713</v>
      </c>
      <c r="U654" s="209" t="s">
        <v>3714</v>
      </c>
      <c r="V654" s="213" t="s">
        <v>3715</v>
      </c>
      <c r="W654" s="218" t="s">
        <v>3652</v>
      </c>
      <c r="X654" s="218" t="s">
        <v>3652</v>
      </c>
      <c r="Y654" s="212" t="s">
        <v>3767</v>
      </c>
      <c r="Z654" s="209" t="s">
        <v>3768</v>
      </c>
      <c r="AA654" s="215"/>
      <c r="AB654" s="218"/>
      <c r="AC654" s="217" t="e">
        <v>#N/A</v>
      </c>
      <c r="AD654" s="217">
        <v>90792</v>
      </c>
      <c r="AE654" s="217" t="s">
        <v>4405</v>
      </c>
      <c r="AF654" s="217" t="s">
        <v>3770</v>
      </c>
      <c r="AG654" s="217" t="s">
        <v>3771</v>
      </c>
      <c r="AH654" s="220" t="str">
        <f t="shared" si="43"/>
        <v>4590007617_002</v>
      </c>
      <c r="AI654" s="208" t="s">
        <v>5241</v>
      </c>
      <c r="AJ654" s="227">
        <v>45415</v>
      </c>
      <c r="AK654" s="221">
        <v>23868</v>
      </c>
      <c r="AL654" s="314" t="s">
        <v>6691</v>
      </c>
      <c r="AM654" s="208"/>
      <c r="AN654" s="220"/>
      <c r="AO654" s="222"/>
      <c r="AP654" s="227"/>
      <c r="AQ654" s="358">
        <f ca="1">IF(表格1[[#This Row],[PO$]]="","100%",表格1[[#This Row],[total amount]]/表格1[[#This Row],[PO$]])</f>
        <v>1</v>
      </c>
      <c r="AR654" s="223">
        <f ca="1">表格1[[#This Row],[invoice amount]]+表格1[[#This Row],[invoice amount2]]</f>
        <v>23868</v>
      </c>
      <c r="AS654" s="224" t="s">
        <v>3752</v>
      </c>
      <c r="AT654" s="208" t="s">
        <v>3773</v>
      </c>
      <c r="AU654" s="208" t="e">
        <f ca="1">VLOOKUP(表格1[[#This Row],[PO+ITEM]],#REF!,2,FALSE)</f>
        <v>#REF!</v>
      </c>
      <c r="AV654" s="341" t="e">
        <f ca="1">VLOOKUP(表格1[[#This Row],[PO+ITEM]],#REF!,3,FALSE)</f>
        <v>#REF!</v>
      </c>
      <c r="AW654" s="208" t="e">
        <f ca="1">VLOOKUP(表格1[[#This Row],[PO+ITEM]],#REF!,4,FALSE)</f>
        <v>#REF!</v>
      </c>
      <c r="AX654" s="208" t="e" cm="1" vm="1">
        <f t="array" aca="1" ref="AX654" ca="1">VLOOKUP(AI:AI,#REF!,1,FALSE)</f>
        <v>#VALUE!</v>
      </c>
    </row>
    <row r="655" spans="1:50">
      <c r="A655" s="220">
        <v>654</v>
      </c>
      <c r="B655" s="220" t="s">
        <v>3674</v>
      </c>
      <c r="C655" s="209" t="s">
        <v>17</v>
      </c>
      <c r="D655" s="209" t="s">
        <v>3648</v>
      </c>
      <c r="E655" s="209"/>
      <c r="F655" s="209"/>
      <c r="G655" s="209"/>
      <c r="H655" s="210" t="s">
        <v>5242</v>
      </c>
      <c r="I655" s="210"/>
      <c r="J655" s="211"/>
      <c r="K655" s="210"/>
      <c r="L655" s="212" t="s">
        <v>2999</v>
      </c>
      <c r="M655" s="212" t="s">
        <v>2999</v>
      </c>
      <c r="N655" s="213"/>
      <c r="O655" s="263">
        <v>4590007617</v>
      </c>
      <c r="P655" s="214">
        <v>44855</v>
      </c>
      <c r="Q655" s="334">
        <v>3</v>
      </c>
      <c r="R655" s="216">
        <v>23868</v>
      </c>
      <c r="S655" s="217" t="s">
        <v>2156</v>
      </c>
      <c r="T655" s="209" t="s">
        <v>3713</v>
      </c>
      <c r="U655" s="209" t="s">
        <v>3714</v>
      </c>
      <c r="V655" s="213" t="s">
        <v>3715</v>
      </c>
      <c r="W655" s="218" t="s">
        <v>3652</v>
      </c>
      <c r="X655" s="218" t="s">
        <v>3652</v>
      </c>
      <c r="Y655" s="212" t="s">
        <v>3767</v>
      </c>
      <c r="Z655" s="209" t="s">
        <v>3768</v>
      </c>
      <c r="AA655" s="215"/>
      <c r="AB655" s="218"/>
      <c r="AC655" s="217" t="e">
        <v>#N/A</v>
      </c>
      <c r="AD655" s="217">
        <v>90793</v>
      </c>
      <c r="AE655" s="217" t="s">
        <v>4408</v>
      </c>
      <c r="AF655" s="217" t="s">
        <v>3770</v>
      </c>
      <c r="AG655" s="217" t="s">
        <v>3771</v>
      </c>
      <c r="AH655" s="220" t="str">
        <f t="shared" si="43"/>
        <v>4590007617_003</v>
      </c>
      <c r="AI655" s="208" t="s">
        <v>5243</v>
      </c>
      <c r="AJ655" s="227">
        <v>45436</v>
      </c>
      <c r="AK655" s="221">
        <v>23868</v>
      </c>
      <c r="AL655" s="227" t="s">
        <v>3805</v>
      </c>
      <c r="AM655" s="208"/>
      <c r="AN655" s="220"/>
      <c r="AO655" s="222"/>
      <c r="AP655" s="227"/>
      <c r="AQ655" s="358">
        <f ca="1">IF(表格1[[#This Row],[PO$]]="","100%",表格1[[#This Row],[total amount]]/表格1[[#This Row],[PO$]])</f>
        <v>1</v>
      </c>
      <c r="AR655" s="223">
        <f ca="1">表格1[[#This Row],[invoice amount]]+表格1[[#This Row],[invoice amount2]]</f>
        <v>23868</v>
      </c>
      <c r="AS655" s="224" t="s">
        <v>3701</v>
      </c>
      <c r="AT655" s="208"/>
      <c r="AU655" s="208" t="e">
        <f ca="1">VLOOKUP(表格1[[#This Row],[PO+ITEM]],#REF!,2,FALSE)</f>
        <v>#REF!</v>
      </c>
      <c r="AV655" s="341" t="e">
        <f ca="1">VLOOKUP(表格1[[#This Row],[PO+ITEM]],#REF!,3,FALSE)</f>
        <v>#REF!</v>
      </c>
      <c r="AW655" s="208" t="e">
        <f ca="1">VLOOKUP(表格1[[#This Row],[PO+ITEM]],#REF!,4,FALSE)</f>
        <v>#REF!</v>
      </c>
      <c r="AX655" s="208" t="e" cm="1" vm="1">
        <f t="array" aca="1" ref="AX655" ca="1">VLOOKUP(AI:AI,#REF!,1,FALSE)</f>
        <v>#VALUE!</v>
      </c>
    </row>
    <row r="656" spans="1:50">
      <c r="A656" s="220">
        <v>655</v>
      </c>
      <c r="B656" s="220" t="s">
        <v>3659</v>
      </c>
      <c r="C656" s="209" t="s">
        <v>17</v>
      </c>
      <c r="D656" s="209" t="s">
        <v>3648</v>
      </c>
      <c r="E656" s="209"/>
      <c r="F656" s="209"/>
      <c r="G656" s="209"/>
      <c r="H656" s="217" t="s">
        <v>5244</v>
      </c>
      <c r="I656" s="217"/>
      <c r="J656" s="215"/>
      <c r="K656" s="217"/>
      <c r="L656" s="212" t="s">
        <v>2999</v>
      </c>
      <c r="M656" s="212" t="s">
        <v>2999</v>
      </c>
      <c r="N656" s="213"/>
      <c r="O656" s="263">
        <v>4590007617</v>
      </c>
      <c r="P656" s="214">
        <v>44855</v>
      </c>
      <c r="Q656" s="334">
        <v>4</v>
      </c>
      <c r="R656" s="216">
        <v>23868</v>
      </c>
      <c r="S656" s="217" t="s">
        <v>2156</v>
      </c>
      <c r="T656" s="209" t="s">
        <v>3713</v>
      </c>
      <c r="U656" s="209" t="s">
        <v>3714</v>
      </c>
      <c r="V656" s="213" t="s">
        <v>3715</v>
      </c>
      <c r="W656" s="218" t="s">
        <v>3652</v>
      </c>
      <c r="X656" s="218" t="s">
        <v>3652</v>
      </c>
      <c r="Y656" s="212" t="s">
        <v>3767</v>
      </c>
      <c r="Z656" s="209" t="s">
        <v>3768</v>
      </c>
      <c r="AA656" s="215"/>
      <c r="AB656" s="218"/>
      <c r="AC656" s="217" t="e">
        <v>#N/A</v>
      </c>
      <c r="AD656" s="217">
        <v>90794</v>
      </c>
      <c r="AE656" s="217" t="s">
        <v>4411</v>
      </c>
      <c r="AF656" s="217" t="s">
        <v>3770</v>
      </c>
      <c r="AG656" s="217" t="s">
        <v>3771</v>
      </c>
      <c r="AH656" s="220" t="str">
        <f t="shared" si="43"/>
        <v>4590007617_004</v>
      </c>
      <c r="AI656" s="208"/>
      <c r="AJ656" s="220"/>
      <c r="AK656" s="221"/>
      <c r="AL656" s="227"/>
      <c r="AM656" s="208"/>
      <c r="AN656" s="220"/>
      <c r="AO656" s="222"/>
      <c r="AP656" s="227"/>
      <c r="AQ656" s="358">
        <f ca="1">IF(表格1[[#This Row],[PO$]]="","100%",表格1[[#This Row],[total amount]]/表格1[[#This Row],[PO$]])</f>
        <v>0</v>
      </c>
      <c r="AR656" s="223">
        <f ca="1">表格1[[#This Row],[invoice amount]]+表格1[[#This Row],[invoice amount2]]</f>
        <v>0</v>
      </c>
      <c r="AS656" s="224"/>
      <c r="AT656" s="208"/>
      <c r="AU656" s="208" t="e">
        <f ca="1">VLOOKUP(表格1[[#This Row],[PO+ITEM]],#REF!,2,FALSE)</f>
        <v>#REF!</v>
      </c>
      <c r="AV656" s="341" t="e">
        <f ca="1">VLOOKUP(表格1[[#This Row],[PO+ITEM]],#REF!,3,FALSE)</f>
        <v>#REF!</v>
      </c>
      <c r="AW656" s="208" t="e">
        <f ca="1">VLOOKUP(表格1[[#This Row],[PO+ITEM]],#REF!,4,FALSE)</f>
        <v>#REF!</v>
      </c>
      <c r="AX656" s="208" t="e" cm="1" vm="1">
        <f t="array" aca="1" ref="AX656" ca="1">VLOOKUP(AI:AI,#REF!,1,FALSE)</f>
        <v>#VALUE!</v>
      </c>
    </row>
    <row r="657" spans="1:50">
      <c r="A657" s="220">
        <v>656</v>
      </c>
      <c r="B657" s="220" t="s">
        <v>3659</v>
      </c>
      <c r="C657" s="209" t="s">
        <v>17</v>
      </c>
      <c r="D657" s="209" t="s">
        <v>3648</v>
      </c>
      <c r="E657" s="209"/>
      <c r="F657" s="209"/>
      <c r="G657" s="209"/>
      <c r="H657" s="210" t="s">
        <v>5245</v>
      </c>
      <c r="I657" s="210"/>
      <c r="J657" s="211"/>
      <c r="K657" s="210"/>
      <c r="L657" s="212" t="s">
        <v>2999</v>
      </c>
      <c r="M657" s="212" t="s">
        <v>2999</v>
      </c>
      <c r="N657" s="213"/>
      <c r="O657" s="263">
        <v>4590007617</v>
      </c>
      <c r="P657" s="214">
        <v>44855</v>
      </c>
      <c r="Q657" s="334">
        <v>5</v>
      </c>
      <c r="R657" s="216">
        <v>23868</v>
      </c>
      <c r="S657" s="217" t="s">
        <v>2156</v>
      </c>
      <c r="T657" s="209" t="s">
        <v>3713</v>
      </c>
      <c r="U657" s="209" t="s">
        <v>3714</v>
      </c>
      <c r="V657" s="213" t="s">
        <v>3715</v>
      </c>
      <c r="W657" s="218" t="s">
        <v>3652</v>
      </c>
      <c r="X657" s="218" t="s">
        <v>3652</v>
      </c>
      <c r="Y657" s="212" t="s">
        <v>3767</v>
      </c>
      <c r="Z657" s="209" t="s">
        <v>3768</v>
      </c>
      <c r="AA657" s="215"/>
      <c r="AB657" s="218"/>
      <c r="AC657" s="217" t="e">
        <v>#N/A</v>
      </c>
      <c r="AD657" s="217">
        <v>91120</v>
      </c>
      <c r="AE657" s="217" t="s">
        <v>4954</v>
      </c>
      <c r="AF657" s="217" t="s">
        <v>3770</v>
      </c>
      <c r="AG657" s="217" t="s">
        <v>3771</v>
      </c>
      <c r="AH657" s="220" t="str">
        <f t="shared" si="43"/>
        <v>4590007617_005</v>
      </c>
      <c r="AI657" s="208"/>
      <c r="AJ657" s="220"/>
      <c r="AK657" s="221"/>
      <c r="AL657" s="227"/>
      <c r="AM657" s="208"/>
      <c r="AN657" s="220"/>
      <c r="AO657" s="222"/>
      <c r="AP657" s="227"/>
      <c r="AQ657" s="358">
        <f ca="1">IF(表格1[[#This Row],[PO$]]="","100%",表格1[[#This Row],[total amount]]/表格1[[#This Row],[PO$]])</f>
        <v>0</v>
      </c>
      <c r="AR657" s="223">
        <f ca="1">表格1[[#This Row],[invoice amount]]+表格1[[#This Row],[invoice amount2]]</f>
        <v>0</v>
      </c>
      <c r="AS657" s="224"/>
      <c r="AT657" s="208"/>
      <c r="AU657" s="208" t="e">
        <f ca="1">VLOOKUP(表格1[[#This Row],[PO+ITEM]],#REF!,2,FALSE)</f>
        <v>#REF!</v>
      </c>
      <c r="AV657" s="341" t="e">
        <f ca="1">VLOOKUP(表格1[[#This Row],[PO+ITEM]],#REF!,3,FALSE)</f>
        <v>#REF!</v>
      </c>
      <c r="AW657" s="208" t="e">
        <f ca="1">VLOOKUP(表格1[[#This Row],[PO+ITEM]],#REF!,4,FALSE)</f>
        <v>#REF!</v>
      </c>
      <c r="AX657" s="208" t="e" cm="1" vm="1">
        <f t="array" aca="1" ref="AX657" ca="1">VLOOKUP(AI:AI,#REF!,1,FALSE)</f>
        <v>#VALUE!</v>
      </c>
    </row>
    <row r="658" spans="1:50">
      <c r="A658" s="220">
        <v>657</v>
      </c>
      <c r="B658" s="220" t="s">
        <v>3659</v>
      </c>
      <c r="C658" s="209" t="s">
        <v>17</v>
      </c>
      <c r="D658" s="209" t="s">
        <v>3648</v>
      </c>
      <c r="E658" s="209"/>
      <c r="F658" s="209"/>
      <c r="G658" s="209"/>
      <c r="H658" s="210" t="s">
        <v>5246</v>
      </c>
      <c r="I658" s="210"/>
      <c r="J658" s="211"/>
      <c r="K658" s="210"/>
      <c r="L658" s="212" t="s">
        <v>2999</v>
      </c>
      <c r="M658" s="212" t="s">
        <v>2999</v>
      </c>
      <c r="N658" s="213"/>
      <c r="O658" s="263">
        <v>4590007617</v>
      </c>
      <c r="P658" s="214">
        <v>44855</v>
      </c>
      <c r="Q658" s="334">
        <v>6</v>
      </c>
      <c r="R658" s="216">
        <v>23868</v>
      </c>
      <c r="S658" s="217" t="s">
        <v>2156</v>
      </c>
      <c r="T658" s="209" t="s">
        <v>3713</v>
      </c>
      <c r="U658" s="209" t="s">
        <v>3714</v>
      </c>
      <c r="V658" s="213" t="s">
        <v>3715</v>
      </c>
      <c r="W658" s="218" t="s">
        <v>3652</v>
      </c>
      <c r="X658" s="218" t="s">
        <v>3652</v>
      </c>
      <c r="Y658" s="212" t="s">
        <v>3767</v>
      </c>
      <c r="Z658" s="209" t="s">
        <v>3768</v>
      </c>
      <c r="AA658" s="215"/>
      <c r="AB658" s="218"/>
      <c r="AC658" s="217" t="e">
        <v>#N/A</v>
      </c>
      <c r="AD658" s="217">
        <v>91132</v>
      </c>
      <c r="AE658" s="217" t="s">
        <v>4956</v>
      </c>
      <c r="AF658" s="217" t="s">
        <v>3770</v>
      </c>
      <c r="AG658" s="217" t="s">
        <v>3771</v>
      </c>
      <c r="AH658" s="220" t="str">
        <f t="shared" si="43"/>
        <v>4590007617_006</v>
      </c>
      <c r="AI658" s="208"/>
      <c r="AJ658" s="220"/>
      <c r="AK658" s="221"/>
      <c r="AL658" s="227"/>
      <c r="AM658" s="208"/>
      <c r="AN658" s="220"/>
      <c r="AO658" s="222"/>
      <c r="AP658" s="227"/>
      <c r="AQ658" s="358">
        <f ca="1">IF(表格1[[#This Row],[PO$]]="","100%",表格1[[#This Row],[total amount]]/表格1[[#This Row],[PO$]])</f>
        <v>0</v>
      </c>
      <c r="AR658" s="223">
        <f ca="1">表格1[[#This Row],[invoice amount]]+表格1[[#This Row],[invoice amount2]]</f>
        <v>0</v>
      </c>
      <c r="AS658" s="224"/>
      <c r="AT658" s="208"/>
      <c r="AU658" s="208" t="e">
        <f ca="1">VLOOKUP(表格1[[#This Row],[PO+ITEM]],#REF!,2,FALSE)</f>
        <v>#REF!</v>
      </c>
      <c r="AV658" s="341" t="e">
        <f ca="1">VLOOKUP(表格1[[#This Row],[PO+ITEM]],#REF!,3,FALSE)</f>
        <v>#REF!</v>
      </c>
      <c r="AW658" s="208" t="e">
        <f ca="1">VLOOKUP(表格1[[#This Row],[PO+ITEM]],#REF!,4,FALSE)</f>
        <v>#REF!</v>
      </c>
      <c r="AX658" s="208" t="e" cm="1" vm="1">
        <f t="array" aca="1" ref="AX658" ca="1">VLOOKUP(AI:AI,#REF!,1,FALSE)</f>
        <v>#VALUE!</v>
      </c>
    </row>
    <row r="659" spans="1:50">
      <c r="A659" s="220">
        <v>658</v>
      </c>
      <c r="B659" s="220" t="s">
        <v>3659</v>
      </c>
      <c r="C659" s="209" t="s">
        <v>17</v>
      </c>
      <c r="D659" s="209" t="s">
        <v>3648</v>
      </c>
      <c r="E659" s="209"/>
      <c r="F659" s="209"/>
      <c r="G659" s="209"/>
      <c r="H659" s="210" t="s">
        <v>5247</v>
      </c>
      <c r="I659" s="210"/>
      <c r="J659" s="211"/>
      <c r="K659" s="210"/>
      <c r="L659" s="212" t="s">
        <v>2999</v>
      </c>
      <c r="M659" s="212" t="s">
        <v>2999</v>
      </c>
      <c r="N659" s="213"/>
      <c r="O659" s="263">
        <v>4590007617</v>
      </c>
      <c r="P659" s="214">
        <v>44855</v>
      </c>
      <c r="Q659" s="334">
        <v>7</v>
      </c>
      <c r="R659" s="216">
        <v>23868</v>
      </c>
      <c r="S659" s="217" t="s">
        <v>2156</v>
      </c>
      <c r="T659" s="209" t="s">
        <v>3713</v>
      </c>
      <c r="U659" s="209" t="s">
        <v>3714</v>
      </c>
      <c r="V659" s="213" t="s">
        <v>3715</v>
      </c>
      <c r="W659" s="218" t="s">
        <v>3652</v>
      </c>
      <c r="X659" s="218" t="s">
        <v>3652</v>
      </c>
      <c r="Y659" s="212" t="s">
        <v>3767</v>
      </c>
      <c r="Z659" s="209" t="s">
        <v>3768</v>
      </c>
      <c r="AA659" s="215"/>
      <c r="AB659" s="218"/>
      <c r="AC659" s="217" t="e">
        <v>#N/A</v>
      </c>
      <c r="AD659" s="217">
        <v>91133</v>
      </c>
      <c r="AE659" s="217" t="s">
        <v>4958</v>
      </c>
      <c r="AF659" s="217" t="s">
        <v>3770</v>
      </c>
      <c r="AG659" s="217" t="s">
        <v>3771</v>
      </c>
      <c r="AH659" s="220" t="str">
        <f t="shared" si="43"/>
        <v>4590007617_007</v>
      </c>
      <c r="AI659" s="208"/>
      <c r="AJ659" s="220"/>
      <c r="AK659" s="221"/>
      <c r="AL659" s="227"/>
      <c r="AM659" s="208"/>
      <c r="AN659" s="220"/>
      <c r="AO659" s="222"/>
      <c r="AP659" s="227"/>
      <c r="AQ659" s="358">
        <f ca="1">IF(表格1[[#This Row],[PO$]]="","100%",表格1[[#This Row],[total amount]]/表格1[[#This Row],[PO$]])</f>
        <v>0</v>
      </c>
      <c r="AR659" s="223">
        <f ca="1">表格1[[#This Row],[invoice amount]]+表格1[[#This Row],[invoice amount2]]</f>
        <v>0</v>
      </c>
      <c r="AS659" s="224"/>
      <c r="AT659" s="208"/>
      <c r="AU659" s="208" t="e">
        <f ca="1">VLOOKUP(表格1[[#This Row],[PO+ITEM]],#REF!,2,FALSE)</f>
        <v>#REF!</v>
      </c>
      <c r="AV659" s="341" t="e">
        <f ca="1">VLOOKUP(表格1[[#This Row],[PO+ITEM]],#REF!,3,FALSE)</f>
        <v>#REF!</v>
      </c>
      <c r="AW659" s="208" t="e">
        <f ca="1">VLOOKUP(表格1[[#This Row],[PO+ITEM]],#REF!,4,FALSE)</f>
        <v>#REF!</v>
      </c>
      <c r="AX659" s="208" t="e" cm="1" vm="1">
        <f t="array" aca="1" ref="AX659" ca="1">VLOOKUP(AI:AI,#REF!,1,FALSE)</f>
        <v>#VALUE!</v>
      </c>
    </row>
    <row r="660" spans="1:50" ht="15.6">
      <c r="A660" s="220">
        <v>659</v>
      </c>
      <c r="B660" s="220" t="s">
        <v>3674</v>
      </c>
      <c r="C660" s="209" t="s">
        <v>17</v>
      </c>
      <c r="D660" s="209" t="s">
        <v>3648</v>
      </c>
      <c r="E660" s="209"/>
      <c r="F660" s="209"/>
      <c r="G660" s="209"/>
      <c r="H660" s="217" t="s">
        <v>5248</v>
      </c>
      <c r="I660" s="217"/>
      <c r="J660" s="215"/>
      <c r="K660" s="217"/>
      <c r="L660" s="212" t="s">
        <v>2999</v>
      </c>
      <c r="M660" s="212" t="s">
        <v>2999</v>
      </c>
      <c r="N660" s="213"/>
      <c r="O660" s="263">
        <v>4590007617</v>
      </c>
      <c r="P660" s="214">
        <v>44855</v>
      </c>
      <c r="Q660" s="334">
        <v>8</v>
      </c>
      <c r="R660" s="216">
        <v>23868</v>
      </c>
      <c r="S660" s="217" t="s">
        <v>2156</v>
      </c>
      <c r="T660" s="209" t="s">
        <v>3713</v>
      </c>
      <c r="U660" s="209" t="s">
        <v>3714</v>
      </c>
      <c r="V660" s="213" t="s">
        <v>3715</v>
      </c>
      <c r="W660" s="218" t="s">
        <v>3652</v>
      </c>
      <c r="X660" s="218" t="s">
        <v>3652</v>
      </c>
      <c r="Y660" s="212" t="s">
        <v>3767</v>
      </c>
      <c r="Z660" s="209" t="s">
        <v>3768</v>
      </c>
      <c r="AA660" s="215"/>
      <c r="AB660" s="218"/>
      <c r="AC660" s="217" t="e">
        <v>#N/A</v>
      </c>
      <c r="AD660" s="217">
        <v>90813</v>
      </c>
      <c r="AE660" s="217" t="s">
        <v>4396</v>
      </c>
      <c r="AF660" s="217" t="s">
        <v>3770</v>
      </c>
      <c r="AG660" s="217" t="s">
        <v>3771</v>
      </c>
      <c r="AH660" s="220" t="str">
        <f t="shared" si="43"/>
        <v>4590007617_008</v>
      </c>
      <c r="AI660" s="208" t="s">
        <v>5249</v>
      </c>
      <c r="AJ660" s="227">
        <v>45401</v>
      </c>
      <c r="AK660" s="221">
        <v>23868</v>
      </c>
      <c r="AL660" s="314">
        <v>45458</v>
      </c>
      <c r="AM660" s="208"/>
      <c r="AN660" s="220"/>
      <c r="AO660" s="222"/>
      <c r="AP660" s="227"/>
      <c r="AQ660" s="358">
        <f ca="1">IF(表格1[[#This Row],[PO$]]="","100%",表格1[[#This Row],[total amount]]/表格1[[#This Row],[PO$]])</f>
        <v>1</v>
      </c>
      <c r="AR660" s="223">
        <f ca="1">表格1[[#This Row],[invoice amount]]+表格1[[#This Row],[invoice amount2]]</f>
        <v>23868</v>
      </c>
      <c r="AS660" s="224" t="s">
        <v>3725</v>
      </c>
      <c r="AT660" s="208" t="s">
        <v>3773</v>
      </c>
      <c r="AU660" s="208" t="e">
        <f ca="1">VLOOKUP(表格1[[#This Row],[PO+ITEM]],#REF!,2,FALSE)</f>
        <v>#REF!</v>
      </c>
      <c r="AV660" s="341" t="e">
        <f ca="1">VLOOKUP(表格1[[#This Row],[PO+ITEM]],#REF!,3,FALSE)</f>
        <v>#REF!</v>
      </c>
      <c r="AW660" s="208" t="e">
        <f ca="1">VLOOKUP(表格1[[#This Row],[PO+ITEM]],#REF!,4,FALSE)</f>
        <v>#REF!</v>
      </c>
      <c r="AX660" s="208" t="e" cm="1" vm="1">
        <f t="array" aca="1" ref="AX660" ca="1">VLOOKUP(AI:AI,#REF!,1,FALSE)</f>
        <v>#VALUE!</v>
      </c>
    </row>
    <row r="661" spans="1:50">
      <c r="A661" s="220">
        <v>660</v>
      </c>
      <c r="B661" s="220" t="s">
        <v>3674</v>
      </c>
      <c r="C661" s="209" t="s">
        <v>17</v>
      </c>
      <c r="D661" s="209" t="s">
        <v>3648</v>
      </c>
      <c r="E661" s="209"/>
      <c r="F661" s="209"/>
      <c r="G661" s="209"/>
      <c r="H661" s="210" t="s">
        <v>5250</v>
      </c>
      <c r="I661" s="210"/>
      <c r="J661" s="211"/>
      <c r="K661" s="210"/>
      <c r="L661" s="212" t="s">
        <v>2999</v>
      </c>
      <c r="M661" s="212" t="s">
        <v>2999</v>
      </c>
      <c r="N661" s="213"/>
      <c r="O661" s="263">
        <v>4590007617</v>
      </c>
      <c r="P661" s="214">
        <v>44855</v>
      </c>
      <c r="Q661" s="334">
        <v>9</v>
      </c>
      <c r="R661" s="216">
        <v>23868</v>
      </c>
      <c r="S661" s="217" t="s">
        <v>2156</v>
      </c>
      <c r="T661" s="209" t="s">
        <v>3713</v>
      </c>
      <c r="U661" s="209" t="s">
        <v>3714</v>
      </c>
      <c r="V661" s="213" t="s">
        <v>3715</v>
      </c>
      <c r="W661" s="218" t="s">
        <v>3652</v>
      </c>
      <c r="X661" s="218" t="s">
        <v>3652</v>
      </c>
      <c r="Y661" s="212" t="s">
        <v>3767</v>
      </c>
      <c r="Z661" s="209" t="s">
        <v>3768</v>
      </c>
      <c r="AA661" s="215"/>
      <c r="AB661" s="218"/>
      <c r="AC661" s="217" t="e">
        <v>#N/A</v>
      </c>
      <c r="AD661" s="217">
        <v>90814</v>
      </c>
      <c r="AE661" s="217" t="s">
        <v>4399</v>
      </c>
      <c r="AF661" s="217" t="s">
        <v>3770</v>
      </c>
      <c r="AG661" s="217" t="s">
        <v>3771</v>
      </c>
      <c r="AH661" s="220" t="str">
        <f t="shared" si="43"/>
        <v>4590007617_009</v>
      </c>
      <c r="AI661" s="208" t="s">
        <v>5251</v>
      </c>
      <c r="AJ661" s="227">
        <v>45401</v>
      </c>
      <c r="AK661" s="221">
        <v>23868</v>
      </c>
      <c r="AL661" s="227" t="s">
        <v>3805</v>
      </c>
      <c r="AM661" s="208"/>
      <c r="AN661" s="220"/>
      <c r="AO661" s="222"/>
      <c r="AP661" s="227"/>
      <c r="AQ661" s="358">
        <f ca="1">IF(表格1[[#This Row],[PO$]]="","100%",表格1[[#This Row],[total amount]]/表格1[[#This Row],[PO$]])</f>
        <v>1</v>
      </c>
      <c r="AR661" s="223">
        <f ca="1">表格1[[#This Row],[invoice amount]]+表格1[[#This Row],[invoice amount2]]</f>
        <v>23868</v>
      </c>
      <c r="AS661" s="224" t="s">
        <v>3806</v>
      </c>
      <c r="AT661" s="208"/>
      <c r="AU661" s="208" t="e">
        <f ca="1">VLOOKUP(表格1[[#This Row],[PO+ITEM]],#REF!,2,FALSE)</f>
        <v>#REF!</v>
      </c>
      <c r="AV661" s="341" t="e">
        <f ca="1">VLOOKUP(表格1[[#This Row],[PO+ITEM]],#REF!,3,FALSE)</f>
        <v>#REF!</v>
      </c>
      <c r="AW661" s="208" t="e">
        <f ca="1">VLOOKUP(表格1[[#This Row],[PO+ITEM]],#REF!,4,FALSE)</f>
        <v>#REF!</v>
      </c>
      <c r="AX661" s="208" t="e" cm="1" vm="1">
        <f t="array" aca="1" ref="AX661" ca="1">VLOOKUP(AI:AI,#REF!,1,FALSE)</f>
        <v>#VALUE!</v>
      </c>
    </row>
    <row r="662" spans="1:50">
      <c r="A662" s="220">
        <v>661</v>
      </c>
      <c r="B662" s="220" t="s">
        <v>3659</v>
      </c>
      <c r="C662" s="209" t="s">
        <v>17</v>
      </c>
      <c r="D662" s="209" t="s">
        <v>3648</v>
      </c>
      <c r="E662" s="209"/>
      <c r="F662" s="209"/>
      <c r="G662" s="209"/>
      <c r="H662" s="210" t="s">
        <v>5252</v>
      </c>
      <c r="I662" s="210"/>
      <c r="J662" s="211"/>
      <c r="K662" s="210"/>
      <c r="L662" s="212" t="s">
        <v>2999</v>
      </c>
      <c r="M662" s="212" t="s">
        <v>2999</v>
      </c>
      <c r="N662" s="213"/>
      <c r="O662" s="263">
        <v>4590007617</v>
      </c>
      <c r="P662" s="214">
        <v>44855</v>
      </c>
      <c r="Q662" s="334">
        <v>10</v>
      </c>
      <c r="R662" s="216">
        <v>23868</v>
      </c>
      <c r="S662" s="217" t="s">
        <v>2156</v>
      </c>
      <c r="T662" s="209" t="s">
        <v>3713</v>
      </c>
      <c r="U662" s="209" t="s">
        <v>3714</v>
      </c>
      <c r="V662" s="213" t="s">
        <v>3715</v>
      </c>
      <c r="W662" s="218" t="s">
        <v>3652</v>
      </c>
      <c r="X662" s="218" t="s">
        <v>3652</v>
      </c>
      <c r="Y662" s="212" t="s">
        <v>3767</v>
      </c>
      <c r="Z662" s="209" t="s">
        <v>3768</v>
      </c>
      <c r="AA662" s="215"/>
      <c r="AB662" s="218"/>
      <c r="AC662" s="217" t="e">
        <v>#N/A</v>
      </c>
      <c r="AD662" s="217">
        <v>91134</v>
      </c>
      <c r="AE662" s="217" t="s">
        <v>4960</v>
      </c>
      <c r="AF662" s="217" t="s">
        <v>3770</v>
      </c>
      <c r="AG662" s="217" t="s">
        <v>3771</v>
      </c>
      <c r="AH662" s="220" t="str">
        <f>O662&amp;"_0"&amp;Q662</f>
        <v>4590007617_010</v>
      </c>
      <c r="AI662" s="208"/>
      <c r="AJ662" s="220"/>
      <c r="AK662" s="221"/>
      <c r="AL662" s="227"/>
      <c r="AM662" s="208"/>
      <c r="AN662" s="220"/>
      <c r="AO662" s="222"/>
      <c r="AP662" s="227"/>
      <c r="AQ662" s="358">
        <f ca="1">IF(表格1[[#This Row],[PO$]]="","100%",表格1[[#This Row],[total amount]]/表格1[[#This Row],[PO$]])</f>
        <v>0</v>
      </c>
      <c r="AR662" s="223">
        <f ca="1">表格1[[#This Row],[invoice amount]]+表格1[[#This Row],[invoice amount2]]</f>
        <v>0</v>
      </c>
      <c r="AS662" s="224"/>
      <c r="AT662" s="208"/>
      <c r="AU662" s="208" t="e">
        <f ca="1">VLOOKUP(表格1[[#This Row],[PO+ITEM]],#REF!,2,FALSE)</f>
        <v>#REF!</v>
      </c>
      <c r="AV662" s="341" t="e">
        <f ca="1">VLOOKUP(表格1[[#This Row],[PO+ITEM]],#REF!,3,FALSE)</f>
        <v>#REF!</v>
      </c>
      <c r="AW662" s="208" t="e">
        <f ca="1">VLOOKUP(表格1[[#This Row],[PO+ITEM]],#REF!,4,FALSE)</f>
        <v>#REF!</v>
      </c>
      <c r="AX662" s="208" t="e" cm="1" vm="1">
        <f t="array" aca="1" ref="AX662" ca="1">VLOOKUP(AI:AI,#REF!,1,FALSE)</f>
        <v>#VALUE!</v>
      </c>
    </row>
    <row r="663" spans="1:50" s="230" customFormat="1">
      <c r="A663" s="239">
        <v>662</v>
      </c>
      <c r="B663" s="220" t="e">
        <v>#N/A</v>
      </c>
      <c r="C663" s="231" t="s">
        <v>17</v>
      </c>
      <c r="D663" s="231" t="s">
        <v>3648</v>
      </c>
      <c r="E663" s="231"/>
      <c r="F663" s="231"/>
      <c r="G663" s="231"/>
      <c r="H663" s="270" t="s">
        <v>5253</v>
      </c>
      <c r="I663" s="270"/>
      <c r="J663" s="271"/>
      <c r="K663" s="270"/>
      <c r="L663" s="234" t="s">
        <v>2999</v>
      </c>
      <c r="M663" s="234" t="s">
        <v>2999</v>
      </c>
      <c r="N663" s="235"/>
      <c r="O663" s="268">
        <v>4590007617</v>
      </c>
      <c r="P663" s="236">
        <v>44855</v>
      </c>
      <c r="Q663" s="336">
        <v>11</v>
      </c>
      <c r="R663" s="237"/>
      <c r="S663" s="232" t="s">
        <v>2156</v>
      </c>
      <c r="T663" s="231" t="s">
        <v>3713</v>
      </c>
      <c r="U663" s="231" t="s">
        <v>3714</v>
      </c>
      <c r="V663" s="235" t="s">
        <v>3715</v>
      </c>
      <c r="W663" s="238" t="s">
        <v>3652</v>
      </c>
      <c r="X663" s="238" t="s">
        <v>3652</v>
      </c>
      <c r="Y663" s="234" t="s">
        <v>3767</v>
      </c>
      <c r="Z663" s="231" t="s">
        <v>3768</v>
      </c>
      <c r="AA663" s="233"/>
      <c r="AB663" s="238"/>
      <c r="AC663" s="232" t="e">
        <v>#N/A</v>
      </c>
      <c r="AD663" s="232">
        <v>91135</v>
      </c>
      <c r="AE663" s="232" t="s">
        <v>4962</v>
      </c>
      <c r="AF663" s="232" t="s">
        <v>3770</v>
      </c>
      <c r="AG663" s="232" t="s">
        <v>3771</v>
      </c>
      <c r="AH663" s="239" t="str">
        <f>O663&amp;"_0"&amp;Q663</f>
        <v>4590007617_011</v>
      </c>
      <c r="AJ663" s="239"/>
      <c r="AK663" s="240"/>
      <c r="AL663" s="302"/>
      <c r="AN663" s="239"/>
      <c r="AO663" s="241"/>
      <c r="AP663" s="302"/>
      <c r="AQ663" s="358" t="str">
        <f ca="1">IF(表格1[[#This Row],[PO$]]="","100%",表格1[[#This Row],[total amount]]/表格1[[#This Row],[PO$]])</f>
        <v>100%</v>
      </c>
      <c r="AR663" s="242"/>
      <c r="AS663" s="243"/>
      <c r="AT663" s="208"/>
      <c r="AU663" s="208" t="e">
        <f ca="1">VLOOKUP(表格1[[#This Row],[PO+ITEM]],#REF!,2,FALSE)</f>
        <v>#REF!</v>
      </c>
      <c r="AV663" s="341" t="e">
        <f ca="1">VLOOKUP(表格1[[#This Row],[PO+ITEM]],#REF!,3,FALSE)</f>
        <v>#REF!</v>
      </c>
      <c r="AW663" s="208" t="e">
        <f ca="1">VLOOKUP(表格1[[#This Row],[PO+ITEM]],#REF!,4,FALSE)</f>
        <v>#REF!</v>
      </c>
      <c r="AX663" s="208" t="e" cm="1" vm="1">
        <f t="array" aca="1" ref="AX663" ca="1">VLOOKUP(AI:AI,#REF!,1,FALSE)</f>
        <v>#VALUE!</v>
      </c>
    </row>
    <row r="664" spans="1:50">
      <c r="A664" s="220">
        <v>663</v>
      </c>
      <c r="B664" s="220" t="s">
        <v>3659</v>
      </c>
      <c r="C664" s="209" t="s">
        <v>17</v>
      </c>
      <c r="D664" s="209" t="s">
        <v>3648</v>
      </c>
      <c r="E664" s="209"/>
      <c r="F664" s="209"/>
      <c r="G664" s="209"/>
      <c r="H664" s="210" t="s">
        <v>5254</v>
      </c>
      <c r="I664" s="210"/>
      <c r="J664" s="211"/>
      <c r="K664" s="210"/>
      <c r="L664" s="212" t="s">
        <v>2999</v>
      </c>
      <c r="M664" s="212" t="s">
        <v>2999</v>
      </c>
      <c r="N664" s="213"/>
      <c r="O664" s="263">
        <v>4590007617</v>
      </c>
      <c r="P664" s="214">
        <v>44855</v>
      </c>
      <c r="Q664" s="334">
        <v>12</v>
      </c>
      <c r="R664" s="216">
        <v>23868</v>
      </c>
      <c r="S664" s="217" t="s">
        <v>2156</v>
      </c>
      <c r="T664" s="209" t="s">
        <v>3713</v>
      </c>
      <c r="U664" s="209" t="s">
        <v>3714</v>
      </c>
      <c r="V664" s="213" t="s">
        <v>3715</v>
      </c>
      <c r="W664" s="218" t="s">
        <v>3652</v>
      </c>
      <c r="X664" s="218" t="s">
        <v>3652</v>
      </c>
      <c r="Y664" s="212" t="s">
        <v>3767</v>
      </c>
      <c r="Z664" s="209" t="s">
        <v>3768</v>
      </c>
      <c r="AA664" s="215"/>
      <c r="AB664" s="218"/>
      <c r="AC664" s="217" t="e">
        <v>#N/A</v>
      </c>
      <c r="AD664" s="217">
        <v>91140</v>
      </c>
      <c r="AE664" s="217" t="s">
        <v>4968</v>
      </c>
      <c r="AF664" s="217" t="s">
        <v>3770</v>
      </c>
      <c r="AG664" s="217" t="s">
        <v>3771</v>
      </c>
      <c r="AH664" s="220" t="str">
        <f>O664&amp;"_0"&amp;Q664</f>
        <v>4590007617_012</v>
      </c>
      <c r="AI664" s="208"/>
      <c r="AJ664" s="220"/>
      <c r="AK664" s="221"/>
      <c r="AL664" s="227"/>
      <c r="AM664" s="208"/>
      <c r="AN664" s="220"/>
      <c r="AO664" s="222"/>
      <c r="AP664" s="227"/>
      <c r="AQ664" s="358">
        <f ca="1">IF(表格1[[#This Row],[PO$]]="","100%",表格1[[#This Row],[total amount]]/表格1[[#This Row],[PO$]])</f>
        <v>0</v>
      </c>
      <c r="AR664" s="223">
        <f ca="1">表格1[[#This Row],[invoice amount]]+表格1[[#This Row],[invoice amount2]]</f>
        <v>0</v>
      </c>
      <c r="AS664" s="224"/>
      <c r="AT664" s="208"/>
      <c r="AU664" s="208" t="e">
        <f ca="1">VLOOKUP(表格1[[#This Row],[PO+ITEM]],#REF!,2,FALSE)</f>
        <v>#REF!</v>
      </c>
      <c r="AV664" s="341" t="e">
        <f ca="1">VLOOKUP(表格1[[#This Row],[PO+ITEM]],#REF!,3,FALSE)</f>
        <v>#REF!</v>
      </c>
      <c r="AW664" s="208" t="e">
        <f ca="1">VLOOKUP(表格1[[#This Row],[PO+ITEM]],#REF!,4,FALSE)</f>
        <v>#REF!</v>
      </c>
      <c r="AX664" s="208" t="e" cm="1" vm="1">
        <f t="array" aca="1" ref="AX664" ca="1">VLOOKUP(AI:AI,#REF!,1,FALSE)</f>
        <v>#VALUE!</v>
      </c>
    </row>
    <row r="665" spans="1:50" s="230" customFormat="1">
      <c r="A665" s="239">
        <v>664</v>
      </c>
      <c r="B665" s="220" t="e">
        <v>#N/A</v>
      </c>
      <c r="C665" s="231" t="s">
        <v>17</v>
      </c>
      <c r="D665" s="231" t="s">
        <v>3648</v>
      </c>
      <c r="E665" s="231"/>
      <c r="F665" s="231"/>
      <c r="G665" s="231"/>
      <c r="H665" s="270" t="s">
        <v>5255</v>
      </c>
      <c r="I665" s="270"/>
      <c r="J665" s="271"/>
      <c r="K665" s="270"/>
      <c r="L665" s="234" t="s">
        <v>2999</v>
      </c>
      <c r="M665" s="234" t="s">
        <v>2999</v>
      </c>
      <c r="N665" s="235"/>
      <c r="O665" s="268">
        <v>4590007617</v>
      </c>
      <c r="P665" s="236">
        <v>44855</v>
      </c>
      <c r="Q665" s="336">
        <v>13</v>
      </c>
      <c r="R665" s="237"/>
      <c r="S665" s="232" t="s">
        <v>2156</v>
      </c>
      <c r="T665" s="231" t="s">
        <v>3713</v>
      </c>
      <c r="U665" s="231" t="s">
        <v>3714</v>
      </c>
      <c r="V665" s="235" t="s">
        <v>3715</v>
      </c>
      <c r="W665" s="238" t="s">
        <v>3652</v>
      </c>
      <c r="X665" s="238" t="s">
        <v>3652</v>
      </c>
      <c r="Y665" s="234" t="s">
        <v>3767</v>
      </c>
      <c r="Z665" s="231" t="s">
        <v>3768</v>
      </c>
      <c r="AA665" s="233"/>
      <c r="AB665" s="238"/>
      <c r="AC665" s="232" t="e">
        <v>#N/A</v>
      </c>
      <c r="AD665" s="232">
        <v>91139</v>
      </c>
      <c r="AE665" s="232" t="s">
        <v>4966</v>
      </c>
      <c r="AF665" s="232" t="s">
        <v>3770</v>
      </c>
      <c r="AG665" s="232" t="s">
        <v>3771</v>
      </c>
      <c r="AH665" s="239" t="str">
        <f>O665&amp;"_0"&amp;Q665</f>
        <v>4590007617_013</v>
      </c>
      <c r="AJ665" s="239"/>
      <c r="AK665" s="240"/>
      <c r="AL665" s="302"/>
      <c r="AN665" s="239"/>
      <c r="AO665" s="241"/>
      <c r="AP665" s="302"/>
      <c r="AQ665" s="358" t="str">
        <f ca="1">IF(表格1[[#This Row],[PO$]]="","100%",表格1[[#This Row],[total amount]]/表格1[[#This Row],[PO$]])</f>
        <v>100%</v>
      </c>
      <c r="AR665" s="242"/>
      <c r="AS665" s="243"/>
      <c r="AT665" s="208"/>
      <c r="AU665" s="208" t="e">
        <f ca="1">VLOOKUP(表格1[[#This Row],[PO+ITEM]],#REF!,2,FALSE)</f>
        <v>#REF!</v>
      </c>
      <c r="AV665" s="341" t="e">
        <f ca="1">VLOOKUP(表格1[[#This Row],[PO+ITEM]],#REF!,3,FALSE)</f>
        <v>#REF!</v>
      </c>
      <c r="AW665" s="208" t="e">
        <f ca="1">VLOOKUP(表格1[[#This Row],[PO+ITEM]],#REF!,4,FALSE)</f>
        <v>#REF!</v>
      </c>
      <c r="AX665" s="208" t="e" cm="1" vm="1">
        <f t="array" aca="1" ref="AX665" ca="1">VLOOKUP(AI:AI,#REF!,1,FALSE)</f>
        <v>#VALUE!</v>
      </c>
    </row>
    <row r="666" spans="1:50">
      <c r="A666" s="220">
        <v>665</v>
      </c>
      <c r="B666" s="220" t="s">
        <v>3659</v>
      </c>
      <c r="C666" s="209" t="s">
        <v>17</v>
      </c>
      <c r="D666" s="209" t="s">
        <v>3648</v>
      </c>
      <c r="E666" s="209"/>
      <c r="F666" s="209"/>
      <c r="G666" s="209"/>
      <c r="H666" s="210" t="s">
        <v>5256</v>
      </c>
      <c r="I666" s="210"/>
      <c r="J666" s="211"/>
      <c r="K666" s="210"/>
      <c r="L666" s="212" t="s">
        <v>2999</v>
      </c>
      <c r="M666" s="212" t="s">
        <v>2999</v>
      </c>
      <c r="N666" s="213"/>
      <c r="O666" s="263">
        <v>4590007620</v>
      </c>
      <c r="P666" s="214">
        <v>44855</v>
      </c>
      <c r="Q666" s="334">
        <v>1</v>
      </c>
      <c r="R666" s="216">
        <v>101760</v>
      </c>
      <c r="S666" s="217" t="s">
        <v>2156</v>
      </c>
      <c r="T666" s="209" t="s">
        <v>3713</v>
      </c>
      <c r="U666" s="209" t="s">
        <v>3714</v>
      </c>
      <c r="V666" s="213" t="s">
        <v>3715</v>
      </c>
      <c r="W666" s="218" t="s">
        <v>3652</v>
      </c>
      <c r="X666" s="218" t="s">
        <v>3652</v>
      </c>
      <c r="Y666" s="212">
        <v>0</v>
      </c>
      <c r="Z666" s="209" t="s">
        <v>5257</v>
      </c>
      <c r="AA666" s="215"/>
      <c r="AB666" s="218"/>
      <c r="AC666" s="217" t="e">
        <v>#N/A</v>
      </c>
      <c r="AD666" s="217">
        <v>91279</v>
      </c>
      <c r="AE666" s="217" t="s">
        <v>5118</v>
      </c>
      <c r="AF666" s="217" t="s">
        <v>3718</v>
      </c>
      <c r="AG666" s="217" t="s">
        <v>3719</v>
      </c>
      <c r="AH666" s="220" t="str">
        <f t="shared" ref="AH666:AH697" si="44">O666&amp;"_00"&amp;Q666</f>
        <v>4590007620_001</v>
      </c>
      <c r="AI666" s="208"/>
      <c r="AJ666" s="220"/>
      <c r="AK666" s="221"/>
      <c r="AL666" s="227"/>
      <c r="AM666" s="208"/>
      <c r="AN666" s="220"/>
      <c r="AO666" s="222"/>
      <c r="AP666" s="227"/>
      <c r="AQ666" s="358">
        <f ca="1">IF(表格1[[#This Row],[PO$]]="","100%",表格1[[#This Row],[total amount]]/表格1[[#This Row],[PO$]])</f>
        <v>0</v>
      </c>
      <c r="AR666" s="223">
        <f ca="1">表格1[[#This Row],[invoice amount]]+表格1[[#This Row],[invoice amount2]]</f>
        <v>0</v>
      </c>
      <c r="AS666" s="224"/>
      <c r="AT666" s="208"/>
      <c r="AU666" s="208" t="e">
        <f ca="1">VLOOKUP(表格1[[#This Row],[PO+ITEM]],#REF!,2,FALSE)</f>
        <v>#REF!</v>
      </c>
      <c r="AV666" s="341" t="e">
        <f ca="1">VLOOKUP(表格1[[#This Row],[PO+ITEM]],#REF!,3,FALSE)</f>
        <v>#REF!</v>
      </c>
      <c r="AW666" s="208" t="e">
        <f ca="1">VLOOKUP(表格1[[#This Row],[PO+ITEM]],#REF!,4,FALSE)</f>
        <v>#REF!</v>
      </c>
      <c r="AX666" s="208" t="e" cm="1" vm="1">
        <f t="array" aca="1" ref="AX666" ca="1">VLOOKUP(AI:AI,#REF!,1,FALSE)</f>
        <v>#VALUE!</v>
      </c>
    </row>
    <row r="667" spans="1:50">
      <c r="A667" s="220">
        <v>666</v>
      </c>
      <c r="B667" s="220" t="s">
        <v>3674</v>
      </c>
      <c r="C667" s="209" t="s">
        <v>17</v>
      </c>
      <c r="D667" s="209" t="s">
        <v>3648</v>
      </c>
      <c r="E667" s="209"/>
      <c r="F667" s="209"/>
      <c r="G667" s="209"/>
      <c r="H667" s="210" t="s">
        <v>5258</v>
      </c>
      <c r="I667" s="210"/>
      <c r="J667" s="211"/>
      <c r="K667" s="210"/>
      <c r="L667" s="212" t="s">
        <v>2999</v>
      </c>
      <c r="M667" s="212" t="s">
        <v>2999</v>
      </c>
      <c r="N667" s="213"/>
      <c r="O667" s="263">
        <v>4590007620</v>
      </c>
      <c r="P667" s="214">
        <v>44855</v>
      </c>
      <c r="Q667" s="334">
        <v>2</v>
      </c>
      <c r="R667" s="216">
        <v>101760</v>
      </c>
      <c r="S667" s="217" t="s">
        <v>2156</v>
      </c>
      <c r="T667" s="209" t="s">
        <v>3713</v>
      </c>
      <c r="U667" s="209" t="s">
        <v>3714</v>
      </c>
      <c r="V667" s="213" t="s">
        <v>3715</v>
      </c>
      <c r="W667" s="218" t="s">
        <v>3652</v>
      </c>
      <c r="X667" s="218" t="s">
        <v>3652</v>
      </c>
      <c r="Y667" s="212">
        <v>0</v>
      </c>
      <c r="Z667" s="209" t="s">
        <v>5257</v>
      </c>
      <c r="AA667" s="215"/>
      <c r="AB667" s="218"/>
      <c r="AC667" s="217" t="e">
        <v>#N/A</v>
      </c>
      <c r="AD667" s="217">
        <v>90436</v>
      </c>
      <c r="AE667" s="217" t="s">
        <v>4747</v>
      </c>
      <c r="AF667" s="217" t="s">
        <v>3718</v>
      </c>
      <c r="AG667" s="217" t="s">
        <v>3719</v>
      </c>
      <c r="AH667" s="220" t="str">
        <f t="shared" si="44"/>
        <v>4590007620_002</v>
      </c>
      <c r="AI667" s="208" t="s">
        <v>5259</v>
      </c>
      <c r="AJ667" s="227">
        <v>45429</v>
      </c>
      <c r="AK667" s="221">
        <v>101760</v>
      </c>
      <c r="AL667" s="227" t="s">
        <v>3805</v>
      </c>
      <c r="AM667" s="208"/>
      <c r="AN667" s="220"/>
      <c r="AO667" s="222"/>
      <c r="AP667" s="227"/>
      <c r="AQ667" s="358">
        <f ca="1">IF(表格1[[#This Row],[PO$]]="","100%",表格1[[#This Row],[total amount]]/表格1[[#This Row],[PO$]])</f>
        <v>1</v>
      </c>
      <c r="AR667" s="223">
        <f ca="1">表格1[[#This Row],[invoice amount]]+表格1[[#This Row],[invoice amount2]]</f>
        <v>101760</v>
      </c>
      <c r="AS667" s="224" t="s">
        <v>3752</v>
      </c>
      <c r="AT667" s="208"/>
      <c r="AU667" s="208" t="e">
        <f ca="1">VLOOKUP(表格1[[#This Row],[PO+ITEM]],#REF!,2,FALSE)</f>
        <v>#REF!</v>
      </c>
      <c r="AV667" s="341" t="e">
        <f ca="1">VLOOKUP(表格1[[#This Row],[PO+ITEM]],#REF!,3,FALSE)</f>
        <v>#REF!</v>
      </c>
      <c r="AW667" s="208" t="e">
        <f ca="1">VLOOKUP(表格1[[#This Row],[PO+ITEM]],#REF!,4,FALSE)</f>
        <v>#REF!</v>
      </c>
      <c r="AX667" s="208" t="e" cm="1" vm="1">
        <f t="array" aca="1" ref="AX667" ca="1">VLOOKUP(AI:AI,#REF!,1,FALSE)</f>
        <v>#VALUE!</v>
      </c>
    </row>
    <row r="668" spans="1:50">
      <c r="A668" s="220">
        <v>667</v>
      </c>
      <c r="B668" s="220" t="s">
        <v>3659</v>
      </c>
      <c r="C668" s="209" t="s">
        <v>17</v>
      </c>
      <c r="D668" s="209" t="s">
        <v>3648</v>
      </c>
      <c r="E668" s="209"/>
      <c r="F668" s="209"/>
      <c r="G668" s="209"/>
      <c r="H668" s="210" t="s">
        <v>5260</v>
      </c>
      <c r="I668" s="210"/>
      <c r="J668" s="211"/>
      <c r="K668" s="210"/>
      <c r="L668" s="212" t="s">
        <v>2999</v>
      </c>
      <c r="M668" s="212" t="s">
        <v>2999</v>
      </c>
      <c r="N668" s="213"/>
      <c r="O668" s="263">
        <v>4590007620</v>
      </c>
      <c r="P668" s="214">
        <v>44855</v>
      </c>
      <c r="Q668" s="334">
        <v>3</v>
      </c>
      <c r="R668" s="216">
        <v>101760</v>
      </c>
      <c r="S668" s="217" t="s">
        <v>2156</v>
      </c>
      <c r="T668" s="209" t="s">
        <v>3713</v>
      </c>
      <c r="U668" s="209" t="s">
        <v>3714</v>
      </c>
      <c r="V668" s="213" t="s">
        <v>3715</v>
      </c>
      <c r="W668" s="218" t="s">
        <v>3652</v>
      </c>
      <c r="X668" s="218" t="s">
        <v>3652</v>
      </c>
      <c r="Y668" s="212">
        <v>0</v>
      </c>
      <c r="Z668" s="209" t="s">
        <v>5257</v>
      </c>
      <c r="AA668" s="215"/>
      <c r="AB668" s="218"/>
      <c r="AC668" s="217" t="e">
        <v>#N/A</v>
      </c>
      <c r="AD668" s="217">
        <v>91289</v>
      </c>
      <c r="AE668" s="217" t="s">
        <v>5112</v>
      </c>
      <c r="AF668" s="217" t="s">
        <v>3718</v>
      </c>
      <c r="AG668" s="217" t="s">
        <v>3719</v>
      </c>
      <c r="AH668" s="220" t="str">
        <f t="shared" si="44"/>
        <v>4590007620_003</v>
      </c>
      <c r="AI668" s="208"/>
      <c r="AJ668" s="220"/>
      <c r="AK668" s="221"/>
      <c r="AL668" s="227"/>
      <c r="AM668" s="208"/>
      <c r="AN668" s="220"/>
      <c r="AO668" s="222"/>
      <c r="AP668" s="227"/>
      <c r="AQ668" s="358">
        <f ca="1">IF(表格1[[#This Row],[PO$]]="","100%",表格1[[#This Row],[total amount]]/表格1[[#This Row],[PO$]])</f>
        <v>0</v>
      </c>
      <c r="AR668" s="223">
        <f ca="1">表格1[[#This Row],[invoice amount]]+表格1[[#This Row],[invoice amount2]]</f>
        <v>0</v>
      </c>
      <c r="AS668" s="224"/>
      <c r="AT668" s="208"/>
      <c r="AU668" s="208" t="e">
        <f ca="1">VLOOKUP(表格1[[#This Row],[PO+ITEM]],#REF!,2,FALSE)</f>
        <v>#REF!</v>
      </c>
      <c r="AV668" s="341" t="e">
        <f ca="1">VLOOKUP(表格1[[#This Row],[PO+ITEM]],#REF!,3,FALSE)</f>
        <v>#REF!</v>
      </c>
      <c r="AW668" s="208" t="e">
        <f ca="1">VLOOKUP(表格1[[#This Row],[PO+ITEM]],#REF!,4,FALSE)</f>
        <v>#REF!</v>
      </c>
      <c r="AX668" s="208" t="e" cm="1" vm="1">
        <f t="array" aca="1" ref="AX668" ca="1">VLOOKUP(AI:AI,#REF!,1,FALSE)</f>
        <v>#VALUE!</v>
      </c>
    </row>
    <row r="669" spans="1:50">
      <c r="A669" s="220">
        <v>668</v>
      </c>
      <c r="B669" s="220" t="s">
        <v>3674</v>
      </c>
      <c r="C669" s="209" t="s">
        <v>17</v>
      </c>
      <c r="D669" s="209" t="s">
        <v>3648</v>
      </c>
      <c r="E669" s="209"/>
      <c r="F669" s="209"/>
      <c r="G669" s="209"/>
      <c r="H669" s="210" t="s">
        <v>5261</v>
      </c>
      <c r="I669" s="210"/>
      <c r="J669" s="211"/>
      <c r="K669" s="210"/>
      <c r="L669" s="212" t="s">
        <v>2999</v>
      </c>
      <c r="M669" s="212" t="s">
        <v>2999</v>
      </c>
      <c r="N669" s="213"/>
      <c r="O669" s="263">
        <v>4590007621</v>
      </c>
      <c r="P669" s="214">
        <v>44855</v>
      </c>
      <c r="Q669" s="334">
        <v>1</v>
      </c>
      <c r="R669" s="216">
        <v>118573</v>
      </c>
      <c r="S669" s="217" t="s">
        <v>2156</v>
      </c>
      <c r="T669" s="209" t="s">
        <v>3713</v>
      </c>
      <c r="U669" s="209" t="s">
        <v>3714</v>
      </c>
      <c r="V669" s="213" t="s">
        <v>3715</v>
      </c>
      <c r="W669" s="218" t="s">
        <v>3652</v>
      </c>
      <c r="X669" s="218" t="s">
        <v>3652</v>
      </c>
      <c r="Y669" s="212">
        <v>0</v>
      </c>
      <c r="Z669" s="209" t="s">
        <v>5262</v>
      </c>
      <c r="AA669" s="215"/>
      <c r="AB669" s="218"/>
      <c r="AC669" s="217" t="e">
        <v>#N/A</v>
      </c>
      <c r="AD669" s="217">
        <v>90435</v>
      </c>
      <c r="AE669" s="217" t="s">
        <v>4737</v>
      </c>
      <c r="AF669" s="217" t="s">
        <v>3718</v>
      </c>
      <c r="AG669" s="217" t="s">
        <v>3719</v>
      </c>
      <c r="AH669" s="220" t="str">
        <f t="shared" si="44"/>
        <v>4590007621_001</v>
      </c>
      <c r="AI669" s="36" t="s">
        <v>5263</v>
      </c>
      <c r="AJ669" s="227">
        <v>45483</v>
      </c>
      <c r="AK669" s="222">
        <v>118573</v>
      </c>
      <c r="AL669" s="227"/>
      <c r="AM669" s="208"/>
      <c r="AN669" s="227"/>
      <c r="AO669" s="222"/>
      <c r="AP669" s="227"/>
      <c r="AQ669" s="358">
        <f ca="1">IF(表格1[[#This Row],[PO$]]="","100%",表格1[[#This Row],[total amount]]/表格1[[#This Row],[PO$]])</f>
        <v>1</v>
      </c>
      <c r="AR669" s="223">
        <f ca="1">表格1[[#This Row],[invoice amount]]+表格1[[#This Row],[invoice amount2]]</f>
        <v>118573</v>
      </c>
      <c r="AS669" s="224" t="s">
        <v>3752</v>
      </c>
      <c r="AT669" s="208"/>
      <c r="AU669" s="208" t="e">
        <f ca="1">VLOOKUP(表格1[[#This Row],[PO+ITEM]],#REF!,2,FALSE)</f>
        <v>#REF!</v>
      </c>
      <c r="AV669" s="341" t="e">
        <f ca="1">VLOOKUP(表格1[[#This Row],[PO+ITEM]],#REF!,3,FALSE)</f>
        <v>#REF!</v>
      </c>
      <c r="AW669" s="208" t="e">
        <f ca="1">VLOOKUP(表格1[[#This Row],[PO+ITEM]],#REF!,4,FALSE)</f>
        <v>#REF!</v>
      </c>
      <c r="AX669" s="208" t="e" cm="1" vm="1">
        <f t="array" aca="1" ref="AX669" ca="1">VLOOKUP(AI:AI,#REF!,1,FALSE)</f>
        <v>#VALUE!</v>
      </c>
    </row>
    <row r="670" spans="1:50">
      <c r="A670" s="220">
        <v>669</v>
      </c>
      <c r="B670" s="220" t="s">
        <v>3659</v>
      </c>
      <c r="C670" s="209" t="s">
        <v>17</v>
      </c>
      <c r="D670" s="209" t="s">
        <v>3648</v>
      </c>
      <c r="E670" s="209"/>
      <c r="F670" s="209"/>
      <c r="G670" s="209"/>
      <c r="H670" s="210" t="s">
        <v>5264</v>
      </c>
      <c r="I670" s="210"/>
      <c r="J670" s="211"/>
      <c r="K670" s="210"/>
      <c r="L670" s="212" t="s">
        <v>2999</v>
      </c>
      <c r="M670" s="212" t="s">
        <v>2999</v>
      </c>
      <c r="N670" s="213"/>
      <c r="O670" s="263">
        <v>4590007621</v>
      </c>
      <c r="P670" s="214">
        <v>44855</v>
      </c>
      <c r="Q670" s="334">
        <v>2</v>
      </c>
      <c r="R670" s="216">
        <v>118573</v>
      </c>
      <c r="S670" s="217" t="s">
        <v>2156</v>
      </c>
      <c r="T670" s="209" t="s">
        <v>3713</v>
      </c>
      <c r="U670" s="209" t="s">
        <v>3714</v>
      </c>
      <c r="V670" s="213" t="s">
        <v>3715</v>
      </c>
      <c r="W670" s="218" t="s">
        <v>3652</v>
      </c>
      <c r="X670" s="218" t="s">
        <v>3652</v>
      </c>
      <c r="Y670" s="212">
        <v>0</v>
      </c>
      <c r="Z670" s="209" t="s">
        <v>5262</v>
      </c>
      <c r="AA670" s="215"/>
      <c r="AB670" s="218"/>
      <c r="AC670" s="217" t="e">
        <v>#N/A</v>
      </c>
      <c r="AD670" s="217">
        <v>91286</v>
      </c>
      <c r="AE670" s="217" t="s">
        <v>5109</v>
      </c>
      <c r="AF670" s="217" t="s">
        <v>3718</v>
      </c>
      <c r="AG670" s="217" t="s">
        <v>3719</v>
      </c>
      <c r="AH670" s="220" t="str">
        <f t="shared" si="44"/>
        <v>4590007621_002</v>
      </c>
      <c r="AI670" s="208"/>
      <c r="AJ670" s="220"/>
      <c r="AK670" s="221"/>
      <c r="AL670" s="227"/>
      <c r="AM670" s="208"/>
      <c r="AN670" s="220"/>
      <c r="AO670" s="222"/>
      <c r="AP670" s="227"/>
      <c r="AQ670" s="358">
        <f ca="1">IF(表格1[[#This Row],[PO$]]="","100%",表格1[[#This Row],[total amount]]/表格1[[#This Row],[PO$]])</f>
        <v>0</v>
      </c>
      <c r="AR670" s="223">
        <f ca="1">表格1[[#This Row],[invoice amount]]+表格1[[#This Row],[invoice amount2]]</f>
        <v>0</v>
      </c>
      <c r="AS670" s="224"/>
      <c r="AT670" s="208"/>
      <c r="AU670" s="208" t="e">
        <f ca="1">VLOOKUP(表格1[[#This Row],[PO+ITEM]],#REF!,2,FALSE)</f>
        <v>#REF!</v>
      </c>
      <c r="AV670" s="341" t="e">
        <f ca="1">VLOOKUP(表格1[[#This Row],[PO+ITEM]],#REF!,3,FALSE)</f>
        <v>#REF!</v>
      </c>
      <c r="AW670" s="208" t="e">
        <f ca="1">VLOOKUP(表格1[[#This Row],[PO+ITEM]],#REF!,4,FALSE)</f>
        <v>#REF!</v>
      </c>
      <c r="AX670" s="208" t="e" cm="1" vm="1">
        <f t="array" aca="1" ref="AX670" ca="1">VLOOKUP(AI:AI,#REF!,1,FALSE)</f>
        <v>#VALUE!</v>
      </c>
    </row>
    <row r="671" spans="1:50" ht="15.6">
      <c r="A671" s="220">
        <v>670</v>
      </c>
      <c r="B671" s="220" t="s">
        <v>3674</v>
      </c>
      <c r="C671" s="209" t="s">
        <v>17</v>
      </c>
      <c r="D671" s="209" t="s">
        <v>3648</v>
      </c>
      <c r="E671" s="209"/>
      <c r="F671" s="209"/>
      <c r="G671" s="209"/>
      <c r="H671" s="210" t="s">
        <v>5265</v>
      </c>
      <c r="I671" s="210"/>
      <c r="J671" s="211"/>
      <c r="K671" s="210"/>
      <c r="L671" s="212" t="s">
        <v>2999</v>
      </c>
      <c r="M671" s="212" t="s">
        <v>2999</v>
      </c>
      <c r="N671" s="213"/>
      <c r="O671" s="263">
        <v>4590007626</v>
      </c>
      <c r="P671" s="214">
        <v>44855</v>
      </c>
      <c r="Q671" s="334">
        <v>1</v>
      </c>
      <c r="R671" s="216">
        <v>114938</v>
      </c>
      <c r="S671" s="217" t="s">
        <v>2156</v>
      </c>
      <c r="T671" s="209" t="s">
        <v>3713</v>
      </c>
      <c r="U671" s="209" t="s">
        <v>3714</v>
      </c>
      <c r="V671" s="213" t="s">
        <v>3715</v>
      </c>
      <c r="W671" s="218" t="s">
        <v>3652</v>
      </c>
      <c r="X671" s="218" t="s">
        <v>3652</v>
      </c>
      <c r="Y671" s="212" t="s">
        <v>3727</v>
      </c>
      <c r="Z671" s="209" t="s">
        <v>5266</v>
      </c>
      <c r="AA671" s="215"/>
      <c r="AB671" s="218"/>
      <c r="AC671" s="217" t="e">
        <v>#N/A</v>
      </c>
      <c r="AD671" s="217">
        <v>90433</v>
      </c>
      <c r="AE671" s="217" t="s">
        <v>5267</v>
      </c>
      <c r="AF671" s="217" t="s">
        <v>3718</v>
      </c>
      <c r="AG671" s="217" t="s">
        <v>3719</v>
      </c>
      <c r="AH671" s="220" t="str">
        <f t="shared" si="44"/>
        <v>4590007626_001</v>
      </c>
      <c r="AI671" s="208"/>
      <c r="AJ671" s="225">
        <v>45231</v>
      </c>
      <c r="AK671" s="221">
        <v>109191.1</v>
      </c>
      <c r="AL671" s="228">
        <v>45303</v>
      </c>
      <c r="AM671" s="208"/>
      <c r="AN671" s="220"/>
      <c r="AO671" s="222"/>
      <c r="AP671" s="227"/>
      <c r="AQ671" s="358">
        <f ca="1">IF(表格1[[#This Row],[PO$]]="","100%",表格1[[#This Row],[total amount]]/表格1[[#This Row],[PO$]])</f>
        <v>0.95000000000000007</v>
      </c>
      <c r="AR671" s="223">
        <f ca="1">表格1[[#This Row],[invoice amount]]+表格1[[#This Row],[invoice amount2]]</f>
        <v>109191.1</v>
      </c>
      <c r="AS671" s="224" t="s">
        <v>3673</v>
      </c>
      <c r="AT671" s="208"/>
      <c r="AU671" s="208" t="e">
        <f ca="1">VLOOKUP(表格1[[#This Row],[PO+ITEM]],#REF!,2,FALSE)</f>
        <v>#REF!</v>
      </c>
      <c r="AV671" s="341" t="e">
        <f ca="1">VLOOKUP(表格1[[#This Row],[PO+ITEM]],#REF!,3,FALSE)</f>
        <v>#REF!</v>
      </c>
      <c r="AW671" s="208" t="e">
        <f ca="1">VLOOKUP(表格1[[#This Row],[PO+ITEM]],#REF!,4,FALSE)</f>
        <v>#REF!</v>
      </c>
      <c r="AX671" s="208" t="e" cm="1" vm="1">
        <f t="array" aca="1" ref="AX671" ca="1">VLOOKUP(AI:AI,#REF!,1,FALSE)</f>
        <v>#VALUE!</v>
      </c>
    </row>
    <row r="672" spans="1:50">
      <c r="A672" s="220">
        <v>671</v>
      </c>
      <c r="B672" s="220" t="s">
        <v>3659</v>
      </c>
      <c r="C672" s="209" t="s">
        <v>17</v>
      </c>
      <c r="D672" s="209" t="s">
        <v>3648</v>
      </c>
      <c r="E672" s="209"/>
      <c r="F672" s="209"/>
      <c r="G672" s="209"/>
      <c r="H672" s="210" t="s">
        <v>5268</v>
      </c>
      <c r="I672" s="210"/>
      <c r="J672" s="211"/>
      <c r="K672" s="210"/>
      <c r="L672" s="212" t="s">
        <v>2999</v>
      </c>
      <c r="M672" s="212" t="s">
        <v>2999</v>
      </c>
      <c r="N672" s="213"/>
      <c r="O672" s="263">
        <v>4590007626</v>
      </c>
      <c r="P672" s="214">
        <v>44855</v>
      </c>
      <c r="Q672" s="334">
        <v>2</v>
      </c>
      <c r="R672" s="216">
        <v>114938</v>
      </c>
      <c r="S672" s="217" t="s">
        <v>2156</v>
      </c>
      <c r="T672" s="209" t="s">
        <v>3713</v>
      </c>
      <c r="U672" s="209" t="s">
        <v>3714</v>
      </c>
      <c r="V672" s="213" t="s">
        <v>3715</v>
      </c>
      <c r="W672" s="218" t="s">
        <v>3652</v>
      </c>
      <c r="X672" s="218" t="s">
        <v>3652</v>
      </c>
      <c r="Y672" s="212">
        <v>0</v>
      </c>
      <c r="Z672" s="209" t="s">
        <v>5266</v>
      </c>
      <c r="AA672" s="215"/>
      <c r="AB672" s="218"/>
      <c r="AC672" s="217" t="e">
        <v>#N/A</v>
      </c>
      <c r="AD672" s="217">
        <v>90432</v>
      </c>
      <c r="AE672" s="217" t="s">
        <v>5269</v>
      </c>
      <c r="AF672" s="217" t="s">
        <v>3718</v>
      </c>
      <c r="AG672" s="217" t="s">
        <v>3719</v>
      </c>
      <c r="AH672" s="220" t="str">
        <f t="shared" si="44"/>
        <v>4590007626_002</v>
      </c>
      <c r="AI672" s="208"/>
      <c r="AJ672" s="220"/>
      <c r="AK672" s="221"/>
      <c r="AL672" s="227"/>
      <c r="AM672" s="208"/>
      <c r="AN672" s="220"/>
      <c r="AO672" s="222"/>
      <c r="AP672" s="227"/>
      <c r="AQ672" s="358">
        <f ca="1">IF(表格1[[#This Row],[PO$]]="","100%",表格1[[#This Row],[total amount]]/表格1[[#This Row],[PO$]])</f>
        <v>0</v>
      </c>
      <c r="AR672" s="223">
        <f ca="1">表格1[[#This Row],[invoice amount]]+表格1[[#This Row],[invoice amount2]]</f>
        <v>0</v>
      </c>
      <c r="AS672" s="224"/>
      <c r="AT672" s="208"/>
      <c r="AU672" s="208" t="e">
        <f ca="1">VLOOKUP(表格1[[#This Row],[PO+ITEM]],#REF!,2,FALSE)</f>
        <v>#REF!</v>
      </c>
      <c r="AV672" s="341" t="e">
        <f ca="1">VLOOKUP(表格1[[#This Row],[PO+ITEM]],#REF!,3,FALSE)</f>
        <v>#REF!</v>
      </c>
      <c r="AW672" s="208" t="e">
        <f ca="1">VLOOKUP(表格1[[#This Row],[PO+ITEM]],#REF!,4,FALSE)</f>
        <v>#REF!</v>
      </c>
      <c r="AX672" s="208" t="e" cm="1" vm="1">
        <f t="array" aca="1" ref="AX672" ca="1">VLOOKUP(AI:AI,#REF!,1,FALSE)</f>
        <v>#VALUE!</v>
      </c>
    </row>
    <row r="673" spans="1:50" ht="15.6">
      <c r="A673" s="220">
        <v>672</v>
      </c>
      <c r="B673" s="220" t="s">
        <v>3674</v>
      </c>
      <c r="C673" s="209" t="s">
        <v>17</v>
      </c>
      <c r="D673" s="209" t="s">
        <v>3648</v>
      </c>
      <c r="E673" s="209"/>
      <c r="F673" s="209"/>
      <c r="G673" s="209"/>
      <c r="H673" s="210" t="s">
        <v>5270</v>
      </c>
      <c r="I673" s="210"/>
      <c r="J673" s="211"/>
      <c r="K673" s="210"/>
      <c r="L673" s="212" t="s">
        <v>2999</v>
      </c>
      <c r="M673" s="212" t="s">
        <v>2999</v>
      </c>
      <c r="N673" s="213"/>
      <c r="O673" s="263">
        <v>4590007627</v>
      </c>
      <c r="P673" s="214">
        <v>44855</v>
      </c>
      <c r="Q673" s="334">
        <v>1</v>
      </c>
      <c r="R673" s="216">
        <v>177442</v>
      </c>
      <c r="S673" s="217" t="s">
        <v>2156</v>
      </c>
      <c r="T673" s="209" t="s">
        <v>3713</v>
      </c>
      <c r="U673" s="209" t="s">
        <v>3714</v>
      </c>
      <c r="V673" s="213" t="s">
        <v>3715</v>
      </c>
      <c r="W673" s="218" t="s">
        <v>3652</v>
      </c>
      <c r="X673" s="218" t="s">
        <v>3652</v>
      </c>
      <c r="Y673" s="212" t="s">
        <v>3727</v>
      </c>
      <c r="Z673" s="209" t="s">
        <v>5266</v>
      </c>
      <c r="AA673" s="215"/>
      <c r="AB673" s="218"/>
      <c r="AC673" s="217" t="e">
        <v>#N/A</v>
      </c>
      <c r="AD673" s="217">
        <v>90434</v>
      </c>
      <c r="AE673" s="217" t="s">
        <v>5271</v>
      </c>
      <c r="AF673" s="217" t="s">
        <v>3718</v>
      </c>
      <c r="AG673" s="217" t="s">
        <v>3719</v>
      </c>
      <c r="AH673" s="220" t="str">
        <f t="shared" si="44"/>
        <v>4590007627_001</v>
      </c>
      <c r="AI673" s="208"/>
      <c r="AJ673" s="225">
        <v>45231</v>
      </c>
      <c r="AK673" s="221">
        <v>168569.9</v>
      </c>
      <c r="AL673" s="228">
        <v>45303</v>
      </c>
      <c r="AM673" s="208"/>
      <c r="AN673" s="220"/>
      <c r="AO673" s="222"/>
      <c r="AP673" s="227"/>
      <c r="AQ673" s="358">
        <f ca="1">IF(表格1[[#This Row],[PO$]]="","100%",表格1[[#This Row],[total amount]]/表格1[[#This Row],[PO$]])</f>
        <v>0.95</v>
      </c>
      <c r="AR673" s="223">
        <f ca="1">表格1[[#This Row],[invoice amount]]+表格1[[#This Row],[invoice amount2]]</f>
        <v>168569.9</v>
      </c>
      <c r="AS673" s="224" t="s">
        <v>3673</v>
      </c>
      <c r="AT673" s="208"/>
      <c r="AU673" s="208" t="e">
        <f ca="1">VLOOKUP(表格1[[#This Row],[PO+ITEM]],#REF!,2,FALSE)</f>
        <v>#REF!</v>
      </c>
      <c r="AV673" s="341" t="e">
        <f ca="1">VLOOKUP(表格1[[#This Row],[PO+ITEM]],#REF!,3,FALSE)</f>
        <v>#REF!</v>
      </c>
      <c r="AW673" s="208" t="e">
        <f ca="1">VLOOKUP(表格1[[#This Row],[PO+ITEM]],#REF!,4,FALSE)</f>
        <v>#REF!</v>
      </c>
      <c r="AX673" s="208" t="e" cm="1" vm="1">
        <f t="array" aca="1" ref="AX673" ca="1">VLOOKUP(AI:AI,#REF!,1,FALSE)</f>
        <v>#VALUE!</v>
      </c>
    </row>
    <row r="674" spans="1:50" s="230" customFormat="1">
      <c r="A674" s="220">
        <v>673</v>
      </c>
      <c r="B674" s="220" t="s">
        <v>3659</v>
      </c>
      <c r="C674" s="209" t="s">
        <v>17</v>
      </c>
      <c r="D674" s="209" t="s">
        <v>3648</v>
      </c>
      <c r="E674" s="209"/>
      <c r="F674" s="209"/>
      <c r="G674" s="209"/>
      <c r="H674" s="217" t="s">
        <v>5272</v>
      </c>
      <c r="I674" s="217"/>
      <c r="J674" s="215"/>
      <c r="K674" s="217"/>
      <c r="L674" s="212" t="s">
        <v>2999</v>
      </c>
      <c r="M674" s="212" t="s">
        <v>2999</v>
      </c>
      <c r="N674" s="213"/>
      <c r="O674" s="263">
        <v>4590007627</v>
      </c>
      <c r="P674" s="214">
        <v>44855</v>
      </c>
      <c r="Q674" s="334">
        <v>2</v>
      </c>
      <c r="R674" s="216">
        <v>177442</v>
      </c>
      <c r="S674" s="217" t="s">
        <v>2156</v>
      </c>
      <c r="T674" s="209" t="s">
        <v>3713</v>
      </c>
      <c r="U674" s="209" t="s">
        <v>3714</v>
      </c>
      <c r="V674" s="213" t="s">
        <v>3715</v>
      </c>
      <c r="W674" s="218" t="s">
        <v>3652</v>
      </c>
      <c r="X674" s="218" t="s">
        <v>3652</v>
      </c>
      <c r="Y674" s="212">
        <v>0</v>
      </c>
      <c r="Z674" s="209" t="s">
        <v>5266</v>
      </c>
      <c r="AA674" s="215"/>
      <c r="AB674" s="218"/>
      <c r="AC674" s="217" t="e">
        <v>#N/A</v>
      </c>
      <c r="AD674" s="217">
        <v>91290</v>
      </c>
      <c r="AE674" s="217" t="s">
        <v>5273</v>
      </c>
      <c r="AF674" s="217" t="s">
        <v>3718</v>
      </c>
      <c r="AG674" s="217" t="s">
        <v>3719</v>
      </c>
      <c r="AH674" s="220" t="str">
        <f t="shared" si="44"/>
        <v>4590007627_002</v>
      </c>
      <c r="AI674" s="208"/>
      <c r="AJ674" s="220"/>
      <c r="AK674" s="221"/>
      <c r="AL674" s="227"/>
      <c r="AM674" s="208"/>
      <c r="AN674" s="220"/>
      <c r="AO674" s="222"/>
      <c r="AP674" s="227"/>
      <c r="AQ674" s="358">
        <f ca="1">IF(表格1[[#This Row],[PO$]]="","100%",表格1[[#This Row],[total amount]]/表格1[[#This Row],[PO$]])</f>
        <v>0</v>
      </c>
      <c r="AR674" s="223">
        <f ca="1">表格1[[#This Row],[invoice amount]]+表格1[[#This Row],[invoice amount2]]</f>
        <v>0</v>
      </c>
      <c r="AS674" s="224"/>
      <c r="AT674" s="208"/>
      <c r="AU674" s="208" t="e">
        <f ca="1">VLOOKUP(表格1[[#This Row],[PO+ITEM]],#REF!,2,FALSE)</f>
        <v>#REF!</v>
      </c>
      <c r="AV674" s="341" t="e">
        <f ca="1">VLOOKUP(表格1[[#This Row],[PO+ITEM]],#REF!,3,FALSE)</f>
        <v>#REF!</v>
      </c>
      <c r="AW674" s="208" t="e">
        <f ca="1">VLOOKUP(表格1[[#This Row],[PO+ITEM]],#REF!,4,FALSE)</f>
        <v>#REF!</v>
      </c>
      <c r="AX674" s="208" t="e" cm="1" vm="1">
        <f t="array" aca="1" ref="AX674" ca="1">VLOOKUP(AI:AI,#REF!,1,FALSE)</f>
        <v>#VALUE!</v>
      </c>
    </row>
    <row r="675" spans="1:50" ht="15.6">
      <c r="A675" s="220">
        <v>674</v>
      </c>
      <c r="B675" s="220" t="s">
        <v>3674</v>
      </c>
      <c r="C675" s="209" t="s">
        <v>17</v>
      </c>
      <c r="D675" s="209" t="s">
        <v>3648</v>
      </c>
      <c r="E675" s="209"/>
      <c r="F675" s="209"/>
      <c r="G675" s="209"/>
      <c r="H675" s="210" t="s">
        <v>5274</v>
      </c>
      <c r="I675" s="210"/>
      <c r="J675" s="211"/>
      <c r="K675" s="210"/>
      <c r="L675" s="212" t="s">
        <v>2999</v>
      </c>
      <c r="M675" s="212" t="s">
        <v>2999</v>
      </c>
      <c r="N675" s="213"/>
      <c r="O675" s="263">
        <v>4590007628</v>
      </c>
      <c r="P675" s="214">
        <v>44855</v>
      </c>
      <c r="Q675" s="334">
        <v>1</v>
      </c>
      <c r="R675" s="216">
        <v>275403</v>
      </c>
      <c r="S675" s="217" t="s">
        <v>2156</v>
      </c>
      <c r="T675" s="209" t="s">
        <v>3713</v>
      </c>
      <c r="U675" s="209" t="s">
        <v>3714</v>
      </c>
      <c r="V675" s="213" t="s">
        <v>3715</v>
      </c>
      <c r="W675" s="218" t="s">
        <v>3652</v>
      </c>
      <c r="X675" s="218" t="s">
        <v>3652</v>
      </c>
      <c r="Y675" s="212">
        <v>0</v>
      </c>
      <c r="Z675" s="209" t="s">
        <v>5275</v>
      </c>
      <c r="AA675" s="215"/>
      <c r="AB675" s="218"/>
      <c r="AC675" s="217" t="e">
        <v>#N/A</v>
      </c>
      <c r="AD675" s="217">
        <v>90424</v>
      </c>
      <c r="AE675" s="217" t="s">
        <v>5276</v>
      </c>
      <c r="AF675" s="217" t="s">
        <v>3718</v>
      </c>
      <c r="AG675" s="217" t="s">
        <v>3719</v>
      </c>
      <c r="AH675" s="220" t="str">
        <f t="shared" si="44"/>
        <v>4590007628_001</v>
      </c>
      <c r="AI675" s="208"/>
      <c r="AJ675" s="225">
        <v>45261</v>
      </c>
      <c r="AK675" s="221">
        <v>261632.85</v>
      </c>
      <c r="AL675" s="228">
        <v>45303</v>
      </c>
      <c r="AM675" s="208"/>
      <c r="AN675" s="220"/>
      <c r="AO675" s="222"/>
      <c r="AP675" s="227"/>
      <c r="AQ675" s="358">
        <f ca="1">IF(表格1[[#This Row],[PO$]]="","100%",表格1[[#This Row],[total amount]]/表格1[[#This Row],[PO$]])</f>
        <v>0.95000000000000007</v>
      </c>
      <c r="AR675" s="223">
        <f ca="1">表格1[[#This Row],[invoice amount]]+表格1[[#This Row],[invoice amount2]]</f>
        <v>261632.85</v>
      </c>
      <c r="AS675" s="224" t="s">
        <v>3673</v>
      </c>
      <c r="AT675" s="342" t="s">
        <v>5277</v>
      </c>
      <c r="AU675" s="208" t="e">
        <f ca="1">VLOOKUP(表格1[[#This Row],[PO+ITEM]],#REF!,2,FALSE)</f>
        <v>#REF!</v>
      </c>
      <c r="AV675" s="341" t="e">
        <f ca="1">VLOOKUP(表格1[[#This Row],[PO+ITEM]],#REF!,3,FALSE)</f>
        <v>#REF!</v>
      </c>
      <c r="AW675" s="208" t="e">
        <f ca="1">VLOOKUP(表格1[[#This Row],[PO+ITEM]],#REF!,4,FALSE)</f>
        <v>#REF!</v>
      </c>
      <c r="AX675" s="208" t="e" cm="1" vm="1">
        <f t="array" aca="1" ref="AX675" ca="1">VLOOKUP(AI:AI,#REF!,1,FALSE)</f>
        <v>#VALUE!</v>
      </c>
    </row>
    <row r="676" spans="1:50" s="230" customFormat="1" ht="15.6">
      <c r="A676" s="220">
        <v>675</v>
      </c>
      <c r="B676" s="220" t="s">
        <v>3674</v>
      </c>
      <c r="C676" s="209" t="s">
        <v>17</v>
      </c>
      <c r="D676" s="209" t="s">
        <v>3648</v>
      </c>
      <c r="E676" s="209"/>
      <c r="F676" s="209"/>
      <c r="G676" s="209"/>
      <c r="H676" s="210" t="s">
        <v>5278</v>
      </c>
      <c r="I676" s="210"/>
      <c r="J676" s="211"/>
      <c r="K676" s="210"/>
      <c r="L676" s="212" t="s">
        <v>2999</v>
      </c>
      <c r="M676" s="212" t="s">
        <v>2999</v>
      </c>
      <c r="N676" s="213"/>
      <c r="O676" s="263">
        <v>4590007628</v>
      </c>
      <c r="P676" s="214">
        <v>44855</v>
      </c>
      <c r="Q676" s="334">
        <v>2</v>
      </c>
      <c r="R676" s="216">
        <v>275403</v>
      </c>
      <c r="S676" s="217" t="s">
        <v>2156</v>
      </c>
      <c r="T676" s="209" t="s">
        <v>3713</v>
      </c>
      <c r="U676" s="209" t="s">
        <v>3714</v>
      </c>
      <c r="V676" s="213" t="s">
        <v>3715</v>
      </c>
      <c r="W676" s="218" t="s">
        <v>3652</v>
      </c>
      <c r="X676" s="218" t="s">
        <v>3652</v>
      </c>
      <c r="Y676" s="212">
        <v>0</v>
      </c>
      <c r="Z676" s="209" t="s">
        <v>5275</v>
      </c>
      <c r="AA676" s="215"/>
      <c r="AB676" s="218"/>
      <c r="AC676" s="217" t="e">
        <v>#N/A</v>
      </c>
      <c r="AD676" s="217">
        <v>90423</v>
      </c>
      <c r="AE676" s="217" t="s">
        <v>5279</v>
      </c>
      <c r="AF676" s="217" t="s">
        <v>3718</v>
      </c>
      <c r="AG676" s="217" t="s">
        <v>3719</v>
      </c>
      <c r="AH676" s="220" t="str">
        <f t="shared" si="44"/>
        <v>4590007628_002</v>
      </c>
      <c r="AI676" s="208"/>
      <c r="AJ676" s="225">
        <v>45261</v>
      </c>
      <c r="AK676" s="221">
        <v>261632.85</v>
      </c>
      <c r="AL676" s="228">
        <v>45303</v>
      </c>
      <c r="AM676" s="208"/>
      <c r="AN676" s="220"/>
      <c r="AO676" s="222"/>
      <c r="AP676" s="227"/>
      <c r="AQ676" s="358">
        <f ca="1">IF(表格1[[#This Row],[PO$]]="","100%",表格1[[#This Row],[total amount]]/表格1[[#This Row],[PO$]])</f>
        <v>0.95000000000000007</v>
      </c>
      <c r="AR676" s="223">
        <f ca="1">表格1[[#This Row],[invoice amount]]+表格1[[#This Row],[invoice amount2]]</f>
        <v>261632.85</v>
      </c>
      <c r="AS676" s="224" t="s">
        <v>3673</v>
      </c>
      <c r="AT676" s="342" t="s">
        <v>5280</v>
      </c>
      <c r="AU676" s="208" t="e">
        <f ca="1">VLOOKUP(表格1[[#This Row],[PO+ITEM]],#REF!,2,FALSE)</f>
        <v>#REF!</v>
      </c>
      <c r="AV676" s="341" t="e">
        <f ca="1">VLOOKUP(表格1[[#This Row],[PO+ITEM]],#REF!,3,FALSE)</f>
        <v>#REF!</v>
      </c>
      <c r="AW676" s="208" t="e">
        <f ca="1">VLOOKUP(表格1[[#This Row],[PO+ITEM]],#REF!,4,FALSE)</f>
        <v>#REF!</v>
      </c>
      <c r="AX676" s="208" t="e" cm="1" vm="1">
        <f t="array" aca="1" ref="AX676" ca="1">VLOOKUP(AI:AI,#REF!,1,FALSE)</f>
        <v>#VALUE!</v>
      </c>
    </row>
    <row r="677" spans="1:50" ht="15.6">
      <c r="A677" s="220">
        <v>676</v>
      </c>
      <c r="B677" s="220" t="s">
        <v>3659</v>
      </c>
      <c r="C677" s="209" t="s">
        <v>17</v>
      </c>
      <c r="D677" s="209" t="s">
        <v>3648</v>
      </c>
      <c r="E677" s="209"/>
      <c r="F677" s="209"/>
      <c r="G677" s="209"/>
      <c r="H677" s="210" t="s">
        <v>5281</v>
      </c>
      <c r="I677" s="210"/>
      <c r="J677" s="211"/>
      <c r="K677" s="210"/>
      <c r="L677" s="212" t="s">
        <v>2999</v>
      </c>
      <c r="M677" s="212" t="s">
        <v>2999</v>
      </c>
      <c r="N677" s="213"/>
      <c r="O677" s="263">
        <v>4590007638</v>
      </c>
      <c r="P677" s="214">
        <v>44855</v>
      </c>
      <c r="Q677" s="334">
        <v>1</v>
      </c>
      <c r="R677" s="216">
        <v>129191</v>
      </c>
      <c r="S677" s="217" t="s">
        <v>2156</v>
      </c>
      <c r="T677" s="209" t="s">
        <v>3713</v>
      </c>
      <c r="U677" s="209" t="s">
        <v>3714</v>
      </c>
      <c r="V677" s="213" t="s">
        <v>3715</v>
      </c>
      <c r="W677" s="218" t="s">
        <v>3652</v>
      </c>
      <c r="X677" s="218" t="s">
        <v>3652</v>
      </c>
      <c r="Y677" s="212" t="s">
        <v>5282</v>
      </c>
      <c r="Z677" s="209" t="s">
        <v>5283</v>
      </c>
      <c r="AA677" s="215"/>
      <c r="AB677" s="218"/>
      <c r="AC677" s="217" t="e">
        <v>#N/A</v>
      </c>
      <c r="AD677" s="217">
        <v>91019</v>
      </c>
      <c r="AE677" s="217" t="s">
        <v>5284</v>
      </c>
      <c r="AF677" s="217" t="s">
        <v>3918</v>
      </c>
      <c r="AG677" s="217" t="s">
        <v>3719</v>
      </c>
      <c r="AH677" s="220" t="str">
        <f t="shared" si="44"/>
        <v>4590007638_001</v>
      </c>
      <c r="AI677" s="208"/>
      <c r="AJ677" s="225">
        <v>44958</v>
      </c>
      <c r="AK677" s="221">
        <v>51676.4</v>
      </c>
      <c r="AL677" s="226">
        <v>45015</v>
      </c>
      <c r="AM677" s="208"/>
      <c r="AN677" s="220"/>
      <c r="AO677" s="222"/>
      <c r="AP677" s="227"/>
      <c r="AQ677" s="358">
        <f ca="1">IF(表格1[[#This Row],[PO$]]="","100%",表格1[[#This Row],[total amount]]/表格1[[#This Row],[PO$]])</f>
        <v>0.4</v>
      </c>
      <c r="AR677" s="223">
        <f ca="1">表格1[[#This Row],[invoice amount]]+表格1[[#This Row],[invoice amount2]]</f>
        <v>51676.4</v>
      </c>
      <c r="AS677" s="224" t="s">
        <v>3673</v>
      </c>
      <c r="AT677" s="208"/>
      <c r="AU677" s="208" t="e">
        <f ca="1">VLOOKUP(表格1[[#This Row],[PO+ITEM]],#REF!,2,FALSE)</f>
        <v>#REF!</v>
      </c>
      <c r="AV677" s="341" t="e">
        <f ca="1">VLOOKUP(表格1[[#This Row],[PO+ITEM]],#REF!,3,FALSE)</f>
        <v>#REF!</v>
      </c>
      <c r="AW677" s="208" t="e">
        <f ca="1">VLOOKUP(表格1[[#This Row],[PO+ITEM]],#REF!,4,FALSE)</f>
        <v>#REF!</v>
      </c>
      <c r="AX677" s="208" t="e" cm="1" vm="1">
        <f t="array" aca="1" ref="AX677" ca="1">VLOOKUP(AI:AI,#REF!,1,FALSE)</f>
        <v>#VALUE!</v>
      </c>
    </row>
    <row r="678" spans="1:50" ht="15.6">
      <c r="A678" s="220">
        <v>677</v>
      </c>
      <c r="B678" s="220" t="s">
        <v>3674</v>
      </c>
      <c r="C678" s="209" t="s">
        <v>17</v>
      </c>
      <c r="D678" s="209" t="s">
        <v>3648</v>
      </c>
      <c r="E678" s="209"/>
      <c r="F678" s="209"/>
      <c r="G678" s="209"/>
      <c r="H678" s="210" t="s">
        <v>5286</v>
      </c>
      <c r="I678" s="210"/>
      <c r="J678" s="211"/>
      <c r="K678" s="210"/>
      <c r="L678" s="212" t="s">
        <v>2999</v>
      </c>
      <c r="M678" s="212" t="s">
        <v>2999</v>
      </c>
      <c r="N678" s="213"/>
      <c r="O678" s="263">
        <v>4590007638</v>
      </c>
      <c r="P678" s="214">
        <v>44855</v>
      </c>
      <c r="Q678" s="334">
        <v>2</v>
      </c>
      <c r="R678" s="216">
        <v>129191</v>
      </c>
      <c r="S678" s="217" t="s">
        <v>2156</v>
      </c>
      <c r="T678" s="209" t="s">
        <v>3713</v>
      </c>
      <c r="U678" s="209" t="s">
        <v>3714</v>
      </c>
      <c r="V678" s="213" t="s">
        <v>3715</v>
      </c>
      <c r="W678" s="218" t="s">
        <v>3652</v>
      </c>
      <c r="X678" s="218" t="s">
        <v>3652</v>
      </c>
      <c r="Y678" s="212" t="s">
        <v>5282</v>
      </c>
      <c r="Z678" s="209" t="s">
        <v>5283</v>
      </c>
      <c r="AA678" s="215"/>
      <c r="AB678" s="218"/>
      <c r="AC678" s="217" t="e">
        <v>#N/A</v>
      </c>
      <c r="AD678" s="217">
        <v>90598</v>
      </c>
      <c r="AE678" s="217" t="s">
        <v>5287</v>
      </c>
      <c r="AF678" s="217" t="s">
        <v>3918</v>
      </c>
      <c r="AG678" s="217" t="s">
        <v>3719</v>
      </c>
      <c r="AH678" s="220" t="str">
        <f t="shared" si="44"/>
        <v>4590007638_002</v>
      </c>
      <c r="AI678" s="208"/>
      <c r="AJ678" s="225">
        <v>44958</v>
      </c>
      <c r="AK678" s="221">
        <v>51676.4</v>
      </c>
      <c r="AL678" s="226">
        <v>45015</v>
      </c>
      <c r="AM678" s="208" t="s">
        <v>5289</v>
      </c>
      <c r="AN678" s="227">
        <v>45436</v>
      </c>
      <c r="AO678" s="222">
        <v>77514.599999999991</v>
      </c>
      <c r="AP678" s="227" t="s">
        <v>3805</v>
      </c>
      <c r="AQ678" s="358">
        <f ca="1">IF(表格1[[#This Row],[PO$]]="","100%",表格1[[#This Row],[total amount]]/表格1[[#This Row],[PO$]])</f>
        <v>1</v>
      </c>
      <c r="AR678" s="223">
        <f ca="1">表格1[[#This Row],[invoice amount]]+表格1[[#This Row],[invoice amount2]]</f>
        <v>129191</v>
      </c>
      <c r="AS678" s="224" t="s">
        <v>4371</v>
      </c>
      <c r="AT678" s="208"/>
      <c r="AU678" s="208" t="e">
        <f ca="1">VLOOKUP(表格1[[#This Row],[PO+ITEM]],#REF!,2,FALSE)</f>
        <v>#REF!</v>
      </c>
      <c r="AV678" s="341" t="e">
        <f ca="1">VLOOKUP(表格1[[#This Row],[PO+ITEM]],#REF!,3,FALSE)</f>
        <v>#REF!</v>
      </c>
      <c r="AW678" s="208" t="e">
        <f ca="1">VLOOKUP(表格1[[#This Row],[PO+ITEM]],#REF!,4,FALSE)</f>
        <v>#REF!</v>
      </c>
      <c r="AX678" s="208" t="e" cm="1" vm="1">
        <f t="array" aca="1" ref="AX678" ca="1">VLOOKUP(AI:AI,#REF!,1,FALSE)</f>
        <v>#VALUE!</v>
      </c>
    </row>
    <row r="679" spans="1:50" ht="15.6">
      <c r="A679" s="220">
        <v>678</v>
      </c>
      <c r="B679" s="220" t="s">
        <v>3674</v>
      </c>
      <c r="C679" s="209" t="s">
        <v>17</v>
      </c>
      <c r="D679" s="209" t="s">
        <v>3648</v>
      </c>
      <c r="E679" s="209"/>
      <c r="F679" s="209"/>
      <c r="G679" s="209"/>
      <c r="H679" s="210" t="s">
        <v>5290</v>
      </c>
      <c r="I679" s="210"/>
      <c r="J679" s="211"/>
      <c r="K679" s="210"/>
      <c r="L679" s="212" t="s">
        <v>2999</v>
      </c>
      <c r="M679" s="212" t="s">
        <v>2999</v>
      </c>
      <c r="N679" s="213"/>
      <c r="O679" s="263">
        <v>4590007638</v>
      </c>
      <c r="P679" s="214">
        <v>44855</v>
      </c>
      <c r="Q679" s="334">
        <v>3</v>
      </c>
      <c r="R679" s="216">
        <v>129191</v>
      </c>
      <c r="S679" s="217" t="s">
        <v>2156</v>
      </c>
      <c r="T679" s="209" t="s">
        <v>3713</v>
      </c>
      <c r="U679" s="209" t="s">
        <v>3714</v>
      </c>
      <c r="V679" s="213" t="s">
        <v>3715</v>
      </c>
      <c r="W679" s="218" t="s">
        <v>3652</v>
      </c>
      <c r="X679" s="218" t="s">
        <v>3652</v>
      </c>
      <c r="Y679" s="212" t="s">
        <v>5282</v>
      </c>
      <c r="Z679" s="209" t="s">
        <v>5283</v>
      </c>
      <c r="AA679" s="215"/>
      <c r="AB679" s="218"/>
      <c r="AC679" s="217" t="e">
        <v>#N/A</v>
      </c>
      <c r="AD679" s="217">
        <v>90599</v>
      </c>
      <c r="AE679" s="217" t="s">
        <v>5291</v>
      </c>
      <c r="AF679" s="217" t="s">
        <v>3918</v>
      </c>
      <c r="AG679" s="217" t="s">
        <v>3719</v>
      </c>
      <c r="AH679" s="220" t="str">
        <f t="shared" si="44"/>
        <v>4590007638_003</v>
      </c>
      <c r="AI679" s="208"/>
      <c r="AJ679" s="225">
        <v>44958</v>
      </c>
      <c r="AK679" s="221">
        <v>51676.4</v>
      </c>
      <c r="AL679" s="226">
        <v>45015</v>
      </c>
      <c r="AM679" s="208" t="s">
        <v>5293</v>
      </c>
      <c r="AN679" s="227">
        <v>45429</v>
      </c>
      <c r="AO679" s="222">
        <v>77514.600000000006</v>
      </c>
      <c r="AP679" s="227" t="s">
        <v>3805</v>
      </c>
      <c r="AQ679" s="358">
        <f ca="1">IF(表格1[[#This Row],[PO$]]="","100%",表格1[[#This Row],[total amount]]/表格1[[#This Row],[PO$]])</f>
        <v>1</v>
      </c>
      <c r="AR679" s="223">
        <f ca="1">表格1[[#This Row],[invoice amount]]+表格1[[#This Row],[invoice amount2]]</f>
        <v>129191</v>
      </c>
      <c r="AS679" s="224" t="s">
        <v>4371</v>
      </c>
      <c r="AT679" s="208"/>
      <c r="AU679" s="208" t="e">
        <f ca="1">VLOOKUP(表格1[[#This Row],[PO+ITEM]],#REF!,2,FALSE)</f>
        <v>#REF!</v>
      </c>
      <c r="AV679" s="341" t="e">
        <f ca="1">VLOOKUP(表格1[[#This Row],[PO+ITEM]],#REF!,3,FALSE)</f>
        <v>#REF!</v>
      </c>
      <c r="AW679" s="208" t="e">
        <f ca="1">VLOOKUP(表格1[[#This Row],[PO+ITEM]],#REF!,4,FALSE)</f>
        <v>#REF!</v>
      </c>
      <c r="AX679" s="208" t="e" cm="1" vm="1">
        <f t="array" aca="1" ref="AX679" ca="1">VLOOKUP(AI:AI,#REF!,1,FALSE)</f>
        <v>#VALUE!</v>
      </c>
    </row>
    <row r="680" spans="1:50" ht="15.6">
      <c r="A680" s="220">
        <v>679</v>
      </c>
      <c r="B680" s="220" t="s">
        <v>3674</v>
      </c>
      <c r="C680" s="209" t="s">
        <v>17</v>
      </c>
      <c r="D680" s="209" t="s">
        <v>3648</v>
      </c>
      <c r="E680" s="209"/>
      <c r="F680" s="209"/>
      <c r="G680" s="209"/>
      <c r="H680" s="217" t="s">
        <v>5294</v>
      </c>
      <c r="I680" s="217"/>
      <c r="J680" s="215"/>
      <c r="K680" s="217"/>
      <c r="L680" s="212" t="s">
        <v>2999</v>
      </c>
      <c r="M680" s="212" t="s">
        <v>2999</v>
      </c>
      <c r="N680" s="213"/>
      <c r="O680" s="263">
        <v>4590007638</v>
      </c>
      <c r="P680" s="214">
        <v>44855</v>
      </c>
      <c r="Q680" s="334">
        <v>4</v>
      </c>
      <c r="R680" s="216">
        <v>129191</v>
      </c>
      <c r="S680" s="217" t="s">
        <v>2156</v>
      </c>
      <c r="T680" s="209" t="s">
        <v>3713</v>
      </c>
      <c r="U680" s="209" t="s">
        <v>3714</v>
      </c>
      <c r="V680" s="213" t="s">
        <v>3715</v>
      </c>
      <c r="W680" s="218" t="s">
        <v>3652</v>
      </c>
      <c r="X680" s="218" t="s">
        <v>3652</v>
      </c>
      <c r="Y680" s="212" t="s">
        <v>5282</v>
      </c>
      <c r="Z680" s="209" t="s">
        <v>5283</v>
      </c>
      <c r="AA680" s="215"/>
      <c r="AB680" s="218"/>
      <c r="AC680" s="217" t="e">
        <v>#N/A</v>
      </c>
      <c r="AD680" s="217">
        <v>91005</v>
      </c>
      <c r="AE680" s="217" t="s">
        <v>5295</v>
      </c>
      <c r="AF680" s="217" t="s">
        <v>3918</v>
      </c>
      <c r="AG680" s="217" t="s">
        <v>3719</v>
      </c>
      <c r="AH680" s="220" t="str">
        <f t="shared" si="44"/>
        <v>4590007638_004</v>
      </c>
      <c r="AI680" s="208"/>
      <c r="AJ680" s="225">
        <v>44958</v>
      </c>
      <c r="AK680" s="221">
        <v>51676.4</v>
      </c>
      <c r="AL680" s="226">
        <v>45015</v>
      </c>
      <c r="AM680" s="208"/>
      <c r="AN680" s="220"/>
      <c r="AO680" s="222"/>
      <c r="AP680" s="227"/>
      <c r="AQ680" s="358">
        <f ca="1">IF(表格1[[#This Row],[PO$]]="","100%",表格1[[#This Row],[total amount]]/表格1[[#This Row],[PO$]])</f>
        <v>0.4</v>
      </c>
      <c r="AR680" s="223">
        <f ca="1">表格1[[#This Row],[invoice amount]]+表格1[[#This Row],[invoice amount2]]</f>
        <v>51676.4</v>
      </c>
      <c r="AS680" s="224" t="s">
        <v>3673</v>
      </c>
      <c r="AT680" s="208"/>
      <c r="AU680" s="208" t="e">
        <f ca="1">VLOOKUP(表格1[[#This Row],[PO+ITEM]],#REF!,2,FALSE)</f>
        <v>#REF!</v>
      </c>
      <c r="AV680" s="341" t="e">
        <f ca="1">VLOOKUP(表格1[[#This Row],[PO+ITEM]],#REF!,3,FALSE)</f>
        <v>#REF!</v>
      </c>
      <c r="AW680" s="208" t="e">
        <f ca="1">VLOOKUP(表格1[[#This Row],[PO+ITEM]],#REF!,4,FALSE)</f>
        <v>#REF!</v>
      </c>
      <c r="AX680" s="208" t="e" cm="1" vm="1">
        <f t="array" aca="1" ref="AX680" ca="1">VLOOKUP(AI:AI,#REF!,1,FALSE)</f>
        <v>#VALUE!</v>
      </c>
    </row>
    <row r="681" spans="1:50" ht="15.6">
      <c r="A681" s="220">
        <v>680</v>
      </c>
      <c r="B681" s="220" t="s">
        <v>3674</v>
      </c>
      <c r="C681" s="209" t="s">
        <v>17</v>
      </c>
      <c r="D681" s="209" t="s">
        <v>3648</v>
      </c>
      <c r="E681" s="209"/>
      <c r="F681" s="209"/>
      <c r="G681" s="209"/>
      <c r="H681" s="210" t="s">
        <v>5298</v>
      </c>
      <c r="I681" s="210"/>
      <c r="J681" s="211"/>
      <c r="K681" s="210"/>
      <c r="L681" s="212" t="s">
        <v>2999</v>
      </c>
      <c r="M681" s="212" t="s">
        <v>2999</v>
      </c>
      <c r="N681" s="213"/>
      <c r="O681" s="263">
        <v>4590007639</v>
      </c>
      <c r="P681" s="214">
        <v>44855</v>
      </c>
      <c r="Q681" s="334">
        <v>1</v>
      </c>
      <c r="R681" s="216">
        <v>200947</v>
      </c>
      <c r="S681" s="217" t="s">
        <v>2156</v>
      </c>
      <c r="T681" s="209" t="s">
        <v>3713</v>
      </c>
      <c r="U681" s="209" t="s">
        <v>3714</v>
      </c>
      <c r="V681" s="213" t="s">
        <v>3715</v>
      </c>
      <c r="W681" s="218" t="s">
        <v>3652</v>
      </c>
      <c r="X681" s="218" t="s">
        <v>3652</v>
      </c>
      <c r="Y681" s="212" t="s">
        <v>5299</v>
      </c>
      <c r="Z681" s="209" t="s">
        <v>5283</v>
      </c>
      <c r="AA681" s="215"/>
      <c r="AB681" s="218"/>
      <c r="AC681" s="217" t="e">
        <v>#N/A</v>
      </c>
      <c r="AD681" s="217">
        <v>90600</v>
      </c>
      <c r="AE681" s="217" t="s">
        <v>5300</v>
      </c>
      <c r="AF681" s="217" t="s">
        <v>3918</v>
      </c>
      <c r="AG681" s="217" t="s">
        <v>3719</v>
      </c>
      <c r="AH681" s="220" t="str">
        <f t="shared" si="44"/>
        <v>4590007639_001</v>
      </c>
      <c r="AI681" s="208"/>
      <c r="AJ681" s="225">
        <v>44958</v>
      </c>
      <c r="AK681" s="221">
        <v>80378.8</v>
      </c>
      <c r="AL681" s="226">
        <v>45015</v>
      </c>
      <c r="AM681" s="208" t="s">
        <v>5302</v>
      </c>
      <c r="AN681" s="227">
        <v>45429</v>
      </c>
      <c r="AO681" s="222">
        <v>120568.2</v>
      </c>
      <c r="AP681" s="227" t="s">
        <v>3805</v>
      </c>
      <c r="AQ681" s="358">
        <f ca="1">IF(表格1[[#This Row],[PO$]]="","100%",表格1[[#This Row],[total amount]]/表格1[[#This Row],[PO$]])</f>
        <v>1</v>
      </c>
      <c r="AR681" s="223">
        <f ca="1">表格1[[#This Row],[invoice amount]]+表格1[[#This Row],[invoice amount2]]</f>
        <v>200947</v>
      </c>
      <c r="AS681" s="224" t="s">
        <v>4371</v>
      </c>
      <c r="AT681" s="208"/>
      <c r="AU681" s="208" t="e">
        <f ca="1">VLOOKUP(表格1[[#This Row],[PO+ITEM]],#REF!,2,FALSE)</f>
        <v>#REF!</v>
      </c>
      <c r="AV681" s="341" t="e">
        <f ca="1">VLOOKUP(表格1[[#This Row],[PO+ITEM]],#REF!,3,FALSE)</f>
        <v>#REF!</v>
      </c>
      <c r="AW681" s="208" t="e">
        <f ca="1">VLOOKUP(表格1[[#This Row],[PO+ITEM]],#REF!,4,FALSE)</f>
        <v>#REF!</v>
      </c>
      <c r="AX681" s="208" t="e" cm="1" vm="1">
        <f t="array" aca="1" ref="AX681" ca="1">VLOOKUP(AI:AI,#REF!,1,FALSE)</f>
        <v>#VALUE!</v>
      </c>
    </row>
    <row r="682" spans="1:50" ht="15.6">
      <c r="A682" s="220">
        <v>681</v>
      </c>
      <c r="B682" s="220" t="s">
        <v>3659</v>
      </c>
      <c r="C682" s="209" t="s">
        <v>17</v>
      </c>
      <c r="D682" s="209" t="s">
        <v>3648</v>
      </c>
      <c r="E682" s="209"/>
      <c r="F682" s="209"/>
      <c r="G682" s="209"/>
      <c r="H682" s="210" t="s">
        <v>5303</v>
      </c>
      <c r="I682" s="210"/>
      <c r="J682" s="211"/>
      <c r="K682" s="210"/>
      <c r="L682" s="212" t="s">
        <v>2999</v>
      </c>
      <c r="M682" s="212" t="s">
        <v>2999</v>
      </c>
      <c r="N682" s="213"/>
      <c r="O682" s="263">
        <v>4590007639</v>
      </c>
      <c r="P682" s="214">
        <v>44855</v>
      </c>
      <c r="Q682" s="334">
        <v>2</v>
      </c>
      <c r="R682" s="216">
        <v>200947</v>
      </c>
      <c r="S682" s="217" t="s">
        <v>2156</v>
      </c>
      <c r="T682" s="209" t="s">
        <v>3713</v>
      </c>
      <c r="U682" s="209" t="s">
        <v>3714</v>
      </c>
      <c r="V682" s="213" t="s">
        <v>3715</v>
      </c>
      <c r="W682" s="218" t="s">
        <v>3652</v>
      </c>
      <c r="X682" s="218" t="s">
        <v>3652</v>
      </c>
      <c r="Y682" s="212" t="s">
        <v>5299</v>
      </c>
      <c r="Z682" s="209" t="s">
        <v>5283</v>
      </c>
      <c r="AA682" s="215"/>
      <c r="AB682" s="218"/>
      <c r="AC682" s="217" t="e">
        <v>#N/A</v>
      </c>
      <c r="AD682" s="217">
        <v>90961</v>
      </c>
      <c r="AE682" s="217" t="s">
        <v>5304</v>
      </c>
      <c r="AF682" s="217" t="s">
        <v>3918</v>
      </c>
      <c r="AG682" s="217" t="s">
        <v>3719</v>
      </c>
      <c r="AH682" s="220" t="str">
        <f t="shared" si="44"/>
        <v>4590007639_002</v>
      </c>
      <c r="AI682" s="208"/>
      <c r="AJ682" s="225">
        <v>44958</v>
      </c>
      <c r="AK682" s="221">
        <v>80378.8</v>
      </c>
      <c r="AL682" s="226">
        <v>45015</v>
      </c>
      <c r="AM682" s="208"/>
      <c r="AN682" s="220"/>
      <c r="AO682" s="222"/>
      <c r="AP682" s="227"/>
      <c r="AQ682" s="358">
        <f ca="1">IF(表格1[[#This Row],[PO$]]="","100%",表格1[[#This Row],[total amount]]/表格1[[#This Row],[PO$]])</f>
        <v>0.4</v>
      </c>
      <c r="AR682" s="223">
        <f ca="1">表格1[[#This Row],[invoice amount]]+表格1[[#This Row],[invoice amount2]]</f>
        <v>80378.8</v>
      </c>
      <c r="AS682" s="224" t="s">
        <v>3673</v>
      </c>
      <c r="AT682" s="208"/>
      <c r="AU682" s="208" t="e">
        <f ca="1">VLOOKUP(表格1[[#This Row],[PO+ITEM]],#REF!,2,FALSE)</f>
        <v>#REF!</v>
      </c>
      <c r="AV682" s="341" t="e">
        <f ca="1">VLOOKUP(表格1[[#This Row],[PO+ITEM]],#REF!,3,FALSE)</f>
        <v>#REF!</v>
      </c>
      <c r="AW682" s="208" t="e">
        <f ca="1">VLOOKUP(表格1[[#This Row],[PO+ITEM]],#REF!,4,FALSE)</f>
        <v>#REF!</v>
      </c>
      <c r="AX682" s="208" t="e" cm="1" vm="1">
        <f t="array" aca="1" ref="AX682" ca="1">VLOOKUP(AI:AI,#REF!,1,FALSE)</f>
        <v>#VALUE!</v>
      </c>
    </row>
    <row r="683" spans="1:50" ht="15.6">
      <c r="A683" s="220">
        <v>682</v>
      </c>
      <c r="B683" s="220" t="s">
        <v>3674</v>
      </c>
      <c r="C683" s="209" t="s">
        <v>17</v>
      </c>
      <c r="D683" s="209" t="s">
        <v>3648</v>
      </c>
      <c r="E683" s="209"/>
      <c r="F683" s="209"/>
      <c r="G683" s="209"/>
      <c r="H683" s="210" t="s">
        <v>5306</v>
      </c>
      <c r="I683" s="210"/>
      <c r="J683" s="211"/>
      <c r="K683" s="210"/>
      <c r="L683" s="212" t="s">
        <v>2999</v>
      </c>
      <c r="M683" s="212" t="s">
        <v>2999</v>
      </c>
      <c r="N683" s="213"/>
      <c r="O683" s="263">
        <v>4590007640</v>
      </c>
      <c r="P683" s="214">
        <v>44855</v>
      </c>
      <c r="Q683" s="334">
        <v>1</v>
      </c>
      <c r="R683" s="216">
        <v>147781</v>
      </c>
      <c r="S683" s="217" t="s">
        <v>2156</v>
      </c>
      <c r="T683" s="209" t="s">
        <v>3713</v>
      </c>
      <c r="U683" s="209" t="s">
        <v>3714</v>
      </c>
      <c r="V683" s="213" t="s">
        <v>3715</v>
      </c>
      <c r="W683" s="218" t="s">
        <v>3652</v>
      </c>
      <c r="X683" s="218" t="s">
        <v>3652</v>
      </c>
      <c r="Y683" s="212">
        <v>0</v>
      </c>
      <c r="Z683" s="209" t="s">
        <v>3716</v>
      </c>
      <c r="AA683" s="215"/>
      <c r="AB683" s="218"/>
      <c r="AC683" s="217" t="e">
        <v>#N/A</v>
      </c>
      <c r="AD683" s="217">
        <v>90597</v>
      </c>
      <c r="AE683" s="217" t="s">
        <v>5307</v>
      </c>
      <c r="AF683" s="217" t="s">
        <v>3918</v>
      </c>
      <c r="AG683" s="217" t="s">
        <v>3719</v>
      </c>
      <c r="AH683" s="220" t="str">
        <f t="shared" si="44"/>
        <v>4590007640_001</v>
      </c>
      <c r="AI683" s="208"/>
      <c r="AJ683" s="225">
        <v>44958</v>
      </c>
      <c r="AK683" s="221">
        <v>59112.4</v>
      </c>
      <c r="AL683" s="228">
        <v>45030</v>
      </c>
      <c r="AM683" s="208" t="s">
        <v>5308</v>
      </c>
      <c r="AN683" s="227">
        <v>45408</v>
      </c>
      <c r="AO683" s="222">
        <v>88668.6</v>
      </c>
      <c r="AP683" s="227" t="s">
        <v>5710</v>
      </c>
      <c r="AQ683" s="358">
        <f ca="1">IF(表格1[[#This Row],[PO$]]="","100%",表格1[[#This Row],[total amount]]/表格1[[#This Row],[PO$]])</f>
        <v>1</v>
      </c>
      <c r="AR683" s="223">
        <f ca="1">表格1[[#This Row],[invoice amount]]+表格1[[#This Row],[invoice amount2]]</f>
        <v>147781</v>
      </c>
      <c r="AS683" s="224" t="s">
        <v>4371</v>
      </c>
      <c r="AT683" s="208"/>
      <c r="AU683" s="208" t="e">
        <f ca="1">VLOOKUP(表格1[[#This Row],[PO+ITEM]],#REF!,2,FALSE)</f>
        <v>#REF!</v>
      </c>
      <c r="AV683" s="341" t="e">
        <f ca="1">VLOOKUP(表格1[[#This Row],[PO+ITEM]],#REF!,3,FALSE)</f>
        <v>#REF!</v>
      </c>
      <c r="AW683" s="208" t="e">
        <f ca="1">VLOOKUP(表格1[[#This Row],[PO+ITEM]],#REF!,4,FALSE)</f>
        <v>#REF!</v>
      </c>
      <c r="AX683" s="208" t="e" cm="1" vm="1">
        <f t="array" aca="1" ref="AX683" ca="1">VLOOKUP(AI:AI,#REF!,1,FALSE)</f>
        <v>#VALUE!</v>
      </c>
    </row>
    <row r="684" spans="1:50" ht="15.6">
      <c r="A684" s="220">
        <v>683</v>
      </c>
      <c r="B684" s="220" t="s">
        <v>3659</v>
      </c>
      <c r="C684" s="209" t="s">
        <v>17</v>
      </c>
      <c r="D684" s="209" t="s">
        <v>3648</v>
      </c>
      <c r="E684" s="209"/>
      <c r="F684" s="209"/>
      <c r="G684" s="209"/>
      <c r="H684" s="217" t="s">
        <v>5309</v>
      </c>
      <c r="I684" s="217"/>
      <c r="J684" s="215"/>
      <c r="K684" s="217"/>
      <c r="L684" s="212" t="s">
        <v>2999</v>
      </c>
      <c r="M684" s="212" t="s">
        <v>2999</v>
      </c>
      <c r="N684" s="213"/>
      <c r="O684" s="263">
        <v>4590007640</v>
      </c>
      <c r="P684" s="214">
        <v>44855</v>
      </c>
      <c r="Q684" s="334">
        <v>2</v>
      </c>
      <c r="R684" s="216">
        <v>147781</v>
      </c>
      <c r="S684" s="217" t="s">
        <v>2156</v>
      </c>
      <c r="T684" s="209" t="s">
        <v>3713</v>
      </c>
      <c r="U684" s="209" t="s">
        <v>3714</v>
      </c>
      <c r="V684" s="213" t="s">
        <v>3715</v>
      </c>
      <c r="W684" s="218" t="s">
        <v>3652</v>
      </c>
      <c r="X684" s="218" t="s">
        <v>3652</v>
      </c>
      <c r="Y684" s="212">
        <v>0</v>
      </c>
      <c r="Z684" s="209" t="s">
        <v>3716</v>
      </c>
      <c r="AA684" s="215"/>
      <c r="AB684" s="218"/>
      <c r="AC684" s="217" t="e">
        <v>#N/A</v>
      </c>
      <c r="AD684" s="217">
        <v>90994</v>
      </c>
      <c r="AE684" s="217" t="s">
        <v>5310</v>
      </c>
      <c r="AF684" s="217" t="s">
        <v>3918</v>
      </c>
      <c r="AG684" s="217" t="s">
        <v>3719</v>
      </c>
      <c r="AH684" s="220" t="str">
        <f t="shared" si="44"/>
        <v>4590007640_002</v>
      </c>
      <c r="AI684" s="208"/>
      <c r="AJ684" s="225">
        <v>44958</v>
      </c>
      <c r="AK684" s="221">
        <v>59112.4</v>
      </c>
      <c r="AL684" s="228">
        <v>45030</v>
      </c>
      <c r="AM684" s="208"/>
      <c r="AN684" s="220"/>
      <c r="AO684" s="222"/>
      <c r="AP684" s="227"/>
      <c r="AQ684" s="358">
        <f ca="1">IF(表格1[[#This Row],[PO$]]="","100%",表格1[[#This Row],[total amount]]/表格1[[#This Row],[PO$]])</f>
        <v>0.4</v>
      </c>
      <c r="AR684" s="223">
        <f ca="1">表格1[[#This Row],[invoice amount]]+表格1[[#This Row],[invoice amount2]]</f>
        <v>59112.4</v>
      </c>
      <c r="AS684" s="224" t="s">
        <v>3673</v>
      </c>
      <c r="AT684" s="208"/>
      <c r="AU684" s="208" t="e">
        <f ca="1">VLOOKUP(表格1[[#This Row],[PO+ITEM]],#REF!,2,FALSE)</f>
        <v>#REF!</v>
      </c>
      <c r="AV684" s="341" t="e">
        <f ca="1">VLOOKUP(表格1[[#This Row],[PO+ITEM]],#REF!,3,FALSE)</f>
        <v>#REF!</v>
      </c>
      <c r="AW684" s="208" t="e">
        <f ca="1">VLOOKUP(表格1[[#This Row],[PO+ITEM]],#REF!,4,FALSE)</f>
        <v>#REF!</v>
      </c>
      <c r="AX684" s="208" t="e" cm="1" vm="1">
        <f t="array" aca="1" ref="AX684" ca="1">VLOOKUP(AI:AI,#REF!,1,FALSE)</f>
        <v>#VALUE!</v>
      </c>
    </row>
    <row r="685" spans="1:50" ht="15.6">
      <c r="A685" s="220">
        <v>684</v>
      </c>
      <c r="B685" s="220" t="s">
        <v>3674</v>
      </c>
      <c r="C685" s="209" t="s">
        <v>17</v>
      </c>
      <c r="D685" s="209" t="s">
        <v>3648</v>
      </c>
      <c r="E685" s="209"/>
      <c r="F685" s="209"/>
      <c r="G685" s="209"/>
      <c r="H685" s="210" t="s">
        <v>5311</v>
      </c>
      <c r="I685" s="210"/>
      <c r="J685" s="211"/>
      <c r="K685" s="210"/>
      <c r="L685" s="212" t="s">
        <v>2999</v>
      </c>
      <c r="M685" s="212" t="s">
        <v>2999</v>
      </c>
      <c r="N685" s="213"/>
      <c r="O685" s="263">
        <v>4590007640</v>
      </c>
      <c r="P685" s="214">
        <v>44855</v>
      </c>
      <c r="Q685" s="334">
        <v>3</v>
      </c>
      <c r="R685" s="216">
        <v>147781</v>
      </c>
      <c r="S685" s="217" t="s">
        <v>2156</v>
      </c>
      <c r="T685" s="209" t="s">
        <v>3713</v>
      </c>
      <c r="U685" s="209" t="s">
        <v>3714</v>
      </c>
      <c r="V685" s="213" t="s">
        <v>3715</v>
      </c>
      <c r="W685" s="218" t="s">
        <v>3652</v>
      </c>
      <c r="X685" s="218" t="s">
        <v>3652</v>
      </c>
      <c r="Y685" s="212">
        <v>0</v>
      </c>
      <c r="Z685" s="209" t="s">
        <v>3716</v>
      </c>
      <c r="AA685" s="215"/>
      <c r="AB685" s="218"/>
      <c r="AC685" s="217" t="e">
        <v>#N/A</v>
      </c>
      <c r="AD685" s="217">
        <v>90593</v>
      </c>
      <c r="AE685" s="217" t="s">
        <v>5312</v>
      </c>
      <c r="AF685" s="217" t="s">
        <v>3918</v>
      </c>
      <c r="AG685" s="217" t="s">
        <v>3719</v>
      </c>
      <c r="AH685" s="220" t="str">
        <f t="shared" si="44"/>
        <v>4590007640_003</v>
      </c>
      <c r="AI685" s="208"/>
      <c r="AJ685" s="225">
        <v>44958</v>
      </c>
      <c r="AK685" s="221">
        <v>59112.4</v>
      </c>
      <c r="AL685" s="228">
        <v>45030</v>
      </c>
      <c r="AM685" s="208" t="s">
        <v>5313</v>
      </c>
      <c r="AN685" s="227">
        <v>45412</v>
      </c>
      <c r="AO685" s="222">
        <v>88668.6</v>
      </c>
      <c r="AP685" s="227" t="s">
        <v>5710</v>
      </c>
      <c r="AQ685" s="358">
        <f ca="1">IF(表格1[[#This Row],[PO$]]="","100%",表格1[[#This Row],[total amount]]/表格1[[#This Row],[PO$]])</f>
        <v>1</v>
      </c>
      <c r="AR685" s="223">
        <f ca="1">表格1[[#This Row],[invoice amount]]+表格1[[#This Row],[invoice amount2]]</f>
        <v>147781</v>
      </c>
      <c r="AS685" s="224" t="s">
        <v>4371</v>
      </c>
      <c r="AT685" s="246"/>
      <c r="AU685" s="208" t="e">
        <f ca="1">VLOOKUP(表格1[[#This Row],[PO+ITEM]],#REF!,2,FALSE)</f>
        <v>#REF!</v>
      </c>
      <c r="AV685" s="341" t="e">
        <f ca="1">VLOOKUP(表格1[[#This Row],[PO+ITEM]],#REF!,3,FALSE)</f>
        <v>#REF!</v>
      </c>
      <c r="AW685" s="208" t="e">
        <f ca="1">VLOOKUP(表格1[[#This Row],[PO+ITEM]],#REF!,4,FALSE)</f>
        <v>#REF!</v>
      </c>
      <c r="AX685" s="208" t="e" cm="1" vm="1">
        <f t="array" aca="1" ref="AX685" ca="1">VLOOKUP(AI:AI,#REF!,1,FALSE)</f>
        <v>#VALUE!</v>
      </c>
    </row>
    <row r="686" spans="1:50" ht="15.6">
      <c r="A686" s="220">
        <v>685</v>
      </c>
      <c r="B686" s="220" t="s">
        <v>3659</v>
      </c>
      <c r="C686" s="209" t="s">
        <v>17</v>
      </c>
      <c r="D686" s="209" t="s">
        <v>3648</v>
      </c>
      <c r="E686" s="209"/>
      <c r="F686" s="209"/>
      <c r="G686" s="209"/>
      <c r="H686" s="210" t="s">
        <v>5314</v>
      </c>
      <c r="I686" s="210"/>
      <c r="J686" s="211"/>
      <c r="K686" s="210"/>
      <c r="L686" s="212" t="s">
        <v>2999</v>
      </c>
      <c r="M686" s="212" t="s">
        <v>2999</v>
      </c>
      <c r="N686" s="213"/>
      <c r="O686" s="263">
        <v>4590007640</v>
      </c>
      <c r="P686" s="214">
        <v>44855</v>
      </c>
      <c r="Q686" s="334">
        <v>4</v>
      </c>
      <c r="R686" s="216">
        <v>147781</v>
      </c>
      <c r="S686" s="217" t="s">
        <v>2156</v>
      </c>
      <c r="T686" s="209" t="s">
        <v>3713</v>
      </c>
      <c r="U686" s="209" t="s">
        <v>3714</v>
      </c>
      <c r="V686" s="213" t="s">
        <v>3715</v>
      </c>
      <c r="W686" s="218" t="s">
        <v>3652</v>
      </c>
      <c r="X686" s="218" t="s">
        <v>3652</v>
      </c>
      <c r="Y686" s="212">
        <v>0</v>
      </c>
      <c r="Z686" s="209" t="s">
        <v>3716</v>
      </c>
      <c r="AA686" s="215"/>
      <c r="AB686" s="218"/>
      <c r="AC686" s="217" t="e">
        <v>#N/A</v>
      </c>
      <c r="AD686" s="217">
        <v>90592</v>
      </c>
      <c r="AE686" s="217" t="s">
        <v>5315</v>
      </c>
      <c r="AF686" s="217" t="s">
        <v>3918</v>
      </c>
      <c r="AG686" s="217" t="s">
        <v>3719</v>
      </c>
      <c r="AH686" s="220" t="str">
        <f t="shared" si="44"/>
        <v>4590007640_004</v>
      </c>
      <c r="AI686" s="208"/>
      <c r="AJ686" s="225">
        <v>44958</v>
      </c>
      <c r="AK686" s="221">
        <v>59112.4</v>
      </c>
      <c r="AL686" s="228">
        <v>45030</v>
      </c>
      <c r="AM686" s="208"/>
      <c r="AN686" s="220"/>
      <c r="AO686" s="222"/>
      <c r="AP686" s="227"/>
      <c r="AQ686" s="358">
        <f ca="1">IF(表格1[[#This Row],[PO$]]="","100%",表格1[[#This Row],[total amount]]/表格1[[#This Row],[PO$]])</f>
        <v>0.4</v>
      </c>
      <c r="AR686" s="223">
        <f ca="1">表格1[[#This Row],[invoice amount]]+表格1[[#This Row],[invoice amount2]]</f>
        <v>59112.4</v>
      </c>
      <c r="AS686" s="224" t="s">
        <v>3673</v>
      </c>
      <c r="AT686" s="208"/>
      <c r="AU686" s="208" t="e">
        <f ca="1">VLOOKUP(表格1[[#This Row],[PO+ITEM]],#REF!,2,FALSE)</f>
        <v>#REF!</v>
      </c>
      <c r="AV686" s="341" t="e">
        <f ca="1">VLOOKUP(表格1[[#This Row],[PO+ITEM]],#REF!,3,FALSE)</f>
        <v>#REF!</v>
      </c>
      <c r="AW686" s="208" t="e">
        <f ca="1">VLOOKUP(表格1[[#This Row],[PO+ITEM]],#REF!,4,FALSE)</f>
        <v>#REF!</v>
      </c>
      <c r="AX686" s="208" t="e" cm="1" vm="1">
        <f t="array" aca="1" ref="AX686" ca="1">VLOOKUP(AI:AI,#REF!,1,FALSE)</f>
        <v>#VALUE!</v>
      </c>
    </row>
    <row r="687" spans="1:50" ht="15.6">
      <c r="A687" s="220">
        <v>686</v>
      </c>
      <c r="B687" s="220" t="s">
        <v>3674</v>
      </c>
      <c r="C687" s="209" t="s">
        <v>17</v>
      </c>
      <c r="D687" s="209" t="s">
        <v>3648</v>
      </c>
      <c r="E687" s="209"/>
      <c r="F687" s="209"/>
      <c r="G687" s="209"/>
      <c r="H687" s="210" t="s">
        <v>5316</v>
      </c>
      <c r="I687" s="210"/>
      <c r="J687" s="211"/>
      <c r="K687" s="210"/>
      <c r="L687" s="212" t="s">
        <v>2999</v>
      </c>
      <c r="M687" s="212" t="s">
        <v>2999</v>
      </c>
      <c r="N687" s="213"/>
      <c r="O687" s="263">
        <v>4590007641</v>
      </c>
      <c r="P687" s="214">
        <v>44855</v>
      </c>
      <c r="Q687" s="334">
        <v>1</v>
      </c>
      <c r="R687" s="216">
        <v>219722</v>
      </c>
      <c r="S687" s="217" t="s">
        <v>2156</v>
      </c>
      <c r="T687" s="209" t="s">
        <v>3713</v>
      </c>
      <c r="U687" s="209" t="s">
        <v>3714</v>
      </c>
      <c r="V687" s="213" t="s">
        <v>3715</v>
      </c>
      <c r="W687" s="218" t="s">
        <v>3652</v>
      </c>
      <c r="X687" s="218" t="s">
        <v>3652</v>
      </c>
      <c r="Y687" s="212" t="s">
        <v>5299</v>
      </c>
      <c r="Z687" s="209" t="s">
        <v>3716</v>
      </c>
      <c r="AA687" s="215"/>
      <c r="AB687" s="218"/>
      <c r="AC687" s="217" t="e">
        <v>#N/A</v>
      </c>
      <c r="AD687" s="217">
        <v>90316</v>
      </c>
      <c r="AE687" s="217" t="s">
        <v>5317</v>
      </c>
      <c r="AF687" s="217" t="s">
        <v>3918</v>
      </c>
      <c r="AG687" s="217" t="s">
        <v>3719</v>
      </c>
      <c r="AH687" s="220" t="str">
        <f t="shared" si="44"/>
        <v>4590007641_001</v>
      </c>
      <c r="AI687" s="208"/>
      <c r="AJ687" s="225">
        <v>44958</v>
      </c>
      <c r="AK687" s="221">
        <v>87888.8</v>
      </c>
      <c r="AL687" s="226">
        <v>45015</v>
      </c>
      <c r="AM687" s="208" t="s">
        <v>5319</v>
      </c>
      <c r="AN687" s="227">
        <v>45436</v>
      </c>
      <c r="AO687" s="222">
        <v>131833.19999999998</v>
      </c>
      <c r="AP687" s="227" t="s">
        <v>3805</v>
      </c>
      <c r="AQ687" s="358">
        <f ca="1">IF(表格1[[#This Row],[PO$]]="","100%",表格1[[#This Row],[total amount]]/表格1[[#This Row],[PO$]])</f>
        <v>1</v>
      </c>
      <c r="AR687" s="223">
        <f ca="1">表格1[[#This Row],[invoice amount]]+表格1[[#This Row],[invoice amount2]]</f>
        <v>219722</v>
      </c>
      <c r="AS687" s="224" t="s">
        <v>4371</v>
      </c>
      <c r="AT687" s="208"/>
      <c r="AU687" s="208" t="e">
        <f ca="1">VLOOKUP(表格1[[#This Row],[PO+ITEM]],#REF!,2,FALSE)</f>
        <v>#REF!</v>
      </c>
      <c r="AV687" s="341" t="e">
        <f ca="1">VLOOKUP(表格1[[#This Row],[PO+ITEM]],#REF!,3,FALSE)</f>
        <v>#REF!</v>
      </c>
      <c r="AW687" s="208" t="e">
        <f ca="1">VLOOKUP(表格1[[#This Row],[PO+ITEM]],#REF!,4,FALSE)</f>
        <v>#REF!</v>
      </c>
      <c r="AX687" s="208" t="e" cm="1" vm="1">
        <f t="array" aca="1" ref="AX687" ca="1">VLOOKUP(AI:AI,#REF!,1,FALSE)</f>
        <v>#VALUE!</v>
      </c>
    </row>
    <row r="688" spans="1:50" ht="15.6">
      <c r="A688" s="220">
        <v>687</v>
      </c>
      <c r="B688" s="220" t="s">
        <v>3659</v>
      </c>
      <c r="C688" s="209" t="s">
        <v>17</v>
      </c>
      <c r="D688" s="209" t="s">
        <v>3648</v>
      </c>
      <c r="E688" s="209"/>
      <c r="F688" s="209"/>
      <c r="G688" s="209"/>
      <c r="H688" s="210" t="s">
        <v>5320</v>
      </c>
      <c r="I688" s="210"/>
      <c r="J688" s="211"/>
      <c r="K688" s="210"/>
      <c r="L688" s="212" t="s">
        <v>2999</v>
      </c>
      <c r="M688" s="212" t="s">
        <v>2999</v>
      </c>
      <c r="N688" s="213"/>
      <c r="O688" s="263">
        <v>4590007641</v>
      </c>
      <c r="P688" s="214">
        <v>44855</v>
      </c>
      <c r="Q688" s="334">
        <v>2</v>
      </c>
      <c r="R688" s="216">
        <v>219722</v>
      </c>
      <c r="S688" s="217" t="s">
        <v>2156</v>
      </c>
      <c r="T688" s="209" t="s">
        <v>3713</v>
      </c>
      <c r="U688" s="209" t="s">
        <v>3714</v>
      </c>
      <c r="V688" s="213" t="s">
        <v>3715</v>
      </c>
      <c r="W688" s="218" t="s">
        <v>3652</v>
      </c>
      <c r="X688" s="218" t="s">
        <v>3652</v>
      </c>
      <c r="Y688" s="212" t="s">
        <v>5299</v>
      </c>
      <c r="Z688" s="209" t="s">
        <v>3716</v>
      </c>
      <c r="AA688" s="215"/>
      <c r="AB688" s="218"/>
      <c r="AC688" s="217" t="e">
        <v>#N/A</v>
      </c>
      <c r="AD688" s="217">
        <v>91020</v>
      </c>
      <c r="AE688" s="217" t="s">
        <v>5321</v>
      </c>
      <c r="AF688" s="217" t="s">
        <v>3918</v>
      </c>
      <c r="AG688" s="217" t="s">
        <v>3719</v>
      </c>
      <c r="AH688" s="220" t="str">
        <f t="shared" si="44"/>
        <v>4590007641_002</v>
      </c>
      <c r="AI688" s="208"/>
      <c r="AJ688" s="225">
        <v>44958</v>
      </c>
      <c r="AK688" s="221">
        <v>87888.8</v>
      </c>
      <c r="AL688" s="226">
        <v>45015</v>
      </c>
      <c r="AM688" s="208"/>
      <c r="AN688" s="220"/>
      <c r="AO688" s="222"/>
      <c r="AP688" s="227"/>
      <c r="AQ688" s="358">
        <f ca="1">IF(表格1[[#This Row],[PO$]]="","100%",表格1[[#This Row],[total amount]]/表格1[[#This Row],[PO$]])</f>
        <v>0.4</v>
      </c>
      <c r="AR688" s="223">
        <f ca="1">表格1[[#This Row],[invoice amount]]+表格1[[#This Row],[invoice amount2]]</f>
        <v>87888.8</v>
      </c>
      <c r="AS688" s="224" t="s">
        <v>3673</v>
      </c>
      <c r="AT688" s="208"/>
      <c r="AU688" s="208" t="e">
        <f ca="1">VLOOKUP(表格1[[#This Row],[PO+ITEM]],#REF!,2,FALSE)</f>
        <v>#REF!</v>
      </c>
      <c r="AV688" s="341" t="e">
        <f ca="1">VLOOKUP(表格1[[#This Row],[PO+ITEM]],#REF!,3,FALSE)</f>
        <v>#REF!</v>
      </c>
      <c r="AW688" s="208" t="e">
        <f ca="1">VLOOKUP(表格1[[#This Row],[PO+ITEM]],#REF!,4,FALSE)</f>
        <v>#REF!</v>
      </c>
      <c r="AX688" s="208" t="e" cm="1" vm="1">
        <f t="array" aca="1" ref="AX688" ca="1">VLOOKUP(AI:AI,#REF!,1,FALSE)</f>
        <v>#VALUE!</v>
      </c>
    </row>
    <row r="689" spans="1:50">
      <c r="A689" s="220">
        <v>688</v>
      </c>
      <c r="B689" s="220" t="s">
        <v>3674</v>
      </c>
      <c r="C689" s="209" t="s">
        <v>17</v>
      </c>
      <c r="D689" s="209" t="s">
        <v>3648</v>
      </c>
      <c r="E689" s="209"/>
      <c r="F689" s="209"/>
      <c r="G689" s="209"/>
      <c r="H689" s="210" t="s">
        <v>5323</v>
      </c>
      <c r="I689" s="210"/>
      <c r="J689" s="211"/>
      <c r="K689" s="210"/>
      <c r="L689" s="212" t="s">
        <v>2999</v>
      </c>
      <c r="M689" s="212" t="s">
        <v>2999</v>
      </c>
      <c r="N689" s="213"/>
      <c r="O689" s="263">
        <v>4590007642</v>
      </c>
      <c r="P689" s="214">
        <v>44855</v>
      </c>
      <c r="Q689" s="334">
        <v>1</v>
      </c>
      <c r="R689" s="216">
        <v>42070</v>
      </c>
      <c r="S689" s="217" t="s">
        <v>2156</v>
      </c>
      <c r="T689" s="209" t="s">
        <v>3713</v>
      </c>
      <c r="U689" s="209" t="s">
        <v>3714</v>
      </c>
      <c r="V689" s="213" t="s">
        <v>3715</v>
      </c>
      <c r="W689" s="218" t="s">
        <v>3652</v>
      </c>
      <c r="X689" s="218" t="s">
        <v>3652</v>
      </c>
      <c r="Y689" s="212" t="s">
        <v>3767</v>
      </c>
      <c r="Z689" s="209" t="s">
        <v>3768</v>
      </c>
      <c r="AA689" s="215"/>
      <c r="AB689" s="218"/>
      <c r="AC689" s="217" t="e">
        <v>#N/A</v>
      </c>
      <c r="AD689" s="217">
        <v>90782</v>
      </c>
      <c r="AE689" s="217" t="s">
        <v>4808</v>
      </c>
      <c r="AF689" s="217" t="s">
        <v>4784</v>
      </c>
      <c r="AG689" s="217" t="s">
        <v>3719</v>
      </c>
      <c r="AH689" s="220" t="str">
        <f t="shared" si="44"/>
        <v>4590007642_001</v>
      </c>
      <c r="AI689" s="208"/>
      <c r="AJ689" s="220"/>
      <c r="AK689" s="221"/>
      <c r="AL689" s="227"/>
      <c r="AM689" s="208"/>
      <c r="AN689" s="220"/>
      <c r="AO689" s="222"/>
      <c r="AP689" s="227"/>
      <c r="AQ689" s="358">
        <f ca="1">IF(表格1[[#This Row],[PO$]]="","100%",表格1[[#This Row],[total amount]]/表格1[[#This Row],[PO$]])</f>
        <v>0</v>
      </c>
      <c r="AR689" s="223">
        <f ca="1">表格1[[#This Row],[invoice amount]]+表格1[[#This Row],[invoice amount2]]</f>
        <v>0</v>
      </c>
      <c r="AS689" s="224"/>
      <c r="AT689" s="208"/>
      <c r="AU689" s="208" t="e">
        <f ca="1">VLOOKUP(表格1[[#This Row],[PO+ITEM]],#REF!,2,FALSE)</f>
        <v>#REF!</v>
      </c>
      <c r="AV689" s="341" t="e">
        <f ca="1">VLOOKUP(表格1[[#This Row],[PO+ITEM]],#REF!,3,FALSE)</f>
        <v>#REF!</v>
      </c>
      <c r="AW689" s="208" t="e">
        <f ca="1">VLOOKUP(表格1[[#This Row],[PO+ITEM]],#REF!,4,FALSE)</f>
        <v>#REF!</v>
      </c>
      <c r="AX689" s="208" t="e" cm="1" vm="1">
        <f t="array" aca="1" ref="AX689" ca="1">VLOOKUP(AI:AI,#REF!,1,FALSE)</f>
        <v>#VALUE!</v>
      </c>
    </row>
    <row r="690" spans="1:50">
      <c r="A690" s="220">
        <v>689</v>
      </c>
      <c r="B690" s="220" t="s">
        <v>3659</v>
      </c>
      <c r="C690" s="209" t="s">
        <v>17</v>
      </c>
      <c r="D690" s="209" t="s">
        <v>3648</v>
      </c>
      <c r="E690" s="209"/>
      <c r="F690" s="209"/>
      <c r="G690" s="209"/>
      <c r="H690" s="210" t="s">
        <v>5325</v>
      </c>
      <c r="I690" s="210"/>
      <c r="J690" s="211"/>
      <c r="K690" s="210"/>
      <c r="L690" s="212" t="s">
        <v>2999</v>
      </c>
      <c r="M690" s="212" t="s">
        <v>2999</v>
      </c>
      <c r="N690" s="213"/>
      <c r="O690" s="263">
        <v>4590007642</v>
      </c>
      <c r="P690" s="214">
        <v>44855</v>
      </c>
      <c r="Q690" s="334">
        <v>2</v>
      </c>
      <c r="R690" s="216">
        <v>42070</v>
      </c>
      <c r="S690" s="217" t="s">
        <v>2156</v>
      </c>
      <c r="T690" s="209" t="s">
        <v>3713</v>
      </c>
      <c r="U690" s="209" t="s">
        <v>3714</v>
      </c>
      <c r="V690" s="213" t="s">
        <v>3715</v>
      </c>
      <c r="W690" s="218" t="s">
        <v>3652</v>
      </c>
      <c r="X690" s="218" t="s">
        <v>3652</v>
      </c>
      <c r="Y690" s="212" t="s">
        <v>3767</v>
      </c>
      <c r="Z690" s="209" t="s">
        <v>3768</v>
      </c>
      <c r="AA690" s="215"/>
      <c r="AB690" s="218"/>
      <c r="AC690" s="217" t="e">
        <v>#N/A</v>
      </c>
      <c r="AD690" s="217">
        <v>90783</v>
      </c>
      <c r="AE690" s="217" t="s">
        <v>4810</v>
      </c>
      <c r="AF690" s="217" t="s">
        <v>4784</v>
      </c>
      <c r="AG690" s="217" t="s">
        <v>3719</v>
      </c>
      <c r="AH690" s="220" t="str">
        <f t="shared" si="44"/>
        <v>4590007642_002</v>
      </c>
      <c r="AI690" s="208"/>
      <c r="AJ690" s="220"/>
      <c r="AK690" s="221"/>
      <c r="AL690" s="227"/>
      <c r="AM690" s="208"/>
      <c r="AN690" s="220"/>
      <c r="AO690" s="222"/>
      <c r="AP690" s="227"/>
      <c r="AQ690" s="358">
        <f ca="1">IF(表格1[[#This Row],[PO$]]="","100%",表格1[[#This Row],[total amount]]/表格1[[#This Row],[PO$]])</f>
        <v>0</v>
      </c>
      <c r="AR690" s="223">
        <f ca="1">表格1[[#This Row],[invoice amount]]+表格1[[#This Row],[invoice amount2]]</f>
        <v>0</v>
      </c>
      <c r="AS690" s="224"/>
      <c r="AT690" s="208"/>
      <c r="AU690" s="208" t="e">
        <f ca="1">VLOOKUP(表格1[[#This Row],[PO+ITEM]],#REF!,2,FALSE)</f>
        <v>#REF!</v>
      </c>
      <c r="AV690" s="341" t="e">
        <f ca="1">VLOOKUP(表格1[[#This Row],[PO+ITEM]],#REF!,3,FALSE)</f>
        <v>#REF!</v>
      </c>
      <c r="AW690" s="208" t="e">
        <f ca="1">VLOOKUP(表格1[[#This Row],[PO+ITEM]],#REF!,4,FALSE)</f>
        <v>#REF!</v>
      </c>
      <c r="AX690" s="208" t="e" cm="1" vm="1">
        <f t="array" aca="1" ref="AX690" ca="1">VLOOKUP(AI:AI,#REF!,1,FALSE)</f>
        <v>#VALUE!</v>
      </c>
    </row>
    <row r="691" spans="1:50">
      <c r="A691" s="220">
        <v>690</v>
      </c>
      <c r="B691" s="220" t="s">
        <v>3659</v>
      </c>
      <c r="C691" s="209" t="s">
        <v>17</v>
      </c>
      <c r="D691" s="209" t="s">
        <v>3648</v>
      </c>
      <c r="E691" s="209"/>
      <c r="F691" s="209"/>
      <c r="G691" s="209"/>
      <c r="H691" s="210" t="s">
        <v>5326</v>
      </c>
      <c r="I691" s="210"/>
      <c r="J691" s="211"/>
      <c r="K691" s="210"/>
      <c r="L691" s="212" t="s">
        <v>2999</v>
      </c>
      <c r="M691" s="212" t="s">
        <v>2999</v>
      </c>
      <c r="N691" s="213"/>
      <c r="O691" s="263">
        <v>4590007642</v>
      </c>
      <c r="P691" s="214">
        <v>44855</v>
      </c>
      <c r="Q691" s="334">
        <v>3</v>
      </c>
      <c r="R691" s="216">
        <v>42070</v>
      </c>
      <c r="S691" s="217" t="s">
        <v>2156</v>
      </c>
      <c r="T691" s="209" t="s">
        <v>3713</v>
      </c>
      <c r="U691" s="209" t="s">
        <v>3714</v>
      </c>
      <c r="V691" s="213" t="s">
        <v>3715</v>
      </c>
      <c r="W691" s="218" t="s">
        <v>3652</v>
      </c>
      <c r="X691" s="218" t="s">
        <v>3652</v>
      </c>
      <c r="Y691" s="212" t="s">
        <v>3767</v>
      </c>
      <c r="Z691" s="209" t="s">
        <v>3768</v>
      </c>
      <c r="AA691" s="215"/>
      <c r="AB691" s="218"/>
      <c r="AC691" s="217" t="e">
        <v>#N/A</v>
      </c>
      <c r="AD691" s="217">
        <v>91413</v>
      </c>
      <c r="AE691" s="217" t="s">
        <v>5195</v>
      </c>
      <c r="AF691" s="217" t="s">
        <v>4784</v>
      </c>
      <c r="AG691" s="217" t="s">
        <v>3719</v>
      </c>
      <c r="AH691" s="220" t="str">
        <f t="shared" si="44"/>
        <v>4590007642_003</v>
      </c>
      <c r="AI691" s="208"/>
      <c r="AJ691" s="220"/>
      <c r="AK691" s="221"/>
      <c r="AL691" s="227"/>
      <c r="AM691" s="208"/>
      <c r="AN691" s="220"/>
      <c r="AO691" s="222"/>
      <c r="AP691" s="227"/>
      <c r="AQ691" s="358">
        <f ca="1">IF(表格1[[#This Row],[PO$]]="","100%",表格1[[#This Row],[total amount]]/表格1[[#This Row],[PO$]])</f>
        <v>0</v>
      </c>
      <c r="AR691" s="223">
        <f ca="1">表格1[[#This Row],[invoice amount]]+表格1[[#This Row],[invoice amount2]]</f>
        <v>0</v>
      </c>
      <c r="AS691" s="224"/>
      <c r="AT691" s="208"/>
      <c r="AU691" s="208" t="e">
        <f ca="1">VLOOKUP(表格1[[#This Row],[PO+ITEM]],#REF!,2,FALSE)</f>
        <v>#REF!</v>
      </c>
      <c r="AV691" s="341" t="e">
        <f ca="1">VLOOKUP(表格1[[#This Row],[PO+ITEM]],#REF!,3,FALSE)</f>
        <v>#REF!</v>
      </c>
      <c r="AW691" s="208" t="e">
        <f ca="1">VLOOKUP(表格1[[#This Row],[PO+ITEM]],#REF!,4,FALSE)</f>
        <v>#REF!</v>
      </c>
      <c r="AX691" s="208" t="e" cm="1" vm="1">
        <f t="array" aca="1" ref="AX691" ca="1">VLOOKUP(AI:AI,#REF!,1,FALSE)</f>
        <v>#VALUE!</v>
      </c>
    </row>
    <row r="692" spans="1:50" ht="15.6">
      <c r="A692" s="220">
        <v>691</v>
      </c>
      <c r="B692" s="220" t="s">
        <v>3674</v>
      </c>
      <c r="C692" s="209" t="s">
        <v>16</v>
      </c>
      <c r="D692" s="209" t="s">
        <v>3648</v>
      </c>
      <c r="E692" s="209"/>
      <c r="F692" s="209"/>
      <c r="G692" s="209"/>
      <c r="H692" s="210" t="s">
        <v>5327</v>
      </c>
      <c r="I692" s="210"/>
      <c r="J692" s="211"/>
      <c r="K692" s="210"/>
      <c r="L692" s="212" t="s">
        <v>4269</v>
      </c>
      <c r="M692" s="212" t="s">
        <v>2999</v>
      </c>
      <c r="N692" s="213"/>
      <c r="O692" s="263">
        <v>4590007708</v>
      </c>
      <c r="P692" s="214">
        <v>44861</v>
      </c>
      <c r="Q692" s="334">
        <v>1</v>
      </c>
      <c r="R692" s="216">
        <v>10274</v>
      </c>
      <c r="S692" s="217" t="s">
        <v>2156</v>
      </c>
      <c r="T692" s="209" t="s">
        <v>3926</v>
      </c>
      <c r="U692" s="209" t="s">
        <v>3927</v>
      </c>
      <c r="V692" s="213" t="s">
        <v>3928</v>
      </c>
      <c r="W692" s="218" t="s">
        <v>3652</v>
      </c>
      <c r="X692" s="218" t="s">
        <v>3652</v>
      </c>
      <c r="Y692" s="212" t="s">
        <v>4270</v>
      </c>
      <c r="Z692" s="209" t="s">
        <v>3664</v>
      </c>
      <c r="AA692" s="215"/>
      <c r="AB692" s="218"/>
      <c r="AC692" s="217" t="e">
        <v>#N/A</v>
      </c>
      <c r="AD692" s="217">
        <v>90043</v>
      </c>
      <c r="AE692" s="217" t="s">
        <v>2813</v>
      </c>
      <c r="AF692" s="217" t="s">
        <v>4109</v>
      </c>
      <c r="AG692" s="217" t="s">
        <v>32</v>
      </c>
      <c r="AH692" s="220" t="str">
        <f t="shared" si="44"/>
        <v>4590007708_001</v>
      </c>
      <c r="AI692" s="208"/>
      <c r="AJ692" s="225">
        <v>45017</v>
      </c>
      <c r="AK692" s="221">
        <v>0</v>
      </c>
      <c r="AL692" s="314" t="s">
        <v>3788</v>
      </c>
      <c r="AM692" s="208" t="s">
        <v>5328</v>
      </c>
      <c r="AN692" s="227">
        <v>45401</v>
      </c>
      <c r="AO692" s="222">
        <v>4317</v>
      </c>
      <c r="AP692" s="227" t="s">
        <v>6691</v>
      </c>
      <c r="AQ692" s="358">
        <f ca="1">IF(表格1[[#This Row],[PO$]]="","100%",表格1[[#This Row],[total amount]]/表格1[[#This Row],[PO$]])</f>
        <v>0.42018687950165468</v>
      </c>
      <c r="AR692" s="223">
        <f ca="1">表格1[[#This Row],[invoice amount]]+表格1[[#This Row],[invoice amount2]]</f>
        <v>4317</v>
      </c>
      <c r="AS692" s="224" t="s">
        <v>3752</v>
      </c>
      <c r="AT692" s="208" t="s">
        <v>6725</v>
      </c>
      <c r="AU692" s="208" t="e">
        <f ca="1">VLOOKUP(表格1[[#This Row],[PO+ITEM]],#REF!,2,FALSE)</f>
        <v>#REF!</v>
      </c>
      <c r="AV692" s="341" t="e">
        <f ca="1">VLOOKUP(表格1[[#This Row],[PO+ITEM]],#REF!,3,FALSE)</f>
        <v>#REF!</v>
      </c>
      <c r="AW692" s="208" t="e">
        <f ca="1">VLOOKUP(表格1[[#This Row],[PO+ITEM]],#REF!,4,FALSE)</f>
        <v>#REF!</v>
      </c>
      <c r="AX692" s="208" t="e" cm="1" vm="1">
        <f t="array" aca="1" ref="AX692" ca="1">VLOOKUP(AI:AI,#REF!,1,FALSE)</f>
        <v>#VALUE!</v>
      </c>
    </row>
    <row r="693" spans="1:50" ht="15.6">
      <c r="A693" s="220">
        <v>692</v>
      </c>
      <c r="B693" s="220" t="s">
        <v>3674</v>
      </c>
      <c r="C693" s="209" t="s">
        <v>16</v>
      </c>
      <c r="D693" s="209" t="s">
        <v>3648</v>
      </c>
      <c r="E693" s="209"/>
      <c r="F693" s="209"/>
      <c r="G693" s="209"/>
      <c r="H693" s="210" t="s">
        <v>5330</v>
      </c>
      <c r="I693" s="210"/>
      <c r="J693" s="211"/>
      <c r="K693" s="210"/>
      <c r="L693" s="212" t="s">
        <v>4269</v>
      </c>
      <c r="M693" s="212" t="s">
        <v>2999</v>
      </c>
      <c r="N693" s="213"/>
      <c r="O693" s="263">
        <v>4590007708</v>
      </c>
      <c r="P693" s="214">
        <v>44861</v>
      </c>
      <c r="Q693" s="334">
        <v>2</v>
      </c>
      <c r="R693" s="216">
        <v>10274</v>
      </c>
      <c r="S693" s="217" t="s">
        <v>2156</v>
      </c>
      <c r="T693" s="209" t="s">
        <v>3926</v>
      </c>
      <c r="U693" s="209" t="s">
        <v>3927</v>
      </c>
      <c r="V693" s="213" t="s">
        <v>3928</v>
      </c>
      <c r="W693" s="218" t="s">
        <v>3652</v>
      </c>
      <c r="X693" s="218" t="s">
        <v>3652</v>
      </c>
      <c r="Y693" s="212" t="s">
        <v>4270</v>
      </c>
      <c r="Z693" s="209" t="s">
        <v>3664</v>
      </c>
      <c r="AA693" s="215"/>
      <c r="AB693" s="218"/>
      <c r="AC693" s="217" t="e">
        <v>#N/A</v>
      </c>
      <c r="AD693" s="217">
        <v>90044</v>
      </c>
      <c r="AE693" s="217" t="s">
        <v>2846</v>
      </c>
      <c r="AF693" s="217" t="s">
        <v>4109</v>
      </c>
      <c r="AG693" s="217" t="s">
        <v>32</v>
      </c>
      <c r="AH693" s="220" t="str">
        <f t="shared" si="44"/>
        <v>4590007708_002</v>
      </c>
      <c r="AI693" s="208" t="s">
        <v>5331</v>
      </c>
      <c r="AJ693" s="225">
        <v>45017</v>
      </c>
      <c r="AK693" s="221">
        <v>0</v>
      </c>
      <c r="AL693" s="314" t="s">
        <v>3788</v>
      </c>
      <c r="AM693" s="208"/>
      <c r="AN693" s="220"/>
      <c r="AO693" s="222"/>
      <c r="AP693" s="227"/>
      <c r="AQ693" s="358">
        <f ca="1">IF(表格1[[#This Row],[PO$]]="","100%",表格1[[#This Row],[total amount]]/表格1[[#This Row],[PO$]])</f>
        <v>0</v>
      </c>
      <c r="AR693" s="223">
        <f ca="1">表格1[[#This Row],[invoice amount]]+表格1[[#This Row],[invoice amount2]]</f>
        <v>0</v>
      </c>
      <c r="AS693" s="224" t="s">
        <v>3789</v>
      </c>
      <c r="AT693" s="208" t="s">
        <v>5333</v>
      </c>
      <c r="AU693" s="208" t="e">
        <f ca="1">VLOOKUP(表格1[[#This Row],[PO+ITEM]],#REF!,2,FALSE)</f>
        <v>#REF!</v>
      </c>
      <c r="AV693" s="341" t="e">
        <f ca="1">VLOOKUP(表格1[[#This Row],[PO+ITEM]],#REF!,3,FALSE)</f>
        <v>#REF!</v>
      </c>
      <c r="AW693" s="208" t="e">
        <f ca="1">VLOOKUP(表格1[[#This Row],[PO+ITEM]],#REF!,4,FALSE)</f>
        <v>#REF!</v>
      </c>
      <c r="AX693" s="208" t="e" cm="1" vm="1">
        <f t="array" aca="1" ref="AX693" ca="1">VLOOKUP(AI:AI,#REF!,1,FALSE)</f>
        <v>#VALUE!</v>
      </c>
    </row>
    <row r="694" spans="1:50" ht="15.6">
      <c r="A694" s="220">
        <v>693</v>
      </c>
      <c r="B694" s="220" t="s">
        <v>3674</v>
      </c>
      <c r="C694" s="209" t="s">
        <v>16</v>
      </c>
      <c r="D694" s="209" t="s">
        <v>3648</v>
      </c>
      <c r="E694" s="209"/>
      <c r="F694" s="209"/>
      <c r="G694" s="209"/>
      <c r="H694" s="210" t="s">
        <v>5334</v>
      </c>
      <c r="I694" s="210"/>
      <c r="J694" s="211"/>
      <c r="K694" s="210"/>
      <c r="L694" s="212" t="s">
        <v>4269</v>
      </c>
      <c r="M694" s="212" t="s">
        <v>2999</v>
      </c>
      <c r="N694" s="213"/>
      <c r="O694" s="263">
        <v>4590007708</v>
      </c>
      <c r="P694" s="214">
        <v>44861</v>
      </c>
      <c r="Q694" s="334">
        <v>3</v>
      </c>
      <c r="R694" s="216">
        <v>10274</v>
      </c>
      <c r="S694" s="217" t="s">
        <v>2156</v>
      </c>
      <c r="T694" s="209" t="s">
        <v>3926</v>
      </c>
      <c r="U694" s="209" t="s">
        <v>3927</v>
      </c>
      <c r="V694" s="213" t="s">
        <v>3928</v>
      </c>
      <c r="W694" s="218" t="s">
        <v>3652</v>
      </c>
      <c r="X694" s="218" t="s">
        <v>3652</v>
      </c>
      <c r="Y694" s="212" t="s">
        <v>4270</v>
      </c>
      <c r="Z694" s="209" t="s">
        <v>3664</v>
      </c>
      <c r="AA694" s="215"/>
      <c r="AB694" s="218"/>
      <c r="AC694" s="217" t="e">
        <v>#N/A</v>
      </c>
      <c r="AD694" s="217">
        <v>90045</v>
      </c>
      <c r="AE694" s="217" t="s">
        <v>2842</v>
      </c>
      <c r="AF694" s="217" t="s">
        <v>4109</v>
      </c>
      <c r="AG694" s="217" t="s">
        <v>32</v>
      </c>
      <c r="AH694" s="220" t="str">
        <f t="shared" si="44"/>
        <v>4590007708_003</v>
      </c>
      <c r="AI694" s="208"/>
      <c r="AJ694" s="225">
        <v>45017</v>
      </c>
      <c r="AK694" s="221">
        <v>0</v>
      </c>
      <c r="AL694" s="314" t="s">
        <v>3788</v>
      </c>
      <c r="AM694" s="208" t="s">
        <v>5335</v>
      </c>
      <c r="AN694" s="227">
        <v>45401</v>
      </c>
      <c r="AO694" s="222">
        <v>4317</v>
      </c>
      <c r="AP694" s="227" t="s">
        <v>6691</v>
      </c>
      <c r="AQ694" s="358">
        <f ca="1">IF(表格1[[#This Row],[PO$]]="","100%",表格1[[#This Row],[total amount]]/表格1[[#This Row],[PO$]])</f>
        <v>0.42018687950165468</v>
      </c>
      <c r="AR694" s="223">
        <f ca="1">表格1[[#This Row],[invoice amount]]+表格1[[#This Row],[invoice amount2]]</f>
        <v>4317</v>
      </c>
      <c r="AS694" s="224" t="s">
        <v>3752</v>
      </c>
      <c r="AT694" s="208" t="s">
        <v>6725</v>
      </c>
      <c r="AU694" s="208" t="e">
        <f ca="1">VLOOKUP(表格1[[#This Row],[PO+ITEM]],#REF!,2,FALSE)</f>
        <v>#REF!</v>
      </c>
      <c r="AV694" s="341" t="e">
        <f ca="1">VLOOKUP(表格1[[#This Row],[PO+ITEM]],#REF!,3,FALSE)</f>
        <v>#REF!</v>
      </c>
      <c r="AW694" s="208" t="e">
        <f ca="1">VLOOKUP(表格1[[#This Row],[PO+ITEM]],#REF!,4,FALSE)</f>
        <v>#REF!</v>
      </c>
      <c r="AX694" s="208" t="e" cm="1" vm="1">
        <f t="array" aca="1" ref="AX694" ca="1">VLOOKUP(AI:AI,#REF!,1,FALSE)</f>
        <v>#VALUE!</v>
      </c>
    </row>
    <row r="695" spans="1:50" ht="15.6">
      <c r="A695" s="220">
        <v>694</v>
      </c>
      <c r="B695" s="220" t="s">
        <v>3674</v>
      </c>
      <c r="C695" s="209" t="s">
        <v>16</v>
      </c>
      <c r="D695" s="209" t="s">
        <v>3648</v>
      </c>
      <c r="E695" s="209"/>
      <c r="F695" s="209"/>
      <c r="G695" s="209"/>
      <c r="H695" s="210" t="s">
        <v>5336</v>
      </c>
      <c r="I695" s="210"/>
      <c r="J695" s="211"/>
      <c r="K695" s="210"/>
      <c r="L695" s="212" t="s">
        <v>4269</v>
      </c>
      <c r="M695" s="212" t="s">
        <v>2999</v>
      </c>
      <c r="N695" s="213"/>
      <c r="O695" s="263">
        <v>4590007708</v>
      </c>
      <c r="P695" s="214">
        <v>44861</v>
      </c>
      <c r="Q695" s="334">
        <v>4</v>
      </c>
      <c r="R695" s="216">
        <v>10274</v>
      </c>
      <c r="S695" s="217" t="s">
        <v>2156</v>
      </c>
      <c r="T695" s="209" t="s">
        <v>3926</v>
      </c>
      <c r="U695" s="209" t="s">
        <v>3927</v>
      </c>
      <c r="V695" s="213" t="s">
        <v>3928</v>
      </c>
      <c r="W695" s="218" t="s">
        <v>3652</v>
      </c>
      <c r="X695" s="218" t="s">
        <v>3652</v>
      </c>
      <c r="Y695" s="212" t="s">
        <v>4270</v>
      </c>
      <c r="Z695" s="209" t="s">
        <v>3664</v>
      </c>
      <c r="AA695" s="215"/>
      <c r="AB695" s="218"/>
      <c r="AC695" s="217" t="e">
        <v>#N/A</v>
      </c>
      <c r="AD695" s="217">
        <v>90046</v>
      </c>
      <c r="AE695" s="217" t="s">
        <v>2811</v>
      </c>
      <c r="AF695" s="217" t="s">
        <v>4109</v>
      </c>
      <c r="AG695" s="217" t="s">
        <v>32</v>
      </c>
      <c r="AH695" s="220" t="str">
        <f t="shared" si="44"/>
        <v>4590007708_004</v>
      </c>
      <c r="AI695" s="208" t="s">
        <v>5337</v>
      </c>
      <c r="AJ695" s="225">
        <v>45017</v>
      </c>
      <c r="AK695" s="221">
        <v>0</v>
      </c>
      <c r="AL695" s="314" t="s">
        <v>3788</v>
      </c>
      <c r="AM695" s="208"/>
      <c r="AN695" s="220"/>
      <c r="AO695" s="222"/>
      <c r="AP695" s="227"/>
      <c r="AQ695" s="358">
        <f ca="1">IF(表格1[[#This Row],[PO$]]="","100%",表格1[[#This Row],[total amount]]/表格1[[#This Row],[PO$]])</f>
        <v>0</v>
      </c>
      <c r="AR695" s="223">
        <f ca="1">表格1[[#This Row],[invoice amount]]+表格1[[#This Row],[invoice amount2]]</f>
        <v>0</v>
      </c>
      <c r="AS695" s="224" t="s">
        <v>3789</v>
      </c>
      <c r="AT695" s="208" t="s">
        <v>5333</v>
      </c>
      <c r="AU695" s="208" t="e">
        <f ca="1">VLOOKUP(表格1[[#This Row],[PO+ITEM]],#REF!,2,FALSE)</f>
        <v>#REF!</v>
      </c>
      <c r="AV695" s="341" t="e">
        <f ca="1">VLOOKUP(表格1[[#This Row],[PO+ITEM]],#REF!,3,FALSE)</f>
        <v>#REF!</v>
      </c>
      <c r="AW695" s="208" t="e">
        <f ca="1">VLOOKUP(表格1[[#This Row],[PO+ITEM]],#REF!,4,FALSE)</f>
        <v>#REF!</v>
      </c>
      <c r="AX695" s="208" t="e" cm="1" vm="1">
        <f t="array" aca="1" ref="AX695" ca="1">VLOOKUP(AI:AI,#REF!,1,FALSE)</f>
        <v>#VALUE!</v>
      </c>
    </row>
    <row r="696" spans="1:50" ht="15.6">
      <c r="A696" s="220">
        <v>695</v>
      </c>
      <c r="B696" s="220" t="s">
        <v>3659</v>
      </c>
      <c r="C696" s="209" t="s">
        <v>16</v>
      </c>
      <c r="D696" s="209" t="s">
        <v>3648</v>
      </c>
      <c r="E696" s="209"/>
      <c r="F696" s="209"/>
      <c r="G696" s="209"/>
      <c r="H696" s="210" t="s">
        <v>5338</v>
      </c>
      <c r="I696" s="210"/>
      <c r="J696" s="211"/>
      <c r="K696" s="210"/>
      <c r="L696" s="212" t="s">
        <v>4269</v>
      </c>
      <c r="M696" s="212" t="s">
        <v>2999</v>
      </c>
      <c r="N696" s="213"/>
      <c r="O696" s="263">
        <v>4590007708</v>
      </c>
      <c r="P696" s="214">
        <v>44861</v>
      </c>
      <c r="Q696" s="334">
        <v>5</v>
      </c>
      <c r="R696" s="216">
        <v>10274</v>
      </c>
      <c r="S696" s="217" t="s">
        <v>2156</v>
      </c>
      <c r="T696" s="209" t="s">
        <v>3926</v>
      </c>
      <c r="U696" s="209" t="s">
        <v>3927</v>
      </c>
      <c r="V696" s="213" t="s">
        <v>3928</v>
      </c>
      <c r="W696" s="218" t="s">
        <v>3652</v>
      </c>
      <c r="X696" s="218" t="s">
        <v>3652</v>
      </c>
      <c r="Y696" s="212" t="s">
        <v>4270</v>
      </c>
      <c r="Z696" s="209" t="s">
        <v>3664</v>
      </c>
      <c r="AA696" s="215"/>
      <c r="AB696" s="218"/>
      <c r="AC696" s="217" t="e">
        <v>#N/A</v>
      </c>
      <c r="AD696" s="217">
        <v>91250</v>
      </c>
      <c r="AE696" s="217" t="s">
        <v>2850</v>
      </c>
      <c r="AF696" s="217" t="s">
        <v>4109</v>
      </c>
      <c r="AG696" s="217" t="s">
        <v>32</v>
      </c>
      <c r="AH696" s="220" t="str">
        <f t="shared" si="44"/>
        <v>4590007708_005</v>
      </c>
      <c r="AI696" s="208"/>
      <c r="AJ696" s="225">
        <v>45017</v>
      </c>
      <c r="AK696" s="221">
        <v>0</v>
      </c>
      <c r="AL696" s="314" t="s">
        <v>3788</v>
      </c>
      <c r="AM696" s="208"/>
      <c r="AN696" s="220"/>
      <c r="AO696" s="222"/>
      <c r="AP696" s="227"/>
      <c r="AQ696" s="358">
        <f ca="1">IF(表格1[[#This Row],[PO$]]="","100%",表格1[[#This Row],[total amount]]/表格1[[#This Row],[PO$]])</f>
        <v>0</v>
      </c>
      <c r="AR696" s="223">
        <f ca="1">表格1[[#This Row],[invoice amount]]+表格1[[#This Row],[invoice amount2]]</f>
        <v>0</v>
      </c>
      <c r="AS696" s="224" t="s">
        <v>3789</v>
      </c>
      <c r="AT696" s="208" t="s">
        <v>4870</v>
      </c>
      <c r="AU696" s="208" t="e">
        <f ca="1">VLOOKUP(表格1[[#This Row],[PO+ITEM]],#REF!,2,FALSE)</f>
        <v>#REF!</v>
      </c>
      <c r="AV696" s="341" t="e">
        <f ca="1">VLOOKUP(表格1[[#This Row],[PO+ITEM]],#REF!,3,FALSE)</f>
        <v>#REF!</v>
      </c>
      <c r="AW696" s="208" t="e">
        <f ca="1">VLOOKUP(表格1[[#This Row],[PO+ITEM]],#REF!,4,FALSE)</f>
        <v>#REF!</v>
      </c>
      <c r="AX696" s="208" t="e" cm="1" vm="1">
        <f t="array" aca="1" ref="AX696" ca="1">VLOOKUP(AI:AI,#REF!,1,FALSE)</f>
        <v>#VALUE!</v>
      </c>
    </row>
    <row r="697" spans="1:50" s="230" customFormat="1" ht="15.6">
      <c r="A697" s="239">
        <v>696</v>
      </c>
      <c r="B697" s="220" t="e">
        <v>#N/A</v>
      </c>
      <c r="C697" s="231" t="s">
        <v>16</v>
      </c>
      <c r="D697" s="231" t="s">
        <v>3648</v>
      </c>
      <c r="E697" s="231"/>
      <c r="F697" s="231"/>
      <c r="G697" s="231"/>
      <c r="H697" s="270" t="s">
        <v>5339</v>
      </c>
      <c r="I697" s="270"/>
      <c r="J697" s="271"/>
      <c r="K697" s="270"/>
      <c r="L697" s="234" t="s">
        <v>4269</v>
      </c>
      <c r="M697" s="234" t="s">
        <v>2999</v>
      </c>
      <c r="N697" s="235"/>
      <c r="O697" s="268">
        <v>4590007708</v>
      </c>
      <c r="P697" s="236">
        <v>44861</v>
      </c>
      <c r="Q697" s="336">
        <v>6</v>
      </c>
      <c r="R697" s="237"/>
      <c r="S697" s="232" t="s">
        <v>2156</v>
      </c>
      <c r="T697" s="231" t="s">
        <v>3926</v>
      </c>
      <c r="U697" s="231" t="s">
        <v>3927</v>
      </c>
      <c r="V697" s="235" t="s">
        <v>3928</v>
      </c>
      <c r="W697" s="238" t="s">
        <v>3652</v>
      </c>
      <c r="X697" s="238" t="s">
        <v>3652</v>
      </c>
      <c r="Y697" s="234" t="s">
        <v>4270</v>
      </c>
      <c r="Z697" s="231" t="s">
        <v>3664</v>
      </c>
      <c r="AA697" s="233"/>
      <c r="AB697" s="238"/>
      <c r="AC697" s="232" t="e">
        <v>#N/A</v>
      </c>
      <c r="AD697" s="232">
        <v>91408</v>
      </c>
      <c r="AE697" s="232" t="s">
        <v>2852</v>
      </c>
      <c r="AF697" s="232" t="s">
        <v>4109</v>
      </c>
      <c r="AG697" s="232" t="s">
        <v>32</v>
      </c>
      <c r="AH697" s="239" t="str">
        <f t="shared" si="44"/>
        <v>4590007708_006</v>
      </c>
      <c r="AJ697" s="285">
        <v>45017</v>
      </c>
      <c r="AK697" s="240">
        <v>0</v>
      </c>
      <c r="AL697" s="315" t="s">
        <v>3788</v>
      </c>
      <c r="AN697" s="239"/>
      <c r="AO697" s="241"/>
      <c r="AP697" s="302"/>
      <c r="AQ697" s="358" t="str">
        <f ca="1">IF(表格1[[#This Row],[PO$]]="","100%",表格1[[#This Row],[total amount]]/表格1[[#This Row],[PO$]])</f>
        <v>100%</v>
      </c>
      <c r="AR697" s="242"/>
      <c r="AS697" s="243"/>
      <c r="AT697" s="230" t="s">
        <v>5340</v>
      </c>
      <c r="AU697" s="208" t="e">
        <f ca="1">VLOOKUP(表格1[[#This Row],[PO+ITEM]],#REF!,2,FALSE)</f>
        <v>#REF!</v>
      </c>
      <c r="AV697" s="341" t="e">
        <f ca="1">VLOOKUP(表格1[[#This Row],[PO+ITEM]],#REF!,3,FALSE)</f>
        <v>#REF!</v>
      </c>
      <c r="AW697" s="208" t="e">
        <f ca="1">VLOOKUP(表格1[[#This Row],[PO+ITEM]],#REF!,4,FALSE)</f>
        <v>#REF!</v>
      </c>
      <c r="AX697" s="208" t="e" cm="1" vm="1">
        <f t="array" aca="1" ref="AX697" ca="1">VLOOKUP(AI:AI,#REF!,1,FALSE)</f>
        <v>#VALUE!</v>
      </c>
    </row>
    <row r="698" spans="1:50" ht="15.6">
      <c r="A698" s="220">
        <v>697</v>
      </c>
      <c r="B698" s="220" t="s">
        <v>3659</v>
      </c>
      <c r="C698" s="209" t="s">
        <v>16</v>
      </c>
      <c r="D698" s="209" t="s">
        <v>3648</v>
      </c>
      <c r="E698" s="209"/>
      <c r="F698" s="209"/>
      <c r="G698" s="209"/>
      <c r="H698" s="210" t="s">
        <v>5341</v>
      </c>
      <c r="I698" s="210"/>
      <c r="J698" s="211"/>
      <c r="K698" s="210"/>
      <c r="L698" s="212" t="s">
        <v>4269</v>
      </c>
      <c r="M698" s="212" t="s">
        <v>2999</v>
      </c>
      <c r="N698" s="213"/>
      <c r="O698" s="263">
        <v>4590007708</v>
      </c>
      <c r="P698" s="214">
        <v>44861</v>
      </c>
      <c r="Q698" s="334">
        <v>7</v>
      </c>
      <c r="R698" s="216">
        <v>10274</v>
      </c>
      <c r="S698" s="217" t="s">
        <v>2156</v>
      </c>
      <c r="T698" s="209" t="s">
        <v>3926</v>
      </c>
      <c r="U698" s="209" t="s">
        <v>3927</v>
      </c>
      <c r="V698" s="213" t="s">
        <v>3928</v>
      </c>
      <c r="W698" s="218" t="s">
        <v>3652</v>
      </c>
      <c r="X698" s="218" t="s">
        <v>3652</v>
      </c>
      <c r="Y698" s="212" t="s">
        <v>4270</v>
      </c>
      <c r="Z698" s="209" t="s">
        <v>3664</v>
      </c>
      <c r="AA698" s="215"/>
      <c r="AB698" s="218"/>
      <c r="AC698" s="217" t="e">
        <v>#N/A</v>
      </c>
      <c r="AD698" s="217">
        <v>91251</v>
      </c>
      <c r="AE698" s="217" t="s">
        <v>2856</v>
      </c>
      <c r="AF698" s="217" t="s">
        <v>4109</v>
      </c>
      <c r="AG698" s="217" t="s">
        <v>32</v>
      </c>
      <c r="AH698" s="220" t="str">
        <f t="shared" ref="AH698:AH723" si="45">O698&amp;"_00"&amp;Q698</f>
        <v>4590007708_007</v>
      </c>
      <c r="AI698" s="208"/>
      <c r="AJ698" s="225">
        <v>45017</v>
      </c>
      <c r="AK698" s="221">
        <v>0</v>
      </c>
      <c r="AL698" s="314" t="s">
        <v>3788</v>
      </c>
      <c r="AM698" s="208"/>
      <c r="AN698" s="220"/>
      <c r="AO698" s="222"/>
      <c r="AP698" s="227"/>
      <c r="AQ698" s="358">
        <f ca="1">IF(表格1[[#This Row],[PO$]]="","100%",表格1[[#This Row],[total amount]]/表格1[[#This Row],[PO$]])</f>
        <v>0</v>
      </c>
      <c r="AR698" s="223">
        <f ca="1">表格1[[#This Row],[invoice amount]]+表格1[[#This Row],[invoice amount2]]</f>
        <v>0</v>
      </c>
      <c r="AS698" s="224" t="s">
        <v>3789</v>
      </c>
      <c r="AT698" s="208" t="s">
        <v>4875</v>
      </c>
      <c r="AU698" s="208" t="e">
        <f ca="1">VLOOKUP(表格1[[#This Row],[PO+ITEM]],#REF!,2,FALSE)</f>
        <v>#REF!</v>
      </c>
      <c r="AV698" s="341" t="e">
        <f ca="1">VLOOKUP(表格1[[#This Row],[PO+ITEM]],#REF!,3,FALSE)</f>
        <v>#REF!</v>
      </c>
      <c r="AW698" s="208" t="e">
        <f ca="1">VLOOKUP(表格1[[#This Row],[PO+ITEM]],#REF!,4,FALSE)</f>
        <v>#REF!</v>
      </c>
      <c r="AX698" s="208" t="e" cm="1" vm="1">
        <f t="array" aca="1" ref="AX698" ca="1">VLOOKUP(AI:AI,#REF!,1,FALSE)</f>
        <v>#VALUE!</v>
      </c>
    </row>
    <row r="699" spans="1:50" ht="15.6">
      <c r="A699" s="220">
        <v>698</v>
      </c>
      <c r="B699" s="220" t="s">
        <v>3659</v>
      </c>
      <c r="C699" s="209" t="s">
        <v>16</v>
      </c>
      <c r="D699" s="209" t="s">
        <v>3648</v>
      </c>
      <c r="E699" s="209"/>
      <c r="F699" s="209"/>
      <c r="G699" s="209"/>
      <c r="H699" s="210" t="s">
        <v>5342</v>
      </c>
      <c r="I699" s="210"/>
      <c r="J699" s="211"/>
      <c r="K699" s="210"/>
      <c r="L699" s="212" t="s">
        <v>4269</v>
      </c>
      <c r="M699" s="212" t="s">
        <v>2999</v>
      </c>
      <c r="N699" s="213"/>
      <c r="O699" s="263">
        <v>4590007708</v>
      </c>
      <c r="P699" s="214">
        <v>44861</v>
      </c>
      <c r="Q699" s="334">
        <v>8</v>
      </c>
      <c r="R699" s="216">
        <v>10274</v>
      </c>
      <c r="S699" s="217" t="s">
        <v>2156</v>
      </c>
      <c r="T699" s="209" t="s">
        <v>3926</v>
      </c>
      <c r="U699" s="209" t="s">
        <v>3927</v>
      </c>
      <c r="V699" s="213" t="s">
        <v>3928</v>
      </c>
      <c r="W699" s="218" t="s">
        <v>3652</v>
      </c>
      <c r="X699" s="218" t="s">
        <v>3652</v>
      </c>
      <c r="Y699" s="212" t="s">
        <v>4270</v>
      </c>
      <c r="Z699" s="209" t="s">
        <v>3664</v>
      </c>
      <c r="AA699" s="215"/>
      <c r="AB699" s="218"/>
      <c r="AC699" s="217" t="e">
        <v>#N/A</v>
      </c>
      <c r="AD699" s="217">
        <v>91410</v>
      </c>
      <c r="AE699" s="217" t="s">
        <v>2854</v>
      </c>
      <c r="AF699" s="217" t="s">
        <v>4109</v>
      </c>
      <c r="AG699" s="217" t="s">
        <v>32</v>
      </c>
      <c r="AH699" s="220" t="str">
        <f t="shared" si="45"/>
        <v>4590007708_008</v>
      </c>
      <c r="AI699" s="208"/>
      <c r="AJ699" s="225">
        <v>45017</v>
      </c>
      <c r="AK699" s="221">
        <v>0</v>
      </c>
      <c r="AL699" s="314" t="s">
        <v>3788</v>
      </c>
      <c r="AM699" s="208"/>
      <c r="AN699" s="220"/>
      <c r="AO699" s="222"/>
      <c r="AP699" s="227"/>
      <c r="AQ699" s="358">
        <f ca="1">IF(表格1[[#This Row],[PO$]]="","100%",表格1[[#This Row],[total amount]]/表格1[[#This Row],[PO$]])</f>
        <v>0</v>
      </c>
      <c r="AR699" s="223">
        <f ca="1">表格1[[#This Row],[invoice amount]]+表格1[[#This Row],[invoice amount2]]</f>
        <v>0</v>
      </c>
      <c r="AS699" s="224" t="s">
        <v>3789</v>
      </c>
      <c r="AT699" s="208" t="s">
        <v>5340</v>
      </c>
      <c r="AU699" s="208" t="e">
        <f ca="1">VLOOKUP(表格1[[#This Row],[PO+ITEM]],#REF!,2,FALSE)</f>
        <v>#REF!</v>
      </c>
      <c r="AV699" s="341" t="e">
        <f ca="1">VLOOKUP(表格1[[#This Row],[PO+ITEM]],#REF!,3,FALSE)</f>
        <v>#REF!</v>
      </c>
      <c r="AW699" s="208" t="e">
        <f ca="1">VLOOKUP(表格1[[#This Row],[PO+ITEM]],#REF!,4,FALSE)</f>
        <v>#REF!</v>
      </c>
      <c r="AX699" s="208" t="e" cm="1" vm="1">
        <f t="array" aca="1" ref="AX699" ca="1">VLOOKUP(AI:AI,#REF!,1,FALSE)</f>
        <v>#VALUE!</v>
      </c>
    </row>
    <row r="700" spans="1:50" ht="15.6">
      <c r="A700" s="220">
        <v>699</v>
      </c>
      <c r="B700" s="220" t="s">
        <v>3659</v>
      </c>
      <c r="C700" s="209" t="s">
        <v>16</v>
      </c>
      <c r="D700" s="209" t="s">
        <v>3648</v>
      </c>
      <c r="E700" s="209"/>
      <c r="F700" s="209"/>
      <c r="G700" s="209"/>
      <c r="H700" s="210" t="s">
        <v>5343</v>
      </c>
      <c r="I700" s="210"/>
      <c r="J700" s="211"/>
      <c r="K700" s="210"/>
      <c r="L700" s="212" t="s">
        <v>2206</v>
      </c>
      <c r="M700" s="212" t="s">
        <v>2999</v>
      </c>
      <c r="N700" s="213"/>
      <c r="O700" s="263">
        <v>4590007710</v>
      </c>
      <c r="P700" s="214">
        <v>44861</v>
      </c>
      <c r="Q700" s="334">
        <v>1</v>
      </c>
      <c r="R700" s="216">
        <v>7834.63</v>
      </c>
      <c r="S700" s="217" t="s">
        <v>2156</v>
      </c>
      <c r="T700" s="209" t="s">
        <v>3926</v>
      </c>
      <c r="U700" s="209" t="s">
        <v>3927</v>
      </c>
      <c r="V700" s="213" t="s">
        <v>3928</v>
      </c>
      <c r="W700" s="218" t="s">
        <v>3652</v>
      </c>
      <c r="X700" s="218" t="s">
        <v>3652</v>
      </c>
      <c r="Y700" s="212" t="s">
        <v>4270</v>
      </c>
      <c r="Z700" s="209" t="s">
        <v>3664</v>
      </c>
      <c r="AA700" s="215"/>
      <c r="AB700" s="218"/>
      <c r="AC700" s="217" t="e">
        <v>#N/A</v>
      </c>
      <c r="AD700" s="217">
        <v>91054</v>
      </c>
      <c r="AE700" s="217" t="s">
        <v>5344</v>
      </c>
      <c r="AF700" s="217" t="s">
        <v>3932</v>
      </c>
      <c r="AG700" s="217" t="s">
        <v>846</v>
      </c>
      <c r="AH700" s="220" t="str">
        <f t="shared" si="45"/>
        <v>4590007710_001</v>
      </c>
      <c r="AI700" s="208"/>
      <c r="AJ700" s="225">
        <v>45047</v>
      </c>
      <c r="AK700" s="221">
        <v>3133.8520000000003</v>
      </c>
      <c r="AL700" s="244">
        <v>45245</v>
      </c>
      <c r="AM700" s="208"/>
      <c r="AN700" s="220"/>
      <c r="AO700" s="222"/>
      <c r="AP700" s="227"/>
      <c r="AQ700" s="358">
        <f ca="1">IF(表格1[[#This Row],[PO$]]="","100%",表格1[[#This Row],[total amount]]/表格1[[#This Row],[PO$]])</f>
        <v>0.4</v>
      </c>
      <c r="AR700" s="223">
        <f ca="1">表格1[[#This Row],[invoice amount]]+表格1[[#This Row],[invoice amount2]]</f>
        <v>3133.8520000000003</v>
      </c>
      <c r="AS700" s="224" t="s">
        <v>3673</v>
      </c>
      <c r="AT700" s="208"/>
      <c r="AU700" s="208" t="e">
        <f ca="1">VLOOKUP(表格1[[#This Row],[PO+ITEM]],#REF!,2,FALSE)</f>
        <v>#REF!</v>
      </c>
      <c r="AV700" s="341" t="e">
        <f ca="1">VLOOKUP(表格1[[#This Row],[PO+ITEM]],#REF!,3,FALSE)</f>
        <v>#REF!</v>
      </c>
      <c r="AW700" s="208" t="e">
        <f ca="1">VLOOKUP(表格1[[#This Row],[PO+ITEM]],#REF!,4,FALSE)</f>
        <v>#REF!</v>
      </c>
      <c r="AX700" s="208" t="e" cm="1" vm="1">
        <f t="array" aca="1" ref="AX700" ca="1">VLOOKUP(AI:AI,#REF!,1,FALSE)</f>
        <v>#VALUE!</v>
      </c>
    </row>
    <row r="701" spans="1:50" ht="15.6">
      <c r="A701" s="220">
        <v>700</v>
      </c>
      <c r="B701" s="220" t="s">
        <v>3659</v>
      </c>
      <c r="C701" s="209" t="s">
        <v>16</v>
      </c>
      <c r="D701" s="209" t="s">
        <v>3648</v>
      </c>
      <c r="E701" s="209"/>
      <c r="F701" s="209"/>
      <c r="G701" s="209"/>
      <c r="H701" s="210" t="s">
        <v>5345</v>
      </c>
      <c r="I701" s="210"/>
      <c r="J701" s="211"/>
      <c r="K701" s="210"/>
      <c r="L701" s="212" t="s">
        <v>2206</v>
      </c>
      <c r="M701" s="212" t="s">
        <v>2999</v>
      </c>
      <c r="N701" s="213"/>
      <c r="O701" s="263">
        <v>4590007710</v>
      </c>
      <c r="P701" s="214">
        <v>44861</v>
      </c>
      <c r="Q701" s="334">
        <v>2</v>
      </c>
      <c r="R701" s="216">
        <v>7834.63</v>
      </c>
      <c r="S701" s="217" t="s">
        <v>2156</v>
      </c>
      <c r="T701" s="209" t="s">
        <v>3926</v>
      </c>
      <c r="U701" s="209" t="s">
        <v>3927</v>
      </c>
      <c r="V701" s="213" t="s">
        <v>3928</v>
      </c>
      <c r="W701" s="218" t="s">
        <v>3652</v>
      </c>
      <c r="X701" s="218" t="s">
        <v>3652</v>
      </c>
      <c r="Y701" s="212" t="s">
        <v>4270</v>
      </c>
      <c r="Z701" s="209" t="s">
        <v>3664</v>
      </c>
      <c r="AA701" s="215"/>
      <c r="AB701" s="218"/>
      <c r="AC701" s="217" t="e">
        <v>#N/A</v>
      </c>
      <c r="AD701" s="217">
        <v>91055</v>
      </c>
      <c r="AE701" s="217" t="s">
        <v>5346</v>
      </c>
      <c r="AF701" s="217" t="s">
        <v>3932</v>
      </c>
      <c r="AG701" s="217" t="s">
        <v>846</v>
      </c>
      <c r="AH701" s="220" t="str">
        <f t="shared" si="45"/>
        <v>4590007710_002</v>
      </c>
      <c r="AI701" s="208"/>
      <c r="AJ701" s="225">
        <v>45047</v>
      </c>
      <c r="AK701" s="221">
        <v>3133.8520000000003</v>
      </c>
      <c r="AL701" s="244">
        <v>45245</v>
      </c>
      <c r="AM701" s="208"/>
      <c r="AN701" s="220"/>
      <c r="AO701" s="222"/>
      <c r="AP701" s="227"/>
      <c r="AQ701" s="358">
        <f ca="1">IF(表格1[[#This Row],[PO$]]="","100%",表格1[[#This Row],[total amount]]/表格1[[#This Row],[PO$]])</f>
        <v>0.4</v>
      </c>
      <c r="AR701" s="223">
        <f ca="1">表格1[[#This Row],[invoice amount]]+表格1[[#This Row],[invoice amount2]]</f>
        <v>3133.8520000000003</v>
      </c>
      <c r="AS701" s="224" t="s">
        <v>3673</v>
      </c>
      <c r="AT701" s="208"/>
      <c r="AU701" s="208" t="e">
        <f ca="1">VLOOKUP(表格1[[#This Row],[PO+ITEM]],#REF!,2,FALSE)</f>
        <v>#REF!</v>
      </c>
      <c r="AV701" s="341" t="e">
        <f ca="1">VLOOKUP(表格1[[#This Row],[PO+ITEM]],#REF!,3,FALSE)</f>
        <v>#REF!</v>
      </c>
      <c r="AW701" s="208" t="e">
        <f ca="1">VLOOKUP(表格1[[#This Row],[PO+ITEM]],#REF!,4,FALSE)</f>
        <v>#REF!</v>
      </c>
      <c r="AX701" s="208" t="e" cm="1" vm="1">
        <f t="array" aca="1" ref="AX701" ca="1">VLOOKUP(AI:AI,#REF!,1,FALSE)</f>
        <v>#VALUE!</v>
      </c>
    </row>
    <row r="702" spans="1:50" ht="15.6">
      <c r="A702" s="220">
        <v>701</v>
      </c>
      <c r="B702" s="220" t="s">
        <v>3659</v>
      </c>
      <c r="C702" s="209" t="s">
        <v>16</v>
      </c>
      <c r="D702" s="209" t="s">
        <v>3648</v>
      </c>
      <c r="E702" s="209"/>
      <c r="F702" s="209"/>
      <c r="G702" s="209"/>
      <c r="H702" s="210" t="s">
        <v>5347</v>
      </c>
      <c r="I702" s="210"/>
      <c r="J702" s="211"/>
      <c r="K702" s="210"/>
      <c r="L702" s="212" t="s">
        <v>2206</v>
      </c>
      <c r="M702" s="212" t="s">
        <v>2999</v>
      </c>
      <c r="N702" s="213"/>
      <c r="O702" s="263">
        <v>4590007710</v>
      </c>
      <c r="P702" s="214">
        <v>44861</v>
      </c>
      <c r="Q702" s="334">
        <v>3</v>
      </c>
      <c r="R702" s="216">
        <v>7834.63</v>
      </c>
      <c r="S702" s="217" t="s">
        <v>2156</v>
      </c>
      <c r="T702" s="209" t="s">
        <v>3926</v>
      </c>
      <c r="U702" s="209" t="s">
        <v>3927</v>
      </c>
      <c r="V702" s="213" t="s">
        <v>3928</v>
      </c>
      <c r="W702" s="218" t="s">
        <v>3652</v>
      </c>
      <c r="X702" s="218" t="s">
        <v>3652</v>
      </c>
      <c r="Y702" s="212" t="s">
        <v>4270</v>
      </c>
      <c r="Z702" s="209" t="s">
        <v>3664</v>
      </c>
      <c r="AA702" s="215"/>
      <c r="AB702" s="218"/>
      <c r="AC702" s="217" t="e">
        <v>#N/A</v>
      </c>
      <c r="AD702" s="217">
        <v>91056</v>
      </c>
      <c r="AE702" s="217" t="s">
        <v>5348</v>
      </c>
      <c r="AF702" s="217" t="s">
        <v>3932</v>
      </c>
      <c r="AG702" s="217" t="s">
        <v>846</v>
      </c>
      <c r="AH702" s="220" t="str">
        <f t="shared" si="45"/>
        <v>4590007710_003</v>
      </c>
      <c r="AI702" s="208"/>
      <c r="AJ702" s="225">
        <v>45047</v>
      </c>
      <c r="AK702" s="221">
        <v>3313.85</v>
      </c>
      <c r="AL702" s="244">
        <v>45245</v>
      </c>
      <c r="AM702" s="208"/>
      <c r="AN702" s="220"/>
      <c r="AO702" s="222"/>
      <c r="AP702" s="227"/>
      <c r="AQ702" s="358">
        <f ca="1">IF(表格1[[#This Row],[PO$]]="","100%",表格1[[#This Row],[total amount]]/表格1[[#This Row],[PO$]])</f>
        <v>0.42297466504480746</v>
      </c>
      <c r="AR702" s="223">
        <f ca="1">表格1[[#This Row],[invoice amount]]+表格1[[#This Row],[invoice amount2]]</f>
        <v>3313.85</v>
      </c>
      <c r="AS702" s="224" t="s">
        <v>3673</v>
      </c>
      <c r="AT702" s="208"/>
      <c r="AU702" s="208" t="e">
        <f ca="1">VLOOKUP(表格1[[#This Row],[PO+ITEM]],#REF!,2,FALSE)</f>
        <v>#REF!</v>
      </c>
      <c r="AV702" s="341" t="e">
        <f ca="1">VLOOKUP(表格1[[#This Row],[PO+ITEM]],#REF!,3,FALSE)</f>
        <v>#REF!</v>
      </c>
      <c r="AW702" s="208" t="e">
        <f ca="1">VLOOKUP(表格1[[#This Row],[PO+ITEM]],#REF!,4,FALSE)</f>
        <v>#REF!</v>
      </c>
      <c r="AX702" s="208" t="e" cm="1" vm="1">
        <f t="array" aca="1" ref="AX702" ca="1">VLOOKUP(AI:AI,#REF!,1,FALSE)</f>
        <v>#VALUE!</v>
      </c>
    </row>
    <row r="703" spans="1:50" ht="15.6">
      <c r="A703" s="220">
        <v>702</v>
      </c>
      <c r="B703" s="220" t="s">
        <v>3659</v>
      </c>
      <c r="C703" s="209" t="s">
        <v>16</v>
      </c>
      <c r="D703" s="209" t="s">
        <v>3648</v>
      </c>
      <c r="E703" s="209"/>
      <c r="F703" s="209"/>
      <c r="G703" s="209"/>
      <c r="H703" s="210" t="s">
        <v>5349</v>
      </c>
      <c r="I703" s="210"/>
      <c r="J703" s="211"/>
      <c r="K703" s="210"/>
      <c r="L703" s="212" t="s">
        <v>2206</v>
      </c>
      <c r="M703" s="212" t="s">
        <v>2999</v>
      </c>
      <c r="N703" s="213"/>
      <c r="O703" s="263">
        <v>4590007710</v>
      </c>
      <c r="P703" s="214">
        <v>44861</v>
      </c>
      <c r="Q703" s="334">
        <v>4</v>
      </c>
      <c r="R703" s="216">
        <v>2611.54</v>
      </c>
      <c r="S703" s="217" t="s">
        <v>2156</v>
      </c>
      <c r="T703" s="209" t="s">
        <v>3926</v>
      </c>
      <c r="U703" s="209" t="s">
        <v>3927</v>
      </c>
      <c r="V703" s="213" t="s">
        <v>3928</v>
      </c>
      <c r="W703" s="218" t="s">
        <v>3652</v>
      </c>
      <c r="X703" s="218" t="s">
        <v>3652</v>
      </c>
      <c r="Y703" s="212" t="s">
        <v>4270</v>
      </c>
      <c r="Z703" s="209" t="s">
        <v>3664</v>
      </c>
      <c r="AA703" s="215"/>
      <c r="AB703" s="218"/>
      <c r="AC703" s="217" t="e">
        <v>#N/A</v>
      </c>
      <c r="AD703" s="217">
        <v>91059</v>
      </c>
      <c r="AE703" s="217" t="s">
        <v>5350</v>
      </c>
      <c r="AF703" s="217" t="s">
        <v>3932</v>
      </c>
      <c r="AG703" s="217" t="s">
        <v>846</v>
      </c>
      <c r="AH703" s="220" t="str">
        <f t="shared" si="45"/>
        <v>4590007710_004</v>
      </c>
      <c r="AI703" s="208"/>
      <c r="AJ703" s="225">
        <v>45047</v>
      </c>
      <c r="AK703" s="221">
        <v>1044.616</v>
      </c>
      <c r="AL703" s="244">
        <v>45245</v>
      </c>
      <c r="AM703" s="208"/>
      <c r="AN703" s="220"/>
      <c r="AO703" s="222"/>
      <c r="AP703" s="227"/>
      <c r="AQ703" s="358">
        <f ca="1">IF(表格1[[#This Row],[PO$]]="","100%",表格1[[#This Row],[total amount]]/表格1[[#This Row],[PO$]])</f>
        <v>0.4</v>
      </c>
      <c r="AR703" s="223">
        <f ca="1">表格1[[#This Row],[invoice amount]]+表格1[[#This Row],[invoice amount2]]</f>
        <v>1044.616</v>
      </c>
      <c r="AS703" s="224" t="s">
        <v>3673</v>
      </c>
      <c r="AT703" s="208"/>
      <c r="AU703" s="208" t="e">
        <f ca="1">VLOOKUP(表格1[[#This Row],[PO+ITEM]],#REF!,2,FALSE)</f>
        <v>#REF!</v>
      </c>
      <c r="AV703" s="341" t="e">
        <f ca="1">VLOOKUP(表格1[[#This Row],[PO+ITEM]],#REF!,3,FALSE)</f>
        <v>#REF!</v>
      </c>
      <c r="AW703" s="208" t="e">
        <f ca="1">VLOOKUP(表格1[[#This Row],[PO+ITEM]],#REF!,4,FALSE)</f>
        <v>#REF!</v>
      </c>
      <c r="AX703" s="208" t="e" cm="1" vm="1">
        <f t="array" aca="1" ref="AX703" ca="1">VLOOKUP(AI:AI,#REF!,1,FALSE)</f>
        <v>#VALUE!</v>
      </c>
    </row>
    <row r="704" spans="1:50" ht="15.6">
      <c r="A704" s="220">
        <v>703</v>
      </c>
      <c r="B704" s="220" t="s">
        <v>3674</v>
      </c>
      <c r="C704" s="209" t="s">
        <v>16</v>
      </c>
      <c r="D704" s="209" t="s">
        <v>3648</v>
      </c>
      <c r="E704" s="209"/>
      <c r="F704" s="209"/>
      <c r="G704" s="209"/>
      <c r="H704" s="210" t="s">
        <v>5351</v>
      </c>
      <c r="I704" s="210"/>
      <c r="J704" s="211"/>
      <c r="K704" s="210"/>
      <c r="L704" s="212" t="s">
        <v>2206</v>
      </c>
      <c r="M704" s="212" t="s">
        <v>2999</v>
      </c>
      <c r="N704" s="213"/>
      <c r="O704" s="263">
        <v>4590007710</v>
      </c>
      <c r="P704" s="214">
        <v>44861</v>
      </c>
      <c r="Q704" s="334">
        <v>5</v>
      </c>
      <c r="R704" s="216">
        <v>7834.63</v>
      </c>
      <c r="S704" s="217" t="s">
        <v>2156</v>
      </c>
      <c r="T704" s="209" t="s">
        <v>3926</v>
      </c>
      <c r="U704" s="209" t="s">
        <v>3927</v>
      </c>
      <c r="V704" s="213" t="s">
        <v>3928</v>
      </c>
      <c r="W704" s="218" t="s">
        <v>3652</v>
      </c>
      <c r="X704" s="218" t="s">
        <v>3652</v>
      </c>
      <c r="Y704" s="212" t="s">
        <v>4270</v>
      </c>
      <c r="Z704" s="209" t="s">
        <v>3664</v>
      </c>
      <c r="AA704" s="215"/>
      <c r="AB704" s="218"/>
      <c r="AC704" s="217" t="e">
        <v>#N/A</v>
      </c>
      <c r="AD704" s="217">
        <v>91060</v>
      </c>
      <c r="AE704" s="217" t="s">
        <v>5352</v>
      </c>
      <c r="AF704" s="217" t="s">
        <v>3932</v>
      </c>
      <c r="AG704" s="217" t="s">
        <v>846</v>
      </c>
      <c r="AH704" s="220" t="str">
        <f t="shared" si="45"/>
        <v>4590007710_005</v>
      </c>
      <c r="AI704" s="208"/>
      <c r="AJ704" s="225">
        <v>45108</v>
      </c>
      <c r="AK704" s="221">
        <v>3133.8520000000003</v>
      </c>
      <c r="AL704" s="244">
        <v>45245</v>
      </c>
      <c r="AM704" s="208"/>
      <c r="AN704" s="220"/>
      <c r="AO704" s="222"/>
      <c r="AP704" s="227"/>
      <c r="AQ704" s="358">
        <f ca="1">IF(表格1[[#This Row],[PO$]]="","100%",表格1[[#This Row],[total amount]]/表格1[[#This Row],[PO$]])</f>
        <v>0.4</v>
      </c>
      <c r="AR704" s="223">
        <f ca="1">表格1[[#This Row],[invoice amount]]+表格1[[#This Row],[invoice amount2]]</f>
        <v>3133.8520000000003</v>
      </c>
      <c r="AS704" s="224" t="s">
        <v>3673</v>
      </c>
      <c r="AT704" s="208"/>
      <c r="AU704" s="208" t="e">
        <f ca="1">VLOOKUP(表格1[[#This Row],[PO+ITEM]],#REF!,2,FALSE)</f>
        <v>#REF!</v>
      </c>
      <c r="AV704" s="341" t="e">
        <f ca="1">VLOOKUP(表格1[[#This Row],[PO+ITEM]],#REF!,3,FALSE)</f>
        <v>#REF!</v>
      </c>
      <c r="AW704" s="208" t="e">
        <f ca="1">VLOOKUP(表格1[[#This Row],[PO+ITEM]],#REF!,4,FALSE)</f>
        <v>#REF!</v>
      </c>
      <c r="AX704" s="208" t="e" cm="1" vm="1">
        <f t="array" aca="1" ref="AX704" ca="1">VLOOKUP(AI:AI,#REF!,1,FALSE)</f>
        <v>#VALUE!</v>
      </c>
    </row>
    <row r="705" spans="1:50">
      <c r="A705" s="220">
        <v>704</v>
      </c>
      <c r="B705" s="220" t="s">
        <v>3659</v>
      </c>
      <c r="C705" s="209" t="s">
        <v>16</v>
      </c>
      <c r="D705" s="209" t="s">
        <v>3648</v>
      </c>
      <c r="E705" s="209"/>
      <c r="F705" s="209"/>
      <c r="G705" s="209"/>
      <c r="H705" s="210" t="s">
        <v>5353</v>
      </c>
      <c r="I705" s="210"/>
      <c r="J705" s="211"/>
      <c r="K705" s="210"/>
      <c r="L705" s="212" t="s">
        <v>4269</v>
      </c>
      <c r="M705" s="212" t="s">
        <v>2999</v>
      </c>
      <c r="N705" s="213"/>
      <c r="O705" s="263">
        <v>4590007711</v>
      </c>
      <c r="P705" s="214">
        <v>44861</v>
      </c>
      <c r="Q705" s="334">
        <v>1</v>
      </c>
      <c r="R705" s="216">
        <v>12444.6</v>
      </c>
      <c r="S705" s="217" t="s">
        <v>2156</v>
      </c>
      <c r="T705" s="209" t="s">
        <v>3926</v>
      </c>
      <c r="U705" s="209" t="s">
        <v>3927</v>
      </c>
      <c r="V705" s="213" t="s">
        <v>3928</v>
      </c>
      <c r="W705" s="218" t="s">
        <v>3652</v>
      </c>
      <c r="X705" s="218" t="s">
        <v>3652</v>
      </c>
      <c r="Y705" s="212" t="s">
        <v>4270</v>
      </c>
      <c r="Z705" s="209" t="s">
        <v>3664</v>
      </c>
      <c r="AA705" s="215"/>
      <c r="AB705" s="218"/>
      <c r="AC705" s="217" t="e">
        <v>#N/A</v>
      </c>
      <c r="AD705" s="217">
        <v>91041</v>
      </c>
      <c r="AE705" s="217" t="s">
        <v>2862</v>
      </c>
      <c r="AF705" s="217" t="s">
        <v>4109</v>
      </c>
      <c r="AG705" s="217" t="s">
        <v>32</v>
      </c>
      <c r="AH705" s="220" t="str">
        <f t="shared" si="45"/>
        <v>4590007711_001</v>
      </c>
      <c r="AI705" s="208"/>
      <c r="AJ705" s="220"/>
      <c r="AK705" s="221"/>
      <c r="AL705" s="227"/>
      <c r="AM705" s="208"/>
      <c r="AN705" s="220"/>
      <c r="AO705" s="222"/>
      <c r="AP705" s="227"/>
      <c r="AQ705" s="358">
        <f ca="1">IF(表格1[[#This Row],[PO$]]="","100%",表格1[[#This Row],[total amount]]/表格1[[#This Row],[PO$]])</f>
        <v>0</v>
      </c>
      <c r="AR705" s="223">
        <f ca="1">表格1[[#This Row],[invoice amount]]+表格1[[#This Row],[invoice amount2]]</f>
        <v>0</v>
      </c>
      <c r="AS705" s="224"/>
      <c r="AT705" s="208"/>
      <c r="AU705" s="208" t="e">
        <f ca="1">VLOOKUP(表格1[[#This Row],[PO+ITEM]],#REF!,2,FALSE)</f>
        <v>#REF!</v>
      </c>
      <c r="AV705" s="341" t="e">
        <f ca="1">VLOOKUP(表格1[[#This Row],[PO+ITEM]],#REF!,3,FALSE)</f>
        <v>#REF!</v>
      </c>
      <c r="AW705" s="208" t="e">
        <f ca="1">VLOOKUP(表格1[[#This Row],[PO+ITEM]],#REF!,4,FALSE)</f>
        <v>#REF!</v>
      </c>
      <c r="AX705" s="208" t="e" cm="1" vm="1">
        <f t="array" aca="1" ref="AX705" ca="1">VLOOKUP(AI:AI,#REF!,1,FALSE)</f>
        <v>#VALUE!</v>
      </c>
    </row>
    <row r="706" spans="1:50">
      <c r="A706" s="220">
        <v>705</v>
      </c>
      <c r="B706" s="220" t="s">
        <v>3659</v>
      </c>
      <c r="C706" s="209" t="s">
        <v>16</v>
      </c>
      <c r="D706" s="209" t="s">
        <v>3648</v>
      </c>
      <c r="E706" s="209"/>
      <c r="F706" s="209"/>
      <c r="G706" s="209"/>
      <c r="H706" s="210" t="s">
        <v>5354</v>
      </c>
      <c r="I706" s="210"/>
      <c r="J706" s="211"/>
      <c r="K706" s="210"/>
      <c r="L706" s="212" t="s">
        <v>4269</v>
      </c>
      <c r="M706" s="212" t="s">
        <v>2999</v>
      </c>
      <c r="N706" s="213"/>
      <c r="O706" s="263">
        <v>4590007711</v>
      </c>
      <c r="P706" s="214">
        <v>44861</v>
      </c>
      <c r="Q706" s="334">
        <v>2</v>
      </c>
      <c r="R706" s="216">
        <v>12444.6</v>
      </c>
      <c r="S706" s="217" t="s">
        <v>2156</v>
      </c>
      <c r="T706" s="209" t="s">
        <v>3926</v>
      </c>
      <c r="U706" s="209" t="s">
        <v>3927</v>
      </c>
      <c r="V706" s="213" t="s">
        <v>3928</v>
      </c>
      <c r="W706" s="218" t="s">
        <v>3652</v>
      </c>
      <c r="X706" s="218" t="s">
        <v>3652</v>
      </c>
      <c r="Y706" s="212" t="s">
        <v>4270</v>
      </c>
      <c r="Z706" s="209" t="s">
        <v>3664</v>
      </c>
      <c r="AA706" s="215"/>
      <c r="AB706" s="218"/>
      <c r="AC706" s="217" t="e">
        <v>#N/A</v>
      </c>
      <c r="AD706" s="217">
        <v>91051</v>
      </c>
      <c r="AE706" s="217" t="s">
        <v>2868</v>
      </c>
      <c r="AF706" s="217" t="s">
        <v>4109</v>
      </c>
      <c r="AG706" s="217" t="s">
        <v>32</v>
      </c>
      <c r="AH706" s="220" t="str">
        <f t="shared" si="45"/>
        <v>4590007711_002</v>
      </c>
      <c r="AI706" s="208"/>
      <c r="AJ706" s="220"/>
      <c r="AK706" s="221"/>
      <c r="AL706" s="227"/>
      <c r="AM706" s="208"/>
      <c r="AN706" s="220"/>
      <c r="AO706" s="222"/>
      <c r="AP706" s="227"/>
      <c r="AQ706" s="358">
        <f ca="1">IF(表格1[[#This Row],[PO$]]="","100%",表格1[[#This Row],[total amount]]/表格1[[#This Row],[PO$]])</f>
        <v>0</v>
      </c>
      <c r="AR706" s="223">
        <f ca="1">表格1[[#This Row],[invoice amount]]+表格1[[#This Row],[invoice amount2]]</f>
        <v>0</v>
      </c>
      <c r="AS706" s="224"/>
      <c r="AT706" s="208"/>
      <c r="AU706" s="208" t="e">
        <f ca="1">VLOOKUP(表格1[[#This Row],[PO+ITEM]],#REF!,2,FALSE)</f>
        <v>#REF!</v>
      </c>
      <c r="AV706" s="341" t="e">
        <f ca="1">VLOOKUP(表格1[[#This Row],[PO+ITEM]],#REF!,3,FALSE)</f>
        <v>#REF!</v>
      </c>
      <c r="AW706" s="208" t="e">
        <f ca="1">VLOOKUP(表格1[[#This Row],[PO+ITEM]],#REF!,4,FALSE)</f>
        <v>#REF!</v>
      </c>
      <c r="AX706" s="208" t="e" cm="1" vm="1">
        <f t="array" aca="1" ref="AX706" ca="1">VLOOKUP(AI:AI,#REF!,1,FALSE)</f>
        <v>#VALUE!</v>
      </c>
    </row>
    <row r="707" spans="1:50" ht="15.6">
      <c r="A707" s="220">
        <v>706</v>
      </c>
      <c r="B707" s="220" t="s">
        <v>3659</v>
      </c>
      <c r="C707" s="209" t="s">
        <v>16</v>
      </c>
      <c r="D707" s="209" t="s">
        <v>3648</v>
      </c>
      <c r="E707" s="209"/>
      <c r="F707" s="209"/>
      <c r="G707" s="209"/>
      <c r="H707" s="210" t="s">
        <v>5355</v>
      </c>
      <c r="I707" s="210"/>
      <c r="J707" s="211"/>
      <c r="K707" s="210"/>
      <c r="L707" s="212" t="s">
        <v>4269</v>
      </c>
      <c r="M707" s="212" t="s">
        <v>2999</v>
      </c>
      <c r="N707" s="213"/>
      <c r="O707" s="263">
        <v>4590007711</v>
      </c>
      <c r="P707" s="214">
        <v>44861</v>
      </c>
      <c r="Q707" s="334">
        <v>3</v>
      </c>
      <c r="R707" s="216">
        <v>12089.4</v>
      </c>
      <c r="S707" s="217" t="s">
        <v>2156</v>
      </c>
      <c r="T707" s="209" t="s">
        <v>3926</v>
      </c>
      <c r="U707" s="209" t="s">
        <v>3927</v>
      </c>
      <c r="V707" s="213" t="s">
        <v>3928</v>
      </c>
      <c r="W707" s="218" t="s">
        <v>3652</v>
      </c>
      <c r="X707" s="218" t="s">
        <v>3652</v>
      </c>
      <c r="Y707" s="212" t="s">
        <v>4270</v>
      </c>
      <c r="Z707" s="209" t="s">
        <v>3664</v>
      </c>
      <c r="AA707" s="215"/>
      <c r="AB707" s="218"/>
      <c r="AC707" s="217" t="e">
        <v>#N/A</v>
      </c>
      <c r="AD707" s="217">
        <v>91249</v>
      </c>
      <c r="AE707" s="217" t="s">
        <v>2858</v>
      </c>
      <c r="AF707" s="217" t="s">
        <v>4109</v>
      </c>
      <c r="AG707" s="217" t="s">
        <v>32</v>
      </c>
      <c r="AH707" s="220" t="str">
        <f t="shared" si="45"/>
        <v>4590007711_003</v>
      </c>
      <c r="AI707" s="208"/>
      <c r="AJ707" s="225">
        <v>45017</v>
      </c>
      <c r="AK707" s="221">
        <v>0</v>
      </c>
      <c r="AL707" s="314" t="s">
        <v>3788</v>
      </c>
      <c r="AM707" s="208"/>
      <c r="AN707" s="220"/>
      <c r="AO707" s="222"/>
      <c r="AP707" s="227"/>
      <c r="AQ707" s="358">
        <f ca="1">IF(表格1[[#This Row],[PO$]]="","100%",表格1[[#This Row],[total amount]]/表格1[[#This Row],[PO$]])</f>
        <v>0</v>
      </c>
      <c r="AR707" s="223">
        <f ca="1">表格1[[#This Row],[invoice amount]]+表格1[[#This Row],[invoice amount2]]</f>
        <v>0</v>
      </c>
      <c r="AS707" s="224" t="s">
        <v>3789</v>
      </c>
      <c r="AT707" s="208" t="s">
        <v>4875</v>
      </c>
      <c r="AU707" s="208" t="e">
        <f ca="1">VLOOKUP(表格1[[#This Row],[PO+ITEM]],#REF!,2,FALSE)</f>
        <v>#REF!</v>
      </c>
      <c r="AV707" s="341" t="e">
        <f ca="1">VLOOKUP(表格1[[#This Row],[PO+ITEM]],#REF!,3,FALSE)</f>
        <v>#REF!</v>
      </c>
      <c r="AW707" s="208" t="e">
        <f ca="1">VLOOKUP(表格1[[#This Row],[PO+ITEM]],#REF!,4,FALSE)</f>
        <v>#REF!</v>
      </c>
      <c r="AX707" s="208" t="e" cm="1" vm="1">
        <f t="array" aca="1" ref="AX707" ca="1">VLOOKUP(AI:AI,#REF!,1,FALSE)</f>
        <v>#VALUE!</v>
      </c>
    </row>
    <row r="708" spans="1:50" s="230" customFormat="1">
      <c r="A708" s="220">
        <v>707</v>
      </c>
      <c r="B708" s="220" t="s">
        <v>3659</v>
      </c>
      <c r="C708" s="209" t="s">
        <v>16</v>
      </c>
      <c r="D708" s="209" t="s">
        <v>3648</v>
      </c>
      <c r="E708" s="209"/>
      <c r="F708" s="209"/>
      <c r="G708" s="209"/>
      <c r="H708" s="217" t="s">
        <v>5356</v>
      </c>
      <c r="I708" s="217"/>
      <c r="J708" s="215"/>
      <c r="K708" s="217"/>
      <c r="L708" s="212" t="s">
        <v>4269</v>
      </c>
      <c r="M708" s="212" t="s">
        <v>2999</v>
      </c>
      <c r="N708" s="213"/>
      <c r="O708" s="263">
        <v>4590007711</v>
      </c>
      <c r="P708" s="214">
        <v>44861</v>
      </c>
      <c r="Q708" s="334">
        <v>4</v>
      </c>
      <c r="R708" s="216">
        <v>56351.54</v>
      </c>
      <c r="S708" s="217" t="s">
        <v>2156</v>
      </c>
      <c r="T708" s="209" t="s">
        <v>3926</v>
      </c>
      <c r="U708" s="209" t="s">
        <v>3927</v>
      </c>
      <c r="V708" s="213" t="s">
        <v>3928</v>
      </c>
      <c r="W708" s="218" t="s">
        <v>3652</v>
      </c>
      <c r="X708" s="218" t="s">
        <v>3652</v>
      </c>
      <c r="Y708" s="212" t="s">
        <v>4270</v>
      </c>
      <c r="Z708" s="209" t="s">
        <v>3664</v>
      </c>
      <c r="AA708" s="215"/>
      <c r="AB708" s="218"/>
      <c r="AC708" s="217" t="e">
        <v>#N/A</v>
      </c>
      <c r="AD708" s="217">
        <v>91247</v>
      </c>
      <c r="AE708" s="217" t="s">
        <v>2834</v>
      </c>
      <c r="AF708" s="217" t="s">
        <v>4109</v>
      </c>
      <c r="AG708" s="217" t="s">
        <v>32</v>
      </c>
      <c r="AH708" s="220" t="str">
        <f t="shared" si="45"/>
        <v>4590007711_004</v>
      </c>
      <c r="AI708" s="208"/>
      <c r="AJ708" s="220"/>
      <c r="AK708" s="221"/>
      <c r="AL708" s="227"/>
      <c r="AM708" s="208"/>
      <c r="AN708" s="220"/>
      <c r="AO708" s="222"/>
      <c r="AP708" s="227"/>
      <c r="AQ708" s="358">
        <f ca="1">IF(表格1[[#This Row],[PO$]]="","100%",表格1[[#This Row],[total amount]]/表格1[[#This Row],[PO$]])</f>
        <v>0</v>
      </c>
      <c r="AR708" s="223">
        <f ca="1">表格1[[#This Row],[invoice amount]]+表格1[[#This Row],[invoice amount2]]</f>
        <v>0</v>
      </c>
      <c r="AS708" s="224"/>
      <c r="AT708" s="208"/>
      <c r="AU708" s="208" t="e">
        <f ca="1">VLOOKUP(表格1[[#This Row],[PO+ITEM]],#REF!,2,FALSE)</f>
        <v>#REF!</v>
      </c>
      <c r="AV708" s="341" t="e">
        <f ca="1">VLOOKUP(表格1[[#This Row],[PO+ITEM]],#REF!,3,FALSE)</f>
        <v>#REF!</v>
      </c>
      <c r="AW708" s="208" t="e">
        <f ca="1">VLOOKUP(表格1[[#This Row],[PO+ITEM]],#REF!,4,FALSE)</f>
        <v>#REF!</v>
      </c>
      <c r="AX708" s="208" t="e" cm="1" vm="1">
        <f t="array" aca="1" ref="AX708" ca="1">VLOOKUP(AI:AI,#REF!,1,FALSE)</f>
        <v>#VALUE!</v>
      </c>
    </row>
    <row r="709" spans="1:50" ht="15.6">
      <c r="A709" s="220">
        <v>708</v>
      </c>
      <c r="B709" s="220" t="s">
        <v>3659</v>
      </c>
      <c r="C709" s="209" t="s">
        <v>16</v>
      </c>
      <c r="D709" s="209" t="s">
        <v>3648</v>
      </c>
      <c r="E709" s="209"/>
      <c r="F709" s="209"/>
      <c r="G709" s="209"/>
      <c r="H709" s="210" t="s">
        <v>5357</v>
      </c>
      <c r="I709" s="210"/>
      <c r="J709" s="211"/>
      <c r="K709" s="210"/>
      <c r="L709" s="212" t="s">
        <v>4269</v>
      </c>
      <c r="M709" s="212" t="s">
        <v>2999</v>
      </c>
      <c r="N709" s="213"/>
      <c r="O709" s="263">
        <v>4590007711</v>
      </c>
      <c r="P709" s="214">
        <v>44861</v>
      </c>
      <c r="Q709" s="334">
        <v>5</v>
      </c>
      <c r="R709" s="216">
        <v>12089.4</v>
      </c>
      <c r="S709" s="217" t="s">
        <v>2156</v>
      </c>
      <c r="T709" s="209" t="s">
        <v>3926</v>
      </c>
      <c r="U709" s="209" t="s">
        <v>3927</v>
      </c>
      <c r="V709" s="213" t="s">
        <v>3928</v>
      </c>
      <c r="W709" s="218" t="s">
        <v>3652</v>
      </c>
      <c r="X709" s="218" t="s">
        <v>3652</v>
      </c>
      <c r="Y709" s="212" t="s">
        <v>4270</v>
      </c>
      <c r="Z709" s="209" t="s">
        <v>3664</v>
      </c>
      <c r="AA709" s="215"/>
      <c r="AB709" s="218"/>
      <c r="AC709" s="217" t="e">
        <v>#N/A</v>
      </c>
      <c r="AD709" s="217">
        <v>91252</v>
      </c>
      <c r="AE709" s="217" t="s">
        <v>2860</v>
      </c>
      <c r="AF709" s="217" t="s">
        <v>4109</v>
      </c>
      <c r="AG709" s="217" t="s">
        <v>32</v>
      </c>
      <c r="AH709" s="220" t="str">
        <f t="shared" si="45"/>
        <v>4590007711_005</v>
      </c>
      <c r="AI709" s="208"/>
      <c r="AJ709" s="225">
        <v>45017</v>
      </c>
      <c r="AK709" s="221">
        <v>0</v>
      </c>
      <c r="AL709" s="314" t="s">
        <v>3788</v>
      </c>
      <c r="AM709" s="208"/>
      <c r="AN709" s="220"/>
      <c r="AO709" s="222"/>
      <c r="AP709" s="227"/>
      <c r="AQ709" s="358">
        <f ca="1">IF(表格1[[#This Row],[PO$]]="","100%",表格1[[#This Row],[total amount]]/表格1[[#This Row],[PO$]])</f>
        <v>0</v>
      </c>
      <c r="AR709" s="223">
        <f ca="1">表格1[[#This Row],[invoice amount]]+表格1[[#This Row],[invoice amount2]]</f>
        <v>0</v>
      </c>
      <c r="AS709" s="224" t="s">
        <v>3789</v>
      </c>
      <c r="AT709" s="208" t="s">
        <v>4875</v>
      </c>
      <c r="AU709" s="208" t="e">
        <f ca="1">VLOOKUP(表格1[[#This Row],[PO+ITEM]],#REF!,2,FALSE)</f>
        <v>#REF!</v>
      </c>
      <c r="AV709" s="341" t="e">
        <f ca="1">VLOOKUP(表格1[[#This Row],[PO+ITEM]],#REF!,3,FALSE)</f>
        <v>#REF!</v>
      </c>
      <c r="AW709" s="208" t="e">
        <f ca="1">VLOOKUP(表格1[[#This Row],[PO+ITEM]],#REF!,4,FALSE)</f>
        <v>#REF!</v>
      </c>
      <c r="AX709" s="208" t="e" cm="1" vm="1">
        <f t="array" aca="1" ref="AX709" ca="1">VLOOKUP(AI:AI,#REF!,1,FALSE)</f>
        <v>#VALUE!</v>
      </c>
    </row>
    <row r="710" spans="1:50">
      <c r="A710" s="220">
        <v>709</v>
      </c>
      <c r="B710" s="220" t="e">
        <v>#N/A</v>
      </c>
      <c r="C710" s="209" t="s">
        <v>16</v>
      </c>
      <c r="D710" s="209" t="s">
        <v>3648</v>
      </c>
      <c r="E710" s="209"/>
      <c r="F710" s="209"/>
      <c r="G710" s="209"/>
      <c r="H710" s="210" t="s">
        <v>5358</v>
      </c>
      <c r="I710" s="210"/>
      <c r="J710" s="211"/>
      <c r="K710" s="210"/>
      <c r="L710" s="212" t="s">
        <v>4269</v>
      </c>
      <c r="M710" s="212" t="s">
        <v>2999</v>
      </c>
      <c r="N710" s="213"/>
      <c r="O710" s="263">
        <v>4590007711</v>
      </c>
      <c r="P710" s="214">
        <v>44861</v>
      </c>
      <c r="Q710" s="334">
        <v>6</v>
      </c>
      <c r="R710" s="216">
        <v>12444.6</v>
      </c>
      <c r="S710" s="217" t="s">
        <v>2156</v>
      </c>
      <c r="T710" s="209" t="s">
        <v>3926</v>
      </c>
      <c r="U710" s="209" t="s">
        <v>3927</v>
      </c>
      <c r="V710" s="213" t="s">
        <v>3928</v>
      </c>
      <c r="W710" s="218" t="s">
        <v>3652</v>
      </c>
      <c r="X710" s="218" t="s">
        <v>3652</v>
      </c>
      <c r="Y710" s="212" t="s">
        <v>4270</v>
      </c>
      <c r="Z710" s="209" t="s">
        <v>3664</v>
      </c>
      <c r="AA710" s="215"/>
      <c r="AB710" s="218"/>
      <c r="AC710" s="217" t="e">
        <v>#N/A</v>
      </c>
      <c r="AD710" s="217">
        <v>91409</v>
      </c>
      <c r="AE710" s="217" t="s">
        <v>2866</v>
      </c>
      <c r="AF710" s="217" t="s">
        <v>4109</v>
      </c>
      <c r="AG710" s="217" t="s">
        <v>32</v>
      </c>
      <c r="AH710" s="220" t="str">
        <f t="shared" si="45"/>
        <v>4590007711_006</v>
      </c>
      <c r="AI710" s="208"/>
      <c r="AJ710" s="220"/>
      <c r="AK710" s="221"/>
      <c r="AL710" s="227"/>
      <c r="AM710" s="208"/>
      <c r="AN710" s="220"/>
      <c r="AO710" s="222"/>
      <c r="AP710" s="227"/>
      <c r="AQ710" s="358">
        <f ca="1">IF(表格1[[#This Row],[PO$]]="","100%",表格1[[#This Row],[total amount]]/表格1[[#This Row],[PO$]])</f>
        <v>0</v>
      </c>
      <c r="AR710" s="223">
        <f ca="1">表格1[[#This Row],[invoice amount]]+表格1[[#This Row],[invoice amount2]]</f>
        <v>0</v>
      </c>
      <c r="AS710" s="224"/>
      <c r="AT710" s="208"/>
      <c r="AU710" s="208" t="e">
        <f ca="1">VLOOKUP(表格1[[#This Row],[PO+ITEM]],#REF!,2,FALSE)</f>
        <v>#REF!</v>
      </c>
      <c r="AV710" s="341" t="e">
        <f ca="1">VLOOKUP(表格1[[#This Row],[PO+ITEM]],#REF!,3,FALSE)</f>
        <v>#REF!</v>
      </c>
      <c r="AW710" s="208" t="e">
        <f ca="1">VLOOKUP(表格1[[#This Row],[PO+ITEM]],#REF!,4,FALSE)</f>
        <v>#REF!</v>
      </c>
      <c r="AX710" s="208" t="e" cm="1" vm="1">
        <f t="array" aca="1" ref="AX710" ca="1">VLOOKUP(AI:AI,#REF!,1,FALSE)</f>
        <v>#VALUE!</v>
      </c>
    </row>
    <row r="711" spans="1:50" ht="15.6">
      <c r="A711" s="220">
        <v>710</v>
      </c>
      <c r="B711" s="220" t="s">
        <v>3659</v>
      </c>
      <c r="C711" s="209" t="s">
        <v>16</v>
      </c>
      <c r="D711" s="209" t="s">
        <v>3648</v>
      </c>
      <c r="E711" s="209"/>
      <c r="F711" s="209"/>
      <c r="G711" s="209"/>
      <c r="H711" s="210" t="s">
        <v>5359</v>
      </c>
      <c r="I711" s="210"/>
      <c r="J711" s="211"/>
      <c r="K711" s="210"/>
      <c r="L711" s="212" t="s">
        <v>2999</v>
      </c>
      <c r="M711" s="212" t="s">
        <v>2999</v>
      </c>
      <c r="N711" s="213"/>
      <c r="O711" s="263">
        <v>4590007712</v>
      </c>
      <c r="P711" s="214">
        <v>44861</v>
      </c>
      <c r="Q711" s="334">
        <v>1</v>
      </c>
      <c r="R711" s="216">
        <v>4526.0600000000004</v>
      </c>
      <c r="S711" s="217" t="s">
        <v>2156</v>
      </c>
      <c r="T711" s="209" t="s">
        <v>3661</v>
      </c>
      <c r="U711" s="209" t="s">
        <v>3662</v>
      </c>
      <c r="V711" s="213" t="s">
        <v>3663</v>
      </c>
      <c r="W711" s="218" t="s">
        <v>3652</v>
      </c>
      <c r="X711" s="218" t="s">
        <v>3652</v>
      </c>
      <c r="Y711" s="212" t="s">
        <v>3767</v>
      </c>
      <c r="Z711" s="209" t="s">
        <v>3664</v>
      </c>
      <c r="AA711" s="215"/>
      <c r="AB711" s="218"/>
      <c r="AC711" s="217" t="e">
        <v>#N/A</v>
      </c>
      <c r="AD711" s="217">
        <v>91012</v>
      </c>
      <c r="AE711" s="217" t="s">
        <v>5360</v>
      </c>
      <c r="AF711" s="217" t="s">
        <v>3828</v>
      </c>
      <c r="AG711" s="217" t="s">
        <v>3719</v>
      </c>
      <c r="AH711" s="220" t="str">
        <f t="shared" si="45"/>
        <v>4590007712_001</v>
      </c>
      <c r="AI711" s="208"/>
      <c r="AJ711" s="225">
        <v>45108</v>
      </c>
      <c r="AK711" s="221">
        <v>1810.4240000000002</v>
      </c>
      <c r="AL711" s="244">
        <v>45212</v>
      </c>
      <c r="AM711" s="208"/>
      <c r="AN711" s="220"/>
      <c r="AO711" s="222"/>
      <c r="AP711" s="227"/>
      <c r="AQ711" s="358">
        <f ca="1">IF(表格1[[#This Row],[PO$]]="","100%",表格1[[#This Row],[total amount]]/表格1[[#This Row],[PO$]])</f>
        <v>0.4</v>
      </c>
      <c r="AR711" s="223">
        <f ca="1">表格1[[#This Row],[invoice amount]]+表格1[[#This Row],[invoice amount2]]</f>
        <v>1810.4240000000002</v>
      </c>
      <c r="AS711" s="224" t="s">
        <v>3673</v>
      </c>
      <c r="AT711" s="208"/>
      <c r="AU711" s="208" t="e">
        <f ca="1">VLOOKUP(表格1[[#This Row],[PO+ITEM]],#REF!,2,FALSE)</f>
        <v>#REF!</v>
      </c>
      <c r="AV711" s="341" t="e">
        <f ca="1">VLOOKUP(表格1[[#This Row],[PO+ITEM]],#REF!,3,FALSE)</f>
        <v>#REF!</v>
      </c>
      <c r="AW711" s="208" t="e">
        <f ca="1">VLOOKUP(表格1[[#This Row],[PO+ITEM]],#REF!,4,FALSE)</f>
        <v>#REF!</v>
      </c>
      <c r="AX711" s="208" t="e" cm="1" vm="1">
        <f t="array" aca="1" ref="AX711" ca="1">VLOOKUP(AI:AI,#REF!,1,FALSE)</f>
        <v>#VALUE!</v>
      </c>
    </row>
    <row r="712" spans="1:50" ht="15.6">
      <c r="A712" s="220">
        <v>711</v>
      </c>
      <c r="B712" s="220" t="s">
        <v>3659</v>
      </c>
      <c r="C712" s="209" t="s">
        <v>16</v>
      </c>
      <c r="D712" s="209" t="s">
        <v>3648</v>
      </c>
      <c r="E712" s="209"/>
      <c r="F712" s="209"/>
      <c r="G712" s="209"/>
      <c r="H712" s="210" t="s">
        <v>5361</v>
      </c>
      <c r="I712" s="210"/>
      <c r="J712" s="211"/>
      <c r="K712" s="210"/>
      <c r="L712" s="212" t="s">
        <v>2999</v>
      </c>
      <c r="M712" s="212" t="s">
        <v>2999</v>
      </c>
      <c r="N712" s="213"/>
      <c r="O712" s="263">
        <v>4590007712</v>
      </c>
      <c r="P712" s="214">
        <v>44861</v>
      </c>
      <c r="Q712" s="334">
        <v>2</v>
      </c>
      <c r="R712" s="216">
        <v>4526.0600000000004</v>
      </c>
      <c r="S712" s="217" t="s">
        <v>2156</v>
      </c>
      <c r="T712" s="209" t="s">
        <v>3661</v>
      </c>
      <c r="U712" s="209" t="s">
        <v>3662</v>
      </c>
      <c r="V712" s="213" t="s">
        <v>3663</v>
      </c>
      <c r="W712" s="218" t="s">
        <v>3652</v>
      </c>
      <c r="X712" s="218" t="s">
        <v>3652</v>
      </c>
      <c r="Y712" s="212" t="s">
        <v>3767</v>
      </c>
      <c r="Z712" s="209" t="s">
        <v>3664</v>
      </c>
      <c r="AA712" s="215"/>
      <c r="AB712" s="218"/>
      <c r="AC712" s="217" t="e">
        <v>#N/A</v>
      </c>
      <c r="AD712" s="217">
        <v>91395</v>
      </c>
      <c r="AE712" s="217" t="s">
        <v>5362</v>
      </c>
      <c r="AF712" s="217" t="s">
        <v>3828</v>
      </c>
      <c r="AG712" s="217" t="s">
        <v>3719</v>
      </c>
      <c r="AH712" s="220" t="str">
        <f t="shared" si="45"/>
        <v>4590007712_002</v>
      </c>
      <c r="AI712" s="208"/>
      <c r="AJ712" s="225">
        <v>45108</v>
      </c>
      <c r="AK712" s="221">
        <v>1810.4240000000002</v>
      </c>
      <c r="AL712" s="244">
        <v>45212</v>
      </c>
      <c r="AM712" s="208"/>
      <c r="AN712" s="220"/>
      <c r="AO712" s="222"/>
      <c r="AP712" s="227"/>
      <c r="AQ712" s="358">
        <f ca="1">IF(表格1[[#This Row],[PO$]]="","100%",表格1[[#This Row],[total amount]]/表格1[[#This Row],[PO$]])</f>
        <v>0.4</v>
      </c>
      <c r="AR712" s="223">
        <f ca="1">表格1[[#This Row],[invoice amount]]+表格1[[#This Row],[invoice amount2]]</f>
        <v>1810.4240000000002</v>
      </c>
      <c r="AS712" s="224" t="s">
        <v>3673</v>
      </c>
      <c r="AT712" s="208"/>
      <c r="AU712" s="208" t="e">
        <f ca="1">VLOOKUP(表格1[[#This Row],[PO+ITEM]],#REF!,2,FALSE)</f>
        <v>#REF!</v>
      </c>
      <c r="AV712" s="341" t="e">
        <f ca="1">VLOOKUP(表格1[[#This Row],[PO+ITEM]],#REF!,3,FALSE)</f>
        <v>#REF!</v>
      </c>
      <c r="AW712" s="208" t="e">
        <f ca="1">VLOOKUP(表格1[[#This Row],[PO+ITEM]],#REF!,4,FALSE)</f>
        <v>#REF!</v>
      </c>
      <c r="AX712" s="208" t="e" cm="1" vm="1">
        <f t="array" aca="1" ref="AX712" ca="1">VLOOKUP(AI:AI,#REF!,1,FALSE)</f>
        <v>#VALUE!</v>
      </c>
    </row>
    <row r="713" spans="1:50" ht="15.6">
      <c r="A713" s="220">
        <v>712</v>
      </c>
      <c r="B713" s="220" t="s">
        <v>3674</v>
      </c>
      <c r="C713" s="209" t="s">
        <v>17</v>
      </c>
      <c r="D713" s="209" t="s">
        <v>3648</v>
      </c>
      <c r="E713" s="209"/>
      <c r="F713" s="209"/>
      <c r="G713" s="209"/>
      <c r="H713" s="210" t="s">
        <v>5363</v>
      </c>
      <c r="I713" s="210"/>
      <c r="J713" s="211"/>
      <c r="K713" s="210"/>
      <c r="L713" s="212" t="s">
        <v>2999</v>
      </c>
      <c r="M713" s="212" t="s">
        <v>2999</v>
      </c>
      <c r="N713" s="213"/>
      <c r="O713" s="263">
        <v>4590007716</v>
      </c>
      <c r="P713" s="214">
        <v>44861</v>
      </c>
      <c r="Q713" s="334">
        <v>1</v>
      </c>
      <c r="R713" s="216">
        <v>270614</v>
      </c>
      <c r="S713" s="217" t="s">
        <v>2156</v>
      </c>
      <c r="T713" s="209" t="s">
        <v>3713</v>
      </c>
      <c r="U713" s="209" t="s">
        <v>3714</v>
      </c>
      <c r="V713" s="213" t="s">
        <v>3715</v>
      </c>
      <c r="W713" s="218" t="s">
        <v>3652</v>
      </c>
      <c r="X713" s="218" t="s">
        <v>3652</v>
      </c>
      <c r="Y713" s="212">
        <v>0</v>
      </c>
      <c r="Z713" s="209" t="s">
        <v>5364</v>
      </c>
      <c r="AA713" s="215"/>
      <c r="AB713" s="218"/>
      <c r="AC713" s="217" t="e">
        <v>#N/A</v>
      </c>
      <c r="AD713" s="217">
        <v>90605</v>
      </c>
      <c r="AE713" s="217" t="s">
        <v>4118</v>
      </c>
      <c r="AF713" s="217" t="s">
        <v>3718</v>
      </c>
      <c r="AG713" s="217" t="s">
        <v>3719</v>
      </c>
      <c r="AH713" s="220" t="str">
        <f t="shared" si="45"/>
        <v>4590007716_001</v>
      </c>
      <c r="AI713" s="208"/>
      <c r="AJ713" s="225">
        <v>45261</v>
      </c>
      <c r="AK713" s="221">
        <v>257083.3</v>
      </c>
      <c r="AL713" s="228">
        <v>45303</v>
      </c>
      <c r="AM713" s="208"/>
      <c r="AN713" s="220"/>
      <c r="AO713" s="222"/>
      <c r="AP713" s="227"/>
      <c r="AQ713" s="358">
        <f ca="1">IF(表格1[[#This Row],[PO$]]="","100%",表格1[[#This Row],[total amount]]/表格1[[#This Row],[PO$]])</f>
        <v>0.95</v>
      </c>
      <c r="AR713" s="223">
        <f ca="1">表格1[[#This Row],[invoice amount]]+表格1[[#This Row],[invoice amount2]]</f>
        <v>257083.3</v>
      </c>
      <c r="AS713" s="224" t="s">
        <v>3673</v>
      </c>
      <c r="AT713" s="208"/>
      <c r="AU713" s="208" t="e">
        <f ca="1">VLOOKUP(表格1[[#This Row],[PO+ITEM]],#REF!,2,FALSE)</f>
        <v>#REF!</v>
      </c>
      <c r="AV713" s="341" t="e">
        <f ca="1">VLOOKUP(表格1[[#This Row],[PO+ITEM]],#REF!,3,FALSE)</f>
        <v>#REF!</v>
      </c>
      <c r="AW713" s="208" t="e">
        <f ca="1">VLOOKUP(表格1[[#This Row],[PO+ITEM]],#REF!,4,FALSE)</f>
        <v>#REF!</v>
      </c>
      <c r="AX713" s="208" t="e" cm="1" vm="1">
        <f t="array" aca="1" ref="AX713" ca="1">VLOOKUP(AI:AI,#REF!,1,FALSE)</f>
        <v>#VALUE!</v>
      </c>
    </row>
    <row r="714" spans="1:50">
      <c r="A714" s="220">
        <v>713</v>
      </c>
      <c r="B714" s="220" t="s">
        <v>3674</v>
      </c>
      <c r="C714" s="209" t="s">
        <v>17</v>
      </c>
      <c r="D714" s="209" t="s">
        <v>3648</v>
      </c>
      <c r="E714" s="209"/>
      <c r="F714" s="209"/>
      <c r="G714" s="209"/>
      <c r="H714" s="210" t="s">
        <v>5365</v>
      </c>
      <c r="I714" s="210"/>
      <c r="J714" s="211"/>
      <c r="K714" s="210"/>
      <c r="L714" s="212" t="s">
        <v>2999</v>
      </c>
      <c r="M714" s="212" t="s">
        <v>2999</v>
      </c>
      <c r="N714" s="213"/>
      <c r="O714" s="263">
        <v>4590007716</v>
      </c>
      <c r="P714" s="214">
        <v>44861</v>
      </c>
      <c r="Q714" s="334">
        <v>2</v>
      </c>
      <c r="R714" s="216">
        <v>270614</v>
      </c>
      <c r="S714" s="217" t="s">
        <v>2156</v>
      </c>
      <c r="T714" s="209" t="s">
        <v>3713</v>
      </c>
      <c r="U714" s="209" t="s">
        <v>3714</v>
      </c>
      <c r="V714" s="213" t="s">
        <v>3715</v>
      </c>
      <c r="W714" s="218" t="s">
        <v>3652</v>
      </c>
      <c r="X714" s="218" t="s">
        <v>3652</v>
      </c>
      <c r="Y714" s="212">
        <v>0</v>
      </c>
      <c r="Z714" s="209" t="s">
        <v>5364</v>
      </c>
      <c r="AA714" s="215"/>
      <c r="AB714" s="218"/>
      <c r="AC714" s="217" t="e">
        <v>#N/A</v>
      </c>
      <c r="AD714" s="217">
        <v>90606</v>
      </c>
      <c r="AE714" s="217" t="s">
        <v>5366</v>
      </c>
      <c r="AF714" s="217" t="s">
        <v>3718</v>
      </c>
      <c r="AG714" s="217" t="s">
        <v>3719</v>
      </c>
      <c r="AH714" s="220" t="str">
        <f t="shared" si="45"/>
        <v>4590007716_002</v>
      </c>
      <c r="AI714" s="208" t="s">
        <v>5367</v>
      </c>
      <c r="AJ714" s="227">
        <v>45429</v>
      </c>
      <c r="AK714" s="221">
        <v>270614</v>
      </c>
      <c r="AL714" s="227">
        <v>45503</v>
      </c>
      <c r="AM714" s="208"/>
      <c r="AN714" s="220"/>
      <c r="AO714" s="222"/>
      <c r="AP714" s="227"/>
      <c r="AQ714" s="358">
        <f ca="1">IF(表格1[[#This Row],[PO$]]="","100%",表格1[[#This Row],[total amount]]/表格1[[#This Row],[PO$]])</f>
        <v>1</v>
      </c>
      <c r="AR714" s="223">
        <f ca="1">表格1[[#This Row],[invoice amount]]+表格1[[#This Row],[invoice amount2]]</f>
        <v>270614</v>
      </c>
      <c r="AS714" s="224" t="s">
        <v>3725</v>
      </c>
      <c r="AT714" s="300" t="s">
        <v>5368</v>
      </c>
      <c r="AU714" s="208" t="e">
        <f ca="1">VLOOKUP(表格1[[#This Row],[PO+ITEM]],#REF!,2,FALSE)</f>
        <v>#REF!</v>
      </c>
      <c r="AV714" s="341" t="e">
        <f ca="1">VLOOKUP(表格1[[#This Row],[PO+ITEM]],#REF!,3,FALSE)</f>
        <v>#REF!</v>
      </c>
      <c r="AW714" s="208" t="e">
        <f ca="1">VLOOKUP(表格1[[#This Row],[PO+ITEM]],#REF!,4,FALSE)</f>
        <v>#REF!</v>
      </c>
      <c r="AX714" s="208" t="e" cm="1" vm="1">
        <f t="array" aca="1" ref="AX714" ca="1">VLOOKUP(AI:AI,#REF!,1,FALSE)</f>
        <v>#VALUE!</v>
      </c>
    </row>
    <row r="715" spans="1:50">
      <c r="A715" s="220">
        <v>714</v>
      </c>
      <c r="B715" s="220" t="s">
        <v>3674</v>
      </c>
      <c r="C715" s="209" t="s">
        <v>17</v>
      </c>
      <c r="D715" s="209" t="s">
        <v>3648</v>
      </c>
      <c r="E715" s="209"/>
      <c r="F715" s="209"/>
      <c r="G715" s="209"/>
      <c r="H715" s="210" t="s">
        <v>5369</v>
      </c>
      <c r="I715" s="210"/>
      <c r="J715" s="211"/>
      <c r="K715" s="210"/>
      <c r="L715" s="212" t="s">
        <v>2999</v>
      </c>
      <c r="M715" s="212" t="s">
        <v>2999</v>
      </c>
      <c r="N715" s="213"/>
      <c r="O715" s="263">
        <v>4590007762</v>
      </c>
      <c r="P715" s="214">
        <v>44861</v>
      </c>
      <c r="Q715" s="334">
        <v>1</v>
      </c>
      <c r="R715" s="216">
        <v>75090</v>
      </c>
      <c r="S715" s="217" t="s">
        <v>2156</v>
      </c>
      <c r="T715" s="209" t="s">
        <v>3869</v>
      </c>
      <c r="U715" s="209" t="s">
        <v>3870</v>
      </c>
      <c r="V715" s="213" t="s">
        <v>3871</v>
      </c>
      <c r="W715" s="218" t="s">
        <v>3652</v>
      </c>
      <c r="X715" s="218" t="s">
        <v>3652</v>
      </c>
      <c r="Y715" s="212" t="s">
        <v>3897</v>
      </c>
      <c r="Z715" s="209" t="s">
        <v>5370</v>
      </c>
      <c r="AA715" s="215"/>
      <c r="AB715" s="218"/>
      <c r="AC715" s="217" t="e">
        <v>#N/A</v>
      </c>
      <c r="AD715" s="217">
        <v>90065</v>
      </c>
      <c r="AE715" s="217" t="s">
        <v>5371</v>
      </c>
      <c r="AF715" s="217" t="s">
        <v>3900</v>
      </c>
      <c r="AG715" s="217" t="s">
        <v>3875</v>
      </c>
      <c r="AH715" s="220" t="str">
        <f t="shared" si="45"/>
        <v>4590007762_001</v>
      </c>
      <c r="AI715" s="208" t="s">
        <v>5372</v>
      </c>
      <c r="AJ715" s="227">
        <v>45380</v>
      </c>
      <c r="AK715" s="222">
        <v>75090</v>
      </c>
      <c r="AL715" s="227">
        <v>45488</v>
      </c>
      <c r="AM715" s="208"/>
      <c r="AN715" s="220"/>
      <c r="AO715" s="222"/>
      <c r="AP715" s="227"/>
      <c r="AQ715" s="358">
        <f ca="1">IF(表格1[[#This Row],[PO$]]="","100%",表格1[[#This Row],[total amount]]/表格1[[#This Row],[PO$]])</f>
        <v>1</v>
      </c>
      <c r="AR715" s="223">
        <f ca="1">表格1[[#This Row],[invoice amount]]+表格1[[#This Row],[invoice amount2]]</f>
        <v>75090</v>
      </c>
      <c r="AS715" s="224" t="s">
        <v>3725</v>
      </c>
      <c r="AT715" s="272" t="s">
        <v>5373</v>
      </c>
      <c r="AU715" s="208" t="e">
        <f ca="1">VLOOKUP(表格1[[#This Row],[PO+ITEM]],#REF!,2,FALSE)</f>
        <v>#REF!</v>
      </c>
      <c r="AV715" s="341" t="e">
        <f ca="1">VLOOKUP(表格1[[#This Row],[PO+ITEM]],#REF!,3,FALSE)</f>
        <v>#REF!</v>
      </c>
      <c r="AW715" s="208" t="e">
        <f ca="1">VLOOKUP(表格1[[#This Row],[PO+ITEM]],#REF!,4,FALSE)</f>
        <v>#REF!</v>
      </c>
      <c r="AX715" s="208" t="e" cm="1" vm="1">
        <f t="array" aca="1" ref="AX715" ca="1">VLOOKUP(AI:AI,#REF!,1,FALSE)</f>
        <v>#VALUE!</v>
      </c>
    </row>
    <row r="716" spans="1:50">
      <c r="A716" s="220">
        <v>715</v>
      </c>
      <c r="B716" s="220" t="s">
        <v>3674</v>
      </c>
      <c r="C716" s="209" t="s">
        <v>17</v>
      </c>
      <c r="D716" s="209" t="s">
        <v>3648</v>
      </c>
      <c r="E716" s="209"/>
      <c r="F716" s="209"/>
      <c r="G716" s="209"/>
      <c r="H716" s="210" t="s">
        <v>5374</v>
      </c>
      <c r="I716" s="210"/>
      <c r="J716" s="211"/>
      <c r="K716" s="210"/>
      <c r="L716" s="212" t="s">
        <v>2999</v>
      </c>
      <c r="M716" s="212" t="s">
        <v>2999</v>
      </c>
      <c r="N716" s="213"/>
      <c r="O716" s="263">
        <v>4590007762</v>
      </c>
      <c r="P716" s="214">
        <v>44861</v>
      </c>
      <c r="Q716" s="334">
        <v>2</v>
      </c>
      <c r="R716" s="216">
        <v>75090</v>
      </c>
      <c r="S716" s="217" t="s">
        <v>2156</v>
      </c>
      <c r="T716" s="209" t="s">
        <v>3869</v>
      </c>
      <c r="U716" s="209" t="s">
        <v>3870</v>
      </c>
      <c r="V716" s="213" t="s">
        <v>3871</v>
      </c>
      <c r="W716" s="218" t="s">
        <v>3652</v>
      </c>
      <c r="X716" s="218" t="s">
        <v>3652</v>
      </c>
      <c r="Y716" s="212" t="s">
        <v>3897</v>
      </c>
      <c r="Z716" s="209" t="s">
        <v>5370</v>
      </c>
      <c r="AA716" s="215"/>
      <c r="AB716" s="218"/>
      <c r="AC716" s="217" t="e">
        <v>#N/A</v>
      </c>
      <c r="AD716" s="217">
        <v>90066</v>
      </c>
      <c r="AE716" s="217" t="s">
        <v>5375</v>
      </c>
      <c r="AF716" s="217" t="s">
        <v>3900</v>
      </c>
      <c r="AG716" s="217" t="s">
        <v>3875</v>
      </c>
      <c r="AH716" s="220" t="str">
        <f t="shared" si="45"/>
        <v>4590007762_002</v>
      </c>
      <c r="AI716" s="208"/>
      <c r="AJ716" s="225">
        <v>45017</v>
      </c>
      <c r="AK716" s="221">
        <v>30036</v>
      </c>
      <c r="AL716" s="227">
        <v>45135</v>
      </c>
      <c r="AM716" s="208"/>
      <c r="AN716" s="225">
        <v>45139</v>
      </c>
      <c r="AO716" s="222">
        <v>45054</v>
      </c>
      <c r="AP716" s="227">
        <v>45245</v>
      </c>
      <c r="AQ716" s="358">
        <f ca="1">IF(表格1[[#This Row],[PO$]]="","100%",表格1[[#This Row],[total amount]]/表格1[[#This Row],[PO$]])</f>
        <v>1</v>
      </c>
      <c r="AR716" s="223">
        <f ca="1">表格1[[#This Row],[invoice amount]]+表格1[[#This Row],[invoice amount2]]</f>
        <v>75090</v>
      </c>
      <c r="AS716" s="224" t="s">
        <v>3673</v>
      </c>
      <c r="AT716" s="272" t="s">
        <v>5376</v>
      </c>
      <c r="AU716" s="208" t="e">
        <f ca="1">VLOOKUP(表格1[[#This Row],[PO+ITEM]],#REF!,2,FALSE)</f>
        <v>#REF!</v>
      </c>
      <c r="AV716" s="341" t="e">
        <f ca="1">VLOOKUP(表格1[[#This Row],[PO+ITEM]],#REF!,3,FALSE)</f>
        <v>#REF!</v>
      </c>
      <c r="AW716" s="208" t="e">
        <f ca="1">VLOOKUP(表格1[[#This Row],[PO+ITEM]],#REF!,4,FALSE)</f>
        <v>#REF!</v>
      </c>
      <c r="AX716" s="208" t="e" cm="1" vm="1">
        <f t="array" aca="1" ref="AX716" ca="1">VLOOKUP(AI:AI,#REF!,1,FALSE)</f>
        <v>#VALUE!</v>
      </c>
    </row>
    <row r="717" spans="1:50">
      <c r="A717" s="220">
        <v>716</v>
      </c>
      <c r="B717" s="220" t="s">
        <v>3674</v>
      </c>
      <c r="C717" s="209" t="s">
        <v>17</v>
      </c>
      <c r="D717" s="209" t="s">
        <v>3648</v>
      </c>
      <c r="E717" s="209"/>
      <c r="F717" s="209"/>
      <c r="G717" s="209"/>
      <c r="H717" s="210" t="s">
        <v>5377</v>
      </c>
      <c r="I717" s="210"/>
      <c r="J717" s="211"/>
      <c r="K717" s="210"/>
      <c r="L717" s="212" t="s">
        <v>2999</v>
      </c>
      <c r="M717" s="212" t="s">
        <v>2999</v>
      </c>
      <c r="N717" s="213"/>
      <c r="O717" s="263">
        <v>4590007762</v>
      </c>
      <c r="P717" s="214">
        <v>44861</v>
      </c>
      <c r="Q717" s="334">
        <v>3</v>
      </c>
      <c r="R717" s="216">
        <v>75090</v>
      </c>
      <c r="S717" s="217" t="s">
        <v>2156</v>
      </c>
      <c r="T717" s="209" t="s">
        <v>3869</v>
      </c>
      <c r="U717" s="209" t="s">
        <v>3870</v>
      </c>
      <c r="V717" s="213" t="s">
        <v>3871</v>
      </c>
      <c r="W717" s="218" t="s">
        <v>3652</v>
      </c>
      <c r="X717" s="218" t="s">
        <v>3652</v>
      </c>
      <c r="Y717" s="212" t="s">
        <v>3897</v>
      </c>
      <c r="Z717" s="209" t="s">
        <v>5370</v>
      </c>
      <c r="AA717" s="215"/>
      <c r="AB717" s="218"/>
      <c r="AC717" s="217" t="e">
        <v>#N/A</v>
      </c>
      <c r="AD717" s="217">
        <v>90067</v>
      </c>
      <c r="AE717" s="217" t="s">
        <v>5378</v>
      </c>
      <c r="AF717" s="217" t="s">
        <v>3900</v>
      </c>
      <c r="AG717" s="217" t="s">
        <v>3875</v>
      </c>
      <c r="AH717" s="220" t="str">
        <f t="shared" si="45"/>
        <v>4590007762_003</v>
      </c>
      <c r="AI717" s="208" t="s">
        <v>5379</v>
      </c>
      <c r="AJ717" s="227">
        <v>45380</v>
      </c>
      <c r="AK717" s="222">
        <v>75090</v>
      </c>
      <c r="AL717" s="227">
        <v>45488</v>
      </c>
      <c r="AM717" s="208"/>
      <c r="AN717" s="220"/>
      <c r="AO717" s="222"/>
      <c r="AP717" s="227"/>
      <c r="AQ717" s="358">
        <f ca="1">IF(表格1[[#This Row],[PO$]]="","100%",表格1[[#This Row],[total amount]]/表格1[[#This Row],[PO$]])</f>
        <v>1</v>
      </c>
      <c r="AR717" s="223">
        <f ca="1">表格1[[#This Row],[invoice amount]]+表格1[[#This Row],[invoice amount2]]</f>
        <v>75090</v>
      </c>
      <c r="AS717" s="224" t="s">
        <v>3725</v>
      </c>
      <c r="AT717" s="208"/>
      <c r="AU717" s="208" t="e">
        <f ca="1">VLOOKUP(表格1[[#This Row],[PO+ITEM]],#REF!,2,FALSE)</f>
        <v>#REF!</v>
      </c>
      <c r="AV717" s="341" t="e">
        <f ca="1">VLOOKUP(表格1[[#This Row],[PO+ITEM]],#REF!,3,FALSE)</f>
        <v>#REF!</v>
      </c>
      <c r="AW717" s="208" t="e">
        <f ca="1">VLOOKUP(表格1[[#This Row],[PO+ITEM]],#REF!,4,FALSE)</f>
        <v>#REF!</v>
      </c>
      <c r="AX717" s="208" t="e" cm="1" vm="1">
        <f t="array" aca="1" ref="AX717" ca="1">VLOOKUP(AI:AI,#REF!,1,FALSE)</f>
        <v>#VALUE!</v>
      </c>
    </row>
    <row r="718" spans="1:50">
      <c r="A718" s="220">
        <v>717</v>
      </c>
      <c r="B718" s="220" t="s">
        <v>3674</v>
      </c>
      <c r="C718" s="209" t="s">
        <v>17</v>
      </c>
      <c r="D718" s="209" t="s">
        <v>3648</v>
      </c>
      <c r="E718" s="209"/>
      <c r="F718" s="209"/>
      <c r="G718" s="209"/>
      <c r="H718" s="210" t="s">
        <v>5380</v>
      </c>
      <c r="I718" s="210"/>
      <c r="J718" s="211"/>
      <c r="K718" s="210"/>
      <c r="L718" s="212" t="s">
        <v>2999</v>
      </c>
      <c r="M718" s="212" t="s">
        <v>2999</v>
      </c>
      <c r="N718" s="213"/>
      <c r="O718" s="263">
        <v>4590007762</v>
      </c>
      <c r="P718" s="214">
        <v>44861</v>
      </c>
      <c r="Q718" s="334">
        <v>4</v>
      </c>
      <c r="R718" s="216">
        <v>75090</v>
      </c>
      <c r="S718" s="217" t="s">
        <v>2156</v>
      </c>
      <c r="T718" s="209" t="s">
        <v>3869</v>
      </c>
      <c r="U718" s="209" t="s">
        <v>3870</v>
      </c>
      <c r="V718" s="213" t="s">
        <v>3871</v>
      </c>
      <c r="W718" s="218" t="s">
        <v>3652</v>
      </c>
      <c r="X718" s="218" t="s">
        <v>3652</v>
      </c>
      <c r="Y718" s="212" t="s">
        <v>3897</v>
      </c>
      <c r="Z718" s="209" t="s">
        <v>5370</v>
      </c>
      <c r="AA718" s="215"/>
      <c r="AB718" s="218"/>
      <c r="AC718" s="217" t="e">
        <v>#N/A</v>
      </c>
      <c r="AD718" s="217">
        <v>90068</v>
      </c>
      <c r="AE718" s="217" t="s">
        <v>5381</v>
      </c>
      <c r="AF718" s="217" t="s">
        <v>3900</v>
      </c>
      <c r="AG718" s="217" t="s">
        <v>3875</v>
      </c>
      <c r="AH718" s="220" t="str">
        <f t="shared" si="45"/>
        <v>4590007762_004</v>
      </c>
      <c r="AI718" s="208" t="s">
        <v>5382</v>
      </c>
      <c r="AJ718" s="227">
        <v>45380</v>
      </c>
      <c r="AK718" s="222">
        <v>75090</v>
      </c>
      <c r="AL718" s="227">
        <v>45488</v>
      </c>
      <c r="AM718" s="208"/>
      <c r="AN718" s="220"/>
      <c r="AO718" s="222"/>
      <c r="AP718" s="227"/>
      <c r="AQ718" s="358">
        <f ca="1">IF(表格1[[#This Row],[PO$]]="","100%",表格1[[#This Row],[total amount]]/表格1[[#This Row],[PO$]])</f>
        <v>1</v>
      </c>
      <c r="AR718" s="223">
        <f ca="1">表格1[[#This Row],[invoice amount]]+表格1[[#This Row],[invoice amount2]]</f>
        <v>75090</v>
      </c>
      <c r="AS718" s="224" t="s">
        <v>3725</v>
      </c>
      <c r="AT718" s="208"/>
      <c r="AU718" s="208" t="e">
        <f ca="1">VLOOKUP(表格1[[#This Row],[PO+ITEM]],#REF!,2,FALSE)</f>
        <v>#REF!</v>
      </c>
      <c r="AV718" s="341" t="e">
        <f ca="1">VLOOKUP(表格1[[#This Row],[PO+ITEM]],#REF!,3,FALSE)</f>
        <v>#REF!</v>
      </c>
      <c r="AW718" s="208" t="e">
        <f ca="1">VLOOKUP(表格1[[#This Row],[PO+ITEM]],#REF!,4,FALSE)</f>
        <v>#REF!</v>
      </c>
      <c r="AX718" s="208" t="e" cm="1" vm="1">
        <f t="array" aca="1" ref="AX718" ca="1">VLOOKUP(AI:AI,#REF!,1,FALSE)</f>
        <v>#VALUE!</v>
      </c>
    </row>
    <row r="719" spans="1:50">
      <c r="A719" s="220">
        <v>718</v>
      </c>
      <c r="B719" s="220" t="s">
        <v>3674</v>
      </c>
      <c r="C719" s="209" t="s">
        <v>17</v>
      </c>
      <c r="D719" s="209" t="s">
        <v>3648</v>
      </c>
      <c r="E719" s="209"/>
      <c r="F719" s="209"/>
      <c r="G719" s="209"/>
      <c r="H719" s="210" t="s">
        <v>5383</v>
      </c>
      <c r="I719" s="210"/>
      <c r="J719" s="211"/>
      <c r="K719" s="210"/>
      <c r="L719" s="212" t="s">
        <v>2999</v>
      </c>
      <c r="M719" s="212" t="s">
        <v>2999</v>
      </c>
      <c r="N719" s="213"/>
      <c r="O719" s="263">
        <v>4590007762</v>
      </c>
      <c r="P719" s="214">
        <v>44861</v>
      </c>
      <c r="Q719" s="334">
        <v>5</v>
      </c>
      <c r="R719" s="216">
        <v>75090</v>
      </c>
      <c r="S719" s="217" t="s">
        <v>2156</v>
      </c>
      <c r="T719" s="209" t="s">
        <v>3869</v>
      </c>
      <c r="U719" s="209" t="s">
        <v>3870</v>
      </c>
      <c r="V719" s="213" t="s">
        <v>3871</v>
      </c>
      <c r="W719" s="218" t="s">
        <v>3652</v>
      </c>
      <c r="X719" s="218" t="s">
        <v>3652</v>
      </c>
      <c r="Y719" s="212" t="s">
        <v>3897</v>
      </c>
      <c r="Z719" s="209" t="s">
        <v>5370</v>
      </c>
      <c r="AA719" s="215"/>
      <c r="AB719" s="218"/>
      <c r="AC719" s="217" t="e">
        <v>#N/A</v>
      </c>
      <c r="AD719" s="217">
        <v>90069</v>
      </c>
      <c r="AE719" s="217" t="s">
        <v>5384</v>
      </c>
      <c r="AF719" s="217" t="s">
        <v>3900</v>
      </c>
      <c r="AG719" s="217" t="s">
        <v>3875</v>
      </c>
      <c r="AH719" s="220" t="str">
        <f t="shared" si="45"/>
        <v>4590007762_005</v>
      </c>
      <c r="AI719" s="208"/>
      <c r="AJ719" s="225">
        <v>45017</v>
      </c>
      <c r="AK719" s="221">
        <v>30036</v>
      </c>
      <c r="AL719" s="227">
        <v>45153</v>
      </c>
      <c r="AM719" s="208" t="s">
        <v>5385</v>
      </c>
      <c r="AN719" s="227">
        <v>45380</v>
      </c>
      <c r="AO719" s="222">
        <v>45054</v>
      </c>
      <c r="AP719" s="227">
        <v>45471</v>
      </c>
      <c r="AQ719" s="358">
        <f ca="1">IF(表格1[[#This Row],[PO$]]="","100%",表格1[[#This Row],[total amount]]/表格1[[#This Row],[PO$]])</f>
        <v>1</v>
      </c>
      <c r="AR719" s="223">
        <f ca="1">表格1[[#This Row],[invoice amount]]+表格1[[#This Row],[invoice amount2]]</f>
        <v>75090</v>
      </c>
      <c r="AS719" s="224" t="s">
        <v>3673</v>
      </c>
      <c r="AT719" s="208"/>
      <c r="AU719" s="208" t="e">
        <f ca="1">VLOOKUP(表格1[[#This Row],[PO+ITEM]],#REF!,2,FALSE)</f>
        <v>#REF!</v>
      </c>
      <c r="AV719" s="341" t="e">
        <f ca="1">VLOOKUP(表格1[[#This Row],[PO+ITEM]],#REF!,3,FALSE)</f>
        <v>#REF!</v>
      </c>
      <c r="AW719" s="208" t="e">
        <f ca="1">VLOOKUP(表格1[[#This Row],[PO+ITEM]],#REF!,4,FALSE)</f>
        <v>#REF!</v>
      </c>
      <c r="AX719" s="208" t="e" cm="1" vm="1">
        <f t="array" aca="1" ref="AX719" ca="1">VLOOKUP(AI:AI,#REF!,1,FALSE)</f>
        <v>#VALUE!</v>
      </c>
    </row>
    <row r="720" spans="1:50">
      <c r="A720" s="220">
        <v>719</v>
      </c>
      <c r="B720" s="220" t="s">
        <v>3674</v>
      </c>
      <c r="C720" s="209" t="s">
        <v>17</v>
      </c>
      <c r="D720" s="209" t="s">
        <v>3648</v>
      </c>
      <c r="E720" s="209"/>
      <c r="F720" s="209"/>
      <c r="G720" s="209"/>
      <c r="H720" s="210" t="s">
        <v>5386</v>
      </c>
      <c r="I720" s="210"/>
      <c r="J720" s="211"/>
      <c r="K720" s="210"/>
      <c r="L720" s="212" t="s">
        <v>2999</v>
      </c>
      <c r="M720" s="212" t="s">
        <v>2999</v>
      </c>
      <c r="N720" s="213"/>
      <c r="O720" s="263">
        <v>4590007762</v>
      </c>
      <c r="P720" s="214">
        <v>44861</v>
      </c>
      <c r="Q720" s="334">
        <v>6</v>
      </c>
      <c r="R720" s="216">
        <v>75090</v>
      </c>
      <c r="S720" s="217" t="s">
        <v>2156</v>
      </c>
      <c r="T720" s="209" t="s">
        <v>3869</v>
      </c>
      <c r="U720" s="209" t="s">
        <v>3870</v>
      </c>
      <c r="V720" s="213" t="s">
        <v>3871</v>
      </c>
      <c r="W720" s="218" t="s">
        <v>3652</v>
      </c>
      <c r="X720" s="218" t="s">
        <v>3652</v>
      </c>
      <c r="Y720" s="212" t="s">
        <v>3897</v>
      </c>
      <c r="Z720" s="209" t="s">
        <v>5370</v>
      </c>
      <c r="AA720" s="215"/>
      <c r="AB720" s="218"/>
      <c r="AC720" s="217" t="e">
        <v>#N/A</v>
      </c>
      <c r="AD720" s="217">
        <v>90070</v>
      </c>
      <c r="AE720" s="217" t="s">
        <v>5387</v>
      </c>
      <c r="AF720" s="217" t="s">
        <v>3900</v>
      </c>
      <c r="AG720" s="217" t="s">
        <v>3875</v>
      </c>
      <c r="AH720" s="220" t="str">
        <f t="shared" si="45"/>
        <v>4590007762_006</v>
      </c>
      <c r="AI720" s="208"/>
      <c r="AJ720" s="225">
        <v>45017</v>
      </c>
      <c r="AK720" s="221">
        <v>30036</v>
      </c>
      <c r="AL720" s="227">
        <v>45135</v>
      </c>
      <c r="AM720" s="208" t="s">
        <v>5388</v>
      </c>
      <c r="AN720" s="227">
        <v>45380</v>
      </c>
      <c r="AO720" s="222">
        <v>45054</v>
      </c>
      <c r="AP720" s="227">
        <v>45471</v>
      </c>
      <c r="AQ720" s="358">
        <f ca="1">IF(表格1[[#This Row],[PO$]]="","100%",表格1[[#This Row],[total amount]]/表格1[[#This Row],[PO$]])</f>
        <v>1</v>
      </c>
      <c r="AR720" s="223">
        <f ca="1">表格1[[#This Row],[invoice amount]]+表格1[[#This Row],[invoice amount2]]</f>
        <v>75090</v>
      </c>
      <c r="AS720" s="224" t="s">
        <v>3673</v>
      </c>
      <c r="AT720" s="208"/>
      <c r="AU720" s="208" t="e">
        <f ca="1">VLOOKUP(表格1[[#This Row],[PO+ITEM]],#REF!,2,FALSE)</f>
        <v>#REF!</v>
      </c>
      <c r="AV720" s="341" t="e">
        <f ca="1">VLOOKUP(表格1[[#This Row],[PO+ITEM]],#REF!,3,FALSE)</f>
        <v>#REF!</v>
      </c>
      <c r="AW720" s="208" t="e">
        <f ca="1">VLOOKUP(表格1[[#This Row],[PO+ITEM]],#REF!,4,FALSE)</f>
        <v>#REF!</v>
      </c>
      <c r="AX720" s="208" t="e" cm="1" vm="1">
        <f t="array" aca="1" ref="AX720" ca="1">VLOOKUP(AI:AI,#REF!,1,FALSE)</f>
        <v>#VALUE!</v>
      </c>
    </row>
    <row r="721" spans="1:50">
      <c r="A721" s="220">
        <v>720</v>
      </c>
      <c r="B721" s="220" t="s">
        <v>3674</v>
      </c>
      <c r="C721" s="209" t="s">
        <v>17</v>
      </c>
      <c r="D721" s="209" t="s">
        <v>3648</v>
      </c>
      <c r="E721" s="209"/>
      <c r="F721" s="209"/>
      <c r="G721" s="209"/>
      <c r="H721" s="210" t="s">
        <v>5389</v>
      </c>
      <c r="I721" s="210"/>
      <c r="J721" s="211"/>
      <c r="K721" s="210"/>
      <c r="L721" s="212" t="s">
        <v>2999</v>
      </c>
      <c r="M721" s="212" t="s">
        <v>2999</v>
      </c>
      <c r="N721" s="213"/>
      <c r="O721" s="263">
        <v>4590007762</v>
      </c>
      <c r="P721" s="214">
        <v>44861</v>
      </c>
      <c r="Q721" s="334">
        <v>7</v>
      </c>
      <c r="R721" s="216">
        <v>75090</v>
      </c>
      <c r="S721" s="217" t="s">
        <v>2156</v>
      </c>
      <c r="T721" s="209" t="s">
        <v>3869</v>
      </c>
      <c r="U721" s="209" t="s">
        <v>3870</v>
      </c>
      <c r="V721" s="213" t="s">
        <v>3871</v>
      </c>
      <c r="W721" s="218" t="s">
        <v>3652</v>
      </c>
      <c r="X721" s="218" t="s">
        <v>3652</v>
      </c>
      <c r="Y721" s="212" t="s">
        <v>3897</v>
      </c>
      <c r="Z721" s="209" t="s">
        <v>5370</v>
      </c>
      <c r="AA721" s="215"/>
      <c r="AB721" s="218"/>
      <c r="AC721" s="217" t="e">
        <v>#N/A</v>
      </c>
      <c r="AD721" s="217">
        <v>90071</v>
      </c>
      <c r="AE721" s="217" t="s">
        <v>5390</v>
      </c>
      <c r="AF721" s="217" t="s">
        <v>3900</v>
      </c>
      <c r="AG721" s="217" t="s">
        <v>3875</v>
      </c>
      <c r="AH721" s="220" t="str">
        <f t="shared" si="45"/>
        <v>4590007762_007</v>
      </c>
      <c r="AI721" s="208"/>
      <c r="AJ721" s="225">
        <v>45017</v>
      </c>
      <c r="AK721" s="221">
        <v>30036</v>
      </c>
      <c r="AL721" s="227">
        <v>45135</v>
      </c>
      <c r="AM721" s="208" t="s">
        <v>5391</v>
      </c>
      <c r="AN721" s="227">
        <v>45380</v>
      </c>
      <c r="AO721" s="222">
        <v>45054</v>
      </c>
      <c r="AP721" s="227">
        <v>45471</v>
      </c>
      <c r="AQ721" s="358">
        <f ca="1">IF(表格1[[#This Row],[PO$]]="","100%",表格1[[#This Row],[total amount]]/表格1[[#This Row],[PO$]])</f>
        <v>1</v>
      </c>
      <c r="AR721" s="223">
        <f ca="1">表格1[[#This Row],[invoice amount]]+表格1[[#This Row],[invoice amount2]]</f>
        <v>75090</v>
      </c>
      <c r="AS721" s="224" t="s">
        <v>3673</v>
      </c>
      <c r="AT721" s="208"/>
      <c r="AU721" s="208" t="e">
        <f ca="1">VLOOKUP(表格1[[#This Row],[PO+ITEM]],#REF!,2,FALSE)</f>
        <v>#REF!</v>
      </c>
      <c r="AV721" s="341" t="e">
        <f ca="1">VLOOKUP(表格1[[#This Row],[PO+ITEM]],#REF!,3,FALSE)</f>
        <v>#REF!</v>
      </c>
      <c r="AW721" s="208" t="e">
        <f ca="1">VLOOKUP(表格1[[#This Row],[PO+ITEM]],#REF!,4,FALSE)</f>
        <v>#REF!</v>
      </c>
      <c r="AX721" s="208" t="e" cm="1" vm="1">
        <f t="array" aca="1" ref="AX721" ca="1">VLOOKUP(AI:AI,#REF!,1,FALSE)</f>
        <v>#VALUE!</v>
      </c>
    </row>
    <row r="722" spans="1:50">
      <c r="A722" s="220">
        <v>721</v>
      </c>
      <c r="B722" s="220" t="s">
        <v>3674</v>
      </c>
      <c r="C722" s="209" t="s">
        <v>17</v>
      </c>
      <c r="D722" s="209" t="s">
        <v>3648</v>
      </c>
      <c r="E722" s="209"/>
      <c r="F722" s="209"/>
      <c r="G722" s="209"/>
      <c r="H722" s="210" t="s">
        <v>5392</v>
      </c>
      <c r="I722" s="210"/>
      <c r="J722" s="211"/>
      <c r="K722" s="210"/>
      <c r="L722" s="212" t="s">
        <v>2999</v>
      </c>
      <c r="M722" s="212" t="s">
        <v>2999</v>
      </c>
      <c r="N722" s="213"/>
      <c r="O722" s="263">
        <v>4590007762</v>
      </c>
      <c r="P722" s="214">
        <v>44861</v>
      </c>
      <c r="Q722" s="334">
        <v>8</v>
      </c>
      <c r="R722" s="216">
        <v>75090</v>
      </c>
      <c r="S722" s="217" t="s">
        <v>2156</v>
      </c>
      <c r="T722" s="209" t="s">
        <v>3869</v>
      </c>
      <c r="U722" s="209" t="s">
        <v>3870</v>
      </c>
      <c r="V722" s="213" t="s">
        <v>3871</v>
      </c>
      <c r="W722" s="218" t="s">
        <v>3652</v>
      </c>
      <c r="X722" s="218" t="s">
        <v>3652</v>
      </c>
      <c r="Y722" s="212" t="s">
        <v>3897</v>
      </c>
      <c r="Z722" s="209" t="s">
        <v>5370</v>
      </c>
      <c r="AA722" s="215"/>
      <c r="AB722" s="218"/>
      <c r="AC722" s="217" t="e">
        <v>#N/A</v>
      </c>
      <c r="AD722" s="217">
        <v>90072</v>
      </c>
      <c r="AE722" s="217" t="s">
        <v>5393</v>
      </c>
      <c r="AF722" s="217" t="s">
        <v>3900</v>
      </c>
      <c r="AG722" s="217" t="s">
        <v>3875</v>
      </c>
      <c r="AH722" s="220" t="str">
        <f t="shared" si="45"/>
        <v>4590007762_008</v>
      </c>
      <c r="AI722" s="208"/>
      <c r="AJ722" s="225">
        <v>45017</v>
      </c>
      <c r="AK722" s="221">
        <v>30036</v>
      </c>
      <c r="AL722" s="227">
        <v>45153</v>
      </c>
      <c r="AM722" s="208" t="s">
        <v>6726</v>
      </c>
      <c r="AN722" s="227">
        <v>45380</v>
      </c>
      <c r="AO722" s="222">
        <v>45054</v>
      </c>
      <c r="AP722" s="227">
        <v>45471</v>
      </c>
      <c r="AQ722" s="358">
        <f ca="1">IF(表格1[[#This Row],[PO$]]="","100%",表格1[[#This Row],[total amount]]/表格1[[#This Row],[PO$]])</f>
        <v>1</v>
      </c>
      <c r="AR722" s="223">
        <f ca="1">表格1[[#This Row],[invoice amount]]+表格1[[#This Row],[invoice amount2]]</f>
        <v>75090</v>
      </c>
      <c r="AS722" s="224" t="s">
        <v>3673</v>
      </c>
      <c r="AT722" s="208"/>
      <c r="AU722" s="208" t="e">
        <f ca="1">VLOOKUP(表格1[[#This Row],[PO+ITEM]],#REF!,2,FALSE)</f>
        <v>#REF!</v>
      </c>
      <c r="AV722" s="341" t="e">
        <f ca="1">VLOOKUP(表格1[[#This Row],[PO+ITEM]],#REF!,3,FALSE)</f>
        <v>#REF!</v>
      </c>
      <c r="AW722" s="208" t="e">
        <f ca="1">VLOOKUP(表格1[[#This Row],[PO+ITEM]],#REF!,4,FALSE)</f>
        <v>#REF!</v>
      </c>
      <c r="AX722" s="208" t="e" cm="1" vm="1">
        <f t="array" aca="1" ref="AX722" ca="1">VLOOKUP(AI:AI,#REF!,1,FALSE)</f>
        <v>#VALUE!</v>
      </c>
    </row>
    <row r="723" spans="1:50">
      <c r="A723" s="220">
        <v>722</v>
      </c>
      <c r="B723" s="220" t="s">
        <v>3674</v>
      </c>
      <c r="C723" s="209" t="s">
        <v>17</v>
      </c>
      <c r="D723" s="209" t="s">
        <v>3648</v>
      </c>
      <c r="E723" s="209"/>
      <c r="F723" s="209"/>
      <c r="G723" s="209"/>
      <c r="H723" s="210" t="s">
        <v>5395</v>
      </c>
      <c r="I723" s="210"/>
      <c r="J723" s="211"/>
      <c r="K723" s="210"/>
      <c r="L723" s="212" t="s">
        <v>2999</v>
      </c>
      <c r="M723" s="212" t="s">
        <v>2999</v>
      </c>
      <c r="N723" s="213"/>
      <c r="O723" s="263">
        <v>4590007762</v>
      </c>
      <c r="P723" s="214">
        <v>44861</v>
      </c>
      <c r="Q723" s="334">
        <v>9</v>
      </c>
      <c r="R723" s="216">
        <v>75090</v>
      </c>
      <c r="S723" s="217" t="s">
        <v>2156</v>
      </c>
      <c r="T723" s="209" t="s">
        <v>3869</v>
      </c>
      <c r="U723" s="209" t="s">
        <v>3870</v>
      </c>
      <c r="V723" s="213" t="s">
        <v>3871</v>
      </c>
      <c r="W723" s="218" t="s">
        <v>3652</v>
      </c>
      <c r="X723" s="218" t="s">
        <v>3652</v>
      </c>
      <c r="Y723" s="212" t="s">
        <v>3897</v>
      </c>
      <c r="Z723" s="209" t="s">
        <v>5370</v>
      </c>
      <c r="AA723" s="215"/>
      <c r="AB723" s="218"/>
      <c r="AC723" s="217" t="e">
        <v>#N/A</v>
      </c>
      <c r="AD723" s="217">
        <v>90073</v>
      </c>
      <c r="AE723" s="217" t="s">
        <v>5396</v>
      </c>
      <c r="AF723" s="217" t="s">
        <v>3900</v>
      </c>
      <c r="AG723" s="217" t="s">
        <v>3875</v>
      </c>
      <c r="AH723" s="220" t="str">
        <f t="shared" si="45"/>
        <v>4590007762_009</v>
      </c>
      <c r="AI723" s="208"/>
      <c r="AJ723" s="225">
        <v>45017</v>
      </c>
      <c r="AK723" s="221">
        <v>30036</v>
      </c>
      <c r="AL723" s="227">
        <v>45153</v>
      </c>
      <c r="AM723" s="208" t="s">
        <v>5397</v>
      </c>
      <c r="AN723" s="227">
        <v>45380</v>
      </c>
      <c r="AO723" s="222">
        <v>45054</v>
      </c>
      <c r="AP723" s="227">
        <v>45471</v>
      </c>
      <c r="AQ723" s="358">
        <f ca="1">IF(表格1[[#This Row],[PO$]]="","100%",表格1[[#This Row],[total amount]]/表格1[[#This Row],[PO$]])</f>
        <v>1</v>
      </c>
      <c r="AR723" s="223">
        <f ca="1">表格1[[#This Row],[invoice amount]]+表格1[[#This Row],[invoice amount2]]</f>
        <v>75090</v>
      </c>
      <c r="AS723" s="224" t="s">
        <v>3673</v>
      </c>
      <c r="AT723" s="208"/>
      <c r="AU723" s="208" t="e">
        <f ca="1">VLOOKUP(表格1[[#This Row],[PO+ITEM]],#REF!,2,FALSE)</f>
        <v>#REF!</v>
      </c>
      <c r="AV723" s="341" t="e">
        <f ca="1">VLOOKUP(表格1[[#This Row],[PO+ITEM]],#REF!,3,FALSE)</f>
        <v>#REF!</v>
      </c>
      <c r="AW723" s="208" t="e">
        <f ca="1">VLOOKUP(表格1[[#This Row],[PO+ITEM]],#REF!,4,FALSE)</f>
        <v>#REF!</v>
      </c>
      <c r="AX723" s="208" t="e" cm="1" vm="1">
        <f t="array" aca="1" ref="AX723" ca="1">VLOOKUP(AI:AI,#REF!,1,FALSE)</f>
        <v>#VALUE!</v>
      </c>
    </row>
    <row r="724" spans="1:50">
      <c r="A724" s="220">
        <v>723</v>
      </c>
      <c r="B724" s="220" t="s">
        <v>3659</v>
      </c>
      <c r="C724" s="209" t="s">
        <v>17</v>
      </c>
      <c r="D724" s="209" t="s">
        <v>3648</v>
      </c>
      <c r="E724" s="209"/>
      <c r="F724" s="209"/>
      <c r="G724" s="209"/>
      <c r="H724" s="210" t="s">
        <v>5398</v>
      </c>
      <c r="I724" s="210"/>
      <c r="J724" s="211"/>
      <c r="K724" s="210"/>
      <c r="L724" s="212" t="s">
        <v>2999</v>
      </c>
      <c r="M724" s="212" t="s">
        <v>2999</v>
      </c>
      <c r="N724" s="213"/>
      <c r="O724" s="263">
        <v>4590007762</v>
      </c>
      <c r="P724" s="214">
        <v>44861</v>
      </c>
      <c r="Q724" s="334">
        <v>10</v>
      </c>
      <c r="R724" s="216">
        <v>75090</v>
      </c>
      <c r="S724" s="217" t="s">
        <v>2156</v>
      </c>
      <c r="T724" s="209" t="s">
        <v>3869</v>
      </c>
      <c r="U724" s="209" t="s">
        <v>3870</v>
      </c>
      <c r="V724" s="213" t="s">
        <v>3871</v>
      </c>
      <c r="W724" s="218" t="s">
        <v>3652</v>
      </c>
      <c r="X724" s="218" t="s">
        <v>3652</v>
      </c>
      <c r="Y724" s="212" t="s">
        <v>3897</v>
      </c>
      <c r="Z724" s="209" t="s">
        <v>5370</v>
      </c>
      <c r="AA724" s="215"/>
      <c r="AB724" s="218"/>
      <c r="AC724" s="217" t="e">
        <v>#N/A</v>
      </c>
      <c r="AD724" s="217">
        <v>90074</v>
      </c>
      <c r="AE724" s="217" t="s">
        <v>5399</v>
      </c>
      <c r="AF724" s="217" t="s">
        <v>3900</v>
      </c>
      <c r="AG724" s="217" t="s">
        <v>3875</v>
      </c>
      <c r="AH724" s="220" t="str">
        <f t="shared" ref="AH724:AH733" si="46">O724&amp;"_0"&amp;Q724</f>
        <v>4590007762_010</v>
      </c>
      <c r="AI724" s="208"/>
      <c r="AJ724" s="225">
        <v>45017</v>
      </c>
      <c r="AK724" s="221">
        <v>30036</v>
      </c>
      <c r="AL724" s="227">
        <v>45153</v>
      </c>
      <c r="AM724" s="208"/>
      <c r="AN724" s="220"/>
      <c r="AO724" s="222"/>
      <c r="AP724" s="227"/>
      <c r="AQ724" s="358">
        <f ca="1">IF(表格1[[#This Row],[PO$]]="","100%",表格1[[#This Row],[total amount]]/表格1[[#This Row],[PO$]])</f>
        <v>0.4</v>
      </c>
      <c r="AR724" s="223">
        <f ca="1">表格1[[#This Row],[invoice amount]]+表格1[[#This Row],[invoice amount2]]</f>
        <v>30036</v>
      </c>
      <c r="AS724" s="224" t="s">
        <v>3673</v>
      </c>
      <c r="AT724" s="208"/>
      <c r="AU724" s="208" t="e">
        <f ca="1">VLOOKUP(表格1[[#This Row],[PO+ITEM]],#REF!,2,FALSE)</f>
        <v>#REF!</v>
      </c>
      <c r="AV724" s="341" t="e">
        <f ca="1">VLOOKUP(表格1[[#This Row],[PO+ITEM]],#REF!,3,FALSE)</f>
        <v>#REF!</v>
      </c>
      <c r="AW724" s="208" t="e">
        <f ca="1">VLOOKUP(表格1[[#This Row],[PO+ITEM]],#REF!,4,FALSE)</f>
        <v>#REF!</v>
      </c>
      <c r="AX724" s="208" t="e" cm="1" vm="1">
        <f t="array" aca="1" ref="AX724" ca="1">VLOOKUP(AI:AI,#REF!,1,FALSE)</f>
        <v>#VALUE!</v>
      </c>
    </row>
    <row r="725" spans="1:50">
      <c r="A725" s="220">
        <v>724</v>
      </c>
      <c r="B725" s="220" t="s">
        <v>3659</v>
      </c>
      <c r="C725" s="209" t="s">
        <v>17</v>
      </c>
      <c r="D725" s="209" t="s">
        <v>3648</v>
      </c>
      <c r="E725" s="209"/>
      <c r="F725" s="209"/>
      <c r="G725" s="209"/>
      <c r="H725" s="210" t="s">
        <v>5400</v>
      </c>
      <c r="I725" s="210"/>
      <c r="J725" s="211"/>
      <c r="K725" s="210"/>
      <c r="L725" s="212" t="s">
        <v>2999</v>
      </c>
      <c r="M725" s="212" t="s">
        <v>2999</v>
      </c>
      <c r="N725" s="213"/>
      <c r="O725" s="263">
        <v>4590007762</v>
      </c>
      <c r="P725" s="214">
        <v>44861</v>
      </c>
      <c r="Q725" s="334">
        <v>11</v>
      </c>
      <c r="R725" s="216">
        <v>75090</v>
      </c>
      <c r="S725" s="217" t="s">
        <v>2156</v>
      </c>
      <c r="T725" s="209" t="s">
        <v>3869</v>
      </c>
      <c r="U725" s="209" t="s">
        <v>3870</v>
      </c>
      <c r="V725" s="213" t="s">
        <v>3871</v>
      </c>
      <c r="W725" s="218" t="s">
        <v>3652</v>
      </c>
      <c r="X725" s="218" t="s">
        <v>3652</v>
      </c>
      <c r="Y725" s="212" t="s">
        <v>3897</v>
      </c>
      <c r="Z725" s="209" t="s">
        <v>5370</v>
      </c>
      <c r="AA725" s="215"/>
      <c r="AB725" s="218"/>
      <c r="AC725" s="217" t="e">
        <v>#N/A</v>
      </c>
      <c r="AD725" s="217">
        <v>90075</v>
      </c>
      <c r="AE725" s="217" t="s">
        <v>5401</v>
      </c>
      <c r="AF725" s="217" t="s">
        <v>3900</v>
      </c>
      <c r="AG725" s="217" t="s">
        <v>3875</v>
      </c>
      <c r="AH725" s="220" t="str">
        <f t="shared" si="46"/>
        <v>4590007762_011</v>
      </c>
      <c r="AI725" s="208"/>
      <c r="AJ725" s="225">
        <v>45017</v>
      </c>
      <c r="AK725" s="221">
        <v>30036</v>
      </c>
      <c r="AL725" s="227">
        <v>45153</v>
      </c>
      <c r="AM725" s="208"/>
      <c r="AN725" s="220"/>
      <c r="AO725" s="222"/>
      <c r="AP725" s="227"/>
      <c r="AQ725" s="358">
        <f ca="1">IF(表格1[[#This Row],[PO$]]="","100%",表格1[[#This Row],[total amount]]/表格1[[#This Row],[PO$]])</f>
        <v>0.4</v>
      </c>
      <c r="AR725" s="223">
        <f ca="1">表格1[[#This Row],[invoice amount]]+表格1[[#This Row],[invoice amount2]]</f>
        <v>30036</v>
      </c>
      <c r="AS725" s="224" t="s">
        <v>3673</v>
      </c>
      <c r="AT725" s="208"/>
      <c r="AU725" s="208" t="e">
        <f ca="1">VLOOKUP(表格1[[#This Row],[PO+ITEM]],#REF!,2,FALSE)</f>
        <v>#REF!</v>
      </c>
      <c r="AV725" s="341" t="e">
        <f ca="1">VLOOKUP(表格1[[#This Row],[PO+ITEM]],#REF!,3,FALSE)</f>
        <v>#REF!</v>
      </c>
      <c r="AW725" s="208" t="e">
        <f ca="1">VLOOKUP(表格1[[#This Row],[PO+ITEM]],#REF!,4,FALSE)</f>
        <v>#REF!</v>
      </c>
      <c r="AX725" s="208" t="e" cm="1" vm="1">
        <f t="array" aca="1" ref="AX725" ca="1">VLOOKUP(AI:AI,#REF!,1,FALSE)</f>
        <v>#VALUE!</v>
      </c>
    </row>
    <row r="726" spans="1:50">
      <c r="A726" s="220">
        <v>725</v>
      </c>
      <c r="B726" s="220" t="s">
        <v>3659</v>
      </c>
      <c r="C726" s="209" t="s">
        <v>17</v>
      </c>
      <c r="D726" s="209" t="s">
        <v>3648</v>
      </c>
      <c r="E726" s="209"/>
      <c r="F726" s="209"/>
      <c r="G726" s="209"/>
      <c r="H726" s="217" t="s">
        <v>5402</v>
      </c>
      <c r="I726" s="217"/>
      <c r="J726" s="215"/>
      <c r="K726" s="217"/>
      <c r="L726" s="212" t="s">
        <v>2999</v>
      </c>
      <c r="M726" s="212" t="s">
        <v>2999</v>
      </c>
      <c r="N726" s="213"/>
      <c r="O726" s="263">
        <v>4590007762</v>
      </c>
      <c r="P726" s="214">
        <v>44861</v>
      </c>
      <c r="Q726" s="334">
        <v>12</v>
      </c>
      <c r="R726" s="216">
        <v>75090</v>
      </c>
      <c r="S726" s="217" t="s">
        <v>2156</v>
      </c>
      <c r="T726" s="209" t="s">
        <v>3869</v>
      </c>
      <c r="U726" s="209" t="s">
        <v>3870</v>
      </c>
      <c r="V726" s="213" t="s">
        <v>3871</v>
      </c>
      <c r="W726" s="218" t="s">
        <v>3652</v>
      </c>
      <c r="X726" s="218" t="s">
        <v>3652</v>
      </c>
      <c r="Y726" s="212" t="s">
        <v>3897</v>
      </c>
      <c r="Z726" s="209" t="s">
        <v>5370</v>
      </c>
      <c r="AA726" s="215"/>
      <c r="AB726" s="218"/>
      <c r="AC726" s="217" t="e">
        <v>#N/A</v>
      </c>
      <c r="AD726" s="217">
        <v>90975</v>
      </c>
      <c r="AE726" s="217" t="s">
        <v>5403</v>
      </c>
      <c r="AF726" s="217" t="s">
        <v>3900</v>
      </c>
      <c r="AG726" s="217" t="s">
        <v>3875</v>
      </c>
      <c r="AH726" s="220" t="str">
        <f t="shared" si="46"/>
        <v>4590007762_012</v>
      </c>
      <c r="AI726" s="208"/>
      <c r="AJ726" s="220"/>
      <c r="AK726" s="221"/>
      <c r="AL726" s="227"/>
      <c r="AM726" s="208"/>
      <c r="AN726" s="220"/>
      <c r="AO726" s="222"/>
      <c r="AP726" s="227"/>
      <c r="AQ726" s="358">
        <f ca="1">IF(表格1[[#This Row],[PO$]]="","100%",表格1[[#This Row],[total amount]]/表格1[[#This Row],[PO$]])</f>
        <v>0</v>
      </c>
      <c r="AR726" s="223">
        <f ca="1">表格1[[#This Row],[invoice amount]]+表格1[[#This Row],[invoice amount2]]</f>
        <v>0</v>
      </c>
      <c r="AS726" s="224"/>
      <c r="AT726" s="208"/>
      <c r="AU726" s="208" t="e">
        <f ca="1">VLOOKUP(表格1[[#This Row],[PO+ITEM]],#REF!,2,FALSE)</f>
        <v>#REF!</v>
      </c>
      <c r="AV726" s="341" t="e">
        <f ca="1">VLOOKUP(表格1[[#This Row],[PO+ITEM]],#REF!,3,FALSE)</f>
        <v>#REF!</v>
      </c>
      <c r="AW726" s="208" t="e">
        <f ca="1">VLOOKUP(表格1[[#This Row],[PO+ITEM]],#REF!,4,FALSE)</f>
        <v>#REF!</v>
      </c>
      <c r="AX726" s="208" t="e" cm="1" vm="1">
        <f t="array" aca="1" ref="AX726" ca="1">VLOOKUP(AI:AI,#REF!,1,FALSE)</f>
        <v>#VALUE!</v>
      </c>
    </row>
    <row r="727" spans="1:50">
      <c r="A727" s="220">
        <v>726</v>
      </c>
      <c r="B727" s="220" t="s">
        <v>3659</v>
      </c>
      <c r="C727" s="209" t="s">
        <v>17</v>
      </c>
      <c r="D727" s="209" t="s">
        <v>3648</v>
      </c>
      <c r="E727" s="209"/>
      <c r="F727" s="209"/>
      <c r="G727" s="209"/>
      <c r="H727" s="210" t="s">
        <v>5404</v>
      </c>
      <c r="I727" s="210"/>
      <c r="J727" s="211"/>
      <c r="K727" s="210"/>
      <c r="L727" s="212" t="s">
        <v>2999</v>
      </c>
      <c r="M727" s="212" t="s">
        <v>2999</v>
      </c>
      <c r="N727" s="213"/>
      <c r="O727" s="263">
        <v>4590007762</v>
      </c>
      <c r="P727" s="214">
        <v>44861</v>
      </c>
      <c r="Q727" s="334">
        <v>13</v>
      </c>
      <c r="R727" s="216">
        <v>75090</v>
      </c>
      <c r="S727" s="217" t="s">
        <v>2156</v>
      </c>
      <c r="T727" s="209" t="s">
        <v>3869</v>
      </c>
      <c r="U727" s="209" t="s">
        <v>3870</v>
      </c>
      <c r="V727" s="213" t="s">
        <v>3871</v>
      </c>
      <c r="W727" s="218" t="s">
        <v>3652</v>
      </c>
      <c r="X727" s="218" t="s">
        <v>3652</v>
      </c>
      <c r="Y727" s="212" t="s">
        <v>3897</v>
      </c>
      <c r="Z727" s="209" t="s">
        <v>5370</v>
      </c>
      <c r="AA727" s="215"/>
      <c r="AB727" s="218"/>
      <c r="AC727" s="217" t="e">
        <v>#N/A</v>
      </c>
      <c r="AD727" s="217">
        <v>90976</v>
      </c>
      <c r="AE727" s="217" t="s">
        <v>5405</v>
      </c>
      <c r="AF727" s="217" t="s">
        <v>3900</v>
      </c>
      <c r="AG727" s="217" t="s">
        <v>3875</v>
      </c>
      <c r="AH727" s="220" t="str">
        <f t="shared" si="46"/>
        <v>4590007762_013</v>
      </c>
      <c r="AI727" s="208"/>
      <c r="AJ727" s="225">
        <v>45017</v>
      </c>
      <c r="AK727" s="221">
        <v>30036</v>
      </c>
      <c r="AL727" s="227">
        <v>45153</v>
      </c>
      <c r="AM727" s="208"/>
      <c r="AN727" s="220"/>
      <c r="AO727" s="222"/>
      <c r="AP727" s="227"/>
      <c r="AQ727" s="358">
        <f ca="1">IF(表格1[[#This Row],[PO$]]="","100%",表格1[[#This Row],[total amount]]/表格1[[#This Row],[PO$]])</f>
        <v>0.4</v>
      </c>
      <c r="AR727" s="223">
        <f ca="1">表格1[[#This Row],[invoice amount]]+表格1[[#This Row],[invoice amount2]]</f>
        <v>30036</v>
      </c>
      <c r="AS727" s="224" t="s">
        <v>3673</v>
      </c>
      <c r="AT727" s="208"/>
      <c r="AU727" s="208" t="e">
        <f ca="1">VLOOKUP(表格1[[#This Row],[PO+ITEM]],#REF!,2,FALSE)</f>
        <v>#REF!</v>
      </c>
      <c r="AV727" s="341" t="e">
        <f ca="1">VLOOKUP(表格1[[#This Row],[PO+ITEM]],#REF!,3,FALSE)</f>
        <v>#REF!</v>
      </c>
      <c r="AW727" s="208" t="e">
        <f ca="1">VLOOKUP(表格1[[#This Row],[PO+ITEM]],#REF!,4,FALSE)</f>
        <v>#REF!</v>
      </c>
      <c r="AX727" s="208" t="e" cm="1" vm="1">
        <f t="array" aca="1" ref="AX727" ca="1">VLOOKUP(AI:AI,#REF!,1,FALSE)</f>
        <v>#VALUE!</v>
      </c>
    </row>
    <row r="728" spans="1:50">
      <c r="A728" s="220">
        <v>727</v>
      </c>
      <c r="B728" s="220" t="s">
        <v>3659</v>
      </c>
      <c r="C728" s="209" t="s">
        <v>17</v>
      </c>
      <c r="D728" s="209" t="s">
        <v>3648</v>
      </c>
      <c r="E728" s="209"/>
      <c r="F728" s="209"/>
      <c r="G728" s="209"/>
      <c r="H728" s="210" t="s">
        <v>5406</v>
      </c>
      <c r="I728" s="210"/>
      <c r="J728" s="211"/>
      <c r="K728" s="210"/>
      <c r="L728" s="212" t="s">
        <v>2999</v>
      </c>
      <c r="M728" s="212" t="s">
        <v>2999</v>
      </c>
      <c r="N728" s="213"/>
      <c r="O728" s="263">
        <v>4590007762</v>
      </c>
      <c r="P728" s="214">
        <v>44861</v>
      </c>
      <c r="Q728" s="334">
        <v>14</v>
      </c>
      <c r="R728" s="216">
        <v>75090</v>
      </c>
      <c r="S728" s="217" t="s">
        <v>2156</v>
      </c>
      <c r="T728" s="209" t="s">
        <v>3869</v>
      </c>
      <c r="U728" s="209" t="s">
        <v>3870</v>
      </c>
      <c r="V728" s="213" t="s">
        <v>3871</v>
      </c>
      <c r="W728" s="218" t="s">
        <v>3652</v>
      </c>
      <c r="X728" s="218" t="s">
        <v>3652</v>
      </c>
      <c r="Y728" s="212" t="s">
        <v>3897</v>
      </c>
      <c r="Z728" s="209" t="s">
        <v>5370</v>
      </c>
      <c r="AA728" s="215"/>
      <c r="AB728" s="218"/>
      <c r="AC728" s="217" t="e">
        <v>#N/A</v>
      </c>
      <c r="AD728" s="217">
        <v>90977</v>
      </c>
      <c r="AE728" s="217" t="s">
        <v>5407</v>
      </c>
      <c r="AF728" s="217" t="s">
        <v>3900</v>
      </c>
      <c r="AG728" s="217" t="s">
        <v>3875</v>
      </c>
      <c r="AH728" s="220" t="str">
        <f t="shared" si="46"/>
        <v>4590007762_014</v>
      </c>
      <c r="AI728" s="208"/>
      <c r="AJ728" s="220"/>
      <c r="AK728" s="221"/>
      <c r="AL728" s="227"/>
      <c r="AM728" s="208"/>
      <c r="AN728" s="220"/>
      <c r="AO728" s="222"/>
      <c r="AP728" s="227"/>
      <c r="AQ728" s="358">
        <f ca="1">IF(表格1[[#This Row],[PO$]]="","100%",表格1[[#This Row],[total amount]]/表格1[[#This Row],[PO$]])</f>
        <v>0</v>
      </c>
      <c r="AR728" s="223">
        <f ca="1">表格1[[#This Row],[invoice amount]]+表格1[[#This Row],[invoice amount2]]</f>
        <v>0</v>
      </c>
      <c r="AS728" s="224"/>
      <c r="AT728" s="208"/>
      <c r="AU728" s="208" t="e">
        <f ca="1">VLOOKUP(表格1[[#This Row],[PO+ITEM]],#REF!,2,FALSE)</f>
        <v>#REF!</v>
      </c>
      <c r="AV728" s="341" t="e">
        <f ca="1">VLOOKUP(表格1[[#This Row],[PO+ITEM]],#REF!,3,FALSE)</f>
        <v>#REF!</v>
      </c>
      <c r="AW728" s="208" t="e">
        <f ca="1">VLOOKUP(表格1[[#This Row],[PO+ITEM]],#REF!,4,FALSE)</f>
        <v>#REF!</v>
      </c>
      <c r="AX728" s="208" t="e" cm="1" vm="1">
        <f t="array" aca="1" ref="AX728" ca="1">VLOOKUP(AI:AI,#REF!,1,FALSE)</f>
        <v>#VALUE!</v>
      </c>
    </row>
    <row r="729" spans="1:50">
      <c r="A729" s="220">
        <v>728</v>
      </c>
      <c r="B729" s="220" t="s">
        <v>3659</v>
      </c>
      <c r="C729" s="209" t="s">
        <v>17</v>
      </c>
      <c r="D729" s="209" t="s">
        <v>3648</v>
      </c>
      <c r="E729" s="209"/>
      <c r="F729" s="209"/>
      <c r="G729" s="209"/>
      <c r="H729" s="210" t="s">
        <v>5408</v>
      </c>
      <c r="I729" s="210"/>
      <c r="J729" s="211"/>
      <c r="K729" s="210"/>
      <c r="L729" s="212" t="s">
        <v>2999</v>
      </c>
      <c r="M729" s="212" t="s">
        <v>2999</v>
      </c>
      <c r="N729" s="213"/>
      <c r="O729" s="263">
        <v>4590007762</v>
      </c>
      <c r="P729" s="214">
        <v>44861</v>
      </c>
      <c r="Q729" s="334">
        <v>15</v>
      </c>
      <c r="R729" s="216">
        <v>75090</v>
      </c>
      <c r="S729" s="217" t="s">
        <v>2156</v>
      </c>
      <c r="T729" s="209" t="s">
        <v>3869</v>
      </c>
      <c r="U729" s="209" t="s">
        <v>3870</v>
      </c>
      <c r="V729" s="213" t="s">
        <v>3871</v>
      </c>
      <c r="W729" s="218" t="s">
        <v>3652</v>
      </c>
      <c r="X729" s="218" t="s">
        <v>3652</v>
      </c>
      <c r="Y729" s="212" t="s">
        <v>3897</v>
      </c>
      <c r="Z729" s="209" t="s">
        <v>5370</v>
      </c>
      <c r="AA729" s="215"/>
      <c r="AB729" s="218"/>
      <c r="AC729" s="217" t="e">
        <v>#N/A</v>
      </c>
      <c r="AD729" s="217">
        <v>90978</v>
      </c>
      <c r="AE729" s="217" t="s">
        <v>5409</v>
      </c>
      <c r="AF729" s="217" t="s">
        <v>3900</v>
      </c>
      <c r="AG729" s="217" t="s">
        <v>3875</v>
      </c>
      <c r="AH729" s="220" t="str">
        <f t="shared" si="46"/>
        <v>4590007762_015</v>
      </c>
      <c r="AI729" s="208"/>
      <c r="AJ729" s="220"/>
      <c r="AK729" s="221"/>
      <c r="AL729" s="227"/>
      <c r="AM729" s="208"/>
      <c r="AN729" s="220"/>
      <c r="AO729" s="222"/>
      <c r="AP729" s="227"/>
      <c r="AQ729" s="358">
        <f ca="1">IF(表格1[[#This Row],[PO$]]="","100%",表格1[[#This Row],[total amount]]/表格1[[#This Row],[PO$]])</f>
        <v>0</v>
      </c>
      <c r="AR729" s="223">
        <f ca="1">表格1[[#This Row],[invoice amount]]+表格1[[#This Row],[invoice amount2]]</f>
        <v>0</v>
      </c>
      <c r="AS729" s="224"/>
      <c r="AT729" s="208"/>
      <c r="AU729" s="208" t="e">
        <f ca="1">VLOOKUP(表格1[[#This Row],[PO+ITEM]],#REF!,2,FALSE)</f>
        <v>#REF!</v>
      </c>
      <c r="AV729" s="341" t="e">
        <f ca="1">VLOOKUP(表格1[[#This Row],[PO+ITEM]],#REF!,3,FALSE)</f>
        <v>#REF!</v>
      </c>
      <c r="AW729" s="208" t="e">
        <f ca="1">VLOOKUP(表格1[[#This Row],[PO+ITEM]],#REF!,4,FALSE)</f>
        <v>#REF!</v>
      </c>
      <c r="AX729" s="208" t="e" cm="1" vm="1">
        <f t="array" aca="1" ref="AX729" ca="1">VLOOKUP(AI:AI,#REF!,1,FALSE)</f>
        <v>#VALUE!</v>
      </c>
    </row>
    <row r="730" spans="1:50">
      <c r="A730" s="220">
        <v>729</v>
      </c>
      <c r="B730" s="220" t="s">
        <v>3659</v>
      </c>
      <c r="C730" s="209" t="s">
        <v>17</v>
      </c>
      <c r="D730" s="209" t="s">
        <v>3648</v>
      </c>
      <c r="E730" s="209"/>
      <c r="F730" s="209"/>
      <c r="G730" s="209"/>
      <c r="H730" s="210" t="s">
        <v>5410</v>
      </c>
      <c r="I730" s="210"/>
      <c r="J730" s="211"/>
      <c r="K730" s="210"/>
      <c r="L730" s="212" t="s">
        <v>2999</v>
      </c>
      <c r="M730" s="212" t="s">
        <v>2999</v>
      </c>
      <c r="N730" s="213"/>
      <c r="O730" s="263">
        <v>4590007762</v>
      </c>
      <c r="P730" s="214">
        <v>44861</v>
      </c>
      <c r="Q730" s="334">
        <v>16</v>
      </c>
      <c r="R730" s="216">
        <v>75090</v>
      </c>
      <c r="S730" s="217" t="s">
        <v>2156</v>
      </c>
      <c r="T730" s="209" t="s">
        <v>3869</v>
      </c>
      <c r="U730" s="209" t="s">
        <v>3870</v>
      </c>
      <c r="V730" s="213" t="s">
        <v>3871</v>
      </c>
      <c r="W730" s="218" t="s">
        <v>3652</v>
      </c>
      <c r="X730" s="218" t="s">
        <v>3652</v>
      </c>
      <c r="Y730" s="212" t="s">
        <v>3897</v>
      </c>
      <c r="Z730" s="209" t="s">
        <v>5370</v>
      </c>
      <c r="AA730" s="215"/>
      <c r="AB730" s="218"/>
      <c r="AC730" s="217" t="e">
        <v>#N/A</v>
      </c>
      <c r="AD730" s="217">
        <v>90979</v>
      </c>
      <c r="AE730" s="217" t="s">
        <v>5411</v>
      </c>
      <c r="AF730" s="217" t="s">
        <v>3900</v>
      </c>
      <c r="AG730" s="217" t="s">
        <v>3875</v>
      </c>
      <c r="AH730" s="220" t="str">
        <f t="shared" si="46"/>
        <v>4590007762_016</v>
      </c>
      <c r="AI730" s="208"/>
      <c r="AJ730" s="220"/>
      <c r="AK730" s="221"/>
      <c r="AL730" s="227"/>
      <c r="AM730" s="208"/>
      <c r="AN730" s="220"/>
      <c r="AO730" s="222"/>
      <c r="AP730" s="227"/>
      <c r="AQ730" s="358">
        <f ca="1">IF(表格1[[#This Row],[PO$]]="","100%",表格1[[#This Row],[total amount]]/表格1[[#This Row],[PO$]])</f>
        <v>0</v>
      </c>
      <c r="AR730" s="223">
        <f ca="1">表格1[[#This Row],[invoice amount]]+表格1[[#This Row],[invoice amount2]]</f>
        <v>0</v>
      </c>
      <c r="AS730" s="224"/>
      <c r="AT730" s="208"/>
      <c r="AU730" s="208" t="e">
        <f ca="1">VLOOKUP(表格1[[#This Row],[PO+ITEM]],#REF!,2,FALSE)</f>
        <v>#REF!</v>
      </c>
      <c r="AV730" s="341" t="e">
        <f ca="1">VLOOKUP(表格1[[#This Row],[PO+ITEM]],#REF!,3,FALSE)</f>
        <v>#REF!</v>
      </c>
      <c r="AW730" s="208" t="e">
        <f ca="1">VLOOKUP(表格1[[#This Row],[PO+ITEM]],#REF!,4,FALSE)</f>
        <v>#REF!</v>
      </c>
      <c r="AX730" s="208" t="e" cm="1" vm="1">
        <f t="array" aca="1" ref="AX730" ca="1">VLOOKUP(AI:AI,#REF!,1,FALSE)</f>
        <v>#VALUE!</v>
      </c>
    </row>
    <row r="731" spans="1:50">
      <c r="A731" s="220">
        <v>730</v>
      </c>
      <c r="B731" s="220" t="s">
        <v>3659</v>
      </c>
      <c r="C731" s="209" t="s">
        <v>17</v>
      </c>
      <c r="D731" s="209" t="s">
        <v>3648</v>
      </c>
      <c r="E731" s="209"/>
      <c r="F731" s="209"/>
      <c r="G731" s="209"/>
      <c r="H731" s="210" t="s">
        <v>5412</v>
      </c>
      <c r="I731" s="210"/>
      <c r="J731" s="211"/>
      <c r="K731" s="210"/>
      <c r="L731" s="212" t="s">
        <v>2999</v>
      </c>
      <c r="M731" s="212" t="s">
        <v>2999</v>
      </c>
      <c r="N731" s="213"/>
      <c r="O731" s="263">
        <v>4590007762</v>
      </c>
      <c r="P731" s="214">
        <v>44861</v>
      </c>
      <c r="Q731" s="334">
        <v>17</v>
      </c>
      <c r="R731" s="216">
        <v>75090</v>
      </c>
      <c r="S731" s="217" t="s">
        <v>2156</v>
      </c>
      <c r="T731" s="209" t="s">
        <v>3869</v>
      </c>
      <c r="U731" s="209" t="s">
        <v>3870</v>
      </c>
      <c r="V731" s="213" t="s">
        <v>3871</v>
      </c>
      <c r="W731" s="218" t="s">
        <v>3652</v>
      </c>
      <c r="X731" s="218" t="s">
        <v>3652</v>
      </c>
      <c r="Y731" s="212" t="s">
        <v>3897</v>
      </c>
      <c r="Z731" s="209" t="s">
        <v>5370</v>
      </c>
      <c r="AA731" s="215"/>
      <c r="AB731" s="218"/>
      <c r="AC731" s="217" t="e">
        <v>#N/A</v>
      </c>
      <c r="AD731" s="217">
        <v>90980</v>
      </c>
      <c r="AE731" s="217" t="s">
        <v>5413</v>
      </c>
      <c r="AF731" s="217" t="s">
        <v>3900</v>
      </c>
      <c r="AG731" s="217" t="s">
        <v>3875</v>
      </c>
      <c r="AH731" s="220" t="str">
        <f t="shared" si="46"/>
        <v>4590007762_017</v>
      </c>
      <c r="AI731" s="208"/>
      <c r="AJ731" s="220"/>
      <c r="AK731" s="221"/>
      <c r="AL731" s="227"/>
      <c r="AM731" s="208"/>
      <c r="AN731" s="220"/>
      <c r="AO731" s="222"/>
      <c r="AP731" s="227"/>
      <c r="AQ731" s="358">
        <f ca="1">IF(表格1[[#This Row],[PO$]]="","100%",表格1[[#This Row],[total amount]]/表格1[[#This Row],[PO$]])</f>
        <v>0</v>
      </c>
      <c r="AR731" s="223">
        <f ca="1">表格1[[#This Row],[invoice amount]]+表格1[[#This Row],[invoice amount2]]</f>
        <v>0</v>
      </c>
      <c r="AS731" s="224"/>
      <c r="AT731" s="208"/>
      <c r="AU731" s="208" t="e">
        <f ca="1">VLOOKUP(表格1[[#This Row],[PO+ITEM]],#REF!,2,FALSE)</f>
        <v>#REF!</v>
      </c>
      <c r="AV731" s="341" t="e">
        <f ca="1">VLOOKUP(表格1[[#This Row],[PO+ITEM]],#REF!,3,FALSE)</f>
        <v>#REF!</v>
      </c>
      <c r="AW731" s="208" t="e">
        <f ca="1">VLOOKUP(表格1[[#This Row],[PO+ITEM]],#REF!,4,FALSE)</f>
        <v>#REF!</v>
      </c>
      <c r="AX731" s="208" t="e" cm="1" vm="1">
        <f t="array" aca="1" ref="AX731" ca="1">VLOOKUP(AI:AI,#REF!,1,FALSE)</f>
        <v>#VALUE!</v>
      </c>
    </row>
    <row r="732" spans="1:50">
      <c r="A732" s="220">
        <v>731</v>
      </c>
      <c r="B732" s="220" t="s">
        <v>3659</v>
      </c>
      <c r="C732" s="209" t="s">
        <v>17</v>
      </c>
      <c r="D732" s="209" t="s">
        <v>3648</v>
      </c>
      <c r="E732" s="209"/>
      <c r="F732" s="209"/>
      <c r="G732" s="209"/>
      <c r="H732" s="217" t="s">
        <v>5414</v>
      </c>
      <c r="I732" s="217"/>
      <c r="J732" s="215"/>
      <c r="K732" s="217"/>
      <c r="L732" s="212" t="s">
        <v>2999</v>
      </c>
      <c r="M732" s="212" t="s">
        <v>2999</v>
      </c>
      <c r="N732" s="213"/>
      <c r="O732" s="263">
        <v>4590007762</v>
      </c>
      <c r="P732" s="214">
        <v>44861</v>
      </c>
      <c r="Q732" s="334">
        <v>18</v>
      </c>
      <c r="R732" s="216">
        <v>75090</v>
      </c>
      <c r="S732" s="217" t="s">
        <v>2156</v>
      </c>
      <c r="T732" s="209" t="s">
        <v>3869</v>
      </c>
      <c r="U732" s="209" t="s">
        <v>3870</v>
      </c>
      <c r="V732" s="213" t="s">
        <v>3871</v>
      </c>
      <c r="W732" s="218" t="s">
        <v>3652</v>
      </c>
      <c r="X732" s="218" t="s">
        <v>3652</v>
      </c>
      <c r="Y732" s="212" t="s">
        <v>3897</v>
      </c>
      <c r="Z732" s="209" t="s">
        <v>5370</v>
      </c>
      <c r="AA732" s="215"/>
      <c r="AB732" s="218"/>
      <c r="AC732" s="217" t="e">
        <v>#N/A</v>
      </c>
      <c r="AD732" s="217">
        <v>90981</v>
      </c>
      <c r="AE732" s="217" t="s">
        <v>5415</v>
      </c>
      <c r="AF732" s="217" t="s">
        <v>3900</v>
      </c>
      <c r="AG732" s="217" t="s">
        <v>3875</v>
      </c>
      <c r="AH732" s="220" t="str">
        <f t="shared" si="46"/>
        <v>4590007762_018</v>
      </c>
      <c r="AI732" s="208"/>
      <c r="AJ732" s="220"/>
      <c r="AK732" s="221"/>
      <c r="AL732" s="227"/>
      <c r="AM732" s="208"/>
      <c r="AN732" s="220"/>
      <c r="AO732" s="222"/>
      <c r="AP732" s="227"/>
      <c r="AQ732" s="358">
        <f ca="1">IF(表格1[[#This Row],[PO$]]="","100%",表格1[[#This Row],[total amount]]/表格1[[#This Row],[PO$]])</f>
        <v>0</v>
      </c>
      <c r="AR732" s="223">
        <f ca="1">表格1[[#This Row],[invoice amount]]+表格1[[#This Row],[invoice amount2]]</f>
        <v>0</v>
      </c>
      <c r="AS732" s="224"/>
      <c r="AT732" s="208"/>
      <c r="AU732" s="208" t="e">
        <f ca="1">VLOOKUP(表格1[[#This Row],[PO+ITEM]],#REF!,2,FALSE)</f>
        <v>#REF!</v>
      </c>
      <c r="AV732" s="341" t="e">
        <f ca="1">VLOOKUP(表格1[[#This Row],[PO+ITEM]],#REF!,3,FALSE)</f>
        <v>#REF!</v>
      </c>
      <c r="AW732" s="208" t="e">
        <f ca="1">VLOOKUP(表格1[[#This Row],[PO+ITEM]],#REF!,4,FALSE)</f>
        <v>#REF!</v>
      </c>
      <c r="AX732" s="208" t="e" cm="1" vm="1">
        <f t="array" aca="1" ref="AX732" ca="1">VLOOKUP(AI:AI,#REF!,1,FALSE)</f>
        <v>#VALUE!</v>
      </c>
    </row>
    <row r="733" spans="1:50">
      <c r="A733" s="220">
        <v>732</v>
      </c>
      <c r="B733" s="220" t="s">
        <v>3659</v>
      </c>
      <c r="C733" s="209" t="s">
        <v>17</v>
      </c>
      <c r="D733" s="209" t="s">
        <v>3648</v>
      </c>
      <c r="E733" s="209"/>
      <c r="F733" s="209"/>
      <c r="G733" s="209"/>
      <c r="H733" s="217" t="s">
        <v>5416</v>
      </c>
      <c r="I733" s="217"/>
      <c r="J733" s="215"/>
      <c r="K733" s="217"/>
      <c r="L733" s="212" t="s">
        <v>2999</v>
      </c>
      <c r="M733" s="212" t="s">
        <v>2999</v>
      </c>
      <c r="N733" s="213"/>
      <c r="O733" s="263">
        <v>4590007762</v>
      </c>
      <c r="P733" s="214">
        <v>44861</v>
      </c>
      <c r="Q733" s="334">
        <v>19</v>
      </c>
      <c r="R733" s="216">
        <v>75090</v>
      </c>
      <c r="S733" s="217" t="s">
        <v>2156</v>
      </c>
      <c r="T733" s="209" t="s">
        <v>3869</v>
      </c>
      <c r="U733" s="209" t="s">
        <v>3870</v>
      </c>
      <c r="V733" s="213" t="s">
        <v>3871</v>
      </c>
      <c r="W733" s="218" t="s">
        <v>3652</v>
      </c>
      <c r="X733" s="218" t="s">
        <v>3652</v>
      </c>
      <c r="Y733" s="212" t="s">
        <v>3897</v>
      </c>
      <c r="Z733" s="209" t="s">
        <v>5370</v>
      </c>
      <c r="AA733" s="215"/>
      <c r="AB733" s="218"/>
      <c r="AC733" s="217" t="e">
        <v>#N/A</v>
      </c>
      <c r="AD733" s="217">
        <v>90982</v>
      </c>
      <c r="AE733" s="217" t="s">
        <v>5417</v>
      </c>
      <c r="AF733" s="217" t="s">
        <v>3900</v>
      </c>
      <c r="AG733" s="217" t="s">
        <v>3875</v>
      </c>
      <c r="AH733" s="220" t="str">
        <f t="shared" si="46"/>
        <v>4590007762_019</v>
      </c>
      <c r="AI733" s="208"/>
      <c r="AJ733" s="220"/>
      <c r="AK733" s="221"/>
      <c r="AL733" s="227"/>
      <c r="AM733" s="208"/>
      <c r="AN733" s="220"/>
      <c r="AO733" s="222"/>
      <c r="AP733" s="227"/>
      <c r="AQ733" s="358">
        <f ca="1">IF(表格1[[#This Row],[PO$]]="","100%",表格1[[#This Row],[total amount]]/表格1[[#This Row],[PO$]])</f>
        <v>0</v>
      </c>
      <c r="AR733" s="223">
        <f ca="1">表格1[[#This Row],[invoice amount]]+表格1[[#This Row],[invoice amount2]]</f>
        <v>0</v>
      </c>
      <c r="AS733" s="224"/>
      <c r="AT733" s="208"/>
      <c r="AU733" s="208" t="e">
        <f ca="1">VLOOKUP(表格1[[#This Row],[PO+ITEM]],#REF!,2,FALSE)</f>
        <v>#REF!</v>
      </c>
      <c r="AV733" s="341" t="e">
        <f ca="1">VLOOKUP(表格1[[#This Row],[PO+ITEM]],#REF!,3,FALSE)</f>
        <v>#REF!</v>
      </c>
      <c r="AW733" s="208" t="e">
        <f ca="1">VLOOKUP(表格1[[#This Row],[PO+ITEM]],#REF!,4,FALSE)</f>
        <v>#REF!</v>
      </c>
      <c r="AX733" s="208" t="e" cm="1" vm="1">
        <f t="array" aca="1" ref="AX733" ca="1">VLOOKUP(AI:AI,#REF!,1,FALSE)</f>
        <v>#VALUE!</v>
      </c>
    </row>
    <row r="734" spans="1:50">
      <c r="A734" s="220">
        <v>733</v>
      </c>
      <c r="B734" s="220" t="s">
        <v>3659</v>
      </c>
      <c r="C734" s="209" t="s">
        <v>17</v>
      </c>
      <c r="D734" s="209" t="s">
        <v>3648</v>
      </c>
      <c r="E734" s="209"/>
      <c r="F734" s="209"/>
      <c r="G734" s="209"/>
      <c r="H734" s="217" t="s">
        <v>5418</v>
      </c>
      <c r="I734" s="217"/>
      <c r="J734" s="215"/>
      <c r="K734" s="217"/>
      <c r="L734" s="212" t="s">
        <v>2999</v>
      </c>
      <c r="M734" s="212" t="s">
        <v>2999</v>
      </c>
      <c r="N734" s="213"/>
      <c r="O734" s="263">
        <v>4590007763</v>
      </c>
      <c r="P734" s="214">
        <v>44861</v>
      </c>
      <c r="Q734" s="334">
        <v>1</v>
      </c>
      <c r="R734" s="216">
        <v>20857</v>
      </c>
      <c r="S734" s="217" t="s">
        <v>2156</v>
      </c>
      <c r="T734" s="209" t="s">
        <v>3713</v>
      </c>
      <c r="U734" s="209" t="s">
        <v>3714</v>
      </c>
      <c r="V734" s="213" t="s">
        <v>3715</v>
      </c>
      <c r="W734" s="218" t="s">
        <v>3652</v>
      </c>
      <c r="X734" s="218" t="s">
        <v>3652</v>
      </c>
      <c r="Y734" s="212" t="s">
        <v>4482</v>
      </c>
      <c r="Z734" s="209" t="s">
        <v>3716</v>
      </c>
      <c r="AA734" s="215"/>
      <c r="AB734" s="218"/>
      <c r="AC734" s="217" t="e">
        <v>#N/A</v>
      </c>
      <c r="AD734" s="217">
        <v>91412</v>
      </c>
      <c r="AE734" s="217" t="s">
        <v>5055</v>
      </c>
      <c r="AF734" s="217" t="s">
        <v>3665</v>
      </c>
      <c r="AG734" s="217" t="s">
        <v>3719</v>
      </c>
      <c r="AH734" s="220" t="str">
        <f t="shared" ref="AH734:AH742" si="47">O734&amp;"_00"&amp;Q734</f>
        <v>4590007763_001</v>
      </c>
      <c r="AI734" s="208"/>
      <c r="AJ734" s="220"/>
      <c r="AK734" s="221"/>
      <c r="AL734" s="227"/>
      <c r="AM734" s="208"/>
      <c r="AN734" s="220"/>
      <c r="AO734" s="222"/>
      <c r="AP734" s="227"/>
      <c r="AQ734" s="358">
        <f ca="1">IF(表格1[[#This Row],[PO$]]="","100%",表格1[[#This Row],[total amount]]/表格1[[#This Row],[PO$]])</f>
        <v>0</v>
      </c>
      <c r="AR734" s="223">
        <f ca="1">表格1[[#This Row],[invoice amount]]+表格1[[#This Row],[invoice amount2]]</f>
        <v>0</v>
      </c>
      <c r="AS734" s="224"/>
      <c r="AT734" s="208"/>
      <c r="AU734" s="208" t="e">
        <f ca="1">VLOOKUP(表格1[[#This Row],[PO+ITEM]],#REF!,2,FALSE)</f>
        <v>#REF!</v>
      </c>
      <c r="AV734" s="341" t="e">
        <f ca="1">VLOOKUP(表格1[[#This Row],[PO+ITEM]],#REF!,3,FALSE)</f>
        <v>#REF!</v>
      </c>
      <c r="AW734" s="208" t="e">
        <f ca="1">VLOOKUP(表格1[[#This Row],[PO+ITEM]],#REF!,4,FALSE)</f>
        <v>#REF!</v>
      </c>
      <c r="AX734" s="208" t="e" cm="1" vm="1">
        <f t="array" aca="1" ref="AX734" ca="1">VLOOKUP(AI:AI,#REF!,1,FALSE)</f>
        <v>#VALUE!</v>
      </c>
    </row>
    <row r="735" spans="1:50">
      <c r="A735" s="220">
        <v>734</v>
      </c>
      <c r="B735" s="220" t="e">
        <v>#N/A</v>
      </c>
      <c r="C735" s="209" t="s">
        <v>17</v>
      </c>
      <c r="D735" s="209" t="s">
        <v>3648</v>
      </c>
      <c r="E735" s="209"/>
      <c r="F735" s="209"/>
      <c r="G735" s="209"/>
      <c r="H735" s="210" t="s">
        <v>5419</v>
      </c>
      <c r="I735" s="210"/>
      <c r="J735" s="211"/>
      <c r="K735" s="210"/>
      <c r="L735" s="212" t="s">
        <v>2999</v>
      </c>
      <c r="M735" s="212" t="s">
        <v>2999</v>
      </c>
      <c r="N735" s="213"/>
      <c r="O735" s="263">
        <v>4590007763</v>
      </c>
      <c r="P735" s="214">
        <v>44861</v>
      </c>
      <c r="Q735" s="334">
        <v>2</v>
      </c>
      <c r="R735" s="216">
        <v>20857</v>
      </c>
      <c r="S735" s="217" t="s">
        <v>2156</v>
      </c>
      <c r="T735" s="209" t="s">
        <v>3713</v>
      </c>
      <c r="U735" s="209" t="s">
        <v>3714</v>
      </c>
      <c r="V735" s="213" t="s">
        <v>3715</v>
      </c>
      <c r="W735" s="218" t="s">
        <v>3652</v>
      </c>
      <c r="X735" s="218" t="s">
        <v>3652</v>
      </c>
      <c r="Y735" s="212" t="s">
        <v>4482</v>
      </c>
      <c r="Z735" s="209" t="s">
        <v>3716</v>
      </c>
      <c r="AA735" s="215"/>
      <c r="AB735" s="218"/>
      <c r="AC735" s="217" t="e">
        <v>#N/A</v>
      </c>
      <c r="AD735" s="217">
        <v>91429</v>
      </c>
      <c r="AE735" s="217" t="s">
        <v>5023</v>
      </c>
      <c r="AF735" s="217" t="s">
        <v>3665</v>
      </c>
      <c r="AG735" s="217" t="s">
        <v>3719</v>
      </c>
      <c r="AH735" s="220" t="str">
        <f t="shared" si="47"/>
        <v>4590007763_002</v>
      </c>
      <c r="AI735" s="208"/>
      <c r="AJ735" s="225">
        <v>45047</v>
      </c>
      <c r="AK735" s="221">
        <v>8342.8000000000011</v>
      </c>
      <c r="AL735" s="227">
        <v>45153</v>
      </c>
      <c r="AM735" s="208"/>
      <c r="AN735" s="220"/>
      <c r="AO735" s="222"/>
      <c r="AP735" s="227"/>
      <c r="AQ735" s="358">
        <f ca="1">IF(表格1[[#This Row],[PO$]]="","100%",表格1[[#This Row],[total amount]]/表格1[[#This Row],[PO$]])</f>
        <v>0.40000000000000008</v>
      </c>
      <c r="AR735" s="223">
        <f ca="1">表格1[[#This Row],[invoice amount]]+表格1[[#This Row],[invoice amount2]]</f>
        <v>8342.8000000000011</v>
      </c>
      <c r="AS735" s="224" t="s">
        <v>3673</v>
      </c>
      <c r="AT735" s="208"/>
      <c r="AU735" s="208" t="e">
        <f ca="1">VLOOKUP(表格1[[#This Row],[PO+ITEM]],#REF!,2,FALSE)</f>
        <v>#REF!</v>
      </c>
      <c r="AV735" s="341" t="e">
        <f ca="1">VLOOKUP(表格1[[#This Row],[PO+ITEM]],#REF!,3,FALSE)</f>
        <v>#REF!</v>
      </c>
      <c r="AW735" s="208" t="e">
        <f ca="1">VLOOKUP(表格1[[#This Row],[PO+ITEM]],#REF!,4,FALSE)</f>
        <v>#REF!</v>
      </c>
      <c r="AX735" s="208" t="e" cm="1" vm="1">
        <f t="array" aca="1" ref="AX735" ca="1">VLOOKUP(AI:AI,#REF!,1,FALSE)</f>
        <v>#VALUE!</v>
      </c>
    </row>
    <row r="736" spans="1:50">
      <c r="A736" s="220">
        <v>735</v>
      </c>
      <c r="B736" s="220" t="s">
        <v>3659</v>
      </c>
      <c r="C736" s="209" t="s">
        <v>17</v>
      </c>
      <c r="D736" s="209" t="s">
        <v>3648</v>
      </c>
      <c r="E736" s="209"/>
      <c r="F736" s="209"/>
      <c r="G736" s="209"/>
      <c r="H736" s="210" t="s">
        <v>5420</v>
      </c>
      <c r="I736" s="210"/>
      <c r="J736" s="211"/>
      <c r="K736" s="210"/>
      <c r="L736" s="212" t="s">
        <v>2999</v>
      </c>
      <c r="M736" s="212" t="s">
        <v>2999</v>
      </c>
      <c r="N736" s="213"/>
      <c r="O736" s="263">
        <v>4590007763</v>
      </c>
      <c r="P736" s="214">
        <v>44861</v>
      </c>
      <c r="Q736" s="334">
        <v>3</v>
      </c>
      <c r="R736" s="216">
        <v>34802</v>
      </c>
      <c r="S736" s="217" t="s">
        <v>2156</v>
      </c>
      <c r="T736" s="209" t="s">
        <v>3713</v>
      </c>
      <c r="U736" s="209" t="s">
        <v>3714</v>
      </c>
      <c r="V736" s="213" t="s">
        <v>3715</v>
      </c>
      <c r="W736" s="218" t="s">
        <v>3652</v>
      </c>
      <c r="X736" s="218" t="s">
        <v>3652</v>
      </c>
      <c r="Y736" s="212" t="s">
        <v>4482</v>
      </c>
      <c r="Z736" s="209" t="s">
        <v>3716</v>
      </c>
      <c r="AA736" s="215"/>
      <c r="AB736" s="218"/>
      <c r="AC736" s="217" t="e">
        <v>#N/A</v>
      </c>
      <c r="AD736" s="217">
        <v>91367</v>
      </c>
      <c r="AE736" s="217" t="s">
        <v>5052</v>
      </c>
      <c r="AF736" s="217" t="s">
        <v>3665</v>
      </c>
      <c r="AG736" s="217" t="s">
        <v>3719</v>
      </c>
      <c r="AH736" s="220" t="str">
        <f t="shared" si="47"/>
        <v>4590007763_003</v>
      </c>
      <c r="AI736" s="208"/>
      <c r="AJ736" s="225">
        <v>45047</v>
      </c>
      <c r="AK736" s="221">
        <v>13920.800000000001</v>
      </c>
      <c r="AL736" s="227">
        <v>45153</v>
      </c>
      <c r="AM736" s="208"/>
      <c r="AN736" s="220"/>
      <c r="AO736" s="222"/>
      <c r="AP736" s="227"/>
      <c r="AQ736" s="358">
        <f ca="1">IF(表格1[[#This Row],[PO$]]="","100%",表格1[[#This Row],[total amount]]/表格1[[#This Row],[PO$]])</f>
        <v>0.4</v>
      </c>
      <c r="AR736" s="223">
        <f ca="1">表格1[[#This Row],[invoice amount]]+表格1[[#This Row],[invoice amount2]]</f>
        <v>13920.800000000001</v>
      </c>
      <c r="AS736" s="224" t="s">
        <v>3673</v>
      </c>
      <c r="AT736" s="208"/>
      <c r="AU736" s="208" t="e">
        <f ca="1">VLOOKUP(表格1[[#This Row],[PO+ITEM]],#REF!,2,FALSE)</f>
        <v>#REF!</v>
      </c>
      <c r="AV736" s="341" t="e">
        <f ca="1">VLOOKUP(表格1[[#This Row],[PO+ITEM]],#REF!,3,FALSE)</f>
        <v>#REF!</v>
      </c>
      <c r="AW736" s="208" t="e">
        <f ca="1">VLOOKUP(表格1[[#This Row],[PO+ITEM]],#REF!,4,FALSE)</f>
        <v>#REF!</v>
      </c>
      <c r="AX736" s="208" t="e" cm="1" vm="1">
        <f t="array" aca="1" ref="AX736" ca="1">VLOOKUP(AI:AI,#REF!,1,FALSE)</f>
        <v>#VALUE!</v>
      </c>
    </row>
    <row r="737" spans="1:50">
      <c r="A737" s="220">
        <v>736</v>
      </c>
      <c r="B737" s="220" t="s">
        <v>3674</v>
      </c>
      <c r="C737" s="209" t="s">
        <v>17</v>
      </c>
      <c r="D737" s="209" t="s">
        <v>3648</v>
      </c>
      <c r="E737" s="209"/>
      <c r="F737" s="209"/>
      <c r="G737" s="209"/>
      <c r="H737" s="210" t="s">
        <v>5421</v>
      </c>
      <c r="I737" s="210"/>
      <c r="J737" s="211"/>
      <c r="K737" s="210"/>
      <c r="L737" s="212" t="s">
        <v>2999</v>
      </c>
      <c r="M737" s="212" t="s">
        <v>2999</v>
      </c>
      <c r="N737" s="213"/>
      <c r="O737" s="263">
        <v>4590007763</v>
      </c>
      <c r="P737" s="214">
        <v>44861</v>
      </c>
      <c r="Q737" s="334">
        <v>4</v>
      </c>
      <c r="R737" s="216">
        <v>34802</v>
      </c>
      <c r="S737" s="217" t="s">
        <v>2156</v>
      </c>
      <c r="T737" s="209" t="s">
        <v>3713</v>
      </c>
      <c r="U737" s="209" t="s">
        <v>3714</v>
      </c>
      <c r="V737" s="213" t="s">
        <v>3715</v>
      </c>
      <c r="W737" s="218" t="s">
        <v>3652</v>
      </c>
      <c r="X737" s="218" t="s">
        <v>3652</v>
      </c>
      <c r="Y737" s="212" t="s">
        <v>4482</v>
      </c>
      <c r="Z737" s="209" t="s">
        <v>3716</v>
      </c>
      <c r="AA737" s="215"/>
      <c r="AB737" s="218"/>
      <c r="AC737" s="217" t="e">
        <v>#N/A</v>
      </c>
      <c r="AD737" s="217">
        <v>90298</v>
      </c>
      <c r="AE737" s="217" t="s">
        <v>4509</v>
      </c>
      <c r="AF737" s="217" t="s">
        <v>3665</v>
      </c>
      <c r="AG737" s="217" t="s">
        <v>3719</v>
      </c>
      <c r="AH737" s="220" t="str">
        <f t="shared" si="47"/>
        <v>4590007763_004</v>
      </c>
      <c r="AI737" s="208"/>
      <c r="AJ737" s="220"/>
      <c r="AK737" s="221"/>
      <c r="AL737" s="227"/>
      <c r="AM737" s="208"/>
      <c r="AN737" s="220"/>
      <c r="AO737" s="222"/>
      <c r="AP737" s="227"/>
      <c r="AQ737" s="358">
        <f ca="1">IF(表格1[[#This Row],[PO$]]="","100%",表格1[[#This Row],[total amount]]/表格1[[#This Row],[PO$]])</f>
        <v>0</v>
      </c>
      <c r="AR737" s="223">
        <f ca="1">表格1[[#This Row],[invoice amount]]+表格1[[#This Row],[invoice amount2]]</f>
        <v>0</v>
      </c>
      <c r="AS737" s="224"/>
      <c r="AT737" s="208"/>
      <c r="AU737" s="208" t="e">
        <f ca="1">VLOOKUP(表格1[[#This Row],[PO+ITEM]],#REF!,2,FALSE)</f>
        <v>#REF!</v>
      </c>
      <c r="AV737" s="341" t="e">
        <f ca="1">VLOOKUP(表格1[[#This Row],[PO+ITEM]],#REF!,3,FALSE)</f>
        <v>#REF!</v>
      </c>
      <c r="AW737" s="208" t="e">
        <f ca="1">VLOOKUP(表格1[[#This Row],[PO+ITEM]],#REF!,4,FALSE)</f>
        <v>#REF!</v>
      </c>
      <c r="AX737" s="208" t="e" cm="1" vm="1">
        <f t="array" aca="1" ref="AX737" ca="1">VLOOKUP(AI:AI,#REF!,1,FALSE)</f>
        <v>#VALUE!</v>
      </c>
    </row>
    <row r="738" spans="1:50" ht="15.6">
      <c r="A738" s="220">
        <v>737</v>
      </c>
      <c r="B738" s="220" t="s">
        <v>3674</v>
      </c>
      <c r="C738" s="209" t="s">
        <v>17</v>
      </c>
      <c r="D738" s="209" t="s">
        <v>3648</v>
      </c>
      <c r="E738" s="209"/>
      <c r="F738" s="209"/>
      <c r="G738" s="209"/>
      <c r="H738" s="210" t="s">
        <v>5423</v>
      </c>
      <c r="I738" s="210"/>
      <c r="J738" s="211"/>
      <c r="K738" s="210"/>
      <c r="L738" s="212" t="s">
        <v>2999</v>
      </c>
      <c r="M738" s="212" t="s">
        <v>2999</v>
      </c>
      <c r="N738" s="213"/>
      <c r="O738" s="263">
        <v>4590007763</v>
      </c>
      <c r="P738" s="214">
        <v>44861</v>
      </c>
      <c r="Q738" s="334">
        <v>5</v>
      </c>
      <c r="R738" s="216">
        <v>44654</v>
      </c>
      <c r="S738" s="217" t="s">
        <v>2156</v>
      </c>
      <c r="T738" s="209" t="s">
        <v>3713</v>
      </c>
      <c r="U738" s="209" t="s">
        <v>3714</v>
      </c>
      <c r="V738" s="213" t="s">
        <v>3715</v>
      </c>
      <c r="W738" s="218" t="s">
        <v>3652</v>
      </c>
      <c r="X738" s="218" t="s">
        <v>3652</v>
      </c>
      <c r="Y738" s="212" t="s">
        <v>4482</v>
      </c>
      <c r="Z738" s="209" t="s">
        <v>3716</v>
      </c>
      <c r="AA738" s="215"/>
      <c r="AB738" s="218"/>
      <c r="AC738" s="217" t="e">
        <v>#N/A</v>
      </c>
      <c r="AD738" s="217">
        <v>90084</v>
      </c>
      <c r="AE738" s="217" t="s">
        <v>4150</v>
      </c>
      <c r="AF738" s="217" t="s">
        <v>3665</v>
      </c>
      <c r="AG738" s="217" t="s">
        <v>3719</v>
      </c>
      <c r="AH738" s="220" t="str">
        <f t="shared" si="47"/>
        <v>4590007763_005</v>
      </c>
      <c r="AI738" s="208"/>
      <c r="AJ738" s="225">
        <v>45047</v>
      </c>
      <c r="AK738" s="221">
        <v>17861.600000000002</v>
      </c>
      <c r="AL738" s="227">
        <v>45153</v>
      </c>
      <c r="AM738" s="208"/>
      <c r="AN738" s="225">
        <v>45261</v>
      </c>
      <c r="AO738" s="222">
        <v>24559.7</v>
      </c>
      <c r="AP738" s="244">
        <v>45380</v>
      </c>
      <c r="AQ738" s="358">
        <f ca="1">IF(表格1[[#This Row],[PO$]]="","100%",表格1[[#This Row],[total amount]]/表格1[[#This Row],[PO$]])</f>
        <v>0.95000000000000007</v>
      </c>
      <c r="AR738" s="223">
        <f ca="1">表格1[[#This Row],[invoice amount]]+表格1[[#This Row],[invoice amount2]]</f>
        <v>42421.3</v>
      </c>
      <c r="AS738" s="224" t="s">
        <v>3673</v>
      </c>
      <c r="AT738" s="208"/>
      <c r="AU738" s="208" t="e">
        <f ca="1">VLOOKUP(表格1[[#This Row],[PO+ITEM]],#REF!,2,FALSE)</f>
        <v>#REF!</v>
      </c>
      <c r="AV738" s="341" t="e">
        <f ca="1">VLOOKUP(表格1[[#This Row],[PO+ITEM]],#REF!,3,FALSE)</f>
        <v>#REF!</v>
      </c>
      <c r="AW738" s="208" t="e">
        <f ca="1">VLOOKUP(表格1[[#This Row],[PO+ITEM]],#REF!,4,FALSE)</f>
        <v>#REF!</v>
      </c>
      <c r="AX738" s="208" t="e" cm="1" vm="1">
        <f t="array" aca="1" ref="AX738" ca="1">VLOOKUP(AI:AI,#REF!,1,FALSE)</f>
        <v>#VALUE!</v>
      </c>
    </row>
    <row r="739" spans="1:50">
      <c r="A739" s="220">
        <v>738</v>
      </c>
      <c r="B739" s="220" t="s">
        <v>3674</v>
      </c>
      <c r="C739" s="209" t="s">
        <v>17</v>
      </c>
      <c r="D739" s="209" t="s">
        <v>3648</v>
      </c>
      <c r="E739" s="209"/>
      <c r="F739" s="209"/>
      <c r="G739" s="209"/>
      <c r="H739" s="217" t="s">
        <v>5424</v>
      </c>
      <c r="I739" s="217"/>
      <c r="J739" s="215"/>
      <c r="K739" s="217"/>
      <c r="L739" s="212" t="s">
        <v>2999</v>
      </c>
      <c r="M739" s="212" t="s">
        <v>2999</v>
      </c>
      <c r="N739" s="213"/>
      <c r="O739" s="263">
        <v>4590007763</v>
      </c>
      <c r="P739" s="214">
        <v>44861</v>
      </c>
      <c r="Q739" s="334">
        <v>6</v>
      </c>
      <c r="R739" s="216">
        <v>44654</v>
      </c>
      <c r="S739" s="217" t="s">
        <v>2156</v>
      </c>
      <c r="T739" s="209" t="s">
        <v>3713</v>
      </c>
      <c r="U739" s="209" t="s">
        <v>3714</v>
      </c>
      <c r="V739" s="213" t="s">
        <v>3715</v>
      </c>
      <c r="W739" s="218" t="s">
        <v>3652</v>
      </c>
      <c r="X739" s="218" t="s">
        <v>3652</v>
      </c>
      <c r="Y739" s="212" t="s">
        <v>4482</v>
      </c>
      <c r="Z739" s="209" t="s">
        <v>3716</v>
      </c>
      <c r="AA739" s="215"/>
      <c r="AB739" s="218"/>
      <c r="AC739" s="217" t="e">
        <v>#N/A</v>
      </c>
      <c r="AD739" s="217">
        <v>90082</v>
      </c>
      <c r="AE739" s="217" t="s">
        <v>4499</v>
      </c>
      <c r="AF739" s="217" t="s">
        <v>3665</v>
      </c>
      <c r="AG739" s="217" t="s">
        <v>3719</v>
      </c>
      <c r="AH739" s="220" t="str">
        <f t="shared" si="47"/>
        <v>4590007763_006</v>
      </c>
      <c r="AI739" s="208"/>
      <c r="AJ739" s="225">
        <v>45047</v>
      </c>
      <c r="AK739" s="221">
        <v>17861.600000000002</v>
      </c>
      <c r="AL739" s="227">
        <v>45153</v>
      </c>
      <c r="AM739" s="208" t="s">
        <v>5425</v>
      </c>
      <c r="AN739" s="227">
        <v>45422</v>
      </c>
      <c r="AO739" s="222">
        <v>26792.399999999998</v>
      </c>
      <c r="AP739" s="227">
        <v>45471</v>
      </c>
      <c r="AQ739" s="358">
        <f ca="1">IF(表格1[[#This Row],[PO$]]="","100%",表格1[[#This Row],[total amount]]/表格1[[#This Row],[PO$]])</f>
        <v>1</v>
      </c>
      <c r="AR739" s="223">
        <f ca="1">表格1[[#This Row],[invoice amount]]+表格1[[#This Row],[invoice amount2]]</f>
        <v>44654</v>
      </c>
      <c r="AS739" s="224" t="s">
        <v>3673</v>
      </c>
      <c r="AT739" s="208" t="s">
        <v>3657</v>
      </c>
      <c r="AU739" s="208" t="e">
        <f ca="1">VLOOKUP(表格1[[#This Row],[PO+ITEM]],#REF!,2,FALSE)</f>
        <v>#REF!</v>
      </c>
      <c r="AV739" s="341" t="e">
        <f ca="1">VLOOKUP(表格1[[#This Row],[PO+ITEM]],#REF!,3,FALSE)</f>
        <v>#REF!</v>
      </c>
      <c r="AW739" s="208" t="e">
        <f ca="1">VLOOKUP(表格1[[#This Row],[PO+ITEM]],#REF!,4,FALSE)</f>
        <v>#REF!</v>
      </c>
      <c r="AX739" s="208" t="e" cm="1" vm="1">
        <f t="array" aca="1" ref="AX739" ca="1">VLOOKUP(AI:AI,#REF!,1,FALSE)</f>
        <v>#VALUE!</v>
      </c>
    </row>
    <row r="740" spans="1:50">
      <c r="A740" s="220">
        <v>739</v>
      </c>
      <c r="B740" s="220" t="s">
        <v>3659</v>
      </c>
      <c r="C740" s="209" t="s">
        <v>17</v>
      </c>
      <c r="D740" s="209" t="s">
        <v>3648</v>
      </c>
      <c r="E740" s="209"/>
      <c r="F740" s="209"/>
      <c r="G740" s="209"/>
      <c r="H740" s="217" t="s">
        <v>5426</v>
      </c>
      <c r="I740" s="217"/>
      <c r="J740" s="215"/>
      <c r="K740" s="217"/>
      <c r="L740" s="212" t="s">
        <v>2999</v>
      </c>
      <c r="M740" s="212" t="s">
        <v>2999</v>
      </c>
      <c r="N740" s="213"/>
      <c r="O740" s="263">
        <v>4590007763</v>
      </c>
      <c r="P740" s="214">
        <v>44861</v>
      </c>
      <c r="Q740" s="334">
        <v>7</v>
      </c>
      <c r="R740" s="216">
        <v>44654</v>
      </c>
      <c r="S740" s="217" t="s">
        <v>2156</v>
      </c>
      <c r="T740" s="209" t="s">
        <v>3713</v>
      </c>
      <c r="U740" s="209" t="s">
        <v>3714</v>
      </c>
      <c r="V740" s="213" t="s">
        <v>3715</v>
      </c>
      <c r="W740" s="218" t="s">
        <v>3652</v>
      </c>
      <c r="X740" s="218" t="s">
        <v>3652</v>
      </c>
      <c r="Y740" s="212" t="s">
        <v>4482</v>
      </c>
      <c r="Z740" s="209" t="s">
        <v>3716</v>
      </c>
      <c r="AA740" s="215"/>
      <c r="AB740" s="218"/>
      <c r="AC740" s="217" t="e">
        <v>#N/A</v>
      </c>
      <c r="AD740" s="217">
        <v>90083</v>
      </c>
      <c r="AE740" s="217" t="s">
        <v>4502</v>
      </c>
      <c r="AF740" s="217" t="s">
        <v>3665</v>
      </c>
      <c r="AG740" s="217" t="s">
        <v>3719</v>
      </c>
      <c r="AH740" s="220" t="str">
        <f t="shared" si="47"/>
        <v>4590007763_007</v>
      </c>
      <c r="AI740" s="208"/>
      <c r="AJ740" s="225">
        <v>45047</v>
      </c>
      <c r="AK740" s="221">
        <v>17861.600000000002</v>
      </c>
      <c r="AL740" s="227">
        <v>45153</v>
      </c>
      <c r="AM740" s="208"/>
      <c r="AN740" s="220"/>
      <c r="AO740" s="222"/>
      <c r="AP740" s="227"/>
      <c r="AQ740" s="358">
        <f ca="1">IF(表格1[[#This Row],[PO$]]="","100%",表格1[[#This Row],[total amount]]/表格1[[#This Row],[PO$]])</f>
        <v>0.4</v>
      </c>
      <c r="AR740" s="223">
        <f ca="1">表格1[[#This Row],[invoice amount]]+表格1[[#This Row],[invoice amount2]]</f>
        <v>17861.600000000002</v>
      </c>
      <c r="AS740" s="224" t="s">
        <v>3673</v>
      </c>
      <c r="AT740" s="208"/>
      <c r="AU740" s="208" t="e">
        <f ca="1">VLOOKUP(表格1[[#This Row],[PO+ITEM]],#REF!,2,FALSE)</f>
        <v>#REF!</v>
      </c>
      <c r="AV740" s="341" t="e">
        <f ca="1">VLOOKUP(表格1[[#This Row],[PO+ITEM]],#REF!,3,FALSE)</f>
        <v>#REF!</v>
      </c>
      <c r="AW740" s="208" t="e">
        <f ca="1">VLOOKUP(表格1[[#This Row],[PO+ITEM]],#REF!,4,FALSE)</f>
        <v>#REF!</v>
      </c>
      <c r="AX740" s="208" t="e" cm="1" vm="1">
        <f t="array" aca="1" ref="AX740" ca="1">VLOOKUP(AI:AI,#REF!,1,FALSE)</f>
        <v>#VALUE!</v>
      </c>
    </row>
    <row r="741" spans="1:50">
      <c r="A741" s="220">
        <v>740</v>
      </c>
      <c r="B741" s="220" t="s">
        <v>3674</v>
      </c>
      <c r="C741" s="209" t="s">
        <v>17</v>
      </c>
      <c r="D741" s="209" t="s">
        <v>3648</v>
      </c>
      <c r="E741" s="209"/>
      <c r="F741" s="209"/>
      <c r="G741" s="209"/>
      <c r="H741" s="210" t="s">
        <v>5427</v>
      </c>
      <c r="I741" s="210"/>
      <c r="J741" s="211"/>
      <c r="K741" s="210"/>
      <c r="L741" s="212" t="s">
        <v>2999</v>
      </c>
      <c r="M741" s="212" t="s">
        <v>2999</v>
      </c>
      <c r="N741" s="213"/>
      <c r="O741" s="263">
        <v>4590007763</v>
      </c>
      <c r="P741" s="214">
        <v>44861</v>
      </c>
      <c r="Q741" s="334">
        <v>8</v>
      </c>
      <c r="R741" s="216">
        <v>44654</v>
      </c>
      <c r="S741" s="217" t="s">
        <v>2156</v>
      </c>
      <c r="T741" s="209" t="s">
        <v>3713</v>
      </c>
      <c r="U741" s="209" t="s">
        <v>3714</v>
      </c>
      <c r="V741" s="213" t="s">
        <v>3715</v>
      </c>
      <c r="W741" s="218" t="s">
        <v>3652</v>
      </c>
      <c r="X741" s="218" t="s">
        <v>3652</v>
      </c>
      <c r="Y741" s="212" t="s">
        <v>4482</v>
      </c>
      <c r="Z741" s="209" t="s">
        <v>3716</v>
      </c>
      <c r="AA741" s="215"/>
      <c r="AB741" s="218"/>
      <c r="AC741" s="217" t="e">
        <v>#N/A</v>
      </c>
      <c r="AD741" s="217">
        <v>90299</v>
      </c>
      <c r="AE741" s="217" t="s">
        <v>4506</v>
      </c>
      <c r="AF741" s="217" t="s">
        <v>3665</v>
      </c>
      <c r="AG741" s="217" t="s">
        <v>3719</v>
      </c>
      <c r="AH741" s="220" t="str">
        <f t="shared" si="47"/>
        <v>4590007763_008</v>
      </c>
      <c r="AI741" s="208"/>
      <c r="AJ741" s="225">
        <v>45047</v>
      </c>
      <c r="AK741" s="221">
        <v>17861.600000000002</v>
      </c>
      <c r="AL741" s="227">
        <v>45153</v>
      </c>
      <c r="AM741" s="208" t="s">
        <v>5428</v>
      </c>
      <c r="AN741" s="227">
        <v>45422</v>
      </c>
      <c r="AO741" s="222">
        <v>26792.399999999998</v>
      </c>
      <c r="AP741" s="227">
        <v>45471</v>
      </c>
      <c r="AQ741" s="358">
        <f ca="1">IF(表格1[[#This Row],[PO$]]="","100%",表格1[[#This Row],[total amount]]/表格1[[#This Row],[PO$]])</f>
        <v>1</v>
      </c>
      <c r="AR741" s="223">
        <f ca="1">表格1[[#This Row],[invoice amount]]+表格1[[#This Row],[invoice amount2]]</f>
        <v>44654</v>
      </c>
      <c r="AS741" s="224" t="s">
        <v>3673</v>
      </c>
      <c r="AT741" s="208" t="s">
        <v>3657</v>
      </c>
      <c r="AU741" s="208" t="e">
        <f ca="1">VLOOKUP(表格1[[#This Row],[PO+ITEM]],#REF!,2,FALSE)</f>
        <v>#REF!</v>
      </c>
      <c r="AV741" s="341" t="e">
        <f ca="1">VLOOKUP(表格1[[#This Row],[PO+ITEM]],#REF!,3,FALSE)</f>
        <v>#REF!</v>
      </c>
      <c r="AW741" s="208" t="e">
        <f ca="1">VLOOKUP(表格1[[#This Row],[PO+ITEM]],#REF!,4,FALSE)</f>
        <v>#REF!</v>
      </c>
      <c r="AX741" s="208" t="e" cm="1" vm="1">
        <f t="array" aca="1" ref="AX741" ca="1">VLOOKUP(AI:AI,#REF!,1,FALSE)</f>
        <v>#VALUE!</v>
      </c>
    </row>
    <row r="742" spans="1:50">
      <c r="A742" s="220">
        <v>741</v>
      </c>
      <c r="B742" s="220" t="s">
        <v>3659</v>
      </c>
      <c r="C742" s="209" t="s">
        <v>17</v>
      </c>
      <c r="D742" s="209" t="s">
        <v>3648</v>
      </c>
      <c r="E742" s="209"/>
      <c r="F742" s="209"/>
      <c r="G742" s="209"/>
      <c r="H742" s="210" t="s">
        <v>5429</v>
      </c>
      <c r="I742" s="210"/>
      <c r="J742" s="211"/>
      <c r="K742" s="210"/>
      <c r="L742" s="212" t="s">
        <v>2999</v>
      </c>
      <c r="M742" s="212" t="s">
        <v>2999</v>
      </c>
      <c r="N742" s="213"/>
      <c r="O742" s="263">
        <v>4590007763</v>
      </c>
      <c r="P742" s="214">
        <v>44861</v>
      </c>
      <c r="Q742" s="334">
        <v>9</v>
      </c>
      <c r="R742" s="216">
        <v>54629</v>
      </c>
      <c r="S742" s="217" t="s">
        <v>2156</v>
      </c>
      <c r="T742" s="209" t="s">
        <v>3713</v>
      </c>
      <c r="U742" s="209" t="s">
        <v>3714</v>
      </c>
      <c r="V742" s="213" t="s">
        <v>3715</v>
      </c>
      <c r="W742" s="218" t="s">
        <v>3652</v>
      </c>
      <c r="X742" s="218" t="s">
        <v>3652</v>
      </c>
      <c r="Y742" s="212" t="s">
        <v>4482</v>
      </c>
      <c r="Z742" s="209" t="s">
        <v>3716</v>
      </c>
      <c r="AA742" s="215"/>
      <c r="AB742" s="218"/>
      <c r="AC742" s="217" t="e">
        <v>#N/A</v>
      </c>
      <c r="AD742" s="217">
        <v>91366</v>
      </c>
      <c r="AE742" s="217" t="s">
        <v>5050</v>
      </c>
      <c r="AF742" s="217" t="s">
        <v>3665</v>
      </c>
      <c r="AG742" s="217" t="s">
        <v>3719</v>
      </c>
      <c r="AH742" s="220" t="str">
        <f t="shared" si="47"/>
        <v>4590007763_009</v>
      </c>
      <c r="AI742" s="208"/>
      <c r="AJ742" s="220"/>
      <c r="AK742" s="221"/>
      <c r="AL742" s="227"/>
      <c r="AM742" s="208"/>
      <c r="AN742" s="220"/>
      <c r="AO742" s="222"/>
      <c r="AP742" s="227"/>
      <c r="AQ742" s="358">
        <f ca="1">IF(表格1[[#This Row],[PO$]]="","100%",表格1[[#This Row],[total amount]]/表格1[[#This Row],[PO$]])</f>
        <v>0</v>
      </c>
      <c r="AR742" s="223">
        <f ca="1">表格1[[#This Row],[invoice amount]]+表格1[[#This Row],[invoice amount2]]</f>
        <v>0</v>
      </c>
      <c r="AS742" s="224"/>
      <c r="AT742" s="208"/>
      <c r="AU742" s="208" t="e">
        <f ca="1">VLOOKUP(表格1[[#This Row],[PO+ITEM]],#REF!,2,FALSE)</f>
        <v>#REF!</v>
      </c>
      <c r="AV742" s="341" t="e">
        <f ca="1">VLOOKUP(表格1[[#This Row],[PO+ITEM]],#REF!,3,FALSE)</f>
        <v>#REF!</v>
      </c>
      <c r="AW742" s="208" t="e">
        <f ca="1">VLOOKUP(表格1[[#This Row],[PO+ITEM]],#REF!,4,FALSE)</f>
        <v>#REF!</v>
      </c>
      <c r="AX742" s="208" t="e" cm="1" vm="1">
        <f t="array" aca="1" ref="AX742" ca="1">VLOOKUP(AI:AI,#REF!,1,FALSE)</f>
        <v>#VALUE!</v>
      </c>
    </row>
    <row r="743" spans="1:50">
      <c r="A743" s="220">
        <v>742</v>
      </c>
      <c r="B743" s="220" t="s">
        <v>3674</v>
      </c>
      <c r="C743" s="209" t="s">
        <v>17</v>
      </c>
      <c r="D743" s="209" t="s">
        <v>3648</v>
      </c>
      <c r="E743" s="209"/>
      <c r="F743" s="209"/>
      <c r="G743" s="209"/>
      <c r="H743" s="210" t="s">
        <v>5430</v>
      </c>
      <c r="I743" s="210"/>
      <c r="J743" s="211"/>
      <c r="K743" s="210"/>
      <c r="L743" s="212" t="s">
        <v>2999</v>
      </c>
      <c r="M743" s="212" t="s">
        <v>2999</v>
      </c>
      <c r="N743" s="213"/>
      <c r="O743" s="263">
        <v>4590007763</v>
      </c>
      <c r="P743" s="214">
        <v>44861</v>
      </c>
      <c r="Q743" s="334">
        <v>10</v>
      </c>
      <c r="R743" s="216">
        <v>54629</v>
      </c>
      <c r="S743" s="217" t="s">
        <v>2156</v>
      </c>
      <c r="T743" s="209" t="s">
        <v>3713</v>
      </c>
      <c r="U743" s="209" t="s">
        <v>3714</v>
      </c>
      <c r="V743" s="213" t="s">
        <v>3715</v>
      </c>
      <c r="W743" s="218" t="s">
        <v>3652</v>
      </c>
      <c r="X743" s="218" t="s">
        <v>3652</v>
      </c>
      <c r="Y743" s="212" t="s">
        <v>4482</v>
      </c>
      <c r="Z743" s="209" t="s">
        <v>3716</v>
      </c>
      <c r="AA743" s="215"/>
      <c r="AB743" s="218"/>
      <c r="AC743" s="217" t="e">
        <v>#N/A</v>
      </c>
      <c r="AD743" s="217">
        <v>90489</v>
      </c>
      <c r="AE743" s="217" t="s">
        <v>4496</v>
      </c>
      <c r="AF743" s="217" t="s">
        <v>3665</v>
      </c>
      <c r="AG743" s="217" t="s">
        <v>3719</v>
      </c>
      <c r="AH743" s="220" t="str">
        <f t="shared" ref="AH743:AH751" si="48">O743&amp;"_0"&amp;Q743</f>
        <v>4590007763_010</v>
      </c>
      <c r="AI743" s="208" t="s">
        <v>5431</v>
      </c>
      <c r="AJ743" s="227">
        <v>45401</v>
      </c>
      <c r="AK743" s="221">
        <v>54629</v>
      </c>
      <c r="AL743" s="227">
        <v>45488</v>
      </c>
      <c r="AM743" s="208"/>
      <c r="AN743" s="220"/>
      <c r="AO743" s="222"/>
      <c r="AP743" s="227"/>
      <c r="AQ743" s="358">
        <f ca="1">IF(表格1[[#This Row],[PO$]]="","100%",表格1[[#This Row],[total amount]]/表格1[[#This Row],[PO$]])</f>
        <v>1</v>
      </c>
      <c r="AR743" s="223">
        <f ca="1">表格1[[#This Row],[invoice amount]]+表格1[[#This Row],[invoice amount2]]</f>
        <v>54629</v>
      </c>
      <c r="AS743" s="224" t="s">
        <v>3673</v>
      </c>
      <c r="AT743" s="208"/>
      <c r="AU743" s="208" t="e">
        <f ca="1">VLOOKUP(表格1[[#This Row],[PO+ITEM]],#REF!,2,FALSE)</f>
        <v>#REF!</v>
      </c>
      <c r="AV743" s="341" t="e">
        <f ca="1">VLOOKUP(表格1[[#This Row],[PO+ITEM]],#REF!,3,FALSE)</f>
        <v>#REF!</v>
      </c>
      <c r="AW743" s="208" t="e">
        <f ca="1">VLOOKUP(表格1[[#This Row],[PO+ITEM]],#REF!,4,FALSE)</f>
        <v>#REF!</v>
      </c>
      <c r="AX743" s="208" t="e" cm="1" vm="1">
        <f t="array" aca="1" ref="AX743" ca="1">VLOOKUP(AI:AI,#REF!,1,FALSE)</f>
        <v>#VALUE!</v>
      </c>
    </row>
    <row r="744" spans="1:50">
      <c r="A744" s="220">
        <v>743</v>
      </c>
      <c r="B744" s="220" t="s">
        <v>3674</v>
      </c>
      <c r="C744" s="209" t="s">
        <v>17</v>
      </c>
      <c r="D744" s="209" t="s">
        <v>3648</v>
      </c>
      <c r="E744" s="209"/>
      <c r="F744" s="209"/>
      <c r="G744" s="209"/>
      <c r="H744" s="210" t="s">
        <v>5432</v>
      </c>
      <c r="I744" s="210"/>
      <c r="J744" s="211"/>
      <c r="K744" s="210"/>
      <c r="L744" s="212" t="s">
        <v>2999</v>
      </c>
      <c r="M744" s="212" t="s">
        <v>2999</v>
      </c>
      <c r="N744" s="213"/>
      <c r="O744" s="263">
        <v>4590007763</v>
      </c>
      <c r="P744" s="214">
        <v>44861</v>
      </c>
      <c r="Q744" s="334">
        <v>11</v>
      </c>
      <c r="R744" s="216">
        <v>34754</v>
      </c>
      <c r="S744" s="217" t="s">
        <v>2156</v>
      </c>
      <c r="T744" s="209" t="s">
        <v>3713</v>
      </c>
      <c r="U744" s="209" t="s">
        <v>3714</v>
      </c>
      <c r="V744" s="213" t="s">
        <v>3715</v>
      </c>
      <c r="W744" s="218" t="s">
        <v>3652</v>
      </c>
      <c r="X744" s="218" t="s">
        <v>3652</v>
      </c>
      <c r="Y744" s="212" t="s">
        <v>4482</v>
      </c>
      <c r="Z744" s="209" t="s">
        <v>3716</v>
      </c>
      <c r="AA744" s="215"/>
      <c r="AB744" s="218"/>
      <c r="AC744" s="217" t="e">
        <v>#N/A</v>
      </c>
      <c r="AD744" s="217">
        <v>90131</v>
      </c>
      <c r="AE744" s="217" t="s">
        <v>4490</v>
      </c>
      <c r="AF744" s="217" t="s">
        <v>3665</v>
      </c>
      <c r="AG744" s="217" t="s">
        <v>3719</v>
      </c>
      <c r="AH744" s="220" t="str">
        <f t="shared" si="48"/>
        <v>4590007763_011</v>
      </c>
      <c r="AI744" s="208"/>
      <c r="AJ744" s="225">
        <v>45047</v>
      </c>
      <c r="AK744" s="221">
        <v>13901.6</v>
      </c>
      <c r="AL744" s="227">
        <v>45153</v>
      </c>
      <c r="AM744" s="208" t="s">
        <v>5433</v>
      </c>
      <c r="AN744" s="227">
        <v>45401</v>
      </c>
      <c r="AO744" s="221">
        <v>20852.400000000001</v>
      </c>
      <c r="AP744" s="227">
        <v>45442</v>
      </c>
      <c r="AQ744" s="358">
        <f ca="1">IF(表格1[[#This Row],[PO$]]="","100%",表格1[[#This Row],[total amount]]/表格1[[#This Row],[PO$]])</f>
        <v>1</v>
      </c>
      <c r="AR744" s="223">
        <f ca="1">表格1[[#This Row],[invoice amount]]+表格1[[#This Row],[invoice amount2]]</f>
        <v>34754</v>
      </c>
      <c r="AS744" s="224" t="s">
        <v>3673</v>
      </c>
      <c r="AT744" s="208"/>
      <c r="AU744" s="208" t="e">
        <f ca="1">VLOOKUP(表格1[[#This Row],[PO+ITEM]],#REF!,2,FALSE)</f>
        <v>#REF!</v>
      </c>
      <c r="AV744" s="341" t="e">
        <f ca="1">VLOOKUP(表格1[[#This Row],[PO+ITEM]],#REF!,3,FALSE)</f>
        <v>#REF!</v>
      </c>
      <c r="AW744" s="208" t="e">
        <f ca="1">VLOOKUP(表格1[[#This Row],[PO+ITEM]],#REF!,4,FALSE)</f>
        <v>#REF!</v>
      </c>
      <c r="AX744" s="208" t="e" cm="1" vm="1">
        <f t="array" aca="1" ref="AX744" ca="1">VLOOKUP(AI:AI,#REF!,1,FALSE)</f>
        <v>#VALUE!</v>
      </c>
    </row>
    <row r="745" spans="1:50">
      <c r="A745" s="220">
        <v>744</v>
      </c>
      <c r="B745" s="220" t="s">
        <v>3674</v>
      </c>
      <c r="C745" s="209" t="s">
        <v>17</v>
      </c>
      <c r="D745" s="209" t="s">
        <v>3648</v>
      </c>
      <c r="E745" s="209"/>
      <c r="F745" s="209"/>
      <c r="G745" s="209"/>
      <c r="H745" s="210" t="s">
        <v>5434</v>
      </c>
      <c r="I745" s="210"/>
      <c r="J745" s="211"/>
      <c r="K745" s="210"/>
      <c r="L745" s="212" t="s">
        <v>2999</v>
      </c>
      <c r="M745" s="212" t="s">
        <v>2999</v>
      </c>
      <c r="N745" s="213"/>
      <c r="O745" s="263">
        <v>4590007763</v>
      </c>
      <c r="P745" s="214">
        <v>44861</v>
      </c>
      <c r="Q745" s="334">
        <v>12</v>
      </c>
      <c r="R745" s="216">
        <v>34754</v>
      </c>
      <c r="S745" s="217" t="s">
        <v>2156</v>
      </c>
      <c r="T745" s="209" t="s">
        <v>3713</v>
      </c>
      <c r="U745" s="209" t="s">
        <v>3714</v>
      </c>
      <c r="V745" s="213" t="s">
        <v>3715</v>
      </c>
      <c r="W745" s="218" t="s">
        <v>3652</v>
      </c>
      <c r="X745" s="218" t="s">
        <v>3652</v>
      </c>
      <c r="Y745" s="212" t="s">
        <v>4482</v>
      </c>
      <c r="Z745" s="209" t="s">
        <v>3716</v>
      </c>
      <c r="AA745" s="215"/>
      <c r="AB745" s="218"/>
      <c r="AC745" s="217" t="e">
        <v>#N/A</v>
      </c>
      <c r="AD745" s="217">
        <v>90133</v>
      </c>
      <c r="AE745" s="217" t="s">
        <v>4493</v>
      </c>
      <c r="AF745" s="217" t="s">
        <v>3665</v>
      </c>
      <c r="AG745" s="217" t="s">
        <v>3719</v>
      </c>
      <c r="AH745" s="220" t="str">
        <f t="shared" si="48"/>
        <v>4590007763_012</v>
      </c>
      <c r="AI745" s="208"/>
      <c r="AJ745" s="225">
        <v>45047</v>
      </c>
      <c r="AK745" s="221">
        <v>16683.599999999999</v>
      </c>
      <c r="AL745" s="227">
        <v>45212</v>
      </c>
      <c r="AM745" s="208"/>
      <c r="AN745" s="220"/>
      <c r="AO745" s="222"/>
      <c r="AP745" s="227"/>
      <c r="AQ745" s="358">
        <f ca="1">IF(表格1[[#This Row],[PO$]]="","100%",表格1[[#This Row],[total amount]]/表格1[[#This Row],[PO$]])</f>
        <v>0.4800483397594521</v>
      </c>
      <c r="AR745" s="223">
        <f ca="1">表格1[[#This Row],[invoice amount]]+表格1[[#This Row],[invoice amount2]]</f>
        <v>16683.599999999999</v>
      </c>
      <c r="AS745" s="224" t="s">
        <v>3673</v>
      </c>
      <c r="AT745" s="208"/>
      <c r="AU745" s="208" t="e">
        <f ca="1">VLOOKUP(表格1[[#This Row],[PO+ITEM]],#REF!,2,FALSE)</f>
        <v>#REF!</v>
      </c>
      <c r="AV745" s="341" t="e">
        <f ca="1">VLOOKUP(表格1[[#This Row],[PO+ITEM]],#REF!,3,FALSE)</f>
        <v>#REF!</v>
      </c>
      <c r="AW745" s="208" t="e">
        <f ca="1">VLOOKUP(表格1[[#This Row],[PO+ITEM]],#REF!,4,FALSE)</f>
        <v>#REF!</v>
      </c>
      <c r="AX745" s="208" t="e" cm="1" vm="1">
        <f t="array" aca="1" ref="AX745" ca="1">VLOOKUP(AI:AI,#REF!,1,FALSE)</f>
        <v>#VALUE!</v>
      </c>
    </row>
    <row r="746" spans="1:50">
      <c r="A746" s="220">
        <v>745</v>
      </c>
      <c r="B746" s="220" t="s">
        <v>3659</v>
      </c>
      <c r="C746" s="209" t="s">
        <v>17</v>
      </c>
      <c r="D746" s="209" t="s">
        <v>3648</v>
      </c>
      <c r="E746" s="209"/>
      <c r="F746" s="209"/>
      <c r="G746" s="209"/>
      <c r="H746" s="210" t="s">
        <v>5436</v>
      </c>
      <c r="I746" s="210"/>
      <c r="J746" s="211"/>
      <c r="K746" s="210"/>
      <c r="L746" s="212" t="s">
        <v>2999</v>
      </c>
      <c r="M746" s="212" t="s">
        <v>2999</v>
      </c>
      <c r="N746" s="213"/>
      <c r="O746" s="263">
        <v>4590007763</v>
      </c>
      <c r="P746" s="214">
        <v>44861</v>
      </c>
      <c r="Q746" s="334">
        <v>13</v>
      </c>
      <c r="R746" s="216">
        <v>34754</v>
      </c>
      <c r="S746" s="217" t="s">
        <v>2156</v>
      </c>
      <c r="T746" s="209" t="s">
        <v>3713</v>
      </c>
      <c r="U746" s="209" t="s">
        <v>3714</v>
      </c>
      <c r="V746" s="213" t="s">
        <v>3715</v>
      </c>
      <c r="W746" s="218" t="s">
        <v>3652</v>
      </c>
      <c r="X746" s="218" t="s">
        <v>3652</v>
      </c>
      <c r="Y746" s="212" t="s">
        <v>4482</v>
      </c>
      <c r="Z746" s="209" t="s">
        <v>3716</v>
      </c>
      <c r="AA746" s="215"/>
      <c r="AB746" s="218"/>
      <c r="AC746" s="217" t="e">
        <v>#N/A</v>
      </c>
      <c r="AD746" s="217">
        <v>91417</v>
      </c>
      <c r="AE746" s="217" t="s">
        <v>5015</v>
      </c>
      <c r="AF746" s="217" t="s">
        <v>3665</v>
      </c>
      <c r="AG746" s="217" t="s">
        <v>3719</v>
      </c>
      <c r="AH746" s="220" t="str">
        <f t="shared" si="48"/>
        <v>4590007763_013</v>
      </c>
      <c r="AI746" s="208"/>
      <c r="AJ746" s="225">
        <v>45047</v>
      </c>
      <c r="AK746" s="221">
        <v>13901.6</v>
      </c>
      <c r="AL746" s="227">
        <v>45153</v>
      </c>
      <c r="AM746" s="208"/>
      <c r="AN746" s="220"/>
      <c r="AO746" s="222"/>
      <c r="AP746" s="227"/>
      <c r="AQ746" s="358">
        <f ca="1">IF(表格1[[#This Row],[PO$]]="","100%",表格1[[#This Row],[total amount]]/表格1[[#This Row],[PO$]])</f>
        <v>0.4</v>
      </c>
      <c r="AR746" s="223">
        <f ca="1">表格1[[#This Row],[invoice amount]]+表格1[[#This Row],[invoice amount2]]</f>
        <v>13901.6</v>
      </c>
      <c r="AS746" s="224" t="s">
        <v>3673</v>
      </c>
      <c r="AT746" s="208"/>
      <c r="AU746" s="208" t="e">
        <f ca="1">VLOOKUP(表格1[[#This Row],[PO+ITEM]],#REF!,2,FALSE)</f>
        <v>#REF!</v>
      </c>
      <c r="AV746" s="341" t="e">
        <f ca="1">VLOOKUP(表格1[[#This Row],[PO+ITEM]],#REF!,3,FALSE)</f>
        <v>#REF!</v>
      </c>
      <c r="AW746" s="208" t="e">
        <f ca="1">VLOOKUP(表格1[[#This Row],[PO+ITEM]],#REF!,4,FALSE)</f>
        <v>#REF!</v>
      </c>
      <c r="AX746" s="208" t="e" cm="1" vm="1">
        <f t="array" aca="1" ref="AX746" ca="1">VLOOKUP(AI:AI,#REF!,1,FALSE)</f>
        <v>#VALUE!</v>
      </c>
    </row>
    <row r="747" spans="1:50">
      <c r="A747" s="220">
        <v>746</v>
      </c>
      <c r="B747" s="220" t="s">
        <v>3659</v>
      </c>
      <c r="C747" s="209" t="s">
        <v>17</v>
      </c>
      <c r="D747" s="209" t="s">
        <v>3648</v>
      </c>
      <c r="E747" s="209"/>
      <c r="F747" s="209"/>
      <c r="G747" s="209"/>
      <c r="H747" s="210" t="s">
        <v>5437</v>
      </c>
      <c r="I747" s="210"/>
      <c r="J747" s="211"/>
      <c r="K747" s="210"/>
      <c r="L747" s="212" t="s">
        <v>2999</v>
      </c>
      <c r="M747" s="212" t="s">
        <v>2999</v>
      </c>
      <c r="N747" s="213"/>
      <c r="O747" s="263">
        <v>4590007763</v>
      </c>
      <c r="P747" s="214">
        <v>44861</v>
      </c>
      <c r="Q747" s="334">
        <v>14</v>
      </c>
      <c r="R747" s="216">
        <v>34754</v>
      </c>
      <c r="S747" s="217" t="s">
        <v>2156</v>
      </c>
      <c r="T747" s="209" t="s">
        <v>3713</v>
      </c>
      <c r="U747" s="209" t="s">
        <v>3714</v>
      </c>
      <c r="V747" s="213" t="s">
        <v>3715</v>
      </c>
      <c r="W747" s="218" t="s">
        <v>3652</v>
      </c>
      <c r="X747" s="218" t="s">
        <v>3652</v>
      </c>
      <c r="Y747" s="212" t="s">
        <v>4482</v>
      </c>
      <c r="Z747" s="209" t="s">
        <v>3716</v>
      </c>
      <c r="AA747" s="215"/>
      <c r="AB747" s="218"/>
      <c r="AC747" s="217" t="e">
        <v>#N/A</v>
      </c>
      <c r="AD747" s="217">
        <v>91422</v>
      </c>
      <c r="AE747" s="217" t="s">
        <v>5021</v>
      </c>
      <c r="AF747" s="217" t="s">
        <v>3665</v>
      </c>
      <c r="AG747" s="217" t="s">
        <v>3719</v>
      </c>
      <c r="AH747" s="220" t="str">
        <f t="shared" si="48"/>
        <v>4590007763_014</v>
      </c>
      <c r="AI747" s="208"/>
      <c r="AJ747" s="225">
        <v>45047</v>
      </c>
      <c r="AK747" s="221">
        <v>13901.6</v>
      </c>
      <c r="AL747" s="227">
        <v>45153</v>
      </c>
      <c r="AM747" s="208"/>
      <c r="AN747" s="220"/>
      <c r="AO747" s="222"/>
      <c r="AP747" s="227"/>
      <c r="AQ747" s="358">
        <f ca="1">IF(表格1[[#This Row],[PO$]]="","100%",表格1[[#This Row],[total amount]]/表格1[[#This Row],[PO$]])</f>
        <v>0.4</v>
      </c>
      <c r="AR747" s="223">
        <f ca="1">表格1[[#This Row],[invoice amount]]+表格1[[#This Row],[invoice amount2]]</f>
        <v>13901.6</v>
      </c>
      <c r="AS747" s="224" t="s">
        <v>3673</v>
      </c>
      <c r="AT747" s="208"/>
      <c r="AU747" s="208" t="e">
        <f ca="1">VLOOKUP(表格1[[#This Row],[PO+ITEM]],#REF!,2,FALSE)</f>
        <v>#REF!</v>
      </c>
      <c r="AV747" s="341" t="e">
        <f ca="1">VLOOKUP(表格1[[#This Row],[PO+ITEM]],#REF!,3,FALSE)</f>
        <v>#REF!</v>
      </c>
      <c r="AW747" s="208" t="e">
        <f ca="1">VLOOKUP(表格1[[#This Row],[PO+ITEM]],#REF!,4,FALSE)</f>
        <v>#REF!</v>
      </c>
      <c r="AX747" s="208" t="e" cm="1" vm="1">
        <f t="array" aca="1" ref="AX747" ca="1">VLOOKUP(AI:AI,#REF!,1,FALSE)</f>
        <v>#VALUE!</v>
      </c>
    </row>
    <row r="748" spans="1:50">
      <c r="A748" s="220">
        <v>747</v>
      </c>
      <c r="B748" s="220" t="s">
        <v>3674</v>
      </c>
      <c r="C748" s="209" t="s">
        <v>17</v>
      </c>
      <c r="D748" s="209" t="s">
        <v>3648</v>
      </c>
      <c r="E748" s="209"/>
      <c r="F748" s="209"/>
      <c r="G748" s="209"/>
      <c r="H748" s="210" t="s">
        <v>5438</v>
      </c>
      <c r="I748" s="210"/>
      <c r="J748" s="211"/>
      <c r="K748" s="210"/>
      <c r="L748" s="212" t="s">
        <v>2999</v>
      </c>
      <c r="M748" s="212" t="s">
        <v>2999</v>
      </c>
      <c r="N748" s="213"/>
      <c r="O748" s="263">
        <v>4590007763</v>
      </c>
      <c r="P748" s="214">
        <v>44861</v>
      </c>
      <c r="Q748" s="334">
        <v>15</v>
      </c>
      <c r="R748" s="216">
        <v>41709</v>
      </c>
      <c r="S748" s="217" t="s">
        <v>2156</v>
      </c>
      <c r="T748" s="209" t="s">
        <v>3713</v>
      </c>
      <c r="U748" s="209" t="s">
        <v>3714</v>
      </c>
      <c r="V748" s="213" t="s">
        <v>3715</v>
      </c>
      <c r="W748" s="218" t="s">
        <v>3652</v>
      </c>
      <c r="X748" s="218" t="s">
        <v>3652</v>
      </c>
      <c r="Y748" s="212" t="s">
        <v>4482</v>
      </c>
      <c r="Z748" s="209" t="s">
        <v>3716</v>
      </c>
      <c r="AA748" s="215"/>
      <c r="AB748" s="218"/>
      <c r="AC748" s="217" t="e">
        <v>#N/A</v>
      </c>
      <c r="AD748" s="217">
        <v>90134</v>
      </c>
      <c r="AE748" s="217" t="s">
        <v>4483</v>
      </c>
      <c r="AF748" s="217" t="s">
        <v>3665</v>
      </c>
      <c r="AG748" s="217" t="s">
        <v>3719</v>
      </c>
      <c r="AH748" s="220" t="str">
        <f t="shared" si="48"/>
        <v>4590007763_015</v>
      </c>
      <c r="AI748" s="208"/>
      <c r="AJ748" s="225">
        <v>45047</v>
      </c>
      <c r="AK748" s="221">
        <v>16683.600000000002</v>
      </c>
      <c r="AL748" s="227">
        <v>45153</v>
      </c>
      <c r="AM748" s="208" t="s">
        <v>5439</v>
      </c>
      <c r="AN748" s="227">
        <v>45401</v>
      </c>
      <c r="AO748" s="221">
        <v>25025.4</v>
      </c>
      <c r="AP748" s="227">
        <v>45442</v>
      </c>
      <c r="AQ748" s="358">
        <f ca="1">IF(表格1[[#This Row],[PO$]]="","100%",表格1[[#This Row],[total amount]]/表格1[[#This Row],[PO$]])</f>
        <v>1</v>
      </c>
      <c r="AR748" s="223">
        <f ca="1">表格1[[#This Row],[invoice amount]]+表格1[[#This Row],[invoice amount2]]</f>
        <v>41709</v>
      </c>
      <c r="AS748" s="224" t="s">
        <v>3673</v>
      </c>
      <c r="AT748" s="208"/>
      <c r="AU748" s="208" t="e">
        <f ca="1">VLOOKUP(表格1[[#This Row],[PO+ITEM]],#REF!,2,FALSE)</f>
        <v>#REF!</v>
      </c>
      <c r="AV748" s="341" t="e">
        <f ca="1">VLOOKUP(表格1[[#This Row],[PO+ITEM]],#REF!,3,FALSE)</f>
        <v>#REF!</v>
      </c>
      <c r="AW748" s="208" t="e">
        <f ca="1">VLOOKUP(表格1[[#This Row],[PO+ITEM]],#REF!,4,FALSE)</f>
        <v>#REF!</v>
      </c>
      <c r="AX748" s="208" t="e" cm="1" vm="1">
        <f t="array" aca="1" ref="AX748" ca="1">VLOOKUP(AI:AI,#REF!,1,FALSE)</f>
        <v>#VALUE!</v>
      </c>
    </row>
    <row r="749" spans="1:50">
      <c r="A749" s="220">
        <v>748</v>
      </c>
      <c r="B749" s="220" t="s">
        <v>3674</v>
      </c>
      <c r="C749" s="209" t="s">
        <v>17</v>
      </c>
      <c r="D749" s="209" t="s">
        <v>3648</v>
      </c>
      <c r="E749" s="209"/>
      <c r="F749" s="209"/>
      <c r="G749" s="209"/>
      <c r="H749" s="210" t="s">
        <v>5440</v>
      </c>
      <c r="I749" s="210"/>
      <c r="J749" s="211"/>
      <c r="K749" s="210"/>
      <c r="L749" s="212" t="s">
        <v>2999</v>
      </c>
      <c r="M749" s="212" t="s">
        <v>2999</v>
      </c>
      <c r="N749" s="213"/>
      <c r="O749" s="263">
        <v>4590007763</v>
      </c>
      <c r="P749" s="214">
        <v>44861</v>
      </c>
      <c r="Q749" s="334">
        <v>16</v>
      </c>
      <c r="R749" s="216">
        <v>41709</v>
      </c>
      <c r="S749" s="217" t="s">
        <v>2156</v>
      </c>
      <c r="T749" s="209" t="s">
        <v>3713</v>
      </c>
      <c r="U749" s="209" t="s">
        <v>3714</v>
      </c>
      <c r="V749" s="213" t="s">
        <v>3715</v>
      </c>
      <c r="W749" s="218" t="s">
        <v>3652</v>
      </c>
      <c r="X749" s="218" t="s">
        <v>3652</v>
      </c>
      <c r="Y749" s="212" t="s">
        <v>4482</v>
      </c>
      <c r="Z749" s="209" t="s">
        <v>3716</v>
      </c>
      <c r="AA749" s="215"/>
      <c r="AB749" s="218"/>
      <c r="AC749" s="217" t="e">
        <v>#N/A</v>
      </c>
      <c r="AD749" s="217">
        <v>90135</v>
      </c>
      <c r="AE749" s="217" t="s">
        <v>4487</v>
      </c>
      <c r="AF749" s="217" t="s">
        <v>3665</v>
      </c>
      <c r="AG749" s="217" t="s">
        <v>3719</v>
      </c>
      <c r="AH749" s="220" t="str">
        <f t="shared" si="48"/>
        <v>4590007763_016</v>
      </c>
      <c r="AI749" s="208"/>
      <c r="AJ749" s="225">
        <v>45047</v>
      </c>
      <c r="AK749" s="221">
        <v>16683.600000000002</v>
      </c>
      <c r="AL749" s="227">
        <v>45153</v>
      </c>
      <c r="AM749" s="208"/>
      <c r="AN749" s="220"/>
      <c r="AO749" s="222"/>
      <c r="AP749" s="227"/>
      <c r="AQ749" s="358">
        <f ca="1">IF(表格1[[#This Row],[PO$]]="","100%",表格1[[#This Row],[total amount]]/表格1[[#This Row],[PO$]])</f>
        <v>0.40000000000000008</v>
      </c>
      <c r="AR749" s="223">
        <f ca="1">表格1[[#This Row],[invoice amount]]+表格1[[#This Row],[invoice amount2]]</f>
        <v>16683.600000000002</v>
      </c>
      <c r="AS749" s="224" t="s">
        <v>3673</v>
      </c>
      <c r="AT749" s="208"/>
      <c r="AU749" s="208" t="e">
        <f ca="1">VLOOKUP(表格1[[#This Row],[PO+ITEM]],#REF!,2,FALSE)</f>
        <v>#REF!</v>
      </c>
      <c r="AV749" s="341" t="e">
        <f ca="1">VLOOKUP(表格1[[#This Row],[PO+ITEM]],#REF!,3,FALSE)</f>
        <v>#REF!</v>
      </c>
      <c r="AW749" s="208" t="e">
        <f ca="1">VLOOKUP(表格1[[#This Row],[PO+ITEM]],#REF!,4,FALSE)</f>
        <v>#REF!</v>
      </c>
      <c r="AX749" s="208" t="e" cm="1" vm="1">
        <f t="array" aca="1" ref="AX749" ca="1">VLOOKUP(AI:AI,#REF!,1,FALSE)</f>
        <v>#VALUE!</v>
      </c>
    </row>
    <row r="750" spans="1:50">
      <c r="A750" s="220">
        <v>749</v>
      </c>
      <c r="B750" s="220" t="s">
        <v>3659</v>
      </c>
      <c r="C750" s="209" t="s">
        <v>17</v>
      </c>
      <c r="D750" s="209" t="s">
        <v>3648</v>
      </c>
      <c r="E750" s="209"/>
      <c r="F750" s="209"/>
      <c r="G750" s="209"/>
      <c r="H750" s="210" t="s">
        <v>5442</v>
      </c>
      <c r="I750" s="210"/>
      <c r="J750" s="211"/>
      <c r="K750" s="210"/>
      <c r="L750" s="212" t="s">
        <v>2999</v>
      </c>
      <c r="M750" s="212" t="s">
        <v>2999</v>
      </c>
      <c r="N750" s="213"/>
      <c r="O750" s="263">
        <v>4590007763</v>
      </c>
      <c r="P750" s="214">
        <v>44861</v>
      </c>
      <c r="Q750" s="334">
        <v>17</v>
      </c>
      <c r="R750" s="216">
        <v>41709</v>
      </c>
      <c r="S750" s="217" t="s">
        <v>2156</v>
      </c>
      <c r="T750" s="209" t="s">
        <v>3713</v>
      </c>
      <c r="U750" s="209" t="s">
        <v>3714</v>
      </c>
      <c r="V750" s="213" t="s">
        <v>3715</v>
      </c>
      <c r="W750" s="218" t="s">
        <v>3652</v>
      </c>
      <c r="X750" s="218" t="s">
        <v>3652</v>
      </c>
      <c r="Y750" s="212" t="s">
        <v>4482</v>
      </c>
      <c r="Z750" s="209" t="s">
        <v>3716</v>
      </c>
      <c r="AA750" s="215"/>
      <c r="AB750" s="218"/>
      <c r="AC750" s="217" t="e">
        <v>#N/A</v>
      </c>
      <c r="AD750" s="217">
        <v>91418</v>
      </c>
      <c r="AE750" s="217" t="s">
        <v>5017</v>
      </c>
      <c r="AF750" s="217" t="s">
        <v>3665</v>
      </c>
      <c r="AG750" s="217" t="s">
        <v>3719</v>
      </c>
      <c r="AH750" s="220" t="str">
        <f t="shared" si="48"/>
        <v>4590007763_017</v>
      </c>
      <c r="AI750" s="208"/>
      <c r="AJ750" s="225">
        <v>45047</v>
      </c>
      <c r="AK750" s="221">
        <v>16683.600000000002</v>
      </c>
      <c r="AL750" s="227">
        <v>45153</v>
      </c>
      <c r="AM750" s="208"/>
      <c r="AN750" s="220"/>
      <c r="AO750" s="222"/>
      <c r="AP750" s="227"/>
      <c r="AQ750" s="358">
        <f ca="1">IF(表格1[[#This Row],[PO$]]="","100%",表格1[[#This Row],[total amount]]/表格1[[#This Row],[PO$]])</f>
        <v>0.40000000000000008</v>
      </c>
      <c r="AR750" s="223">
        <f ca="1">表格1[[#This Row],[invoice amount]]+表格1[[#This Row],[invoice amount2]]</f>
        <v>16683.600000000002</v>
      </c>
      <c r="AS750" s="224" t="s">
        <v>3673</v>
      </c>
      <c r="AT750" s="208"/>
      <c r="AU750" s="208" t="e">
        <f ca="1">VLOOKUP(表格1[[#This Row],[PO+ITEM]],#REF!,2,FALSE)</f>
        <v>#REF!</v>
      </c>
      <c r="AV750" s="341" t="e">
        <f ca="1">VLOOKUP(表格1[[#This Row],[PO+ITEM]],#REF!,3,FALSE)</f>
        <v>#REF!</v>
      </c>
      <c r="AW750" s="208" t="e">
        <f ca="1">VLOOKUP(表格1[[#This Row],[PO+ITEM]],#REF!,4,FALSE)</f>
        <v>#REF!</v>
      </c>
      <c r="AX750" s="208" t="e" cm="1" vm="1">
        <f t="array" aca="1" ref="AX750" ca="1">VLOOKUP(AI:AI,#REF!,1,FALSE)</f>
        <v>#VALUE!</v>
      </c>
    </row>
    <row r="751" spans="1:50">
      <c r="A751" s="220">
        <v>750</v>
      </c>
      <c r="B751" s="220" t="s">
        <v>3659</v>
      </c>
      <c r="C751" s="209" t="s">
        <v>17</v>
      </c>
      <c r="D751" s="209" t="s">
        <v>3648</v>
      </c>
      <c r="E751" s="209"/>
      <c r="F751" s="209"/>
      <c r="G751" s="209"/>
      <c r="H751" s="210" t="s">
        <v>5443</v>
      </c>
      <c r="I751" s="210"/>
      <c r="J751" s="211"/>
      <c r="K751" s="210"/>
      <c r="L751" s="212" t="s">
        <v>2999</v>
      </c>
      <c r="M751" s="212" t="s">
        <v>2999</v>
      </c>
      <c r="N751" s="213"/>
      <c r="O751" s="263">
        <v>4590007763</v>
      </c>
      <c r="P751" s="214">
        <v>44861</v>
      </c>
      <c r="Q751" s="334">
        <v>18</v>
      </c>
      <c r="R751" s="216">
        <v>41709</v>
      </c>
      <c r="S751" s="217" t="s">
        <v>2156</v>
      </c>
      <c r="T751" s="209" t="s">
        <v>3713</v>
      </c>
      <c r="U751" s="209" t="s">
        <v>3714</v>
      </c>
      <c r="V751" s="213" t="s">
        <v>3715</v>
      </c>
      <c r="W751" s="218" t="s">
        <v>3652</v>
      </c>
      <c r="X751" s="218" t="s">
        <v>3652</v>
      </c>
      <c r="Y751" s="212" t="s">
        <v>4482</v>
      </c>
      <c r="Z751" s="209" t="s">
        <v>3716</v>
      </c>
      <c r="AA751" s="215"/>
      <c r="AB751" s="218"/>
      <c r="AC751" s="217" t="e">
        <v>#N/A</v>
      </c>
      <c r="AD751" s="217">
        <v>91419</v>
      </c>
      <c r="AE751" s="217" t="s">
        <v>5019</v>
      </c>
      <c r="AF751" s="217" t="s">
        <v>3665</v>
      </c>
      <c r="AG751" s="217" t="s">
        <v>3719</v>
      </c>
      <c r="AH751" s="220" t="str">
        <f t="shared" si="48"/>
        <v>4590007763_018</v>
      </c>
      <c r="AI751" s="208"/>
      <c r="AJ751" s="225">
        <v>45047</v>
      </c>
      <c r="AK751" s="221">
        <v>16683.600000000002</v>
      </c>
      <c r="AL751" s="227">
        <v>45153</v>
      </c>
      <c r="AM751" s="208"/>
      <c r="AN751" s="220"/>
      <c r="AO751" s="222"/>
      <c r="AP751" s="227"/>
      <c r="AQ751" s="358">
        <f ca="1">IF(表格1[[#This Row],[PO$]]="","100%",表格1[[#This Row],[total amount]]/表格1[[#This Row],[PO$]])</f>
        <v>0.40000000000000008</v>
      </c>
      <c r="AR751" s="223">
        <f ca="1">表格1[[#This Row],[invoice amount]]+表格1[[#This Row],[invoice amount2]]</f>
        <v>16683.600000000002</v>
      </c>
      <c r="AS751" s="224" t="s">
        <v>3673</v>
      </c>
      <c r="AT751" s="208"/>
      <c r="AU751" s="208" t="e">
        <f ca="1">VLOOKUP(表格1[[#This Row],[PO+ITEM]],#REF!,2,FALSE)</f>
        <v>#REF!</v>
      </c>
      <c r="AV751" s="341" t="e">
        <f ca="1">VLOOKUP(表格1[[#This Row],[PO+ITEM]],#REF!,3,FALSE)</f>
        <v>#REF!</v>
      </c>
      <c r="AW751" s="208" t="e">
        <f ca="1">VLOOKUP(表格1[[#This Row],[PO+ITEM]],#REF!,4,FALSE)</f>
        <v>#REF!</v>
      </c>
      <c r="AX751" s="208" t="e" cm="1" vm="1">
        <f t="array" aca="1" ref="AX751" ca="1">VLOOKUP(AI:AI,#REF!,1,FALSE)</f>
        <v>#VALUE!</v>
      </c>
    </row>
    <row r="752" spans="1:50">
      <c r="A752" s="220">
        <v>751</v>
      </c>
      <c r="B752" s="220" t="s">
        <v>3659</v>
      </c>
      <c r="C752" s="209" t="s">
        <v>17</v>
      </c>
      <c r="D752" s="209" t="s">
        <v>3648</v>
      </c>
      <c r="E752" s="209"/>
      <c r="F752" s="209"/>
      <c r="G752" s="209"/>
      <c r="H752" s="210" t="s">
        <v>5444</v>
      </c>
      <c r="I752" s="210"/>
      <c r="J752" s="211"/>
      <c r="K752" s="210"/>
      <c r="L752" s="212" t="s">
        <v>2999</v>
      </c>
      <c r="M752" s="212" t="s">
        <v>2999</v>
      </c>
      <c r="N752" s="213"/>
      <c r="O752" s="263">
        <v>4590007764</v>
      </c>
      <c r="P752" s="214">
        <v>44861</v>
      </c>
      <c r="Q752" s="334">
        <v>1</v>
      </c>
      <c r="R752" s="216">
        <v>35665</v>
      </c>
      <c r="S752" s="217" t="s">
        <v>2156</v>
      </c>
      <c r="T752" s="209" t="s">
        <v>3713</v>
      </c>
      <c r="U752" s="209" t="s">
        <v>3714</v>
      </c>
      <c r="V752" s="213" t="s">
        <v>3715</v>
      </c>
      <c r="W752" s="218" t="s">
        <v>3652</v>
      </c>
      <c r="X752" s="218" t="s">
        <v>3652</v>
      </c>
      <c r="Y752" s="212">
        <v>0</v>
      </c>
      <c r="Z752" s="209" t="s">
        <v>3716</v>
      </c>
      <c r="AA752" s="215"/>
      <c r="AB752" s="218"/>
      <c r="AC752" s="217" t="e">
        <v>#N/A</v>
      </c>
      <c r="AD752" s="217">
        <v>91415</v>
      </c>
      <c r="AE752" s="217" t="s">
        <v>5093</v>
      </c>
      <c r="AF752" s="217" t="s">
        <v>3711</v>
      </c>
      <c r="AG752" s="217" t="s">
        <v>3719</v>
      </c>
      <c r="AH752" s="220" t="str">
        <f t="shared" ref="AH752:AH760" si="49">O752&amp;"_00"&amp;Q752</f>
        <v>4590007764_001</v>
      </c>
      <c r="AI752" s="208"/>
      <c r="AJ752" s="220"/>
      <c r="AK752" s="221"/>
      <c r="AL752" s="227"/>
      <c r="AM752" s="208"/>
      <c r="AN752" s="220"/>
      <c r="AO752" s="222"/>
      <c r="AP752" s="227"/>
      <c r="AQ752" s="358">
        <f ca="1">IF(表格1[[#This Row],[PO$]]="","100%",表格1[[#This Row],[total amount]]/表格1[[#This Row],[PO$]])</f>
        <v>0</v>
      </c>
      <c r="AR752" s="223">
        <f ca="1">表格1[[#This Row],[invoice amount]]+表格1[[#This Row],[invoice amount2]]</f>
        <v>0</v>
      </c>
      <c r="AS752" s="224"/>
      <c r="AT752" s="208"/>
      <c r="AU752" s="208" t="e">
        <f ca="1">VLOOKUP(表格1[[#This Row],[PO+ITEM]],#REF!,2,FALSE)</f>
        <v>#REF!</v>
      </c>
      <c r="AV752" s="341" t="e">
        <f ca="1">VLOOKUP(表格1[[#This Row],[PO+ITEM]],#REF!,3,FALSE)</f>
        <v>#REF!</v>
      </c>
      <c r="AW752" s="208" t="e">
        <f ca="1">VLOOKUP(表格1[[#This Row],[PO+ITEM]],#REF!,4,FALSE)</f>
        <v>#REF!</v>
      </c>
      <c r="AX752" s="208" t="e" cm="1" vm="1">
        <f t="array" aca="1" ref="AX752" ca="1">VLOOKUP(AI:AI,#REF!,1,FALSE)</f>
        <v>#VALUE!</v>
      </c>
    </row>
    <row r="753" spans="1:50">
      <c r="A753" s="220">
        <v>752</v>
      </c>
      <c r="B753" s="220" t="s">
        <v>3674</v>
      </c>
      <c r="C753" s="209" t="s">
        <v>17</v>
      </c>
      <c r="D753" s="209" t="s">
        <v>3648</v>
      </c>
      <c r="E753" s="209"/>
      <c r="F753" s="209"/>
      <c r="G753" s="209"/>
      <c r="H753" s="210" t="s">
        <v>5445</v>
      </c>
      <c r="I753" s="210"/>
      <c r="J753" s="211"/>
      <c r="K753" s="210"/>
      <c r="L753" s="212" t="s">
        <v>2999</v>
      </c>
      <c r="M753" s="212" t="s">
        <v>2999</v>
      </c>
      <c r="N753" s="213"/>
      <c r="O753" s="263">
        <v>4590007764</v>
      </c>
      <c r="P753" s="214">
        <v>44861</v>
      </c>
      <c r="Q753" s="334">
        <v>2</v>
      </c>
      <c r="R753" s="216">
        <v>47149</v>
      </c>
      <c r="S753" s="217" t="s">
        <v>2156</v>
      </c>
      <c r="T753" s="209" t="s">
        <v>3713</v>
      </c>
      <c r="U753" s="209" t="s">
        <v>3714</v>
      </c>
      <c r="V753" s="213" t="s">
        <v>3715</v>
      </c>
      <c r="W753" s="218" t="s">
        <v>3652</v>
      </c>
      <c r="X753" s="218" t="s">
        <v>3652</v>
      </c>
      <c r="Y753" s="212">
        <v>0</v>
      </c>
      <c r="Z753" s="209" t="s">
        <v>3716</v>
      </c>
      <c r="AA753" s="215"/>
      <c r="AB753" s="218"/>
      <c r="AC753" s="217" t="e">
        <v>#N/A</v>
      </c>
      <c r="AD753" s="217">
        <v>90677</v>
      </c>
      <c r="AE753" s="217" t="s">
        <v>4649</v>
      </c>
      <c r="AF753" s="217" t="s">
        <v>3711</v>
      </c>
      <c r="AG753" s="217" t="s">
        <v>3719</v>
      </c>
      <c r="AH753" s="220" t="str">
        <f t="shared" si="49"/>
        <v>4590007764_002</v>
      </c>
      <c r="AI753" s="208"/>
      <c r="AJ753" s="220"/>
      <c r="AK753" s="221"/>
      <c r="AL753" s="227"/>
      <c r="AM753" s="208"/>
      <c r="AN753" s="220"/>
      <c r="AO753" s="222"/>
      <c r="AP753" s="227"/>
      <c r="AQ753" s="358">
        <f ca="1">IF(表格1[[#This Row],[PO$]]="","100%",表格1[[#This Row],[total amount]]/表格1[[#This Row],[PO$]])</f>
        <v>0</v>
      </c>
      <c r="AR753" s="223">
        <f ca="1">表格1[[#This Row],[invoice amount]]+表格1[[#This Row],[invoice amount2]]</f>
        <v>0</v>
      </c>
      <c r="AS753" s="224"/>
      <c r="AT753" s="208"/>
      <c r="AU753" s="208" t="e">
        <f ca="1">VLOOKUP(表格1[[#This Row],[PO+ITEM]],#REF!,2,FALSE)</f>
        <v>#REF!</v>
      </c>
      <c r="AV753" s="341" t="e">
        <f ca="1">VLOOKUP(表格1[[#This Row],[PO+ITEM]],#REF!,3,FALSE)</f>
        <v>#REF!</v>
      </c>
      <c r="AW753" s="208" t="e">
        <f ca="1">VLOOKUP(表格1[[#This Row],[PO+ITEM]],#REF!,4,FALSE)</f>
        <v>#REF!</v>
      </c>
      <c r="AX753" s="208" t="e" cm="1" vm="1">
        <f t="array" aca="1" ref="AX753" ca="1">VLOOKUP(AI:AI,#REF!,1,FALSE)</f>
        <v>#VALUE!</v>
      </c>
    </row>
    <row r="754" spans="1:50">
      <c r="A754" s="220">
        <v>753</v>
      </c>
      <c r="B754" s="220" t="s">
        <v>3674</v>
      </c>
      <c r="C754" s="209" t="s">
        <v>17</v>
      </c>
      <c r="D754" s="209" t="s">
        <v>3648</v>
      </c>
      <c r="E754" s="209"/>
      <c r="F754" s="209"/>
      <c r="G754" s="209"/>
      <c r="H754" s="210" t="s">
        <v>5447</v>
      </c>
      <c r="I754" s="210"/>
      <c r="J754" s="211"/>
      <c r="K754" s="210"/>
      <c r="L754" s="212" t="s">
        <v>2999</v>
      </c>
      <c r="M754" s="212" t="s">
        <v>2999</v>
      </c>
      <c r="N754" s="213"/>
      <c r="O754" s="263">
        <v>4590007764</v>
      </c>
      <c r="P754" s="214">
        <v>44861</v>
      </c>
      <c r="Q754" s="334">
        <v>3</v>
      </c>
      <c r="R754" s="349">
        <v>47149</v>
      </c>
      <c r="S754" s="217" t="s">
        <v>2156</v>
      </c>
      <c r="T754" s="209" t="s">
        <v>3713</v>
      </c>
      <c r="U754" s="209" t="s">
        <v>3714</v>
      </c>
      <c r="V754" s="213" t="s">
        <v>3715</v>
      </c>
      <c r="W754" s="218" t="s">
        <v>3652</v>
      </c>
      <c r="X754" s="218" t="s">
        <v>3652</v>
      </c>
      <c r="Y754" s="212">
        <v>0</v>
      </c>
      <c r="Z754" s="209" t="s">
        <v>3716</v>
      </c>
      <c r="AA754" s="215"/>
      <c r="AB754" s="218"/>
      <c r="AC754" s="217" t="e">
        <v>#N/A</v>
      </c>
      <c r="AD754" s="217">
        <v>90678</v>
      </c>
      <c r="AE754" s="217" t="s">
        <v>4652</v>
      </c>
      <c r="AF754" s="217" t="s">
        <v>3711</v>
      </c>
      <c r="AG754" s="217" t="s">
        <v>3719</v>
      </c>
      <c r="AH754" s="220" t="str">
        <f t="shared" si="49"/>
        <v>4590007764_003</v>
      </c>
      <c r="AI754" s="208" t="s">
        <v>5448</v>
      </c>
      <c r="AJ754" s="227">
        <v>45401</v>
      </c>
      <c r="AK754" s="221">
        <v>47149</v>
      </c>
      <c r="AL754" s="227"/>
      <c r="AM754" s="208"/>
      <c r="AN754" s="220"/>
      <c r="AO754" s="222"/>
      <c r="AP754" s="227"/>
      <c r="AQ754" s="358">
        <f ca="1">IF(表格1[[#This Row],[PO$]]="","100%",表格1[[#This Row],[total amount]]/表格1[[#This Row],[PO$]])</f>
        <v>1</v>
      </c>
      <c r="AR754" s="223">
        <f ca="1">表格1[[#This Row],[invoice amount]]+表格1[[#This Row],[invoice amount2]]</f>
        <v>47149</v>
      </c>
      <c r="AS754" s="224" t="s">
        <v>3789</v>
      </c>
      <c r="AT754" s="208" t="s">
        <v>5449</v>
      </c>
      <c r="AU754" s="208" t="e">
        <f ca="1">VLOOKUP(表格1[[#This Row],[PO+ITEM]],#REF!,2,FALSE)</f>
        <v>#REF!</v>
      </c>
      <c r="AV754" s="341" t="e">
        <f ca="1">VLOOKUP(表格1[[#This Row],[PO+ITEM]],#REF!,3,FALSE)</f>
        <v>#REF!</v>
      </c>
      <c r="AW754" s="208" t="e">
        <f ca="1">VLOOKUP(表格1[[#This Row],[PO+ITEM]],#REF!,4,FALSE)</f>
        <v>#REF!</v>
      </c>
      <c r="AX754" s="208" t="e" cm="1" vm="1">
        <f t="array" aca="1" ref="AX754" ca="1">VLOOKUP(AI:AI,#REF!,1,FALSE)</f>
        <v>#VALUE!</v>
      </c>
    </row>
    <row r="755" spans="1:50">
      <c r="A755" s="220">
        <v>754</v>
      </c>
      <c r="B755" s="220" t="s">
        <v>3674</v>
      </c>
      <c r="C755" s="209" t="s">
        <v>17</v>
      </c>
      <c r="D755" s="209" t="s">
        <v>3648</v>
      </c>
      <c r="E755" s="209"/>
      <c r="F755" s="209"/>
      <c r="G755" s="209"/>
      <c r="H755" s="210" t="s">
        <v>5450</v>
      </c>
      <c r="I755" s="210"/>
      <c r="J755" s="211"/>
      <c r="K755" s="210"/>
      <c r="L755" s="212" t="s">
        <v>2999</v>
      </c>
      <c r="M755" s="212" t="s">
        <v>2999</v>
      </c>
      <c r="N755" s="213"/>
      <c r="O755" s="263">
        <v>4590007764</v>
      </c>
      <c r="P755" s="214">
        <v>44861</v>
      </c>
      <c r="Q755" s="334">
        <v>4</v>
      </c>
      <c r="R755" s="349">
        <v>47149</v>
      </c>
      <c r="S755" s="217" t="s">
        <v>2156</v>
      </c>
      <c r="T755" s="209" t="s">
        <v>3713</v>
      </c>
      <c r="U755" s="209" t="s">
        <v>3714</v>
      </c>
      <c r="V755" s="213" t="s">
        <v>3715</v>
      </c>
      <c r="W755" s="218" t="s">
        <v>3652</v>
      </c>
      <c r="X755" s="218" t="s">
        <v>3652</v>
      </c>
      <c r="Y755" s="212">
        <v>0</v>
      </c>
      <c r="Z755" s="209" t="s">
        <v>3716</v>
      </c>
      <c r="AA755" s="215"/>
      <c r="AB755" s="218"/>
      <c r="AC755" s="217" t="e">
        <v>#N/A</v>
      </c>
      <c r="AD755" s="217">
        <v>90679</v>
      </c>
      <c r="AE755" s="217" t="s">
        <v>4655</v>
      </c>
      <c r="AF755" s="217" t="s">
        <v>3711</v>
      </c>
      <c r="AG755" s="217" t="s">
        <v>3719</v>
      </c>
      <c r="AH755" s="220" t="str">
        <f t="shared" si="49"/>
        <v>4590007764_004</v>
      </c>
      <c r="AI755" s="208" t="s">
        <v>5451</v>
      </c>
      <c r="AJ755" s="227">
        <v>45401</v>
      </c>
      <c r="AK755" s="221">
        <v>47149</v>
      </c>
      <c r="AL755" s="227"/>
      <c r="AM755" s="208"/>
      <c r="AN755" s="220"/>
      <c r="AO755" s="222"/>
      <c r="AP755" s="227"/>
      <c r="AQ755" s="358">
        <f ca="1">IF(表格1[[#This Row],[PO$]]="","100%",表格1[[#This Row],[total amount]]/表格1[[#This Row],[PO$]])</f>
        <v>1</v>
      </c>
      <c r="AR755" s="223">
        <f ca="1">表格1[[#This Row],[invoice amount]]+表格1[[#This Row],[invoice amount2]]</f>
        <v>47149</v>
      </c>
      <c r="AS755" s="224" t="s">
        <v>3789</v>
      </c>
      <c r="AT755" s="208" t="s">
        <v>5449</v>
      </c>
      <c r="AU755" s="208" t="e">
        <f ca="1">VLOOKUP(表格1[[#This Row],[PO+ITEM]],#REF!,2,FALSE)</f>
        <v>#REF!</v>
      </c>
      <c r="AV755" s="341" t="e">
        <f ca="1">VLOOKUP(表格1[[#This Row],[PO+ITEM]],#REF!,3,FALSE)</f>
        <v>#REF!</v>
      </c>
      <c r="AW755" s="208" t="e">
        <f ca="1">VLOOKUP(表格1[[#This Row],[PO+ITEM]],#REF!,4,FALSE)</f>
        <v>#REF!</v>
      </c>
      <c r="AX755" s="208" t="e" cm="1" vm="1">
        <f t="array" aca="1" ref="AX755" ca="1">VLOOKUP(AI:AI,#REF!,1,FALSE)</f>
        <v>#VALUE!</v>
      </c>
    </row>
    <row r="756" spans="1:50">
      <c r="A756" s="220">
        <v>755</v>
      </c>
      <c r="B756" s="220" t="s">
        <v>3659</v>
      </c>
      <c r="C756" s="209" t="s">
        <v>17</v>
      </c>
      <c r="D756" s="209" t="s">
        <v>3648</v>
      </c>
      <c r="E756" s="209"/>
      <c r="F756" s="209"/>
      <c r="G756" s="209"/>
      <c r="H756" s="210" t="s">
        <v>5452</v>
      </c>
      <c r="I756" s="210"/>
      <c r="J756" s="211"/>
      <c r="K756" s="210"/>
      <c r="L756" s="212" t="s">
        <v>2999</v>
      </c>
      <c r="M756" s="212" t="s">
        <v>2999</v>
      </c>
      <c r="N756" s="213"/>
      <c r="O756" s="263">
        <v>4590007764</v>
      </c>
      <c r="P756" s="214">
        <v>44861</v>
      </c>
      <c r="Q756" s="334">
        <v>5</v>
      </c>
      <c r="R756" s="216">
        <v>47149</v>
      </c>
      <c r="S756" s="217" t="s">
        <v>2156</v>
      </c>
      <c r="T756" s="209" t="s">
        <v>3713</v>
      </c>
      <c r="U756" s="209" t="s">
        <v>3714</v>
      </c>
      <c r="V756" s="213" t="s">
        <v>3715</v>
      </c>
      <c r="W756" s="218" t="s">
        <v>3652</v>
      </c>
      <c r="X756" s="218" t="s">
        <v>3652</v>
      </c>
      <c r="Y756" s="212">
        <v>0</v>
      </c>
      <c r="Z756" s="209" t="s">
        <v>3716</v>
      </c>
      <c r="AA756" s="215"/>
      <c r="AB756" s="218"/>
      <c r="AC756" s="217" t="e">
        <v>#N/A</v>
      </c>
      <c r="AD756" s="217">
        <v>90680</v>
      </c>
      <c r="AE756" s="217" t="s">
        <v>4658</v>
      </c>
      <c r="AF756" s="217" t="s">
        <v>3711</v>
      </c>
      <c r="AG756" s="217" t="s">
        <v>3719</v>
      </c>
      <c r="AH756" s="220" t="str">
        <f t="shared" si="49"/>
        <v>4590007764_005</v>
      </c>
      <c r="AI756" s="208"/>
      <c r="AJ756" s="220"/>
      <c r="AK756" s="221"/>
      <c r="AL756" s="227"/>
      <c r="AM756" s="208"/>
      <c r="AN756" s="220"/>
      <c r="AO756" s="222"/>
      <c r="AP756" s="227"/>
      <c r="AQ756" s="358">
        <f ca="1">IF(表格1[[#This Row],[PO$]]="","100%",表格1[[#This Row],[total amount]]/表格1[[#This Row],[PO$]])</f>
        <v>0</v>
      </c>
      <c r="AR756" s="223">
        <f ca="1">表格1[[#This Row],[invoice amount]]+表格1[[#This Row],[invoice amount2]]</f>
        <v>0</v>
      </c>
      <c r="AS756" s="224"/>
      <c r="AT756" s="208"/>
      <c r="AU756" s="208" t="e">
        <f ca="1">VLOOKUP(表格1[[#This Row],[PO+ITEM]],#REF!,2,FALSE)</f>
        <v>#REF!</v>
      </c>
      <c r="AV756" s="341" t="e">
        <f ca="1">VLOOKUP(表格1[[#This Row],[PO+ITEM]],#REF!,3,FALSE)</f>
        <v>#REF!</v>
      </c>
      <c r="AW756" s="208" t="e">
        <f ca="1">VLOOKUP(表格1[[#This Row],[PO+ITEM]],#REF!,4,FALSE)</f>
        <v>#REF!</v>
      </c>
      <c r="AX756" s="208" t="e" cm="1" vm="1">
        <f t="array" aca="1" ref="AX756" ca="1">VLOOKUP(AI:AI,#REF!,1,FALSE)</f>
        <v>#VALUE!</v>
      </c>
    </row>
    <row r="757" spans="1:50">
      <c r="A757" s="220">
        <v>756</v>
      </c>
      <c r="B757" s="220" t="s">
        <v>3659</v>
      </c>
      <c r="C757" s="209" t="s">
        <v>17</v>
      </c>
      <c r="D757" s="209" t="s">
        <v>3648</v>
      </c>
      <c r="E757" s="209"/>
      <c r="F757" s="209"/>
      <c r="G757" s="209"/>
      <c r="H757" s="210" t="s">
        <v>5453</v>
      </c>
      <c r="I757" s="210"/>
      <c r="J757" s="211"/>
      <c r="K757" s="210"/>
      <c r="L757" s="212" t="s">
        <v>2999</v>
      </c>
      <c r="M757" s="212" t="s">
        <v>2999</v>
      </c>
      <c r="N757" s="213"/>
      <c r="O757" s="263">
        <v>4590007764</v>
      </c>
      <c r="P757" s="214">
        <v>44861</v>
      </c>
      <c r="Q757" s="334">
        <v>6</v>
      </c>
      <c r="R757" s="216">
        <v>47149</v>
      </c>
      <c r="S757" s="217" t="s">
        <v>2156</v>
      </c>
      <c r="T757" s="209" t="s">
        <v>3713</v>
      </c>
      <c r="U757" s="209" t="s">
        <v>3714</v>
      </c>
      <c r="V757" s="213" t="s">
        <v>3715</v>
      </c>
      <c r="W757" s="218" t="s">
        <v>3652</v>
      </c>
      <c r="X757" s="218" t="s">
        <v>3652</v>
      </c>
      <c r="Y757" s="212">
        <v>0</v>
      </c>
      <c r="Z757" s="209" t="s">
        <v>3716</v>
      </c>
      <c r="AA757" s="215"/>
      <c r="AB757" s="218"/>
      <c r="AC757" s="217" t="e">
        <v>#N/A</v>
      </c>
      <c r="AD757" s="217">
        <v>91097</v>
      </c>
      <c r="AE757" s="217" t="s">
        <v>5073</v>
      </c>
      <c r="AF757" s="217" t="s">
        <v>3711</v>
      </c>
      <c r="AG757" s="217" t="s">
        <v>3719</v>
      </c>
      <c r="AH757" s="220" t="str">
        <f t="shared" si="49"/>
        <v>4590007764_006</v>
      </c>
      <c r="AI757" s="208"/>
      <c r="AJ757" s="220"/>
      <c r="AK757" s="221"/>
      <c r="AL757" s="227"/>
      <c r="AM757" s="208"/>
      <c r="AN757" s="220"/>
      <c r="AO757" s="222"/>
      <c r="AP757" s="227"/>
      <c r="AQ757" s="358">
        <f ca="1">IF(表格1[[#This Row],[PO$]]="","100%",表格1[[#This Row],[total amount]]/表格1[[#This Row],[PO$]])</f>
        <v>0</v>
      </c>
      <c r="AR757" s="223">
        <f ca="1">表格1[[#This Row],[invoice amount]]+表格1[[#This Row],[invoice amount2]]</f>
        <v>0</v>
      </c>
      <c r="AS757" s="224"/>
      <c r="AT757" s="208"/>
      <c r="AU757" s="208" t="e">
        <f ca="1">VLOOKUP(表格1[[#This Row],[PO+ITEM]],#REF!,2,FALSE)</f>
        <v>#REF!</v>
      </c>
      <c r="AV757" s="341" t="e">
        <f ca="1">VLOOKUP(表格1[[#This Row],[PO+ITEM]],#REF!,3,FALSE)</f>
        <v>#REF!</v>
      </c>
      <c r="AW757" s="208" t="e">
        <f ca="1">VLOOKUP(表格1[[#This Row],[PO+ITEM]],#REF!,4,FALSE)</f>
        <v>#REF!</v>
      </c>
      <c r="AX757" s="208" t="e" cm="1" vm="1">
        <f t="array" aca="1" ref="AX757" ca="1">VLOOKUP(AI:AI,#REF!,1,FALSE)</f>
        <v>#VALUE!</v>
      </c>
    </row>
    <row r="758" spans="1:50">
      <c r="A758" s="220">
        <v>757</v>
      </c>
      <c r="B758" s="220" t="s">
        <v>3659</v>
      </c>
      <c r="C758" s="209" t="s">
        <v>17</v>
      </c>
      <c r="D758" s="209" t="s">
        <v>3648</v>
      </c>
      <c r="E758" s="209"/>
      <c r="F758" s="209"/>
      <c r="G758" s="209"/>
      <c r="H758" s="210" t="s">
        <v>5454</v>
      </c>
      <c r="I758" s="210"/>
      <c r="J758" s="211"/>
      <c r="K758" s="210"/>
      <c r="L758" s="212" t="s">
        <v>2999</v>
      </c>
      <c r="M758" s="212" t="s">
        <v>2999</v>
      </c>
      <c r="N758" s="213"/>
      <c r="O758" s="263">
        <v>4590007764</v>
      </c>
      <c r="P758" s="214">
        <v>44861</v>
      </c>
      <c r="Q758" s="334">
        <v>7</v>
      </c>
      <c r="R758" s="216">
        <v>47149</v>
      </c>
      <c r="S758" s="217" t="s">
        <v>2156</v>
      </c>
      <c r="T758" s="209" t="s">
        <v>3713</v>
      </c>
      <c r="U758" s="209" t="s">
        <v>3714</v>
      </c>
      <c r="V758" s="213" t="s">
        <v>3715</v>
      </c>
      <c r="W758" s="218" t="s">
        <v>3652</v>
      </c>
      <c r="X758" s="218" t="s">
        <v>3652</v>
      </c>
      <c r="Y758" s="212">
        <v>0</v>
      </c>
      <c r="Z758" s="209" t="s">
        <v>3716</v>
      </c>
      <c r="AA758" s="215"/>
      <c r="AB758" s="218"/>
      <c r="AC758" s="217" t="e">
        <v>#N/A</v>
      </c>
      <c r="AD758" s="217">
        <v>91099</v>
      </c>
      <c r="AE758" s="217" t="s">
        <v>5077</v>
      </c>
      <c r="AF758" s="217" t="s">
        <v>3711</v>
      </c>
      <c r="AG758" s="217" t="s">
        <v>3719</v>
      </c>
      <c r="AH758" s="220" t="str">
        <f t="shared" si="49"/>
        <v>4590007764_007</v>
      </c>
      <c r="AI758" s="208"/>
      <c r="AJ758" s="220"/>
      <c r="AK758" s="221"/>
      <c r="AL758" s="227"/>
      <c r="AM758" s="208"/>
      <c r="AN758" s="220"/>
      <c r="AO758" s="222"/>
      <c r="AP758" s="227"/>
      <c r="AQ758" s="358">
        <f ca="1">IF(表格1[[#This Row],[PO$]]="","100%",表格1[[#This Row],[total amount]]/表格1[[#This Row],[PO$]])</f>
        <v>0</v>
      </c>
      <c r="AR758" s="223">
        <f ca="1">表格1[[#This Row],[invoice amount]]+表格1[[#This Row],[invoice amount2]]</f>
        <v>0</v>
      </c>
      <c r="AS758" s="224"/>
      <c r="AT758" s="208"/>
      <c r="AU758" s="208" t="e">
        <f ca="1">VLOOKUP(表格1[[#This Row],[PO+ITEM]],#REF!,2,FALSE)</f>
        <v>#REF!</v>
      </c>
      <c r="AV758" s="341" t="e">
        <f ca="1">VLOOKUP(表格1[[#This Row],[PO+ITEM]],#REF!,3,FALSE)</f>
        <v>#REF!</v>
      </c>
      <c r="AW758" s="208" t="e">
        <f ca="1">VLOOKUP(表格1[[#This Row],[PO+ITEM]],#REF!,4,FALSE)</f>
        <v>#REF!</v>
      </c>
      <c r="AX758" s="208" t="e" cm="1" vm="1">
        <f t="array" aca="1" ref="AX758" ca="1">VLOOKUP(AI:AI,#REF!,1,FALSE)</f>
        <v>#VALUE!</v>
      </c>
    </row>
    <row r="759" spans="1:50">
      <c r="A759" s="220">
        <v>758</v>
      </c>
      <c r="B759" s="220" t="s">
        <v>3674</v>
      </c>
      <c r="C759" s="209" t="s">
        <v>17</v>
      </c>
      <c r="D759" s="209" t="s">
        <v>3648</v>
      </c>
      <c r="E759" s="209"/>
      <c r="F759" s="209"/>
      <c r="G759" s="209"/>
      <c r="H759" s="210" t="s">
        <v>5455</v>
      </c>
      <c r="I759" s="210"/>
      <c r="J759" s="211"/>
      <c r="K759" s="210"/>
      <c r="L759" s="212" t="s">
        <v>2999</v>
      </c>
      <c r="M759" s="212" t="s">
        <v>2999</v>
      </c>
      <c r="N759" s="213"/>
      <c r="O759" s="263">
        <v>4590007764</v>
      </c>
      <c r="P759" s="214">
        <v>44861</v>
      </c>
      <c r="Q759" s="334">
        <v>8</v>
      </c>
      <c r="R759" s="349">
        <v>62039</v>
      </c>
      <c r="S759" s="217" t="s">
        <v>2156</v>
      </c>
      <c r="T759" s="209" t="s">
        <v>3713</v>
      </c>
      <c r="U759" s="209" t="s">
        <v>3714</v>
      </c>
      <c r="V759" s="213" t="s">
        <v>3715</v>
      </c>
      <c r="W759" s="218" t="s">
        <v>3652</v>
      </c>
      <c r="X759" s="218" t="s">
        <v>3652</v>
      </c>
      <c r="Y759" s="212" t="s">
        <v>5456</v>
      </c>
      <c r="Z759" s="209" t="s">
        <v>3716</v>
      </c>
      <c r="AA759" s="215"/>
      <c r="AB759" s="218"/>
      <c r="AC759" s="217" t="e">
        <v>#N/A</v>
      </c>
      <c r="AD759" s="217">
        <v>90671</v>
      </c>
      <c r="AE759" s="217" t="s">
        <v>4660</v>
      </c>
      <c r="AF759" s="217" t="s">
        <v>3711</v>
      </c>
      <c r="AG759" s="217" t="s">
        <v>3719</v>
      </c>
      <c r="AH759" s="220" t="str">
        <f t="shared" si="49"/>
        <v>4590007764_008</v>
      </c>
      <c r="AI759" s="208" t="s">
        <v>5457</v>
      </c>
      <c r="AJ759" s="227">
        <v>45380</v>
      </c>
      <c r="AK759" s="222">
        <v>62039</v>
      </c>
      <c r="AL759" s="227"/>
      <c r="AM759" s="208"/>
      <c r="AN759" s="220"/>
      <c r="AO759" s="222"/>
      <c r="AP759" s="227"/>
      <c r="AQ759" s="358">
        <f ca="1">IF(表格1[[#This Row],[PO$]]="","100%",表格1[[#This Row],[total amount]]/表格1[[#This Row],[PO$]])</f>
        <v>1</v>
      </c>
      <c r="AR759" s="223">
        <f ca="1">表格1[[#This Row],[invoice amount]]+表格1[[#This Row],[invoice amount2]]</f>
        <v>62039</v>
      </c>
      <c r="AS759" s="224" t="s">
        <v>3789</v>
      </c>
      <c r="AT759" s="208" t="s">
        <v>5449</v>
      </c>
      <c r="AU759" s="208" t="e">
        <f ca="1">VLOOKUP(表格1[[#This Row],[PO+ITEM]],#REF!,2,FALSE)</f>
        <v>#REF!</v>
      </c>
      <c r="AV759" s="341" t="e">
        <f ca="1">VLOOKUP(表格1[[#This Row],[PO+ITEM]],#REF!,3,FALSE)</f>
        <v>#REF!</v>
      </c>
      <c r="AW759" s="208" t="e">
        <f ca="1">VLOOKUP(表格1[[#This Row],[PO+ITEM]],#REF!,4,FALSE)</f>
        <v>#REF!</v>
      </c>
      <c r="AX759" s="208" t="e" cm="1" vm="1">
        <f t="array" aca="1" ref="AX759" ca="1">VLOOKUP(AI:AI,#REF!,1,FALSE)</f>
        <v>#VALUE!</v>
      </c>
    </row>
    <row r="760" spans="1:50">
      <c r="A760" s="220">
        <v>759</v>
      </c>
      <c r="B760" s="220" t="s">
        <v>3674</v>
      </c>
      <c r="C760" s="209" t="s">
        <v>17</v>
      </c>
      <c r="D760" s="209" t="s">
        <v>3648</v>
      </c>
      <c r="E760" s="209"/>
      <c r="F760" s="209"/>
      <c r="G760" s="209"/>
      <c r="H760" s="210" t="s">
        <v>5458</v>
      </c>
      <c r="I760" s="210"/>
      <c r="J760" s="211"/>
      <c r="K760" s="210"/>
      <c r="L760" s="212" t="s">
        <v>2999</v>
      </c>
      <c r="M760" s="212" t="s">
        <v>2999</v>
      </c>
      <c r="N760" s="213"/>
      <c r="O760" s="263">
        <v>4590007764</v>
      </c>
      <c r="P760" s="214">
        <v>44861</v>
      </c>
      <c r="Q760" s="334">
        <v>9</v>
      </c>
      <c r="R760" s="349">
        <v>62039</v>
      </c>
      <c r="S760" s="217" t="s">
        <v>2156</v>
      </c>
      <c r="T760" s="209" t="s">
        <v>3713</v>
      </c>
      <c r="U760" s="209" t="s">
        <v>3714</v>
      </c>
      <c r="V760" s="213" t="s">
        <v>3715</v>
      </c>
      <c r="W760" s="218" t="s">
        <v>3652</v>
      </c>
      <c r="X760" s="218" t="s">
        <v>3652</v>
      </c>
      <c r="Y760" s="212" t="s">
        <v>5456</v>
      </c>
      <c r="Z760" s="209" t="s">
        <v>3716</v>
      </c>
      <c r="AA760" s="215"/>
      <c r="AB760" s="218"/>
      <c r="AC760" s="217" t="e">
        <v>#N/A</v>
      </c>
      <c r="AD760" s="217">
        <v>90672</v>
      </c>
      <c r="AE760" s="217" t="s">
        <v>4663</v>
      </c>
      <c r="AF760" s="217" t="s">
        <v>3711</v>
      </c>
      <c r="AG760" s="217" t="s">
        <v>3719</v>
      </c>
      <c r="AH760" s="220" t="str">
        <f t="shared" si="49"/>
        <v>4590007764_009</v>
      </c>
      <c r="AI760" s="208" t="s">
        <v>5459</v>
      </c>
      <c r="AJ760" s="227">
        <v>45380</v>
      </c>
      <c r="AK760" s="222">
        <v>62039</v>
      </c>
      <c r="AL760" s="227"/>
      <c r="AM760" s="208"/>
      <c r="AN760" s="220"/>
      <c r="AO760" s="222"/>
      <c r="AP760" s="227"/>
      <c r="AQ760" s="358">
        <f ca="1">IF(表格1[[#This Row],[PO$]]="","100%",表格1[[#This Row],[total amount]]/表格1[[#This Row],[PO$]])</f>
        <v>1</v>
      </c>
      <c r="AR760" s="223">
        <f ca="1">表格1[[#This Row],[invoice amount]]+表格1[[#This Row],[invoice amount2]]</f>
        <v>62039</v>
      </c>
      <c r="AS760" s="224" t="s">
        <v>3789</v>
      </c>
      <c r="AT760" s="208" t="s">
        <v>5449</v>
      </c>
      <c r="AU760" s="208" t="e">
        <f ca="1">VLOOKUP(表格1[[#This Row],[PO+ITEM]],#REF!,2,FALSE)</f>
        <v>#REF!</v>
      </c>
      <c r="AV760" s="341" t="e">
        <f ca="1">VLOOKUP(表格1[[#This Row],[PO+ITEM]],#REF!,3,FALSE)</f>
        <v>#REF!</v>
      </c>
      <c r="AW760" s="208" t="e">
        <f ca="1">VLOOKUP(表格1[[#This Row],[PO+ITEM]],#REF!,4,FALSE)</f>
        <v>#REF!</v>
      </c>
      <c r="AX760" s="208" t="e" cm="1" vm="1">
        <f t="array" aca="1" ref="AX760" ca="1">VLOOKUP(AI:AI,#REF!,1,FALSE)</f>
        <v>#VALUE!</v>
      </c>
    </row>
    <row r="761" spans="1:50">
      <c r="A761" s="220">
        <v>760</v>
      </c>
      <c r="B761" s="220" t="s">
        <v>3659</v>
      </c>
      <c r="C761" s="209" t="s">
        <v>17</v>
      </c>
      <c r="D761" s="209" t="s">
        <v>3648</v>
      </c>
      <c r="E761" s="209"/>
      <c r="F761" s="209"/>
      <c r="G761" s="209"/>
      <c r="H761" s="210" t="s">
        <v>5460</v>
      </c>
      <c r="I761" s="210"/>
      <c r="J761" s="211"/>
      <c r="K761" s="210"/>
      <c r="L761" s="212" t="s">
        <v>2999</v>
      </c>
      <c r="M761" s="212" t="s">
        <v>2999</v>
      </c>
      <c r="N761" s="213"/>
      <c r="O761" s="263">
        <v>4590007764</v>
      </c>
      <c r="P761" s="214">
        <v>44861</v>
      </c>
      <c r="Q761" s="334">
        <v>10</v>
      </c>
      <c r="R761" s="216">
        <v>62039</v>
      </c>
      <c r="S761" s="217" t="s">
        <v>2156</v>
      </c>
      <c r="T761" s="209" t="s">
        <v>3713</v>
      </c>
      <c r="U761" s="209" t="s">
        <v>3714</v>
      </c>
      <c r="V761" s="213" t="s">
        <v>3715</v>
      </c>
      <c r="W761" s="218" t="s">
        <v>3652</v>
      </c>
      <c r="X761" s="218" t="s">
        <v>3652</v>
      </c>
      <c r="Y761" s="212">
        <v>0</v>
      </c>
      <c r="Z761" s="209" t="s">
        <v>3716</v>
      </c>
      <c r="AA761" s="215"/>
      <c r="AB761" s="218"/>
      <c r="AC761" s="217" t="e">
        <v>#N/A</v>
      </c>
      <c r="AD761" s="217">
        <v>91095</v>
      </c>
      <c r="AE761" s="217" t="s">
        <v>5069</v>
      </c>
      <c r="AF761" s="217" t="s">
        <v>3711</v>
      </c>
      <c r="AG761" s="217" t="s">
        <v>3719</v>
      </c>
      <c r="AH761" s="220" t="str">
        <f t="shared" ref="AH761:AH779" si="50">O761&amp;"_0"&amp;Q761</f>
        <v>4590007764_010</v>
      </c>
      <c r="AI761" s="208"/>
      <c r="AJ761" s="220"/>
      <c r="AK761" s="221"/>
      <c r="AL761" s="227"/>
      <c r="AM761" s="208"/>
      <c r="AN761" s="220"/>
      <c r="AO761" s="222"/>
      <c r="AP761" s="227"/>
      <c r="AQ761" s="358">
        <f ca="1">IF(表格1[[#This Row],[PO$]]="","100%",表格1[[#This Row],[total amount]]/表格1[[#This Row],[PO$]])</f>
        <v>0</v>
      </c>
      <c r="AR761" s="223">
        <f ca="1">表格1[[#This Row],[invoice amount]]+表格1[[#This Row],[invoice amount2]]</f>
        <v>0</v>
      </c>
      <c r="AS761" s="224"/>
      <c r="AT761" s="208"/>
      <c r="AU761" s="208" t="e">
        <f ca="1">VLOOKUP(表格1[[#This Row],[PO+ITEM]],#REF!,2,FALSE)</f>
        <v>#REF!</v>
      </c>
      <c r="AV761" s="341" t="e">
        <f ca="1">VLOOKUP(表格1[[#This Row],[PO+ITEM]],#REF!,3,FALSE)</f>
        <v>#REF!</v>
      </c>
      <c r="AW761" s="208" t="e">
        <f ca="1">VLOOKUP(表格1[[#This Row],[PO+ITEM]],#REF!,4,FALSE)</f>
        <v>#REF!</v>
      </c>
      <c r="AX761" s="208" t="e" cm="1" vm="1">
        <f t="array" aca="1" ref="AX761" ca="1">VLOOKUP(AI:AI,#REF!,1,FALSE)</f>
        <v>#VALUE!</v>
      </c>
    </row>
    <row r="762" spans="1:50">
      <c r="A762" s="220">
        <v>761</v>
      </c>
      <c r="B762" s="220" t="s">
        <v>3674</v>
      </c>
      <c r="C762" s="209" t="s">
        <v>17</v>
      </c>
      <c r="D762" s="209" t="s">
        <v>3648</v>
      </c>
      <c r="E762" s="209"/>
      <c r="F762" s="209"/>
      <c r="G762" s="209"/>
      <c r="H762" s="210" t="s">
        <v>5461</v>
      </c>
      <c r="I762" s="210"/>
      <c r="J762" s="211"/>
      <c r="K762" s="210"/>
      <c r="L762" s="212" t="s">
        <v>2999</v>
      </c>
      <c r="M762" s="212" t="s">
        <v>2999</v>
      </c>
      <c r="N762" s="213"/>
      <c r="O762" s="263">
        <v>4590007764</v>
      </c>
      <c r="P762" s="214">
        <v>44861</v>
      </c>
      <c r="Q762" s="334">
        <v>11</v>
      </c>
      <c r="R762" s="349">
        <v>62039</v>
      </c>
      <c r="S762" s="217" t="s">
        <v>2156</v>
      </c>
      <c r="T762" s="209" t="s">
        <v>3713</v>
      </c>
      <c r="U762" s="209" t="s">
        <v>3714</v>
      </c>
      <c r="V762" s="213" t="s">
        <v>3715</v>
      </c>
      <c r="W762" s="218" t="s">
        <v>3652</v>
      </c>
      <c r="X762" s="218" t="s">
        <v>3652</v>
      </c>
      <c r="Y762" s="212">
        <v>0</v>
      </c>
      <c r="Z762" s="209" t="s">
        <v>3716</v>
      </c>
      <c r="AA762" s="215"/>
      <c r="AB762" s="218"/>
      <c r="AC762" s="217" t="e">
        <v>#N/A</v>
      </c>
      <c r="AD762" s="217">
        <v>90673</v>
      </c>
      <c r="AE762" s="217" t="s">
        <v>4666</v>
      </c>
      <c r="AF762" s="217" t="s">
        <v>3711</v>
      </c>
      <c r="AG762" s="217" t="s">
        <v>3719</v>
      </c>
      <c r="AH762" s="220" t="str">
        <f t="shared" si="50"/>
        <v>4590007764_011</v>
      </c>
      <c r="AI762" s="208" t="s">
        <v>5462</v>
      </c>
      <c r="AJ762" s="227">
        <v>45401</v>
      </c>
      <c r="AK762" s="221">
        <v>62039</v>
      </c>
      <c r="AL762" s="227"/>
      <c r="AM762" s="208"/>
      <c r="AN762" s="220"/>
      <c r="AO762" s="222"/>
      <c r="AP762" s="227"/>
      <c r="AQ762" s="358">
        <f ca="1">IF(表格1[[#This Row],[PO$]]="","100%",表格1[[#This Row],[total amount]]/表格1[[#This Row],[PO$]])</f>
        <v>1</v>
      </c>
      <c r="AR762" s="223">
        <f ca="1">表格1[[#This Row],[invoice amount]]+表格1[[#This Row],[invoice amount2]]</f>
        <v>62039</v>
      </c>
      <c r="AS762" s="224" t="s">
        <v>3789</v>
      </c>
      <c r="AT762" s="208" t="s">
        <v>5449</v>
      </c>
      <c r="AU762" s="208" t="e">
        <f ca="1">VLOOKUP(表格1[[#This Row],[PO+ITEM]],#REF!,2,FALSE)</f>
        <v>#REF!</v>
      </c>
      <c r="AV762" s="341" t="e">
        <f ca="1">VLOOKUP(表格1[[#This Row],[PO+ITEM]],#REF!,3,FALSE)</f>
        <v>#REF!</v>
      </c>
      <c r="AW762" s="208" t="e">
        <f ca="1">VLOOKUP(表格1[[#This Row],[PO+ITEM]],#REF!,4,FALSE)</f>
        <v>#REF!</v>
      </c>
      <c r="AX762" s="208" t="e" cm="1" vm="1">
        <f t="array" aca="1" ref="AX762" ca="1">VLOOKUP(AI:AI,#REF!,1,FALSE)</f>
        <v>#VALUE!</v>
      </c>
    </row>
    <row r="763" spans="1:50">
      <c r="A763" s="220">
        <v>762</v>
      </c>
      <c r="B763" s="220" t="s">
        <v>3659</v>
      </c>
      <c r="C763" s="209" t="s">
        <v>17</v>
      </c>
      <c r="D763" s="209" t="s">
        <v>3648</v>
      </c>
      <c r="E763" s="209"/>
      <c r="F763" s="209"/>
      <c r="G763" s="209"/>
      <c r="H763" s="210" t="s">
        <v>5463</v>
      </c>
      <c r="I763" s="210"/>
      <c r="J763" s="211"/>
      <c r="K763" s="210"/>
      <c r="L763" s="212" t="s">
        <v>2999</v>
      </c>
      <c r="M763" s="212" t="s">
        <v>2999</v>
      </c>
      <c r="N763" s="213"/>
      <c r="O763" s="263">
        <v>4590007764</v>
      </c>
      <c r="P763" s="214">
        <v>44861</v>
      </c>
      <c r="Q763" s="334">
        <v>12</v>
      </c>
      <c r="R763" s="216">
        <v>62039</v>
      </c>
      <c r="S763" s="217" t="s">
        <v>2156</v>
      </c>
      <c r="T763" s="209" t="s">
        <v>3713</v>
      </c>
      <c r="U763" s="209" t="s">
        <v>3714</v>
      </c>
      <c r="V763" s="213" t="s">
        <v>3715</v>
      </c>
      <c r="W763" s="218" t="s">
        <v>3652</v>
      </c>
      <c r="X763" s="218" t="s">
        <v>3652</v>
      </c>
      <c r="Y763" s="212">
        <v>0</v>
      </c>
      <c r="Z763" s="209" t="s">
        <v>3716</v>
      </c>
      <c r="AA763" s="215"/>
      <c r="AB763" s="218"/>
      <c r="AC763" s="217" t="e">
        <v>#N/A</v>
      </c>
      <c r="AD763" s="217">
        <v>91094</v>
      </c>
      <c r="AE763" s="217" t="s">
        <v>5067</v>
      </c>
      <c r="AF763" s="217" t="s">
        <v>3711</v>
      </c>
      <c r="AG763" s="217" t="s">
        <v>3719</v>
      </c>
      <c r="AH763" s="220" t="str">
        <f t="shared" si="50"/>
        <v>4590007764_012</v>
      </c>
      <c r="AI763" s="208"/>
      <c r="AJ763" s="220"/>
      <c r="AK763" s="221"/>
      <c r="AL763" s="227"/>
      <c r="AM763" s="208"/>
      <c r="AN763" s="220"/>
      <c r="AO763" s="222"/>
      <c r="AP763" s="227"/>
      <c r="AQ763" s="358">
        <f ca="1">IF(表格1[[#This Row],[PO$]]="","100%",表格1[[#This Row],[total amount]]/表格1[[#This Row],[PO$]])</f>
        <v>0</v>
      </c>
      <c r="AR763" s="223">
        <f ca="1">表格1[[#This Row],[invoice amount]]+表格1[[#This Row],[invoice amount2]]</f>
        <v>0</v>
      </c>
      <c r="AS763" s="224"/>
      <c r="AT763" s="208"/>
      <c r="AU763" s="208" t="e">
        <f ca="1">VLOOKUP(表格1[[#This Row],[PO+ITEM]],#REF!,2,FALSE)</f>
        <v>#REF!</v>
      </c>
      <c r="AV763" s="341" t="e">
        <f ca="1">VLOOKUP(表格1[[#This Row],[PO+ITEM]],#REF!,3,FALSE)</f>
        <v>#REF!</v>
      </c>
      <c r="AW763" s="208" t="e">
        <f ca="1">VLOOKUP(表格1[[#This Row],[PO+ITEM]],#REF!,4,FALSE)</f>
        <v>#REF!</v>
      </c>
      <c r="AX763" s="208" t="e" cm="1" vm="1">
        <f t="array" aca="1" ref="AX763" ca="1">VLOOKUP(AI:AI,#REF!,1,FALSE)</f>
        <v>#VALUE!</v>
      </c>
    </row>
    <row r="764" spans="1:50">
      <c r="A764" s="220">
        <v>763</v>
      </c>
      <c r="B764" s="220" t="s">
        <v>3674</v>
      </c>
      <c r="C764" s="209" t="s">
        <v>17</v>
      </c>
      <c r="D764" s="209" t="s">
        <v>3648</v>
      </c>
      <c r="E764" s="209"/>
      <c r="F764" s="209"/>
      <c r="G764" s="209"/>
      <c r="H764" s="210" t="s">
        <v>5464</v>
      </c>
      <c r="I764" s="210"/>
      <c r="J764" s="211"/>
      <c r="K764" s="210"/>
      <c r="L764" s="212" t="s">
        <v>2999</v>
      </c>
      <c r="M764" s="212" t="s">
        <v>2999</v>
      </c>
      <c r="N764" s="213"/>
      <c r="O764" s="263">
        <v>4590007764</v>
      </c>
      <c r="P764" s="214">
        <v>44861</v>
      </c>
      <c r="Q764" s="334">
        <v>13</v>
      </c>
      <c r="R764" s="349">
        <v>62039</v>
      </c>
      <c r="S764" s="217" t="s">
        <v>2156</v>
      </c>
      <c r="T764" s="209" t="s">
        <v>3713</v>
      </c>
      <c r="U764" s="209" t="s">
        <v>3714</v>
      </c>
      <c r="V764" s="213" t="s">
        <v>3715</v>
      </c>
      <c r="W764" s="218" t="s">
        <v>3652</v>
      </c>
      <c r="X764" s="218" t="s">
        <v>3652</v>
      </c>
      <c r="Y764" s="212">
        <v>0</v>
      </c>
      <c r="Z764" s="209" t="s">
        <v>3716</v>
      </c>
      <c r="AA764" s="215"/>
      <c r="AB764" s="218"/>
      <c r="AC764" s="217" t="e">
        <v>#N/A</v>
      </c>
      <c r="AD764" s="217">
        <v>90674</v>
      </c>
      <c r="AE764" s="217" t="s">
        <v>4669</v>
      </c>
      <c r="AF764" s="217" t="s">
        <v>3711</v>
      </c>
      <c r="AG764" s="217" t="s">
        <v>3719</v>
      </c>
      <c r="AH764" s="220" t="str">
        <f t="shared" si="50"/>
        <v>4590007764_013</v>
      </c>
      <c r="AI764" s="208" t="s">
        <v>5465</v>
      </c>
      <c r="AJ764" s="227">
        <v>45401</v>
      </c>
      <c r="AK764" s="221">
        <v>62039</v>
      </c>
      <c r="AL764" s="227"/>
      <c r="AM764" s="208"/>
      <c r="AN764" s="220"/>
      <c r="AO764" s="222"/>
      <c r="AP764" s="227"/>
      <c r="AQ764" s="358">
        <f ca="1">IF(表格1[[#This Row],[PO$]]="","100%",表格1[[#This Row],[total amount]]/表格1[[#This Row],[PO$]])</f>
        <v>1</v>
      </c>
      <c r="AR764" s="223">
        <f ca="1">表格1[[#This Row],[invoice amount]]+表格1[[#This Row],[invoice amount2]]</f>
        <v>62039</v>
      </c>
      <c r="AS764" s="224" t="s">
        <v>3789</v>
      </c>
      <c r="AT764" s="208" t="s">
        <v>5449</v>
      </c>
      <c r="AU764" s="208" t="e">
        <f ca="1">VLOOKUP(表格1[[#This Row],[PO+ITEM]],#REF!,2,FALSE)</f>
        <v>#REF!</v>
      </c>
      <c r="AV764" s="341" t="e">
        <f ca="1">VLOOKUP(表格1[[#This Row],[PO+ITEM]],#REF!,3,FALSE)</f>
        <v>#REF!</v>
      </c>
      <c r="AW764" s="208" t="e">
        <f ca="1">VLOOKUP(表格1[[#This Row],[PO+ITEM]],#REF!,4,FALSE)</f>
        <v>#REF!</v>
      </c>
      <c r="AX764" s="208" t="e" cm="1" vm="1">
        <f t="array" aca="1" ref="AX764" ca="1">VLOOKUP(AI:AI,#REF!,1,FALSE)</f>
        <v>#VALUE!</v>
      </c>
    </row>
    <row r="765" spans="1:50">
      <c r="A765" s="220">
        <v>764</v>
      </c>
      <c r="B765" s="220" t="s">
        <v>3674</v>
      </c>
      <c r="C765" s="209" t="s">
        <v>17</v>
      </c>
      <c r="D765" s="209" t="s">
        <v>3648</v>
      </c>
      <c r="E765" s="209"/>
      <c r="F765" s="209"/>
      <c r="G765" s="209"/>
      <c r="H765" s="210" t="s">
        <v>5466</v>
      </c>
      <c r="I765" s="210"/>
      <c r="J765" s="211"/>
      <c r="K765" s="210"/>
      <c r="L765" s="212" t="s">
        <v>2999</v>
      </c>
      <c r="M765" s="212" t="s">
        <v>2999</v>
      </c>
      <c r="N765" s="213"/>
      <c r="O765" s="263">
        <v>4590007764</v>
      </c>
      <c r="P765" s="214">
        <v>44861</v>
      </c>
      <c r="Q765" s="334">
        <v>14</v>
      </c>
      <c r="R765" s="349">
        <v>62039</v>
      </c>
      <c r="S765" s="217" t="s">
        <v>2156</v>
      </c>
      <c r="T765" s="209" t="s">
        <v>3713</v>
      </c>
      <c r="U765" s="209" t="s">
        <v>3714</v>
      </c>
      <c r="V765" s="213" t="s">
        <v>3715</v>
      </c>
      <c r="W765" s="218" t="s">
        <v>3652</v>
      </c>
      <c r="X765" s="218" t="s">
        <v>3652</v>
      </c>
      <c r="Y765" s="212">
        <v>0</v>
      </c>
      <c r="Z765" s="209" t="s">
        <v>3716</v>
      </c>
      <c r="AA765" s="215"/>
      <c r="AB765" s="218"/>
      <c r="AC765" s="217" t="e">
        <v>#N/A</v>
      </c>
      <c r="AD765" s="217">
        <v>90675</v>
      </c>
      <c r="AE765" s="217" t="s">
        <v>4672</v>
      </c>
      <c r="AF765" s="217" t="s">
        <v>3711</v>
      </c>
      <c r="AG765" s="217" t="s">
        <v>3719</v>
      </c>
      <c r="AH765" s="220" t="str">
        <f t="shared" si="50"/>
        <v>4590007764_014</v>
      </c>
      <c r="AI765" s="208" t="s">
        <v>5467</v>
      </c>
      <c r="AJ765" s="227">
        <v>45401</v>
      </c>
      <c r="AK765" s="221">
        <v>62039</v>
      </c>
      <c r="AL765" s="227"/>
      <c r="AM765" s="208"/>
      <c r="AN765" s="220"/>
      <c r="AO765" s="222"/>
      <c r="AP765" s="227"/>
      <c r="AQ765" s="358">
        <f ca="1">IF(表格1[[#This Row],[PO$]]="","100%",表格1[[#This Row],[total amount]]/表格1[[#This Row],[PO$]])</f>
        <v>1</v>
      </c>
      <c r="AR765" s="223">
        <f ca="1">表格1[[#This Row],[invoice amount]]+表格1[[#This Row],[invoice amount2]]</f>
        <v>62039</v>
      </c>
      <c r="AS765" s="224" t="s">
        <v>3789</v>
      </c>
      <c r="AT765" s="208" t="s">
        <v>5449</v>
      </c>
      <c r="AU765" s="208" t="e">
        <f ca="1">VLOOKUP(表格1[[#This Row],[PO+ITEM]],#REF!,2,FALSE)</f>
        <v>#REF!</v>
      </c>
      <c r="AV765" s="341" t="e">
        <f ca="1">VLOOKUP(表格1[[#This Row],[PO+ITEM]],#REF!,3,FALSE)</f>
        <v>#REF!</v>
      </c>
      <c r="AW765" s="208" t="e">
        <f ca="1">VLOOKUP(表格1[[#This Row],[PO+ITEM]],#REF!,4,FALSE)</f>
        <v>#REF!</v>
      </c>
      <c r="AX765" s="208" t="e" cm="1" vm="1">
        <f t="array" aca="1" ref="AX765" ca="1">VLOOKUP(AI:AI,#REF!,1,FALSE)</f>
        <v>#VALUE!</v>
      </c>
    </row>
    <row r="766" spans="1:50">
      <c r="A766" s="220">
        <v>765</v>
      </c>
      <c r="B766" s="220" t="s">
        <v>3674</v>
      </c>
      <c r="C766" s="209" t="s">
        <v>17</v>
      </c>
      <c r="D766" s="209" t="s">
        <v>3648</v>
      </c>
      <c r="E766" s="209"/>
      <c r="F766" s="209"/>
      <c r="G766" s="209"/>
      <c r="H766" s="210" t="s">
        <v>5468</v>
      </c>
      <c r="I766" s="210"/>
      <c r="J766" s="211"/>
      <c r="K766" s="210"/>
      <c r="L766" s="212" t="s">
        <v>2999</v>
      </c>
      <c r="M766" s="212" t="s">
        <v>2999</v>
      </c>
      <c r="N766" s="213"/>
      <c r="O766" s="263">
        <v>4590007764</v>
      </c>
      <c r="P766" s="214">
        <v>44861</v>
      </c>
      <c r="Q766" s="334">
        <v>15</v>
      </c>
      <c r="R766" s="216">
        <v>62039</v>
      </c>
      <c r="S766" s="217" t="s">
        <v>2156</v>
      </c>
      <c r="T766" s="209" t="s">
        <v>3713</v>
      </c>
      <c r="U766" s="209" t="s">
        <v>3714</v>
      </c>
      <c r="V766" s="213" t="s">
        <v>3715</v>
      </c>
      <c r="W766" s="218" t="s">
        <v>3652</v>
      </c>
      <c r="X766" s="218" t="s">
        <v>3652</v>
      </c>
      <c r="Y766" s="212" t="s">
        <v>5456</v>
      </c>
      <c r="Z766" s="209" t="s">
        <v>3716</v>
      </c>
      <c r="AA766" s="215"/>
      <c r="AB766" s="218"/>
      <c r="AC766" s="217" t="e">
        <v>#N/A</v>
      </c>
      <c r="AD766" s="217">
        <v>90676</v>
      </c>
      <c r="AE766" s="217" t="s">
        <v>4675</v>
      </c>
      <c r="AF766" s="217" t="s">
        <v>3711</v>
      </c>
      <c r="AG766" s="217" t="s">
        <v>3719</v>
      </c>
      <c r="AH766" s="220" t="str">
        <f t="shared" si="50"/>
        <v>4590007764_015</v>
      </c>
      <c r="AI766" s="208" t="s">
        <v>5469</v>
      </c>
      <c r="AJ766" s="227">
        <v>45380</v>
      </c>
      <c r="AK766" s="222">
        <v>62039</v>
      </c>
      <c r="AL766" s="227">
        <v>45498</v>
      </c>
      <c r="AM766" s="208"/>
      <c r="AN766" s="220"/>
      <c r="AO766" s="222"/>
      <c r="AP766" s="227"/>
      <c r="AQ766" s="358">
        <f ca="1">IF(表格1[[#This Row],[PO$]]="","100%",表格1[[#This Row],[total amount]]/表格1[[#This Row],[PO$]])</f>
        <v>1</v>
      </c>
      <c r="AR766" s="223">
        <f ca="1">表格1[[#This Row],[invoice amount]]+表格1[[#This Row],[invoice amount2]]</f>
        <v>62039</v>
      </c>
      <c r="AS766" s="224" t="s">
        <v>3789</v>
      </c>
      <c r="AT766" s="208" t="s">
        <v>5449</v>
      </c>
      <c r="AU766" s="208" t="e">
        <f ca="1">VLOOKUP(表格1[[#This Row],[PO+ITEM]],#REF!,2,FALSE)</f>
        <v>#REF!</v>
      </c>
      <c r="AV766" s="341" t="e">
        <f ca="1">VLOOKUP(表格1[[#This Row],[PO+ITEM]],#REF!,3,FALSE)</f>
        <v>#REF!</v>
      </c>
      <c r="AW766" s="208" t="e">
        <f ca="1">VLOOKUP(表格1[[#This Row],[PO+ITEM]],#REF!,4,FALSE)</f>
        <v>#REF!</v>
      </c>
      <c r="AX766" s="208" t="e" cm="1" vm="1">
        <f t="array" aca="1" ref="AX766" ca="1">VLOOKUP(AI:AI,#REF!,1,FALSE)</f>
        <v>#VALUE!</v>
      </c>
    </row>
    <row r="767" spans="1:50">
      <c r="A767" s="220">
        <v>766</v>
      </c>
      <c r="B767" s="220" t="s">
        <v>3659</v>
      </c>
      <c r="C767" s="209" t="s">
        <v>17</v>
      </c>
      <c r="D767" s="209" t="s">
        <v>3648</v>
      </c>
      <c r="E767" s="209"/>
      <c r="F767" s="209"/>
      <c r="G767" s="209"/>
      <c r="H767" s="210" t="s">
        <v>5470</v>
      </c>
      <c r="I767" s="210"/>
      <c r="J767" s="211"/>
      <c r="K767" s="210"/>
      <c r="L767" s="212" t="s">
        <v>2999</v>
      </c>
      <c r="M767" s="212" t="s">
        <v>2999</v>
      </c>
      <c r="N767" s="213"/>
      <c r="O767" s="263">
        <v>4590007764</v>
      </c>
      <c r="P767" s="214">
        <v>44861</v>
      </c>
      <c r="Q767" s="334">
        <v>16</v>
      </c>
      <c r="R767" s="216">
        <v>62039</v>
      </c>
      <c r="S767" s="217" t="s">
        <v>2156</v>
      </c>
      <c r="T767" s="209" t="s">
        <v>3713</v>
      </c>
      <c r="U767" s="209" t="s">
        <v>3714</v>
      </c>
      <c r="V767" s="213" t="s">
        <v>3715</v>
      </c>
      <c r="W767" s="218" t="s">
        <v>3652</v>
      </c>
      <c r="X767" s="218" t="s">
        <v>3652</v>
      </c>
      <c r="Y767" s="212">
        <v>0</v>
      </c>
      <c r="Z767" s="209" t="s">
        <v>3716</v>
      </c>
      <c r="AA767" s="215"/>
      <c r="AB767" s="218"/>
      <c r="AC767" s="217" t="e">
        <v>#N/A</v>
      </c>
      <c r="AD767" s="217">
        <v>91090</v>
      </c>
      <c r="AE767" s="217" t="s">
        <v>5061</v>
      </c>
      <c r="AF767" s="217" t="s">
        <v>3711</v>
      </c>
      <c r="AG767" s="217" t="s">
        <v>3719</v>
      </c>
      <c r="AH767" s="220" t="str">
        <f t="shared" si="50"/>
        <v>4590007764_016</v>
      </c>
      <c r="AI767" s="208"/>
      <c r="AJ767" s="220"/>
      <c r="AK767" s="221"/>
      <c r="AL767" s="227"/>
      <c r="AM767" s="208"/>
      <c r="AN767" s="220"/>
      <c r="AO767" s="222"/>
      <c r="AP767" s="227"/>
      <c r="AQ767" s="358">
        <f ca="1">IF(表格1[[#This Row],[PO$]]="","100%",表格1[[#This Row],[total amount]]/表格1[[#This Row],[PO$]])</f>
        <v>0</v>
      </c>
      <c r="AR767" s="223">
        <f ca="1">表格1[[#This Row],[invoice amount]]+表格1[[#This Row],[invoice amount2]]</f>
        <v>0</v>
      </c>
      <c r="AS767" s="224"/>
      <c r="AT767" s="208"/>
      <c r="AU767" s="208" t="e">
        <f ca="1">VLOOKUP(表格1[[#This Row],[PO+ITEM]],#REF!,2,FALSE)</f>
        <v>#REF!</v>
      </c>
      <c r="AV767" s="341" t="e">
        <f ca="1">VLOOKUP(表格1[[#This Row],[PO+ITEM]],#REF!,3,FALSE)</f>
        <v>#REF!</v>
      </c>
      <c r="AW767" s="208" t="e">
        <f ca="1">VLOOKUP(表格1[[#This Row],[PO+ITEM]],#REF!,4,FALSE)</f>
        <v>#REF!</v>
      </c>
      <c r="AX767" s="208" t="e" cm="1" vm="1">
        <f t="array" aca="1" ref="AX767" ca="1">VLOOKUP(AI:AI,#REF!,1,FALSE)</f>
        <v>#VALUE!</v>
      </c>
    </row>
    <row r="768" spans="1:50">
      <c r="A768" s="220">
        <v>767</v>
      </c>
      <c r="B768" s="220" t="s">
        <v>3659</v>
      </c>
      <c r="C768" s="209" t="s">
        <v>17</v>
      </c>
      <c r="D768" s="209" t="s">
        <v>3648</v>
      </c>
      <c r="E768" s="209"/>
      <c r="F768" s="209"/>
      <c r="G768" s="209"/>
      <c r="H768" s="210" t="s">
        <v>5471</v>
      </c>
      <c r="I768" s="210"/>
      <c r="J768" s="211"/>
      <c r="K768" s="210"/>
      <c r="L768" s="212" t="s">
        <v>2999</v>
      </c>
      <c r="M768" s="212" t="s">
        <v>2999</v>
      </c>
      <c r="N768" s="213"/>
      <c r="O768" s="263">
        <v>4590007764</v>
      </c>
      <c r="P768" s="214">
        <v>44861</v>
      </c>
      <c r="Q768" s="334">
        <v>17</v>
      </c>
      <c r="R768" s="216">
        <v>62039</v>
      </c>
      <c r="S768" s="217" t="s">
        <v>2156</v>
      </c>
      <c r="T768" s="209" t="s">
        <v>3713</v>
      </c>
      <c r="U768" s="209" t="s">
        <v>3714</v>
      </c>
      <c r="V768" s="213" t="s">
        <v>3715</v>
      </c>
      <c r="W768" s="218" t="s">
        <v>3652</v>
      </c>
      <c r="X768" s="218" t="s">
        <v>3652</v>
      </c>
      <c r="Y768" s="212">
        <v>0</v>
      </c>
      <c r="Z768" s="209" t="s">
        <v>3716</v>
      </c>
      <c r="AA768" s="215"/>
      <c r="AB768" s="218"/>
      <c r="AC768" s="217" t="e">
        <v>#N/A</v>
      </c>
      <c r="AD768" s="217">
        <v>91089</v>
      </c>
      <c r="AE768" s="217" t="s">
        <v>5059</v>
      </c>
      <c r="AF768" s="217" t="s">
        <v>3711</v>
      </c>
      <c r="AG768" s="217" t="s">
        <v>3719</v>
      </c>
      <c r="AH768" s="220" t="str">
        <f t="shared" si="50"/>
        <v>4590007764_017</v>
      </c>
      <c r="AI768" s="208"/>
      <c r="AJ768" s="220"/>
      <c r="AK768" s="221"/>
      <c r="AL768" s="227"/>
      <c r="AM768" s="208"/>
      <c r="AN768" s="220"/>
      <c r="AO768" s="222"/>
      <c r="AP768" s="227"/>
      <c r="AQ768" s="358">
        <f ca="1">IF(表格1[[#This Row],[PO$]]="","100%",表格1[[#This Row],[total amount]]/表格1[[#This Row],[PO$]])</f>
        <v>0</v>
      </c>
      <c r="AR768" s="223">
        <f ca="1">表格1[[#This Row],[invoice amount]]+表格1[[#This Row],[invoice amount2]]</f>
        <v>0</v>
      </c>
      <c r="AS768" s="224"/>
      <c r="AT768" s="208"/>
      <c r="AU768" s="208" t="e">
        <f ca="1">VLOOKUP(表格1[[#This Row],[PO+ITEM]],#REF!,2,FALSE)</f>
        <v>#REF!</v>
      </c>
      <c r="AV768" s="341" t="e">
        <f ca="1">VLOOKUP(表格1[[#This Row],[PO+ITEM]],#REF!,3,FALSE)</f>
        <v>#REF!</v>
      </c>
      <c r="AW768" s="208" t="e">
        <f ca="1">VLOOKUP(表格1[[#This Row],[PO+ITEM]],#REF!,4,FALSE)</f>
        <v>#REF!</v>
      </c>
      <c r="AX768" s="208" t="e" cm="1" vm="1">
        <f t="array" aca="1" ref="AX768" ca="1">VLOOKUP(AI:AI,#REF!,1,FALSE)</f>
        <v>#VALUE!</v>
      </c>
    </row>
    <row r="769" spans="1:50">
      <c r="A769" s="220">
        <v>768</v>
      </c>
      <c r="B769" s="220" t="s">
        <v>3659</v>
      </c>
      <c r="C769" s="209" t="s">
        <v>17</v>
      </c>
      <c r="D769" s="209" t="s">
        <v>3648</v>
      </c>
      <c r="E769" s="209"/>
      <c r="F769" s="209"/>
      <c r="G769" s="209"/>
      <c r="H769" s="210" t="s">
        <v>5472</v>
      </c>
      <c r="I769" s="210"/>
      <c r="J769" s="211"/>
      <c r="K769" s="210"/>
      <c r="L769" s="212" t="s">
        <v>2999</v>
      </c>
      <c r="M769" s="212" t="s">
        <v>2999</v>
      </c>
      <c r="N769" s="213"/>
      <c r="O769" s="263">
        <v>4590007764</v>
      </c>
      <c r="P769" s="214">
        <v>44861</v>
      </c>
      <c r="Q769" s="334">
        <v>18</v>
      </c>
      <c r="R769" s="216">
        <v>62039</v>
      </c>
      <c r="S769" s="217" t="s">
        <v>2156</v>
      </c>
      <c r="T769" s="209" t="s">
        <v>3713</v>
      </c>
      <c r="U769" s="209" t="s">
        <v>3714</v>
      </c>
      <c r="V769" s="213" t="s">
        <v>3715</v>
      </c>
      <c r="W769" s="218" t="s">
        <v>3652</v>
      </c>
      <c r="X769" s="218" t="s">
        <v>3652</v>
      </c>
      <c r="Y769" s="212">
        <v>0</v>
      </c>
      <c r="Z769" s="209" t="s">
        <v>3716</v>
      </c>
      <c r="AA769" s="215"/>
      <c r="AB769" s="218"/>
      <c r="AC769" s="217" t="e">
        <v>#N/A</v>
      </c>
      <c r="AD769" s="217">
        <v>91096</v>
      </c>
      <c r="AE769" s="217" t="s">
        <v>5071</v>
      </c>
      <c r="AF769" s="217" t="s">
        <v>3711</v>
      </c>
      <c r="AG769" s="217" t="s">
        <v>3719</v>
      </c>
      <c r="AH769" s="220" t="str">
        <f t="shared" si="50"/>
        <v>4590007764_018</v>
      </c>
      <c r="AI769" s="208"/>
      <c r="AJ769" s="220"/>
      <c r="AK769" s="221"/>
      <c r="AL769" s="227"/>
      <c r="AM769" s="208"/>
      <c r="AN769" s="220"/>
      <c r="AO769" s="222"/>
      <c r="AP769" s="227"/>
      <c r="AQ769" s="358">
        <f ca="1">IF(表格1[[#This Row],[PO$]]="","100%",表格1[[#This Row],[total amount]]/表格1[[#This Row],[PO$]])</f>
        <v>0</v>
      </c>
      <c r="AR769" s="223">
        <f ca="1">表格1[[#This Row],[invoice amount]]+表格1[[#This Row],[invoice amount2]]</f>
        <v>0</v>
      </c>
      <c r="AS769" s="224"/>
      <c r="AT769" s="208"/>
      <c r="AU769" s="208" t="e">
        <f ca="1">VLOOKUP(表格1[[#This Row],[PO+ITEM]],#REF!,2,FALSE)</f>
        <v>#REF!</v>
      </c>
      <c r="AV769" s="341" t="e">
        <f ca="1">VLOOKUP(表格1[[#This Row],[PO+ITEM]],#REF!,3,FALSE)</f>
        <v>#REF!</v>
      </c>
      <c r="AW769" s="208" t="e">
        <f ca="1">VLOOKUP(表格1[[#This Row],[PO+ITEM]],#REF!,4,FALSE)</f>
        <v>#REF!</v>
      </c>
      <c r="AX769" s="208" t="e" cm="1" vm="1">
        <f t="array" aca="1" ref="AX769" ca="1">VLOOKUP(AI:AI,#REF!,1,FALSE)</f>
        <v>#VALUE!</v>
      </c>
    </row>
    <row r="770" spans="1:50">
      <c r="A770" s="220">
        <v>769</v>
      </c>
      <c r="B770" s="220" t="s">
        <v>3674</v>
      </c>
      <c r="C770" s="209" t="s">
        <v>17</v>
      </c>
      <c r="D770" s="209" t="s">
        <v>3648</v>
      </c>
      <c r="E770" s="209"/>
      <c r="F770" s="209"/>
      <c r="G770" s="209"/>
      <c r="H770" s="210" t="s">
        <v>5473</v>
      </c>
      <c r="I770" s="210"/>
      <c r="J770" s="211"/>
      <c r="K770" s="210"/>
      <c r="L770" s="212" t="s">
        <v>2999</v>
      </c>
      <c r="M770" s="212" t="s">
        <v>2999</v>
      </c>
      <c r="N770" s="213"/>
      <c r="O770" s="263">
        <v>4590007764</v>
      </c>
      <c r="P770" s="214">
        <v>44861</v>
      </c>
      <c r="Q770" s="334">
        <v>19</v>
      </c>
      <c r="R770" s="349">
        <v>39874</v>
      </c>
      <c r="S770" s="217" t="s">
        <v>2156</v>
      </c>
      <c r="T770" s="209" t="s">
        <v>3713</v>
      </c>
      <c r="U770" s="209" t="s">
        <v>3714</v>
      </c>
      <c r="V770" s="213" t="s">
        <v>3715</v>
      </c>
      <c r="W770" s="218" t="s">
        <v>3652</v>
      </c>
      <c r="X770" s="218" t="s">
        <v>3652</v>
      </c>
      <c r="Y770" s="212">
        <v>0</v>
      </c>
      <c r="Z770" s="209" t="s">
        <v>3716</v>
      </c>
      <c r="AA770" s="215"/>
      <c r="AB770" s="218"/>
      <c r="AC770" s="217" t="e">
        <v>#N/A</v>
      </c>
      <c r="AD770" s="217">
        <v>90520</v>
      </c>
      <c r="AE770" s="217" t="s">
        <v>4678</v>
      </c>
      <c r="AF770" s="217" t="s">
        <v>3711</v>
      </c>
      <c r="AG770" s="217" t="s">
        <v>3719</v>
      </c>
      <c r="AH770" s="220" t="str">
        <f t="shared" si="50"/>
        <v>4590007764_019</v>
      </c>
      <c r="AI770" s="208" t="s">
        <v>5474</v>
      </c>
      <c r="AJ770" s="227">
        <v>45401</v>
      </c>
      <c r="AK770" s="221">
        <v>39874</v>
      </c>
      <c r="AL770" s="227">
        <v>45503</v>
      </c>
      <c r="AM770" s="208"/>
      <c r="AN770" s="220"/>
      <c r="AO770" s="222"/>
      <c r="AP770" s="227"/>
      <c r="AQ770" s="358">
        <f ca="1">IF(表格1[[#This Row],[PO$]]="","100%",表格1[[#This Row],[total amount]]/表格1[[#This Row],[PO$]])</f>
        <v>1</v>
      </c>
      <c r="AR770" s="223">
        <f ca="1">表格1[[#This Row],[invoice amount]]+表格1[[#This Row],[invoice amount2]]</f>
        <v>39874</v>
      </c>
      <c r="AS770" s="224" t="s">
        <v>3725</v>
      </c>
      <c r="AT770" s="208" t="s">
        <v>5449</v>
      </c>
      <c r="AU770" s="208" t="e">
        <f ca="1">VLOOKUP(表格1[[#This Row],[PO+ITEM]],#REF!,2,FALSE)</f>
        <v>#REF!</v>
      </c>
      <c r="AV770" s="341" t="e">
        <f ca="1">VLOOKUP(表格1[[#This Row],[PO+ITEM]],#REF!,3,FALSE)</f>
        <v>#REF!</v>
      </c>
      <c r="AW770" s="208" t="e">
        <f ca="1">VLOOKUP(表格1[[#This Row],[PO+ITEM]],#REF!,4,FALSE)</f>
        <v>#REF!</v>
      </c>
      <c r="AX770" s="208" t="e" cm="1" vm="1">
        <f t="array" aca="1" ref="AX770" ca="1">VLOOKUP(AI:AI,#REF!,1,FALSE)</f>
        <v>#VALUE!</v>
      </c>
    </row>
    <row r="771" spans="1:50">
      <c r="A771" s="220">
        <v>770</v>
      </c>
      <c r="B771" s="220" t="s">
        <v>3659</v>
      </c>
      <c r="C771" s="209" t="s">
        <v>17</v>
      </c>
      <c r="D771" s="209" t="s">
        <v>3648</v>
      </c>
      <c r="E771" s="209"/>
      <c r="F771" s="209"/>
      <c r="G771" s="209"/>
      <c r="H771" s="210" t="s">
        <v>5475</v>
      </c>
      <c r="I771" s="210"/>
      <c r="J771" s="211"/>
      <c r="K771" s="210"/>
      <c r="L771" s="212" t="s">
        <v>2999</v>
      </c>
      <c r="M771" s="212" t="s">
        <v>2999</v>
      </c>
      <c r="N771" s="213"/>
      <c r="O771" s="263">
        <v>4590007764</v>
      </c>
      <c r="P771" s="214">
        <v>44861</v>
      </c>
      <c r="Q771" s="334">
        <v>20</v>
      </c>
      <c r="R771" s="216">
        <v>39874</v>
      </c>
      <c r="S771" s="217" t="s">
        <v>2156</v>
      </c>
      <c r="T771" s="209" t="s">
        <v>3713</v>
      </c>
      <c r="U771" s="209" t="s">
        <v>3714</v>
      </c>
      <c r="V771" s="213" t="s">
        <v>3715</v>
      </c>
      <c r="W771" s="218" t="s">
        <v>3652</v>
      </c>
      <c r="X771" s="218" t="s">
        <v>3652</v>
      </c>
      <c r="Y771" s="212">
        <v>0</v>
      </c>
      <c r="Z771" s="209" t="s">
        <v>3716</v>
      </c>
      <c r="AA771" s="215"/>
      <c r="AB771" s="218"/>
      <c r="AC771" s="217" t="e">
        <v>#N/A</v>
      </c>
      <c r="AD771" s="217">
        <v>91101</v>
      </c>
      <c r="AE771" s="217" t="s">
        <v>5079</v>
      </c>
      <c r="AF771" s="217" t="s">
        <v>3711</v>
      </c>
      <c r="AG771" s="217" t="s">
        <v>3719</v>
      </c>
      <c r="AH771" s="220" t="str">
        <f t="shared" si="50"/>
        <v>4590007764_020</v>
      </c>
      <c r="AI771" s="208"/>
      <c r="AJ771" s="220"/>
      <c r="AK771" s="221"/>
      <c r="AL771" s="227"/>
      <c r="AM771" s="208"/>
      <c r="AN771" s="220"/>
      <c r="AO771" s="222"/>
      <c r="AP771" s="227"/>
      <c r="AQ771" s="358">
        <f ca="1">IF(表格1[[#This Row],[PO$]]="","100%",表格1[[#This Row],[total amount]]/表格1[[#This Row],[PO$]])</f>
        <v>0</v>
      </c>
      <c r="AR771" s="223">
        <f ca="1">表格1[[#This Row],[invoice amount]]+表格1[[#This Row],[invoice amount2]]</f>
        <v>0</v>
      </c>
      <c r="AS771" s="224"/>
      <c r="AT771" s="208"/>
      <c r="AU771" s="208" t="e">
        <f ca="1">VLOOKUP(表格1[[#This Row],[PO+ITEM]],#REF!,2,FALSE)</f>
        <v>#REF!</v>
      </c>
      <c r="AV771" s="341" t="e">
        <f ca="1">VLOOKUP(表格1[[#This Row],[PO+ITEM]],#REF!,3,FALSE)</f>
        <v>#REF!</v>
      </c>
      <c r="AW771" s="208" t="e">
        <f ca="1">VLOOKUP(表格1[[#This Row],[PO+ITEM]],#REF!,4,FALSE)</f>
        <v>#REF!</v>
      </c>
      <c r="AX771" s="208" t="e" cm="1" vm="1">
        <f t="array" aca="1" ref="AX771" ca="1">VLOOKUP(AI:AI,#REF!,1,FALSE)</f>
        <v>#VALUE!</v>
      </c>
    </row>
    <row r="772" spans="1:50">
      <c r="A772" s="220">
        <v>771</v>
      </c>
      <c r="B772" s="220" t="s">
        <v>3674</v>
      </c>
      <c r="C772" s="209" t="s">
        <v>17</v>
      </c>
      <c r="D772" s="209" t="s">
        <v>3648</v>
      </c>
      <c r="E772" s="209"/>
      <c r="F772" s="209"/>
      <c r="G772" s="209"/>
      <c r="H772" s="210" t="s">
        <v>5476</v>
      </c>
      <c r="I772" s="210"/>
      <c r="J772" s="211"/>
      <c r="K772" s="210"/>
      <c r="L772" s="212" t="s">
        <v>2999</v>
      </c>
      <c r="M772" s="212" t="s">
        <v>2999</v>
      </c>
      <c r="N772" s="213"/>
      <c r="O772" s="263">
        <v>4590007764</v>
      </c>
      <c r="P772" s="214">
        <v>44861</v>
      </c>
      <c r="Q772" s="334">
        <v>21</v>
      </c>
      <c r="R772" s="216">
        <v>39874</v>
      </c>
      <c r="S772" s="217" t="s">
        <v>2156</v>
      </c>
      <c r="T772" s="209" t="s">
        <v>3713</v>
      </c>
      <c r="U772" s="209" t="s">
        <v>3714</v>
      </c>
      <c r="V772" s="213" t="s">
        <v>3715</v>
      </c>
      <c r="W772" s="218" t="s">
        <v>3652</v>
      </c>
      <c r="X772" s="218" t="s">
        <v>3652</v>
      </c>
      <c r="Y772" s="212">
        <v>0</v>
      </c>
      <c r="Z772" s="209" t="s">
        <v>3716</v>
      </c>
      <c r="AA772" s="215"/>
      <c r="AB772" s="218"/>
      <c r="AC772" s="217" t="e">
        <v>#N/A</v>
      </c>
      <c r="AD772" s="217">
        <v>90521</v>
      </c>
      <c r="AE772" s="217" t="s">
        <v>4681</v>
      </c>
      <c r="AF772" s="217" t="s">
        <v>3711</v>
      </c>
      <c r="AG772" s="217" t="s">
        <v>3719</v>
      </c>
      <c r="AH772" s="220" t="str">
        <f t="shared" si="50"/>
        <v>4590007764_021</v>
      </c>
      <c r="AI772" s="208" t="s">
        <v>5477</v>
      </c>
      <c r="AJ772" s="227">
        <v>45401</v>
      </c>
      <c r="AK772" s="221">
        <v>39874</v>
      </c>
      <c r="AL772" s="227">
        <v>45503</v>
      </c>
      <c r="AM772" s="208"/>
      <c r="AN772" s="220"/>
      <c r="AO772" s="222"/>
      <c r="AP772" s="227"/>
      <c r="AQ772" s="358">
        <f ca="1">IF(表格1[[#This Row],[PO$]]="","100%",表格1[[#This Row],[total amount]]/表格1[[#This Row],[PO$]])</f>
        <v>1</v>
      </c>
      <c r="AR772" s="223">
        <f ca="1">表格1[[#This Row],[invoice amount]]+表格1[[#This Row],[invoice amount2]]</f>
        <v>39874</v>
      </c>
      <c r="AS772" s="224" t="s">
        <v>3725</v>
      </c>
      <c r="AT772" s="208" t="s">
        <v>5449</v>
      </c>
      <c r="AU772" s="208" t="e">
        <f ca="1">VLOOKUP(表格1[[#This Row],[PO+ITEM]],#REF!,2,FALSE)</f>
        <v>#REF!</v>
      </c>
      <c r="AV772" s="341" t="e">
        <f ca="1">VLOOKUP(表格1[[#This Row],[PO+ITEM]],#REF!,3,FALSE)</f>
        <v>#REF!</v>
      </c>
      <c r="AW772" s="208" t="e">
        <f ca="1">VLOOKUP(表格1[[#This Row],[PO+ITEM]],#REF!,4,FALSE)</f>
        <v>#REF!</v>
      </c>
      <c r="AX772" s="208" t="e" cm="1" vm="1">
        <f t="array" aca="1" ref="AX772" ca="1">VLOOKUP(AI:AI,#REF!,1,FALSE)</f>
        <v>#VALUE!</v>
      </c>
    </row>
    <row r="773" spans="1:50">
      <c r="A773" s="220">
        <v>772</v>
      </c>
      <c r="B773" s="220" t="s">
        <v>3659</v>
      </c>
      <c r="C773" s="209" t="s">
        <v>17</v>
      </c>
      <c r="D773" s="209" t="s">
        <v>3648</v>
      </c>
      <c r="E773" s="209"/>
      <c r="F773" s="209"/>
      <c r="G773" s="209"/>
      <c r="H773" s="210" t="s">
        <v>5478</v>
      </c>
      <c r="I773" s="210"/>
      <c r="J773" s="211"/>
      <c r="K773" s="210"/>
      <c r="L773" s="212" t="s">
        <v>2999</v>
      </c>
      <c r="M773" s="212" t="s">
        <v>2999</v>
      </c>
      <c r="N773" s="213"/>
      <c r="O773" s="263">
        <v>4590007764</v>
      </c>
      <c r="P773" s="214">
        <v>44861</v>
      </c>
      <c r="Q773" s="334">
        <v>22</v>
      </c>
      <c r="R773" s="216">
        <v>39874</v>
      </c>
      <c r="S773" s="217" t="s">
        <v>2156</v>
      </c>
      <c r="T773" s="209" t="s">
        <v>3713</v>
      </c>
      <c r="U773" s="209" t="s">
        <v>3714</v>
      </c>
      <c r="V773" s="213" t="s">
        <v>3715</v>
      </c>
      <c r="W773" s="218" t="s">
        <v>3652</v>
      </c>
      <c r="X773" s="218" t="s">
        <v>3652</v>
      </c>
      <c r="Y773" s="212">
        <v>0</v>
      </c>
      <c r="Z773" s="209" t="s">
        <v>3716</v>
      </c>
      <c r="AA773" s="215"/>
      <c r="AB773" s="218"/>
      <c r="AC773" s="217" t="e">
        <v>#N/A</v>
      </c>
      <c r="AD773" s="217">
        <v>91098</v>
      </c>
      <c r="AE773" s="217" t="s">
        <v>5075</v>
      </c>
      <c r="AF773" s="217" t="s">
        <v>3711</v>
      </c>
      <c r="AG773" s="217" t="s">
        <v>3719</v>
      </c>
      <c r="AH773" s="220" t="str">
        <f t="shared" si="50"/>
        <v>4590007764_022</v>
      </c>
      <c r="AI773" s="208"/>
      <c r="AJ773" s="220"/>
      <c r="AK773" s="221"/>
      <c r="AL773" s="227"/>
      <c r="AM773" s="208"/>
      <c r="AN773" s="220"/>
      <c r="AO773" s="222"/>
      <c r="AP773" s="227"/>
      <c r="AQ773" s="358">
        <f ca="1">IF(表格1[[#This Row],[PO$]]="","100%",表格1[[#This Row],[total amount]]/表格1[[#This Row],[PO$]])</f>
        <v>0</v>
      </c>
      <c r="AR773" s="223">
        <f ca="1">表格1[[#This Row],[invoice amount]]+表格1[[#This Row],[invoice amount2]]</f>
        <v>0</v>
      </c>
      <c r="AS773" s="224"/>
      <c r="AT773" s="208"/>
      <c r="AU773" s="208" t="e">
        <f ca="1">VLOOKUP(表格1[[#This Row],[PO+ITEM]],#REF!,2,FALSE)</f>
        <v>#REF!</v>
      </c>
      <c r="AV773" s="341" t="e">
        <f ca="1">VLOOKUP(表格1[[#This Row],[PO+ITEM]],#REF!,3,FALSE)</f>
        <v>#REF!</v>
      </c>
      <c r="AW773" s="208" t="e">
        <f ca="1">VLOOKUP(表格1[[#This Row],[PO+ITEM]],#REF!,4,FALSE)</f>
        <v>#REF!</v>
      </c>
      <c r="AX773" s="208" t="e" cm="1" vm="1">
        <f t="array" aca="1" ref="AX773" ca="1">VLOOKUP(AI:AI,#REF!,1,FALSE)</f>
        <v>#VALUE!</v>
      </c>
    </row>
    <row r="774" spans="1:50">
      <c r="A774" s="220">
        <v>773</v>
      </c>
      <c r="B774" s="220" t="s">
        <v>3674</v>
      </c>
      <c r="C774" s="209" t="s">
        <v>17</v>
      </c>
      <c r="D774" s="209" t="s">
        <v>3648</v>
      </c>
      <c r="E774" s="209"/>
      <c r="F774" s="209"/>
      <c r="G774" s="209"/>
      <c r="H774" s="210" t="s">
        <v>5479</v>
      </c>
      <c r="I774" s="210"/>
      <c r="J774" s="211"/>
      <c r="K774" s="210"/>
      <c r="L774" s="212" t="s">
        <v>2999</v>
      </c>
      <c r="M774" s="212" t="s">
        <v>2999</v>
      </c>
      <c r="N774" s="213"/>
      <c r="O774" s="263">
        <v>4590007764</v>
      </c>
      <c r="P774" s="214">
        <v>44861</v>
      </c>
      <c r="Q774" s="334">
        <v>23</v>
      </c>
      <c r="R774" s="349">
        <v>45230</v>
      </c>
      <c r="S774" s="217" t="s">
        <v>2156</v>
      </c>
      <c r="T774" s="209" t="s">
        <v>3713</v>
      </c>
      <c r="U774" s="209" t="s">
        <v>3714</v>
      </c>
      <c r="V774" s="213" t="s">
        <v>3715</v>
      </c>
      <c r="W774" s="218" t="s">
        <v>3652</v>
      </c>
      <c r="X774" s="218" t="s">
        <v>3652</v>
      </c>
      <c r="Y774" s="212">
        <v>0</v>
      </c>
      <c r="Z774" s="209" t="s">
        <v>3716</v>
      </c>
      <c r="AA774" s="215"/>
      <c r="AB774" s="218"/>
      <c r="AC774" s="217" t="e">
        <v>#N/A</v>
      </c>
      <c r="AD774" s="217">
        <v>90522</v>
      </c>
      <c r="AE774" s="217" t="s">
        <v>4684</v>
      </c>
      <c r="AF774" s="217" t="s">
        <v>3711</v>
      </c>
      <c r="AG774" s="217" t="s">
        <v>3719</v>
      </c>
      <c r="AH774" s="220" t="str">
        <f t="shared" si="50"/>
        <v>4590007764_023</v>
      </c>
      <c r="AI774" s="208" t="s">
        <v>5480</v>
      </c>
      <c r="AJ774" s="227">
        <v>45401</v>
      </c>
      <c r="AK774" s="221">
        <v>45230</v>
      </c>
      <c r="AL774" s="227">
        <v>45503</v>
      </c>
      <c r="AM774" s="208"/>
      <c r="AN774" s="220"/>
      <c r="AO774" s="222"/>
      <c r="AP774" s="227"/>
      <c r="AQ774" s="358">
        <f ca="1">IF(表格1[[#This Row],[PO$]]="","100%",表格1[[#This Row],[total amount]]/表格1[[#This Row],[PO$]])</f>
        <v>1</v>
      </c>
      <c r="AR774" s="223">
        <f ca="1">表格1[[#This Row],[invoice amount]]+表格1[[#This Row],[invoice amount2]]</f>
        <v>45230</v>
      </c>
      <c r="AS774" s="224" t="s">
        <v>3725</v>
      </c>
      <c r="AT774" s="208" t="s">
        <v>5449</v>
      </c>
      <c r="AU774" s="208" t="e">
        <f ca="1">VLOOKUP(表格1[[#This Row],[PO+ITEM]],#REF!,2,FALSE)</f>
        <v>#REF!</v>
      </c>
      <c r="AV774" s="341" t="e">
        <f ca="1">VLOOKUP(表格1[[#This Row],[PO+ITEM]],#REF!,3,FALSE)</f>
        <v>#REF!</v>
      </c>
      <c r="AW774" s="208" t="e">
        <f ca="1">VLOOKUP(表格1[[#This Row],[PO+ITEM]],#REF!,4,FALSE)</f>
        <v>#REF!</v>
      </c>
      <c r="AX774" s="208" t="e" cm="1" vm="1">
        <f t="array" aca="1" ref="AX774" ca="1">VLOOKUP(AI:AI,#REF!,1,FALSE)</f>
        <v>#VALUE!</v>
      </c>
    </row>
    <row r="775" spans="1:50">
      <c r="A775" s="220">
        <v>774</v>
      </c>
      <c r="B775" s="220" t="s">
        <v>3659</v>
      </c>
      <c r="C775" s="209" t="s">
        <v>17</v>
      </c>
      <c r="D775" s="209" t="s">
        <v>3648</v>
      </c>
      <c r="E775" s="209"/>
      <c r="F775" s="209"/>
      <c r="G775" s="209"/>
      <c r="H775" s="210" t="s">
        <v>5481</v>
      </c>
      <c r="I775" s="210"/>
      <c r="J775" s="211"/>
      <c r="K775" s="210"/>
      <c r="L775" s="212" t="s">
        <v>2999</v>
      </c>
      <c r="M775" s="212" t="s">
        <v>2999</v>
      </c>
      <c r="N775" s="213"/>
      <c r="O775" s="263">
        <v>4590007764</v>
      </c>
      <c r="P775" s="214">
        <v>44861</v>
      </c>
      <c r="Q775" s="334">
        <v>24</v>
      </c>
      <c r="R775" s="216">
        <v>45230</v>
      </c>
      <c r="S775" s="217" t="s">
        <v>2156</v>
      </c>
      <c r="T775" s="209" t="s">
        <v>3713</v>
      </c>
      <c r="U775" s="209" t="s">
        <v>3714</v>
      </c>
      <c r="V775" s="213" t="s">
        <v>3715</v>
      </c>
      <c r="W775" s="218" t="s">
        <v>3652</v>
      </c>
      <c r="X775" s="218" t="s">
        <v>3652</v>
      </c>
      <c r="Y775" s="212">
        <v>0</v>
      </c>
      <c r="Z775" s="209" t="s">
        <v>3716</v>
      </c>
      <c r="AA775" s="215"/>
      <c r="AB775" s="218"/>
      <c r="AC775" s="217" t="e">
        <v>#N/A</v>
      </c>
      <c r="AD775" s="217">
        <v>91092</v>
      </c>
      <c r="AE775" s="217" t="s">
        <v>5065</v>
      </c>
      <c r="AF775" s="217" t="s">
        <v>3711</v>
      </c>
      <c r="AG775" s="217" t="s">
        <v>3719</v>
      </c>
      <c r="AH775" s="220" t="str">
        <f t="shared" si="50"/>
        <v>4590007764_024</v>
      </c>
      <c r="AI775" s="208"/>
      <c r="AJ775" s="220"/>
      <c r="AK775" s="221"/>
      <c r="AL775" s="227"/>
      <c r="AM775" s="208"/>
      <c r="AN775" s="220"/>
      <c r="AO775" s="222"/>
      <c r="AP775" s="227"/>
      <c r="AQ775" s="358">
        <f ca="1">IF(表格1[[#This Row],[PO$]]="","100%",表格1[[#This Row],[total amount]]/表格1[[#This Row],[PO$]])</f>
        <v>0</v>
      </c>
      <c r="AR775" s="223">
        <f ca="1">表格1[[#This Row],[invoice amount]]+表格1[[#This Row],[invoice amount2]]</f>
        <v>0</v>
      </c>
      <c r="AS775" s="224"/>
      <c r="AT775" s="208"/>
      <c r="AU775" s="208" t="e">
        <f ca="1">VLOOKUP(表格1[[#This Row],[PO+ITEM]],#REF!,2,FALSE)</f>
        <v>#REF!</v>
      </c>
      <c r="AV775" s="341" t="e">
        <f ca="1">VLOOKUP(表格1[[#This Row],[PO+ITEM]],#REF!,3,FALSE)</f>
        <v>#REF!</v>
      </c>
      <c r="AW775" s="208" t="e">
        <f ca="1">VLOOKUP(表格1[[#This Row],[PO+ITEM]],#REF!,4,FALSE)</f>
        <v>#REF!</v>
      </c>
      <c r="AX775" s="208" t="e" cm="1" vm="1">
        <f t="array" aca="1" ref="AX775" ca="1">VLOOKUP(AI:AI,#REF!,1,FALSE)</f>
        <v>#VALUE!</v>
      </c>
    </row>
    <row r="776" spans="1:50">
      <c r="A776" s="220">
        <v>775</v>
      </c>
      <c r="B776" s="220" t="s">
        <v>3659</v>
      </c>
      <c r="C776" s="209" t="s">
        <v>17</v>
      </c>
      <c r="D776" s="209" t="s">
        <v>3648</v>
      </c>
      <c r="E776" s="209"/>
      <c r="F776" s="209"/>
      <c r="G776" s="209"/>
      <c r="H776" s="210" t="s">
        <v>5482</v>
      </c>
      <c r="I776" s="210"/>
      <c r="J776" s="211"/>
      <c r="K776" s="210"/>
      <c r="L776" s="212" t="s">
        <v>2999</v>
      </c>
      <c r="M776" s="212" t="s">
        <v>2999</v>
      </c>
      <c r="N776" s="213"/>
      <c r="O776" s="263">
        <v>4590007764</v>
      </c>
      <c r="P776" s="214">
        <v>44861</v>
      </c>
      <c r="Q776" s="334">
        <v>25</v>
      </c>
      <c r="R776" s="216">
        <v>45230</v>
      </c>
      <c r="S776" s="217" t="s">
        <v>2156</v>
      </c>
      <c r="T776" s="209" t="s">
        <v>3713</v>
      </c>
      <c r="U776" s="209" t="s">
        <v>3714</v>
      </c>
      <c r="V776" s="213" t="s">
        <v>3715</v>
      </c>
      <c r="W776" s="218" t="s">
        <v>3652</v>
      </c>
      <c r="X776" s="218" t="s">
        <v>3652</v>
      </c>
      <c r="Y776" s="212">
        <v>0</v>
      </c>
      <c r="Z776" s="209" t="s">
        <v>3716</v>
      </c>
      <c r="AA776" s="215"/>
      <c r="AB776" s="218"/>
      <c r="AC776" s="217" t="e">
        <v>#N/A</v>
      </c>
      <c r="AD776" s="217">
        <v>91091</v>
      </c>
      <c r="AE776" s="217" t="s">
        <v>5063</v>
      </c>
      <c r="AF776" s="217" t="s">
        <v>3711</v>
      </c>
      <c r="AG776" s="217" t="s">
        <v>3719</v>
      </c>
      <c r="AH776" s="220" t="str">
        <f t="shared" si="50"/>
        <v>4590007764_025</v>
      </c>
      <c r="AI776" s="208"/>
      <c r="AJ776" s="220"/>
      <c r="AK776" s="221"/>
      <c r="AL776" s="227"/>
      <c r="AM776" s="208"/>
      <c r="AN776" s="220"/>
      <c r="AO776" s="222"/>
      <c r="AP776" s="227"/>
      <c r="AQ776" s="358">
        <f ca="1">IF(表格1[[#This Row],[PO$]]="","100%",表格1[[#This Row],[total amount]]/表格1[[#This Row],[PO$]])</f>
        <v>0</v>
      </c>
      <c r="AR776" s="223">
        <f ca="1">表格1[[#This Row],[invoice amount]]+表格1[[#This Row],[invoice amount2]]</f>
        <v>0</v>
      </c>
      <c r="AS776" s="224"/>
      <c r="AT776" s="208"/>
      <c r="AU776" s="208" t="e">
        <f ca="1">VLOOKUP(表格1[[#This Row],[PO+ITEM]],#REF!,2,FALSE)</f>
        <v>#REF!</v>
      </c>
      <c r="AV776" s="341" t="e">
        <f ca="1">VLOOKUP(表格1[[#This Row],[PO+ITEM]],#REF!,3,FALSE)</f>
        <v>#REF!</v>
      </c>
      <c r="AW776" s="208" t="e">
        <f ca="1">VLOOKUP(表格1[[#This Row],[PO+ITEM]],#REF!,4,FALSE)</f>
        <v>#REF!</v>
      </c>
      <c r="AX776" s="208" t="e" cm="1" vm="1">
        <f t="array" aca="1" ref="AX776" ca="1">VLOOKUP(AI:AI,#REF!,1,FALSE)</f>
        <v>#VALUE!</v>
      </c>
    </row>
    <row r="777" spans="1:50">
      <c r="A777" s="220">
        <v>776</v>
      </c>
      <c r="B777" s="220" t="e">
        <v>#N/A</v>
      </c>
      <c r="C777" s="209" t="s">
        <v>17</v>
      </c>
      <c r="D777" s="209" t="s">
        <v>3648</v>
      </c>
      <c r="E777" s="209"/>
      <c r="F777" s="209"/>
      <c r="G777" s="209"/>
      <c r="H777" s="210" t="s">
        <v>5483</v>
      </c>
      <c r="I777" s="210"/>
      <c r="J777" s="211"/>
      <c r="K777" s="210"/>
      <c r="L777" s="212" t="s">
        <v>2999</v>
      </c>
      <c r="M777" s="212" t="s">
        <v>2999</v>
      </c>
      <c r="N777" s="213"/>
      <c r="O777" s="263">
        <v>4590007764</v>
      </c>
      <c r="P777" s="214">
        <v>44861</v>
      </c>
      <c r="Q777" s="334">
        <v>26</v>
      </c>
      <c r="R777" s="216">
        <v>39874</v>
      </c>
      <c r="S777" s="217" t="s">
        <v>2156</v>
      </c>
      <c r="T777" s="209" t="s">
        <v>3713</v>
      </c>
      <c r="U777" s="209" t="s">
        <v>3714</v>
      </c>
      <c r="V777" s="213" t="s">
        <v>3715</v>
      </c>
      <c r="W777" s="218" t="s">
        <v>3652</v>
      </c>
      <c r="X777" s="218" t="s">
        <v>3652</v>
      </c>
      <c r="Y777" s="212">
        <v>0</v>
      </c>
      <c r="Z777" s="209" t="s">
        <v>3716</v>
      </c>
      <c r="AA777" s="215"/>
      <c r="AB777" s="218"/>
      <c r="AC777" s="217" t="e">
        <v>#N/A</v>
      </c>
      <c r="AD777" s="217">
        <v>91430</v>
      </c>
      <c r="AE777" s="217" t="s">
        <v>5100</v>
      </c>
      <c r="AF777" s="217" t="s">
        <v>3711</v>
      </c>
      <c r="AG777" s="217" t="s">
        <v>3719</v>
      </c>
      <c r="AH777" s="220" t="str">
        <f t="shared" si="50"/>
        <v>4590007764_026</v>
      </c>
      <c r="AI777" s="208"/>
      <c r="AJ777" s="220"/>
      <c r="AK777" s="221"/>
      <c r="AL777" s="227"/>
      <c r="AM777" s="208"/>
      <c r="AN777" s="220"/>
      <c r="AO777" s="222"/>
      <c r="AP777" s="227"/>
      <c r="AQ777" s="358">
        <f ca="1">IF(表格1[[#This Row],[PO$]]="","100%",表格1[[#This Row],[total amount]]/表格1[[#This Row],[PO$]])</f>
        <v>0</v>
      </c>
      <c r="AR777" s="223">
        <f ca="1">表格1[[#This Row],[invoice amount]]+表格1[[#This Row],[invoice amount2]]</f>
        <v>0</v>
      </c>
      <c r="AS777" s="224"/>
      <c r="AT777" s="208"/>
      <c r="AU777" s="208" t="e">
        <f ca="1">VLOOKUP(表格1[[#This Row],[PO+ITEM]],#REF!,2,FALSE)</f>
        <v>#REF!</v>
      </c>
      <c r="AV777" s="341" t="e">
        <f ca="1">VLOOKUP(表格1[[#This Row],[PO+ITEM]],#REF!,3,FALSE)</f>
        <v>#REF!</v>
      </c>
      <c r="AW777" s="208" t="e">
        <f ca="1">VLOOKUP(表格1[[#This Row],[PO+ITEM]],#REF!,4,FALSE)</f>
        <v>#REF!</v>
      </c>
      <c r="AX777" s="208" t="e" cm="1" vm="1">
        <f t="array" aca="1" ref="AX777" ca="1">VLOOKUP(AI:AI,#REF!,1,FALSE)</f>
        <v>#VALUE!</v>
      </c>
    </row>
    <row r="778" spans="1:50">
      <c r="A778" s="220">
        <v>777</v>
      </c>
      <c r="B778" s="220" t="s">
        <v>3674</v>
      </c>
      <c r="C778" s="209" t="s">
        <v>17</v>
      </c>
      <c r="D778" s="209" t="s">
        <v>3648</v>
      </c>
      <c r="E778" s="209"/>
      <c r="F778" s="209"/>
      <c r="G778" s="209"/>
      <c r="H778" s="210" t="s">
        <v>5484</v>
      </c>
      <c r="I778" s="210"/>
      <c r="J778" s="211"/>
      <c r="K778" s="210"/>
      <c r="L778" s="212" t="s">
        <v>2999</v>
      </c>
      <c r="M778" s="212" t="s">
        <v>2999</v>
      </c>
      <c r="N778" s="213"/>
      <c r="O778" s="263">
        <v>4590007764</v>
      </c>
      <c r="P778" s="214">
        <v>44861</v>
      </c>
      <c r="Q778" s="334">
        <v>27</v>
      </c>
      <c r="R778" s="216">
        <v>50321</v>
      </c>
      <c r="S778" s="217" t="s">
        <v>2156</v>
      </c>
      <c r="T778" s="209" t="s">
        <v>3713</v>
      </c>
      <c r="U778" s="209" t="s">
        <v>3714</v>
      </c>
      <c r="V778" s="213" t="s">
        <v>3715</v>
      </c>
      <c r="W778" s="218" t="s">
        <v>3652</v>
      </c>
      <c r="X778" s="218" t="s">
        <v>3652</v>
      </c>
      <c r="Y778" s="212">
        <v>0</v>
      </c>
      <c r="Z778" s="209" t="s">
        <v>3716</v>
      </c>
      <c r="AA778" s="215"/>
      <c r="AB778" s="218"/>
      <c r="AC778" s="217" t="e">
        <v>#N/A</v>
      </c>
      <c r="AD778" s="217">
        <v>90490</v>
      </c>
      <c r="AE778" s="217" t="s">
        <v>5485</v>
      </c>
      <c r="AF778" s="217" t="s">
        <v>3711</v>
      </c>
      <c r="AG778" s="217" t="s">
        <v>3719</v>
      </c>
      <c r="AH778" s="220" t="str">
        <f t="shared" si="50"/>
        <v>4590007764_027</v>
      </c>
      <c r="AI778" s="208" t="s">
        <v>5486</v>
      </c>
      <c r="AJ778" s="227">
        <v>45401</v>
      </c>
      <c r="AK778" s="221">
        <v>50321</v>
      </c>
      <c r="AL778" s="227" t="s">
        <v>6719</v>
      </c>
      <c r="AM778" s="208"/>
      <c r="AN778" s="220"/>
      <c r="AO778" s="222"/>
      <c r="AP778" s="227"/>
      <c r="AQ778" s="358">
        <f ca="1">IF(表格1[[#This Row],[PO$]]="","100%",表格1[[#This Row],[total amount]]/表格1[[#This Row],[PO$]])</f>
        <v>1</v>
      </c>
      <c r="AR778" s="223">
        <f ca="1">表格1[[#This Row],[invoice amount]]+表格1[[#This Row],[invoice amount2]]</f>
        <v>50321</v>
      </c>
      <c r="AS778" s="224" t="s">
        <v>3789</v>
      </c>
      <c r="AT778" s="208" t="s">
        <v>5449</v>
      </c>
      <c r="AU778" s="208" t="e">
        <f ca="1">VLOOKUP(表格1[[#This Row],[PO+ITEM]],#REF!,2,FALSE)</f>
        <v>#REF!</v>
      </c>
      <c r="AV778" s="341" t="e">
        <f ca="1">VLOOKUP(表格1[[#This Row],[PO+ITEM]],#REF!,3,FALSE)</f>
        <v>#REF!</v>
      </c>
      <c r="AW778" s="208" t="e">
        <f ca="1">VLOOKUP(表格1[[#This Row],[PO+ITEM]],#REF!,4,FALSE)</f>
        <v>#REF!</v>
      </c>
      <c r="AX778" s="208" t="e" cm="1" vm="1">
        <f t="array" aca="1" ref="AX778" ca="1">VLOOKUP(AI:AI,#REF!,1,FALSE)</f>
        <v>#VALUE!</v>
      </c>
    </row>
    <row r="779" spans="1:50">
      <c r="A779" s="220">
        <v>778</v>
      </c>
      <c r="B779" s="220" t="s">
        <v>3659</v>
      </c>
      <c r="C779" s="209" t="s">
        <v>17</v>
      </c>
      <c r="D779" s="209" t="s">
        <v>3648</v>
      </c>
      <c r="E779" s="209"/>
      <c r="F779" s="209"/>
      <c r="G779" s="209"/>
      <c r="H779" s="210" t="s">
        <v>5487</v>
      </c>
      <c r="I779" s="210"/>
      <c r="J779" s="211"/>
      <c r="K779" s="210"/>
      <c r="L779" s="212" t="s">
        <v>2999</v>
      </c>
      <c r="M779" s="212" t="s">
        <v>2999</v>
      </c>
      <c r="N779" s="213"/>
      <c r="O779" s="263">
        <v>4590007764</v>
      </c>
      <c r="P779" s="214">
        <v>44861</v>
      </c>
      <c r="Q779" s="334">
        <v>28</v>
      </c>
      <c r="R779" s="216">
        <v>50321</v>
      </c>
      <c r="S779" s="217" t="s">
        <v>2156</v>
      </c>
      <c r="T779" s="209" t="s">
        <v>3713</v>
      </c>
      <c r="U779" s="209" t="s">
        <v>3714</v>
      </c>
      <c r="V779" s="213" t="s">
        <v>3715</v>
      </c>
      <c r="W779" s="218" t="s">
        <v>3652</v>
      </c>
      <c r="X779" s="218" t="s">
        <v>3652</v>
      </c>
      <c r="Y779" s="212">
        <v>0</v>
      </c>
      <c r="Z779" s="209" t="s">
        <v>3716</v>
      </c>
      <c r="AA779" s="215"/>
      <c r="AB779" s="218"/>
      <c r="AC779" s="217" t="e">
        <v>#N/A</v>
      </c>
      <c r="AD779" s="217">
        <v>91106</v>
      </c>
      <c r="AE779" s="217" t="s">
        <v>5488</v>
      </c>
      <c r="AF779" s="217" t="s">
        <v>3711</v>
      </c>
      <c r="AG779" s="217" t="s">
        <v>3719</v>
      </c>
      <c r="AH779" s="220" t="str">
        <f t="shared" si="50"/>
        <v>4590007764_028</v>
      </c>
      <c r="AI779" s="208"/>
      <c r="AJ779" s="220"/>
      <c r="AK779" s="221"/>
      <c r="AL779" s="227"/>
      <c r="AM779" s="208"/>
      <c r="AN779" s="220"/>
      <c r="AO779" s="222"/>
      <c r="AP779" s="227"/>
      <c r="AQ779" s="358">
        <f ca="1">IF(表格1[[#This Row],[PO$]]="","100%",表格1[[#This Row],[total amount]]/表格1[[#This Row],[PO$]])</f>
        <v>0</v>
      </c>
      <c r="AR779" s="223">
        <f ca="1">表格1[[#This Row],[invoice amount]]+表格1[[#This Row],[invoice amount2]]</f>
        <v>0</v>
      </c>
      <c r="AS779" s="224"/>
      <c r="AT779" s="208"/>
      <c r="AU779" s="208" t="e">
        <f ca="1">VLOOKUP(表格1[[#This Row],[PO+ITEM]],#REF!,2,FALSE)</f>
        <v>#REF!</v>
      </c>
      <c r="AV779" s="341" t="e">
        <f ca="1">VLOOKUP(表格1[[#This Row],[PO+ITEM]],#REF!,3,FALSE)</f>
        <v>#REF!</v>
      </c>
      <c r="AW779" s="208" t="e">
        <f ca="1">VLOOKUP(表格1[[#This Row],[PO+ITEM]],#REF!,4,FALSE)</f>
        <v>#REF!</v>
      </c>
      <c r="AX779" s="208" t="e" cm="1" vm="1">
        <f t="array" aca="1" ref="AX779" ca="1">VLOOKUP(AI:AI,#REF!,1,FALSE)</f>
        <v>#VALUE!</v>
      </c>
    </row>
    <row r="780" spans="1:50">
      <c r="A780" s="220">
        <v>779</v>
      </c>
      <c r="B780" s="220" t="s">
        <v>3659</v>
      </c>
      <c r="C780" s="209" t="s">
        <v>17</v>
      </c>
      <c r="D780" s="209" t="s">
        <v>3648</v>
      </c>
      <c r="E780" s="209"/>
      <c r="F780" s="209"/>
      <c r="G780" s="209"/>
      <c r="H780" s="210" t="s">
        <v>5489</v>
      </c>
      <c r="I780" s="210"/>
      <c r="J780" s="211"/>
      <c r="K780" s="210"/>
      <c r="L780" s="212" t="s">
        <v>2999</v>
      </c>
      <c r="M780" s="212" t="s">
        <v>2999</v>
      </c>
      <c r="N780" s="213"/>
      <c r="O780" s="263">
        <v>4590007765</v>
      </c>
      <c r="P780" s="214">
        <v>44861</v>
      </c>
      <c r="Q780" s="334">
        <v>1</v>
      </c>
      <c r="R780" s="216">
        <v>380331</v>
      </c>
      <c r="S780" s="217" t="s">
        <v>2156</v>
      </c>
      <c r="T780" s="209" t="s">
        <v>3913</v>
      </c>
      <c r="U780" s="209" t="s">
        <v>3914</v>
      </c>
      <c r="V780" s="213" t="s">
        <v>3915</v>
      </c>
      <c r="W780" s="218" t="s">
        <v>3652</v>
      </c>
      <c r="X780" s="218" t="s">
        <v>3652</v>
      </c>
      <c r="Y780" s="212">
        <v>0</v>
      </c>
      <c r="Z780" s="209" t="s">
        <v>5490</v>
      </c>
      <c r="AA780" s="215"/>
      <c r="AB780" s="218"/>
      <c r="AC780" s="217" t="e">
        <v>#N/A</v>
      </c>
      <c r="AD780" s="217">
        <v>90988</v>
      </c>
      <c r="AE780" s="217" t="s">
        <v>5115</v>
      </c>
      <c r="AF780" s="217" t="s">
        <v>3718</v>
      </c>
      <c r="AG780" s="217" t="s">
        <v>3919</v>
      </c>
      <c r="AH780" s="220" t="str">
        <f t="shared" ref="AH780:AH800" si="51">O780&amp;"_00"&amp;Q780</f>
        <v>4590007765_001</v>
      </c>
      <c r="AI780" s="208"/>
      <c r="AJ780" s="220"/>
      <c r="AK780" s="221"/>
      <c r="AL780" s="227"/>
      <c r="AM780" s="208"/>
      <c r="AN780" s="220"/>
      <c r="AO780" s="222"/>
      <c r="AP780" s="227"/>
      <c r="AQ780" s="358">
        <f ca="1">IF(表格1[[#This Row],[PO$]]="","100%",表格1[[#This Row],[total amount]]/表格1[[#This Row],[PO$]])</f>
        <v>0</v>
      </c>
      <c r="AR780" s="223">
        <f ca="1">表格1[[#This Row],[invoice amount]]+表格1[[#This Row],[invoice amount2]]</f>
        <v>0</v>
      </c>
      <c r="AS780" s="224"/>
      <c r="AT780" s="208"/>
      <c r="AU780" s="208" t="e">
        <f ca="1">VLOOKUP(表格1[[#This Row],[PO+ITEM]],#REF!,2,FALSE)</f>
        <v>#REF!</v>
      </c>
      <c r="AV780" s="341" t="e">
        <f ca="1">VLOOKUP(表格1[[#This Row],[PO+ITEM]],#REF!,3,FALSE)</f>
        <v>#REF!</v>
      </c>
      <c r="AW780" s="208" t="e">
        <f ca="1">VLOOKUP(表格1[[#This Row],[PO+ITEM]],#REF!,4,FALSE)</f>
        <v>#REF!</v>
      </c>
      <c r="AX780" s="208" t="e" cm="1" vm="1">
        <f t="array" aca="1" ref="AX780" ca="1">VLOOKUP(AI:AI,#REF!,1,FALSE)</f>
        <v>#VALUE!</v>
      </c>
    </row>
    <row r="781" spans="1:50" ht="15.6">
      <c r="A781" s="220">
        <v>780</v>
      </c>
      <c r="B781" s="220" t="s">
        <v>3674</v>
      </c>
      <c r="C781" s="209" t="s">
        <v>17</v>
      </c>
      <c r="D781" s="209" t="s">
        <v>3648</v>
      </c>
      <c r="E781" s="209"/>
      <c r="F781" s="209"/>
      <c r="G781" s="209"/>
      <c r="H781" s="210" t="s">
        <v>5491</v>
      </c>
      <c r="I781" s="210"/>
      <c r="J781" s="211"/>
      <c r="K781" s="210"/>
      <c r="L781" s="212" t="s">
        <v>2999</v>
      </c>
      <c r="M781" s="212" t="s">
        <v>2999</v>
      </c>
      <c r="N781" s="213"/>
      <c r="O781" s="263">
        <v>4590007765</v>
      </c>
      <c r="P781" s="214">
        <v>44861</v>
      </c>
      <c r="Q781" s="334">
        <v>2</v>
      </c>
      <c r="R781" s="216">
        <v>380331</v>
      </c>
      <c r="S781" s="217" t="s">
        <v>2156</v>
      </c>
      <c r="T781" s="209" t="s">
        <v>3913</v>
      </c>
      <c r="U781" s="209" t="s">
        <v>3914</v>
      </c>
      <c r="V781" s="213" t="s">
        <v>3915</v>
      </c>
      <c r="W781" s="218" t="s">
        <v>3652</v>
      </c>
      <c r="X781" s="218" t="s">
        <v>3652</v>
      </c>
      <c r="Y781" s="212">
        <v>0</v>
      </c>
      <c r="Z781" s="209" t="s">
        <v>5490</v>
      </c>
      <c r="AA781" s="215"/>
      <c r="AB781" s="218"/>
      <c r="AC781" s="217" t="e">
        <v>#N/A</v>
      </c>
      <c r="AD781" s="217">
        <v>90830</v>
      </c>
      <c r="AE781" s="217" t="s">
        <v>4123</v>
      </c>
      <c r="AF781" s="217" t="s">
        <v>3718</v>
      </c>
      <c r="AG781" s="217" t="s">
        <v>3919</v>
      </c>
      <c r="AH781" s="220" t="str">
        <f t="shared" si="51"/>
        <v>4590007765_002</v>
      </c>
      <c r="AI781" s="208"/>
      <c r="AJ781" s="225">
        <v>45231</v>
      </c>
      <c r="AK781" s="221">
        <v>361314.45</v>
      </c>
      <c r="AL781" s="228">
        <v>45303</v>
      </c>
      <c r="AM781" s="208"/>
      <c r="AN781" s="220"/>
      <c r="AO781" s="222"/>
      <c r="AP781" s="227"/>
      <c r="AQ781" s="358">
        <f ca="1">IF(表格1[[#This Row],[PO$]]="","100%",表格1[[#This Row],[total amount]]/表格1[[#This Row],[PO$]])</f>
        <v>0.95000000000000007</v>
      </c>
      <c r="AR781" s="223">
        <f ca="1">表格1[[#This Row],[invoice amount]]+表格1[[#This Row],[invoice amount2]]</f>
        <v>361314.45</v>
      </c>
      <c r="AS781" s="224" t="s">
        <v>3673</v>
      </c>
      <c r="AT781" s="208"/>
      <c r="AU781" s="208" t="e">
        <f ca="1">VLOOKUP(表格1[[#This Row],[PO+ITEM]],#REF!,2,FALSE)</f>
        <v>#REF!</v>
      </c>
      <c r="AV781" s="341" t="e">
        <f ca="1">VLOOKUP(表格1[[#This Row],[PO+ITEM]],#REF!,3,FALSE)</f>
        <v>#REF!</v>
      </c>
      <c r="AW781" s="208" t="e">
        <f ca="1">VLOOKUP(表格1[[#This Row],[PO+ITEM]],#REF!,4,FALSE)</f>
        <v>#REF!</v>
      </c>
      <c r="AX781" s="208" t="e" cm="1" vm="1">
        <f t="array" aca="1" ref="AX781" ca="1">VLOOKUP(AI:AI,#REF!,1,FALSE)</f>
        <v>#VALUE!</v>
      </c>
    </row>
    <row r="782" spans="1:50">
      <c r="A782" s="220">
        <v>781</v>
      </c>
      <c r="B782" s="220" t="s">
        <v>3674</v>
      </c>
      <c r="C782" s="209" t="s">
        <v>17</v>
      </c>
      <c r="D782" s="209" t="s">
        <v>3648</v>
      </c>
      <c r="E782" s="209"/>
      <c r="F782" s="209"/>
      <c r="G782" s="209"/>
      <c r="H782" s="210" t="s">
        <v>5492</v>
      </c>
      <c r="I782" s="210"/>
      <c r="J782" s="211"/>
      <c r="K782" s="210"/>
      <c r="L782" s="212" t="s">
        <v>2999</v>
      </c>
      <c r="M782" s="212" t="s">
        <v>2999</v>
      </c>
      <c r="N782" s="213"/>
      <c r="O782" s="263">
        <v>4590007765</v>
      </c>
      <c r="P782" s="214">
        <v>44861</v>
      </c>
      <c r="Q782" s="334">
        <v>3</v>
      </c>
      <c r="R782" s="216">
        <v>380331</v>
      </c>
      <c r="S782" s="217" t="s">
        <v>2156</v>
      </c>
      <c r="T782" s="209" t="s">
        <v>3913</v>
      </c>
      <c r="U782" s="209" t="s">
        <v>3914</v>
      </c>
      <c r="V782" s="213" t="s">
        <v>3915</v>
      </c>
      <c r="W782" s="218" t="s">
        <v>3652</v>
      </c>
      <c r="X782" s="218" t="s">
        <v>3652</v>
      </c>
      <c r="Y782" s="212">
        <v>0</v>
      </c>
      <c r="Z782" s="209" t="s">
        <v>5490</v>
      </c>
      <c r="AA782" s="215"/>
      <c r="AB782" s="218"/>
      <c r="AC782" s="217" t="e">
        <v>#N/A</v>
      </c>
      <c r="AD782" s="217">
        <v>90831</v>
      </c>
      <c r="AE782" s="217" t="s">
        <v>4744</v>
      </c>
      <c r="AF782" s="217" t="s">
        <v>3718</v>
      </c>
      <c r="AG782" s="217" t="s">
        <v>3919</v>
      </c>
      <c r="AH782" s="220" t="str">
        <f t="shared" si="51"/>
        <v>4590007765_003</v>
      </c>
      <c r="AI782" s="208" t="s">
        <v>5493</v>
      </c>
      <c r="AJ782" s="227">
        <v>45401</v>
      </c>
      <c r="AK782" s="221">
        <v>380331</v>
      </c>
      <c r="AL782" s="227">
        <v>45471</v>
      </c>
      <c r="AM782" s="208"/>
      <c r="AN782" s="220"/>
      <c r="AO782" s="222"/>
      <c r="AP782" s="227"/>
      <c r="AQ782" s="358">
        <f ca="1">IF(表格1[[#This Row],[PO$]]="","100%",表格1[[#This Row],[total amount]]/表格1[[#This Row],[PO$]])</f>
        <v>1</v>
      </c>
      <c r="AR782" s="223">
        <f ca="1">表格1[[#This Row],[invoice amount]]+表格1[[#This Row],[invoice amount2]]</f>
        <v>380331</v>
      </c>
      <c r="AS782" s="224" t="s">
        <v>3673</v>
      </c>
      <c r="AT782" s="208"/>
      <c r="AU782" s="208" t="e">
        <f ca="1">VLOOKUP(表格1[[#This Row],[PO+ITEM]],#REF!,2,FALSE)</f>
        <v>#REF!</v>
      </c>
      <c r="AV782" s="341" t="e">
        <f ca="1">VLOOKUP(表格1[[#This Row],[PO+ITEM]],#REF!,3,FALSE)</f>
        <v>#REF!</v>
      </c>
      <c r="AW782" s="208" t="e">
        <f ca="1">VLOOKUP(表格1[[#This Row],[PO+ITEM]],#REF!,4,FALSE)</f>
        <v>#REF!</v>
      </c>
      <c r="AX782" s="208" t="e" cm="1" vm="1">
        <f t="array" aca="1" ref="AX782" ca="1">VLOOKUP(AI:AI,#REF!,1,FALSE)</f>
        <v>#VALUE!</v>
      </c>
    </row>
    <row r="783" spans="1:50">
      <c r="A783" s="220">
        <v>782</v>
      </c>
      <c r="B783" s="220" t="s">
        <v>3674</v>
      </c>
      <c r="C783" s="209" t="s">
        <v>17</v>
      </c>
      <c r="D783" s="209" t="s">
        <v>3648</v>
      </c>
      <c r="E783" s="209"/>
      <c r="F783" s="209"/>
      <c r="G783" s="209"/>
      <c r="H783" s="210" t="s">
        <v>5494</v>
      </c>
      <c r="I783" s="210"/>
      <c r="J783" s="211"/>
      <c r="K783" s="210"/>
      <c r="L783" s="212" t="s">
        <v>2999</v>
      </c>
      <c r="M783" s="212" t="s">
        <v>2999</v>
      </c>
      <c r="N783" s="213"/>
      <c r="O783" s="263">
        <v>4590007766</v>
      </c>
      <c r="P783" s="214">
        <v>44861</v>
      </c>
      <c r="Q783" s="334">
        <v>1</v>
      </c>
      <c r="R783" s="216">
        <v>172324</v>
      </c>
      <c r="S783" s="217" t="s">
        <v>2156</v>
      </c>
      <c r="T783" s="209" t="s">
        <v>3913</v>
      </c>
      <c r="U783" s="209" t="s">
        <v>3914</v>
      </c>
      <c r="V783" s="213" t="s">
        <v>3915</v>
      </c>
      <c r="W783" s="218" t="s">
        <v>3652</v>
      </c>
      <c r="X783" s="218" t="s">
        <v>3652</v>
      </c>
      <c r="Y783" s="212">
        <v>0</v>
      </c>
      <c r="Z783" s="209" t="s">
        <v>5490</v>
      </c>
      <c r="AA783" s="215"/>
      <c r="AB783" s="218"/>
      <c r="AC783" s="217" t="e">
        <v>#N/A</v>
      </c>
      <c r="AD783" s="217">
        <v>90832</v>
      </c>
      <c r="AE783" s="217" t="s">
        <v>4733</v>
      </c>
      <c r="AF783" s="217" t="s">
        <v>3718</v>
      </c>
      <c r="AG783" s="217" t="s">
        <v>3919</v>
      </c>
      <c r="AH783" s="220" t="str">
        <f t="shared" si="51"/>
        <v>4590007766_001</v>
      </c>
      <c r="AI783" s="36" t="s">
        <v>5495</v>
      </c>
      <c r="AJ783" s="227">
        <v>45483</v>
      </c>
      <c r="AK783" s="221"/>
      <c r="AL783" s="227"/>
      <c r="AM783" s="208"/>
      <c r="AN783" s="227"/>
      <c r="AO783" s="222"/>
      <c r="AP783" s="227"/>
      <c r="AQ783" s="358">
        <f ca="1">IF(表格1[[#This Row],[PO$]]="","100%",表格1[[#This Row],[total amount]]/表格1[[#This Row],[PO$]])</f>
        <v>0</v>
      </c>
      <c r="AR783" s="223">
        <f ca="1">表格1[[#This Row],[invoice amount]]+表格1[[#This Row],[invoice amount2]]</f>
        <v>0</v>
      </c>
      <c r="AS783" s="224" t="s">
        <v>3752</v>
      </c>
      <c r="AT783" s="208"/>
      <c r="AU783" s="208" t="e">
        <f ca="1">VLOOKUP(表格1[[#This Row],[PO+ITEM]],#REF!,2,FALSE)</f>
        <v>#REF!</v>
      </c>
      <c r="AV783" s="341" t="e">
        <f ca="1">VLOOKUP(表格1[[#This Row],[PO+ITEM]],#REF!,3,FALSE)</f>
        <v>#REF!</v>
      </c>
      <c r="AW783" s="208" t="e">
        <f ca="1">VLOOKUP(表格1[[#This Row],[PO+ITEM]],#REF!,4,FALSE)</f>
        <v>#REF!</v>
      </c>
      <c r="AX783" s="208" t="e" cm="1" vm="1">
        <f t="array" aca="1" ref="AX783" ca="1">VLOOKUP(AI:AI,#REF!,1,FALSE)</f>
        <v>#VALUE!</v>
      </c>
    </row>
    <row r="784" spans="1:50">
      <c r="A784" s="220">
        <v>783</v>
      </c>
      <c r="B784" s="220" t="s">
        <v>3659</v>
      </c>
      <c r="C784" s="209" t="s">
        <v>17</v>
      </c>
      <c r="D784" s="209" t="s">
        <v>3648</v>
      </c>
      <c r="E784" s="209"/>
      <c r="F784" s="209"/>
      <c r="G784" s="209"/>
      <c r="H784" s="210" t="s">
        <v>5496</v>
      </c>
      <c r="I784" s="210"/>
      <c r="J784" s="211"/>
      <c r="K784" s="210"/>
      <c r="L784" s="212" t="s">
        <v>2999</v>
      </c>
      <c r="M784" s="212" t="s">
        <v>2999</v>
      </c>
      <c r="N784" s="213"/>
      <c r="O784" s="263">
        <v>4590007766</v>
      </c>
      <c r="P784" s="214">
        <v>44861</v>
      </c>
      <c r="Q784" s="334">
        <v>2</v>
      </c>
      <c r="R784" s="216">
        <v>172324</v>
      </c>
      <c r="S784" s="217" t="s">
        <v>2156</v>
      </c>
      <c r="T784" s="209" t="s">
        <v>3913</v>
      </c>
      <c r="U784" s="209" t="s">
        <v>3914</v>
      </c>
      <c r="V784" s="213" t="s">
        <v>3915</v>
      </c>
      <c r="W784" s="218" t="s">
        <v>3652</v>
      </c>
      <c r="X784" s="218" t="s">
        <v>3652</v>
      </c>
      <c r="Y784" s="212">
        <v>0</v>
      </c>
      <c r="Z784" s="209" t="s">
        <v>5490</v>
      </c>
      <c r="AA784" s="215"/>
      <c r="AB784" s="218"/>
      <c r="AC784" s="217" t="e">
        <v>#N/A</v>
      </c>
      <c r="AD784" s="217">
        <v>91285</v>
      </c>
      <c r="AE784" s="217" t="s">
        <v>5106</v>
      </c>
      <c r="AF784" s="217" t="s">
        <v>3718</v>
      </c>
      <c r="AG784" s="217" t="s">
        <v>3919</v>
      </c>
      <c r="AH784" s="220" t="str">
        <f t="shared" si="51"/>
        <v>4590007766_002</v>
      </c>
      <c r="AI784" s="208"/>
      <c r="AJ784" s="220"/>
      <c r="AK784" s="221"/>
      <c r="AL784" s="227"/>
      <c r="AM784" s="208"/>
      <c r="AN784" s="220"/>
      <c r="AO784" s="222"/>
      <c r="AP784" s="227"/>
      <c r="AQ784" s="358">
        <f ca="1">IF(表格1[[#This Row],[PO$]]="","100%",表格1[[#This Row],[total amount]]/表格1[[#This Row],[PO$]])</f>
        <v>0</v>
      </c>
      <c r="AR784" s="223">
        <f ca="1">表格1[[#This Row],[invoice amount]]+表格1[[#This Row],[invoice amount2]]</f>
        <v>0</v>
      </c>
      <c r="AS784" s="224"/>
      <c r="AT784" s="208"/>
      <c r="AU784" s="208" t="e">
        <f ca="1">VLOOKUP(表格1[[#This Row],[PO+ITEM]],#REF!,2,FALSE)</f>
        <v>#REF!</v>
      </c>
      <c r="AV784" s="341" t="e">
        <f ca="1">VLOOKUP(表格1[[#This Row],[PO+ITEM]],#REF!,3,FALSE)</f>
        <v>#REF!</v>
      </c>
      <c r="AW784" s="208" t="e">
        <f ca="1">VLOOKUP(表格1[[#This Row],[PO+ITEM]],#REF!,4,FALSE)</f>
        <v>#REF!</v>
      </c>
      <c r="AX784" s="208" t="e" cm="1" vm="1">
        <f t="array" aca="1" ref="AX784" ca="1">VLOOKUP(AI:AI,#REF!,1,FALSE)</f>
        <v>#VALUE!</v>
      </c>
    </row>
    <row r="785" spans="1:50">
      <c r="A785" s="220">
        <v>784</v>
      </c>
      <c r="B785" s="220" t="s">
        <v>3674</v>
      </c>
      <c r="C785" s="209" t="s">
        <v>17</v>
      </c>
      <c r="D785" s="209" t="s">
        <v>3648</v>
      </c>
      <c r="E785" s="209"/>
      <c r="F785" s="209"/>
      <c r="G785" s="209"/>
      <c r="H785" s="210" t="s">
        <v>5498</v>
      </c>
      <c r="I785" s="210"/>
      <c r="J785" s="211"/>
      <c r="K785" s="210"/>
      <c r="L785" s="212" t="s">
        <v>2999</v>
      </c>
      <c r="M785" s="212" t="s">
        <v>2999</v>
      </c>
      <c r="N785" s="213"/>
      <c r="O785" s="263">
        <v>4590007767</v>
      </c>
      <c r="P785" s="214">
        <v>44861</v>
      </c>
      <c r="Q785" s="334">
        <v>1</v>
      </c>
      <c r="R785" s="216">
        <v>263644</v>
      </c>
      <c r="S785" s="217" t="s">
        <v>2156</v>
      </c>
      <c r="T785" s="209" t="s">
        <v>3713</v>
      </c>
      <c r="U785" s="209" t="s">
        <v>3714</v>
      </c>
      <c r="V785" s="213" t="s">
        <v>3715</v>
      </c>
      <c r="W785" s="218" t="s">
        <v>3652</v>
      </c>
      <c r="X785" s="218" t="s">
        <v>3652</v>
      </c>
      <c r="Y785" s="212" t="s">
        <v>3767</v>
      </c>
      <c r="Z785" s="209" t="s">
        <v>3716</v>
      </c>
      <c r="AA785" s="215"/>
      <c r="AB785" s="218"/>
      <c r="AC785" s="217" t="e">
        <v>#N/A</v>
      </c>
      <c r="AD785" s="217">
        <v>90890</v>
      </c>
      <c r="AE785" s="217" t="s">
        <v>5499</v>
      </c>
      <c r="AF785" s="217" t="s">
        <v>3718</v>
      </c>
      <c r="AG785" s="217" t="s">
        <v>3719</v>
      </c>
      <c r="AH785" s="220" t="str">
        <f t="shared" si="51"/>
        <v>4590007767_001</v>
      </c>
      <c r="AI785" s="208" t="s">
        <v>5500</v>
      </c>
      <c r="AJ785" s="227">
        <v>45429</v>
      </c>
      <c r="AK785" s="221">
        <v>263644</v>
      </c>
      <c r="AL785" s="227">
        <v>45503</v>
      </c>
      <c r="AM785" s="208"/>
      <c r="AN785" s="220"/>
      <c r="AO785" s="222"/>
      <c r="AP785" s="227"/>
      <c r="AQ785" s="358">
        <f ca="1">IF(表格1[[#This Row],[PO$]]="","100%",表格1[[#This Row],[total amount]]/表格1[[#This Row],[PO$]])</f>
        <v>1</v>
      </c>
      <c r="AR785" s="223">
        <f ca="1">表格1[[#This Row],[invoice amount]]+表格1[[#This Row],[invoice amount2]]</f>
        <v>263644</v>
      </c>
      <c r="AS785" s="224" t="s">
        <v>3725</v>
      </c>
      <c r="AT785" s="208"/>
      <c r="AU785" s="208" t="e">
        <f ca="1">VLOOKUP(表格1[[#This Row],[PO+ITEM]],#REF!,2,FALSE)</f>
        <v>#REF!</v>
      </c>
      <c r="AV785" s="341" t="e">
        <f ca="1">VLOOKUP(表格1[[#This Row],[PO+ITEM]],#REF!,3,FALSE)</f>
        <v>#REF!</v>
      </c>
      <c r="AW785" s="208" t="e">
        <f ca="1">VLOOKUP(表格1[[#This Row],[PO+ITEM]],#REF!,4,FALSE)</f>
        <v>#REF!</v>
      </c>
      <c r="AX785" s="208" t="e" cm="1" vm="1">
        <f t="array" aca="1" ref="AX785" ca="1">VLOOKUP(AI:AI,#REF!,1,FALSE)</f>
        <v>#VALUE!</v>
      </c>
    </row>
    <row r="786" spans="1:50" ht="15.6">
      <c r="A786" s="220">
        <v>785</v>
      </c>
      <c r="B786" s="220" t="s">
        <v>3674</v>
      </c>
      <c r="C786" s="209" t="s">
        <v>17</v>
      </c>
      <c r="D786" s="209" t="s">
        <v>3648</v>
      </c>
      <c r="E786" s="209"/>
      <c r="F786" s="209"/>
      <c r="G786" s="209"/>
      <c r="H786" s="210" t="s">
        <v>5501</v>
      </c>
      <c r="I786" s="210"/>
      <c r="J786" s="211"/>
      <c r="K786" s="210"/>
      <c r="L786" s="212" t="s">
        <v>2999</v>
      </c>
      <c r="M786" s="212" t="s">
        <v>2999</v>
      </c>
      <c r="N786" s="213"/>
      <c r="O786" s="263">
        <v>4590007767</v>
      </c>
      <c r="P786" s="214">
        <v>44861</v>
      </c>
      <c r="Q786" s="334">
        <v>2</v>
      </c>
      <c r="R786" s="216">
        <v>263644</v>
      </c>
      <c r="S786" s="217" t="s">
        <v>2156</v>
      </c>
      <c r="T786" s="209" t="s">
        <v>3713</v>
      </c>
      <c r="U786" s="209" t="s">
        <v>3714</v>
      </c>
      <c r="V786" s="213" t="s">
        <v>3715</v>
      </c>
      <c r="W786" s="218" t="s">
        <v>3652</v>
      </c>
      <c r="X786" s="218" t="s">
        <v>3652</v>
      </c>
      <c r="Y786" s="212" t="s">
        <v>3767</v>
      </c>
      <c r="Z786" s="209" t="s">
        <v>3716</v>
      </c>
      <c r="AA786" s="215"/>
      <c r="AB786" s="218"/>
      <c r="AC786" s="217" t="e">
        <v>#N/A</v>
      </c>
      <c r="AD786" s="217">
        <v>90429</v>
      </c>
      <c r="AE786" s="217" t="s">
        <v>5502</v>
      </c>
      <c r="AF786" s="217" t="s">
        <v>3718</v>
      </c>
      <c r="AG786" s="217" t="s">
        <v>3719</v>
      </c>
      <c r="AH786" s="220" t="str">
        <f t="shared" si="51"/>
        <v>4590007767_002</v>
      </c>
      <c r="AI786" s="208"/>
      <c r="AJ786" s="225">
        <v>45261</v>
      </c>
      <c r="AK786" s="221">
        <v>250461.8</v>
      </c>
      <c r="AL786" s="228">
        <v>45303</v>
      </c>
      <c r="AM786" s="208"/>
      <c r="AN786" s="220"/>
      <c r="AO786" s="222"/>
      <c r="AP786" s="227"/>
      <c r="AQ786" s="358">
        <f ca="1">IF(表格1[[#This Row],[PO$]]="","100%",表格1[[#This Row],[total amount]]/表格1[[#This Row],[PO$]])</f>
        <v>0.95</v>
      </c>
      <c r="AR786" s="223">
        <f ca="1">表格1[[#This Row],[invoice amount]]+表格1[[#This Row],[invoice amount2]]</f>
        <v>250461.8</v>
      </c>
      <c r="AS786" s="224" t="s">
        <v>3673</v>
      </c>
      <c r="AT786" s="208"/>
      <c r="AU786" s="208" t="e">
        <f ca="1">VLOOKUP(表格1[[#This Row],[PO+ITEM]],#REF!,2,FALSE)</f>
        <v>#REF!</v>
      </c>
      <c r="AV786" s="341" t="e">
        <f ca="1">VLOOKUP(表格1[[#This Row],[PO+ITEM]],#REF!,3,FALSE)</f>
        <v>#REF!</v>
      </c>
      <c r="AW786" s="208" t="e">
        <f ca="1">VLOOKUP(表格1[[#This Row],[PO+ITEM]],#REF!,4,FALSE)</f>
        <v>#REF!</v>
      </c>
      <c r="AX786" s="208" t="e" cm="1" vm="1">
        <f t="array" aca="1" ref="AX786" ca="1">VLOOKUP(AI:AI,#REF!,1,FALSE)</f>
        <v>#VALUE!</v>
      </c>
    </row>
    <row r="787" spans="1:50">
      <c r="A787" s="220">
        <v>786</v>
      </c>
      <c r="B787" s="220" t="s">
        <v>3674</v>
      </c>
      <c r="C787" s="209" t="s">
        <v>17</v>
      </c>
      <c r="D787" s="209" t="s">
        <v>3648</v>
      </c>
      <c r="E787" s="209"/>
      <c r="F787" s="209"/>
      <c r="G787" s="209"/>
      <c r="H787" s="210" t="s">
        <v>5503</v>
      </c>
      <c r="I787" s="210"/>
      <c r="J787" s="211"/>
      <c r="K787" s="210"/>
      <c r="L787" s="212" t="s">
        <v>2999</v>
      </c>
      <c r="M787" s="212" t="s">
        <v>2999</v>
      </c>
      <c r="N787" s="213"/>
      <c r="O787" s="263">
        <v>4590007767</v>
      </c>
      <c r="P787" s="214">
        <v>44861</v>
      </c>
      <c r="Q787" s="334">
        <v>3</v>
      </c>
      <c r="R787" s="216">
        <v>263644</v>
      </c>
      <c r="S787" s="217" t="s">
        <v>2156</v>
      </c>
      <c r="T787" s="209" t="s">
        <v>3713</v>
      </c>
      <c r="U787" s="209" t="s">
        <v>3714</v>
      </c>
      <c r="V787" s="213" t="s">
        <v>3715</v>
      </c>
      <c r="W787" s="218" t="s">
        <v>3652</v>
      </c>
      <c r="X787" s="218" t="s">
        <v>3652</v>
      </c>
      <c r="Y787" s="212" t="s">
        <v>3767</v>
      </c>
      <c r="Z787" s="209" t="s">
        <v>3716</v>
      </c>
      <c r="AA787" s="215"/>
      <c r="AB787" s="218"/>
      <c r="AC787" s="217" t="e">
        <v>#N/A</v>
      </c>
      <c r="AD787" s="217">
        <v>90428</v>
      </c>
      <c r="AE787" s="217" t="s">
        <v>5504</v>
      </c>
      <c r="AF787" s="217" t="s">
        <v>3718</v>
      </c>
      <c r="AG787" s="217" t="s">
        <v>3719</v>
      </c>
      <c r="AH787" s="220" t="str">
        <f t="shared" si="51"/>
        <v>4590007767_003</v>
      </c>
      <c r="AI787" s="208" t="s">
        <v>5505</v>
      </c>
      <c r="AJ787" s="227">
        <v>45401</v>
      </c>
      <c r="AK787" s="221">
        <v>263644</v>
      </c>
      <c r="AL787" s="227">
        <v>45471</v>
      </c>
      <c r="AM787" s="208"/>
      <c r="AN787" s="220"/>
      <c r="AO787" s="222"/>
      <c r="AP787" s="227"/>
      <c r="AQ787" s="358">
        <f ca="1">IF(表格1[[#This Row],[PO$]]="","100%",表格1[[#This Row],[total amount]]/表格1[[#This Row],[PO$]])</f>
        <v>1</v>
      </c>
      <c r="AR787" s="223">
        <f ca="1">表格1[[#This Row],[invoice amount]]+表格1[[#This Row],[invoice amount2]]</f>
        <v>263644</v>
      </c>
      <c r="AS787" s="224" t="s">
        <v>3673</v>
      </c>
      <c r="AT787" s="208"/>
      <c r="AU787" s="208" t="e">
        <f ca="1">VLOOKUP(表格1[[#This Row],[PO+ITEM]],#REF!,2,FALSE)</f>
        <v>#REF!</v>
      </c>
      <c r="AV787" s="341" t="e">
        <f ca="1">VLOOKUP(表格1[[#This Row],[PO+ITEM]],#REF!,3,FALSE)</f>
        <v>#REF!</v>
      </c>
      <c r="AW787" s="208" t="e">
        <f ca="1">VLOOKUP(表格1[[#This Row],[PO+ITEM]],#REF!,4,FALSE)</f>
        <v>#REF!</v>
      </c>
      <c r="AX787" s="208" t="e" cm="1" vm="1">
        <f t="array" aca="1" ref="AX787" ca="1">VLOOKUP(AI:AI,#REF!,1,FALSE)</f>
        <v>#VALUE!</v>
      </c>
    </row>
    <row r="788" spans="1:50">
      <c r="A788" s="220">
        <v>787</v>
      </c>
      <c r="B788" s="220" t="s">
        <v>3659</v>
      </c>
      <c r="C788" s="209" t="s">
        <v>17</v>
      </c>
      <c r="D788" s="209" t="s">
        <v>3648</v>
      </c>
      <c r="E788" s="209"/>
      <c r="F788" s="209"/>
      <c r="G788" s="209"/>
      <c r="H788" s="217" t="s">
        <v>5506</v>
      </c>
      <c r="I788" s="217"/>
      <c r="J788" s="215"/>
      <c r="K788" s="217"/>
      <c r="L788" s="212" t="s">
        <v>2999</v>
      </c>
      <c r="M788" s="212" t="s">
        <v>2999</v>
      </c>
      <c r="N788" s="213"/>
      <c r="O788" s="263">
        <v>4590007767</v>
      </c>
      <c r="P788" s="214">
        <v>44861</v>
      </c>
      <c r="Q788" s="334">
        <v>4</v>
      </c>
      <c r="R788" s="216">
        <v>263644</v>
      </c>
      <c r="S788" s="217" t="s">
        <v>2156</v>
      </c>
      <c r="T788" s="209" t="s">
        <v>3713</v>
      </c>
      <c r="U788" s="209" t="s">
        <v>3714</v>
      </c>
      <c r="V788" s="213" t="s">
        <v>3715</v>
      </c>
      <c r="W788" s="218" t="s">
        <v>3652</v>
      </c>
      <c r="X788" s="218" t="s">
        <v>3652</v>
      </c>
      <c r="Y788" s="212" t="s">
        <v>3767</v>
      </c>
      <c r="Z788" s="209" t="s">
        <v>3716</v>
      </c>
      <c r="AA788" s="215"/>
      <c r="AB788" s="218"/>
      <c r="AC788" s="217" t="e">
        <v>#N/A</v>
      </c>
      <c r="AD788" s="217">
        <v>90891</v>
      </c>
      <c r="AE788" s="217" t="s">
        <v>5507</v>
      </c>
      <c r="AF788" s="217" t="s">
        <v>3718</v>
      </c>
      <c r="AG788" s="217" t="s">
        <v>3719</v>
      </c>
      <c r="AH788" s="220" t="str">
        <f t="shared" si="51"/>
        <v>4590007767_004</v>
      </c>
      <c r="AI788" s="208"/>
      <c r="AJ788" s="220"/>
      <c r="AK788" s="221"/>
      <c r="AL788" s="227"/>
      <c r="AM788" s="208"/>
      <c r="AN788" s="220"/>
      <c r="AO788" s="222"/>
      <c r="AP788" s="227"/>
      <c r="AQ788" s="358">
        <f ca="1">IF(表格1[[#This Row],[PO$]]="","100%",表格1[[#This Row],[total amount]]/表格1[[#This Row],[PO$]])</f>
        <v>0</v>
      </c>
      <c r="AR788" s="223">
        <f ca="1">表格1[[#This Row],[invoice amount]]+表格1[[#This Row],[invoice amount2]]</f>
        <v>0</v>
      </c>
      <c r="AS788" s="224"/>
      <c r="AT788" s="208"/>
      <c r="AU788" s="208" t="e">
        <f ca="1">VLOOKUP(表格1[[#This Row],[PO+ITEM]],#REF!,2,FALSE)</f>
        <v>#REF!</v>
      </c>
      <c r="AV788" s="341" t="e">
        <f ca="1">VLOOKUP(表格1[[#This Row],[PO+ITEM]],#REF!,3,FALSE)</f>
        <v>#REF!</v>
      </c>
      <c r="AW788" s="208" t="e">
        <f ca="1">VLOOKUP(表格1[[#This Row],[PO+ITEM]],#REF!,4,FALSE)</f>
        <v>#REF!</v>
      </c>
      <c r="AX788" s="208" t="e" cm="1" vm="1">
        <f t="array" aca="1" ref="AX788" ca="1">VLOOKUP(AI:AI,#REF!,1,FALSE)</f>
        <v>#VALUE!</v>
      </c>
    </row>
    <row r="789" spans="1:50">
      <c r="A789" s="220">
        <v>788</v>
      </c>
      <c r="B789" s="220" t="s">
        <v>3659</v>
      </c>
      <c r="C789" s="209" t="s">
        <v>17</v>
      </c>
      <c r="D789" s="209" t="s">
        <v>3648</v>
      </c>
      <c r="E789" s="209"/>
      <c r="F789" s="209"/>
      <c r="G789" s="209"/>
      <c r="H789" s="210" t="s">
        <v>5509</v>
      </c>
      <c r="I789" s="210"/>
      <c r="J789" s="211"/>
      <c r="K789" s="210"/>
      <c r="L789" s="212" t="s">
        <v>2999</v>
      </c>
      <c r="M789" s="212" t="s">
        <v>2999</v>
      </c>
      <c r="N789" s="213"/>
      <c r="O789" s="263">
        <v>4590007768</v>
      </c>
      <c r="P789" s="214">
        <v>44861</v>
      </c>
      <c r="Q789" s="334">
        <v>1</v>
      </c>
      <c r="R789" s="216">
        <v>263644</v>
      </c>
      <c r="S789" s="217" t="s">
        <v>2156</v>
      </c>
      <c r="T789" s="209" t="s">
        <v>3713</v>
      </c>
      <c r="U789" s="209" t="s">
        <v>3714</v>
      </c>
      <c r="V789" s="213" t="s">
        <v>3715</v>
      </c>
      <c r="W789" s="218" t="s">
        <v>3652</v>
      </c>
      <c r="X789" s="218" t="s">
        <v>3652</v>
      </c>
      <c r="Y789" s="212">
        <v>0</v>
      </c>
      <c r="Z789" s="209" t="s">
        <v>3716</v>
      </c>
      <c r="AA789" s="215"/>
      <c r="AB789" s="218"/>
      <c r="AC789" s="217" t="e">
        <v>#N/A</v>
      </c>
      <c r="AD789" s="217">
        <v>90892</v>
      </c>
      <c r="AE789" s="217" t="s">
        <v>5510</v>
      </c>
      <c r="AF789" s="217" t="s">
        <v>3718</v>
      </c>
      <c r="AG789" s="217" t="s">
        <v>3719</v>
      </c>
      <c r="AH789" s="220" t="str">
        <f t="shared" si="51"/>
        <v>4590007768_001</v>
      </c>
      <c r="AI789" s="208"/>
      <c r="AJ789" s="220"/>
      <c r="AK789" s="221"/>
      <c r="AL789" s="227"/>
      <c r="AM789" s="208"/>
      <c r="AN789" s="220"/>
      <c r="AO789" s="222"/>
      <c r="AP789" s="227"/>
      <c r="AQ789" s="358">
        <f ca="1">IF(表格1[[#This Row],[PO$]]="","100%",表格1[[#This Row],[total amount]]/表格1[[#This Row],[PO$]])</f>
        <v>0</v>
      </c>
      <c r="AR789" s="223">
        <f ca="1">表格1[[#This Row],[invoice amount]]+表格1[[#This Row],[invoice amount2]]</f>
        <v>0</v>
      </c>
      <c r="AS789" s="224"/>
      <c r="AT789" s="208"/>
      <c r="AU789" s="208" t="e">
        <f ca="1">VLOOKUP(表格1[[#This Row],[PO+ITEM]],#REF!,2,FALSE)</f>
        <v>#REF!</v>
      </c>
      <c r="AV789" s="341" t="e">
        <f ca="1">VLOOKUP(表格1[[#This Row],[PO+ITEM]],#REF!,3,FALSE)</f>
        <v>#REF!</v>
      </c>
      <c r="AW789" s="208" t="e">
        <f ca="1">VLOOKUP(表格1[[#This Row],[PO+ITEM]],#REF!,4,FALSE)</f>
        <v>#REF!</v>
      </c>
      <c r="AX789" s="208" t="e" cm="1" vm="1">
        <f t="array" aca="1" ref="AX789" ca="1">VLOOKUP(AI:AI,#REF!,1,FALSE)</f>
        <v>#VALUE!</v>
      </c>
    </row>
    <row r="790" spans="1:50">
      <c r="A790" s="220">
        <v>789</v>
      </c>
      <c r="B790" s="220" t="s">
        <v>3659</v>
      </c>
      <c r="C790" s="209" t="s">
        <v>17</v>
      </c>
      <c r="D790" s="209" t="s">
        <v>3648</v>
      </c>
      <c r="E790" s="209"/>
      <c r="F790" s="209"/>
      <c r="G790" s="209"/>
      <c r="H790" s="210" t="s">
        <v>5511</v>
      </c>
      <c r="I790" s="210"/>
      <c r="J790" s="211"/>
      <c r="K790" s="210"/>
      <c r="L790" s="212" t="s">
        <v>2999</v>
      </c>
      <c r="M790" s="212" t="s">
        <v>2999</v>
      </c>
      <c r="N790" s="213"/>
      <c r="O790" s="263">
        <v>4590007768</v>
      </c>
      <c r="P790" s="214">
        <v>44861</v>
      </c>
      <c r="Q790" s="334">
        <v>2</v>
      </c>
      <c r="R790" s="216">
        <v>207352</v>
      </c>
      <c r="S790" s="217" t="s">
        <v>2156</v>
      </c>
      <c r="T790" s="209" t="s">
        <v>3713</v>
      </c>
      <c r="U790" s="209" t="s">
        <v>3714</v>
      </c>
      <c r="V790" s="213" t="s">
        <v>3715</v>
      </c>
      <c r="W790" s="218" t="s">
        <v>3652</v>
      </c>
      <c r="X790" s="218" t="s">
        <v>3652</v>
      </c>
      <c r="Y790" s="212">
        <v>0</v>
      </c>
      <c r="Z790" s="209" t="s">
        <v>3716</v>
      </c>
      <c r="AA790" s="215"/>
      <c r="AB790" s="218"/>
      <c r="AC790" s="217" t="e">
        <v>#N/A</v>
      </c>
      <c r="AD790" s="217">
        <v>91280</v>
      </c>
      <c r="AE790" s="217" t="s">
        <v>5512</v>
      </c>
      <c r="AF790" s="217" t="s">
        <v>3718</v>
      </c>
      <c r="AG790" s="217" t="s">
        <v>3719</v>
      </c>
      <c r="AH790" s="220" t="str">
        <f t="shared" si="51"/>
        <v>4590007768_002</v>
      </c>
      <c r="AI790" s="208"/>
      <c r="AJ790" s="220"/>
      <c r="AK790" s="221"/>
      <c r="AL790" s="227"/>
      <c r="AM790" s="208"/>
      <c r="AN790" s="220"/>
      <c r="AO790" s="222"/>
      <c r="AP790" s="227"/>
      <c r="AQ790" s="358">
        <f ca="1">IF(表格1[[#This Row],[PO$]]="","100%",表格1[[#This Row],[total amount]]/表格1[[#This Row],[PO$]])</f>
        <v>0</v>
      </c>
      <c r="AR790" s="223">
        <f ca="1">表格1[[#This Row],[invoice amount]]+表格1[[#This Row],[invoice amount2]]</f>
        <v>0</v>
      </c>
      <c r="AS790" s="224"/>
      <c r="AT790" s="208"/>
      <c r="AU790" s="208" t="e">
        <f ca="1">VLOOKUP(表格1[[#This Row],[PO+ITEM]],#REF!,2,FALSE)</f>
        <v>#REF!</v>
      </c>
      <c r="AV790" s="341" t="e">
        <f ca="1">VLOOKUP(表格1[[#This Row],[PO+ITEM]],#REF!,3,FALSE)</f>
        <v>#REF!</v>
      </c>
      <c r="AW790" s="208" t="e">
        <f ca="1">VLOOKUP(表格1[[#This Row],[PO+ITEM]],#REF!,4,FALSE)</f>
        <v>#REF!</v>
      </c>
      <c r="AX790" s="208" t="e" cm="1" vm="1">
        <f t="array" aca="1" ref="AX790" ca="1">VLOOKUP(AI:AI,#REF!,1,FALSE)</f>
        <v>#VALUE!</v>
      </c>
    </row>
    <row r="791" spans="1:50">
      <c r="A791" s="220">
        <v>790</v>
      </c>
      <c r="B791" s="220" t="s">
        <v>3659</v>
      </c>
      <c r="C791" s="209" t="s">
        <v>17</v>
      </c>
      <c r="D791" s="209" t="s">
        <v>3648</v>
      </c>
      <c r="E791" s="209"/>
      <c r="F791" s="209"/>
      <c r="G791" s="209"/>
      <c r="H791" s="210" t="s">
        <v>5513</v>
      </c>
      <c r="I791" s="210"/>
      <c r="J791" s="211"/>
      <c r="K791" s="210"/>
      <c r="L791" s="212" t="s">
        <v>2999</v>
      </c>
      <c r="M791" s="212" t="s">
        <v>2999</v>
      </c>
      <c r="N791" s="213"/>
      <c r="O791" s="263">
        <v>4590007768</v>
      </c>
      <c r="P791" s="214">
        <v>44861</v>
      </c>
      <c r="Q791" s="334">
        <v>3</v>
      </c>
      <c r="R791" s="216">
        <v>263644</v>
      </c>
      <c r="S791" s="217" t="s">
        <v>2156</v>
      </c>
      <c r="T791" s="209" t="s">
        <v>3713</v>
      </c>
      <c r="U791" s="209" t="s">
        <v>3714</v>
      </c>
      <c r="V791" s="213" t="s">
        <v>3715</v>
      </c>
      <c r="W791" s="218" t="s">
        <v>3652</v>
      </c>
      <c r="X791" s="218" t="s">
        <v>3652</v>
      </c>
      <c r="Y791" s="212" t="s">
        <v>3727</v>
      </c>
      <c r="Z791" s="209" t="s">
        <v>3716</v>
      </c>
      <c r="AA791" s="215"/>
      <c r="AB791" s="218"/>
      <c r="AC791" s="217" t="e">
        <v>#N/A</v>
      </c>
      <c r="AD791" s="217">
        <v>91358</v>
      </c>
      <c r="AE791" s="217" t="s">
        <v>5514</v>
      </c>
      <c r="AF791" s="217" t="s">
        <v>3718</v>
      </c>
      <c r="AG791" s="217" t="s">
        <v>3719</v>
      </c>
      <c r="AH791" s="220" t="str">
        <f t="shared" si="51"/>
        <v>4590007768_003</v>
      </c>
      <c r="AI791" s="208"/>
      <c r="AJ791" s="220"/>
      <c r="AK791" s="221"/>
      <c r="AL791" s="227"/>
      <c r="AM791" s="208"/>
      <c r="AN791" s="220"/>
      <c r="AO791" s="222"/>
      <c r="AP791" s="227"/>
      <c r="AQ791" s="358">
        <f ca="1">IF(表格1[[#This Row],[PO$]]="","100%",表格1[[#This Row],[total amount]]/表格1[[#This Row],[PO$]])</f>
        <v>0</v>
      </c>
      <c r="AR791" s="223">
        <f ca="1">表格1[[#This Row],[invoice amount]]+表格1[[#This Row],[invoice amount2]]</f>
        <v>0</v>
      </c>
      <c r="AS791" s="224"/>
      <c r="AT791" s="208"/>
      <c r="AU791" s="208" t="e">
        <f ca="1">VLOOKUP(表格1[[#This Row],[PO+ITEM]],#REF!,2,FALSE)</f>
        <v>#REF!</v>
      </c>
      <c r="AV791" s="341" t="e">
        <f ca="1">VLOOKUP(表格1[[#This Row],[PO+ITEM]],#REF!,3,FALSE)</f>
        <v>#REF!</v>
      </c>
      <c r="AW791" s="208" t="e">
        <f ca="1">VLOOKUP(表格1[[#This Row],[PO+ITEM]],#REF!,4,FALSE)</f>
        <v>#REF!</v>
      </c>
      <c r="AX791" s="208" t="e" cm="1" vm="1">
        <f t="array" aca="1" ref="AX791" ca="1">VLOOKUP(AI:AI,#REF!,1,FALSE)</f>
        <v>#VALUE!</v>
      </c>
    </row>
    <row r="792" spans="1:50">
      <c r="A792" s="220">
        <v>791</v>
      </c>
      <c r="B792" s="220" t="s">
        <v>3659</v>
      </c>
      <c r="C792" s="209" t="s">
        <v>16</v>
      </c>
      <c r="D792" s="209" t="s">
        <v>3648</v>
      </c>
      <c r="E792" s="209"/>
      <c r="F792" s="209"/>
      <c r="G792" s="209"/>
      <c r="H792" s="217" t="s">
        <v>5515</v>
      </c>
      <c r="I792" s="217"/>
      <c r="J792" s="215"/>
      <c r="K792" s="217"/>
      <c r="L792" s="212" t="s">
        <v>4269</v>
      </c>
      <c r="M792" s="212" t="s">
        <v>2999</v>
      </c>
      <c r="N792" s="213"/>
      <c r="O792" s="263">
        <v>4590007769</v>
      </c>
      <c r="P792" s="214">
        <v>44861</v>
      </c>
      <c r="Q792" s="334">
        <v>1</v>
      </c>
      <c r="R792" s="216">
        <v>10375.959999999999</v>
      </c>
      <c r="S792" s="217" t="s">
        <v>2156</v>
      </c>
      <c r="T792" s="209" t="s">
        <v>3926</v>
      </c>
      <c r="U792" s="209" t="s">
        <v>3927</v>
      </c>
      <c r="V792" s="213" t="s">
        <v>3928</v>
      </c>
      <c r="W792" s="218" t="s">
        <v>3652</v>
      </c>
      <c r="X792" s="218" t="s">
        <v>3652</v>
      </c>
      <c r="Y792" s="212">
        <v>0</v>
      </c>
      <c r="Z792" s="209" t="s">
        <v>3664</v>
      </c>
      <c r="AA792" s="215"/>
      <c r="AB792" s="218"/>
      <c r="AC792" s="217" t="e">
        <v>#N/A</v>
      </c>
      <c r="AD792" s="217">
        <v>91188</v>
      </c>
      <c r="AE792" s="217" t="s">
        <v>3401</v>
      </c>
      <c r="AF792" s="217" t="s">
        <v>4109</v>
      </c>
      <c r="AG792" s="217" t="s">
        <v>3666</v>
      </c>
      <c r="AH792" s="220" t="str">
        <f t="shared" si="51"/>
        <v>4590007769_001</v>
      </c>
      <c r="AI792" s="208"/>
      <c r="AJ792" s="220"/>
      <c r="AK792" s="221"/>
      <c r="AL792" s="227"/>
      <c r="AM792" s="208"/>
      <c r="AN792" s="220"/>
      <c r="AO792" s="222"/>
      <c r="AP792" s="227"/>
      <c r="AQ792" s="358">
        <f ca="1">IF(表格1[[#This Row],[PO$]]="","100%",表格1[[#This Row],[total amount]]/表格1[[#This Row],[PO$]])</f>
        <v>0</v>
      </c>
      <c r="AR792" s="223">
        <f ca="1">表格1[[#This Row],[invoice amount]]+表格1[[#This Row],[invoice amount2]]</f>
        <v>0</v>
      </c>
      <c r="AS792" s="224"/>
      <c r="AT792" s="208"/>
      <c r="AU792" s="208" t="e">
        <f ca="1">VLOOKUP(表格1[[#This Row],[PO+ITEM]],#REF!,2,FALSE)</f>
        <v>#REF!</v>
      </c>
      <c r="AV792" s="341" t="e">
        <f ca="1">VLOOKUP(表格1[[#This Row],[PO+ITEM]],#REF!,3,FALSE)</f>
        <v>#REF!</v>
      </c>
      <c r="AW792" s="208" t="e">
        <f ca="1">VLOOKUP(表格1[[#This Row],[PO+ITEM]],#REF!,4,FALSE)</f>
        <v>#REF!</v>
      </c>
      <c r="AX792" s="208" t="e" cm="1" vm="1">
        <f t="array" aca="1" ref="AX792" ca="1">VLOOKUP(AI:AI,#REF!,1,FALSE)</f>
        <v>#VALUE!</v>
      </c>
    </row>
    <row r="793" spans="1:50">
      <c r="A793" s="220">
        <v>792</v>
      </c>
      <c r="B793" s="220" t="s">
        <v>3659</v>
      </c>
      <c r="C793" s="209" t="s">
        <v>16</v>
      </c>
      <c r="D793" s="209" t="s">
        <v>3648</v>
      </c>
      <c r="E793" s="209"/>
      <c r="F793" s="209"/>
      <c r="G793" s="209"/>
      <c r="H793" s="210" t="s">
        <v>5516</v>
      </c>
      <c r="I793" s="210"/>
      <c r="J793" s="211"/>
      <c r="K793" s="210"/>
      <c r="L793" s="212" t="s">
        <v>4269</v>
      </c>
      <c r="M793" s="212" t="s">
        <v>2999</v>
      </c>
      <c r="N793" s="213"/>
      <c r="O793" s="263">
        <v>4590007769</v>
      </c>
      <c r="P793" s="214">
        <v>44861</v>
      </c>
      <c r="Q793" s="334">
        <v>2</v>
      </c>
      <c r="R793" s="216">
        <v>10375.959999999999</v>
      </c>
      <c r="S793" s="217" t="s">
        <v>2156</v>
      </c>
      <c r="T793" s="209" t="s">
        <v>3926</v>
      </c>
      <c r="U793" s="209" t="s">
        <v>3927</v>
      </c>
      <c r="V793" s="213" t="s">
        <v>3928</v>
      </c>
      <c r="W793" s="218" t="s">
        <v>3652</v>
      </c>
      <c r="X793" s="218" t="s">
        <v>3652</v>
      </c>
      <c r="Y793" s="212">
        <v>0</v>
      </c>
      <c r="Z793" s="209" t="s">
        <v>3664</v>
      </c>
      <c r="AA793" s="215"/>
      <c r="AB793" s="218"/>
      <c r="AC793" s="217" t="e">
        <v>#N/A</v>
      </c>
      <c r="AD793" s="217">
        <v>91256</v>
      </c>
      <c r="AE793" s="217" t="s">
        <v>3403</v>
      </c>
      <c r="AF793" s="217" t="s">
        <v>4109</v>
      </c>
      <c r="AG793" s="217" t="s">
        <v>3666</v>
      </c>
      <c r="AH793" s="220" t="str">
        <f t="shared" si="51"/>
        <v>4590007769_002</v>
      </c>
      <c r="AI793" s="208"/>
      <c r="AJ793" s="220"/>
      <c r="AK793" s="221"/>
      <c r="AL793" s="227"/>
      <c r="AM793" s="208"/>
      <c r="AN793" s="220"/>
      <c r="AO793" s="222"/>
      <c r="AP793" s="227"/>
      <c r="AQ793" s="358">
        <f ca="1">IF(表格1[[#This Row],[PO$]]="","100%",表格1[[#This Row],[total amount]]/表格1[[#This Row],[PO$]])</f>
        <v>0</v>
      </c>
      <c r="AR793" s="223">
        <f ca="1">表格1[[#This Row],[invoice amount]]+表格1[[#This Row],[invoice amount2]]</f>
        <v>0</v>
      </c>
      <c r="AS793" s="224"/>
      <c r="AT793" s="208"/>
      <c r="AU793" s="208" t="e">
        <f ca="1">VLOOKUP(表格1[[#This Row],[PO+ITEM]],#REF!,2,FALSE)</f>
        <v>#REF!</v>
      </c>
      <c r="AV793" s="341" t="e">
        <f ca="1">VLOOKUP(表格1[[#This Row],[PO+ITEM]],#REF!,3,FALSE)</f>
        <v>#REF!</v>
      </c>
      <c r="AW793" s="208" t="e">
        <f ca="1">VLOOKUP(表格1[[#This Row],[PO+ITEM]],#REF!,4,FALSE)</f>
        <v>#REF!</v>
      </c>
      <c r="AX793" s="208" t="e" cm="1" vm="1">
        <f t="array" aca="1" ref="AX793" ca="1">VLOOKUP(AI:AI,#REF!,1,FALSE)</f>
        <v>#VALUE!</v>
      </c>
    </row>
    <row r="794" spans="1:50">
      <c r="A794" s="220">
        <v>793</v>
      </c>
      <c r="B794" s="220" t="s">
        <v>3659</v>
      </c>
      <c r="C794" s="209" t="s">
        <v>16</v>
      </c>
      <c r="D794" s="209" t="s">
        <v>3648</v>
      </c>
      <c r="E794" s="209"/>
      <c r="F794" s="209"/>
      <c r="G794" s="209"/>
      <c r="H794" s="210" t="s">
        <v>5517</v>
      </c>
      <c r="I794" s="210"/>
      <c r="J794" s="211"/>
      <c r="K794" s="210"/>
      <c r="L794" s="212" t="s">
        <v>4269</v>
      </c>
      <c r="M794" s="212" t="s">
        <v>2999</v>
      </c>
      <c r="N794" s="213"/>
      <c r="O794" s="263">
        <v>4590007769</v>
      </c>
      <c r="P794" s="214">
        <v>44861</v>
      </c>
      <c r="Q794" s="334">
        <v>3</v>
      </c>
      <c r="R794" s="216">
        <v>5947.97</v>
      </c>
      <c r="S794" s="217" t="s">
        <v>2156</v>
      </c>
      <c r="T794" s="209" t="s">
        <v>3926</v>
      </c>
      <c r="U794" s="209" t="s">
        <v>3927</v>
      </c>
      <c r="V794" s="213" t="s">
        <v>3928</v>
      </c>
      <c r="W794" s="218" t="s">
        <v>3652</v>
      </c>
      <c r="X794" s="218" t="s">
        <v>3652</v>
      </c>
      <c r="Y794" s="212">
        <v>0</v>
      </c>
      <c r="Z794" s="209" t="s">
        <v>3664</v>
      </c>
      <c r="AA794" s="215"/>
      <c r="AB794" s="218"/>
      <c r="AC794" s="217" t="e">
        <v>#N/A</v>
      </c>
      <c r="AD794" s="217">
        <v>91387</v>
      </c>
      <c r="AE794" s="217" t="s">
        <v>3361</v>
      </c>
      <c r="AF794" s="217" t="s">
        <v>4109</v>
      </c>
      <c r="AG794" s="217" t="s">
        <v>3666</v>
      </c>
      <c r="AH794" s="220" t="str">
        <f t="shared" si="51"/>
        <v>4590007769_003</v>
      </c>
      <c r="AI794" s="208"/>
      <c r="AJ794" s="220"/>
      <c r="AK794" s="221"/>
      <c r="AL794" s="227"/>
      <c r="AM794" s="208"/>
      <c r="AN794" s="220"/>
      <c r="AO794" s="222"/>
      <c r="AP794" s="227"/>
      <c r="AQ794" s="358">
        <f ca="1">IF(表格1[[#This Row],[PO$]]="","100%",表格1[[#This Row],[total amount]]/表格1[[#This Row],[PO$]])</f>
        <v>0</v>
      </c>
      <c r="AR794" s="223">
        <f ca="1">表格1[[#This Row],[invoice amount]]+表格1[[#This Row],[invoice amount2]]</f>
        <v>0</v>
      </c>
      <c r="AS794" s="224"/>
      <c r="AT794" s="208"/>
      <c r="AU794" s="208" t="e">
        <f ca="1">VLOOKUP(表格1[[#This Row],[PO+ITEM]],#REF!,2,FALSE)</f>
        <v>#REF!</v>
      </c>
      <c r="AV794" s="341" t="e">
        <f ca="1">VLOOKUP(表格1[[#This Row],[PO+ITEM]],#REF!,3,FALSE)</f>
        <v>#REF!</v>
      </c>
      <c r="AW794" s="208" t="e">
        <f ca="1">VLOOKUP(表格1[[#This Row],[PO+ITEM]],#REF!,4,FALSE)</f>
        <v>#REF!</v>
      </c>
      <c r="AX794" s="208" t="e" cm="1" vm="1">
        <f t="array" aca="1" ref="AX794" ca="1">VLOOKUP(AI:AI,#REF!,1,FALSE)</f>
        <v>#VALUE!</v>
      </c>
    </row>
    <row r="795" spans="1:50">
      <c r="A795" s="220">
        <v>794</v>
      </c>
      <c r="B795" s="220" t="s">
        <v>3659</v>
      </c>
      <c r="C795" s="209" t="s">
        <v>16</v>
      </c>
      <c r="D795" s="209" t="s">
        <v>3648</v>
      </c>
      <c r="E795" s="209"/>
      <c r="F795" s="209"/>
      <c r="G795" s="209"/>
      <c r="H795" s="210" t="s">
        <v>5518</v>
      </c>
      <c r="I795" s="210"/>
      <c r="J795" s="211"/>
      <c r="K795" s="210"/>
      <c r="L795" s="212" t="s">
        <v>4269</v>
      </c>
      <c r="M795" s="212" t="s">
        <v>2999</v>
      </c>
      <c r="N795" s="213"/>
      <c r="O795" s="263">
        <v>4590007769</v>
      </c>
      <c r="P795" s="214">
        <v>44861</v>
      </c>
      <c r="Q795" s="334">
        <v>4</v>
      </c>
      <c r="R795" s="216">
        <v>5638.25</v>
      </c>
      <c r="S795" s="217" t="s">
        <v>2156</v>
      </c>
      <c r="T795" s="209" t="s">
        <v>3926</v>
      </c>
      <c r="U795" s="209" t="s">
        <v>3927</v>
      </c>
      <c r="V795" s="213" t="s">
        <v>3928</v>
      </c>
      <c r="W795" s="218" t="s">
        <v>3652</v>
      </c>
      <c r="X795" s="218" t="s">
        <v>3652</v>
      </c>
      <c r="Y795" s="212">
        <v>0</v>
      </c>
      <c r="Z795" s="209" t="s">
        <v>3664</v>
      </c>
      <c r="AA795" s="215"/>
      <c r="AB795" s="218"/>
      <c r="AC795" s="217" t="e">
        <v>#N/A</v>
      </c>
      <c r="AD795" s="217">
        <v>91183</v>
      </c>
      <c r="AE795" s="217" t="s">
        <v>3388</v>
      </c>
      <c r="AF795" s="217" t="s">
        <v>4109</v>
      </c>
      <c r="AG795" s="217" t="s">
        <v>3666</v>
      </c>
      <c r="AH795" s="220" t="str">
        <f t="shared" si="51"/>
        <v>4590007769_004</v>
      </c>
      <c r="AI795" s="208"/>
      <c r="AJ795" s="220"/>
      <c r="AK795" s="221"/>
      <c r="AL795" s="227"/>
      <c r="AM795" s="208"/>
      <c r="AN795" s="220"/>
      <c r="AO795" s="222"/>
      <c r="AP795" s="227"/>
      <c r="AQ795" s="358">
        <f ca="1">IF(表格1[[#This Row],[PO$]]="","100%",表格1[[#This Row],[total amount]]/表格1[[#This Row],[PO$]])</f>
        <v>0</v>
      </c>
      <c r="AR795" s="223">
        <f ca="1">表格1[[#This Row],[invoice amount]]+表格1[[#This Row],[invoice amount2]]</f>
        <v>0</v>
      </c>
      <c r="AS795" s="224"/>
      <c r="AT795" s="208"/>
      <c r="AU795" s="208" t="e">
        <f ca="1">VLOOKUP(表格1[[#This Row],[PO+ITEM]],#REF!,2,FALSE)</f>
        <v>#REF!</v>
      </c>
      <c r="AV795" s="341" t="e">
        <f ca="1">VLOOKUP(表格1[[#This Row],[PO+ITEM]],#REF!,3,FALSE)</f>
        <v>#REF!</v>
      </c>
      <c r="AW795" s="208" t="e">
        <f ca="1">VLOOKUP(表格1[[#This Row],[PO+ITEM]],#REF!,4,FALSE)</f>
        <v>#REF!</v>
      </c>
      <c r="AX795" s="208" t="e" cm="1" vm="1">
        <f t="array" aca="1" ref="AX795" ca="1">VLOOKUP(AI:AI,#REF!,1,FALSE)</f>
        <v>#VALUE!</v>
      </c>
    </row>
    <row r="796" spans="1:50">
      <c r="A796" s="220">
        <v>795</v>
      </c>
      <c r="B796" s="220" t="s">
        <v>3659</v>
      </c>
      <c r="C796" s="209" t="s">
        <v>16</v>
      </c>
      <c r="D796" s="209" t="s">
        <v>3648</v>
      </c>
      <c r="E796" s="209"/>
      <c r="F796" s="209"/>
      <c r="G796" s="209"/>
      <c r="H796" s="210" t="s">
        <v>5519</v>
      </c>
      <c r="I796" s="210"/>
      <c r="J796" s="211"/>
      <c r="K796" s="210"/>
      <c r="L796" s="212" t="s">
        <v>4269</v>
      </c>
      <c r="M796" s="212" t="s">
        <v>2999</v>
      </c>
      <c r="N796" s="213"/>
      <c r="O796" s="263">
        <v>4590007769</v>
      </c>
      <c r="P796" s="214">
        <v>44861</v>
      </c>
      <c r="Q796" s="334">
        <v>5</v>
      </c>
      <c r="R796" s="216">
        <v>5638.25</v>
      </c>
      <c r="S796" s="217" t="s">
        <v>2156</v>
      </c>
      <c r="T796" s="209" t="s">
        <v>3926</v>
      </c>
      <c r="U796" s="209" t="s">
        <v>3927</v>
      </c>
      <c r="V796" s="213" t="s">
        <v>3928</v>
      </c>
      <c r="W796" s="218" t="s">
        <v>3652</v>
      </c>
      <c r="X796" s="218" t="s">
        <v>3652</v>
      </c>
      <c r="Y796" s="212">
        <v>0</v>
      </c>
      <c r="Z796" s="209" t="s">
        <v>3664</v>
      </c>
      <c r="AA796" s="215"/>
      <c r="AB796" s="218"/>
      <c r="AC796" s="217" t="e">
        <v>#N/A</v>
      </c>
      <c r="AD796" s="217">
        <v>91184</v>
      </c>
      <c r="AE796" s="217" t="s">
        <v>3384</v>
      </c>
      <c r="AF796" s="217" t="s">
        <v>4109</v>
      </c>
      <c r="AG796" s="217" t="s">
        <v>3666</v>
      </c>
      <c r="AH796" s="220" t="str">
        <f t="shared" si="51"/>
        <v>4590007769_005</v>
      </c>
      <c r="AI796" s="208"/>
      <c r="AJ796" s="220"/>
      <c r="AK796" s="221"/>
      <c r="AL796" s="227"/>
      <c r="AM796" s="208"/>
      <c r="AN796" s="220"/>
      <c r="AO796" s="222"/>
      <c r="AP796" s="227"/>
      <c r="AQ796" s="358">
        <f ca="1">IF(表格1[[#This Row],[PO$]]="","100%",表格1[[#This Row],[total amount]]/表格1[[#This Row],[PO$]])</f>
        <v>0</v>
      </c>
      <c r="AR796" s="223">
        <f ca="1">表格1[[#This Row],[invoice amount]]+表格1[[#This Row],[invoice amount2]]</f>
        <v>0</v>
      </c>
      <c r="AS796" s="224"/>
      <c r="AT796" s="208"/>
      <c r="AU796" s="208" t="e">
        <f ca="1">VLOOKUP(表格1[[#This Row],[PO+ITEM]],#REF!,2,FALSE)</f>
        <v>#REF!</v>
      </c>
      <c r="AV796" s="341" t="e">
        <f ca="1">VLOOKUP(表格1[[#This Row],[PO+ITEM]],#REF!,3,FALSE)</f>
        <v>#REF!</v>
      </c>
      <c r="AW796" s="208" t="e">
        <f ca="1">VLOOKUP(表格1[[#This Row],[PO+ITEM]],#REF!,4,FALSE)</f>
        <v>#REF!</v>
      </c>
      <c r="AX796" s="208" t="e" cm="1" vm="1">
        <f t="array" aca="1" ref="AX796" ca="1">VLOOKUP(AI:AI,#REF!,1,FALSE)</f>
        <v>#VALUE!</v>
      </c>
    </row>
    <row r="797" spans="1:50">
      <c r="A797" s="220">
        <v>796</v>
      </c>
      <c r="B797" s="220" t="s">
        <v>3659</v>
      </c>
      <c r="C797" s="209" t="s">
        <v>16</v>
      </c>
      <c r="D797" s="209" t="s">
        <v>3648</v>
      </c>
      <c r="E797" s="209"/>
      <c r="F797" s="209"/>
      <c r="G797" s="209"/>
      <c r="H797" s="210" t="s">
        <v>5520</v>
      </c>
      <c r="I797" s="210"/>
      <c r="J797" s="211"/>
      <c r="K797" s="210"/>
      <c r="L797" s="212" t="s">
        <v>4269</v>
      </c>
      <c r="M797" s="212" t="s">
        <v>2999</v>
      </c>
      <c r="N797" s="213"/>
      <c r="O797" s="263">
        <v>4590007769</v>
      </c>
      <c r="P797" s="214">
        <v>44861</v>
      </c>
      <c r="Q797" s="334">
        <v>6</v>
      </c>
      <c r="R797" s="216">
        <v>5638.25</v>
      </c>
      <c r="S797" s="217" t="s">
        <v>2156</v>
      </c>
      <c r="T797" s="209" t="s">
        <v>3926</v>
      </c>
      <c r="U797" s="209" t="s">
        <v>3927</v>
      </c>
      <c r="V797" s="213" t="s">
        <v>3928</v>
      </c>
      <c r="W797" s="218" t="s">
        <v>3652</v>
      </c>
      <c r="X797" s="218" t="s">
        <v>3652</v>
      </c>
      <c r="Y797" s="212">
        <v>0</v>
      </c>
      <c r="Z797" s="209" t="s">
        <v>3664</v>
      </c>
      <c r="AA797" s="215"/>
      <c r="AB797" s="218"/>
      <c r="AC797" s="217" t="e">
        <v>#N/A</v>
      </c>
      <c r="AD797" s="217">
        <v>91220</v>
      </c>
      <c r="AE797" s="217" t="s">
        <v>3392</v>
      </c>
      <c r="AF797" s="217" t="s">
        <v>4109</v>
      </c>
      <c r="AG797" s="217" t="s">
        <v>3666</v>
      </c>
      <c r="AH797" s="220" t="str">
        <f t="shared" si="51"/>
        <v>4590007769_006</v>
      </c>
      <c r="AI797" s="208"/>
      <c r="AJ797" s="220"/>
      <c r="AK797" s="221"/>
      <c r="AL797" s="227"/>
      <c r="AM797" s="208"/>
      <c r="AN797" s="220"/>
      <c r="AO797" s="222"/>
      <c r="AP797" s="227"/>
      <c r="AQ797" s="358">
        <f ca="1">IF(表格1[[#This Row],[PO$]]="","100%",表格1[[#This Row],[total amount]]/表格1[[#This Row],[PO$]])</f>
        <v>0</v>
      </c>
      <c r="AR797" s="223">
        <f ca="1">表格1[[#This Row],[invoice amount]]+表格1[[#This Row],[invoice amount2]]</f>
        <v>0</v>
      </c>
      <c r="AS797" s="224"/>
      <c r="AT797" s="208"/>
      <c r="AU797" s="208" t="e">
        <f ca="1">VLOOKUP(表格1[[#This Row],[PO+ITEM]],#REF!,2,FALSE)</f>
        <v>#REF!</v>
      </c>
      <c r="AV797" s="341" t="e">
        <f ca="1">VLOOKUP(表格1[[#This Row],[PO+ITEM]],#REF!,3,FALSE)</f>
        <v>#REF!</v>
      </c>
      <c r="AW797" s="208" t="e">
        <f ca="1">VLOOKUP(表格1[[#This Row],[PO+ITEM]],#REF!,4,FALSE)</f>
        <v>#REF!</v>
      </c>
      <c r="AX797" s="208" t="e" cm="1" vm="1">
        <f t="array" aca="1" ref="AX797" ca="1">VLOOKUP(AI:AI,#REF!,1,FALSE)</f>
        <v>#VALUE!</v>
      </c>
    </row>
    <row r="798" spans="1:50">
      <c r="A798" s="220">
        <v>797</v>
      </c>
      <c r="B798" s="220" t="s">
        <v>3659</v>
      </c>
      <c r="C798" s="209" t="s">
        <v>16</v>
      </c>
      <c r="D798" s="209" t="s">
        <v>3648</v>
      </c>
      <c r="E798" s="209"/>
      <c r="F798" s="209"/>
      <c r="G798" s="209"/>
      <c r="H798" s="210" t="s">
        <v>5521</v>
      </c>
      <c r="I798" s="210"/>
      <c r="J798" s="211"/>
      <c r="K798" s="210"/>
      <c r="L798" s="212" t="s">
        <v>4269</v>
      </c>
      <c r="M798" s="212" t="s">
        <v>2999</v>
      </c>
      <c r="N798" s="213"/>
      <c r="O798" s="263">
        <v>4590007769</v>
      </c>
      <c r="P798" s="214">
        <v>44861</v>
      </c>
      <c r="Q798" s="334">
        <v>7</v>
      </c>
      <c r="R798" s="216">
        <v>5638.25</v>
      </c>
      <c r="S798" s="217" t="s">
        <v>2156</v>
      </c>
      <c r="T798" s="209" t="s">
        <v>3926</v>
      </c>
      <c r="U798" s="209" t="s">
        <v>3927</v>
      </c>
      <c r="V798" s="213" t="s">
        <v>3928</v>
      </c>
      <c r="W798" s="218" t="s">
        <v>3652</v>
      </c>
      <c r="X798" s="218" t="s">
        <v>3652</v>
      </c>
      <c r="Y798" s="212">
        <v>0</v>
      </c>
      <c r="Z798" s="209" t="s">
        <v>3664</v>
      </c>
      <c r="AA798" s="215"/>
      <c r="AB798" s="218"/>
      <c r="AC798" s="217" t="e">
        <v>#N/A</v>
      </c>
      <c r="AD798" s="217">
        <v>91110</v>
      </c>
      <c r="AE798" s="217" t="s">
        <v>3390</v>
      </c>
      <c r="AF798" s="217" t="s">
        <v>4109</v>
      </c>
      <c r="AG798" s="217" t="s">
        <v>3666</v>
      </c>
      <c r="AH798" s="220" t="str">
        <f t="shared" si="51"/>
        <v>4590007769_007</v>
      </c>
      <c r="AI798" s="208"/>
      <c r="AJ798" s="220"/>
      <c r="AK798" s="221"/>
      <c r="AL798" s="227"/>
      <c r="AM798" s="208"/>
      <c r="AN798" s="220"/>
      <c r="AO798" s="222"/>
      <c r="AP798" s="227"/>
      <c r="AQ798" s="358">
        <f ca="1">IF(表格1[[#This Row],[PO$]]="","100%",表格1[[#This Row],[total amount]]/表格1[[#This Row],[PO$]])</f>
        <v>0</v>
      </c>
      <c r="AR798" s="223">
        <f ca="1">表格1[[#This Row],[invoice amount]]+表格1[[#This Row],[invoice amount2]]</f>
        <v>0</v>
      </c>
      <c r="AS798" s="224"/>
      <c r="AT798" s="208"/>
      <c r="AU798" s="208" t="e">
        <f ca="1">VLOOKUP(表格1[[#This Row],[PO+ITEM]],#REF!,2,FALSE)</f>
        <v>#REF!</v>
      </c>
      <c r="AV798" s="341" t="e">
        <f ca="1">VLOOKUP(表格1[[#This Row],[PO+ITEM]],#REF!,3,FALSE)</f>
        <v>#REF!</v>
      </c>
      <c r="AW798" s="208" t="e">
        <f ca="1">VLOOKUP(表格1[[#This Row],[PO+ITEM]],#REF!,4,FALSE)</f>
        <v>#REF!</v>
      </c>
      <c r="AX798" s="208" t="e" cm="1" vm="1">
        <f t="array" aca="1" ref="AX798" ca="1">VLOOKUP(AI:AI,#REF!,1,FALSE)</f>
        <v>#VALUE!</v>
      </c>
    </row>
    <row r="799" spans="1:50">
      <c r="A799" s="220">
        <v>798</v>
      </c>
      <c r="B799" s="220" t="s">
        <v>3659</v>
      </c>
      <c r="C799" s="209" t="s">
        <v>16</v>
      </c>
      <c r="D799" s="209" t="s">
        <v>3648</v>
      </c>
      <c r="E799" s="209"/>
      <c r="F799" s="209"/>
      <c r="G799" s="209"/>
      <c r="H799" s="210" t="s">
        <v>5522</v>
      </c>
      <c r="I799" s="210"/>
      <c r="J799" s="211"/>
      <c r="K799" s="210"/>
      <c r="L799" s="212" t="s">
        <v>4269</v>
      </c>
      <c r="M799" s="212" t="s">
        <v>2999</v>
      </c>
      <c r="N799" s="213"/>
      <c r="O799" s="263">
        <v>4590007769</v>
      </c>
      <c r="P799" s="214">
        <v>44861</v>
      </c>
      <c r="Q799" s="334">
        <v>8</v>
      </c>
      <c r="R799" s="216">
        <v>5638.25</v>
      </c>
      <c r="S799" s="217" t="s">
        <v>2156</v>
      </c>
      <c r="T799" s="209" t="s">
        <v>3926</v>
      </c>
      <c r="U799" s="209" t="s">
        <v>3927</v>
      </c>
      <c r="V799" s="213" t="s">
        <v>3928</v>
      </c>
      <c r="W799" s="218" t="s">
        <v>3652</v>
      </c>
      <c r="X799" s="218" t="s">
        <v>3652</v>
      </c>
      <c r="Y799" s="212">
        <v>0</v>
      </c>
      <c r="Z799" s="209" t="s">
        <v>3664</v>
      </c>
      <c r="AA799" s="215"/>
      <c r="AB799" s="218"/>
      <c r="AC799" s="217" t="e">
        <v>#N/A</v>
      </c>
      <c r="AD799" s="217">
        <v>91111</v>
      </c>
      <c r="AE799" s="217" t="s">
        <v>3382</v>
      </c>
      <c r="AF799" s="217" t="s">
        <v>4109</v>
      </c>
      <c r="AG799" s="217" t="s">
        <v>3666</v>
      </c>
      <c r="AH799" s="220" t="str">
        <f t="shared" si="51"/>
        <v>4590007769_008</v>
      </c>
      <c r="AI799" s="208"/>
      <c r="AJ799" s="220"/>
      <c r="AK799" s="221"/>
      <c r="AL799" s="227"/>
      <c r="AM799" s="208"/>
      <c r="AN799" s="220"/>
      <c r="AO799" s="222"/>
      <c r="AP799" s="227"/>
      <c r="AQ799" s="358">
        <f ca="1">IF(表格1[[#This Row],[PO$]]="","100%",表格1[[#This Row],[total amount]]/表格1[[#This Row],[PO$]])</f>
        <v>0</v>
      </c>
      <c r="AR799" s="223">
        <f ca="1">表格1[[#This Row],[invoice amount]]+表格1[[#This Row],[invoice amount2]]</f>
        <v>0</v>
      </c>
      <c r="AS799" s="224"/>
      <c r="AT799" s="208"/>
      <c r="AU799" s="208" t="e">
        <f ca="1">VLOOKUP(表格1[[#This Row],[PO+ITEM]],#REF!,2,FALSE)</f>
        <v>#REF!</v>
      </c>
      <c r="AV799" s="341" t="e">
        <f ca="1">VLOOKUP(表格1[[#This Row],[PO+ITEM]],#REF!,3,FALSE)</f>
        <v>#REF!</v>
      </c>
      <c r="AW799" s="208" t="e">
        <f ca="1">VLOOKUP(表格1[[#This Row],[PO+ITEM]],#REF!,4,FALSE)</f>
        <v>#REF!</v>
      </c>
      <c r="AX799" s="208" t="e" cm="1" vm="1">
        <f t="array" aca="1" ref="AX799" ca="1">VLOOKUP(AI:AI,#REF!,1,FALSE)</f>
        <v>#VALUE!</v>
      </c>
    </row>
    <row r="800" spans="1:50">
      <c r="A800" s="220">
        <v>799</v>
      </c>
      <c r="B800" s="220" t="s">
        <v>3659</v>
      </c>
      <c r="C800" s="209" t="s">
        <v>16</v>
      </c>
      <c r="D800" s="209" t="s">
        <v>3648</v>
      </c>
      <c r="E800" s="209"/>
      <c r="F800" s="209"/>
      <c r="G800" s="209"/>
      <c r="H800" s="210" t="s">
        <v>5523</v>
      </c>
      <c r="I800" s="210"/>
      <c r="J800" s="211"/>
      <c r="K800" s="210"/>
      <c r="L800" s="212" t="s">
        <v>4269</v>
      </c>
      <c r="M800" s="212" t="s">
        <v>2999</v>
      </c>
      <c r="N800" s="213"/>
      <c r="O800" s="263">
        <v>4590007769</v>
      </c>
      <c r="P800" s="214">
        <v>44861</v>
      </c>
      <c r="Q800" s="334">
        <v>9</v>
      </c>
      <c r="R800" s="216">
        <v>5638.25</v>
      </c>
      <c r="S800" s="217" t="s">
        <v>2156</v>
      </c>
      <c r="T800" s="209" t="s">
        <v>3926</v>
      </c>
      <c r="U800" s="209" t="s">
        <v>3927</v>
      </c>
      <c r="V800" s="213" t="s">
        <v>3928</v>
      </c>
      <c r="W800" s="218" t="s">
        <v>3652</v>
      </c>
      <c r="X800" s="218" t="s">
        <v>3652</v>
      </c>
      <c r="Y800" s="212">
        <v>0</v>
      </c>
      <c r="Z800" s="209" t="s">
        <v>3664</v>
      </c>
      <c r="AA800" s="215"/>
      <c r="AB800" s="218"/>
      <c r="AC800" s="217" t="e">
        <v>#N/A</v>
      </c>
      <c r="AD800" s="217">
        <v>91112</v>
      </c>
      <c r="AE800" s="217" t="s">
        <v>3386</v>
      </c>
      <c r="AF800" s="217" t="s">
        <v>4109</v>
      </c>
      <c r="AG800" s="217" t="s">
        <v>3666</v>
      </c>
      <c r="AH800" s="220" t="str">
        <f t="shared" si="51"/>
        <v>4590007769_009</v>
      </c>
      <c r="AI800" s="208"/>
      <c r="AJ800" s="220"/>
      <c r="AK800" s="221"/>
      <c r="AL800" s="227"/>
      <c r="AM800" s="208"/>
      <c r="AN800" s="220"/>
      <c r="AO800" s="222"/>
      <c r="AP800" s="227"/>
      <c r="AQ800" s="358">
        <f ca="1">IF(表格1[[#This Row],[PO$]]="","100%",表格1[[#This Row],[total amount]]/表格1[[#This Row],[PO$]])</f>
        <v>0</v>
      </c>
      <c r="AR800" s="223">
        <f ca="1">表格1[[#This Row],[invoice amount]]+表格1[[#This Row],[invoice amount2]]</f>
        <v>0</v>
      </c>
      <c r="AS800" s="224"/>
      <c r="AT800" s="208"/>
      <c r="AU800" s="208" t="e">
        <f ca="1">VLOOKUP(表格1[[#This Row],[PO+ITEM]],#REF!,2,FALSE)</f>
        <v>#REF!</v>
      </c>
      <c r="AV800" s="341" t="e">
        <f ca="1">VLOOKUP(表格1[[#This Row],[PO+ITEM]],#REF!,3,FALSE)</f>
        <v>#REF!</v>
      </c>
      <c r="AW800" s="208" t="e">
        <f ca="1">VLOOKUP(表格1[[#This Row],[PO+ITEM]],#REF!,4,FALSE)</f>
        <v>#REF!</v>
      </c>
      <c r="AX800" s="208" t="e" cm="1" vm="1">
        <f t="array" aca="1" ref="AX800" ca="1">VLOOKUP(AI:AI,#REF!,1,FALSE)</f>
        <v>#VALUE!</v>
      </c>
    </row>
    <row r="801" spans="1:50">
      <c r="A801" s="220">
        <v>800</v>
      </c>
      <c r="B801" s="220" t="s">
        <v>3659</v>
      </c>
      <c r="C801" s="209" t="s">
        <v>16</v>
      </c>
      <c r="D801" s="209" t="s">
        <v>3648</v>
      </c>
      <c r="E801" s="209"/>
      <c r="F801" s="209"/>
      <c r="G801" s="209"/>
      <c r="H801" s="210" t="s">
        <v>5524</v>
      </c>
      <c r="I801" s="210"/>
      <c r="J801" s="211"/>
      <c r="K801" s="210"/>
      <c r="L801" s="212" t="s">
        <v>4269</v>
      </c>
      <c r="M801" s="212" t="s">
        <v>2999</v>
      </c>
      <c r="N801" s="213"/>
      <c r="O801" s="263">
        <v>4590007769</v>
      </c>
      <c r="P801" s="214">
        <v>44861</v>
      </c>
      <c r="Q801" s="334">
        <v>10</v>
      </c>
      <c r="R801" s="216">
        <v>5638.25</v>
      </c>
      <c r="S801" s="217" t="s">
        <v>2156</v>
      </c>
      <c r="T801" s="209" t="s">
        <v>3926</v>
      </c>
      <c r="U801" s="209" t="s">
        <v>3927</v>
      </c>
      <c r="V801" s="213" t="s">
        <v>3928</v>
      </c>
      <c r="W801" s="218" t="s">
        <v>3652</v>
      </c>
      <c r="X801" s="218" t="s">
        <v>3652</v>
      </c>
      <c r="Y801" s="212">
        <v>0</v>
      </c>
      <c r="Z801" s="209" t="s">
        <v>3664</v>
      </c>
      <c r="AA801" s="215"/>
      <c r="AB801" s="218"/>
      <c r="AC801" s="217" t="e">
        <v>#N/A</v>
      </c>
      <c r="AD801" s="217">
        <v>91113</v>
      </c>
      <c r="AE801" s="217" t="s">
        <v>3376</v>
      </c>
      <c r="AF801" s="217" t="s">
        <v>4109</v>
      </c>
      <c r="AG801" s="217" t="s">
        <v>3666</v>
      </c>
      <c r="AH801" s="220" t="str">
        <f t="shared" ref="AH801:AH807" si="52">O801&amp;"_0"&amp;Q801</f>
        <v>4590007769_010</v>
      </c>
      <c r="AI801" s="208"/>
      <c r="AJ801" s="220"/>
      <c r="AK801" s="221"/>
      <c r="AL801" s="227"/>
      <c r="AM801" s="208"/>
      <c r="AN801" s="220"/>
      <c r="AO801" s="222"/>
      <c r="AP801" s="227"/>
      <c r="AQ801" s="358">
        <f ca="1">IF(表格1[[#This Row],[PO$]]="","100%",表格1[[#This Row],[total amount]]/表格1[[#This Row],[PO$]])</f>
        <v>0</v>
      </c>
      <c r="AR801" s="223">
        <f ca="1">表格1[[#This Row],[invoice amount]]+表格1[[#This Row],[invoice amount2]]</f>
        <v>0</v>
      </c>
      <c r="AS801" s="224"/>
      <c r="AT801" s="208"/>
      <c r="AU801" s="208" t="e">
        <f ca="1">VLOOKUP(表格1[[#This Row],[PO+ITEM]],#REF!,2,FALSE)</f>
        <v>#REF!</v>
      </c>
      <c r="AV801" s="341" t="e">
        <f ca="1">VLOOKUP(表格1[[#This Row],[PO+ITEM]],#REF!,3,FALSE)</f>
        <v>#REF!</v>
      </c>
      <c r="AW801" s="208" t="e">
        <f ca="1">VLOOKUP(表格1[[#This Row],[PO+ITEM]],#REF!,4,FALSE)</f>
        <v>#REF!</v>
      </c>
      <c r="AX801" s="208" t="e" cm="1" vm="1">
        <f t="array" aca="1" ref="AX801" ca="1">VLOOKUP(AI:AI,#REF!,1,FALSE)</f>
        <v>#VALUE!</v>
      </c>
    </row>
    <row r="802" spans="1:50">
      <c r="A802" s="220">
        <v>801</v>
      </c>
      <c r="B802" s="220" t="s">
        <v>3659</v>
      </c>
      <c r="C802" s="209" t="s">
        <v>16</v>
      </c>
      <c r="D802" s="209" t="s">
        <v>3648</v>
      </c>
      <c r="E802" s="209"/>
      <c r="F802" s="209"/>
      <c r="G802" s="209"/>
      <c r="H802" s="210" t="s">
        <v>5525</v>
      </c>
      <c r="I802" s="210"/>
      <c r="J802" s="211"/>
      <c r="K802" s="210"/>
      <c r="L802" s="212" t="s">
        <v>4269</v>
      </c>
      <c r="M802" s="212" t="s">
        <v>2999</v>
      </c>
      <c r="N802" s="213"/>
      <c r="O802" s="263">
        <v>4590007769</v>
      </c>
      <c r="P802" s="214">
        <v>44861</v>
      </c>
      <c r="Q802" s="334">
        <v>11</v>
      </c>
      <c r="R802" s="216">
        <v>5638.25</v>
      </c>
      <c r="S802" s="217" t="s">
        <v>2156</v>
      </c>
      <c r="T802" s="209" t="s">
        <v>3926</v>
      </c>
      <c r="U802" s="209" t="s">
        <v>3927</v>
      </c>
      <c r="V802" s="213" t="s">
        <v>3928</v>
      </c>
      <c r="W802" s="218" t="s">
        <v>3652</v>
      </c>
      <c r="X802" s="218" t="s">
        <v>3652</v>
      </c>
      <c r="Y802" s="212">
        <v>0</v>
      </c>
      <c r="Z802" s="209" t="s">
        <v>3664</v>
      </c>
      <c r="AA802" s="215"/>
      <c r="AB802" s="218"/>
      <c r="AC802" s="217" t="e">
        <v>#N/A</v>
      </c>
      <c r="AD802" s="217">
        <v>91149</v>
      </c>
      <c r="AE802" s="217" t="s">
        <v>3394</v>
      </c>
      <c r="AF802" s="217" t="s">
        <v>4109</v>
      </c>
      <c r="AG802" s="217" t="s">
        <v>3666</v>
      </c>
      <c r="AH802" s="220" t="str">
        <f t="shared" si="52"/>
        <v>4590007769_011</v>
      </c>
      <c r="AI802" s="208"/>
      <c r="AJ802" s="220"/>
      <c r="AK802" s="221"/>
      <c r="AL802" s="227"/>
      <c r="AM802" s="208"/>
      <c r="AN802" s="220"/>
      <c r="AO802" s="222"/>
      <c r="AP802" s="227"/>
      <c r="AQ802" s="358">
        <f ca="1">IF(表格1[[#This Row],[PO$]]="","100%",表格1[[#This Row],[total amount]]/表格1[[#This Row],[PO$]])</f>
        <v>0</v>
      </c>
      <c r="AR802" s="223">
        <f ca="1">表格1[[#This Row],[invoice amount]]+表格1[[#This Row],[invoice amount2]]</f>
        <v>0</v>
      </c>
      <c r="AS802" s="224"/>
      <c r="AT802" s="208"/>
      <c r="AU802" s="208" t="e">
        <f ca="1">VLOOKUP(表格1[[#This Row],[PO+ITEM]],#REF!,2,FALSE)</f>
        <v>#REF!</v>
      </c>
      <c r="AV802" s="341" t="e">
        <f ca="1">VLOOKUP(表格1[[#This Row],[PO+ITEM]],#REF!,3,FALSE)</f>
        <v>#REF!</v>
      </c>
      <c r="AW802" s="208" t="e">
        <f ca="1">VLOOKUP(表格1[[#This Row],[PO+ITEM]],#REF!,4,FALSE)</f>
        <v>#REF!</v>
      </c>
      <c r="AX802" s="208" t="e" cm="1" vm="1">
        <f t="array" aca="1" ref="AX802" ca="1">VLOOKUP(AI:AI,#REF!,1,FALSE)</f>
        <v>#VALUE!</v>
      </c>
    </row>
    <row r="803" spans="1:50">
      <c r="A803" s="220">
        <v>802</v>
      </c>
      <c r="B803" s="220" t="s">
        <v>3659</v>
      </c>
      <c r="C803" s="209" t="s">
        <v>16</v>
      </c>
      <c r="D803" s="209" t="s">
        <v>3648</v>
      </c>
      <c r="E803" s="209"/>
      <c r="F803" s="209"/>
      <c r="G803" s="209"/>
      <c r="H803" s="210" t="s">
        <v>5526</v>
      </c>
      <c r="I803" s="210"/>
      <c r="J803" s="211"/>
      <c r="K803" s="210"/>
      <c r="L803" s="212" t="s">
        <v>4269</v>
      </c>
      <c r="M803" s="212" t="s">
        <v>2999</v>
      </c>
      <c r="N803" s="213"/>
      <c r="O803" s="263">
        <v>4590007769</v>
      </c>
      <c r="P803" s="214">
        <v>44861</v>
      </c>
      <c r="Q803" s="334">
        <v>12</v>
      </c>
      <c r="R803" s="216">
        <v>5638.25</v>
      </c>
      <c r="S803" s="217" t="s">
        <v>2156</v>
      </c>
      <c r="T803" s="209" t="s">
        <v>3926</v>
      </c>
      <c r="U803" s="209" t="s">
        <v>3927</v>
      </c>
      <c r="V803" s="213" t="s">
        <v>3928</v>
      </c>
      <c r="W803" s="218" t="s">
        <v>3652</v>
      </c>
      <c r="X803" s="218" t="s">
        <v>3652</v>
      </c>
      <c r="Y803" s="212">
        <v>0</v>
      </c>
      <c r="Z803" s="209" t="s">
        <v>3664</v>
      </c>
      <c r="AA803" s="215"/>
      <c r="AB803" s="218"/>
      <c r="AC803" s="217" t="e">
        <v>#N/A</v>
      </c>
      <c r="AD803" s="217">
        <v>91189</v>
      </c>
      <c r="AE803" s="217" t="s">
        <v>3380</v>
      </c>
      <c r="AF803" s="217" t="s">
        <v>4109</v>
      </c>
      <c r="AG803" s="217" t="s">
        <v>3666</v>
      </c>
      <c r="AH803" s="220" t="str">
        <f t="shared" si="52"/>
        <v>4590007769_012</v>
      </c>
      <c r="AI803" s="208"/>
      <c r="AJ803" s="220"/>
      <c r="AK803" s="221"/>
      <c r="AL803" s="227"/>
      <c r="AM803" s="208"/>
      <c r="AN803" s="220"/>
      <c r="AO803" s="222"/>
      <c r="AP803" s="227"/>
      <c r="AQ803" s="358">
        <f ca="1">IF(表格1[[#This Row],[PO$]]="","100%",表格1[[#This Row],[total amount]]/表格1[[#This Row],[PO$]])</f>
        <v>0</v>
      </c>
      <c r="AR803" s="223">
        <f ca="1">表格1[[#This Row],[invoice amount]]+表格1[[#This Row],[invoice amount2]]</f>
        <v>0</v>
      </c>
      <c r="AS803" s="224"/>
      <c r="AT803" s="208"/>
      <c r="AU803" s="208" t="e">
        <f ca="1">VLOOKUP(表格1[[#This Row],[PO+ITEM]],#REF!,2,FALSE)</f>
        <v>#REF!</v>
      </c>
      <c r="AV803" s="341" t="e">
        <f ca="1">VLOOKUP(表格1[[#This Row],[PO+ITEM]],#REF!,3,FALSE)</f>
        <v>#REF!</v>
      </c>
      <c r="AW803" s="208" t="e">
        <f ca="1">VLOOKUP(表格1[[#This Row],[PO+ITEM]],#REF!,4,FALSE)</f>
        <v>#REF!</v>
      </c>
      <c r="AX803" s="208" t="e" cm="1" vm="1">
        <f t="array" aca="1" ref="AX803" ca="1">VLOOKUP(AI:AI,#REF!,1,FALSE)</f>
        <v>#VALUE!</v>
      </c>
    </row>
    <row r="804" spans="1:50">
      <c r="A804" s="220">
        <v>803</v>
      </c>
      <c r="B804" s="220" t="s">
        <v>3659</v>
      </c>
      <c r="C804" s="209" t="s">
        <v>16</v>
      </c>
      <c r="D804" s="209" t="s">
        <v>3648</v>
      </c>
      <c r="E804" s="209"/>
      <c r="F804" s="209"/>
      <c r="G804" s="209"/>
      <c r="H804" s="210" t="s">
        <v>5527</v>
      </c>
      <c r="I804" s="210"/>
      <c r="J804" s="211"/>
      <c r="K804" s="210"/>
      <c r="L804" s="212" t="s">
        <v>4269</v>
      </c>
      <c r="M804" s="212" t="s">
        <v>2999</v>
      </c>
      <c r="N804" s="213"/>
      <c r="O804" s="263">
        <v>4590007769</v>
      </c>
      <c r="P804" s="214">
        <v>44861</v>
      </c>
      <c r="Q804" s="334">
        <v>13</v>
      </c>
      <c r="R804" s="216">
        <v>5638.25</v>
      </c>
      <c r="S804" s="217" t="s">
        <v>2156</v>
      </c>
      <c r="T804" s="209" t="s">
        <v>3926</v>
      </c>
      <c r="U804" s="209" t="s">
        <v>3927</v>
      </c>
      <c r="V804" s="213" t="s">
        <v>3928</v>
      </c>
      <c r="W804" s="218" t="s">
        <v>3652</v>
      </c>
      <c r="X804" s="218" t="s">
        <v>3652</v>
      </c>
      <c r="Y804" s="212">
        <v>0</v>
      </c>
      <c r="Z804" s="209" t="s">
        <v>3664</v>
      </c>
      <c r="AA804" s="215"/>
      <c r="AB804" s="218"/>
      <c r="AC804" s="217" t="e">
        <v>#N/A</v>
      </c>
      <c r="AD804" s="217">
        <v>91186</v>
      </c>
      <c r="AE804" s="217" t="s">
        <v>3378</v>
      </c>
      <c r="AF804" s="217" t="s">
        <v>4109</v>
      </c>
      <c r="AG804" s="217" t="s">
        <v>3666</v>
      </c>
      <c r="AH804" s="220" t="str">
        <f t="shared" si="52"/>
        <v>4590007769_013</v>
      </c>
      <c r="AI804" s="208"/>
      <c r="AJ804" s="220"/>
      <c r="AK804" s="221"/>
      <c r="AL804" s="227"/>
      <c r="AM804" s="208"/>
      <c r="AN804" s="220"/>
      <c r="AO804" s="222"/>
      <c r="AP804" s="227"/>
      <c r="AQ804" s="358">
        <f ca="1">IF(表格1[[#This Row],[PO$]]="","100%",表格1[[#This Row],[total amount]]/表格1[[#This Row],[PO$]])</f>
        <v>0</v>
      </c>
      <c r="AR804" s="223">
        <f ca="1">表格1[[#This Row],[invoice amount]]+表格1[[#This Row],[invoice amount2]]</f>
        <v>0</v>
      </c>
      <c r="AS804" s="224"/>
      <c r="AT804" s="208"/>
      <c r="AU804" s="208" t="e">
        <f ca="1">VLOOKUP(表格1[[#This Row],[PO+ITEM]],#REF!,2,FALSE)</f>
        <v>#REF!</v>
      </c>
      <c r="AV804" s="341" t="e">
        <f ca="1">VLOOKUP(表格1[[#This Row],[PO+ITEM]],#REF!,3,FALSE)</f>
        <v>#REF!</v>
      </c>
      <c r="AW804" s="208" t="e">
        <f ca="1">VLOOKUP(表格1[[#This Row],[PO+ITEM]],#REF!,4,FALSE)</f>
        <v>#REF!</v>
      </c>
      <c r="AX804" s="208" t="e" cm="1" vm="1">
        <f t="array" aca="1" ref="AX804" ca="1">VLOOKUP(AI:AI,#REF!,1,FALSE)</f>
        <v>#VALUE!</v>
      </c>
    </row>
    <row r="805" spans="1:50" ht="15.6">
      <c r="A805" s="220">
        <v>804</v>
      </c>
      <c r="B805" s="220" t="s">
        <v>3659</v>
      </c>
      <c r="C805" s="209" t="s">
        <v>16</v>
      </c>
      <c r="D805" s="209" t="s">
        <v>3648</v>
      </c>
      <c r="E805" s="209"/>
      <c r="F805" s="209"/>
      <c r="G805" s="209"/>
      <c r="H805" s="210" t="s">
        <v>5528</v>
      </c>
      <c r="I805" s="210"/>
      <c r="J805" s="211"/>
      <c r="K805" s="210"/>
      <c r="L805" s="212" t="s">
        <v>4269</v>
      </c>
      <c r="M805" s="212" t="s">
        <v>2999</v>
      </c>
      <c r="N805" s="213"/>
      <c r="O805" s="263">
        <v>4590007769</v>
      </c>
      <c r="P805" s="214">
        <v>44861</v>
      </c>
      <c r="Q805" s="334">
        <v>14</v>
      </c>
      <c r="R805" s="216">
        <v>5965.42</v>
      </c>
      <c r="S805" s="217" t="s">
        <v>2156</v>
      </c>
      <c r="T805" s="209" t="s">
        <v>3926</v>
      </c>
      <c r="U805" s="209" t="s">
        <v>3927</v>
      </c>
      <c r="V805" s="213" t="s">
        <v>3928</v>
      </c>
      <c r="W805" s="218" t="s">
        <v>3652</v>
      </c>
      <c r="X805" s="218" t="s">
        <v>3652</v>
      </c>
      <c r="Y805" s="212" t="s">
        <v>4270</v>
      </c>
      <c r="Z805" s="209" t="s">
        <v>3664</v>
      </c>
      <c r="AA805" s="215"/>
      <c r="AB805" s="218"/>
      <c r="AC805" s="217" t="e">
        <v>#N/A</v>
      </c>
      <c r="AD805" s="217">
        <v>91355</v>
      </c>
      <c r="AE805" s="217" t="s">
        <v>3352</v>
      </c>
      <c r="AF805" s="217" t="s">
        <v>4109</v>
      </c>
      <c r="AG805" s="217" t="s">
        <v>3666</v>
      </c>
      <c r="AH805" s="220" t="str">
        <f t="shared" si="52"/>
        <v>4590007769_014</v>
      </c>
      <c r="AI805" s="208"/>
      <c r="AJ805" s="225">
        <v>45108</v>
      </c>
      <c r="AK805" s="221">
        <v>0</v>
      </c>
      <c r="AL805" s="314" t="s">
        <v>3788</v>
      </c>
      <c r="AM805" s="208"/>
      <c r="AN805" s="220"/>
      <c r="AO805" s="222"/>
      <c r="AP805" s="227"/>
      <c r="AQ805" s="358">
        <f ca="1">IF(表格1[[#This Row],[PO$]]="","100%",表格1[[#This Row],[total amount]]/表格1[[#This Row],[PO$]])</f>
        <v>0</v>
      </c>
      <c r="AR805" s="223">
        <f ca="1">表格1[[#This Row],[invoice amount]]+表格1[[#This Row],[invoice amount2]]</f>
        <v>0</v>
      </c>
      <c r="AS805" s="224" t="s">
        <v>3789</v>
      </c>
      <c r="AT805" s="208" t="s">
        <v>5529</v>
      </c>
      <c r="AU805" s="208" t="e">
        <f ca="1">VLOOKUP(表格1[[#This Row],[PO+ITEM]],#REF!,2,FALSE)</f>
        <v>#REF!</v>
      </c>
      <c r="AV805" s="341" t="e">
        <f ca="1">VLOOKUP(表格1[[#This Row],[PO+ITEM]],#REF!,3,FALSE)</f>
        <v>#REF!</v>
      </c>
      <c r="AW805" s="208" t="e">
        <f ca="1">VLOOKUP(表格1[[#This Row],[PO+ITEM]],#REF!,4,FALSE)</f>
        <v>#REF!</v>
      </c>
      <c r="AX805" s="208" t="e" cm="1" vm="1">
        <f t="array" aca="1" ref="AX805" ca="1">VLOOKUP(AI:AI,#REF!,1,FALSE)</f>
        <v>#VALUE!</v>
      </c>
    </row>
    <row r="806" spans="1:50" ht="15.6">
      <c r="A806" s="220">
        <v>805</v>
      </c>
      <c r="B806" s="220" t="s">
        <v>3659</v>
      </c>
      <c r="C806" s="209" t="s">
        <v>16</v>
      </c>
      <c r="D806" s="209" t="s">
        <v>3648</v>
      </c>
      <c r="E806" s="209"/>
      <c r="F806" s="209"/>
      <c r="G806" s="209"/>
      <c r="H806" s="210" t="s">
        <v>5530</v>
      </c>
      <c r="I806" s="210"/>
      <c r="J806" s="211"/>
      <c r="K806" s="210"/>
      <c r="L806" s="212" t="s">
        <v>4269</v>
      </c>
      <c r="M806" s="212" t="s">
        <v>2999</v>
      </c>
      <c r="N806" s="213"/>
      <c r="O806" s="263">
        <v>4590007769</v>
      </c>
      <c r="P806" s="214">
        <v>44861</v>
      </c>
      <c r="Q806" s="334">
        <v>15</v>
      </c>
      <c r="R806" s="216">
        <v>5965.42</v>
      </c>
      <c r="S806" s="217" t="s">
        <v>2156</v>
      </c>
      <c r="T806" s="209" t="s">
        <v>3926</v>
      </c>
      <c r="U806" s="209" t="s">
        <v>3927</v>
      </c>
      <c r="V806" s="213" t="s">
        <v>3928</v>
      </c>
      <c r="W806" s="218" t="s">
        <v>3652</v>
      </c>
      <c r="X806" s="218" t="s">
        <v>3652</v>
      </c>
      <c r="Y806" s="212" t="s">
        <v>4270</v>
      </c>
      <c r="Z806" s="209" t="s">
        <v>3664</v>
      </c>
      <c r="AA806" s="215"/>
      <c r="AB806" s="218"/>
      <c r="AC806" s="217" t="e">
        <v>#N/A</v>
      </c>
      <c r="AD806" s="217">
        <v>91254</v>
      </c>
      <c r="AE806" s="217" t="s">
        <v>3354</v>
      </c>
      <c r="AF806" s="217" t="s">
        <v>4109</v>
      </c>
      <c r="AG806" s="217" t="s">
        <v>3666</v>
      </c>
      <c r="AH806" s="220" t="str">
        <f t="shared" si="52"/>
        <v>4590007769_015</v>
      </c>
      <c r="AI806" s="208"/>
      <c r="AJ806" s="225">
        <v>45108</v>
      </c>
      <c r="AK806" s="221">
        <v>0</v>
      </c>
      <c r="AL806" s="314" t="s">
        <v>3788</v>
      </c>
      <c r="AM806" s="208"/>
      <c r="AN806" s="220"/>
      <c r="AO806" s="222"/>
      <c r="AP806" s="227"/>
      <c r="AQ806" s="358">
        <f ca="1">IF(表格1[[#This Row],[PO$]]="","100%",表格1[[#This Row],[total amount]]/表格1[[#This Row],[PO$]])</f>
        <v>0</v>
      </c>
      <c r="AR806" s="223">
        <f ca="1">表格1[[#This Row],[invoice amount]]+表格1[[#This Row],[invoice amount2]]</f>
        <v>0</v>
      </c>
      <c r="AS806" s="224" t="s">
        <v>3789</v>
      </c>
      <c r="AT806" s="208" t="s">
        <v>5529</v>
      </c>
      <c r="AU806" s="208" t="e">
        <f ca="1">VLOOKUP(表格1[[#This Row],[PO+ITEM]],#REF!,2,FALSE)</f>
        <v>#REF!</v>
      </c>
      <c r="AV806" s="341" t="e">
        <f ca="1">VLOOKUP(表格1[[#This Row],[PO+ITEM]],#REF!,3,FALSE)</f>
        <v>#REF!</v>
      </c>
      <c r="AW806" s="208" t="e">
        <f ca="1">VLOOKUP(表格1[[#This Row],[PO+ITEM]],#REF!,4,FALSE)</f>
        <v>#REF!</v>
      </c>
      <c r="AX806" s="208" t="e" cm="1" vm="1">
        <f t="array" aca="1" ref="AX806" ca="1">VLOOKUP(AI:AI,#REF!,1,FALSE)</f>
        <v>#VALUE!</v>
      </c>
    </row>
    <row r="807" spans="1:50" ht="15.6">
      <c r="A807" s="220">
        <v>806</v>
      </c>
      <c r="B807" s="220" t="s">
        <v>3659</v>
      </c>
      <c r="C807" s="209" t="s">
        <v>16</v>
      </c>
      <c r="D807" s="209" t="s">
        <v>3648</v>
      </c>
      <c r="E807" s="209"/>
      <c r="F807" s="209"/>
      <c r="G807" s="209"/>
      <c r="H807" s="210" t="s">
        <v>5531</v>
      </c>
      <c r="I807" s="210"/>
      <c r="J807" s="211"/>
      <c r="K807" s="210"/>
      <c r="L807" s="212" t="s">
        <v>4269</v>
      </c>
      <c r="M807" s="212" t="s">
        <v>2999</v>
      </c>
      <c r="N807" s="213"/>
      <c r="O807" s="263">
        <v>4590007769</v>
      </c>
      <c r="P807" s="214">
        <v>44861</v>
      </c>
      <c r="Q807" s="334">
        <v>16</v>
      </c>
      <c r="R807" s="216">
        <v>5965.42</v>
      </c>
      <c r="S807" s="217" t="s">
        <v>2156</v>
      </c>
      <c r="T807" s="209" t="s">
        <v>3926</v>
      </c>
      <c r="U807" s="209" t="s">
        <v>3927</v>
      </c>
      <c r="V807" s="213" t="s">
        <v>3928</v>
      </c>
      <c r="W807" s="218" t="s">
        <v>3652</v>
      </c>
      <c r="X807" s="218" t="s">
        <v>3652</v>
      </c>
      <c r="Y807" s="212" t="s">
        <v>4270</v>
      </c>
      <c r="Z807" s="209" t="s">
        <v>3664</v>
      </c>
      <c r="AA807" s="215"/>
      <c r="AB807" s="218"/>
      <c r="AC807" s="217" t="e">
        <v>#N/A</v>
      </c>
      <c r="AD807" s="217">
        <v>91257</v>
      </c>
      <c r="AE807" s="217" t="s">
        <v>3350</v>
      </c>
      <c r="AF807" s="217" t="s">
        <v>4109</v>
      </c>
      <c r="AG807" s="217" t="s">
        <v>3666</v>
      </c>
      <c r="AH807" s="220" t="str">
        <f t="shared" si="52"/>
        <v>4590007769_016</v>
      </c>
      <c r="AI807" s="208"/>
      <c r="AJ807" s="225">
        <v>45108</v>
      </c>
      <c r="AK807" s="221">
        <v>0</v>
      </c>
      <c r="AL807" s="314" t="s">
        <v>3788</v>
      </c>
      <c r="AM807" s="208"/>
      <c r="AN807" s="220"/>
      <c r="AO807" s="222"/>
      <c r="AP807" s="227"/>
      <c r="AQ807" s="358">
        <f ca="1">IF(表格1[[#This Row],[PO$]]="","100%",表格1[[#This Row],[total amount]]/表格1[[#This Row],[PO$]])</f>
        <v>0</v>
      </c>
      <c r="AR807" s="223">
        <f ca="1">表格1[[#This Row],[invoice amount]]+表格1[[#This Row],[invoice amount2]]</f>
        <v>0</v>
      </c>
      <c r="AS807" s="224" t="s">
        <v>3789</v>
      </c>
      <c r="AT807" s="208" t="s">
        <v>5529</v>
      </c>
      <c r="AU807" s="208" t="e">
        <f ca="1">VLOOKUP(表格1[[#This Row],[PO+ITEM]],#REF!,2,FALSE)</f>
        <v>#REF!</v>
      </c>
      <c r="AV807" s="341" t="e">
        <f ca="1">VLOOKUP(表格1[[#This Row],[PO+ITEM]],#REF!,3,FALSE)</f>
        <v>#REF!</v>
      </c>
      <c r="AW807" s="208" t="e">
        <f ca="1">VLOOKUP(表格1[[#This Row],[PO+ITEM]],#REF!,4,FALSE)</f>
        <v>#REF!</v>
      </c>
      <c r="AX807" s="208" t="e" cm="1" vm="1">
        <f t="array" aca="1" ref="AX807" ca="1">VLOOKUP(AI:AI,#REF!,1,FALSE)</f>
        <v>#VALUE!</v>
      </c>
    </row>
    <row r="808" spans="1:50" ht="15.6">
      <c r="A808" s="220">
        <v>807</v>
      </c>
      <c r="B808" s="220" t="s">
        <v>3659</v>
      </c>
      <c r="C808" s="209" t="s">
        <v>16</v>
      </c>
      <c r="D808" s="209" t="s">
        <v>3648</v>
      </c>
      <c r="E808" s="209"/>
      <c r="F808" s="209"/>
      <c r="G808" s="209"/>
      <c r="H808" s="210" t="s">
        <v>5532</v>
      </c>
      <c r="I808" s="210"/>
      <c r="J808" s="211"/>
      <c r="K808" s="210"/>
      <c r="L808" s="212" t="s">
        <v>4269</v>
      </c>
      <c r="M808" s="212" t="s">
        <v>2999</v>
      </c>
      <c r="N808" s="213"/>
      <c r="O808" s="263">
        <v>4590007770</v>
      </c>
      <c r="P808" s="214">
        <v>44861</v>
      </c>
      <c r="Q808" s="334">
        <v>1</v>
      </c>
      <c r="R808" s="216">
        <v>7402.76</v>
      </c>
      <c r="S808" s="217" t="s">
        <v>2156</v>
      </c>
      <c r="T808" s="209" t="s">
        <v>3926</v>
      </c>
      <c r="U808" s="209" t="s">
        <v>3927</v>
      </c>
      <c r="V808" s="213" t="s">
        <v>3928</v>
      </c>
      <c r="W808" s="218" t="s">
        <v>3652</v>
      </c>
      <c r="X808" s="218" t="s">
        <v>3652</v>
      </c>
      <c r="Y808" s="212" t="s">
        <v>4270</v>
      </c>
      <c r="Z808" s="209" t="s">
        <v>3664</v>
      </c>
      <c r="AA808" s="215"/>
      <c r="AB808" s="218"/>
      <c r="AC808" s="217" t="e">
        <v>#N/A</v>
      </c>
      <c r="AD808" s="217">
        <v>91253</v>
      </c>
      <c r="AE808" s="217" t="s">
        <v>3407</v>
      </c>
      <c r="AF808" s="217" t="s">
        <v>4109</v>
      </c>
      <c r="AG808" s="217" t="s">
        <v>3666</v>
      </c>
      <c r="AH808" s="220" t="str">
        <f t="shared" ref="AH808:AH832" si="53">O808&amp;"_00"&amp;Q808</f>
        <v>4590007770_001</v>
      </c>
      <c r="AI808" s="208"/>
      <c r="AJ808" s="225">
        <v>45108</v>
      </c>
      <c r="AK808" s="221">
        <v>0</v>
      </c>
      <c r="AL808" s="314" t="s">
        <v>3788</v>
      </c>
      <c r="AM808" s="208"/>
      <c r="AN808" s="220"/>
      <c r="AO808" s="222"/>
      <c r="AP808" s="227"/>
      <c r="AQ808" s="358">
        <f ca="1">IF(表格1[[#This Row],[PO$]]="","100%",表格1[[#This Row],[total amount]]/表格1[[#This Row],[PO$]])</f>
        <v>0</v>
      </c>
      <c r="AR808" s="223">
        <f ca="1">表格1[[#This Row],[invoice amount]]+表格1[[#This Row],[invoice amount2]]</f>
        <v>0</v>
      </c>
      <c r="AS808" s="224" t="s">
        <v>3789</v>
      </c>
      <c r="AT808" s="208" t="s">
        <v>5529</v>
      </c>
      <c r="AU808" s="208" t="e">
        <f ca="1">VLOOKUP(表格1[[#This Row],[PO+ITEM]],#REF!,2,FALSE)</f>
        <v>#REF!</v>
      </c>
      <c r="AV808" s="341" t="e">
        <f ca="1">VLOOKUP(表格1[[#This Row],[PO+ITEM]],#REF!,3,FALSE)</f>
        <v>#REF!</v>
      </c>
      <c r="AW808" s="208" t="e">
        <f ca="1">VLOOKUP(表格1[[#This Row],[PO+ITEM]],#REF!,4,FALSE)</f>
        <v>#REF!</v>
      </c>
      <c r="AX808" s="208" t="e" cm="1" vm="1">
        <f t="array" aca="1" ref="AX808" ca="1">VLOOKUP(AI:AI,#REF!,1,FALSE)</f>
        <v>#VALUE!</v>
      </c>
    </row>
    <row r="809" spans="1:50">
      <c r="A809" s="220">
        <v>808</v>
      </c>
      <c r="B809" s="220" t="s">
        <v>3659</v>
      </c>
      <c r="C809" s="209" t="s">
        <v>16</v>
      </c>
      <c r="D809" s="209" t="s">
        <v>3648</v>
      </c>
      <c r="E809" s="209"/>
      <c r="F809" s="209"/>
      <c r="G809" s="209"/>
      <c r="H809" s="210" t="s">
        <v>5533</v>
      </c>
      <c r="I809" s="210"/>
      <c r="J809" s="211"/>
      <c r="K809" s="210"/>
      <c r="L809" s="212" t="s">
        <v>4269</v>
      </c>
      <c r="M809" s="212" t="s">
        <v>2999</v>
      </c>
      <c r="N809" s="213"/>
      <c r="O809" s="263">
        <v>4590007770</v>
      </c>
      <c r="P809" s="214">
        <v>44861</v>
      </c>
      <c r="Q809" s="334">
        <v>2</v>
      </c>
      <c r="R809" s="216">
        <v>23051.14</v>
      </c>
      <c r="S809" s="217" t="s">
        <v>2156</v>
      </c>
      <c r="T809" s="209" t="s">
        <v>3926</v>
      </c>
      <c r="U809" s="209" t="s">
        <v>3927</v>
      </c>
      <c r="V809" s="213" t="s">
        <v>3928</v>
      </c>
      <c r="W809" s="218" t="s">
        <v>3652</v>
      </c>
      <c r="X809" s="218" t="s">
        <v>3652</v>
      </c>
      <c r="Y809" s="212">
        <v>0</v>
      </c>
      <c r="Z809" s="209" t="s">
        <v>3664</v>
      </c>
      <c r="AA809" s="215"/>
      <c r="AB809" s="218"/>
      <c r="AC809" s="217" t="e">
        <v>#N/A</v>
      </c>
      <c r="AD809" s="217">
        <v>91190</v>
      </c>
      <c r="AE809" s="217" t="s">
        <v>3318</v>
      </c>
      <c r="AF809" s="217" t="s">
        <v>4109</v>
      </c>
      <c r="AG809" s="217" t="s">
        <v>3666</v>
      </c>
      <c r="AH809" s="220" t="str">
        <f t="shared" si="53"/>
        <v>4590007770_002</v>
      </c>
      <c r="AI809" s="208"/>
      <c r="AJ809" s="220"/>
      <c r="AK809" s="221"/>
      <c r="AL809" s="227"/>
      <c r="AM809" s="208"/>
      <c r="AN809" s="220"/>
      <c r="AO809" s="222"/>
      <c r="AP809" s="227"/>
      <c r="AQ809" s="358">
        <f ca="1">IF(表格1[[#This Row],[PO$]]="","100%",表格1[[#This Row],[total amount]]/表格1[[#This Row],[PO$]])</f>
        <v>0</v>
      </c>
      <c r="AR809" s="223">
        <f ca="1">表格1[[#This Row],[invoice amount]]+表格1[[#This Row],[invoice amount2]]</f>
        <v>0</v>
      </c>
      <c r="AS809" s="224"/>
      <c r="AT809" s="208"/>
      <c r="AU809" s="208" t="e">
        <f ca="1">VLOOKUP(表格1[[#This Row],[PO+ITEM]],#REF!,2,FALSE)</f>
        <v>#REF!</v>
      </c>
      <c r="AV809" s="341" t="e">
        <f ca="1">VLOOKUP(表格1[[#This Row],[PO+ITEM]],#REF!,3,FALSE)</f>
        <v>#REF!</v>
      </c>
      <c r="AW809" s="208" t="e">
        <f ca="1">VLOOKUP(表格1[[#This Row],[PO+ITEM]],#REF!,4,FALSE)</f>
        <v>#REF!</v>
      </c>
      <c r="AX809" s="208" t="e" cm="1" vm="1">
        <f t="array" aca="1" ref="AX809" ca="1">VLOOKUP(AI:AI,#REF!,1,FALSE)</f>
        <v>#VALUE!</v>
      </c>
    </row>
    <row r="810" spans="1:50">
      <c r="A810" s="220">
        <v>809</v>
      </c>
      <c r="B810" s="220" t="s">
        <v>3659</v>
      </c>
      <c r="C810" s="209" t="s">
        <v>16</v>
      </c>
      <c r="D810" s="209" t="s">
        <v>3648</v>
      </c>
      <c r="E810" s="209"/>
      <c r="F810" s="209"/>
      <c r="G810" s="209"/>
      <c r="H810" s="210" t="s">
        <v>5534</v>
      </c>
      <c r="I810" s="210"/>
      <c r="J810" s="211"/>
      <c r="K810" s="210"/>
      <c r="L810" s="212" t="s">
        <v>4269</v>
      </c>
      <c r="M810" s="212" t="s">
        <v>2999</v>
      </c>
      <c r="N810" s="213"/>
      <c r="O810" s="263">
        <v>4590007770</v>
      </c>
      <c r="P810" s="214">
        <v>44861</v>
      </c>
      <c r="Q810" s="334">
        <v>3</v>
      </c>
      <c r="R810" s="216">
        <v>12958.44</v>
      </c>
      <c r="S810" s="217" t="s">
        <v>2156</v>
      </c>
      <c r="T810" s="209" t="s">
        <v>3926</v>
      </c>
      <c r="U810" s="209" t="s">
        <v>3927</v>
      </c>
      <c r="V810" s="213" t="s">
        <v>3928</v>
      </c>
      <c r="W810" s="218" t="s">
        <v>3652</v>
      </c>
      <c r="X810" s="218" t="s">
        <v>3652</v>
      </c>
      <c r="Y810" s="212">
        <v>0</v>
      </c>
      <c r="Z810" s="209" t="s">
        <v>3664</v>
      </c>
      <c r="AA810" s="215"/>
      <c r="AB810" s="218"/>
      <c r="AC810" s="217" t="e">
        <v>#N/A</v>
      </c>
      <c r="AD810" s="217">
        <v>91191</v>
      </c>
      <c r="AE810" s="217" t="s">
        <v>3333</v>
      </c>
      <c r="AF810" s="217" t="s">
        <v>4109</v>
      </c>
      <c r="AG810" s="217" t="s">
        <v>3666</v>
      </c>
      <c r="AH810" s="220" t="str">
        <f t="shared" si="53"/>
        <v>4590007770_003</v>
      </c>
      <c r="AI810" s="208"/>
      <c r="AJ810" s="220"/>
      <c r="AK810" s="221"/>
      <c r="AL810" s="227"/>
      <c r="AM810" s="208"/>
      <c r="AN810" s="220"/>
      <c r="AO810" s="222"/>
      <c r="AP810" s="227"/>
      <c r="AQ810" s="358">
        <f ca="1">IF(表格1[[#This Row],[PO$]]="","100%",表格1[[#This Row],[total amount]]/表格1[[#This Row],[PO$]])</f>
        <v>0</v>
      </c>
      <c r="AR810" s="223">
        <f ca="1">表格1[[#This Row],[invoice amount]]+表格1[[#This Row],[invoice amount2]]</f>
        <v>0</v>
      </c>
      <c r="AS810" s="224"/>
      <c r="AT810" s="208"/>
      <c r="AU810" s="208" t="e">
        <f ca="1">VLOOKUP(表格1[[#This Row],[PO+ITEM]],#REF!,2,FALSE)</f>
        <v>#REF!</v>
      </c>
      <c r="AV810" s="341" t="e">
        <f ca="1">VLOOKUP(表格1[[#This Row],[PO+ITEM]],#REF!,3,FALSE)</f>
        <v>#REF!</v>
      </c>
      <c r="AW810" s="208" t="e">
        <f ca="1">VLOOKUP(表格1[[#This Row],[PO+ITEM]],#REF!,4,FALSE)</f>
        <v>#REF!</v>
      </c>
      <c r="AX810" s="208" t="e" cm="1" vm="1">
        <f t="array" aca="1" ref="AX810" ca="1">VLOOKUP(AI:AI,#REF!,1,FALSE)</f>
        <v>#VALUE!</v>
      </c>
    </row>
    <row r="811" spans="1:50">
      <c r="A811" s="220">
        <v>810</v>
      </c>
      <c r="B811" s="220" t="s">
        <v>3659</v>
      </c>
      <c r="C811" s="209" t="s">
        <v>16</v>
      </c>
      <c r="D811" s="209" t="s">
        <v>3648</v>
      </c>
      <c r="E811" s="209"/>
      <c r="F811" s="209"/>
      <c r="G811" s="209"/>
      <c r="H811" s="210" t="s">
        <v>5535</v>
      </c>
      <c r="I811" s="210"/>
      <c r="J811" s="211"/>
      <c r="K811" s="210"/>
      <c r="L811" s="212" t="s">
        <v>4269</v>
      </c>
      <c r="M811" s="212" t="s">
        <v>2999</v>
      </c>
      <c r="N811" s="213"/>
      <c r="O811" s="263">
        <v>4590007770</v>
      </c>
      <c r="P811" s="214">
        <v>44861</v>
      </c>
      <c r="Q811" s="334">
        <v>4</v>
      </c>
      <c r="R811" s="216">
        <v>12958.44</v>
      </c>
      <c r="S811" s="217" t="s">
        <v>2156</v>
      </c>
      <c r="T811" s="209" t="s">
        <v>3926</v>
      </c>
      <c r="U811" s="209" t="s">
        <v>3927</v>
      </c>
      <c r="V811" s="213" t="s">
        <v>3928</v>
      </c>
      <c r="W811" s="218" t="s">
        <v>3652</v>
      </c>
      <c r="X811" s="218" t="s">
        <v>3652</v>
      </c>
      <c r="Y811" s="212">
        <v>0</v>
      </c>
      <c r="Z811" s="209" t="s">
        <v>3664</v>
      </c>
      <c r="AA811" s="215"/>
      <c r="AB811" s="218"/>
      <c r="AC811" s="217" t="e">
        <v>#N/A</v>
      </c>
      <c r="AD811" s="217">
        <v>91192</v>
      </c>
      <c r="AE811" s="217" t="s">
        <v>3337</v>
      </c>
      <c r="AF811" s="217" t="s">
        <v>4109</v>
      </c>
      <c r="AG811" s="217" t="s">
        <v>3666</v>
      </c>
      <c r="AH811" s="220" t="str">
        <f t="shared" si="53"/>
        <v>4590007770_004</v>
      </c>
      <c r="AI811" s="208"/>
      <c r="AJ811" s="220"/>
      <c r="AK811" s="221"/>
      <c r="AL811" s="227"/>
      <c r="AM811" s="208"/>
      <c r="AN811" s="220"/>
      <c r="AO811" s="222"/>
      <c r="AP811" s="227"/>
      <c r="AQ811" s="358">
        <f ca="1">IF(表格1[[#This Row],[PO$]]="","100%",表格1[[#This Row],[total amount]]/表格1[[#This Row],[PO$]])</f>
        <v>0</v>
      </c>
      <c r="AR811" s="223">
        <f ca="1">表格1[[#This Row],[invoice amount]]+表格1[[#This Row],[invoice amount2]]</f>
        <v>0</v>
      </c>
      <c r="AS811" s="224"/>
      <c r="AT811" s="208"/>
      <c r="AU811" s="208" t="e">
        <f ca="1">VLOOKUP(表格1[[#This Row],[PO+ITEM]],#REF!,2,FALSE)</f>
        <v>#REF!</v>
      </c>
      <c r="AV811" s="341" t="e">
        <f ca="1">VLOOKUP(表格1[[#This Row],[PO+ITEM]],#REF!,3,FALSE)</f>
        <v>#REF!</v>
      </c>
      <c r="AW811" s="208" t="e">
        <f ca="1">VLOOKUP(表格1[[#This Row],[PO+ITEM]],#REF!,4,FALSE)</f>
        <v>#REF!</v>
      </c>
      <c r="AX811" s="208" t="e" cm="1" vm="1">
        <f t="array" aca="1" ref="AX811" ca="1">VLOOKUP(AI:AI,#REF!,1,FALSE)</f>
        <v>#VALUE!</v>
      </c>
    </row>
    <row r="812" spans="1:50">
      <c r="A812" s="220">
        <v>811</v>
      </c>
      <c r="B812" s="220" t="s">
        <v>3659</v>
      </c>
      <c r="C812" s="209" t="s">
        <v>16</v>
      </c>
      <c r="D812" s="209" t="s">
        <v>3648</v>
      </c>
      <c r="E812" s="209"/>
      <c r="F812" s="209"/>
      <c r="G812" s="209"/>
      <c r="H812" s="210" t="s">
        <v>5536</v>
      </c>
      <c r="I812" s="210"/>
      <c r="J812" s="211"/>
      <c r="K812" s="210"/>
      <c r="L812" s="212" t="s">
        <v>4269</v>
      </c>
      <c r="M812" s="212" t="s">
        <v>2999</v>
      </c>
      <c r="N812" s="213"/>
      <c r="O812" s="263">
        <v>4590007770</v>
      </c>
      <c r="P812" s="214">
        <v>44861</v>
      </c>
      <c r="Q812" s="334">
        <v>5</v>
      </c>
      <c r="R812" s="216">
        <v>23051.14</v>
      </c>
      <c r="S812" s="217" t="s">
        <v>2156</v>
      </c>
      <c r="T812" s="209" t="s">
        <v>3926</v>
      </c>
      <c r="U812" s="209" t="s">
        <v>3927</v>
      </c>
      <c r="V812" s="213" t="s">
        <v>3928</v>
      </c>
      <c r="W812" s="218" t="s">
        <v>3652</v>
      </c>
      <c r="X812" s="218" t="s">
        <v>3652</v>
      </c>
      <c r="Y812" s="212">
        <v>0</v>
      </c>
      <c r="Z812" s="209" t="s">
        <v>3664</v>
      </c>
      <c r="AA812" s="215"/>
      <c r="AB812" s="218"/>
      <c r="AC812" s="217" t="e">
        <v>#N/A</v>
      </c>
      <c r="AD812" s="217">
        <v>91187</v>
      </c>
      <c r="AE812" s="217" t="s">
        <v>3320</v>
      </c>
      <c r="AF812" s="217" t="s">
        <v>4109</v>
      </c>
      <c r="AG812" s="217" t="s">
        <v>3666</v>
      </c>
      <c r="AH812" s="220" t="str">
        <f t="shared" si="53"/>
        <v>4590007770_005</v>
      </c>
      <c r="AI812" s="208"/>
      <c r="AJ812" s="220"/>
      <c r="AK812" s="221"/>
      <c r="AL812" s="227"/>
      <c r="AM812" s="208"/>
      <c r="AN812" s="220"/>
      <c r="AO812" s="222"/>
      <c r="AP812" s="227"/>
      <c r="AQ812" s="358">
        <f ca="1">IF(表格1[[#This Row],[PO$]]="","100%",表格1[[#This Row],[total amount]]/表格1[[#This Row],[PO$]])</f>
        <v>0</v>
      </c>
      <c r="AR812" s="223">
        <f ca="1">表格1[[#This Row],[invoice amount]]+表格1[[#This Row],[invoice amount2]]</f>
        <v>0</v>
      </c>
      <c r="AS812" s="224"/>
      <c r="AT812" s="208"/>
      <c r="AU812" s="208" t="e">
        <f ca="1">VLOOKUP(表格1[[#This Row],[PO+ITEM]],#REF!,2,FALSE)</f>
        <v>#REF!</v>
      </c>
      <c r="AV812" s="341" t="e">
        <f ca="1">VLOOKUP(表格1[[#This Row],[PO+ITEM]],#REF!,3,FALSE)</f>
        <v>#REF!</v>
      </c>
      <c r="AW812" s="208" t="e">
        <f ca="1">VLOOKUP(表格1[[#This Row],[PO+ITEM]],#REF!,4,FALSE)</f>
        <v>#REF!</v>
      </c>
      <c r="AX812" s="208" t="e" cm="1" vm="1">
        <f t="array" aca="1" ref="AX812" ca="1">VLOOKUP(AI:AI,#REF!,1,FALSE)</f>
        <v>#VALUE!</v>
      </c>
    </row>
    <row r="813" spans="1:50">
      <c r="A813" s="220">
        <v>812</v>
      </c>
      <c r="B813" s="220" t="s">
        <v>3659</v>
      </c>
      <c r="C813" s="209" t="s">
        <v>16</v>
      </c>
      <c r="D813" s="209" t="s">
        <v>3648</v>
      </c>
      <c r="E813" s="209"/>
      <c r="F813" s="209"/>
      <c r="G813" s="209"/>
      <c r="H813" s="210" t="s">
        <v>5537</v>
      </c>
      <c r="I813" s="210"/>
      <c r="J813" s="211"/>
      <c r="K813" s="210"/>
      <c r="L813" s="212" t="s">
        <v>4269</v>
      </c>
      <c r="M813" s="212" t="s">
        <v>2999</v>
      </c>
      <c r="N813" s="213"/>
      <c r="O813" s="263">
        <v>4590007770</v>
      </c>
      <c r="P813" s="214">
        <v>44861</v>
      </c>
      <c r="Q813" s="334">
        <v>6</v>
      </c>
      <c r="R813" s="216">
        <v>12958.44</v>
      </c>
      <c r="S813" s="217" t="s">
        <v>2156</v>
      </c>
      <c r="T813" s="209" t="s">
        <v>3926</v>
      </c>
      <c r="U813" s="209" t="s">
        <v>3927</v>
      </c>
      <c r="V813" s="213" t="s">
        <v>3928</v>
      </c>
      <c r="W813" s="218" t="s">
        <v>3652</v>
      </c>
      <c r="X813" s="218" t="s">
        <v>3652</v>
      </c>
      <c r="Y813" s="212">
        <v>0</v>
      </c>
      <c r="Z813" s="209" t="s">
        <v>3664</v>
      </c>
      <c r="AA813" s="215"/>
      <c r="AB813" s="218"/>
      <c r="AC813" s="217" t="e">
        <v>#N/A</v>
      </c>
      <c r="AD813" s="217">
        <v>91255</v>
      </c>
      <c r="AE813" s="217" t="s">
        <v>3339</v>
      </c>
      <c r="AF813" s="217" t="s">
        <v>4109</v>
      </c>
      <c r="AG813" s="217" t="s">
        <v>3666</v>
      </c>
      <c r="AH813" s="220" t="str">
        <f t="shared" si="53"/>
        <v>4590007770_006</v>
      </c>
      <c r="AI813" s="208"/>
      <c r="AJ813" s="220"/>
      <c r="AK813" s="221"/>
      <c r="AL813" s="227"/>
      <c r="AM813" s="208"/>
      <c r="AN813" s="220"/>
      <c r="AO813" s="222"/>
      <c r="AP813" s="227"/>
      <c r="AQ813" s="358">
        <f ca="1">IF(表格1[[#This Row],[PO$]]="","100%",表格1[[#This Row],[total amount]]/表格1[[#This Row],[PO$]])</f>
        <v>0</v>
      </c>
      <c r="AR813" s="223">
        <f ca="1">表格1[[#This Row],[invoice amount]]+表格1[[#This Row],[invoice amount2]]</f>
        <v>0</v>
      </c>
      <c r="AS813" s="224"/>
      <c r="AT813" s="208"/>
      <c r="AU813" s="208" t="e">
        <f ca="1">VLOOKUP(表格1[[#This Row],[PO+ITEM]],#REF!,2,FALSE)</f>
        <v>#REF!</v>
      </c>
      <c r="AV813" s="341" t="e">
        <f ca="1">VLOOKUP(表格1[[#This Row],[PO+ITEM]],#REF!,3,FALSE)</f>
        <v>#REF!</v>
      </c>
      <c r="AW813" s="208" t="e">
        <f ca="1">VLOOKUP(表格1[[#This Row],[PO+ITEM]],#REF!,4,FALSE)</f>
        <v>#REF!</v>
      </c>
      <c r="AX813" s="208" t="e" cm="1" vm="1">
        <f t="array" aca="1" ref="AX813" ca="1">VLOOKUP(AI:AI,#REF!,1,FALSE)</f>
        <v>#VALUE!</v>
      </c>
    </row>
    <row r="814" spans="1:50">
      <c r="A814" s="220">
        <v>813</v>
      </c>
      <c r="B814" s="220" t="s">
        <v>3659</v>
      </c>
      <c r="C814" s="209" t="s">
        <v>16</v>
      </c>
      <c r="D814" s="209" t="s">
        <v>3648</v>
      </c>
      <c r="E814" s="209"/>
      <c r="F814" s="209"/>
      <c r="G814" s="209"/>
      <c r="H814" s="210" t="s">
        <v>5538</v>
      </c>
      <c r="I814" s="210"/>
      <c r="J814" s="211"/>
      <c r="K814" s="210"/>
      <c r="L814" s="212" t="s">
        <v>4269</v>
      </c>
      <c r="M814" s="212" t="s">
        <v>2999</v>
      </c>
      <c r="N814" s="213"/>
      <c r="O814" s="263">
        <v>4590007770</v>
      </c>
      <c r="P814" s="214">
        <v>44861</v>
      </c>
      <c r="Q814" s="334">
        <v>7</v>
      </c>
      <c r="R814" s="216">
        <v>12958.44</v>
      </c>
      <c r="S814" s="217" t="s">
        <v>2156</v>
      </c>
      <c r="T814" s="209" t="s">
        <v>3926</v>
      </c>
      <c r="U814" s="209" t="s">
        <v>3927</v>
      </c>
      <c r="V814" s="213" t="s">
        <v>3928</v>
      </c>
      <c r="W814" s="218" t="s">
        <v>3652</v>
      </c>
      <c r="X814" s="218" t="s">
        <v>3652</v>
      </c>
      <c r="Y814" s="212">
        <v>0</v>
      </c>
      <c r="Z814" s="209" t="s">
        <v>3664</v>
      </c>
      <c r="AA814" s="215"/>
      <c r="AB814" s="218"/>
      <c r="AC814" s="217" t="e">
        <v>#N/A</v>
      </c>
      <c r="AD814" s="217">
        <v>91185</v>
      </c>
      <c r="AE814" s="217" t="s">
        <v>3335</v>
      </c>
      <c r="AF814" s="217" t="s">
        <v>4109</v>
      </c>
      <c r="AG814" s="217" t="s">
        <v>3666</v>
      </c>
      <c r="AH814" s="220" t="str">
        <f t="shared" si="53"/>
        <v>4590007770_007</v>
      </c>
      <c r="AI814" s="208"/>
      <c r="AJ814" s="220"/>
      <c r="AK814" s="221"/>
      <c r="AL814" s="227"/>
      <c r="AM814" s="208"/>
      <c r="AN814" s="220"/>
      <c r="AO814" s="222"/>
      <c r="AP814" s="227"/>
      <c r="AQ814" s="358">
        <f ca="1">IF(表格1[[#This Row],[PO$]]="","100%",表格1[[#This Row],[total amount]]/表格1[[#This Row],[PO$]])</f>
        <v>0</v>
      </c>
      <c r="AR814" s="223">
        <f ca="1">表格1[[#This Row],[invoice amount]]+表格1[[#This Row],[invoice amount2]]</f>
        <v>0</v>
      </c>
      <c r="AS814" s="224"/>
      <c r="AT814" s="208"/>
      <c r="AU814" s="208" t="e">
        <f ca="1">VLOOKUP(表格1[[#This Row],[PO+ITEM]],#REF!,2,FALSE)</f>
        <v>#REF!</v>
      </c>
      <c r="AV814" s="341" t="e">
        <f ca="1">VLOOKUP(表格1[[#This Row],[PO+ITEM]],#REF!,3,FALSE)</f>
        <v>#REF!</v>
      </c>
      <c r="AW814" s="208" t="e">
        <f ca="1">VLOOKUP(表格1[[#This Row],[PO+ITEM]],#REF!,4,FALSE)</f>
        <v>#REF!</v>
      </c>
      <c r="AX814" s="208" t="e" cm="1" vm="1">
        <f t="array" aca="1" ref="AX814" ca="1">VLOOKUP(AI:AI,#REF!,1,FALSE)</f>
        <v>#VALUE!</v>
      </c>
    </row>
    <row r="815" spans="1:50">
      <c r="A815" s="220">
        <v>814</v>
      </c>
      <c r="B815" s="220" t="s">
        <v>3674</v>
      </c>
      <c r="C815" s="209" t="s">
        <v>16</v>
      </c>
      <c r="D815" s="209" t="s">
        <v>3648</v>
      </c>
      <c r="E815" s="209"/>
      <c r="F815" s="209"/>
      <c r="G815" s="209"/>
      <c r="H815" s="210" t="s">
        <v>5539</v>
      </c>
      <c r="I815" s="210"/>
      <c r="J815" s="211"/>
      <c r="K815" s="210"/>
      <c r="L815" s="212" t="s">
        <v>4269</v>
      </c>
      <c r="M815" s="212" t="s">
        <v>2999</v>
      </c>
      <c r="N815" s="213"/>
      <c r="O815" s="263">
        <v>4590007771</v>
      </c>
      <c r="P815" s="214">
        <v>44861</v>
      </c>
      <c r="Q815" s="334">
        <v>1</v>
      </c>
      <c r="R815" s="216">
        <v>40926</v>
      </c>
      <c r="S815" s="217" t="s">
        <v>2156</v>
      </c>
      <c r="T815" s="209" t="s">
        <v>3926</v>
      </c>
      <c r="U815" s="209" t="s">
        <v>3927</v>
      </c>
      <c r="V815" s="213" t="s">
        <v>3928</v>
      </c>
      <c r="W815" s="218" t="s">
        <v>3652</v>
      </c>
      <c r="X815" s="218" t="s">
        <v>3652</v>
      </c>
      <c r="Y815" s="212" t="s">
        <v>4270</v>
      </c>
      <c r="Z815" s="209" t="s">
        <v>3664</v>
      </c>
      <c r="AA815" s="215"/>
      <c r="AB815" s="218"/>
      <c r="AC815" s="217" t="e">
        <v>#N/A</v>
      </c>
      <c r="AD815" s="217">
        <v>90053</v>
      </c>
      <c r="AE815" s="217" t="s">
        <v>2806</v>
      </c>
      <c r="AF815" s="217" t="s">
        <v>4109</v>
      </c>
      <c r="AG815" s="217" t="s">
        <v>32</v>
      </c>
      <c r="AH815" s="220" t="str">
        <f t="shared" si="53"/>
        <v>4590007771_001</v>
      </c>
      <c r="AI815" s="208"/>
      <c r="AJ815" s="220"/>
      <c r="AK815" s="221"/>
      <c r="AL815" s="227"/>
      <c r="AM815" s="208"/>
      <c r="AN815" s="220"/>
      <c r="AO815" s="222"/>
      <c r="AP815" s="227"/>
      <c r="AQ815" s="358">
        <f ca="1">IF(表格1[[#This Row],[PO$]]="","100%",表格1[[#This Row],[total amount]]/表格1[[#This Row],[PO$]])</f>
        <v>0</v>
      </c>
      <c r="AR815" s="223">
        <f ca="1">表格1[[#This Row],[invoice amount]]+表格1[[#This Row],[invoice amount2]]</f>
        <v>0</v>
      </c>
      <c r="AS815" s="224"/>
      <c r="AT815" s="208"/>
      <c r="AU815" s="208" t="e">
        <f ca="1">VLOOKUP(表格1[[#This Row],[PO+ITEM]],#REF!,2,FALSE)</f>
        <v>#REF!</v>
      </c>
      <c r="AV815" s="341" t="e">
        <f ca="1">VLOOKUP(表格1[[#This Row],[PO+ITEM]],#REF!,3,FALSE)</f>
        <v>#REF!</v>
      </c>
      <c r="AW815" s="208" t="e">
        <f ca="1">VLOOKUP(表格1[[#This Row],[PO+ITEM]],#REF!,4,FALSE)</f>
        <v>#REF!</v>
      </c>
      <c r="AX815" s="208" t="e" cm="1" vm="1">
        <f t="array" aca="1" ref="AX815" ca="1">VLOOKUP(AI:AI,#REF!,1,FALSE)</f>
        <v>#VALUE!</v>
      </c>
    </row>
    <row r="816" spans="1:50" ht="15.6">
      <c r="A816" s="220">
        <v>815</v>
      </c>
      <c r="B816" s="220" t="s">
        <v>3674</v>
      </c>
      <c r="C816" s="209" t="s">
        <v>16</v>
      </c>
      <c r="D816" s="209" t="s">
        <v>3648</v>
      </c>
      <c r="E816" s="209"/>
      <c r="F816" s="209"/>
      <c r="G816" s="209"/>
      <c r="H816" s="217" t="s">
        <v>5540</v>
      </c>
      <c r="I816" s="217"/>
      <c r="J816" s="215"/>
      <c r="K816" s="217"/>
      <c r="L816" s="212" t="s">
        <v>2206</v>
      </c>
      <c r="M816" s="212" t="s">
        <v>2999</v>
      </c>
      <c r="N816" s="213"/>
      <c r="O816" s="263">
        <v>4590007771</v>
      </c>
      <c r="P816" s="214">
        <v>44861</v>
      </c>
      <c r="Q816" s="334">
        <v>2</v>
      </c>
      <c r="R816" s="216">
        <v>70376.320000000007</v>
      </c>
      <c r="S816" s="217" t="s">
        <v>2156</v>
      </c>
      <c r="T816" s="209" t="s">
        <v>3926</v>
      </c>
      <c r="U816" s="209" t="s">
        <v>3927</v>
      </c>
      <c r="V816" s="213" t="s">
        <v>3928</v>
      </c>
      <c r="W816" s="218" t="s">
        <v>3652</v>
      </c>
      <c r="X816" s="218" t="s">
        <v>3652</v>
      </c>
      <c r="Y816" s="212" t="s">
        <v>4270</v>
      </c>
      <c r="Z816" s="209" t="s">
        <v>3664</v>
      </c>
      <c r="AA816" s="215"/>
      <c r="AB816" s="218"/>
      <c r="AC816" s="217" t="e">
        <v>#N/A</v>
      </c>
      <c r="AD816" s="217">
        <v>91341</v>
      </c>
      <c r="AE816" s="217" t="s">
        <v>5541</v>
      </c>
      <c r="AF816" s="217" t="s">
        <v>3932</v>
      </c>
      <c r="AG816" s="217" t="s">
        <v>846</v>
      </c>
      <c r="AH816" s="220" t="str">
        <f t="shared" si="53"/>
        <v>4590007771_002</v>
      </c>
      <c r="AI816" s="208"/>
      <c r="AJ816" s="225">
        <v>45017</v>
      </c>
      <c r="AK816" s="221">
        <v>0</v>
      </c>
      <c r="AL816" s="314" t="s">
        <v>3788</v>
      </c>
      <c r="AM816" s="208"/>
      <c r="AN816" s="220"/>
      <c r="AO816" s="222"/>
      <c r="AP816" s="227"/>
      <c r="AQ816" s="358">
        <f ca="1">IF(表格1[[#This Row],[PO$]]="","100%",表格1[[#This Row],[total amount]]/表格1[[#This Row],[PO$]])</f>
        <v>0</v>
      </c>
      <c r="AR816" s="223">
        <f ca="1">表格1[[#This Row],[invoice amount]]+表格1[[#This Row],[invoice amount2]]</f>
        <v>0</v>
      </c>
      <c r="AS816" s="224" t="s">
        <v>3789</v>
      </c>
      <c r="AT816" s="208" t="s">
        <v>4870</v>
      </c>
      <c r="AU816" s="208" t="e">
        <f ca="1">VLOOKUP(表格1[[#This Row],[PO+ITEM]],#REF!,2,FALSE)</f>
        <v>#REF!</v>
      </c>
      <c r="AV816" s="341" t="e">
        <f ca="1">VLOOKUP(表格1[[#This Row],[PO+ITEM]],#REF!,3,FALSE)</f>
        <v>#REF!</v>
      </c>
      <c r="AW816" s="208" t="e">
        <f ca="1">VLOOKUP(表格1[[#This Row],[PO+ITEM]],#REF!,4,FALSE)</f>
        <v>#REF!</v>
      </c>
      <c r="AX816" s="208" t="e" cm="1" vm="1">
        <f t="array" aca="1" ref="AX816" ca="1">VLOOKUP(AI:AI,#REF!,1,FALSE)</f>
        <v>#VALUE!</v>
      </c>
    </row>
    <row r="817" spans="1:50">
      <c r="A817" s="220">
        <v>816</v>
      </c>
      <c r="B817" s="220" t="s">
        <v>3659</v>
      </c>
      <c r="C817" s="209" t="s">
        <v>16</v>
      </c>
      <c r="D817" s="209" t="s">
        <v>3648</v>
      </c>
      <c r="E817" s="209"/>
      <c r="F817" s="209"/>
      <c r="G817" s="209"/>
      <c r="H817" s="210" t="s">
        <v>5542</v>
      </c>
      <c r="I817" s="210"/>
      <c r="J817" s="211"/>
      <c r="K817" s="210"/>
      <c r="L817" s="212" t="s">
        <v>4269</v>
      </c>
      <c r="M817" s="212" t="s">
        <v>2999</v>
      </c>
      <c r="N817" s="213"/>
      <c r="O817" s="263">
        <v>4590007771</v>
      </c>
      <c r="P817" s="214">
        <v>44861</v>
      </c>
      <c r="Q817" s="334">
        <v>3</v>
      </c>
      <c r="R817" s="216">
        <v>16767.03</v>
      </c>
      <c r="S817" s="217" t="s">
        <v>2156</v>
      </c>
      <c r="T817" s="209" t="s">
        <v>3926</v>
      </c>
      <c r="U817" s="209" t="s">
        <v>3927</v>
      </c>
      <c r="V817" s="213" t="s">
        <v>3928</v>
      </c>
      <c r="W817" s="218" t="s">
        <v>3652</v>
      </c>
      <c r="X817" s="218" t="s">
        <v>3652</v>
      </c>
      <c r="Y817" s="212" t="s">
        <v>4270</v>
      </c>
      <c r="Z817" s="209" t="s">
        <v>3664</v>
      </c>
      <c r="AA817" s="215"/>
      <c r="AB817" s="218"/>
      <c r="AC817" s="217" t="e">
        <v>#N/A</v>
      </c>
      <c r="AD817" s="217">
        <v>91414</v>
      </c>
      <c r="AE817" s="217" t="s">
        <v>3324</v>
      </c>
      <c r="AF817" s="217" t="s">
        <v>4109</v>
      </c>
      <c r="AG817" s="217" t="s">
        <v>3666</v>
      </c>
      <c r="AH817" s="220" t="str">
        <f t="shared" si="53"/>
        <v>4590007771_003</v>
      </c>
      <c r="AI817" s="208"/>
      <c r="AJ817" s="220"/>
      <c r="AK817" s="221"/>
      <c r="AL817" s="227"/>
      <c r="AM817" s="208"/>
      <c r="AN817" s="220"/>
      <c r="AO817" s="222"/>
      <c r="AP817" s="227"/>
      <c r="AQ817" s="358">
        <f ca="1">IF(表格1[[#This Row],[PO$]]="","100%",表格1[[#This Row],[total amount]]/表格1[[#This Row],[PO$]])</f>
        <v>0</v>
      </c>
      <c r="AR817" s="223">
        <f ca="1">表格1[[#This Row],[invoice amount]]+表格1[[#This Row],[invoice amount2]]</f>
        <v>0</v>
      </c>
      <c r="AS817" s="224"/>
      <c r="AT817" s="208"/>
      <c r="AU817" s="208" t="e">
        <f ca="1">VLOOKUP(表格1[[#This Row],[PO+ITEM]],#REF!,2,FALSE)</f>
        <v>#REF!</v>
      </c>
      <c r="AV817" s="341" t="e">
        <f ca="1">VLOOKUP(表格1[[#This Row],[PO+ITEM]],#REF!,3,FALSE)</f>
        <v>#REF!</v>
      </c>
      <c r="AW817" s="208" t="e">
        <f ca="1">VLOOKUP(表格1[[#This Row],[PO+ITEM]],#REF!,4,FALSE)</f>
        <v>#REF!</v>
      </c>
      <c r="AX817" s="208" t="e" cm="1" vm="1">
        <f t="array" aca="1" ref="AX817" ca="1">VLOOKUP(AI:AI,#REF!,1,FALSE)</f>
        <v>#VALUE!</v>
      </c>
    </row>
    <row r="818" spans="1:50">
      <c r="A818" s="220">
        <v>817</v>
      </c>
      <c r="B818" s="220" t="s">
        <v>3674</v>
      </c>
      <c r="C818" s="209" t="s">
        <v>16</v>
      </c>
      <c r="D818" s="209" t="s">
        <v>3648</v>
      </c>
      <c r="E818" s="209"/>
      <c r="F818" s="209"/>
      <c r="G818" s="209"/>
      <c r="H818" s="210" t="s">
        <v>5543</v>
      </c>
      <c r="I818" s="210"/>
      <c r="J818" s="211"/>
      <c r="K818" s="210"/>
      <c r="L818" s="212" t="s">
        <v>4269</v>
      </c>
      <c r="M818" s="212" t="s">
        <v>2999</v>
      </c>
      <c r="N818" s="213"/>
      <c r="O818" s="263">
        <v>4590007772</v>
      </c>
      <c r="P818" s="214">
        <v>44861</v>
      </c>
      <c r="Q818" s="334">
        <v>1</v>
      </c>
      <c r="R818" s="349">
        <v>46102.28</v>
      </c>
      <c r="S818" s="217" t="s">
        <v>2156</v>
      </c>
      <c r="T818" s="209" t="s">
        <v>3926</v>
      </c>
      <c r="U818" s="209" t="s">
        <v>3927</v>
      </c>
      <c r="V818" s="213" t="s">
        <v>3928</v>
      </c>
      <c r="W818" s="218" t="s">
        <v>3652</v>
      </c>
      <c r="X818" s="218" t="s">
        <v>3652</v>
      </c>
      <c r="Y818" s="212">
        <v>0</v>
      </c>
      <c r="Z818" s="209" t="s">
        <v>3664</v>
      </c>
      <c r="AA818" s="215"/>
      <c r="AB818" s="218"/>
      <c r="AC818" s="217" t="e">
        <v>#N/A</v>
      </c>
      <c r="AD818" s="217"/>
      <c r="AE818" s="217" t="s">
        <v>3164</v>
      </c>
      <c r="AF818" s="217" t="s">
        <v>4109</v>
      </c>
      <c r="AG818" s="217" t="s">
        <v>3666</v>
      </c>
      <c r="AH818" s="220" t="str">
        <f t="shared" si="53"/>
        <v>4590007772_001</v>
      </c>
      <c r="AI818" s="217" t="s">
        <v>5545</v>
      </c>
      <c r="AJ818" s="227">
        <v>45471</v>
      </c>
      <c r="AK818" s="221">
        <v>46102.28</v>
      </c>
      <c r="AL818" s="227"/>
      <c r="AM818" s="208"/>
      <c r="AN818" s="220"/>
      <c r="AO818" s="222"/>
      <c r="AP818" s="227"/>
      <c r="AQ818" s="358">
        <f ca="1">IF(表格1[[#This Row],[PO$]]="","100%",表格1[[#This Row],[total amount]]/表格1[[#This Row],[PO$]])</f>
        <v>1</v>
      </c>
      <c r="AR818" s="223">
        <f ca="1">表格1[[#This Row],[invoice amount]]+表格1[[#This Row],[invoice amount2]]</f>
        <v>46102.28</v>
      </c>
      <c r="AS818" s="224" t="s">
        <v>3752</v>
      </c>
      <c r="AT818" s="208"/>
      <c r="AU818" s="208" t="e">
        <f ca="1">VLOOKUP(表格1[[#This Row],[PO+ITEM]],#REF!,2,FALSE)</f>
        <v>#REF!</v>
      </c>
      <c r="AV818" s="341" t="e">
        <f ca="1">VLOOKUP(表格1[[#This Row],[PO+ITEM]],#REF!,3,FALSE)</f>
        <v>#REF!</v>
      </c>
      <c r="AW818" s="208" t="e">
        <f ca="1">VLOOKUP(表格1[[#This Row],[PO+ITEM]],#REF!,4,FALSE)</f>
        <v>#REF!</v>
      </c>
      <c r="AX818" s="208" t="e" cm="1" vm="1">
        <f t="array" aca="1" ref="AX818" ca="1">VLOOKUP(AI:AI,#REF!,1,FALSE)</f>
        <v>#VALUE!</v>
      </c>
    </row>
    <row r="819" spans="1:50">
      <c r="A819" s="220">
        <v>818</v>
      </c>
      <c r="B819" s="220" t="s">
        <v>3674</v>
      </c>
      <c r="C819" s="209" t="s">
        <v>16</v>
      </c>
      <c r="D819" s="209" t="s">
        <v>3648</v>
      </c>
      <c r="E819" s="209"/>
      <c r="F819" s="209"/>
      <c r="G819" s="209"/>
      <c r="H819" s="210" t="s">
        <v>5549</v>
      </c>
      <c r="I819" s="210"/>
      <c r="J819" s="211"/>
      <c r="K819" s="210"/>
      <c r="L819" s="212" t="s">
        <v>4269</v>
      </c>
      <c r="M819" s="212" t="s">
        <v>2999</v>
      </c>
      <c r="N819" s="213"/>
      <c r="O819" s="263">
        <v>4590007772</v>
      </c>
      <c r="P819" s="214">
        <v>44861</v>
      </c>
      <c r="Q819" s="334" t="s">
        <v>5550</v>
      </c>
      <c r="R819" s="349">
        <f>33534.04/2</f>
        <v>16767.02</v>
      </c>
      <c r="S819" s="217" t="s">
        <v>2156</v>
      </c>
      <c r="T819" s="209" t="s">
        <v>3926</v>
      </c>
      <c r="U819" s="209" t="s">
        <v>3927</v>
      </c>
      <c r="V819" s="213" t="s">
        <v>3928</v>
      </c>
      <c r="W819" s="218" t="s">
        <v>3652</v>
      </c>
      <c r="X819" s="218" t="s">
        <v>3652</v>
      </c>
      <c r="Y819" s="212">
        <v>0</v>
      </c>
      <c r="Z819" s="209" t="s">
        <v>3664</v>
      </c>
      <c r="AA819" s="215"/>
      <c r="AB819" s="218"/>
      <c r="AC819" s="217" t="e">
        <v>#N/A</v>
      </c>
      <c r="AD819" s="217"/>
      <c r="AE819" s="217" t="s">
        <v>3167</v>
      </c>
      <c r="AF819" s="217" t="s">
        <v>4109</v>
      </c>
      <c r="AG819" s="217" t="s">
        <v>3666</v>
      </c>
      <c r="AH819" s="220" t="str">
        <f t="shared" si="53"/>
        <v>4590007772_002-1</v>
      </c>
      <c r="AI819" s="217" t="s">
        <v>5551</v>
      </c>
      <c r="AJ819" s="227">
        <v>45471</v>
      </c>
      <c r="AK819" s="221">
        <v>16767.02</v>
      </c>
      <c r="AL819" s="227"/>
      <c r="AM819" s="208"/>
      <c r="AN819" s="220"/>
      <c r="AO819" s="222"/>
      <c r="AP819" s="227"/>
      <c r="AQ819" s="358">
        <f ca="1">IF(表格1[[#This Row],[PO$]]="","100%",表格1[[#This Row],[total amount]]/表格1[[#This Row],[PO$]])</f>
        <v>1</v>
      </c>
      <c r="AR819" s="223">
        <f ca="1">表格1[[#This Row],[invoice amount]]+表格1[[#This Row],[invoice amount2]]</f>
        <v>16767.02</v>
      </c>
      <c r="AS819" s="224" t="s">
        <v>3752</v>
      </c>
      <c r="AT819" s="208"/>
      <c r="AU819" s="208" t="e">
        <f ca="1">VLOOKUP(表格1[[#This Row],[PO+ITEM]],#REF!,2,FALSE)</f>
        <v>#REF!</v>
      </c>
      <c r="AV819" s="341" t="e">
        <f ca="1">VLOOKUP(表格1[[#This Row],[PO+ITEM]],#REF!,3,FALSE)</f>
        <v>#REF!</v>
      </c>
      <c r="AW819" s="208" t="e">
        <f ca="1">VLOOKUP(表格1[[#This Row],[PO+ITEM]],#REF!,4,FALSE)</f>
        <v>#REF!</v>
      </c>
      <c r="AX819" s="208" t="e" cm="1" vm="1">
        <f t="array" aca="1" ref="AX819" ca="1">VLOOKUP(AI:AI,#REF!,1,FALSE)</f>
        <v>#VALUE!</v>
      </c>
    </row>
    <row r="820" spans="1:50">
      <c r="B820" s="220" t="s">
        <v>3659</v>
      </c>
      <c r="C820" s="209" t="s">
        <v>16</v>
      </c>
      <c r="D820" s="209" t="s">
        <v>3648</v>
      </c>
      <c r="E820" s="209"/>
      <c r="F820" s="209"/>
      <c r="G820" s="209"/>
      <c r="H820" s="210" t="s">
        <v>5549</v>
      </c>
      <c r="I820" s="218"/>
      <c r="J820" s="218"/>
      <c r="K820" s="218"/>
      <c r="L820" s="212"/>
      <c r="M820" s="212"/>
      <c r="N820" s="218"/>
      <c r="O820" s="263">
        <v>4590007772</v>
      </c>
      <c r="P820" s="214">
        <v>44861</v>
      </c>
      <c r="Q820" s="334" t="s">
        <v>5552</v>
      </c>
      <c r="R820" s="216">
        <f>33534.04/2</f>
        <v>16767.02</v>
      </c>
      <c r="S820" s="217"/>
      <c r="T820" s="209"/>
      <c r="U820" s="209" t="s">
        <v>3927</v>
      </c>
      <c r="V820" s="213"/>
      <c r="W820" s="218"/>
      <c r="X820" s="218"/>
      <c r="Y820" s="212"/>
      <c r="Z820" s="209"/>
      <c r="AA820" s="218"/>
      <c r="AB820" s="218"/>
      <c r="AC820" s="218"/>
      <c r="AD820" s="217"/>
      <c r="AE820" s="217" t="s">
        <v>3322</v>
      </c>
      <c r="AF820" s="217" t="s">
        <v>4109</v>
      </c>
      <c r="AG820" s="217" t="s">
        <v>3666</v>
      </c>
      <c r="AH820" s="220" t="str">
        <f t="shared" si="53"/>
        <v>4590007772_002-2</v>
      </c>
      <c r="AI820" s="217"/>
      <c r="AJ820" s="220"/>
      <c r="AK820" s="221"/>
      <c r="AL820" s="227"/>
      <c r="AM820" s="208"/>
      <c r="AN820" s="220"/>
      <c r="AO820" s="222"/>
      <c r="AP820" s="227"/>
      <c r="AQ820" s="358">
        <f ca="1">IF(表格1[[#This Row],[PO$]]="","100%",表格1[[#This Row],[total amount]]/表格1[[#This Row],[PO$]])</f>
        <v>0</v>
      </c>
      <c r="AR820" s="223">
        <f ca="1">表格1[[#This Row],[invoice amount]]+表格1[[#This Row],[invoice amount2]]</f>
        <v>0</v>
      </c>
      <c r="AS820" s="224"/>
      <c r="AT820" s="208"/>
      <c r="AU820" s="208" t="e">
        <f ca="1">VLOOKUP(表格1[[#This Row],[PO+ITEM]],#REF!,2,FALSE)</f>
        <v>#REF!</v>
      </c>
      <c r="AV820" s="341" t="e">
        <f ca="1">VLOOKUP(表格1[[#This Row],[PO+ITEM]],#REF!,3,FALSE)</f>
        <v>#REF!</v>
      </c>
      <c r="AW820" s="208" t="e">
        <f ca="1">VLOOKUP(表格1[[#This Row],[PO+ITEM]],#REF!,4,FALSE)</f>
        <v>#REF!</v>
      </c>
      <c r="AX820" s="208" t="e" cm="1" vm="1">
        <f t="array" aca="1" ref="AX820" ca="1">VLOOKUP(AI:AI,#REF!,1,FALSE)</f>
        <v>#VALUE!</v>
      </c>
    </row>
    <row r="821" spans="1:50" ht="15.6">
      <c r="A821" s="220">
        <v>819</v>
      </c>
      <c r="B821" s="220" t="s">
        <v>3674</v>
      </c>
      <c r="C821" s="209" t="s">
        <v>16</v>
      </c>
      <c r="D821" s="209" t="s">
        <v>3648</v>
      </c>
      <c r="E821" s="209"/>
      <c r="F821" s="209"/>
      <c r="G821" s="209"/>
      <c r="H821" s="210" t="s">
        <v>5553</v>
      </c>
      <c r="I821" s="210"/>
      <c r="J821" s="211"/>
      <c r="K821" s="210"/>
      <c r="L821" s="212" t="s">
        <v>4269</v>
      </c>
      <c r="M821" s="212" t="s">
        <v>2999</v>
      </c>
      <c r="N821" s="213"/>
      <c r="O821" s="263">
        <v>4590007772</v>
      </c>
      <c r="P821" s="214">
        <v>44861</v>
      </c>
      <c r="Q821" s="334">
        <v>3</v>
      </c>
      <c r="R821" s="216">
        <v>7402.77</v>
      </c>
      <c r="S821" s="217" t="s">
        <v>2156</v>
      </c>
      <c r="T821" s="209" t="s">
        <v>3926</v>
      </c>
      <c r="U821" s="209" t="s">
        <v>3927</v>
      </c>
      <c r="V821" s="213" t="s">
        <v>3928</v>
      </c>
      <c r="W821" s="218" t="s">
        <v>3652</v>
      </c>
      <c r="X821" s="218" t="s">
        <v>3652</v>
      </c>
      <c r="Y821" s="212" t="s">
        <v>4270</v>
      </c>
      <c r="Z821" s="209" t="s">
        <v>3664</v>
      </c>
      <c r="AA821" s="215"/>
      <c r="AB821" s="218"/>
      <c r="AC821" s="217" t="e">
        <v>#N/A</v>
      </c>
      <c r="AD821" s="217"/>
      <c r="AE821" s="217" t="s">
        <v>3500</v>
      </c>
      <c r="AF821" s="217" t="s">
        <v>4109</v>
      </c>
      <c r="AG821" s="217" t="s">
        <v>3666</v>
      </c>
      <c r="AH821" s="220" t="str">
        <f t="shared" si="53"/>
        <v>4590007772_003</v>
      </c>
      <c r="AI821" s="208"/>
      <c r="AJ821" s="225">
        <v>45108</v>
      </c>
      <c r="AK821" s="221">
        <v>0</v>
      </c>
      <c r="AL821" s="314" t="s">
        <v>3788</v>
      </c>
      <c r="AM821" s="208"/>
      <c r="AN821" s="220"/>
      <c r="AO821" s="222"/>
      <c r="AP821" s="227"/>
      <c r="AQ821" s="358">
        <f ca="1">IF(表格1[[#This Row],[PO$]]="","100%",表格1[[#This Row],[total amount]]/表格1[[#This Row],[PO$]])</f>
        <v>0</v>
      </c>
      <c r="AR821" s="223">
        <f ca="1">表格1[[#This Row],[invoice amount]]+表格1[[#This Row],[invoice amount2]]</f>
        <v>0</v>
      </c>
      <c r="AS821" s="224" t="s">
        <v>3789</v>
      </c>
      <c r="AT821" s="208" t="s">
        <v>5529</v>
      </c>
      <c r="AU821" s="208" t="e">
        <f ca="1">VLOOKUP(表格1[[#This Row],[PO+ITEM]],#REF!,2,FALSE)</f>
        <v>#REF!</v>
      </c>
      <c r="AV821" s="341" t="e">
        <f ca="1">VLOOKUP(表格1[[#This Row],[PO+ITEM]],#REF!,3,FALSE)</f>
        <v>#REF!</v>
      </c>
      <c r="AW821" s="208" t="e">
        <f ca="1">VLOOKUP(表格1[[#This Row],[PO+ITEM]],#REF!,4,FALSE)</f>
        <v>#REF!</v>
      </c>
      <c r="AX821" s="208" t="e" cm="1" vm="1">
        <f t="array" aca="1" ref="AX821" ca="1">VLOOKUP(AI:AI,#REF!,1,FALSE)</f>
        <v>#VALUE!</v>
      </c>
    </row>
    <row r="822" spans="1:50">
      <c r="A822" s="220">
        <v>820</v>
      </c>
      <c r="B822" s="220" t="s">
        <v>3674</v>
      </c>
      <c r="C822" s="209" t="s">
        <v>16</v>
      </c>
      <c r="D822" s="209" t="s">
        <v>3648</v>
      </c>
      <c r="E822" s="209"/>
      <c r="F822" s="209"/>
      <c r="G822" s="209"/>
      <c r="H822" s="210" t="s">
        <v>5556</v>
      </c>
      <c r="I822" s="210"/>
      <c r="J822" s="211"/>
      <c r="K822" s="210"/>
      <c r="L822" s="212" t="s">
        <v>4269</v>
      </c>
      <c r="M822" s="212" t="s">
        <v>2999</v>
      </c>
      <c r="N822" s="213"/>
      <c r="O822" s="263">
        <v>4590007772</v>
      </c>
      <c r="P822" s="214">
        <v>44861</v>
      </c>
      <c r="Q822" s="334" t="s">
        <v>5557</v>
      </c>
      <c r="R822" s="216">
        <f>20751.92/2</f>
        <v>10375.959999999999</v>
      </c>
      <c r="S822" s="217" t="s">
        <v>2156</v>
      </c>
      <c r="T822" s="209" t="s">
        <v>3926</v>
      </c>
      <c r="U822" s="209" t="s">
        <v>3927</v>
      </c>
      <c r="V822" s="213" t="s">
        <v>3928</v>
      </c>
      <c r="W822" s="218" t="s">
        <v>3652</v>
      </c>
      <c r="X822" s="218" t="s">
        <v>3652</v>
      </c>
      <c r="Y822" s="212">
        <v>0</v>
      </c>
      <c r="Z822" s="209" t="s">
        <v>3664</v>
      </c>
      <c r="AA822" s="215"/>
      <c r="AB822" s="218"/>
      <c r="AC822" s="217" t="e">
        <v>#N/A</v>
      </c>
      <c r="AD822" s="217"/>
      <c r="AE822" s="400" t="s">
        <v>3396</v>
      </c>
      <c r="AF822" s="217" t="s">
        <v>4109</v>
      </c>
      <c r="AG822" s="217" t="s">
        <v>3666</v>
      </c>
      <c r="AH822" s="220" t="str">
        <f t="shared" si="53"/>
        <v>4590007772_004-1</v>
      </c>
      <c r="AI822" s="208"/>
      <c r="AJ822" s="220"/>
      <c r="AK822" s="221"/>
      <c r="AL822" s="227"/>
      <c r="AM822" s="208"/>
      <c r="AN822" s="220"/>
      <c r="AO822" s="222"/>
      <c r="AP822" s="227"/>
      <c r="AQ822" s="358">
        <f ca="1">IF(表格1[[#This Row],[PO$]]="","100%",表格1[[#This Row],[total amount]]/表格1[[#This Row],[PO$]])</f>
        <v>0</v>
      </c>
      <c r="AR822" s="223">
        <f ca="1">表格1[[#This Row],[invoice amount]]+表格1[[#This Row],[invoice amount2]]</f>
        <v>0</v>
      </c>
      <c r="AS822" s="224"/>
      <c r="AT822" s="208"/>
      <c r="AU822" s="208" t="e">
        <f ca="1">VLOOKUP(表格1[[#This Row],[PO+ITEM]],#REF!,2,FALSE)</f>
        <v>#REF!</v>
      </c>
      <c r="AV822" s="341" t="e">
        <f ca="1">VLOOKUP(表格1[[#This Row],[PO+ITEM]],#REF!,3,FALSE)</f>
        <v>#REF!</v>
      </c>
      <c r="AW822" s="208" t="e">
        <f ca="1">VLOOKUP(表格1[[#This Row],[PO+ITEM]],#REF!,4,FALSE)</f>
        <v>#REF!</v>
      </c>
      <c r="AX822" s="208" t="e" cm="1" vm="1">
        <f t="array" aca="1" ref="AX822" ca="1">VLOOKUP(AI:AI,#REF!,1,FALSE)</f>
        <v>#VALUE!</v>
      </c>
    </row>
    <row r="823" spans="1:50">
      <c r="B823" s="220" t="s">
        <v>3674</v>
      </c>
      <c r="C823" s="209" t="s">
        <v>16</v>
      </c>
      <c r="D823" s="209" t="s">
        <v>3648</v>
      </c>
      <c r="E823" s="209"/>
      <c r="F823" s="209"/>
      <c r="G823" s="209"/>
      <c r="H823" s="210" t="s">
        <v>5556</v>
      </c>
      <c r="I823" s="210"/>
      <c r="J823" s="211"/>
      <c r="K823" s="210"/>
      <c r="L823" s="212" t="s">
        <v>4269</v>
      </c>
      <c r="M823" s="212" t="s">
        <v>2999</v>
      </c>
      <c r="N823" s="213"/>
      <c r="O823" s="263">
        <v>4590007772</v>
      </c>
      <c r="P823" s="214">
        <v>44861</v>
      </c>
      <c r="Q823" s="334" t="s">
        <v>5560</v>
      </c>
      <c r="R823" s="216">
        <f>20751.92/2</f>
        <v>10375.959999999999</v>
      </c>
      <c r="S823" s="217" t="s">
        <v>2156</v>
      </c>
      <c r="T823" s="209" t="s">
        <v>3926</v>
      </c>
      <c r="U823" s="209" t="s">
        <v>3927</v>
      </c>
      <c r="V823" s="213" t="s">
        <v>3928</v>
      </c>
      <c r="W823" s="218" t="s">
        <v>3652</v>
      </c>
      <c r="X823" s="218" t="s">
        <v>3652</v>
      </c>
      <c r="Y823" s="212">
        <v>0</v>
      </c>
      <c r="Z823" s="209" t="s">
        <v>3664</v>
      </c>
      <c r="AA823" s="215"/>
      <c r="AB823" s="218"/>
      <c r="AC823" s="217" t="e">
        <v>#N/A</v>
      </c>
      <c r="AD823" s="217"/>
      <c r="AE823" s="217" t="s">
        <v>3399</v>
      </c>
      <c r="AF823" s="217" t="s">
        <v>4109</v>
      </c>
      <c r="AG823" s="217" t="s">
        <v>3666</v>
      </c>
      <c r="AH823" s="220" t="str">
        <f t="shared" si="53"/>
        <v>4590007772_004-2</v>
      </c>
      <c r="AI823" s="208"/>
      <c r="AJ823" s="220"/>
      <c r="AK823" s="221"/>
      <c r="AL823" s="227"/>
      <c r="AM823" s="208"/>
      <c r="AN823" s="220"/>
      <c r="AO823" s="222"/>
      <c r="AP823" s="227"/>
      <c r="AQ823" s="358">
        <f ca="1">IF(表格1[[#This Row],[PO$]]="","100%",表格1[[#This Row],[total amount]]/表格1[[#This Row],[PO$]])</f>
        <v>0</v>
      </c>
      <c r="AR823" s="223">
        <f ca="1">表格1[[#This Row],[invoice amount]]+表格1[[#This Row],[invoice amount2]]</f>
        <v>0</v>
      </c>
      <c r="AS823" s="224"/>
      <c r="AT823" s="208"/>
      <c r="AU823" s="208" t="e">
        <f ca="1">VLOOKUP(表格1[[#This Row],[PO+ITEM]],#REF!,2,FALSE)</f>
        <v>#REF!</v>
      </c>
      <c r="AV823" s="341" t="e">
        <f ca="1">VLOOKUP(表格1[[#This Row],[PO+ITEM]],#REF!,3,FALSE)</f>
        <v>#REF!</v>
      </c>
      <c r="AW823" s="208" t="e">
        <f ca="1">VLOOKUP(表格1[[#This Row],[PO+ITEM]],#REF!,4,FALSE)</f>
        <v>#REF!</v>
      </c>
      <c r="AX823" s="208" t="e" cm="1" vm="1">
        <f t="array" aca="1" ref="AX823" ca="1">VLOOKUP(AI:AI,#REF!,1,FALSE)</f>
        <v>#VALUE!</v>
      </c>
    </row>
    <row r="824" spans="1:50">
      <c r="A824" s="220">
        <v>821</v>
      </c>
      <c r="B824" s="220" t="s">
        <v>3674</v>
      </c>
      <c r="C824" s="209" t="s">
        <v>16</v>
      </c>
      <c r="D824" s="209" t="s">
        <v>3648</v>
      </c>
      <c r="E824" s="209"/>
      <c r="F824" s="209"/>
      <c r="G824" s="209"/>
      <c r="H824" s="210" t="s">
        <v>5563</v>
      </c>
      <c r="I824" s="210"/>
      <c r="J824" s="211"/>
      <c r="K824" s="210"/>
      <c r="L824" s="212" t="s">
        <v>4269</v>
      </c>
      <c r="M824" s="212" t="s">
        <v>2999</v>
      </c>
      <c r="N824" s="213"/>
      <c r="O824" s="263">
        <v>4590007772</v>
      </c>
      <c r="P824" s="214">
        <v>44861</v>
      </c>
      <c r="Q824" s="334" t="s">
        <v>5564</v>
      </c>
      <c r="R824" s="216">
        <f>11276.5/2</f>
        <v>5638.25</v>
      </c>
      <c r="S824" s="217" t="s">
        <v>2156</v>
      </c>
      <c r="T824" s="209" t="s">
        <v>3926</v>
      </c>
      <c r="U824" s="209" t="s">
        <v>3927</v>
      </c>
      <c r="V824" s="213" t="s">
        <v>3928</v>
      </c>
      <c r="W824" s="218" t="s">
        <v>3652</v>
      </c>
      <c r="X824" s="218" t="s">
        <v>3652</v>
      </c>
      <c r="Y824" s="212">
        <v>0</v>
      </c>
      <c r="Z824" s="209" t="s">
        <v>3664</v>
      </c>
      <c r="AA824" s="215"/>
      <c r="AB824" s="218"/>
      <c r="AC824" s="217" t="e">
        <v>#N/A</v>
      </c>
      <c r="AD824" s="217"/>
      <c r="AE824" s="217" t="s">
        <v>3496</v>
      </c>
      <c r="AF824" s="217" t="s">
        <v>4109</v>
      </c>
      <c r="AG824" s="217" t="s">
        <v>3666</v>
      </c>
      <c r="AH824" s="220" t="str">
        <f t="shared" si="53"/>
        <v>4590007772_005-1</v>
      </c>
      <c r="AI824" s="208" t="s">
        <v>5565</v>
      </c>
      <c r="AJ824" s="227">
        <v>45443</v>
      </c>
      <c r="AK824" s="221">
        <v>5638.25</v>
      </c>
      <c r="AL824" s="227" t="s">
        <v>3805</v>
      </c>
      <c r="AM824" s="208"/>
      <c r="AN824" s="220"/>
      <c r="AO824" s="222"/>
      <c r="AP824" s="227"/>
      <c r="AQ824" s="358">
        <f ca="1">IF(表格1[[#This Row],[PO$]]="","100%",表格1[[#This Row],[total amount]]/表格1[[#This Row],[PO$]])</f>
        <v>1</v>
      </c>
      <c r="AR824" s="223">
        <f ca="1">表格1[[#This Row],[invoice amount]]+表格1[[#This Row],[invoice amount2]]</f>
        <v>5638.25</v>
      </c>
      <c r="AS824" s="224" t="s">
        <v>3752</v>
      </c>
      <c r="AT824" s="208"/>
      <c r="AU824" s="208" t="e">
        <f ca="1">VLOOKUP(表格1[[#This Row],[PO+ITEM]],#REF!,2,FALSE)</f>
        <v>#REF!</v>
      </c>
      <c r="AV824" s="341" t="e">
        <f ca="1">VLOOKUP(表格1[[#This Row],[PO+ITEM]],#REF!,3,FALSE)</f>
        <v>#REF!</v>
      </c>
      <c r="AW824" s="208" t="e">
        <f ca="1">VLOOKUP(表格1[[#This Row],[PO+ITEM]],#REF!,4,FALSE)</f>
        <v>#REF!</v>
      </c>
      <c r="AX824" s="208" t="e" cm="1" vm="1">
        <f t="array" aca="1" ref="AX824" ca="1">VLOOKUP(AI:AI,#REF!,1,FALSE)</f>
        <v>#VALUE!</v>
      </c>
    </row>
    <row r="825" spans="1:50">
      <c r="A825" s="220">
        <v>822</v>
      </c>
      <c r="B825" s="220" t="s">
        <v>3674</v>
      </c>
      <c r="C825" s="209" t="s">
        <v>16</v>
      </c>
      <c r="D825" s="209" t="s">
        <v>3648</v>
      </c>
      <c r="E825" s="209"/>
      <c r="F825" s="209"/>
      <c r="G825" s="209"/>
      <c r="H825" s="210" t="s">
        <v>5563</v>
      </c>
      <c r="I825" s="218"/>
      <c r="J825" s="218"/>
      <c r="K825" s="218"/>
      <c r="L825" s="212"/>
      <c r="M825" s="212"/>
      <c r="N825" s="218"/>
      <c r="O825" s="263">
        <v>4590007772</v>
      </c>
      <c r="P825" s="214">
        <v>44861</v>
      </c>
      <c r="Q825" s="334" t="s">
        <v>5566</v>
      </c>
      <c r="R825" s="216">
        <f>11276.5/2</f>
        <v>5638.25</v>
      </c>
      <c r="S825" s="217"/>
      <c r="T825" s="209"/>
      <c r="U825" s="209" t="s">
        <v>3927</v>
      </c>
      <c r="V825" s="213"/>
      <c r="W825" s="218"/>
      <c r="X825" s="218"/>
      <c r="Y825" s="212"/>
      <c r="Z825" s="209"/>
      <c r="AA825" s="218"/>
      <c r="AB825" s="218"/>
      <c r="AC825" s="218"/>
      <c r="AD825" s="217"/>
      <c r="AE825" s="217" t="s">
        <v>3372</v>
      </c>
      <c r="AF825" s="217" t="s">
        <v>4109</v>
      </c>
      <c r="AG825" s="217" t="s">
        <v>3666</v>
      </c>
      <c r="AH825" s="220" t="str">
        <f t="shared" si="53"/>
        <v>4590007772_005-2</v>
      </c>
      <c r="AI825" s="217"/>
      <c r="AJ825" s="220"/>
      <c r="AK825" s="221"/>
      <c r="AL825" s="227"/>
      <c r="AM825" s="208"/>
      <c r="AN825" s="220"/>
      <c r="AO825" s="222"/>
      <c r="AP825" s="227"/>
      <c r="AQ825" s="358">
        <f ca="1">IF(表格1[[#This Row],[PO$]]="","100%",表格1[[#This Row],[total amount]]/表格1[[#This Row],[PO$]])</f>
        <v>0</v>
      </c>
      <c r="AR825" s="223">
        <f ca="1">表格1[[#This Row],[invoice amount]]+表格1[[#This Row],[invoice amount2]]</f>
        <v>0</v>
      </c>
      <c r="AS825" s="224"/>
      <c r="AT825" s="208"/>
      <c r="AU825" s="208" t="e">
        <f ca="1">VLOOKUP(表格1[[#This Row],[PO+ITEM]],#REF!,2,FALSE)</f>
        <v>#REF!</v>
      </c>
      <c r="AV825" s="341" t="e">
        <f ca="1">VLOOKUP(表格1[[#This Row],[PO+ITEM]],#REF!,3,FALSE)</f>
        <v>#REF!</v>
      </c>
      <c r="AW825" s="208" t="e">
        <f ca="1">VLOOKUP(表格1[[#This Row],[PO+ITEM]],#REF!,4,FALSE)</f>
        <v>#REF!</v>
      </c>
      <c r="AX825" s="208" t="e" cm="1" vm="1">
        <f t="array" aca="1" ref="AX825" ca="1">VLOOKUP(AI:AI,#REF!,1,FALSE)</f>
        <v>#VALUE!</v>
      </c>
    </row>
    <row r="826" spans="1:50">
      <c r="A826" s="220">
        <v>823</v>
      </c>
      <c r="B826" s="220" t="s">
        <v>3674</v>
      </c>
      <c r="C826" s="209" t="s">
        <v>16</v>
      </c>
      <c r="D826" s="209" t="s">
        <v>3648</v>
      </c>
      <c r="E826" s="209"/>
      <c r="F826" s="209"/>
      <c r="G826" s="209"/>
      <c r="H826" s="210" t="s">
        <v>5568</v>
      </c>
      <c r="I826" s="210"/>
      <c r="J826" s="211"/>
      <c r="K826" s="210"/>
      <c r="L826" s="212" t="s">
        <v>4269</v>
      </c>
      <c r="M826" s="212" t="s">
        <v>2999</v>
      </c>
      <c r="N826" s="213"/>
      <c r="O826" s="263">
        <v>4590007772</v>
      </c>
      <c r="P826" s="214">
        <v>44861</v>
      </c>
      <c r="Q826" s="334" t="s">
        <v>5569</v>
      </c>
      <c r="R826" s="216">
        <f>38875.32/3</f>
        <v>12958.44</v>
      </c>
      <c r="S826" s="217" t="s">
        <v>2156</v>
      </c>
      <c r="T826" s="209" t="s">
        <v>3926</v>
      </c>
      <c r="U826" s="209" t="s">
        <v>3927</v>
      </c>
      <c r="V826" s="213" t="s">
        <v>3928</v>
      </c>
      <c r="W826" s="218" t="s">
        <v>3652</v>
      </c>
      <c r="X826" s="218" t="s">
        <v>3652</v>
      </c>
      <c r="Y826" s="212">
        <v>0</v>
      </c>
      <c r="Z826" s="209" t="s">
        <v>3664</v>
      </c>
      <c r="AA826" s="215"/>
      <c r="AB826" s="218"/>
      <c r="AC826" s="217" t="e">
        <v>#N/A</v>
      </c>
      <c r="AD826" s="217"/>
      <c r="AE826" s="217" t="s">
        <v>3328</v>
      </c>
      <c r="AF826" s="217" t="s">
        <v>4109</v>
      </c>
      <c r="AG826" s="217" t="s">
        <v>3666</v>
      </c>
      <c r="AH826" s="220" t="str">
        <f t="shared" si="53"/>
        <v>4590007772_006-1</v>
      </c>
      <c r="AI826" s="208"/>
      <c r="AJ826" s="220"/>
      <c r="AK826" s="221"/>
      <c r="AL826" s="227"/>
      <c r="AM826" s="208"/>
      <c r="AN826" s="220"/>
      <c r="AO826" s="222"/>
      <c r="AP826" s="227"/>
      <c r="AQ826" s="358">
        <f ca="1">IF(表格1[[#This Row],[PO$]]="","100%",表格1[[#This Row],[total amount]]/表格1[[#This Row],[PO$]])</f>
        <v>0</v>
      </c>
      <c r="AR826" s="223">
        <f ca="1">表格1[[#This Row],[invoice amount]]+表格1[[#This Row],[invoice amount2]]</f>
        <v>0</v>
      </c>
      <c r="AS826" s="224"/>
      <c r="AT826" s="208"/>
      <c r="AU826" s="208" t="e">
        <f ca="1">VLOOKUP(表格1[[#This Row],[PO+ITEM]],#REF!,2,FALSE)</f>
        <v>#REF!</v>
      </c>
      <c r="AV826" s="341" t="e">
        <f ca="1">VLOOKUP(表格1[[#This Row],[PO+ITEM]],#REF!,3,FALSE)</f>
        <v>#REF!</v>
      </c>
      <c r="AW826" s="208" t="e">
        <f ca="1">VLOOKUP(表格1[[#This Row],[PO+ITEM]],#REF!,4,FALSE)</f>
        <v>#REF!</v>
      </c>
      <c r="AX826" s="208" t="e" cm="1" vm="1">
        <f t="array" aca="1" ref="AX826" ca="1">VLOOKUP(AI:AI,#REF!,1,FALSE)</f>
        <v>#VALUE!</v>
      </c>
    </row>
    <row r="827" spans="1:50">
      <c r="A827" s="220">
        <v>824</v>
      </c>
      <c r="B827" s="220" t="s">
        <v>3674</v>
      </c>
      <c r="C827" s="209" t="s">
        <v>16</v>
      </c>
      <c r="D827" s="209" t="s">
        <v>3648</v>
      </c>
      <c r="E827" s="209"/>
      <c r="F827" s="209"/>
      <c r="G827" s="209"/>
      <c r="H827" s="210" t="s">
        <v>5568</v>
      </c>
      <c r="I827" s="210"/>
      <c r="J827" s="211"/>
      <c r="K827" s="210"/>
      <c r="L827" s="212" t="s">
        <v>4269</v>
      </c>
      <c r="M827" s="212" t="s">
        <v>2999</v>
      </c>
      <c r="N827" s="213"/>
      <c r="O827" s="263">
        <v>4590007772</v>
      </c>
      <c r="P827" s="212"/>
      <c r="Q827" s="334" t="s">
        <v>5571</v>
      </c>
      <c r="R827" s="216">
        <f>38875.32/3</f>
        <v>12958.44</v>
      </c>
      <c r="S827" s="217"/>
      <c r="T827" s="209"/>
      <c r="U827" s="209" t="s">
        <v>3927</v>
      </c>
      <c r="V827" s="213"/>
      <c r="W827" s="218"/>
      <c r="X827" s="218"/>
      <c r="Y827" s="212"/>
      <c r="Z827" s="209"/>
      <c r="AA827" s="218"/>
      <c r="AB827" s="218"/>
      <c r="AC827" s="218"/>
      <c r="AD827" s="217"/>
      <c r="AE827" s="217" t="s">
        <v>3331</v>
      </c>
      <c r="AF827" s="217" t="s">
        <v>4109</v>
      </c>
      <c r="AG827" s="217" t="s">
        <v>3666</v>
      </c>
      <c r="AH827" s="220" t="str">
        <f t="shared" si="53"/>
        <v>4590007772_006-2</v>
      </c>
      <c r="AI827" s="217"/>
      <c r="AJ827" s="220"/>
      <c r="AK827" s="221"/>
      <c r="AL827" s="227"/>
      <c r="AM827" s="208"/>
      <c r="AN827" s="220"/>
      <c r="AO827" s="222"/>
      <c r="AP827" s="227"/>
      <c r="AQ827" s="358">
        <f ca="1">IF(表格1[[#This Row],[PO$]]="","100%",表格1[[#This Row],[total amount]]/表格1[[#This Row],[PO$]])</f>
        <v>0</v>
      </c>
      <c r="AR827" s="223">
        <f ca="1">表格1[[#This Row],[invoice amount]]+表格1[[#This Row],[invoice amount2]]</f>
        <v>0</v>
      </c>
      <c r="AS827" s="224"/>
      <c r="AT827" s="208"/>
      <c r="AU827" s="208" t="e">
        <f ca="1">VLOOKUP(表格1[[#This Row],[PO+ITEM]],#REF!,2,FALSE)</f>
        <v>#REF!</v>
      </c>
      <c r="AV827" s="341" t="e">
        <f ca="1">VLOOKUP(表格1[[#This Row],[PO+ITEM]],#REF!,3,FALSE)</f>
        <v>#REF!</v>
      </c>
      <c r="AW827" s="208" t="e">
        <f ca="1">VLOOKUP(表格1[[#This Row],[PO+ITEM]],#REF!,4,FALSE)</f>
        <v>#REF!</v>
      </c>
      <c r="AX827" s="208" t="e" cm="1" vm="1">
        <f t="array" aca="1" ref="AX827" ca="1">VLOOKUP(AI:AI,#REF!,1,FALSE)</f>
        <v>#VALUE!</v>
      </c>
    </row>
    <row r="828" spans="1:50">
      <c r="A828" s="220">
        <v>825</v>
      </c>
      <c r="B828" s="220" t="s">
        <v>3674</v>
      </c>
      <c r="C828" s="209" t="s">
        <v>16</v>
      </c>
      <c r="D828" s="209" t="s">
        <v>3648</v>
      </c>
      <c r="E828" s="209"/>
      <c r="F828" s="209"/>
      <c r="G828" s="209"/>
      <c r="H828" s="210" t="s">
        <v>5568</v>
      </c>
      <c r="I828" s="210"/>
      <c r="J828" s="211"/>
      <c r="K828" s="210"/>
      <c r="L828" s="212" t="s">
        <v>4269</v>
      </c>
      <c r="M828" s="212" t="s">
        <v>2999</v>
      </c>
      <c r="N828" s="213"/>
      <c r="O828" s="263">
        <v>4590007772</v>
      </c>
      <c r="P828" s="212"/>
      <c r="Q828" s="334" t="s">
        <v>5573</v>
      </c>
      <c r="R828" s="216">
        <f>38875.32/3</f>
        <v>12958.44</v>
      </c>
      <c r="S828" s="217"/>
      <c r="T828" s="209"/>
      <c r="U828" s="209" t="s">
        <v>3927</v>
      </c>
      <c r="V828" s="213"/>
      <c r="W828" s="218"/>
      <c r="X828" s="218"/>
      <c r="Y828" s="212"/>
      <c r="Z828" s="209"/>
      <c r="AA828" s="218"/>
      <c r="AB828" s="218"/>
      <c r="AC828" s="218"/>
      <c r="AD828" s="217"/>
      <c r="AE828" s="217" t="s">
        <v>3494</v>
      </c>
      <c r="AF828" s="217" t="s">
        <v>4109</v>
      </c>
      <c r="AG828" s="217" t="s">
        <v>3666</v>
      </c>
      <c r="AH828" s="220" t="str">
        <f t="shared" si="53"/>
        <v>4590007772_006-3</v>
      </c>
      <c r="AI828" s="217" t="s">
        <v>5574</v>
      </c>
      <c r="AJ828" s="227">
        <v>45443</v>
      </c>
      <c r="AK828" s="221">
        <v>12958.44</v>
      </c>
      <c r="AL828" s="227" t="s">
        <v>3805</v>
      </c>
      <c r="AM828" s="208"/>
      <c r="AN828" s="220"/>
      <c r="AO828" s="222"/>
      <c r="AP828" s="227"/>
      <c r="AQ828" s="358">
        <f ca="1">IF(表格1[[#This Row],[PO$]]="","100%",表格1[[#This Row],[total amount]]/表格1[[#This Row],[PO$]])</f>
        <v>1</v>
      </c>
      <c r="AR828" s="223">
        <f ca="1">表格1[[#This Row],[invoice amount]]+表格1[[#This Row],[invoice amount2]]</f>
        <v>12958.44</v>
      </c>
      <c r="AS828" s="224" t="s">
        <v>3752</v>
      </c>
      <c r="AT828" s="208"/>
      <c r="AU828" s="208" t="e">
        <f ca="1">VLOOKUP(表格1[[#This Row],[PO+ITEM]],#REF!,2,FALSE)</f>
        <v>#REF!</v>
      </c>
      <c r="AV828" s="341" t="e">
        <f ca="1">VLOOKUP(表格1[[#This Row],[PO+ITEM]],#REF!,3,FALSE)</f>
        <v>#REF!</v>
      </c>
      <c r="AW828" s="208" t="e">
        <f ca="1">VLOOKUP(表格1[[#This Row],[PO+ITEM]],#REF!,4,FALSE)</f>
        <v>#REF!</v>
      </c>
      <c r="AX828" s="208" t="e" cm="1" vm="1">
        <f t="array" aca="1" ref="AX828" ca="1">VLOOKUP(AI:AI,#REF!,1,FALSE)</f>
        <v>#VALUE!</v>
      </c>
    </row>
    <row r="829" spans="1:50">
      <c r="A829" s="220">
        <v>826</v>
      </c>
      <c r="B829" s="220" t="s">
        <v>3674</v>
      </c>
      <c r="C829" s="209" t="s">
        <v>16</v>
      </c>
      <c r="D829" s="209" t="s">
        <v>3648</v>
      </c>
      <c r="E829" s="209"/>
      <c r="F829" s="209"/>
      <c r="G829" s="209"/>
      <c r="H829" s="210" t="s">
        <v>5575</v>
      </c>
      <c r="I829" s="210"/>
      <c r="J829" s="211"/>
      <c r="K829" s="210"/>
      <c r="L829" s="212" t="s">
        <v>4269</v>
      </c>
      <c r="M829" s="212" t="s">
        <v>2999</v>
      </c>
      <c r="N829" s="213"/>
      <c r="O829" s="263">
        <v>4590007772</v>
      </c>
      <c r="P829" s="214">
        <v>44861</v>
      </c>
      <c r="Q829" s="334" t="s">
        <v>5576</v>
      </c>
      <c r="R829" s="216">
        <f>11276.5/2</f>
        <v>5638.25</v>
      </c>
      <c r="S829" s="217" t="s">
        <v>2156</v>
      </c>
      <c r="T829" s="209" t="s">
        <v>3926</v>
      </c>
      <c r="U829" s="209" t="s">
        <v>3927</v>
      </c>
      <c r="V829" s="213" t="s">
        <v>3928</v>
      </c>
      <c r="W829" s="218" t="s">
        <v>3652</v>
      </c>
      <c r="X829" s="218" t="s">
        <v>3652</v>
      </c>
      <c r="Y829" s="212">
        <v>0</v>
      </c>
      <c r="Z829" s="209" t="s">
        <v>3664</v>
      </c>
      <c r="AA829" s="215"/>
      <c r="AB829" s="218"/>
      <c r="AC829" s="217" t="e">
        <v>#N/A</v>
      </c>
      <c r="AD829" s="217"/>
      <c r="AE829" s="217" t="s">
        <v>3500</v>
      </c>
      <c r="AF829" s="217" t="s">
        <v>4109</v>
      </c>
      <c r="AG829" s="217" t="s">
        <v>3666</v>
      </c>
      <c r="AH829" s="220" t="str">
        <f t="shared" si="53"/>
        <v>4590007772_007-1</v>
      </c>
      <c r="AI829" s="208"/>
      <c r="AJ829" s="220"/>
      <c r="AK829" s="221"/>
      <c r="AL829" s="227"/>
      <c r="AM829" s="208"/>
      <c r="AN829" s="220"/>
      <c r="AO829" s="222"/>
      <c r="AP829" s="227"/>
      <c r="AQ829" s="358">
        <f ca="1">IF(表格1[[#This Row],[PO$]]="","100%",表格1[[#This Row],[total amount]]/表格1[[#This Row],[PO$]])</f>
        <v>0</v>
      </c>
      <c r="AR829" s="223">
        <f ca="1">表格1[[#This Row],[invoice amount]]+表格1[[#This Row],[invoice amount2]]</f>
        <v>0</v>
      </c>
      <c r="AS829" s="224"/>
      <c r="AT829" s="208"/>
      <c r="AU829" s="208" t="e">
        <f ca="1">VLOOKUP(表格1[[#This Row],[PO+ITEM]],#REF!,2,FALSE)</f>
        <v>#REF!</v>
      </c>
      <c r="AV829" s="341" t="e">
        <f ca="1">VLOOKUP(表格1[[#This Row],[PO+ITEM]],#REF!,3,FALSE)</f>
        <v>#REF!</v>
      </c>
      <c r="AW829" s="208" t="e">
        <f ca="1">VLOOKUP(表格1[[#This Row],[PO+ITEM]],#REF!,4,FALSE)</f>
        <v>#REF!</v>
      </c>
      <c r="AX829" s="208" t="e" cm="1" vm="1">
        <f t="array" aca="1" ref="AX829" ca="1">VLOOKUP(AI:AI,#REF!,1,FALSE)</f>
        <v>#VALUE!</v>
      </c>
    </row>
    <row r="830" spans="1:50">
      <c r="B830" s="220" t="s">
        <v>3659</v>
      </c>
      <c r="C830" s="209" t="s">
        <v>16</v>
      </c>
      <c r="D830" s="209" t="s">
        <v>3648</v>
      </c>
      <c r="E830" s="209"/>
      <c r="F830" s="209"/>
      <c r="G830" s="209"/>
      <c r="H830" s="210" t="s">
        <v>5575</v>
      </c>
      <c r="I830" s="210"/>
      <c r="J830" s="211"/>
      <c r="K830" s="210"/>
      <c r="L830" s="212" t="s">
        <v>4269</v>
      </c>
      <c r="M830" s="212" t="s">
        <v>2999</v>
      </c>
      <c r="N830" s="213"/>
      <c r="O830" s="263">
        <v>4590007772</v>
      </c>
      <c r="P830" s="214">
        <v>44861</v>
      </c>
      <c r="Q830" s="334" t="s">
        <v>5578</v>
      </c>
      <c r="R830" s="216">
        <f>11276.5/2</f>
        <v>5638.25</v>
      </c>
      <c r="S830" s="217" t="s">
        <v>2156</v>
      </c>
      <c r="T830" s="209" t="s">
        <v>3926</v>
      </c>
      <c r="U830" s="209" t="s">
        <v>3927</v>
      </c>
      <c r="V830" s="213" t="s">
        <v>3928</v>
      </c>
      <c r="W830" s="218" t="s">
        <v>3652</v>
      </c>
      <c r="X830" s="218" t="s">
        <v>3652</v>
      </c>
      <c r="Y830" s="212">
        <v>0</v>
      </c>
      <c r="Z830" s="209" t="s">
        <v>3664</v>
      </c>
      <c r="AA830" s="215"/>
      <c r="AB830" s="218"/>
      <c r="AC830" s="217" t="e">
        <v>#N/A</v>
      </c>
      <c r="AD830" s="217"/>
      <c r="AE830" s="217" t="s">
        <v>3407</v>
      </c>
      <c r="AF830" s="217" t="s">
        <v>4109</v>
      </c>
      <c r="AG830" s="217" t="s">
        <v>3666</v>
      </c>
      <c r="AH830" s="220" t="str">
        <f t="shared" si="53"/>
        <v>4590007772_007-2</v>
      </c>
      <c r="AI830" s="217"/>
      <c r="AJ830" s="220"/>
      <c r="AK830" s="221"/>
      <c r="AL830" s="227"/>
      <c r="AM830" s="208"/>
      <c r="AN830" s="220"/>
      <c r="AO830" s="222"/>
      <c r="AP830" s="227"/>
      <c r="AQ830" s="358">
        <f ca="1">IF(表格1[[#This Row],[PO$]]="","100%",表格1[[#This Row],[total amount]]/表格1[[#This Row],[PO$]])</f>
        <v>0</v>
      </c>
      <c r="AR830" s="223">
        <f ca="1">表格1[[#This Row],[invoice amount]]+表格1[[#This Row],[invoice amount2]]</f>
        <v>0</v>
      </c>
      <c r="AS830" s="224"/>
      <c r="AT830" s="208"/>
      <c r="AU830" s="208" t="e">
        <f ca="1">VLOOKUP(表格1[[#This Row],[PO+ITEM]],#REF!,2,FALSE)</f>
        <v>#REF!</v>
      </c>
      <c r="AV830" s="341" t="e">
        <f ca="1">VLOOKUP(表格1[[#This Row],[PO+ITEM]],#REF!,3,FALSE)</f>
        <v>#REF!</v>
      </c>
      <c r="AW830" s="208" t="e">
        <f ca="1">VLOOKUP(表格1[[#This Row],[PO+ITEM]],#REF!,4,FALSE)</f>
        <v>#REF!</v>
      </c>
      <c r="AX830" s="208" t="e" cm="1" vm="1">
        <f t="array" aca="1" ref="AX830" ca="1">VLOOKUP(AI:AI,#REF!,1,FALSE)</f>
        <v>#VALUE!</v>
      </c>
    </row>
    <row r="831" spans="1:50" ht="15.6">
      <c r="A831" s="220">
        <v>827</v>
      </c>
      <c r="B831" s="220" t="s">
        <v>3674</v>
      </c>
      <c r="C831" s="209" t="s">
        <v>16</v>
      </c>
      <c r="D831" s="209" t="s">
        <v>3648</v>
      </c>
      <c r="E831" s="209"/>
      <c r="F831" s="209"/>
      <c r="G831" s="209"/>
      <c r="H831" s="210" t="s">
        <v>5581</v>
      </c>
      <c r="I831" s="210"/>
      <c r="J831" s="211"/>
      <c r="K831" s="210"/>
      <c r="L831" s="212" t="s">
        <v>4269</v>
      </c>
      <c r="M831" s="212" t="s">
        <v>2999</v>
      </c>
      <c r="N831" s="213"/>
      <c r="O831" s="263">
        <v>4590007772</v>
      </c>
      <c r="P831" s="214">
        <v>44861</v>
      </c>
      <c r="Q831" s="334">
        <v>8</v>
      </c>
      <c r="R831" s="216">
        <v>5965.43</v>
      </c>
      <c r="S831" s="217" t="s">
        <v>2156</v>
      </c>
      <c r="T831" s="209" t="s">
        <v>3926</v>
      </c>
      <c r="U831" s="209" t="s">
        <v>3927</v>
      </c>
      <c r="V831" s="213" t="s">
        <v>3928</v>
      </c>
      <c r="W831" s="218" t="s">
        <v>3652</v>
      </c>
      <c r="X831" s="218" t="s">
        <v>3652</v>
      </c>
      <c r="Y831" s="212" t="s">
        <v>4270</v>
      </c>
      <c r="Z831" s="209" t="s">
        <v>3664</v>
      </c>
      <c r="AA831" s="215"/>
      <c r="AB831" s="218"/>
      <c r="AC831" s="217" t="e">
        <v>#N/A</v>
      </c>
      <c r="AD831" s="217"/>
      <c r="AE831" s="400" t="s">
        <v>3346</v>
      </c>
      <c r="AF831" s="217" t="s">
        <v>4109</v>
      </c>
      <c r="AG831" s="217" t="s">
        <v>3666</v>
      </c>
      <c r="AH831" s="220" t="str">
        <f t="shared" si="53"/>
        <v>4590007772_008</v>
      </c>
      <c r="AI831" s="208"/>
      <c r="AJ831" s="225">
        <v>45108</v>
      </c>
      <c r="AK831" s="221">
        <v>0</v>
      </c>
      <c r="AL831" s="314" t="s">
        <v>3788</v>
      </c>
      <c r="AM831" s="208"/>
      <c r="AN831" s="220"/>
      <c r="AO831" s="222"/>
      <c r="AP831" s="227"/>
      <c r="AQ831" s="358">
        <f ca="1">IF(表格1[[#This Row],[PO$]]="","100%",表格1[[#This Row],[total amount]]/表格1[[#This Row],[PO$]])</f>
        <v>0</v>
      </c>
      <c r="AR831" s="223">
        <f ca="1">表格1[[#This Row],[invoice amount]]+表格1[[#This Row],[invoice amount2]]</f>
        <v>0</v>
      </c>
      <c r="AS831" s="224" t="s">
        <v>3789</v>
      </c>
      <c r="AT831" s="208" t="s">
        <v>5584</v>
      </c>
      <c r="AU831" s="208" t="e">
        <f ca="1">VLOOKUP(表格1[[#This Row],[PO+ITEM]],#REF!,2,FALSE)</f>
        <v>#REF!</v>
      </c>
      <c r="AV831" s="341" t="e">
        <f ca="1">VLOOKUP(表格1[[#This Row],[PO+ITEM]],#REF!,3,FALSE)</f>
        <v>#REF!</v>
      </c>
      <c r="AW831" s="208" t="e">
        <f ca="1">VLOOKUP(表格1[[#This Row],[PO+ITEM]],#REF!,4,FALSE)</f>
        <v>#REF!</v>
      </c>
      <c r="AX831" s="208" t="e" cm="1" vm="1">
        <f t="array" aca="1" ref="AX831" ca="1">VLOOKUP(AI:AI,#REF!,1,FALSE)</f>
        <v>#VALUE!</v>
      </c>
    </row>
    <row r="832" spans="1:50">
      <c r="A832" s="220">
        <v>828</v>
      </c>
      <c r="B832" s="220" t="s">
        <v>3674</v>
      </c>
      <c r="C832" s="209" t="s">
        <v>16</v>
      </c>
      <c r="D832" s="209" t="s">
        <v>3648</v>
      </c>
      <c r="E832" s="209"/>
      <c r="F832" s="209"/>
      <c r="G832" s="209"/>
      <c r="H832" s="210" t="s">
        <v>5585</v>
      </c>
      <c r="I832" s="210"/>
      <c r="J832" s="211"/>
      <c r="K832" s="210"/>
      <c r="L832" s="212" t="s">
        <v>4269</v>
      </c>
      <c r="M832" s="212" t="s">
        <v>2999</v>
      </c>
      <c r="N832" s="213"/>
      <c r="O832" s="263">
        <v>4590007772</v>
      </c>
      <c r="P832" s="214">
        <v>44861</v>
      </c>
      <c r="Q832" s="334">
        <v>9</v>
      </c>
      <c r="R832" s="216">
        <v>5638.25</v>
      </c>
      <c r="S832" s="217" t="s">
        <v>2156</v>
      </c>
      <c r="T832" s="209" t="s">
        <v>3926</v>
      </c>
      <c r="U832" s="209" t="s">
        <v>3927</v>
      </c>
      <c r="V832" s="213" t="s">
        <v>3928</v>
      </c>
      <c r="W832" s="218" t="s">
        <v>3652</v>
      </c>
      <c r="X832" s="218" t="s">
        <v>3652</v>
      </c>
      <c r="Y832" s="212">
        <v>0</v>
      </c>
      <c r="Z832" s="209" t="s">
        <v>3664</v>
      </c>
      <c r="AA832" s="215"/>
      <c r="AB832" s="218"/>
      <c r="AC832" s="217" t="e">
        <v>#N/A</v>
      </c>
      <c r="AD832" s="217"/>
      <c r="AE832" s="400" t="s">
        <v>3370</v>
      </c>
      <c r="AF832" s="217" t="s">
        <v>4109</v>
      </c>
      <c r="AG832" s="217" t="s">
        <v>3666</v>
      </c>
      <c r="AH832" s="220" t="str">
        <f t="shared" si="53"/>
        <v>4590007772_009</v>
      </c>
      <c r="AI832" s="208"/>
      <c r="AJ832" s="220"/>
      <c r="AK832" s="221"/>
      <c r="AL832" s="227"/>
      <c r="AM832" s="208"/>
      <c r="AN832" s="220"/>
      <c r="AO832" s="222"/>
      <c r="AP832" s="227"/>
      <c r="AQ832" s="358">
        <f ca="1">IF(表格1[[#This Row],[PO$]]="","100%",表格1[[#This Row],[total amount]]/表格1[[#This Row],[PO$]])</f>
        <v>0</v>
      </c>
      <c r="AR832" s="223">
        <f ca="1">表格1[[#This Row],[invoice amount]]+表格1[[#This Row],[invoice amount2]]</f>
        <v>0</v>
      </c>
      <c r="AS832" s="224"/>
      <c r="AT832" s="208"/>
      <c r="AU832" s="208" t="e">
        <f ca="1">VLOOKUP(表格1[[#This Row],[PO+ITEM]],#REF!,2,FALSE)</f>
        <v>#REF!</v>
      </c>
      <c r="AV832" s="341" t="e">
        <f ca="1">VLOOKUP(表格1[[#This Row],[PO+ITEM]],#REF!,3,FALSE)</f>
        <v>#REF!</v>
      </c>
      <c r="AW832" s="208" t="e">
        <f ca="1">VLOOKUP(表格1[[#This Row],[PO+ITEM]],#REF!,4,FALSE)</f>
        <v>#REF!</v>
      </c>
      <c r="AX832" s="208" t="e" cm="1" vm="1">
        <f t="array" aca="1" ref="AX832" ca="1">VLOOKUP(AI:AI,#REF!,1,FALSE)</f>
        <v>#VALUE!</v>
      </c>
    </row>
    <row r="833" spans="1:50">
      <c r="A833" s="220">
        <v>829</v>
      </c>
      <c r="B833" s="220" t="s">
        <v>3674</v>
      </c>
      <c r="C833" s="209" t="s">
        <v>16</v>
      </c>
      <c r="D833" s="209" t="s">
        <v>3648</v>
      </c>
      <c r="E833" s="209"/>
      <c r="F833" s="209"/>
      <c r="G833" s="209"/>
      <c r="H833" s="210" t="s">
        <v>5587</v>
      </c>
      <c r="I833" s="210"/>
      <c r="J833" s="211"/>
      <c r="K833" s="210"/>
      <c r="L833" s="212" t="s">
        <v>4269</v>
      </c>
      <c r="M833" s="212" t="s">
        <v>2999</v>
      </c>
      <c r="N833" s="213"/>
      <c r="O833" s="263">
        <v>4590007772</v>
      </c>
      <c r="P833" s="214">
        <v>44861</v>
      </c>
      <c r="Q833" s="334">
        <v>10</v>
      </c>
      <c r="R833" s="216">
        <v>5638.25</v>
      </c>
      <c r="S833" s="217" t="s">
        <v>2156</v>
      </c>
      <c r="T833" s="209" t="s">
        <v>3926</v>
      </c>
      <c r="U833" s="209" t="s">
        <v>3927</v>
      </c>
      <c r="V833" s="213" t="s">
        <v>3928</v>
      </c>
      <c r="W833" s="218" t="s">
        <v>3652</v>
      </c>
      <c r="X833" s="218" t="s">
        <v>3652</v>
      </c>
      <c r="Y833" s="212">
        <v>0</v>
      </c>
      <c r="Z833" s="209" t="s">
        <v>3664</v>
      </c>
      <c r="AA833" s="215"/>
      <c r="AB833" s="218"/>
      <c r="AC833" s="217" t="e">
        <v>#N/A</v>
      </c>
      <c r="AD833" s="217"/>
      <c r="AE833" s="217" t="s">
        <v>3367</v>
      </c>
      <c r="AF833" s="217" t="s">
        <v>4109</v>
      </c>
      <c r="AG833" s="217" t="s">
        <v>3666</v>
      </c>
      <c r="AH833" s="220" t="str">
        <f t="shared" ref="AH833:AH839" si="54">O833&amp;"_0"&amp;Q833</f>
        <v>4590007772_010</v>
      </c>
      <c r="AI833" s="208"/>
      <c r="AJ833" s="220"/>
      <c r="AK833" s="221"/>
      <c r="AL833" s="227"/>
      <c r="AM833" s="208"/>
      <c r="AN833" s="220"/>
      <c r="AO833" s="222"/>
      <c r="AP833" s="227"/>
      <c r="AQ833" s="358">
        <f ca="1">IF(表格1[[#This Row],[PO$]]="","100%",表格1[[#This Row],[total amount]]/表格1[[#This Row],[PO$]])</f>
        <v>0</v>
      </c>
      <c r="AR833" s="223">
        <f ca="1">表格1[[#This Row],[invoice amount]]+表格1[[#This Row],[invoice amount2]]</f>
        <v>0</v>
      </c>
      <c r="AS833" s="224"/>
      <c r="AT833" s="208"/>
      <c r="AU833" s="208" t="e">
        <f ca="1">VLOOKUP(表格1[[#This Row],[PO+ITEM]],#REF!,2,FALSE)</f>
        <v>#REF!</v>
      </c>
      <c r="AV833" s="341" t="e">
        <f ca="1">VLOOKUP(表格1[[#This Row],[PO+ITEM]],#REF!,3,FALSE)</f>
        <v>#REF!</v>
      </c>
      <c r="AW833" s="208" t="e">
        <f ca="1">VLOOKUP(表格1[[#This Row],[PO+ITEM]],#REF!,4,FALSE)</f>
        <v>#REF!</v>
      </c>
      <c r="AX833" s="208" t="e" cm="1" vm="1">
        <f t="array" aca="1" ref="AX833" ca="1">VLOOKUP(AI:AI,#REF!,1,FALSE)</f>
        <v>#VALUE!</v>
      </c>
    </row>
    <row r="834" spans="1:50">
      <c r="A834" s="220">
        <v>830</v>
      </c>
      <c r="B834" s="220" t="s">
        <v>3674</v>
      </c>
      <c r="C834" s="209" t="s">
        <v>16</v>
      </c>
      <c r="D834" s="209" t="s">
        <v>3648</v>
      </c>
      <c r="E834" s="209"/>
      <c r="F834" s="209"/>
      <c r="G834" s="209"/>
      <c r="H834" s="210" t="s">
        <v>5589</v>
      </c>
      <c r="I834" s="210"/>
      <c r="J834" s="211"/>
      <c r="K834" s="210"/>
      <c r="L834" s="212" t="s">
        <v>4269</v>
      </c>
      <c r="M834" s="212" t="s">
        <v>2999</v>
      </c>
      <c r="N834" s="213"/>
      <c r="O834" s="263">
        <v>4590007772</v>
      </c>
      <c r="P834" s="214">
        <v>44861</v>
      </c>
      <c r="Q834" s="334" t="s">
        <v>5590</v>
      </c>
      <c r="R834" s="216">
        <f>11895.94/2</f>
        <v>5947.97</v>
      </c>
      <c r="S834" s="217" t="s">
        <v>2156</v>
      </c>
      <c r="T834" s="209" t="s">
        <v>3926</v>
      </c>
      <c r="U834" s="209" t="s">
        <v>3927</v>
      </c>
      <c r="V834" s="213" t="s">
        <v>3928</v>
      </c>
      <c r="W834" s="218" t="s">
        <v>3652</v>
      </c>
      <c r="X834" s="218" t="s">
        <v>3652</v>
      </c>
      <c r="Y834" s="212">
        <v>0</v>
      </c>
      <c r="Z834" s="209" t="s">
        <v>3664</v>
      </c>
      <c r="AA834" s="215"/>
      <c r="AB834" s="218"/>
      <c r="AC834" s="217" t="e">
        <v>#N/A</v>
      </c>
      <c r="AD834" s="217"/>
      <c r="AE834" s="217" t="s">
        <v>3356</v>
      </c>
      <c r="AF834" s="217" t="s">
        <v>4109</v>
      </c>
      <c r="AG834" s="217" t="s">
        <v>3666</v>
      </c>
      <c r="AH834" s="220" t="str">
        <f t="shared" si="54"/>
        <v>4590007772_011-1</v>
      </c>
      <c r="AI834" s="208"/>
      <c r="AJ834" s="220"/>
      <c r="AK834" s="221"/>
      <c r="AL834" s="227"/>
      <c r="AM834" s="208"/>
      <c r="AN834" s="220"/>
      <c r="AO834" s="222"/>
      <c r="AP834" s="227"/>
      <c r="AQ834" s="358">
        <f ca="1">IF(表格1[[#This Row],[PO$]]="","100%",表格1[[#This Row],[total amount]]/表格1[[#This Row],[PO$]])</f>
        <v>0</v>
      </c>
      <c r="AR834" s="223">
        <f ca="1">表格1[[#This Row],[invoice amount]]+表格1[[#This Row],[invoice amount2]]</f>
        <v>0</v>
      </c>
      <c r="AS834" s="224"/>
      <c r="AT834" s="208"/>
      <c r="AU834" s="208" t="e">
        <f ca="1">VLOOKUP(表格1[[#This Row],[PO+ITEM]],#REF!,2,FALSE)</f>
        <v>#REF!</v>
      </c>
      <c r="AV834" s="341" t="e">
        <f ca="1">VLOOKUP(表格1[[#This Row],[PO+ITEM]],#REF!,3,FALSE)</f>
        <v>#REF!</v>
      </c>
      <c r="AW834" s="208" t="e">
        <f ca="1">VLOOKUP(表格1[[#This Row],[PO+ITEM]],#REF!,4,FALSE)</f>
        <v>#REF!</v>
      </c>
      <c r="AX834" s="208" t="e" cm="1" vm="1">
        <f t="array" aca="1" ref="AX834" ca="1">VLOOKUP(AI:AI,#REF!,1,FALSE)</f>
        <v>#VALUE!</v>
      </c>
    </row>
    <row r="835" spans="1:50">
      <c r="B835" s="220" t="s">
        <v>3674</v>
      </c>
      <c r="C835" s="209" t="s">
        <v>16</v>
      </c>
      <c r="D835" s="209" t="s">
        <v>3648</v>
      </c>
      <c r="E835" s="209"/>
      <c r="F835" s="209"/>
      <c r="G835" s="209"/>
      <c r="H835" s="210" t="s">
        <v>5589</v>
      </c>
      <c r="I835" s="210"/>
      <c r="J835" s="211"/>
      <c r="K835" s="210"/>
      <c r="L835" s="212" t="s">
        <v>4269</v>
      </c>
      <c r="M835" s="212" t="s">
        <v>2999</v>
      </c>
      <c r="N835" s="213"/>
      <c r="O835" s="263">
        <v>4590007772</v>
      </c>
      <c r="P835" s="212"/>
      <c r="Q835" s="334" t="s">
        <v>5592</v>
      </c>
      <c r="R835" s="216">
        <f>11895.94/2</f>
        <v>5947.97</v>
      </c>
      <c r="S835" s="217" t="s">
        <v>2156</v>
      </c>
      <c r="T835" s="209" t="s">
        <v>3926</v>
      </c>
      <c r="U835" s="209" t="s">
        <v>3927</v>
      </c>
      <c r="V835" s="213" t="s">
        <v>3928</v>
      </c>
      <c r="W835" s="218" t="s">
        <v>3652</v>
      </c>
      <c r="X835" s="218" t="s">
        <v>3652</v>
      </c>
      <c r="Y835" s="212">
        <v>0</v>
      </c>
      <c r="Z835" s="209" t="s">
        <v>3664</v>
      </c>
      <c r="AA835" s="215"/>
      <c r="AB835" s="218"/>
      <c r="AC835" s="217" t="e">
        <v>#N/A</v>
      </c>
      <c r="AD835" s="217"/>
      <c r="AE835" s="400" t="s">
        <v>3359</v>
      </c>
      <c r="AF835" s="217" t="s">
        <v>4109</v>
      </c>
      <c r="AG835" s="217" t="s">
        <v>3666</v>
      </c>
      <c r="AH835" s="220" t="str">
        <f t="shared" si="54"/>
        <v>4590007772_011-2</v>
      </c>
      <c r="AI835" s="217"/>
      <c r="AJ835" s="220"/>
      <c r="AK835" s="221"/>
      <c r="AL835" s="227"/>
      <c r="AM835" s="208"/>
      <c r="AN835" s="220"/>
      <c r="AO835" s="222"/>
      <c r="AP835" s="227"/>
      <c r="AQ835" s="358">
        <f ca="1">IF(表格1[[#This Row],[PO$]]="","100%",表格1[[#This Row],[total amount]]/表格1[[#This Row],[PO$]])</f>
        <v>0</v>
      </c>
      <c r="AR835" s="223">
        <f ca="1">表格1[[#This Row],[invoice amount]]+表格1[[#This Row],[invoice amount2]]</f>
        <v>0</v>
      </c>
      <c r="AS835" s="224"/>
      <c r="AT835" s="208"/>
      <c r="AU835" s="208" t="e">
        <f ca="1">VLOOKUP(表格1[[#This Row],[PO+ITEM]],#REF!,2,FALSE)</f>
        <v>#REF!</v>
      </c>
      <c r="AV835" s="341" t="e">
        <f ca="1">VLOOKUP(表格1[[#This Row],[PO+ITEM]],#REF!,3,FALSE)</f>
        <v>#REF!</v>
      </c>
      <c r="AW835" s="208" t="e">
        <f ca="1">VLOOKUP(表格1[[#This Row],[PO+ITEM]],#REF!,4,FALSE)</f>
        <v>#REF!</v>
      </c>
      <c r="AX835" s="208" t="e" cm="1" vm="1">
        <f t="array" aca="1" ref="AX835" ca="1">VLOOKUP(AI:AI,#REF!,1,FALSE)</f>
        <v>#VALUE!</v>
      </c>
    </row>
    <row r="836" spans="1:50" ht="15.6">
      <c r="A836" s="220">
        <v>831</v>
      </c>
      <c r="B836" s="220" t="s">
        <v>3674</v>
      </c>
      <c r="C836" s="209" t="s">
        <v>16</v>
      </c>
      <c r="D836" s="209" t="s">
        <v>3648</v>
      </c>
      <c r="E836" s="209"/>
      <c r="F836" s="209"/>
      <c r="G836" s="209"/>
      <c r="H836" s="210" t="s">
        <v>5594</v>
      </c>
      <c r="I836" s="210"/>
      <c r="J836" s="211"/>
      <c r="K836" s="210"/>
      <c r="L836" s="212" t="s">
        <v>4269</v>
      </c>
      <c r="M836" s="212" t="s">
        <v>2999</v>
      </c>
      <c r="N836" s="213"/>
      <c r="O836" s="263">
        <v>4590007772</v>
      </c>
      <c r="P836" s="214">
        <v>44861</v>
      </c>
      <c r="Q836" s="334" t="s">
        <v>5595</v>
      </c>
      <c r="R836" s="216">
        <f>11930.86/2</f>
        <v>5965.43</v>
      </c>
      <c r="S836" s="217" t="s">
        <v>2156</v>
      </c>
      <c r="T836" s="209" t="s">
        <v>3926</v>
      </c>
      <c r="U836" s="209" t="s">
        <v>3927</v>
      </c>
      <c r="V836" s="213" t="s">
        <v>3928</v>
      </c>
      <c r="W836" s="218" t="s">
        <v>3652</v>
      </c>
      <c r="X836" s="218" t="s">
        <v>3652</v>
      </c>
      <c r="Y836" s="212" t="s">
        <v>4270</v>
      </c>
      <c r="Z836" s="209" t="s">
        <v>3664</v>
      </c>
      <c r="AA836" s="215"/>
      <c r="AB836" s="218"/>
      <c r="AC836" s="217" t="e">
        <v>#N/A</v>
      </c>
      <c r="AD836" s="217"/>
      <c r="AE836" s="217" t="s">
        <v>3341</v>
      </c>
      <c r="AF836" s="217" t="s">
        <v>4109</v>
      </c>
      <c r="AG836" s="217" t="s">
        <v>3666</v>
      </c>
      <c r="AH836" s="220" t="str">
        <f t="shared" si="54"/>
        <v>4590007772_012-1</v>
      </c>
      <c r="AI836" s="208"/>
      <c r="AJ836" s="225">
        <v>45108</v>
      </c>
      <c r="AK836" s="221">
        <v>0</v>
      </c>
      <c r="AL836" s="314" t="s">
        <v>3788</v>
      </c>
      <c r="AM836" s="208"/>
      <c r="AN836" s="220"/>
      <c r="AO836" s="222"/>
      <c r="AP836" s="227"/>
      <c r="AQ836" s="358">
        <f ca="1">IF(表格1[[#This Row],[PO$]]="","100%",表格1[[#This Row],[total amount]]/表格1[[#This Row],[PO$]])</f>
        <v>0</v>
      </c>
      <c r="AR836" s="223">
        <f ca="1">表格1[[#This Row],[invoice amount]]+表格1[[#This Row],[invoice amount2]]</f>
        <v>0</v>
      </c>
      <c r="AS836" s="224" t="s">
        <v>3789</v>
      </c>
      <c r="AT836" s="208" t="s">
        <v>5529</v>
      </c>
      <c r="AU836" s="208" t="e">
        <f ca="1">VLOOKUP(表格1[[#This Row],[PO+ITEM]],#REF!,2,FALSE)</f>
        <v>#REF!</v>
      </c>
      <c r="AV836" s="341" t="e">
        <f ca="1">VLOOKUP(表格1[[#This Row],[PO+ITEM]],#REF!,3,FALSE)</f>
        <v>#REF!</v>
      </c>
      <c r="AW836" s="208" t="e">
        <f ca="1">VLOOKUP(表格1[[#This Row],[PO+ITEM]],#REF!,4,FALSE)</f>
        <v>#REF!</v>
      </c>
      <c r="AX836" s="208" t="e" cm="1" vm="1">
        <f t="array" aca="1" ref="AX836" ca="1">VLOOKUP(AI:AI,#REF!,1,FALSE)</f>
        <v>#VALUE!</v>
      </c>
    </row>
    <row r="837" spans="1:50">
      <c r="B837" s="220" t="s">
        <v>3659</v>
      </c>
      <c r="C837" s="209" t="s">
        <v>16</v>
      </c>
      <c r="D837" s="209" t="s">
        <v>3648</v>
      </c>
      <c r="E837" s="209"/>
      <c r="F837" s="209"/>
      <c r="G837" s="209"/>
      <c r="H837" s="210" t="s">
        <v>5594</v>
      </c>
      <c r="I837" s="210"/>
      <c r="J837" s="211"/>
      <c r="K837" s="210"/>
      <c r="L837" s="212" t="s">
        <v>4269</v>
      </c>
      <c r="M837" s="212" t="s">
        <v>2999</v>
      </c>
      <c r="N837" s="213"/>
      <c r="O837" s="263">
        <v>4590007772</v>
      </c>
      <c r="P837" s="214">
        <v>44861</v>
      </c>
      <c r="Q837" s="334" t="s">
        <v>5598</v>
      </c>
      <c r="R837" s="216">
        <f>11930.86/2</f>
        <v>5965.43</v>
      </c>
      <c r="S837" s="217" t="s">
        <v>2156</v>
      </c>
      <c r="T837" s="209" t="s">
        <v>3926</v>
      </c>
      <c r="U837" s="209" t="s">
        <v>3927</v>
      </c>
      <c r="V837" s="213" t="s">
        <v>3928</v>
      </c>
      <c r="W837" s="218" t="s">
        <v>3652</v>
      </c>
      <c r="X837" s="218" t="s">
        <v>3652</v>
      </c>
      <c r="Y837" s="212" t="s">
        <v>4270</v>
      </c>
      <c r="Z837" s="209" t="s">
        <v>3664</v>
      </c>
      <c r="AA837" s="215"/>
      <c r="AB837" s="218"/>
      <c r="AC837" s="217" t="e">
        <v>#N/A</v>
      </c>
      <c r="AD837" s="217"/>
      <c r="AE837" s="217" t="s">
        <v>3344</v>
      </c>
      <c r="AF837" s="217" t="s">
        <v>4109</v>
      </c>
      <c r="AG837" s="217" t="s">
        <v>3666</v>
      </c>
      <c r="AH837" s="220" t="str">
        <f t="shared" si="54"/>
        <v>4590007772_012-2</v>
      </c>
      <c r="AI837" s="217"/>
      <c r="AJ837" s="220"/>
      <c r="AK837" s="221"/>
      <c r="AL837" s="227"/>
      <c r="AM837" s="208"/>
      <c r="AN837" s="220"/>
      <c r="AO837" s="222"/>
      <c r="AP837" s="227"/>
      <c r="AQ837" s="358">
        <f ca="1">IF(表格1[[#This Row],[PO$]]="","100%",表格1[[#This Row],[total amount]]/表格1[[#This Row],[PO$]])</f>
        <v>0</v>
      </c>
      <c r="AR837" s="223">
        <f ca="1">表格1[[#This Row],[invoice amount]]+表格1[[#This Row],[invoice amount2]]</f>
        <v>0</v>
      </c>
      <c r="AS837" s="224"/>
      <c r="AT837" s="208"/>
      <c r="AU837" s="208" t="e">
        <f ca="1">VLOOKUP(表格1[[#This Row],[PO+ITEM]],#REF!,2,FALSE)</f>
        <v>#REF!</v>
      </c>
      <c r="AV837" s="341" t="e">
        <f ca="1">VLOOKUP(表格1[[#This Row],[PO+ITEM]],#REF!,3,FALSE)</f>
        <v>#REF!</v>
      </c>
      <c r="AW837" s="208" t="e">
        <f ca="1">VLOOKUP(表格1[[#This Row],[PO+ITEM]],#REF!,4,FALSE)</f>
        <v>#REF!</v>
      </c>
      <c r="AX837" s="208" t="e" cm="1" vm="1">
        <f t="array" aca="1" ref="AX837" ca="1">VLOOKUP(AI:AI,#REF!,1,FALSE)</f>
        <v>#VALUE!</v>
      </c>
    </row>
    <row r="838" spans="1:50" ht="15.6">
      <c r="A838" s="220">
        <v>832</v>
      </c>
      <c r="B838" s="220" t="s">
        <v>3674</v>
      </c>
      <c r="C838" s="209" t="s">
        <v>16</v>
      </c>
      <c r="D838" s="209" t="s">
        <v>3648</v>
      </c>
      <c r="E838" s="209"/>
      <c r="F838" s="209"/>
      <c r="G838" s="209"/>
      <c r="H838" s="210" t="s">
        <v>5599</v>
      </c>
      <c r="I838" s="210"/>
      <c r="J838" s="211"/>
      <c r="K838" s="210"/>
      <c r="L838" s="212" t="s">
        <v>4269</v>
      </c>
      <c r="M838" s="212" t="s">
        <v>2999</v>
      </c>
      <c r="N838" s="213"/>
      <c r="O838" s="263">
        <v>4590007772</v>
      </c>
      <c r="P838" s="214">
        <v>44861</v>
      </c>
      <c r="Q838" s="334">
        <v>13</v>
      </c>
      <c r="R838" s="216">
        <v>5965.43</v>
      </c>
      <c r="S838" s="217" t="s">
        <v>2156</v>
      </c>
      <c r="T838" s="209" t="s">
        <v>3926</v>
      </c>
      <c r="U838" s="209" t="s">
        <v>3927</v>
      </c>
      <c r="V838" s="213" t="s">
        <v>3928</v>
      </c>
      <c r="W838" s="218" t="s">
        <v>3652</v>
      </c>
      <c r="X838" s="218" t="s">
        <v>3652</v>
      </c>
      <c r="Y838" s="212" t="s">
        <v>4270</v>
      </c>
      <c r="Z838" s="209" t="s">
        <v>3664</v>
      </c>
      <c r="AA838" s="215"/>
      <c r="AB838" s="218"/>
      <c r="AC838" s="217" t="e">
        <v>#N/A</v>
      </c>
      <c r="AD838" s="217"/>
      <c r="AE838" s="400" t="s">
        <v>3348</v>
      </c>
      <c r="AF838" s="217" t="s">
        <v>4109</v>
      </c>
      <c r="AG838" s="217" t="s">
        <v>3666</v>
      </c>
      <c r="AH838" s="220" t="str">
        <f t="shared" si="54"/>
        <v>4590007772_013</v>
      </c>
      <c r="AI838" s="208"/>
      <c r="AJ838" s="225">
        <v>45108</v>
      </c>
      <c r="AK838" s="221">
        <v>0</v>
      </c>
      <c r="AL838" s="314" t="s">
        <v>3788</v>
      </c>
      <c r="AM838" s="208"/>
      <c r="AN838" s="220"/>
      <c r="AO838" s="222"/>
      <c r="AP838" s="227"/>
      <c r="AQ838" s="358">
        <f ca="1">IF(表格1[[#This Row],[PO$]]="","100%",表格1[[#This Row],[total amount]]/表格1[[#This Row],[PO$]])</f>
        <v>0</v>
      </c>
      <c r="AR838" s="223">
        <f ca="1">表格1[[#This Row],[invoice amount]]+表格1[[#This Row],[invoice amount2]]</f>
        <v>0</v>
      </c>
      <c r="AS838" s="224" t="s">
        <v>3789</v>
      </c>
      <c r="AT838" s="208" t="s">
        <v>5529</v>
      </c>
      <c r="AU838" s="208" t="e">
        <f ca="1">VLOOKUP(表格1[[#This Row],[PO+ITEM]],#REF!,2,FALSE)</f>
        <v>#REF!</v>
      </c>
      <c r="AV838" s="341" t="e">
        <f ca="1">VLOOKUP(表格1[[#This Row],[PO+ITEM]],#REF!,3,FALSE)</f>
        <v>#REF!</v>
      </c>
      <c r="AW838" s="208" t="e">
        <f ca="1">VLOOKUP(表格1[[#This Row],[PO+ITEM]],#REF!,4,FALSE)</f>
        <v>#REF!</v>
      </c>
      <c r="AX838" s="208" t="e" cm="1" vm="1">
        <f t="array" aca="1" ref="AX838" ca="1">VLOOKUP(AI:AI,#REF!,1,FALSE)</f>
        <v>#VALUE!</v>
      </c>
    </row>
    <row r="839" spans="1:50" ht="15.6">
      <c r="A839" s="220">
        <v>833</v>
      </c>
      <c r="B839" s="220" t="s">
        <v>3674</v>
      </c>
      <c r="C839" s="209" t="s">
        <v>16</v>
      </c>
      <c r="D839" s="209" t="s">
        <v>3648</v>
      </c>
      <c r="E839" s="209"/>
      <c r="F839" s="209"/>
      <c r="G839" s="209"/>
      <c r="H839" s="210" t="s">
        <v>5602</v>
      </c>
      <c r="I839" s="210"/>
      <c r="J839" s="211"/>
      <c r="K839" s="210"/>
      <c r="L839" s="212" t="s">
        <v>4269</v>
      </c>
      <c r="M839" s="212" t="s">
        <v>2999</v>
      </c>
      <c r="N839" s="213"/>
      <c r="O839" s="263">
        <v>4590007772</v>
      </c>
      <c r="P839" s="214">
        <v>44861</v>
      </c>
      <c r="Q839" s="334">
        <v>14</v>
      </c>
      <c r="R839" s="216">
        <v>5965.43</v>
      </c>
      <c r="S839" s="217" t="s">
        <v>2156</v>
      </c>
      <c r="T839" s="209" t="s">
        <v>3926</v>
      </c>
      <c r="U839" s="209" t="s">
        <v>3927</v>
      </c>
      <c r="V839" s="213" t="s">
        <v>3928</v>
      </c>
      <c r="W839" s="218" t="s">
        <v>3652</v>
      </c>
      <c r="X839" s="218" t="s">
        <v>3652</v>
      </c>
      <c r="Y839" s="212" t="s">
        <v>4270</v>
      </c>
      <c r="Z839" s="209" t="s">
        <v>3664</v>
      </c>
      <c r="AA839" s="215"/>
      <c r="AB839" s="218"/>
      <c r="AC839" s="217" t="e">
        <v>#N/A</v>
      </c>
      <c r="AD839" s="217"/>
      <c r="AE839" s="217" t="s">
        <v>3201</v>
      </c>
      <c r="AF839" s="217" t="s">
        <v>4109</v>
      </c>
      <c r="AG839" s="217" t="s">
        <v>3666</v>
      </c>
      <c r="AH839" s="220" t="str">
        <f t="shared" si="54"/>
        <v>4590007772_014</v>
      </c>
      <c r="AI839" s="208" t="s">
        <v>5603</v>
      </c>
      <c r="AJ839" s="227">
        <v>45408</v>
      </c>
      <c r="AK839" s="221">
        <v>5965.43</v>
      </c>
      <c r="AL839" s="314">
        <v>45488</v>
      </c>
      <c r="AM839" s="208"/>
      <c r="AN839" s="220"/>
      <c r="AO839" s="222"/>
      <c r="AP839" s="227"/>
      <c r="AQ839" s="358">
        <f ca="1">IF(表格1[[#This Row],[PO$]]="","100%",表格1[[#This Row],[total amount]]/表格1[[#This Row],[PO$]])</f>
        <v>1</v>
      </c>
      <c r="AR839" s="223">
        <f ca="1">表格1[[#This Row],[invoice amount]]+表格1[[#This Row],[invoice amount2]]</f>
        <v>5965.43</v>
      </c>
      <c r="AS839" s="224" t="s">
        <v>3725</v>
      </c>
      <c r="AT839" s="208" t="s">
        <v>5604</v>
      </c>
      <c r="AU839" s="208" t="e">
        <f ca="1">VLOOKUP(表格1[[#This Row],[PO+ITEM]],#REF!,2,FALSE)</f>
        <v>#REF!</v>
      </c>
      <c r="AV839" s="341" t="e">
        <f ca="1">VLOOKUP(表格1[[#This Row],[PO+ITEM]],#REF!,3,FALSE)</f>
        <v>#REF!</v>
      </c>
      <c r="AW839" s="208" t="e">
        <f ca="1">VLOOKUP(表格1[[#This Row],[PO+ITEM]],#REF!,4,FALSE)</f>
        <v>#REF!</v>
      </c>
      <c r="AX839" s="208" t="e" cm="1" vm="1">
        <f t="array" aca="1" ref="AX839" ca="1">VLOOKUP(AI:AI,#REF!,1,FALSE)</f>
        <v>#VALUE!</v>
      </c>
    </row>
    <row r="840" spans="1:50" ht="15.6">
      <c r="A840" s="220">
        <v>834</v>
      </c>
      <c r="B840" s="220" t="s">
        <v>3674</v>
      </c>
      <c r="C840" s="209" t="s">
        <v>17</v>
      </c>
      <c r="D840" s="209" t="s">
        <v>3648</v>
      </c>
      <c r="E840" s="209"/>
      <c r="F840" s="209"/>
      <c r="G840" s="209"/>
      <c r="H840" s="210" t="s">
        <v>5605</v>
      </c>
      <c r="I840" s="210"/>
      <c r="J840" s="211"/>
      <c r="K840" s="210"/>
      <c r="L840" s="212" t="s">
        <v>2999</v>
      </c>
      <c r="M840" s="212" t="s">
        <v>2999</v>
      </c>
      <c r="N840" s="213"/>
      <c r="O840" s="263">
        <v>4590007911</v>
      </c>
      <c r="P840" s="214">
        <v>44867</v>
      </c>
      <c r="Q840" s="334">
        <v>1</v>
      </c>
      <c r="R840" s="216">
        <v>59149.02</v>
      </c>
      <c r="S840" s="217" t="s">
        <v>2156</v>
      </c>
      <c r="T840" s="209" t="s">
        <v>3913</v>
      </c>
      <c r="U840" s="209" t="s">
        <v>3914</v>
      </c>
      <c r="V840" s="213" t="s">
        <v>3915</v>
      </c>
      <c r="W840" s="218" t="s">
        <v>3652</v>
      </c>
      <c r="X840" s="218" t="s">
        <v>3652</v>
      </c>
      <c r="Y840" s="212">
        <v>0</v>
      </c>
      <c r="Z840" s="209" t="s">
        <v>5606</v>
      </c>
      <c r="AA840" s="215"/>
      <c r="AB840" s="218"/>
      <c r="AC840" s="217" t="e">
        <v>#N/A</v>
      </c>
      <c r="AD840" s="217">
        <v>90713</v>
      </c>
      <c r="AE840" s="217" t="s">
        <v>5607</v>
      </c>
      <c r="AF840" s="217" t="s">
        <v>3918</v>
      </c>
      <c r="AG840" s="217" t="s">
        <v>3919</v>
      </c>
      <c r="AH840" s="220" t="str">
        <f t="shared" ref="AH840:AH850" si="55">O840&amp;"_00"&amp;Q840</f>
        <v>4590007911_001</v>
      </c>
      <c r="AI840" s="208"/>
      <c r="AJ840" s="225">
        <v>44958</v>
      </c>
      <c r="AK840" s="221">
        <v>23659.608</v>
      </c>
      <c r="AL840" s="226">
        <v>45015</v>
      </c>
      <c r="AM840" s="208" t="s">
        <v>5609</v>
      </c>
      <c r="AN840" s="227">
        <v>45436</v>
      </c>
      <c r="AO840" s="222">
        <v>35489.411999999997</v>
      </c>
      <c r="AP840" s="227" t="s">
        <v>3805</v>
      </c>
      <c r="AQ840" s="358">
        <f ca="1">IF(表格1[[#This Row],[PO$]]="","100%",表格1[[#This Row],[total amount]]/表格1[[#This Row],[PO$]])</f>
        <v>1</v>
      </c>
      <c r="AR840" s="223">
        <f ca="1">表格1[[#This Row],[invoice amount]]+表格1[[#This Row],[invoice amount2]]</f>
        <v>59149.02</v>
      </c>
      <c r="AS840" s="224" t="s">
        <v>4371</v>
      </c>
      <c r="AT840" s="208"/>
      <c r="AU840" s="208" t="e">
        <f ca="1">VLOOKUP(表格1[[#This Row],[PO+ITEM]],#REF!,2,FALSE)</f>
        <v>#REF!</v>
      </c>
      <c r="AV840" s="341" t="e">
        <f ca="1">VLOOKUP(表格1[[#This Row],[PO+ITEM]],#REF!,3,FALSE)</f>
        <v>#REF!</v>
      </c>
      <c r="AW840" s="208" t="e">
        <f ca="1">VLOOKUP(表格1[[#This Row],[PO+ITEM]],#REF!,4,FALSE)</f>
        <v>#REF!</v>
      </c>
      <c r="AX840" s="208" t="e" cm="1" vm="1">
        <f t="array" aca="1" ref="AX840" ca="1">VLOOKUP(AI:AI,#REF!,1,FALSE)</f>
        <v>#VALUE!</v>
      </c>
    </row>
    <row r="841" spans="1:50" ht="15.6">
      <c r="A841" s="220">
        <v>835</v>
      </c>
      <c r="B841" s="220" t="s">
        <v>3659</v>
      </c>
      <c r="C841" s="209" t="s">
        <v>17</v>
      </c>
      <c r="D841" s="209" t="s">
        <v>3648</v>
      </c>
      <c r="E841" s="209"/>
      <c r="F841" s="209"/>
      <c r="G841" s="209"/>
      <c r="H841" s="210" t="s">
        <v>5610</v>
      </c>
      <c r="I841" s="210"/>
      <c r="J841" s="211"/>
      <c r="K841" s="210"/>
      <c r="L841" s="212" t="s">
        <v>2999</v>
      </c>
      <c r="M841" s="212" t="s">
        <v>2999</v>
      </c>
      <c r="N841" s="213"/>
      <c r="O841" s="263">
        <v>4590007911</v>
      </c>
      <c r="P841" s="214">
        <v>44867</v>
      </c>
      <c r="Q841" s="334">
        <v>2</v>
      </c>
      <c r="R841" s="216">
        <v>59149.02</v>
      </c>
      <c r="S841" s="217" t="s">
        <v>2156</v>
      </c>
      <c r="T841" s="209" t="s">
        <v>3913</v>
      </c>
      <c r="U841" s="209" t="s">
        <v>3914</v>
      </c>
      <c r="V841" s="213" t="s">
        <v>3915</v>
      </c>
      <c r="W841" s="218" t="s">
        <v>3652</v>
      </c>
      <c r="X841" s="218" t="s">
        <v>3652</v>
      </c>
      <c r="Y841" s="212">
        <v>0</v>
      </c>
      <c r="Z841" s="209" t="s">
        <v>5606</v>
      </c>
      <c r="AA841" s="215"/>
      <c r="AB841" s="218"/>
      <c r="AC841" s="217" t="e">
        <v>#N/A</v>
      </c>
      <c r="AD841" s="217">
        <v>91195</v>
      </c>
      <c r="AE841" s="217" t="s">
        <v>5611</v>
      </c>
      <c r="AF841" s="217" t="s">
        <v>3918</v>
      </c>
      <c r="AG841" s="217" t="s">
        <v>3919</v>
      </c>
      <c r="AH841" s="220" t="str">
        <f t="shared" si="55"/>
        <v>4590007911_002</v>
      </c>
      <c r="AI841" s="208"/>
      <c r="AJ841" s="225">
        <v>44958</v>
      </c>
      <c r="AK841" s="221">
        <v>23659.608</v>
      </c>
      <c r="AL841" s="226">
        <v>45015</v>
      </c>
      <c r="AM841" s="208"/>
      <c r="AN841" s="220"/>
      <c r="AO841" s="222"/>
      <c r="AP841" s="227"/>
      <c r="AQ841" s="358">
        <f ca="1">IF(表格1[[#This Row],[PO$]]="","100%",表格1[[#This Row],[total amount]]/表格1[[#This Row],[PO$]])</f>
        <v>0.4</v>
      </c>
      <c r="AR841" s="223">
        <f ca="1">表格1[[#This Row],[invoice amount]]+表格1[[#This Row],[invoice amount2]]</f>
        <v>23659.608</v>
      </c>
      <c r="AS841" s="224" t="s">
        <v>3673</v>
      </c>
      <c r="AT841" s="208"/>
      <c r="AU841" s="208" t="e">
        <f ca="1">VLOOKUP(表格1[[#This Row],[PO+ITEM]],#REF!,2,FALSE)</f>
        <v>#REF!</v>
      </c>
      <c r="AV841" s="341" t="e">
        <f ca="1">VLOOKUP(表格1[[#This Row],[PO+ITEM]],#REF!,3,FALSE)</f>
        <v>#REF!</v>
      </c>
      <c r="AW841" s="208" t="e">
        <f ca="1">VLOOKUP(表格1[[#This Row],[PO+ITEM]],#REF!,4,FALSE)</f>
        <v>#REF!</v>
      </c>
      <c r="AX841" s="208" t="e" cm="1" vm="1">
        <f t="array" aca="1" ref="AX841" ca="1">VLOOKUP(AI:AI,#REF!,1,FALSE)</f>
        <v>#VALUE!</v>
      </c>
    </row>
    <row r="842" spans="1:50" ht="15.6">
      <c r="A842" s="220">
        <v>836</v>
      </c>
      <c r="B842" s="220" t="s">
        <v>3674</v>
      </c>
      <c r="C842" s="209" t="s">
        <v>17</v>
      </c>
      <c r="D842" s="209" t="s">
        <v>3648</v>
      </c>
      <c r="E842" s="209"/>
      <c r="F842" s="209"/>
      <c r="G842" s="209"/>
      <c r="H842" s="210" t="s">
        <v>5613</v>
      </c>
      <c r="I842" s="210"/>
      <c r="J842" s="211"/>
      <c r="K842" s="210"/>
      <c r="L842" s="212" t="s">
        <v>2999</v>
      </c>
      <c r="M842" s="212" t="s">
        <v>2999</v>
      </c>
      <c r="N842" s="213"/>
      <c r="O842" s="263">
        <v>4590007912</v>
      </c>
      <c r="P842" s="214">
        <v>44867</v>
      </c>
      <c r="Q842" s="334">
        <v>1</v>
      </c>
      <c r="R842" s="216">
        <v>181112.68</v>
      </c>
      <c r="S842" s="217" t="s">
        <v>2156</v>
      </c>
      <c r="T842" s="209" t="s">
        <v>3913</v>
      </c>
      <c r="U842" s="209" t="s">
        <v>3914</v>
      </c>
      <c r="V842" s="213" t="s">
        <v>3915</v>
      </c>
      <c r="W842" s="218" t="s">
        <v>3652</v>
      </c>
      <c r="X842" s="218" t="s">
        <v>3652</v>
      </c>
      <c r="Y842" s="212">
        <v>0</v>
      </c>
      <c r="Z842" s="209" t="s">
        <v>5614</v>
      </c>
      <c r="AA842" s="215"/>
      <c r="AB842" s="218"/>
      <c r="AC842" s="217" t="e">
        <v>#N/A</v>
      </c>
      <c r="AD842" s="217">
        <v>90728</v>
      </c>
      <c r="AE842" s="217" t="s">
        <v>5615</v>
      </c>
      <c r="AF842" s="217" t="s">
        <v>3918</v>
      </c>
      <c r="AG842" s="217" t="s">
        <v>3919</v>
      </c>
      <c r="AH842" s="220" t="str">
        <f t="shared" si="55"/>
        <v>4590007912_001</v>
      </c>
      <c r="AI842" s="208"/>
      <c r="AJ842" s="225">
        <v>44958</v>
      </c>
      <c r="AK842" s="221">
        <v>72445.072</v>
      </c>
      <c r="AL842" s="228">
        <v>45030</v>
      </c>
      <c r="AM842" s="208" t="s">
        <v>5617</v>
      </c>
      <c r="AN842" s="227">
        <v>45408</v>
      </c>
      <c r="AO842" s="222">
        <v>108667.60799999999</v>
      </c>
      <c r="AP842" s="227">
        <v>45471</v>
      </c>
      <c r="AQ842" s="358">
        <f ca="1">IF(表格1[[#This Row],[PO$]]="","100%",表格1[[#This Row],[total amount]]/表格1[[#This Row],[PO$]])</f>
        <v>1</v>
      </c>
      <c r="AR842" s="223">
        <f ca="1">表格1[[#This Row],[invoice amount]]+表格1[[#This Row],[invoice amount2]]</f>
        <v>181112.68</v>
      </c>
      <c r="AS842" s="224" t="s">
        <v>3673</v>
      </c>
      <c r="AT842" s="208"/>
      <c r="AU842" s="208" t="e">
        <f ca="1">VLOOKUP(表格1[[#This Row],[PO+ITEM]],#REF!,2,FALSE)</f>
        <v>#REF!</v>
      </c>
      <c r="AV842" s="341" t="e">
        <f ca="1">VLOOKUP(表格1[[#This Row],[PO+ITEM]],#REF!,3,FALSE)</f>
        <v>#REF!</v>
      </c>
      <c r="AW842" s="208" t="e">
        <f ca="1">VLOOKUP(表格1[[#This Row],[PO+ITEM]],#REF!,4,FALSE)</f>
        <v>#REF!</v>
      </c>
      <c r="AX842" s="208" t="e" cm="1" vm="1">
        <f t="array" aca="1" ref="AX842" ca="1">VLOOKUP(AI:AI,#REF!,1,FALSE)</f>
        <v>#VALUE!</v>
      </c>
    </row>
    <row r="843" spans="1:50" ht="15.6">
      <c r="A843" s="220">
        <v>837</v>
      </c>
      <c r="B843" s="220" t="s">
        <v>3674</v>
      </c>
      <c r="C843" s="209" t="s">
        <v>17</v>
      </c>
      <c r="D843" s="209" t="s">
        <v>3648</v>
      </c>
      <c r="E843" s="209"/>
      <c r="F843" s="209"/>
      <c r="G843" s="209"/>
      <c r="H843" s="210" t="s">
        <v>5618</v>
      </c>
      <c r="I843" s="210"/>
      <c r="J843" s="211"/>
      <c r="K843" s="210"/>
      <c r="L843" s="212" t="s">
        <v>2999</v>
      </c>
      <c r="M843" s="212" t="s">
        <v>2999</v>
      </c>
      <c r="N843" s="213"/>
      <c r="O843" s="263">
        <v>4590007912</v>
      </c>
      <c r="P843" s="214">
        <v>44867</v>
      </c>
      <c r="Q843" s="334">
        <v>2</v>
      </c>
      <c r="R843" s="216">
        <v>86299.29</v>
      </c>
      <c r="S843" s="217" t="s">
        <v>2156</v>
      </c>
      <c r="T843" s="209" t="s">
        <v>3913</v>
      </c>
      <c r="U843" s="209" t="s">
        <v>3914</v>
      </c>
      <c r="V843" s="213" t="s">
        <v>3915</v>
      </c>
      <c r="W843" s="218" t="s">
        <v>3652</v>
      </c>
      <c r="X843" s="218" t="s">
        <v>3652</v>
      </c>
      <c r="Y843" s="212">
        <v>0</v>
      </c>
      <c r="Z843" s="209" t="s">
        <v>5614</v>
      </c>
      <c r="AA843" s="215"/>
      <c r="AB843" s="218"/>
      <c r="AC843" s="217" t="e">
        <v>#N/A</v>
      </c>
      <c r="AD843" s="217">
        <v>90741</v>
      </c>
      <c r="AE843" s="217" t="s">
        <v>5619</v>
      </c>
      <c r="AF843" s="217" t="s">
        <v>3918</v>
      </c>
      <c r="AG843" s="217" t="s">
        <v>3919</v>
      </c>
      <c r="AH843" s="220" t="str">
        <f t="shared" si="55"/>
        <v>4590007912_002</v>
      </c>
      <c r="AI843" s="208"/>
      <c r="AJ843" s="225">
        <v>44958</v>
      </c>
      <c r="AK843" s="221">
        <v>34519.716</v>
      </c>
      <c r="AL843" s="228">
        <v>45030</v>
      </c>
      <c r="AM843" s="36" t="s">
        <v>5620</v>
      </c>
      <c r="AN843" s="227">
        <v>45483</v>
      </c>
      <c r="AO843" s="222"/>
      <c r="AP843" s="227"/>
      <c r="AQ843" s="358">
        <f ca="1">IF(表格1[[#This Row],[PO$]]="","100%",表格1[[#This Row],[total amount]]/表格1[[#This Row],[PO$]])</f>
        <v>0.4</v>
      </c>
      <c r="AR843" s="223">
        <f ca="1">表格1[[#This Row],[invoice amount]]+表格1[[#This Row],[invoice amount2]]</f>
        <v>34519.716</v>
      </c>
      <c r="AS843" s="224" t="s">
        <v>4235</v>
      </c>
      <c r="AT843" s="208"/>
      <c r="AU843" s="208" t="e">
        <f ca="1">VLOOKUP(表格1[[#This Row],[PO+ITEM]],#REF!,2,FALSE)</f>
        <v>#REF!</v>
      </c>
      <c r="AV843" s="341" t="e">
        <f ca="1">VLOOKUP(表格1[[#This Row],[PO+ITEM]],#REF!,3,FALSE)</f>
        <v>#REF!</v>
      </c>
      <c r="AW843" s="208" t="e">
        <f ca="1">VLOOKUP(表格1[[#This Row],[PO+ITEM]],#REF!,4,FALSE)</f>
        <v>#REF!</v>
      </c>
      <c r="AX843" s="208" t="e" cm="1" vm="1">
        <f t="array" aca="1" ref="AX843" ca="1">VLOOKUP(AI:AI,#REF!,1,FALSE)</f>
        <v>#VALUE!</v>
      </c>
    </row>
    <row r="844" spans="1:50" ht="15.6">
      <c r="A844" s="220">
        <v>838</v>
      </c>
      <c r="B844" s="220" t="s">
        <v>3674</v>
      </c>
      <c r="C844" s="209" t="s">
        <v>17</v>
      </c>
      <c r="D844" s="209" t="s">
        <v>3648</v>
      </c>
      <c r="E844" s="209"/>
      <c r="F844" s="209"/>
      <c r="G844" s="209"/>
      <c r="H844" s="210" t="s">
        <v>5621</v>
      </c>
      <c r="I844" s="210"/>
      <c r="J844" s="211"/>
      <c r="K844" s="210"/>
      <c r="L844" s="212" t="s">
        <v>2999</v>
      </c>
      <c r="M844" s="212" t="s">
        <v>2999</v>
      </c>
      <c r="N844" s="213"/>
      <c r="O844" s="263">
        <v>4590007912</v>
      </c>
      <c r="P844" s="214">
        <v>44867</v>
      </c>
      <c r="Q844" s="334">
        <v>3</v>
      </c>
      <c r="R844" s="216">
        <v>66153.75</v>
      </c>
      <c r="S844" s="217" t="s">
        <v>2156</v>
      </c>
      <c r="T844" s="209" t="s">
        <v>3913</v>
      </c>
      <c r="U844" s="209" t="s">
        <v>3914</v>
      </c>
      <c r="V844" s="213" t="s">
        <v>3915</v>
      </c>
      <c r="W844" s="218" t="s">
        <v>3652</v>
      </c>
      <c r="X844" s="218" t="s">
        <v>3652</v>
      </c>
      <c r="Y844" s="212">
        <v>0</v>
      </c>
      <c r="Z844" s="209" t="s">
        <v>5614</v>
      </c>
      <c r="AA844" s="215"/>
      <c r="AB844" s="218"/>
      <c r="AC844" s="217" t="e">
        <v>#N/A</v>
      </c>
      <c r="AD844" s="217">
        <v>90740</v>
      </c>
      <c r="AE844" s="217" t="s">
        <v>5622</v>
      </c>
      <c r="AF844" s="217" t="s">
        <v>3918</v>
      </c>
      <c r="AG844" s="217" t="s">
        <v>3919</v>
      </c>
      <c r="AH844" s="220" t="str">
        <f t="shared" si="55"/>
        <v>4590007912_003</v>
      </c>
      <c r="AI844" s="208"/>
      <c r="AJ844" s="225">
        <v>44958</v>
      </c>
      <c r="AK844" s="221">
        <v>26461.5</v>
      </c>
      <c r="AL844" s="226">
        <v>45015</v>
      </c>
      <c r="AM844" s="208" t="s">
        <v>5624</v>
      </c>
      <c r="AN844" s="227">
        <v>45450</v>
      </c>
      <c r="AO844" s="222">
        <v>39692.25</v>
      </c>
      <c r="AP844" s="227" t="s">
        <v>3805</v>
      </c>
      <c r="AQ844" s="358">
        <f ca="1">IF(表格1[[#This Row],[PO$]]="","100%",表格1[[#This Row],[total amount]]/表格1[[#This Row],[PO$]])</f>
        <v>1</v>
      </c>
      <c r="AR844" s="223">
        <f ca="1">表格1[[#This Row],[invoice amount]]+表格1[[#This Row],[invoice amount2]]</f>
        <v>66153.75</v>
      </c>
      <c r="AS844" s="224" t="s">
        <v>4371</v>
      </c>
      <c r="AT844" s="208"/>
      <c r="AU844" s="208" t="e">
        <f ca="1">VLOOKUP(表格1[[#This Row],[PO+ITEM]],#REF!,2,FALSE)</f>
        <v>#REF!</v>
      </c>
      <c r="AV844" s="341" t="e">
        <f ca="1">VLOOKUP(表格1[[#This Row],[PO+ITEM]],#REF!,3,FALSE)</f>
        <v>#REF!</v>
      </c>
      <c r="AW844" s="208" t="e">
        <f ca="1">VLOOKUP(表格1[[#This Row],[PO+ITEM]],#REF!,4,FALSE)</f>
        <v>#REF!</v>
      </c>
      <c r="AX844" s="208" t="e" cm="1" vm="1">
        <f t="array" aca="1" ref="AX844" ca="1">VLOOKUP(AI:AI,#REF!,1,FALSE)</f>
        <v>#VALUE!</v>
      </c>
    </row>
    <row r="845" spans="1:50" ht="15.6">
      <c r="A845" s="220">
        <v>839</v>
      </c>
      <c r="B845" s="220" t="s">
        <v>3659</v>
      </c>
      <c r="C845" s="209" t="s">
        <v>17</v>
      </c>
      <c r="D845" s="209" t="s">
        <v>3648</v>
      </c>
      <c r="E845" s="209"/>
      <c r="F845" s="209"/>
      <c r="G845" s="209"/>
      <c r="H845" s="210" t="s">
        <v>5625</v>
      </c>
      <c r="I845" s="210"/>
      <c r="J845" s="211"/>
      <c r="K845" s="210"/>
      <c r="L845" s="212" t="s">
        <v>2999</v>
      </c>
      <c r="M845" s="212" t="s">
        <v>2999</v>
      </c>
      <c r="N845" s="213"/>
      <c r="O845" s="263">
        <v>4590007912</v>
      </c>
      <c r="P845" s="214">
        <v>44867</v>
      </c>
      <c r="Q845" s="334">
        <v>4</v>
      </c>
      <c r="R845" s="216">
        <v>66153.75</v>
      </c>
      <c r="S845" s="217" t="s">
        <v>2156</v>
      </c>
      <c r="T845" s="209" t="s">
        <v>3913</v>
      </c>
      <c r="U845" s="209" t="s">
        <v>3914</v>
      </c>
      <c r="V845" s="213" t="s">
        <v>3915</v>
      </c>
      <c r="W845" s="218" t="s">
        <v>3652</v>
      </c>
      <c r="X845" s="218" t="s">
        <v>3652</v>
      </c>
      <c r="Y845" s="212">
        <v>0</v>
      </c>
      <c r="Z845" s="209" t="s">
        <v>5614</v>
      </c>
      <c r="AA845" s="215"/>
      <c r="AB845" s="218"/>
      <c r="AC845" s="217" t="e">
        <v>#N/A</v>
      </c>
      <c r="AD845" s="217">
        <v>91209</v>
      </c>
      <c r="AE845" s="217" t="s">
        <v>5626</v>
      </c>
      <c r="AF845" s="217" t="s">
        <v>3918</v>
      </c>
      <c r="AG845" s="217" t="s">
        <v>3919</v>
      </c>
      <c r="AH845" s="220" t="str">
        <f t="shared" si="55"/>
        <v>4590007912_004</v>
      </c>
      <c r="AI845" s="208"/>
      <c r="AJ845" s="225">
        <v>44958</v>
      </c>
      <c r="AK845" s="221">
        <v>26461.5</v>
      </c>
      <c r="AL845" s="228">
        <v>45030</v>
      </c>
      <c r="AM845" s="208"/>
      <c r="AN845" s="220"/>
      <c r="AO845" s="222"/>
      <c r="AP845" s="227"/>
      <c r="AQ845" s="358">
        <f ca="1">IF(表格1[[#This Row],[PO$]]="","100%",表格1[[#This Row],[total amount]]/表格1[[#This Row],[PO$]])</f>
        <v>0.4</v>
      </c>
      <c r="AR845" s="223">
        <f ca="1">表格1[[#This Row],[invoice amount]]+表格1[[#This Row],[invoice amount2]]</f>
        <v>26461.5</v>
      </c>
      <c r="AS845" s="224" t="s">
        <v>3673</v>
      </c>
      <c r="AT845" s="208"/>
      <c r="AU845" s="208" t="e">
        <f ca="1">VLOOKUP(表格1[[#This Row],[PO+ITEM]],#REF!,2,FALSE)</f>
        <v>#REF!</v>
      </c>
      <c r="AV845" s="341" t="e">
        <f ca="1">VLOOKUP(表格1[[#This Row],[PO+ITEM]],#REF!,3,FALSE)</f>
        <v>#REF!</v>
      </c>
      <c r="AW845" s="208" t="e">
        <f ca="1">VLOOKUP(表格1[[#This Row],[PO+ITEM]],#REF!,4,FALSE)</f>
        <v>#REF!</v>
      </c>
      <c r="AX845" s="208" t="e" cm="1" vm="1">
        <f t="array" aca="1" ref="AX845" ca="1">VLOOKUP(AI:AI,#REF!,1,FALSE)</f>
        <v>#VALUE!</v>
      </c>
    </row>
    <row r="846" spans="1:50" ht="15.6">
      <c r="A846" s="220">
        <v>840</v>
      </c>
      <c r="B846" s="220" t="s">
        <v>3674</v>
      </c>
      <c r="C846" s="209" t="s">
        <v>17</v>
      </c>
      <c r="D846" s="209" t="s">
        <v>3648</v>
      </c>
      <c r="E846" s="209"/>
      <c r="F846" s="209"/>
      <c r="G846" s="209"/>
      <c r="H846" s="210" t="s">
        <v>5627</v>
      </c>
      <c r="I846" s="210"/>
      <c r="J846" s="211"/>
      <c r="K846" s="210"/>
      <c r="L846" s="212" t="s">
        <v>2999</v>
      </c>
      <c r="M846" s="212" t="s">
        <v>2999</v>
      </c>
      <c r="N846" s="213"/>
      <c r="O846" s="263">
        <v>4590007912</v>
      </c>
      <c r="P846" s="214">
        <v>44867</v>
      </c>
      <c r="Q846" s="334">
        <v>5</v>
      </c>
      <c r="R846" s="216">
        <v>66153.75</v>
      </c>
      <c r="S846" s="217" t="s">
        <v>2156</v>
      </c>
      <c r="T846" s="209" t="s">
        <v>3913</v>
      </c>
      <c r="U846" s="209" t="s">
        <v>3914</v>
      </c>
      <c r="V846" s="213" t="s">
        <v>3915</v>
      </c>
      <c r="W846" s="218" t="s">
        <v>3652</v>
      </c>
      <c r="X846" s="218" t="s">
        <v>3652</v>
      </c>
      <c r="Y846" s="212">
        <v>0</v>
      </c>
      <c r="Z846" s="209" t="s">
        <v>5614</v>
      </c>
      <c r="AA846" s="215"/>
      <c r="AB846" s="218"/>
      <c r="AC846" s="217" t="e">
        <v>#N/A</v>
      </c>
      <c r="AD846" s="217">
        <v>90735</v>
      </c>
      <c r="AE846" s="217" t="s">
        <v>5628</v>
      </c>
      <c r="AF846" s="217" t="s">
        <v>3918</v>
      </c>
      <c r="AG846" s="217" t="s">
        <v>3919</v>
      </c>
      <c r="AH846" s="220" t="str">
        <f t="shared" si="55"/>
        <v>4590007912_005</v>
      </c>
      <c r="AI846" s="208"/>
      <c r="AJ846" s="225">
        <v>44958</v>
      </c>
      <c r="AK846" s="221">
        <v>26461.5</v>
      </c>
      <c r="AL846" s="226">
        <v>45015</v>
      </c>
      <c r="AM846" s="208" t="s">
        <v>5630</v>
      </c>
      <c r="AN846" s="227">
        <v>45408</v>
      </c>
      <c r="AO846" s="222">
        <v>39692.25</v>
      </c>
      <c r="AP846" s="227">
        <v>45442</v>
      </c>
      <c r="AQ846" s="358">
        <f ca="1">IF(表格1[[#This Row],[PO$]]="","100%",表格1[[#This Row],[total amount]]/表格1[[#This Row],[PO$]])</f>
        <v>1</v>
      </c>
      <c r="AR846" s="223">
        <f ca="1">表格1[[#This Row],[invoice amount]]+表格1[[#This Row],[invoice amount2]]</f>
        <v>66153.75</v>
      </c>
      <c r="AS846" s="224" t="s">
        <v>3673</v>
      </c>
      <c r="AT846" s="208"/>
      <c r="AU846" s="208" t="e">
        <f ca="1">VLOOKUP(表格1[[#This Row],[PO+ITEM]],#REF!,2,FALSE)</f>
        <v>#REF!</v>
      </c>
      <c r="AV846" s="341" t="e">
        <f ca="1">VLOOKUP(表格1[[#This Row],[PO+ITEM]],#REF!,3,FALSE)</f>
        <v>#REF!</v>
      </c>
      <c r="AW846" s="208" t="e">
        <f ca="1">VLOOKUP(表格1[[#This Row],[PO+ITEM]],#REF!,4,FALSE)</f>
        <v>#REF!</v>
      </c>
      <c r="AX846" s="208" t="e" cm="1" vm="1">
        <f t="array" aca="1" ref="AX846" ca="1">VLOOKUP(AI:AI,#REF!,1,FALSE)</f>
        <v>#VALUE!</v>
      </c>
    </row>
    <row r="847" spans="1:50" ht="15.6">
      <c r="A847" s="220">
        <v>841</v>
      </c>
      <c r="B847" s="220" t="s">
        <v>3674</v>
      </c>
      <c r="C847" s="209" t="s">
        <v>17</v>
      </c>
      <c r="D847" s="209" t="s">
        <v>3648</v>
      </c>
      <c r="E847" s="209"/>
      <c r="F847" s="209"/>
      <c r="G847" s="209"/>
      <c r="H847" s="217" t="s">
        <v>5631</v>
      </c>
      <c r="I847" s="217"/>
      <c r="J847" s="215"/>
      <c r="K847" s="217"/>
      <c r="L847" s="212" t="s">
        <v>2999</v>
      </c>
      <c r="M847" s="212" t="s">
        <v>2999</v>
      </c>
      <c r="N847" s="213"/>
      <c r="O847" s="263">
        <v>4590007912</v>
      </c>
      <c r="P847" s="214">
        <v>44867</v>
      </c>
      <c r="Q847" s="334">
        <v>6</v>
      </c>
      <c r="R847" s="216">
        <v>66153.75</v>
      </c>
      <c r="S847" s="217" t="s">
        <v>2156</v>
      </c>
      <c r="T847" s="209" t="s">
        <v>3913</v>
      </c>
      <c r="U847" s="209" t="s">
        <v>3914</v>
      </c>
      <c r="V847" s="213" t="s">
        <v>3915</v>
      </c>
      <c r="W847" s="218" t="s">
        <v>3652</v>
      </c>
      <c r="X847" s="218" t="s">
        <v>3652</v>
      </c>
      <c r="Y847" s="212">
        <v>0</v>
      </c>
      <c r="Z847" s="209" t="s">
        <v>5614</v>
      </c>
      <c r="AA847" s="215"/>
      <c r="AB847" s="218"/>
      <c r="AC847" s="217" t="e">
        <v>#N/A</v>
      </c>
      <c r="AD847" s="217">
        <v>90736</v>
      </c>
      <c r="AE847" s="217" t="s">
        <v>5632</v>
      </c>
      <c r="AF847" s="217" t="s">
        <v>3918</v>
      </c>
      <c r="AG847" s="217" t="s">
        <v>3919</v>
      </c>
      <c r="AH847" s="220" t="str">
        <f t="shared" si="55"/>
        <v>4590007912_006</v>
      </c>
      <c r="AI847" s="208"/>
      <c r="AJ847" s="225">
        <v>44958</v>
      </c>
      <c r="AK847" s="221">
        <v>26461.5</v>
      </c>
      <c r="AL847" s="228">
        <v>45030</v>
      </c>
      <c r="AM847" s="208" t="s">
        <v>5633</v>
      </c>
      <c r="AN847" s="227">
        <v>45408</v>
      </c>
      <c r="AO847" s="222">
        <v>39692.25</v>
      </c>
      <c r="AP847" s="227">
        <v>45442</v>
      </c>
      <c r="AQ847" s="358">
        <f ca="1">IF(表格1[[#This Row],[PO$]]="","100%",表格1[[#This Row],[total amount]]/表格1[[#This Row],[PO$]])</f>
        <v>1</v>
      </c>
      <c r="AR847" s="223">
        <f ca="1">表格1[[#This Row],[invoice amount]]+表格1[[#This Row],[invoice amount2]]</f>
        <v>66153.75</v>
      </c>
      <c r="AS847" s="224" t="s">
        <v>3673</v>
      </c>
      <c r="AT847" s="208"/>
      <c r="AU847" s="208" t="e">
        <f ca="1">VLOOKUP(表格1[[#This Row],[PO+ITEM]],#REF!,2,FALSE)</f>
        <v>#REF!</v>
      </c>
      <c r="AV847" s="341" t="e">
        <f ca="1">VLOOKUP(表格1[[#This Row],[PO+ITEM]],#REF!,3,FALSE)</f>
        <v>#REF!</v>
      </c>
      <c r="AW847" s="208" t="e">
        <f ca="1">VLOOKUP(表格1[[#This Row],[PO+ITEM]],#REF!,4,FALSE)</f>
        <v>#REF!</v>
      </c>
      <c r="AX847" s="208" t="e" cm="1" vm="1">
        <f t="array" aca="1" ref="AX847" ca="1">VLOOKUP(AI:AI,#REF!,1,FALSE)</f>
        <v>#VALUE!</v>
      </c>
    </row>
    <row r="848" spans="1:50" ht="15.6">
      <c r="A848" s="220">
        <v>842</v>
      </c>
      <c r="B848" s="220" t="s">
        <v>3674</v>
      </c>
      <c r="C848" s="209" t="s">
        <v>17</v>
      </c>
      <c r="D848" s="209" t="s">
        <v>3648</v>
      </c>
      <c r="E848" s="209"/>
      <c r="F848" s="209"/>
      <c r="G848" s="209"/>
      <c r="H848" s="210" t="s">
        <v>5634</v>
      </c>
      <c r="I848" s="210"/>
      <c r="J848" s="211"/>
      <c r="K848" s="210"/>
      <c r="L848" s="212" t="s">
        <v>2999</v>
      </c>
      <c r="M848" s="212" t="s">
        <v>2999</v>
      </c>
      <c r="N848" s="213"/>
      <c r="O848" s="263">
        <v>4590007912</v>
      </c>
      <c r="P848" s="214">
        <v>44867</v>
      </c>
      <c r="Q848" s="334">
        <v>7</v>
      </c>
      <c r="R848" s="216">
        <v>86299.29</v>
      </c>
      <c r="S848" s="217" t="s">
        <v>2156</v>
      </c>
      <c r="T848" s="209" t="s">
        <v>3913</v>
      </c>
      <c r="U848" s="209" t="s">
        <v>3914</v>
      </c>
      <c r="V848" s="213" t="s">
        <v>3915</v>
      </c>
      <c r="W848" s="218" t="s">
        <v>3652</v>
      </c>
      <c r="X848" s="218" t="s">
        <v>3652</v>
      </c>
      <c r="Y848" s="212">
        <v>0</v>
      </c>
      <c r="Z848" s="209" t="s">
        <v>5614</v>
      </c>
      <c r="AA848" s="215"/>
      <c r="AB848" s="218"/>
      <c r="AC848" s="217" t="e">
        <v>#N/A</v>
      </c>
      <c r="AD848" s="217">
        <v>90737</v>
      </c>
      <c r="AE848" s="217" t="s">
        <v>5635</v>
      </c>
      <c r="AF848" s="217" t="s">
        <v>3918</v>
      </c>
      <c r="AG848" s="217" t="s">
        <v>3919</v>
      </c>
      <c r="AH848" s="220" t="str">
        <f t="shared" si="55"/>
        <v>4590007912_007</v>
      </c>
      <c r="AI848" s="208"/>
      <c r="AJ848" s="225">
        <v>44958</v>
      </c>
      <c r="AK848" s="221">
        <v>34519.716</v>
      </c>
      <c r="AL848" s="226">
        <v>45015</v>
      </c>
      <c r="AM848" s="208" t="s">
        <v>5637</v>
      </c>
      <c r="AN848" s="227">
        <v>45408</v>
      </c>
      <c r="AO848" s="222">
        <v>51779.573999999993</v>
      </c>
      <c r="AP848" s="345">
        <v>45458</v>
      </c>
      <c r="AQ848" s="358">
        <f ca="1">IF(表格1[[#This Row],[PO$]]="","100%",表格1[[#This Row],[total amount]]/表格1[[#This Row],[PO$]])</f>
        <v>1</v>
      </c>
      <c r="AR848" s="223">
        <f ca="1">表格1[[#This Row],[invoice amount]]+表格1[[#This Row],[invoice amount2]]</f>
        <v>86299.29</v>
      </c>
      <c r="AS848" s="224" t="s">
        <v>3725</v>
      </c>
      <c r="AT848" s="208"/>
      <c r="AU848" s="208" t="e">
        <f ca="1">VLOOKUP(表格1[[#This Row],[PO+ITEM]],#REF!,2,FALSE)</f>
        <v>#REF!</v>
      </c>
      <c r="AV848" s="341" t="e">
        <f ca="1">VLOOKUP(表格1[[#This Row],[PO+ITEM]],#REF!,3,FALSE)</f>
        <v>#REF!</v>
      </c>
      <c r="AW848" s="208" t="e">
        <f ca="1">VLOOKUP(表格1[[#This Row],[PO+ITEM]],#REF!,4,FALSE)</f>
        <v>#REF!</v>
      </c>
      <c r="AX848" s="208" t="e" cm="1" vm="1">
        <f t="array" aca="1" ref="AX848" ca="1">VLOOKUP(AI:AI,#REF!,1,FALSE)</f>
        <v>#VALUE!</v>
      </c>
    </row>
    <row r="849" spans="1:50" ht="15.6">
      <c r="A849" s="220">
        <v>843</v>
      </c>
      <c r="B849" s="220" t="s">
        <v>3659</v>
      </c>
      <c r="C849" s="209" t="s">
        <v>17</v>
      </c>
      <c r="D849" s="209" t="s">
        <v>3648</v>
      </c>
      <c r="E849" s="209"/>
      <c r="F849" s="209"/>
      <c r="G849" s="209"/>
      <c r="H849" s="210" t="s">
        <v>5638</v>
      </c>
      <c r="I849" s="210"/>
      <c r="J849" s="211"/>
      <c r="K849" s="210"/>
      <c r="L849" s="212" t="s">
        <v>2999</v>
      </c>
      <c r="M849" s="212" t="s">
        <v>2999</v>
      </c>
      <c r="N849" s="213"/>
      <c r="O849" s="263">
        <v>4590007912</v>
      </c>
      <c r="P849" s="214">
        <v>44867</v>
      </c>
      <c r="Q849" s="334">
        <v>8</v>
      </c>
      <c r="R849" s="216">
        <v>86299.29</v>
      </c>
      <c r="S849" s="217" t="s">
        <v>2156</v>
      </c>
      <c r="T849" s="209" t="s">
        <v>3913</v>
      </c>
      <c r="U849" s="209" t="s">
        <v>3914</v>
      </c>
      <c r="V849" s="213" t="s">
        <v>3915</v>
      </c>
      <c r="W849" s="218" t="s">
        <v>3652</v>
      </c>
      <c r="X849" s="218" t="s">
        <v>3652</v>
      </c>
      <c r="Y849" s="212">
        <v>0</v>
      </c>
      <c r="Z849" s="209" t="s">
        <v>5614</v>
      </c>
      <c r="AA849" s="215"/>
      <c r="AB849" s="218"/>
      <c r="AC849" s="217" t="e">
        <v>#N/A</v>
      </c>
      <c r="AD849" s="217">
        <v>91211</v>
      </c>
      <c r="AE849" s="217" t="s">
        <v>5639</v>
      </c>
      <c r="AF849" s="217" t="s">
        <v>3918</v>
      </c>
      <c r="AG849" s="217" t="s">
        <v>3919</v>
      </c>
      <c r="AH849" s="220" t="str">
        <f t="shared" si="55"/>
        <v>4590007912_008</v>
      </c>
      <c r="AI849" s="208"/>
      <c r="AJ849" s="225">
        <v>44958</v>
      </c>
      <c r="AK849" s="221">
        <v>34519.716</v>
      </c>
      <c r="AL849" s="228">
        <v>45030</v>
      </c>
      <c r="AM849" s="208"/>
      <c r="AN849" s="220"/>
      <c r="AO849" s="222"/>
      <c r="AP849" s="227"/>
      <c r="AQ849" s="358">
        <f ca="1">IF(表格1[[#This Row],[PO$]]="","100%",表格1[[#This Row],[total amount]]/表格1[[#This Row],[PO$]])</f>
        <v>0.4</v>
      </c>
      <c r="AR849" s="223">
        <f ca="1">表格1[[#This Row],[invoice amount]]+表格1[[#This Row],[invoice amount2]]</f>
        <v>34519.716</v>
      </c>
      <c r="AS849" s="224" t="s">
        <v>3673</v>
      </c>
      <c r="AT849" s="208"/>
      <c r="AU849" s="208" t="e">
        <f ca="1">VLOOKUP(表格1[[#This Row],[PO+ITEM]],#REF!,2,FALSE)</f>
        <v>#REF!</v>
      </c>
      <c r="AV849" s="341" t="e">
        <f ca="1">VLOOKUP(表格1[[#This Row],[PO+ITEM]],#REF!,3,FALSE)</f>
        <v>#REF!</v>
      </c>
      <c r="AW849" s="208" t="e">
        <f ca="1">VLOOKUP(表格1[[#This Row],[PO+ITEM]],#REF!,4,FALSE)</f>
        <v>#REF!</v>
      </c>
      <c r="AX849" s="208" t="e" cm="1" vm="1">
        <f t="array" aca="1" ref="AX849" ca="1">VLOOKUP(AI:AI,#REF!,1,FALSE)</f>
        <v>#VALUE!</v>
      </c>
    </row>
    <row r="850" spans="1:50" ht="15.6">
      <c r="A850" s="220">
        <v>844</v>
      </c>
      <c r="B850" s="220" t="s">
        <v>3659</v>
      </c>
      <c r="C850" s="209" t="s">
        <v>17</v>
      </c>
      <c r="D850" s="209" t="s">
        <v>3648</v>
      </c>
      <c r="E850" s="209"/>
      <c r="F850" s="209"/>
      <c r="G850" s="209"/>
      <c r="H850" s="217" t="s">
        <v>5640</v>
      </c>
      <c r="I850" s="217"/>
      <c r="J850" s="215"/>
      <c r="K850" s="217"/>
      <c r="L850" s="212" t="s">
        <v>2999</v>
      </c>
      <c r="M850" s="212" t="s">
        <v>2999</v>
      </c>
      <c r="N850" s="213"/>
      <c r="O850" s="263">
        <v>4590007912</v>
      </c>
      <c r="P850" s="214">
        <v>44867</v>
      </c>
      <c r="Q850" s="334">
        <v>9</v>
      </c>
      <c r="R850" s="216">
        <v>66153.75</v>
      </c>
      <c r="S850" s="217" t="s">
        <v>2156</v>
      </c>
      <c r="T850" s="209" t="s">
        <v>3913</v>
      </c>
      <c r="U850" s="209" t="s">
        <v>3914</v>
      </c>
      <c r="V850" s="213" t="s">
        <v>3915</v>
      </c>
      <c r="W850" s="218" t="s">
        <v>3652</v>
      </c>
      <c r="X850" s="218" t="s">
        <v>3652</v>
      </c>
      <c r="Y850" s="212">
        <v>0</v>
      </c>
      <c r="Z850" s="209" t="s">
        <v>5614</v>
      </c>
      <c r="AA850" s="215"/>
      <c r="AB850" s="218"/>
      <c r="AC850" s="217" t="e">
        <v>#N/A</v>
      </c>
      <c r="AD850" s="217">
        <v>90742</v>
      </c>
      <c r="AE850" s="217" t="s">
        <v>5641</v>
      </c>
      <c r="AF850" s="217" t="s">
        <v>3918</v>
      </c>
      <c r="AG850" s="217" t="s">
        <v>3919</v>
      </c>
      <c r="AH850" s="220" t="str">
        <f t="shared" si="55"/>
        <v>4590007912_009</v>
      </c>
      <c r="AI850" s="208"/>
      <c r="AJ850" s="225">
        <v>44958</v>
      </c>
      <c r="AK850" s="221">
        <v>26461.5</v>
      </c>
      <c r="AL850" s="226">
        <v>45015</v>
      </c>
      <c r="AM850" s="208"/>
      <c r="AN850" s="220"/>
      <c r="AO850" s="222"/>
      <c r="AP850" s="227"/>
      <c r="AQ850" s="358">
        <f ca="1">IF(表格1[[#This Row],[PO$]]="","100%",表格1[[#This Row],[total amount]]/表格1[[#This Row],[PO$]])</f>
        <v>0.4</v>
      </c>
      <c r="AR850" s="223">
        <f ca="1">表格1[[#This Row],[invoice amount]]+表格1[[#This Row],[invoice amount2]]</f>
        <v>26461.5</v>
      </c>
      <c r="AS850" s="224" t="s">
        <v>3673</v>
      </c>
      <c r="AT850" s="208"/>
      <c r="AU850" s="208" t="e">
        <f ca="1">VLOOKUP(表格1[[#This Row],[PO+ITEM]],#REF!,2,FALSE)</f>
        <v>#REF!</v>
      </c>
      <c r="AV850" s="341" t="e">
        <f ca="1">VLOOKUP(表格1[[#This Row],[PO+ITEM]],#REF!,3,FALSE)</f>
        <v>#REF!</v>
      </c>
      <c r="AW850" s="208" t="e">
        <f ca="1">VLOOKUP(表格1[[#This Row],[PO+ITEM]],#REF!,4,FALSE)</f>
        <v>#REF!</v>
      </c>
      <c r="AX850" s="208" t="e" cm="1" vm="1">
        <f t="array" aca="1" ref="AX850" ca="1">VLOOKUP(AI:AI,#REF!,1,FALSE)</f>
        <v>#VALUE!</v>
      </c>
    </row>
    <row r="851" spans="1:50" ht="15.6">
      <c r="A851" s="220">
        <v>845</v>
      </c>
      <c r="B851" s="220" t="s">
        <v>3674</v>
      </c>
      <c r="C851" s="209" t="s">
        <v>17</v>
      </c>
      <c r="D851" s="209" t="s">
        <v>3648</v>
      </c>
      <c r="E851" s="209"/>
      <c r="F851" s="209"/>
      <c r="G851" s="209"/>
      <c r="H851" s="210" t="s">
        <v>5643</v>
      </c>
      <c r="I851" s="210"/>
      <c r="J851" s="211"/>
      <c r="K851" s="210"/>
      <c r="L851" s="212" t="s">
        <v>2999</v>
      </c>
      <c r="M851" s="212" t="s">
        <v>2999</v>
      </c>
      <c r="N851" s="213"/>
      <c r="O851" s="263">
        <v>4590007912</v>
      </c>
      <c r="P851" s="214">
        <v>44867</v>
      </c>
      <c r="Q851" s="334">
        <v>10</v>
      </c>
      <c r="R851" s="216">
        <v>66153.75</v>
      </c>
      <c r="S851" s="217" t="s">
        <v>2156</v>
      </c>
      <c r="T851" s="209" t="s">
        <v>3913</v>
      </c>
      <c r="U851" s="209" t="s">
        <v>3914</v>
      </c>
      <c r="V851" s="213" t="s">
        <v>3915</v>
      </c>
      <c r="W851" s="218" t="s">
        <v>3652</v>
      </c>
      <c r="X851" s="218" t="s">
        <v>3652</v>
      </c>
      <c r="Y851" s="212">
        <v>0</v>
      </c>
      <c r="Z851" s="209" t="s">
        <v>5614</v>
      </c>
      <c r="AA851" s="215"/>
      <c r="AB851" s="218"/>
      <c r="AC851" s="217" t="e">
        <v>#N/A</v>
      </c>
      <c r="AD851" s="217">
        <v>90738</v>
      </c>
      <c r="AE851" s="217" t="s">
        <v>5644</v>
      </c>
      <c r="AF851" s="217" t="s">
        <v>3918</v>
      </c>
      <c r="AG851" s="217" t="s">
        <v>3919</v>
      </c>
      <c r="AH851" s="220" t="str">
        <f>O851&amp;"_0"&amp;Q851</f>
        <v>4590007912_010</v>
      </c>
      <c r="AI851" s="208"/>
      <c r="AJ851" s="225">
        <v>44958</v>
      </c>
      <c r="AK851" s="221">
        <v>26461.5</v>
      </c>
      <c r="AL851" s="226">
        <v>45015</v>
      </c>
      <c r="AM851" s="208" t="s">
        <v>5645</v>
      </c>
      <c r="AN851" s="227">
        <v>45408</v>
      </c>
      <c r="AO851" s="222">
        <v>39692.25</v>
      </c>
      <c r="AP851" s="227">
        <v>45442</v>
      </c>
      <c r="AQ851" s="358">
        <f ca="1">IF(表格1[[#This Row],[PO$]]="","100%",表格1[[#This Row],[total amount]]/表格1[[#This Row],[PO$]])</f>
        <v>1</v>
      </c>
      <c r="AR851" s="223">
        <f ca="1">表格1[[#This Row],[invoice amount]]+表格1[[#This Row],[invoice amount2]]</f>
        <v>66153.75</v>
      </c>
      <c r="AS851" s="224" t="s">
        <v>3673</v>
      </c>
      <c r="AT851" s="208"/>
      <c r="AU851" s="208" t="e">
        <f ca="1">VLOOKUP(表格1[[#This Row],[PO+ITEM]],#REF!,2,FALSE)</f>
        <v>#REF!</v>
      </c>
      <c r="AV851" s="341" t="e">
        <f ca="1">VLOOKUP(表格1[[#This Row],[PO+ITEM]],#REF!,3,FALSE)</f>
        <v>#REF!</v>
      </c>
      <c r="AW851" s="208" t="e">
        <f ca="1">VLOOKUP(表格1[[#This Row],[PO+ITEM]],#REF!,4,FALSE)</f>
        <v>#REF!</v>
      </c>
      <c r="AX851" s="208" t="e" cm="1" vm="1">
        <f t="array" aca="1" ref="AX851" ca="1">VLOOKUP(AI:AI,#REF!,1,FALSE)</f>
        <v>#VALUE!</v>
      </c>
    </row>
    <row r="852" spans="1:50" ht="15.6">
      <c r="A852" s="220">
        <v>846</v>
      </c>
      <c r="B852" s="220" t="s">
        <v>3659</v>
      </c>
      <c r="C852" s="209" t="s">
        <v>17</v>
      </c>
      <c r="D852" s="209" t="s">
        <v>3648</v>
      </c>
      <c r="E852" s="209"/>
      <c r="F852" s="209"/>
      <c r="G852" s="209"/>
      <c r="H852" s="210" t="s">
        <v>5646</v>
      </c>
      <c r="I852" s="210"/>
      <c r="J852" s="211"/>
      <c r="K852" s="210"/>
      <c r="L852" s="212" t="s">
        <v>2999</v>
      </c>
      <c r="M852" s="212" t="s">
        <v>2999</v>
      </c>
      <c r="N852" s="213"/>
      <c r="O852" s="263">
        <v>4590007912</v>
      </c>
      <c r="P852" s="214">
        <v>44867</v>
      </c>
      <c r="Q852" s="334">
        <v>11</v>
      </c>
      <c r="R852" s="216">
        <v>66153.75</v>
      </c>
      <c r="S852" s="217" t="s">
        <v>2156</v>
      </c>
      <c r="T852" s="209" t="s">
        <v>3913</v>
      </c>
      <c r="U852" s="209" t="s">
        <v>3914</v>
      </c>
      <c r="V852" s="213" t="s">
        <v>3915</v>
      </c>
      <c r="W852" s="218" t="s">
        <v>3652</v>
      </c>
      <c r="X852" s="218" t="s">
        <v>3652</v>
      </c>
      <c r="Y852" s="212">
        <v>0</v>
      </c>
      <c r="Z852" s="209" t="s">
        <v>5614</v>
      </c>
      <c r="AA852" s="215"/>
      <c r="AB852" s="218"/>
      <c r="AC852" s="217" t="e">
        <v>#N/A</v>
      </c>
      <c r="AD852" s="217">
        <v>91210</v>
      </c>
      <c r="AE852" s="217" t="s">
        <v>5647</v>
      </c>
      <c r="AF852" s="217" t="s">
        <v>3918</v>
      </c>
      <c r="AG852" s="217" t="s">
        <v>3919</v>
      </c>
      <c r="AH852" s="220" t="str">
        <f>O852&amp;"_0"&amp;Q852</f>
        <v>4590007912_011</v>
      </c>
      <c r="AI852" s="208"/>
      <c r="AJ852" s="225">
        <v>44958</v>
      </c>
      <c r="AK852" s="221">
        <v>26461.5</v>
      </c>
      <c r="AL852" s="226">
        <v>45015</v>
      </c>
      <c r="AM852" s="208"/>
      <c r="AN852" s="220"/>
      <c r="AO852" s="222"/>
      <c r="AP852" s="227"/>
      <c r="AQ852" s="358">
        <f ca="1">IF(表格1[[#This Row],[PO$]]="","100%",表格1[[#This Row],[total amount]]/表格1[[#This Row],[PO$]])</f>
        <v>0.4</v>
      </c>
      <c r="AR852" s="223">
        <f ca="1">表格1[[#This Row],[invoice amount]]+表格1[[#This Row],[invoice amount2]]</f>
        <v>26461.5</v>
      </c>
      <c r="AS852" s="224" t="s">
        <v>3673</v>
      </c>
      <c r="AT852" s="208"/>
      <c r="AU852" s="208" t="e">
        <f ca="1">VLOOKUP(表格1[[#This Row],[PO+ITEM]],#REF!,2,FALSE)</f>
        <v>#REF!</v>
      </c>
      <c r="AV852" s="341" t="e">
        <f ca="1">VLOOKUP(表格1[[#This Row],[PO+ITEM]],#REF!,3,FALSE)</f>
        <v>#REF!</v>
      </c>
      <c r="AW852" s="208" t="e">
        <f ca="1">VLOOKUP(表格1[[#This Row],[PO+ITEM]],#REF!,4,FALSE)</f>
        <v>#REF!</v>
      </c>
      <c r="AX852" s="208" t="e" cm="1" vm="1">
        <f t="array" aca="1" ref="AX852" ca="1">VLOOKUP(AI:AI,#REF!,1,FALSE)</f>
        <v>#VALUE!</v>
      </c>
    </row>
    <row r="853" spans="1:50" ht="15.6">
      <c r="A853" s="220">
        <v>847</v>
      </c>
      <c r="B853" s="220" t="s">
        <v>3674</v>
      </c>
      <c r="C853" s="209" t="s">
        <v>17</v>
      </c>
      <c r="D853" s="209" t="s">
        <v>3648</v>
      </c>
      <c r="E853" s="209"/>
      <c r="F853" s="209"/>
      <c r="G853" s="209"/>
      <c r="H853" s="210" t="s">
        <v>5649</v>
      </c>
      <c r="I853" s="210"/>
      <c r="J853" s="211"/>
      <c r="K853" s="210"/>
      <c r="L853" s="212" t="s">
        <v>2999</v>
      </c>
      <c r="M853" s="212" t="s">
        <v>2999</v>
      </c>
      <c r="N853" s="213"/>
      <c r="O853" s="263">
        <v>4590007912</v>
      </c>
      <c r="P853" s="214">
        <v>44867</v>
      </c>
      <c r="Q853" s="334">
        <v>12</v>
      </c>
      <c r="R853" s="216">
        <v>66153.75</v>
      </c>
      <c r="S853" s="217" t="s">
        <v>2156</v>
      </c>
      <c r="T853" s="209" t="s">
        <v>3913</v>
      </c>
      <c r="U853" s="209" t="s">
        <v>3914</v>
      </c>
      <c r="V853" s="213" t="s">
        <v>3915</v>
      </c>
      <c r="W853" s="218" t="s">
        <v>3652</v>
      </c>
      <c r="X853" s="218" t="s">
        <v>3652</v>
      </c>
      <c r="Y853" s="212">
        <v>0</v>
      </c>
      <c r="Z853" s="209" t="s">
        <v>5614</v>
      </c>
      <c r="AA853" s="215"/>
      <c r="AB853" s="218"/>
      <c r="AC853" s="217" t="e">
        <v>#N/A</v>
      </c>
      <c r="AD853" s="217">
        <v>90739</v>
      </c>
      <c r="AE853" s="217" t="s">
        <v>5650</v>
      </c>
      <c r="AF853" s="217" t="s">
        <v>3918</v>
      </c>
      <c r="AG853" s="217" t="s">
        <v>3919</v>
      </c>
      <c r="AH853" s="220" t="str">
        <f>O853&amp;"_0"&amp;Q853</f>
        <v>4590007912_012</v>
      </c>
      <c r="AI853" s="208"/>
      <c r="AJ853" s="225">
        <v>44958</v>
      </c>
      <c r="AK853" s="221">
        <v>26461.5</v>
      </c>
      <c r="AL853" s="228">
        <v>45030</v>
      </c>
      <c r="AM853" s="208" t="s">
        <v>5651</v>
      </c>
      <c r="AN853" s="227">
        <v>45408</v>
      </c>
      <c r="AO853" s="222">
        <v>39692.25</v>
      </c>
      <c r="AP853" s="227">
        <v>45442</v>
      </c>
      <c r="AQ853" s="358">
        <f ca="1">IF(表格1[[#This Row],[PO$]]="","100%",表格1[[#This Row],[total amount]]/表格1[[#This Row],[PO$]])</f>
        <v>1</v>
      </c>
      <c r="AR853" s="223">
        <f ca="1">表格1[[#This Row],[invoice amount]]+表格1[[#This Row],[invoice amount2]]</f>
        <v>66153.75</v>
      </c>
      <c r="AS853" s="224" t="s">
        <v>3673</v>
      </c>
      <c r="AT853" s="208"/>
      <c r="AU853" s="208" t="e">
        <f ca="1">VLOOKUP(表格1[[#This Row],[PO+ITEM]],#REF!,2,FALSE)</f>
        <v>#REF!</v>
      </c>
      <c r="AV853" s="341" t="e">
        <f ca="1">VLOOKUP(表格1[[#This Row],[PO+ITEM]],#REF!,3,FALSE)</f>
        <v>#REF!</v>
      </c>
      <c r="AW853" s="208" t="e">
        <f ca="1">VLOOKUP(表格1[[#This Row],[PO+ITEM]],#REF!,4,FALSE)</f>
        <v>#REF!</v>
      </c>
      <c r="AX853" s="208" t="e" cm="1" vm="1">
        <f t="array" aca="1" ref="AX853" ca="1">VLOOKUP(AI:AI,#REF!,1,FALSE)</f>
        <v>#VALUE!</v>
      </c>
    </row>
    <row r="854" spans="1:50" ht="15.6">
      <c r="A854" s="220">
        <v>848</v>
      </c>
      <c r="B854" s="220" t="s">
        <v>3659</v>
      </c>
      <c r="C854" s="209" t="s">
        <v>17</v>
      </c>
      <c r="D854" s="209" t="s">
        <v>3648</v>
      </c>
      <c r="E854" s="209"/>
      <c r="F854" s="209"/>
      <c r="G854" s="209"/>
      <c r="H854" s="210" t="s">
        <v>5652</v>
      </c>
      <c r="I854" s="210"/>
      <c r="J854" s="211"/>
      <c r="K854" s="210"/>
      <c r="L854" s="212" t="s">
        <v>2999</v>
      </c>
      <c r="M854" s="212" t="s">
        <v>2999</v>
      </c>
      <c r="N854" s="213"/>
      <c r="O854" s="263">
        <v>4590007912</v>
      </c>
      <c r="P854" s="214">
        <v>44867</v>
      </c>
      <c r="Q854" s="334">
        <v>13</v>
      </c>
      <c r="R854" s="216">
        <v>66153.75</v>
      </c>
      <c r="S854" s="217" t="s">
        <v>2156</v>
      </c>
      <c r="T854" s="209" t="s">
        <v>3913</v>
      </c>
      <c r="U854" s="209" t="s">
        <v>3914</v>
      </c>
      <c r="V854" s="213" t="s">
        <v>3915</v>
      </c>
      <c r="W854" s="218" t="s">
        <v>3652</v>
      </c>
      <c r="X854" s="218" t="s">
        <v>3652</v>
      </c>
      <c r="Y854" s="212">
        <v>0</v>
      </c>
      <c r="Z854" s="209" t="s">
        <v>5614</v>
      </c>
      <c r="AA854" s="215"/>
      <c r="AB854" s="218"/>
      <c r="AC854" s="217" t="e">
        <v>#N/A</v>
      </c>
      <c r="AD854" s="217">
        <v>90743</v>
      </c>
      <c r="AE854" s="217" t="s">
        <v>5653</v>
      </c>
      <c r="AF854" s="217" t="s">
        <v>3918</v>
      </c>
      <c r="AG854" s="217" t="s">
        <v>3919</v>
      </c>
      <c r="AH854" s="220" t="str">
        <f>O854&amp;"_0"&amp;Q854</f>
        <v>4590007912_013</v>
      </c>
      <c r="AI854" s="208"/>
      <c r="AJ854" s="225">
        <v>44958</v>
      </c>
      <c r="AK854" s="221">
        <v>26461.5</v>
      </c>
      <c r="AL854" s="226">
        <v>45015</v>
      </c>
      <c r="AM854" s="208"/>
      <c r="AN854" s="220"/>
      <c r="AO854" s="222"/>
      <c r="AP854" s="227"/>
      <c r="AQ854" s="358">
        <f ca="1">IF(表格1[[#This Row],[PO$]]="","100%",表格1[[#This Row],[total amount]]/表格1[[#This Row],[PO$]])</f>
        <v>0.4</v>
      </c>
      <c r="AR854" s="223">
        <f ca="1">表格1[[#This Row],[invoice amount]]+表格1[[#This Row],[invoice amount2]]</f>
        <v>26461.5</v>
      </c>
      <c r="AS854" s="224" t="s">
        <v>3673</v>
      </c>
      <c r="AT854" s="208"/>
      <c r="AU854" s="208" t="e">
        <f ca="1">VLOOKUP(表格1[[#This Row],[PO+ITEM]],#REF!,2,FALSE)</f>
        <v>#REF!</v>
      </c>
      <c r="AV854" s="341" t="e">
        <f ca="1">VLOOKUP(表格1[[#This Row],[PO+ITEM]],#REF!,3,FALSE)</f>
        <v>#REF!</v>
      </c>
      <c r="AW854" s="208" t="e">
        <f ca="1">VLOOKUP(表格1[[#This Row],[PO+ITEM]],#REF!,4,FALSE)</f>
        <v>#REF!</v>
      </c>
      <c r="AX854" s="208" t="e" cm="1" vm="1">
        <f t="array" aca="1" ref="AX854" ca="1">VLOOKUP(AI:AI,#REF!,1,FALSE)</f>
        <v>#VALUE!</v>
      </c>
    </row>
    <row r="855" spans="1:50" ht="15.6">
      <c r="A855" s="220">
        <v>849</v>
      </c>
      <c r="B855" s="220" t="s">
        <v>3674</v>
      </c>
      <c r="C855" s="209" t="s">
        <v>17</v>
      </c>
      <c r="D855" s="209" t="s">
        <v>3648</v>
      </c>
      <c r="E855" s="209"/>
      <c r="F855" s="209"/>
      <c r="G855" s="209"/>
      <c r="H855" s="210" t="s">
        <v>5655</v>
      </c>
      <c r="I855" s="210"/>
      <c r="J855" s="211"/>
      <c r="K855" s="210"/>
      <c r="L855" s="212" t="s">
        <v>2999</v>
      </c>
      <c r="M855" s="212" t="s">
        <v>2999</v>
      </c>
      <c r="N855" s="213"/>
      <c r="O855" s="263">
        <v>4590007916</v>
      </c>
      <c r="P855" s="214">
        <v>44867</v>
      </c>
      <c r="Q855" s="334">
        <v>1</v>
      </c>
      <c r="R855" s="216">
        <v>108761.25</v>
      </c>
      <c r="S855" s="217" t="s">
        <v>2156</v>
      </c>
      <c r="T855" s="209" t="s">
        <v>3913</v>
      </c>
      <c r="U855" s="209" t="s">
        <v>3914</v>
      </c>
      <c r="V855" s="213" t="s">
        <v>3915</v>
      </c>
      <c r="W855" s="218" t="s">
        <v>3652</v>
      </c>
      <c r="X855" s="218" t="s">
        <v>3652</v>
      </c>
      <c r="Y855" s="212">
        <v>0</v>
      </c>
      <c r="Z855" s="209" t="s">
        <v>5614</v>
      </c>
      <c r="AA855" s="215"/>
      <c r="AB855" s="218"/>
      <c r="AC855" s="217" t="e">
        <v>#N/A</v>
      </c>
      <c r="AD855" s="217">
        <v>90716</v>
      </c>
      <c r="AE855" s="217" t="s">
        <v>5656</v>
      </c>
      <c r="AF855" s="217" t="s">
        <v>3918</v>
      </c>
      <c r="AG855" s="217" t="s">
        <v>3919</v>
      </c>
      <c r="AH855" s="220" t="str">
        <f t="shared" ref="AH855:AH863" si="56">O855&amp;"_00"&amp;Q855</f>
        <v>4590007916_001</v>
      </c>
      <c r="AI855" s="208"/>
      <c r="AJ855" s="225">
        <v>44958</v>
      </c>
      <c r="AK855" s="221">
        <v>43504.5</v>
      </c>
      <c r="AL855" s="228">
        <v>45030</v>
      </c>
      <c r="AM855" s="208" t="s">
        <v>5657</v>
      </c>
      <c r="AN855" s="227">
        <v>45436</v>
      </c>
      <c r="AO855" s="222">
        <v>65256.75</v>
      </c>
      <c r="AP855" s="227" t="s">
        <v>3805</v>
      </c>
      <c r="AQ855" s="358">
        <f ca="1">IF(表格1[[#This Row],[PO$]]="","100%",表格1[[#This Row],[total amount]]/表格1[[#This Row],[PO$]])</f>
        <v>1</v>
      </c>
      <c r="AR855" s="223">
        <f ca="1">表格1[[#This Row],[invoice amount]]+表格1[[#This Row],[invoice amount2]]</f>
        <v>108761.25</v>
      </c>
      <c r="AS855" s="224" t="s">
        <v>4371</v>
      </c>
      <c r="AT855" s="208"/>
      <c r="AU855" s="208" t="e">
        <f ca="1">VLOOKUP(表格1[[#This Row],[PO+ITEM]],#REF!,2,FALSE)</f>
        <v>#REF!</v>
      </c>
      <c r="AV855" s="341" t="e">
        <f ca="1">VLOOKUP(表格1[[#This Row],[PO+ITEM]],#REF!,3,FALSE)</f>
        <v>#REF!</v>
      </c>
      <c r="AW855" s="208" t="e">
        <f ca="1">VLOOKUP(表格1[[#This Row],[PO+ITEM]],#REF!,4,FALSE)</f>
        <v>#REF!</v>
      </c>
      <c r="AX855" s="208" t="e" cm="1" vm="1">
        <f t="array" aca="1" ref="AX855" ca="1">VLOOKUP(AI:AI,#REF!,1,FALSE)</f>
        <v>#VALUE!</v>
      </c>
    </row>
    <row r="856" spans="1:50" ht="15.6">
      <c r="A856" s="220">
        <v>850</v>
      </c>
      <c r="B856" s="220" t="s">
        <v>3659</v>
      </c>
      <c r="C856" s="209" t="s">
        <v>17</v>
      </c>
      <c r="D856" s="209" t="s">
        <v>3648</v>
      </c>
      <c r="E856" s="209"/>
      <c r="F856" s="209"/>
      <c r="G856" s="209"/>
      <c r="H856" s="210" t="s">
        <v>5658</v>
      </c>
      <c r="I856" s="210"/>
      <c r="J856" s="211"/>
      <c r="K856" s="210"/>
      <c r="L856" s="212" t="s">
        <v>2999</v>
      </c>
      <c r="M856" s="212" t="s">
        <v>2999</v>
      </c>
      <c r="N856" s="213"/>
      <c r="O856" s="263">
        <v>4590007916</v>
      </c>
      <c r="P856" s="214">
        <v>44867</v>
      </c>
      <c r="Q856" s="334">
        <v>2</v>
      </c>
      <c r="R856" s="216">
        <v>108761.25</v>
      </c>
      <c r="S856" s="217" t="s">
        <v>2156</v>
      </c>
      <c r="T856" s="209" t="s">
        <v>3913</v>
      </c>
      <c r="U856" s="209" t="s">
        <v>3914</v>
      </c>
      <c r="V856" s="213" t="s">
        <v>3915</v>
      </c>
      <c r="W856" s="218" t="s">
        <v>3652</v>
      </c>
      <c r="X856" s="218" t="s">
        <v>3652</v>
      </c>
      <c r="Y856" s="212">
        <v>0</v>
      </c>
      <c r="Z856" s="209" t="s">
        <v>5614</v>
      </c>
      <c r="AA856" s="215"/>
      <c r="AB856" s="218"/>
      <c r="AC856" s="217" t="e">
        <v>#N/A</v>
      </c>
      <c r="AD856" s="217">
        <v>90990</v>
      </c>
      <c r="AE856" s="217" t="s">
        <v>5659</v>
      </c>
      <c r="AF856" s="217" t="s">
        <v>3918</v>
      </c>
      <c r="AG856" s="217" t="s">
        <v>3919</v>
      </c>
      <c r="AH856" s="220" t="str">
        <f t="shared" si="56"/>
        <v>4590007916_002</v>
      </c>
      <c r="AI856" s="208"/>
      <c r="AJ856" s="225">
        <v>44958</v>
      </c>
      <c r="AK856" s="221">
        <v>43504.5</v>
      </c>
      <c r="AL856" s="228">
        <v>45030</v>
      </c>
      <c r="AM856" s="208"/>
      <c r="AN856" s="220"/>
      <c r="AO856" s="222"/>
      <c r="AP856" s="227"/>
      <c r="AQ856" s="358">
        <f ca="1">IF(表格1[[#This Row],[PO$]]="","100%",表格1[[#This Row],[total amount]]/表格1[[#This Row],[PO$]])</f>
        <v>0.4</v>
      </c>
      <c r="AR856" s="223">
        <f ca="1">表格1[[#This Row],[invoice amount]]+表格1[[#This Row],[invoice amount2]]</f>
        <v>43504.5</v>
      </c>
      <c r="AS856" s="224" t="s">
        <v>3673</v>
      </c>
      <c r="AT856" s="208"/>
      <c r="AU856" s="208" t="e">
        <f ca="1">VLOOKUP(表格1[[#This Row],[PO+ITEM]],#REF!,2,FALSE)</f>
        <v>#REF!</v>
      </c>
      <c r="AV856" s="341" t="e">
        <f ca="1">VLOOKUP(表格1[[#This Row],[PO+ITEM]],#REF!,3,FALSE)</f>
        <v>#REF!</v>
      </c>
      <c r="AW856" s="208" t="e">
        <f ca="1">VLOOKUP(表格1[[#This Row],[PO+ITEM]],#REF!,4,FALSE)</f>
        <v>#REF!</v>
      </c>
      <c r="AX856" s="208" t="e" cm="1" vm="1">
        <f t="array" aca="1" ref="AX856" ca="1">VLOOKUP(AI:AI,#REF!,1,FALSE)</f>
        <v>#VALUE!</v>
      </c>
    </row>
    <row r="857" spans="1:50" ht="15.6">
      <c r="A857" s="220">
        <v>851</v>
      </c>
      <c r="B857" s="220" t="s">
        <v>3674</v>
      </c>
      <c r="C857" s="209" t="s">
        <v>17</v>
      </c>
      <c r="D857" s="209" t="s">
        <v>3648</v>
      </c>
      <c r="E857" s="209"/>
      <c r="F857" s="209"/>
      <c r="G857" s="209"/>
      <c r="H857" s="210" t="s">
        <v>5660</v>
      </c>
      <c r="I857" s="210"/>
      <c r="J857" s="211"/>
      <c r="K857" s="210"/>
      <c r="L857" s="212" t="s">
        <v>2999</v>
      </c>
      <c r="M857" s="212" t="s">
        <v>2999</v>
      </c>
      <c r="N857" s="213"/>
      <c r="O857" s="263">
        <v>4590007916</v>
      </c>
      <c r="P857" s="214">
        <v>44867</v>
      </c>
      <c r="Q857" s="334">
        <v>3</v>
      </c>
      <c r="R857" s="216">
        <v>15796.07</v>
      </c>
      <c r="S857" s="217" t="s">
        <v>2156</v>
      </c>
      <c r="T857" s="209" t="s">
        <v>3913</v>
      </c>
      <c r="U857" s="209" t="s">
        <v>3914</v>
      </c>
      <c r="V857" s="213" t="s">
        <v>3915</v>
      </c>
      <c r="W857" s="218" t="s">
        <v>3652</v>
      </c>
      <c r="X857" s="218" t="s">
        <v>3652</v>
      </c>
      <c r="Y857" s="212" t="s">
        <v>5661</v>
      </c>
      <c r="Z857" s="209" t="s">
        <v>5614</v>
      </c>
      <c r="AA857" s="215"/>
      <c r="AB857" s="218"/>
      <c r="AC857" s="217" t="e">
        <v>#N/A</v>
      </c>
      <c r="AD857" s="217">
        <v>90730</v>
      </c>
      <c r="AE857" s="217" t="s">
        <v>4187</v>
      </c>
      <c r="AF857" s="217" t="s">
        <v>3918</v>
      </c>
      <c r="AG857" s="217" t="s">
        <v>3919</v>
      </c>
      <c r="AH857" s="220" t="str">
        <f t="shared" si="56"/>
        <v>4590007916_003</v>
      </c>
      <c r="AI857" s="208"/>
      <c r="AJ857" s="225">
        <v>44958</v>
      </c>
      <c r="AK857" s="221">
        <v>6318.4279999999999</v>
      </c>
      <c r="AL857" s="228">
        <v>45030</v>
      </c>
      <c r="AM857" s="208"/>
      <c r="AN857" s="225">
        <v>45170</v>
      </c>
      <c r="AO857" s="222">
        <v>9477.64</v>
      </c>
      <c r="AP857" s="258">
        <v>45288</v>
      </c>
      <c r="AQ857" s="358">
        <f ca="1">IF(表格1[[#This Row],[PO$]]="","100%",表格1[[#This Row],[total amount]]/表格1[[#This Row],[PO$]])</f>
        <v>0.99999987338622831</v>
      </c>
      <c r="AR857" s="223">
        <f ca="1">表格1[[#This Row],[invoice amount]]+表格1[[#This Row],[invoice amount2]]</f>
        <v>15796.067999999999</v>
      </c>
      <c r="AS857" s="224" t="s">
        <v>3673</v>
      </c>
      <c r="AT857" s="342" t="s">
        <v>5662</v>
      </c>
      <c r="AU857" s="208" t="e">
        <f ca="1">VLOOKUP(表格1[[#This Row],[PO+ITEM]],#REF!,2,FALSE)</f>
        <v>#REF!</v>
      </c>
      <c r="AV857" s="341" t="e">
        <f ca="1">VLOOKUP(表格1[[#This Row],[PO+ITEM]],#REF!,3,FALSE)</f>
        <v>#REF!</v>
      </c>
      <c r="AW857" s="208" t="e">
        <f ca="1">VLOOKUP(表格1[[#This Row],[PO+ITEM]],#REF!,4,FALSE)</f>
        <v>#REF!</v>
      </c>
      <c r="AX857" s="208" t="e" cm="1" vm="1">
        <f t="array" aca="1" ref="AX857" ca="1">VLOOKUP(AI:AI,#REF!,1,FALSE)</f>
        <v>#VALUE!</v>
      </c>
    </row>
    <row r="858" spans="1:50" ht="15.6">
      <c r="A858" s="220">
        <v>852</v>
      </c>
      <c r="B858" s="220" t="s">
        <v>3674</v>
      </c>
      <c r="C858" s="209" t="s">
        <v>17</v>
      </c>
      <c r="D858" s="209" t="s">
        <v>3648</v>
      </c>
      <c r="E858" s="209"/>
      <c r="F858" s="209"/>
      <c r="G858" s="209"/>
      <c r="H858" s="217" t="s">
        <v>5663</v>
      </c>
      <c r="I858" s="217"/>
      <c r="J858" s="215"/>
      <c r="K858" s="217"/>
      <c r="L858" s="212" t="s">
        <v>2999</v>
      </c>
      <c r="M858" s="212" t="s">
        <v>2999</v>
      </c>
      <c r="N858" s="213"/>
      <c r="O858" s="263">
        <v>4590007916</v>
      </c>
      <c r="P858" s="214">
        <v>44867</v>
      </c>
      <c r="Q858" s="334">
        <v>4</v>
      </c>
      <c r="R858" s="216">
        <v>15796.07</v>
      </c>
      <c r="S858" s="217" t="s">
        <v>2156</v>
      </c>
      <c r="T858" s="209" t="s">
        <v>3913</v>
      </c>
      <c r="U858" s="209" t="s">
        <v>3914</v>
      </c>
      <c r="V858" s="213" t="s">
        <v>3915</v>
      </c>
      <c r="W858" s="218" t="s">
        <v>3652</v>
      </c>
      <c r="X858" s="218" t="s">
        <v>3652</v>
      </c>
      <c r="Y858" s="212" t="s">
        <v>5661</v>
      </c>
      <c r="Z858" s="209" t="s">
        <v>5614</v>
      </c>
      <c r="AA858" s="215"/>
      <c r="AB858" s="218"/>
      <c r="AC858" s="217" t="e">
        <v>#N/A</v>
      </c>
      <c r="AD858" s="217">
        <v>90729</v>
      </c>
      <c r="AE858" s="217" t="s">
        <v>4191</v>
      </c>
      <c r="AF858" s="217" t="s">
        <v>3918</v>
      </c>
      <c r="AG858" s="217" t="s">
        <v>3919</v>
      </c>
      <c r="AH858" s="220" t="str">
        <f t="shared" si="56"/>
        <v>4590007916_004</v>
      </c>
      <c r="AI858" s="208"/>
      <c r="AJ858" s="225">
        <v>44958</v>
      </c>
      <c r="AK858" s="221">
        <v>6318.4279999999999</v>
      </c>
      <c r="AL858" s="228">
        <v>45030</v>
      </c>
      <c r="AM858" s="208"/>
      <c r="AN858" s="225">
        <v>45170</v>
      </c>
      <c r="AO858" s="222">
        <v>9477.64</v>
      </c>
      <c r="AP858" s="258">
        <v>45288</v>
      </c>
      <c r="AQ858" s="358">
        <f ca="1">IF(表格1[[#This Row],[PO$]]="","100%",表格1[[#This Row],[total amount]]/表格1[[#This Row],[PO$]])</f>
        <v>0.99999987338622831</v>
      </c>
      <c r="AR858" s="223">
        <f ca="1">表格1[[#This Row],[invoice amount]]+表格1[[#This Row],[invoice amount2]]</f>
        <v>15796.067999999999</v>
      </c>
      <c r="AS858" s="224" t="s">
        <v>3673</v>
      </c>
      <c r="AT858" s="342" t="s">
        <v>5664</v>
      </c>
      <c r="AU858" s="208" t="e">
        <f ca="1">VLOOKUP(表格1[[#This Row],[PO+ITEM]],#REF!,2,FALSE)</f>
        <v>#REF!</v>
      </c>
      <c r="AV858" s="341" t="e">
        <f ca="1">VLOOKUP(表格1[[#This Row],[PO+ITEM]],#REF!,3,FALSE)</f>
        <v>#REF!</v>
      </c>
      <c r="AW858" s="208" t="e">
        <f ca="1">VLOOKUP(表格1[[#This Row],[PO+ITEM]],#REF!,4,FALSE)</f>
        <v>#REF!</v>
      </c>
      <c r="AX858" s="208" t="e" cm="1" vm="1">
        <f t="array" aca="1" ref="AX858" ca="1">VLOOKUP(AI:AI,#REF!,1,FALSE)</f>
        <v>#VALUE!</v>
      </c>
    </row>
    <row r="859" spans="1:50" ht="15.6">
      <c r="A859" s="220">
        <v>853</v>
      </c>
      <c r="B859" s="220" t="s">
        <v>3674</v>
      </c>
      <c r="C859" s="209" t="s">
        <v>17</v>
      </c>
      <c r="D859" s="209" t="s">
        <v>3648</v>
      </c>
      <c r="E859" s="209"/>
      <c r="F859" s="209"/>
      <c r="G859" s="209"/>
      <c r="H859" s="210" t="s">
        <v>5665</v>
      </c>
      <c r="I859" s="210"/>
      <c r="J859" s="211"/>
      <c r="K859" s="210"/>
      <c r="L859" s="212" t="s">
        <v>2999</v>
      </c>
      <c r="M859" s="212" t="s">
        <v>2999</v>
      </c>
      <c r="N859" s="213"/>
      <c r="O859" s="263">
        <v>4590007916</v>
      </c>
      <c r="P859" s="214">
        <v>44867</v>
      </c>
      <c r="Q859" s="334">
        <v>5</v>
      </c>
      <c r="R859" s="216">
        <v>15796.07</v>
      </c>
      <c r="S859" s="217" t="s">
        <v>2156</v>
      </c>
      <c r="T859" s="209" t="s">
        <v>3913</v>
      </c>
      <c r="U859" s="209" t="s">
        <v>3914</v>
      </c>
      <c r="V859" s="213" t="s">
        <v>3915</v>
      </c>
      <c r="W859" s="218" t="s">
        <v>3652</v>
      </c>
      <c r="X859" s="218" t="s">
        <v>3652</v>
      </c>
      <c r="Y859" s="212">
        <v>0</v>
      </c>
      <c r="Z859" s="209" t="s">
        <v>5614</v>
      </c>
      <c r="AA859" s="215"/>
      <c r="AB859" s="218"/>
      <c r="AC859" s="217" t="e">
        <v>#N/A</v>
      </c>
      <c r="AD859" s="217">
        <v>90692</v>
      </c>
      <c r="AE859" s="217" t="s">
        <v>5666</v>
      </c>
      <c r="AF859" s="217" t="s">
        <v>3918</v>
      </c>
      <c r="AG859" s="217" t="s">
        <v>3919</v>
      </c>
      <c r="AH859" s="220" t="str">
        <f t="shared" si="56"/>
        <v>4590007916_005</v>
      </c>
      <c r="AI859" s="208"/>
      <c r="AJ859" s="225">
        <v>44958</v>
      </c>
      <c r="AK859" s="221">
        <v>6318.4279999999999</v>
      </c>
      <c r="AL859" s="228">
        <v>45030</v>
      </c>
      <c r="AM859" s="208" t="s">
        <v>5667</v>
      </c>
      <c r="AN859" s="227">
        <v>45436</v>
      </c>
      <c r="AO859" s="222">
        <v>9477.6419999999998</v>
      </c>
      <c r="AP859" s="227" t="s">
        <v>3805</v>
      </c>
      <c r="AQ859" s="358">
        <f ca="1">IF(表格1[[#This Row],[PO$]]="","100%",表格1[[#This Row],[total amount]]/表格1[[#This Row],[PO$]])</f>
        <v>1</v>
      </c>
      <c r="AR859" s="223">
        <f ca="1">表格1[[#This Row],[invoice amount]]+表格1[[#This Row],[invoice amount2]]</f>
        <v>15796.07</v>
      </c>
      <c r="AS859" s="224" t="s">
        <v>4371</v>
      </c>
      <c r="AT859" s="208"/>
      <c r="AU859" s="208" t="e">
        <f ca="1">VLOOKUP(表格1[[#This Row],[PO+ITEM]],#REF!,2,FALSE)</f>
        <v>#REF!</v>
      </c>
      <c r="AV859" s="341" t="e">
        <f ca="1">VLOOKUP(表格1[[#This Row],[PO+ITEM]],#REF!,3,FALSE)</f>
        <v>#REF!</v>
      </c>
      <c r="AW859" s="208" t="e">
        <f ca="1">VLOOKUP(表格1[[#This Row],[PO+ITEM]],#REF!,4,FALSE)</f>
        <v>#REF!</v>
      </c>
      <c r="AX859" s="208" t="e" cm="1" vm="1">
        <f t="array" aca="1" ref="AX859" ca="1">VLOOKUP(AI:AI,#REF!,1,FALSE)</f>
        <v>#VALUE!</v>
      </c>
    </row>
    <row r="860" spans="1:50" ht="15.6">
      <c r="A860" s="220">
        <v>854</v>
      </c>
      <c r="B860" s="220" t="s">
        <v>3674</v>
      </c>
      <c r="C860" s="209" t="s">
        <v>17</v>
      </c>
      <c r="D860" s="209" t="s">
        <v>3648</v>
      </c>
      <c r="E860" s="209"/>
      <c r="F860" s="209"/>
      <c r="G860" s="209"/>
      <c r="H860" s="210" t="s">
        <v>5669</v>
      </c>
      <c r="I860" s="210"/>
      <c r="J860" s="211"/>
      <c r="K860" s="210"/>
      <c r="L860" s="212" t="s">
        <v>2999</v>
      </c>
      <c r="M860" s="212" t="s">
        <v>2999</v>
      </c>
      <c r="N860" s="213"/>
      <c r="O860" s="263">
        <v>4590007916</v>
      </c>
      <c r="P860" s="214">
        <v>44867</v>
      </c>
      <c r="Q860" s="334">
        <v>6</v>
      </c>
      <c r="R860" s="216">
        <v>13208.57</v>
      </c>
      <c r="S860" s="217" t="s">
        <v>2156</v>
      </c>
      <c r="T860" s="209" t="s">
        <v>3913</v>
      </c>
      <c r="U860" s="209" t="s">
        <v>3914</v>
      </c>
      <c r="V860" s="213" t="s">
        <v>3915</v>
      </c>
      <c r="W860" s="218" t="s">
        <v>3652</v>
      </c>
      <c r="X860" s="218" t="s">
        <v>3652</v>
      </c>
      <c r="Y860" s="212">
        <v>0</v>
      </c>
      <c r="Z860" s="209" t="s">
        <v>5614</v>
      </c>
      <c r="AA860" s="215"/>
      <c r="AB860" s="218"/>
      <c r="AC860" s="217" t="e">
        <v>#N/A</v>
      </c>
      <c r="AD860" s="217">
        <v>90690</v>
      </c>
      <c r="AE860" s="217" t="s">
        <v>5670</v>
      </c>
      <c r="AF860" s="217" t="s">
        <v>3918</v>
      </c>
      <c r="AG860" s="217" t="s">
        <v>3919</v>
      </c>
      <c r="AH860" s="220" t="str">
        <f t="shared" si="56"/>
        <v>4590007916_006</v>
      </c>
      <c r="AI860" s="208"/>
      <c r="AJ860" s="225">
        <v>44958</v>
      </c>
      <c r="AK860" s="221">
        <v>5283.4279999999999</v>
      </c>
      <c r="AL860" s="228">
        <v>45030</v>
      </c>
      <c r="AM860" s="208" t="s">
        <v>5671</v>
      </c>
      <c r="AN860" s="227">
        <v>45429</v>
      </c>
      <c r="AO860" s="222">
        <v>7925.1419999999998</v>
      </c>
      <c r="AP860" s="227" t="s">
        <v>3805</v>
      </c>
      <c r="AQ860" s="358">
        <f ca="1">IF(表格1[[#This Row],[PO$]]="","100%",表格1[[#This Row],[total amount]]/表格1[[#This Row],[PO$]])</f>
        <v>1</v>
      </c>
      <c r="AR860" s="223">
        <f ca="1">表格1[[#This Row],[invoice amount]]+表格1[[#This Row],[invoice amount2]]</f>
        <v>13208.57</v>
      </c>
      <c r="AS860" s="224" t="s">
        <v>4371</v>
      </c>
      <c r="AT860" s="208"/>
      <c r="AU860" s="208" t="e">
        <f ca="1">VLOOKUP(表格1[[#This Row],[PO+ITEM]],#REF!,2,FALSE)</f>
        <v>#REF!</v>
      </c>
      <c r="AV860" s="341" t="e">
        <f ca="1">VLOOKUP(表格1[[#This Row],[PO+ITEM]],#REF!,3,FALSE)</f>
        <v>#REF!</v>
      </c>
      <c r="AW860" s="208" t="e">
        <f ca="1">VLOOKUP(表格1[[#This Row],[PO+ITEM]],#REF!,4,FALSE)</f>
        <v>#REF!</v>
      </c>
      <c r="AX860" s="208" t="e" cm="1" vm="1">
        <f t="array" aca="1" ref="AX860" ca="1">VLOOKUP(AI:AI,#REF!,1,FALSE)</f>
        <v>#VALUE!</v>
      </c>
    </row>
    <row r="861" spans="1:50" ht="15.6">
      <c r="A861" s="220">
        <v>855</v>
      </c>
      <c r="B861" s="220" t="s">
        <v>3659</v>
      </c>
      <c r="C861" s="209" t="s">
        <v>17</v>
      </c>
      <c r="D861" s="209" t="s">
        <v>3648</v>
      </c>
      <c r="E861" s="209"/>
      <c r="F861" s="209"/>
      <c r="G861" s="209"/>
      <c r="H861" s="210" t="s">
        <v>5672</v>
      </c>
      <c r="I861" s="210"/>
      <c r="J861" s="211"/>
      <c r="K861" s="210"/>
      <c r="L861" s="212" t="s">
        <v>2999</v>
      </c>
      <c r="M861" s="212" t="s">
        <v>2999</v>
      </c>
      <c r="N861" s="213"/>
      <c r="O861" s="263">
        <v>4590007916</v>
      </c>
      <c r="P861" s="214">
        <v>44867</v>
      </c>
      <c r="Q861" s="334">
        <v>7</v>
      </c>
      <c r="R861" s="216">
        <v>13208.57</v>
      </c>
      <c r="S861" s="217" t="s">
        <v>2156</v>
      </c>
      <c r="T861" s="209" t="s">
        <v>3913</v>
      </c>
      <c r="U861" s="209" t="s">
        <v>3914</v>
      </c>
      <c r="V861" s="213" t="s">
        <v>3915</v>
      </c>
      <c r="W861" s="218" t="s">
        <v>3652</v>
      </c>
      <c r="X861" s="218" t="s">
        <v>3652</v>
      </c>
      <c r="Y861" s="212">
        <v>0</v>
      </c>
      <c r="Z861" s="209" t="s">
        <v>5614</v>
      </c>
      <c r="AA861" s="215"/>
      <c r="AB861" s="218"/>
      <c r="AC861" s="217" t="e">
        <v>#N/A</v>
      </c>
      <c r="AD861" s="217">
        <v>91202</v>
      </c>
      <c r="AE861" s="217" t="s">
        <v>5673</v>
      </c>
      <c r="AF861" s="217" t="s">
        <v>3918</v>
      </c>
      <c r="AG861" s="217" t="s">
        <v>3919</v>
      </c>
      <c r="AH861" s="220" t="str">
        <f t="shared" si="56"/>
        <v>4590007916_007</v>
      </c>
      <c r="AI861" s="208"/>
      <c r="AJ861" s="225">
        <v>44958</v>
      </c>
      <c r="AK861" s="221">
        <v>5283.4279999999999</v>
      </c>
      <c r="AL861" s="228">
        <v>45030</v>
      </c>
      <c r="AM861" s="208"/>
      <c r="AN861" s="220"/>
      <c r="AO861" s="222"/>
      <c r="AP861" s="227"/>
      <c r="AQ861" s="358">
        <f ca="1">IF(表格1[[#This Row],[PO$]]="","100%",表格1[[#This Row],[total amount]]/表格1[[#This Row],[PO$]])</f>
        <v>0.4</v>
      </c>
      <c r="AR861" s="223">
        <f ca="1">表格1[[#This Row],[invoice amount]]+表格1[[#This Row],[invoice amount2]]</f>
        <v>5283.4279999999999</v>
      </c>
      <c r="AS861" s="224" t="s">
        <v>3673</v>
      </c>
      <c r="AT861" s="208"/>
      <c r="AU861" s="208" t="e">
        <f ca="1">VLOOKUP(表格1[[#This Row],[PO+ITEM]],#REF!,2,FALSE)</f>
        <v>#REF!</v>
      </c>
      <c r="AV861" s="341" t="e">
        <f ca="1">VLOOKUP(表格1[[#This Row],[PO+ITEM]],#REF!,3,FALSE)</f>
        <v>#REF!</v>
      </c>
      <c r="AW861" s="208" t="e">
        <f ca="1">VLOOKUP(表格1[[#This Row],[PO+ITEM]],#REF!,4,FALSE)</f>
        <v>#REF!</v>
      </c>
      <c r="AX861" s="208" t="e" cm="1" vm="1">
        <f t="array" aca="1" ref="AX861" ca="1">VLOOKUP(AI:AI,#REF!,1,FALSE)</f>
        <v>#VALUE!</v>
      </c>
    </row>
    <row r="862" spans="1:50" ht="15.6">
      <c r="A862" s="220">
        <v>856</v>
      </c>
      <c r="B862" s="220" t="s">
        <v>3674</v>
      </c>
      <c r="C862" s="209" t="s">
        <v>17</v>
      </c>
      <c r="D862" s="209" t="s">
        <v>3648</v>
      </c>
      <c r="E862" s="209"/>
      <c r="F862" s="209"/>
      <c r="G862" s="209"/>
      <c r="H862" s="210" t="s">
        <v>5674</v>
      </c>
      <c r="I862" s="210"/>
      <c r="J862" s="211"/>
      <c r="K862" s="210"/>
      <c r="L862" s="212" t="s">
        <v>2999</v>
      </c>
      <c r="M862" s="212" t="s">
        <v>2999</v>
      </c>
      <c r="N862" s="213"/>
      <c r="O862" s="263">
        <v>4590007916</v>
      </c>
      <c r="P862" s="214">
        <v>44867</v>
      </c>
      <c r="Q862" s="334">
        <v>8</v>
      </c>
      <c r="R862" s="216">
        <v>13208.57</v>
      </c>
      <c r="S862" s="217" t="s">
        <v>2156</v>
      </c>
      <c r="T862" s="209" t="s">
        <v>3913</v>
      </c>
      <c r="U862" s="209" t="s">
        <v>3914</v>
      </c>
      <c r="V862" s="213" t="s">
        <v>3915</v>
      </c>
      <c r="W862" s="218" t="s">
        <v>3652</v>
      </c>
      <c r="X862" s="218" t="s">
        <v>3652</v>
      </c>
      <c r="Y862" s="212">
        <v>0</v>
      </c>
      <c r="Z862" s="209" t="s">
        <v>5614</v>
      </c>
      <c r="AA862" s="215"/>
      <c r="AB862" s="218"/>
      <c r="AC862" s="217" t="e">
        <v>#N/A</v>
      </c>
      <c r="AD862" s="217">
        <v>90691</v>
      </c>
      <c r="AE862" s="217" t="s">
        <v>5675</v>
      </c>
      <c r="AF862" s="217" t="s">
        <v>3918</v>
      </c>
      <c r="AG862" s="217" t="s">
        <v>3919</v>
      </c>
      <c r="AH862" s="220" t="str">
        <f t="shared" si="56"/>
        <v>4590007916_008</v>
      </c>
      <c r="AI862" s="208"/>
      <c r="AJ862" s="225">
        <v>44958</v>
      </c>
      <c r="AK862" s="221">
        <v>5283.4279999999999</v>
      </c>
      <c r="AL862" s="228">
        <v>45030</v>
      </c>
      <c r="AM862" s="208" t="s">
        <v>5676</v>
      </c>
      <c r="AN862" s="227">
        <v>45436</v>
      </c>
      <c r="AO862" s="222">
        <v>7925.1419999999998</v>
      </c>
      <c r="AP862" s="227" t="s">
        <v>3805</v>
      </c>
      <c r="AQ862" s="358">
        <f ca="1">IF(表格1[[#This Row],[PO$]]="","100%",表格1[[#This Row],[total amount]]/表格1[[#This Row],[PO$]])</f>
        <v>1</v>
      </c>
      <c r="AR862" s="223">
        <f ca="1">表格1[[#This Row],[invoice amount]]+表格1[[#This Row],[invoice amount2]]</f>
        <v>13208.57</v>
      </c>
      <c r="AS862" s="224" t="s">
        <v>4371</v>
      </c>
      <c r="AT862" s="208"/>
      <c r="AU862" s="208" t="e">
        <f ca="1">VLOOKUP(表格1[[#This Row],[PO+ITEM]],#REF!,2,FALSE)</f>
        <v>#REF!</v>
      </c>
      <c r="AV862" s="341" t="e">
        <f ca="1">VLOOKUP(表格1[[#This Row],[PO+ITEM]],#REF!,3,FALSE)</f>
        <v>#REF!</v>
      </c>
      <c r="AW862" s="208" t="e">
        <f ca="1">VLOOKUP(表格1[[#This Row],[PO+ITEM]],#REF!,4,FALSE)</f>
        <v>#REF!</v>
      </c>
      <c r="AX862" s="208" t="e" cm="1" vm="1">
        <f t="array" aca="1" ref="AX862" ca="1">VLOOKUP(AI:AI,#REF!,1,FALSE)</f>
        <v>#VALUE!</v>
      </c>
    </row>
    <row r="863" spans="1:50" ht="15.6">
      <c r="A863" s="220">
        <v>857</v>
      </c>
      <c r="B863" s="220" t="s">
        <v>3674</v>
      </c>
      <c r="C863" s="209" t="s">
        <v>17</v>
      </c>
      <c r="D863" s="209" t="s">
        <v>3648</v>
      </c>
      <c r="E863" s="209"/>
      <c r="F863" s="209"/>
      <c r="G863" s="209"/>
      <c r="H863" s="217" t="s">
        <v>5677</v>
      </c>
      <c r="I863" s="217"/>
      <c r="J863" s="215"/>
      <c r="K863" s="217"/>
      <c r="L863" s="212" t="s">
        <v>2999</v>
      </c>
      <c r="M863" s="212" t="s">
        <v>2999</v>
      </c>
      <c r="N863" s="213"/>
      <c r="O863" s="263">
        <v>4590007916</v>
      </c>
      <c r="P863" s="214">
        <v>44867</v>
      </c>
      <c r="Q863" s="334">
        <v>9</v>
      </c>
      <c r="R863" s="216">
        <v>13208.57</v>
      </c>
      <c r="S863" s="217" t="s">
        <v>2156</v>
      </c>
      <c r="T863" s="209" t="s">
        <v>3913</v>
      </c>
      <c r="U863" s="209" t="s">
        <v>3914</v>
      </c>
      <c r="V863" s="213" t="s">
        <v>3915</v>
      </c>
      <c r="W863" s="218" t="s">
        <v>3652</v>
      </c>
      <c r="X863" s="218" t="s">
        <v>3652</v>
      </c>
      <c r="Y863" s="212">
        <v>0</v>
      </c>
      <c r="Z863" s="209" t="s">
        <v>5614</v>
      </c>
      <c r="AA863" s="215"/>
      <c r="AB863" s="218"/>
      <c r="AC863" s="217" t="e">
        <v>#N/A</v>
      </c>
      <c r="AD863" s="217">
        <v>90687</v>
      </c>
      <c r="AE863" s="217" t="s">
        <v>5678</v>
      </c>
      <c r="AF863" s="217" t="s">
        <v>3918</v>
      </c>
      <c r="AG863" s="217" t="s">
        <v>3919</v>
      </c>
      <c r="AH863" s="220" t="str">
        <f t="shared" si="56"/>
        <v>4590007916_009</v>
      </c>
      <c r="AI863" s="208"/>
      <c r="AJ863" s="225">
        <v>44958</v>
      </c>
      <c r="AK863" s="221">
        <v>5283.4279999999999</v>
      </c>
      <c r="AL863" s="228">
        <v>45030</v>
      </c>
      <c r="AM863" s="208" t="s">
        <v>5679</v>
      </c>
      <c r="AN863" s="227">
        <v>45436</v>
      </c>
      <c r="AO863" s="222">
        <v>7925.1419999999998</v>
      </c>
      <c r="AP863" s="227" t="s">
        <v>3805</v>
      </c>
      <c r="AQ863" s="358">
        <f ca="1">IF(表格1[[#This Row],[PO$]]="","100%",表格1[[#This Row],[total amount]]/表格1[[#This Row],[PO$]])</f>
        <v>1</v>
      </c>
      <c r="AR863" s="223">
        <f ca="1">表格1[[#This Row],[invoice amount]]+表格1[[#This Row],[invoice amount2]]</f>
        <v>13208.57</v>
      </c>
      <c r="AS863" s="224" t="s">
        <v>4371</v>
      </c>
      <c r="AT863" s="208"/>
      <c r="AU863" s="208" t="e">
        <f ca="1">VLOOKUP(表格1[[#This Row],[PO+ITEM]],#REF!,2,FALSE)</f>
        <v>#REF!</v>
      </c>
      <c r="AV863" s="341" t="e">
        <f ca="1">VLOOKUP(表格1[[#This Row],[PO+ITEM]],#REF!,3,FALSE)</f>
        <v>#REF!</v>
      </c>
      <c r="AW863" s="208" t="e">
        <f ca="1">VLOOKUP(表格1[[#This Row],[PO+ITEM]],#REF!,4,FALSE)</f>
        <v>#REF!</v>
      </c>
      <c r="AX863" s="208" t="e" cm="1" vm="1">
        <f t="array" aca="1" ref="AX863" ca="1">VLOOKUP(AI:AI,#REF!,1,FALSE)</f>
        <v>#VALUE!</v>
      </c>
    </row>
    <row r="864" spans="1:50" ht="15.6">
      <c r="A864" s="220">
        <v>858</v>
      </c>
      <c r="B864" s="220" t="s">
        <v>3659</v>
      </c>
      <c r="C864" s="209" t="s">
        <v>17</v>
      </c>
      <c r="D864" s="209" t="s">
        <v>3648</v>
      </c>
      <c r="E864" s="209"/>
      <c r="F864" s="209"/>
      <c r="G864" s="209"/>
      <c r="H864" s="210" t="s">
        <v>5680</v>
      </c>
      <c r="I864" s="210"/>
      <c r="J864" s="211"/>
      <c r="K864" s="210"/>
      <c r="L864" s="212" t="s">
        <v>2999</v>
      </c>
      <c r="M864" s="212" t="s">
        <v>2999</v>
      </c>
      <c r="N864" s="213"/>
      <c r="O864" s="263">
        <v>4590007916</v>
      </c>
      <c r="P864" s="214">
        <v>44867</v>
      </c>
      <c r="Q864" s="334">
        <v>10</v>
      </c>
      <c r="R864" s="216">
        <v>13208.57</v>
      </c>
      <c r="S864" s="217" t="s">
        <v>2156</v>
      </c>
      <c r="T864" s="209" t="s">
        <v>3913</v>
      </c>
      <c r="U864" s="209" t="s">
        <v>3914</v>
      </c>
      <c r="V864" s="213" t="s">
        <v>3915</v>
      </c>
      <c r="W864" s="218" t="s">
        <v>3652</v>
      </c>
      <c r="X864" s="218" t="s">
        <v>3652</v>
      </c>
      <c r="Y864" s="212">
        <v>0</v>
      </c>
      <c r="Z864" s="209" t="s">
        <v>5614</v>
      </c>
      <c r="AA864" s="215"/>
      <c r="AB864" s="218"/>
      <c r="AC864" s="217" t="e">
        <v>#N/A</v>
      </c>
      <c r="AD864" s="217">
        <v>90688</v>
      </c>
      <c r="AE864" s="217" t="s">
        <v>5681</v>
      </c>
      <c r="AF864" s="217" t="s">
        <v>3918</v>
      </c>
      <c r="AG864" s="217" t="s">
        <v>3919</v>
      </c>
      <c r="AH864" s="220" t="str">
        <f t="shared" ref="AH864:AH876" si="57">O864&amp;"_0"&amp;Q864</f>
        <v>4590007916_010</v>
      </c>
      <c r="AI864" s="208"/>
      <c r="AJ864" s="225">
        <v>44958</v>
      </c>
      <c r="AK864" s="221">
        <v>5283.4279999999999</v>
      </c>
      <c r="AL864" s="228">
        <v>45030</v>
      </c>
      <c r="AM864" s="208"/>
      <c r="AN864" s="220"/>
      <c r="AO864" s="222"/>
      <c r="AP864" s="227"/>
      <c r="AQ864" s="358">
        <f ca="1">IF(表格1[[#This Row],[PO$]]="","100%",表格1[[#This Row],[total amount]]/表格1[[#This Row],[PO$]])</f>
        <v>0.4</v>
      </c>
      <c r="AR864" s="223">
        <f ca="1">表格1[[#This Row],[invoice amount]]+表格1[[#This Row],[invoice amount2]]</f>
        <v>5283.4279999999999</v>
      </c>
      <c r="AS864" s="224" t="s">
        <v>3673</v>
      </c>
      <c r="AT864" s="208"/>
      <c r="AU864" s="208" t="e">
        <f ca="1">VLOOKUP(表格1[[#This Row],[PO+ITEM]],#REF!,2,FALSE)</f>
        <v>#REF!</v>
      </c>
      <c r="AV864" s="341" t="e">
        <f ca="1">VLOOKUP(表格1[[#This Row],[PO+ITEM]],#REF!,3,FALSE)</f>
        <v>#REF!</v>
      </c>
      <c r="AW864" s="208" t="e">
        <f ca="1">VLOOKUP(表格1[[#This Row],[PO+ITEM]],#REF!,4,FALSE)</f>
        <v>#REF!</v>
      </c>
      <c r="AX864" s="208" t="e" cm="1" vm="1">
        <f t="array" aca="1" ref="AX864" ca="1">VLOOKUP(AI:AI,#REF!,1,FALSE)</f>
        <v>#VALUE!</v>
      </c>
    </row>
    <row r="865" spans="1:50" ht="15.6">
      <c r="A865" s="220">
        <v>859</v>
      </c>
      <c r="B865" s="220" t="s">
        <v>3659</v>
      </c>
      <c r="C865" s="209" t="s">
        <v>17</v>
      </c>
      <c r="D865" s="209" t="s">
        <v>3648</v>
      </c>
      <c r="E865" s="209"/>
      <c r="F865" s="209"/>
      <c r="G865" s="209"/>
      <c r="H865" s="210" t="s">
        <v>5682</v>
      </c>
      <c r="I865" s="210"/>
      <c r="J865" s="211"/>
      <c r="K865" s="210"/>
      <c r="L865" s="212" t="s">
        <v>2999</v>
      </c>
      <c r="M865" s="212" t="s">
        <v>2999</v>
      </c>
      <c r="N865" s="213"/>
      <c r="O865" s="263">
        <v>4590007916</v>
      </c>
      <c r="P865" s="214">
        <v>44867</v>
      </c>
      <c r="Q865" s="334">
        <v>11</v>
      </c>
      <c r="R865" s="216">
        <v>13208.57</v>
      </c>
      <c r="S865" s="217" t="s">
        <v>2156</v>
      </c>
      <c r="T865" s="209" t="s">
        <v>3913</v>
      </c>
      <c r="U865" s="209" t="s">
        <v>3914</v>
      </c>
      <c r="V865" s="213" t="s">
        <v>3915</v>
      </c>
      <c r="W865" s="218" t="s">
        <v>3652</v>
      </c>
      <c r="X865" s="218" t="s">
        <v>3652</v>
      </c>
      <c r="Y865" s="212">
        <v>0</v>
      </c>
      <c r="Z865" s="209" t="s">
        <v>5614</v>
      </c>
      <c r="AA865" s="215"/>
      <c r="AB865" s="218"/>
      <c r="AC865" s="217" t="e">
        <v>#N/A</v>
      </c>
      <c r="AD865" s="217">
        <v>91204</v>
      </c>
      <c r="AE865" s="217" t="s">
        <v>5683</v>
      </c>
      <c r="AF865" s="217" t="s">
        <v>3918</v>
      </c>
      <c r="AG865" s="217" t="s">
        <v>3919</v>
      </c>
      <c r="AH865" s="220" t="str">
        <f t="shared" si="57"/>
        <v>4590007916_011</v>
      </c>
      <c r="AI865" s="208"/>
      <c r="AJ865" s="225">
        <v>44958</v>
      </c>
      <c r="AK865" s="221">
        <v>5283.4279999999999</v>
      </c>
      <c r="AL865" s="228">
        <v>45030</v>
      </c>
      <c r="AM865" s="208"/>
      <c r="AN865" s="220"/>
      <c r="AO865" s="222"/>
      <c r="AP865" s="227"/>
      <c r="AQ865" s="358">
        <f ca="1">IF(表格1[[#This Row],[PO$]]="","100%",表格1[[#This Row],[total amount]]/表格1[[#This Row],[PO$]])</f>
        <v>0.4</v>
      </c>
      <c r="AR865" s="223">
        <f ca="1">表格1[[#This Row],[invoice amount]]+表格1[[#This Row],[invoice amount2]]</f>
        <v>5283.4279999999999</v>
      </c>
      <c r="AS865" s="224" t="s">
        <v>3673</v>
      </c>
      <c r="AT865" s="208"/>
      <c r="AU865" s="208" t="e">
        <f ca="1">VLOOKUP(表格1[[#This Row],[PO+ITEM]],#REF!,2,FALSE)</f>
        <v>#REF!</v>
      </c>
      <c r="AV865" s="341" t="e">
        <f ca="1">VLOOKUP(表格1[[#This Row],[PO+ITEM]],#REF!,3,FALSE)</f>
        <v>#REF!</v>
      </c>
      <c r="AW865" s="208" t="e">
        <f ca="1">VLOOKUP(表格1[[#This Row],[PO+ITEM]],#REF!,4,FALSE)</f>
        <v>#REF!</v>
      </c>
      <c r="AX865" s="208" t="e" cm="1" vm="1">
        <f t="array" aca="1" ref="AX865" ca="1">VLOOKUP(AI:AI,#REF!,1,FALSE)</f>
        <v>#VALUE!</v>
      </c>
    </row>
    <row r="866" spans="1:50" ht="15.6">
      <c r="A866" s="220">
        <v>860</v>
      </c>
      <c r="B866" s="220" t="s">
        <v>3659</v>
      </c>
      <c r="C866" s="209" t="s">
        <v>17</v>
      </c>
      <c r="D866" s="209" t="s">
        <v>3648</v>
      </c>
      <c r="E866" s="209"/>
      <c r="F866" s="209"/>
      <c r="G866" s="209"/>
      <c r="H866" s="210" t="s">
        <v>5684</v>
      </c>
      <c r="I866" s="210"/>
      <c r="J866" s="211"/>
      <c r="K866" s="210"/>
      <c r="L866" s="212" t="s">
        <v>2999</v>
      </c>
      <c r="M866" s="212" t="s">
        <v>2999</v>
      </c>
      <c r="N866" s="213"/>
      <c r="O866" s="263">
        <v>4590007916</v>
      </c>
      <c r="P866" s="214">
        <v>44867</v>
      </c>
      <c r="Q866" s="334">
        <v>12</v>
      </c>
      <c r="R866" s="216">
        <v>13208.57</v>
      </c>
      <c r="S866" s="217" t="s">
        <v>2156</v>
      </c>
      <c r="T866" s="209" t="s">
        <v>3913</v>
      </c>
      <c r="U866" s="209" t="s">
        <v>3914</v>
      </c>
      <c r="V866" s="213" t="s">
        <v>3915</v>
      </c>
      <c r="W866" s="218" t="s">
        <v>3652</v>
      </c>
      <c r="X866" s="218" t="s">
        <v>3652</v>
      </c>
      <c r="Y866" s="212">
        <v>0</v>
      </c>
      <c r="Z866" s="209" t="s">
        <v>5614</v>
      </c>
      <c r="AA866" s="215"/>
      <c r="AB866" s="218"/>
      <c r="AC866" s="217" t="e">
        <v>#N/A</v>
      </c>
      <c r="AD866" s="217">
        <v>91203</v>
      </c>
      <c r="AE866" s="217" t="s">
        <v>5685</v>
      </c>
      <c r="AF866" s="217" t="s">
        <v>3918</v>
      </c>
      <c r="AG866" s="217" t="s">
        <v>3919</v>
      </c>
      <c r="AH866" s="220" t="str">
        <f t="shared" si="57"/>
        <v>4590007916_012</v>
      </c>
      <c r="AI866" s="208"/>
      <c r="AJ866" s="225">
        <v>44958</v>
      </c>
      <c r="AK866" s="221">
        <v>5283.4279999999999</v>
      </c>
      <c r="AL866" s="228">
        <v>45030</v>
      </c>
      <c r="AM866" s="208"/>
      <c r="AN866" s="220"/>
      <c r="AO866" s="222"/>
      <c r="AP866" s="227"/>
      <c r="AQ866" s="358">
        <f ca="1">IF(表格1[[#This Row],[PO$]]="","100%",表格1[[#This Row],[total amount]]/表格1[[#This Row],[PO$]])</f>
        <v>0.4</v>
      </c>
      <c r="AR866" s="223">
        <f ca="1">表格1[[#This Row],[invoice amount]]+表格1[[#This Row],[invoice amount2]]</f>
        <v>5283.4279999999999</v>
      </c>
      <c r="AS866" s="224" t="s">
        <v>3673</v>
      </c>
      <c r="AT866" s="208"/>
      <c r="AU866" s="208" t="e">
        <f ca="1">VLOOKUP(表格1[[#This Row],[PO+ITEM]],#REF!,2,FALSE)</f>
        <v>#REF!</v>
      </c>
      <c r="AV866" s="341" t="e">
        <f ca="1">VLOOKUP(表格1[[#This Row],[PO+ITEM]],#REF!,3,FALSE)</f>
        <v>#REF!</v>
      </c>
      <c r="AW866" s="208" t="e">
        <f ca="1">VLOOKUP(表格1[[#This Row],[PO+ITEM]],#REF!,4,FALSE)</f>
        <v>#REF!</v>
      </c>
      <c r="AX866" s="208" t="e" cm="1" vm="1">
        <f t="array" aca="1" ref="AX866" ca="1">VLOOKUP(AI:AI,#REF!,1,FALSE)</f>
        <v>#VALUE!</v>
      </c>
    </row>
    <row r="867" spans="1:50" ht="15.6">
      <c r="A867" s="220">
        <v>861</v>
      </c>
      <c r="B867" s="220" t="s">
        <v>3674</v>
      </c>
      <c r="C867" s="209" t="s">
        <v>17</v>
      </c>
      <c r="D867" s="209" t="s">
        <v>3648</v>
      </c>
      <c r="E867" s="209"/>
      <c r="F867" s="209"/>
      <c r="G867" s="209"/>
      <c r="H867" s="210" t="s">
        <v>5686</v>
      </c>
      <c r="I867" s="210"/>
      <c r="J867" s="211"/>
      <c r="K867" s="210"/>
      <c r="L867" s="212" t="s">
        <v>2999</v>
      </c>
      <c r="M867" s="212" t="s">
        <v>2999</v>
      </c>
      <c r="N867" s="213"/>
      <c r="O867" s="263">
        <v>4590007916</v>
      </c>
      <c r="P867" s="214">
        <v>44867</v>
      </c>
      <c r="Q867" s="334">
        <v>13</v>
      </c>
      <c r="R867" s="216">
        <v>13208.57</v>
      </c>
      <c r="S867" s="217" t="s">
        <v>2156</v>
      </c>
      <c r="T867" s="209" t="s">
        <v>3913</v>
      </c>
      <c r="U867" s="209" t="s">
        <v>3914</v>
      </c>
      <c r="V867" s="213" t="s">
        <v>3915</v>
      </c>
      <c r="W867" s="218" t="s">
        <v>3652</v>
      </c>
      <c r="X867" s="218" t="s">
        <v>3652</v>
      </c>
      <c r="Y867" s="212">
        <v>0</v>
      </c>
      <c r="Z867" s="209" t="s">
        <v>5614</v>
      </c>
      <c r="AA867" s="215"/>
      <c r="AB867" s="218"/>
      <c r="AC867" s="217" t="e">
        <v>#N/A</v>
      </c>
      <c r="AD867" s="217">
        <v>90689</v>
      </c>
      <c r="AE867" s="217" t="s">
        <v>5687</v>
      </c>
      <c r="AF867" s="217" t="s">
        <v>3918</v>
      </c>
      <c r="AG867" s="217" t="s">
        <v>3919</v>
      </c>
      <c r="AH867" s="220" t="str">
        <f t="shared" si="57"/>
        <v>4590007916_013</v>
      </c>
      <c r="AI867" s="208"/>
      <c r="AJ867" s="225">
        <v>44958</v>
      </c>
      <c r="AK867" s="221">
        <v>5628.43</v>
      </c>
      <c r="AL867" s="228">
        <v>45030</v>
      </c>
      <c r="AM867" s="208" t="s">
        <v>5688</v>
      </c>
      <c r="AN867" s="227">
        <v>45436</v>
      </c>
      <c r="AO867" s="222">
        <v>7580.1399999999994</v>
      </c>
      <c r="AP867" s="227" t="s">
        <v>3805</v>
      </c>
      <c r="AQ867" s="358">
        <f ca="1">IF(表格1[[#This Row],[PO$]]="","100%",表格1[[#This Row],[total amount]]/表格1[[#This Row],[PO$]])</f>
        <v>1</v>
      </c>
      <c r="AR867" s="223">
        <f ca="1">表格1[[#This Row],[invoice amount]]+表格1[[#This Row],[invoice amount2]]</f>
        <v>13208.57</v>
      </c>
      <c r="AS867" s="224" t="s">
        <v>4371</v>
      </c>
      <c r="AT867" s="208"/>
      <c r="AU867" s="208" t="e">
        <f ca="1">VLOOKUP(表格1[[#This Row],[PO+ITEM]],#REF!,2,FALSE)</f>
        <v>#REF!</v>
      </c>
      <c r="AV867" s="341" t="e">
        <f ca="1">VLOOKUP(表格1[[#This Row],[PO+ITEM]],#REF!,3,FALSE)</f>
        <v>#REF!</v>
      </c>
      <c r="AW867" s="208" t="e">
        <f ca="1">VLOOKUP(表格1[[#This Row],[PO+ITEM]],#REF!,4,FALSE)</f>
        <v>#REF!</v>
      </c>
      <c r="AX867" s="208" t="e" cm="1" vm="1">
        <f t="array" aca="1" ref="AX867" ca="1">VLOOKUP(AI:AI,#REF!,1,FALSE)</f>
        <v>#VALUE!</v>
      </c>
    </row>
    <row r="868" spans="1:50" ht="15.6">
      <c r="A868" s="220">
        <v>862</v>
      </c>
      <c r="B868" s="220" t="s">
        <v>3659</v>
      </c>
      <c r="C868" s="209" t="s">
        <v>17</v>
      </c>
      <c r="D868" s="209" t="s">
        <v>3648</v>
      </c>
      <c r="E868" s="209"/>
      <c r="F868" s="209"/>
      <c r="G868" s="209"/>
      <c r="H868" s="210" t="s">
        <v>5689</v>
      </c>
      <c r="I868" s="210"/>
      <c r="J868" s="211"/>
      <c r="K868" s="210"/>
      <c r="L868" s="212" t="s">
        <v>2999</v>
      </c>
      <c r="M868" s="212" t="s">
        <v>2999</v>
      </c>
      <c r="N868" s="213"/>
      <c r="O868" s="263">
        <v>4590007916</v>
      </c>
      <c r="P868" s="214">
        <v>44867</v>
      </c>
      <c r="Q868" s="334">
        <v>14</v>
      </c>
      <c r="R868" s="216">
        <v>13208.57</v>
      </c>
      <c r="S868" s="217" t="s">
        <v>2156</v>
      </c>
      <c r="T868" s="209" t="s">
        <v>3913</v>
      </c>
      <c r="U868" s="209" t="s">
        <v>3914</v>
      </c>
      <c r="V868" s="213" t="s">
        <v>3915</v>
      </c>
      <c r="W868" s="218" t="s">
        <v>3652</v>
      </c>
      <c r="X868" s="218" t="s">
        <v>3652</v>
      </c>
      <c r="Y868" s="212">
        <v>0</v>
      </c>
      <c r="Z868" s="209" t="s">
        <v>5614</v>
      </c>
      <c r="AA868" s="215"/>
      <c r="AB868" s="218"/>
      <c r="AC868" s="217" t="e">
        <v>#N/A</v>
      </c>
      <c r="AD868" s="217">
        <v>90954</v>
      </c>
      <c r="AE868" s="217" t="s">
        <v>5690</v>
      </c>
      <c r="AF868" s="217" t="s">
        <v>3918</v>
      </c>
      <c r="AG868" s="217" t="s">
        <v>3919</v>
      </c>
      <c r="AH868" s="220" t="str">
        <f t="shared" si="57"/>
        <v>4590007916_014</v>
      </c>
      <c r="AI868" s="208"/>
      <c r="AJ868" s="225">
        <v>44958</v>
      </c>
      <c r="AK868" s="221">
        <v>5283.4279999999999</v>
      </c>
      <c r="AL868" s="228">
        <v>45030</v>
      </c>
      <c r="AM868" s="208"/>
      <c r="AN868" s="220"/>
      <c r="AO868" s="222"/>
      <c r="AP868" s="227"/>
      <c r="AQ868" s="358">
        <f ca="1">IF(表格1[[#This Row],[PO$]]="","100%",表格1[[#This Row],[total amount]]/表格1[[#This Row],[PO$]])</f>
        <v>0.4</v>
      </c>
      <c r="AR868" s="223">
        <f ca="1">表格1[[#This Row],[invoice amount]]+表格1[[#This Row],[invoice amount2]]</f>
        <v>5283.4279999999999</v>
      </c>
      <c r="AS868" s="224" t="s">
        <v>3673</v>
      </c>
      <c r="AT868" s="208"/>
      <c r="AU868" s="208" t="e">
        <f ca="1">VLOOKUP(表格1[[#This Row],[PO+ITEM]],#REF!,2,FALSE)</f>
        <v>#REF!</v>
      </c>
      <c r="AV868" s="341" t="e">
        <f ca="1">VLOOKUP(表格1[[#This Row],[PO+ITEM]],#REF!,3,FALSE)</f>
        <v>#REF!</v>
      </c>
      <c r="AW868" s="208" t="e">
        <f ca="1">VLOOKUP(表格1[[#This Row],[PO+ITEM]],#REF!,4,FALSE)</f>
        <v>#REF!</v>
      </c>
      <c r="AX868" s="208" t="e" cm="1" vm="1">
        <f t="array" aca="1" ref="AX868" ca="1">VLOOKUP(AI:AI,#REF!,1,FALSE)</f>
        <v>#VALUE!</v>
      </c>
    </row>
    <row r="869" spans="1:50" ht="15.6">
      <c r="A869" s="220">
        <v>863</v>
      </c>
      <c r="B869" s="220" t="s">
        <v>3674</v>
      </c>
      <c r="C869" s="209" t="s">
        <v>17</v>
      </c>
      <c r="D869" s="209" t="s">
        <v>3648</v>
      </c>
      <c r="E869" s="209"/>
      <c r="F869" s="209"/>
      <c r="G869" s="209"/>
      <c r="H869" s="210" t="s">
        <v>5691</v>
      </c>
      <c r="I869" s="210"/>
      <c r="J869" s="211"/>
      <c r="K869" s="210"/>
      <c r="L869" s="212" t="s">
        <v>2999</v>
      </c>
      <c r="M869" s="212" t="s">
        <v>2999</v>
      </c>
      <c r="N869" s="213"/>
      <c r="O869" s="263">
        <v>4590007916</v>
      </c>
      <c r="P869" s="214">
        <v>44867</v>
      </c>
      <c r="Q869" s="334">
        <v>15</v>
      </c>
      <c r="R869" s="216">
        <v>14071.07</v>
      </c>
      <c r="S869" s="217" t="s">
        <v>2156</v>
      </c>
      <c r="T869" s="209" t="s">
        <v>3913</v>
      </c>
      <c r="U869" s="209" t="s">
        <v>3914</v>
      </c>
      <c r="V869" s="213" t="s">
        <v>3915</v>
      </c>
      <c r="W869" s="218" t="s">
        <v>3652</v>
      </c>
      <c r="X869" s="218" t="s">
        <v>3652</v>
      </c>
      <c r="Y869" s="212">
        <v>0</v>
      </c>
      <c r="Z869" s="209" t="s">
        <v>5614</v>
      </c>
      <c r="AA869" s="215"/>
      <c r="AB869" s="218"/>
      <c r="AC869" s="217" t="e">
        <v>#N/A</v>
      </c>
      <c r="AD869" s="217">
        <v>90683</v>
      </c>
      <c r="AE869" s="217" t="s">
        <v>5692</v>
      </c>
      <c r="AF869" s="217" t="s">
        <v>3918</v>
      </c>
      <c r="AG869" s="217" t="s">
        <v>3919</v>
      </c>
      <c r="AH869" s="220" t="str">
        <f t="shared" si="57"/>
        <v>4590007916_015</v>
      </c>
      <c r="AI869" s="208"/>
      <c r="AJ869" s="225">
        <v>44958</v>
      </c>
      <c r="AK869" s="221">
        <v>5628.4279999999999</v>
      </c>
      <c r="AL869" s="228">
        <v>45030</v>
      </c>
      <c r="AM869" s="208" t="s">
        <v>5693</v>
      </c>
      <c r="AN869" s="227">
        <v>45408</v>
      </c>
      <c r="AO869" s="222">
        <v>8442.6419999999998</v>
      </c>
      <c r="AP869" s="227" t="s">
        <v>5710</v>
      </c>
      <c r="AQ869" s="358">
        <f ca="1">IF(表格1[[#This Row],[PO$]]="","100%",表格1[[#This Row],[total amount]]/表格1[[#This Row],[PO$]])</f>
        <v>1</v>
      </c>
      <c r="AR869" s="223">
        <f ca="1">表格1[[#This Row],[invoice amount]]+表格1[[#This Row],[invoice amount2]]</f>
        <v>14071.07</v>
      </c>
      <c r="AS869" s="224" t="s">
        <v>4371</v>
      </c>
      <c r="AT869" s="208"/>
      <c r="AU869" s="208" t="e">
        <f ca="1">VLOOKUP(表格1[[#This Row],[PO+ITEM]],#REF!,2,FALSE)</f>
        <v>#REF!</v>
      </c>
      <c r="AV869" s="341" t="e">
        <f ca="1">VLOOKUP(表格1[[#This Row],[PO+ITEM]],#REF!,3,FALSE)</f>
        <v>#REF!</v>
      </c>
      <c r="AW869" s="208" t="e">
        <f ca="1">VLOOKUP(表格1[[#This Row],[PO+ITEM]],#REF!,4,FALSE)</f>
        <v>#REF!</v>
      </c>
      <c r="AX869" s="208" t="e" cm="1" vm="1">
        <f t="array" aca="1" ref="AX869" ca="1">VLOOKUP(AI:AI,#REF!,1,FALSE)</f>
        <v>#VALUE!</v>
      </c>
    </row>
    <row r="870" spans="1:50" ht="15.6">
      <c r="A870" s="220">
        <v>864</v>
      </c>
      <c r="B870" s="220" t="s">
        <v>3659</v>
      </c>
      <c r="C870" s="209" t="s">
        <v>17</v>
      </c>
      <c r="D870" s="209" t="s">
        <v>3648</v>
      </c>
      <c r="E870" s="209"/>
      <c r="F870" s="209"/>
      <c r="G870" s="209"/>
      <c r="H870" s="210" t="s">
        <v>5694</v>
      </c>
      <c r="I870" s="210"/>
      <c r="J870" s="211"/>
      <c r="K870" s="210"/>
      <c r="L870" s="212" t="s">
        <v>2999</v>
      </c>
      <c r="M870" s="212" t="s">
        <v>2999</v>
      </c>
      <c r="N870" s="213"/>
      <c r="O870" s="263">
        <v>4590007916</v>
      </c>
      <c r="P870" s="214">
        <v>44867</v>
      </c>
      <c r="Q870" s="334">
        <v>16</v>
      </c>
      <c r="R870" s="216">
        <v>14071.07</v>
      </c>
      <c r="S870" s="217" t="s">
        <v>2156</v>
      </c>
      <c r="T870" s="209" t="s">
        <v>3913</v>
      </c>
      <c r="U870" s="209" t="s">
        <v>3914</v>
      </c>
      <c r="V870" s="213" t="s">
        <v>3915</v>
      </c>
      <c r="W870" s="218" t="s">
        <v>3652</v>
      </c>
      <c r="X870" s="218" t="s">
        <v>3652</v>
      </c>
      <c r="Y870" s="212">
        <v>0</v>
      </c>
      <c r="Z870" s="209" t="s">
        <v>5614</v>
      </c>
      <c r="AA870" s="215"/>
      <c r="AB870" s="218"/>
      <c r="AC870" s="217" t="e">
        <v>#N/A</v>
      </c>
      <c r="AD870" s="217">
        <v>91206</v>
      </c>
      <c r="AE870" s="217" t="s">
        <v>5695</v>
      </c>
      <c r="AF870" s="217" t="s">
        <v>3918</v>
      </c>
      <c r="AG870" s="217" t="s">
        <v>3919</v>
      </c>
      <c r="AH870" s="220" t="str">
        <f t="shared" si="57"/>
        <v>4590007916_016</v>
      </c>
      <c r="AI870" s="208"/>
      <c r="AJ870" s="225">
        <v>44958</v>
      </c>
      <c r="AK870" s="221">
        <v>5628.4279999999999</v>
      </c>
      <c r="AL870" s="228">
        <v>45030</v>
      </c>
      <c r="AM870" s="208"/>
      <c r="AN870" s="220"/>
      <c r="AO870" s="222"/>
      <c r="AP870" s="227"/>
      <c r="AQ870" s="358">
        <f ca="1">IF(表格1[[#This Row],[PO$]]="","100%",表格1[[#This Row],[total amount]]/表格1[[#This Row],[PO$]])</f>
        <v>0.4</v>
      </c>
      <c r="AR870" s="223">
        <f ca="1">表格1[[#This Row],[invoice amount]]+表格1[[#This Row],[invoice amount2]]</f>
        <v>5628.4279999999999</v>
      </c>
      <c r="AS870" s="224" t="s">
        <v>3673</v>
      </c>
      <c r="AT870" s="208"/>
      <c r="AU870" s="208" t="e">
        <f ca="1">VLOOKUP(表格1[[#This Row],[PO+ITEM]],#REF!,2,FALSE)</f>
        <v>#REF!</v>
      </c>
      <c r="AV870" s="341" t="e">
        <f ca="1">VLOOKUP(表格1[[#This Row],[PO+ITEM]],#REF!,3,FALSE)</f>
        <v>#REF!</v>
      </c>
      <c r="AW870" s="208" t="e">
        <f ca="1">VLOOKUP(表格1[[#This Row],[PO+ITEM]],#REF!,4,FALSE)</f>
        <v>#REF!</v>
      </c>
      <c r="AX870" s="208" t="e" cm="1" vm="1">
        <f t="array" aca="1" ref="AX870" ca="1">VLOOKUP(AI:AI,#REF!,1,FALSE)</f>
        <v>#VALUE!</v>
      </c>
    </row>
    <row r="871" spans="1:50" ht="15.6">
      <c r="A871" s="220">
        <v>865</v>
      </c>
      <c r="B871" s="220" t="s">
        <v>3674</v>
      </c>
      <c r="C871" s="209" t="s">
        <v>17</v>
      </c>
      <c r="D871" s="209" t="s">
        <v>3648</v>
      </c>
      <c r="E871" s="209"/>
      <c r="F871" s="209"/>
      <c r="G871" s="209"/>
      <c r="H871" s="210" t="s">
        <v>5696</v>
      </c>
      <c r="I871" s="210"/>
      <c r="J871" s="211"/>
      <c r="K871" s="210"/>
      <c r="L871" s="212" t="s">
        <v>2999</v>
      </c>
      <c r="M871" s="212" t="s">
        <v>2999</v>
      </c>
      <c r="N871" s="213"/>
      <c r="O871" s="263">
        <v>4590007916</v>
      </c>
      <c r="P871" s="214">
        <v>44867</v>
      </c>
      <c r="Q871" s="334">
        <v>17</v>
      </c>
      <c r="R871" s="216">
        <v>13208.57</v>
      </c>
      <c r="S871" s="217" t="s">
        <v>2156</v>
      </c>
      <c r="T871" s="209" t="s">
        <v>3913</v>
      </c>
      <c r="U871" s="209" t="s">
        <v>3914</v>
      </c>
      <c r="V871" s="213" t="s">
        <v>3915</v>
      </c>
      <c r="W871" s="218" t="s">
        <v>3652</v>
      </c>
      <c r="X871" s="218" t="s">
        <v>3652</v>
      </c>
      <c r="Y871" s="212">
        <v>0</v>
      </c>
      <c r="Z871" s="209" t="s">
        <v>5614</v>
      </c>
      <c r="AA871" s="215"/>
      <c r="AB871" s="218"/>
      <c r="AC871" s="217" t="e">
        <v>#N/A</v>
      </c>
      <c r="AD871" s="217">
        <v>90686</v>
      </c>
      <c r="AE871" s="217" t="s">
        <v>5697</v>
      </c>
      <c r="AF871" s="217" t="s">
        <v>3918</v>
      </c>
      <c r="AG871" s="217" t="s">
        <v>3919</v>
      </c>
      <c r="AH871" s="220" t="str">
        <f t="shared" si="57"/>
        <v>4590007916_017</v>
      </c>
      <c r="AI871" s="208"/>
      <c r="AJ871" s="225">
        <v>44958</v>
      </c>
      <c r="AK871" s="221">
        <v>5283.4279999999999</v>
      </c>
      <c r="AL871" s="228">
        <v>45030</v>
      </c>
      <c r="AM871" s="208" t="s">
        <v>5698</v>
      </c>
      <c r="AN871" s="227">
        <v>45436</v>
      </c>
      <c r="AO871" s="222">
        <v>7925.1419999999998</v>
      </c>
      <c r="AP871" s="227" t="s">
        <v>3805</v>
      </c>
      <c r="AQ871" s="358">
        <f ca="1">IF(表格1[[#This Row],[PO$]]="","100%",表格1[[#This Row],[total amount]]/表格1[[#This Row],[PO$]])</f>
        <v>1</v>
      </c>
      <c r="AR871" s="223">
        <f ca="1">表格1[[#This Row],[invoice amount]]+表格1[[#This Row],[invoice amount2]]</f>
        <v>13208.57</v>
      </c>
      <c r="AS871" s="224" t="s">
        <v>4371</v>
      </c>
      <c r="AT871" s="208"/>
      <c r="AU871" s="208" t="e">
        <f ca="1">VLOOKUP(表格1[[#This Row],[PO+ITEM]],#REF!,2,FALSE)</f>
        <v>#REF!</v>
      </c>
      <c r="AV871" s="341" t="e">
        <f ca="1">VLOOKUP(表格1[[#This Row],[PO+ITEM]],#REF!,3,FALSE)</f>
        <v>#REF!</v>
      </c>
      <c r="AW871" s="208" t="e">
        <f ca="1">VLOOKUP(表格1[[#This Row],[PO+ITEM]],#REF!,4,FALSE)</f>
        <v>#REF!</v>
      </c>
      <c r="AX871" s="208" t="e" cm="1" vm="1">
        <f t="array" aca="1" ref="AX871" ca="1">VLOOKUP(AI:AI,#REF!,1,FALSE)</f>
        <v>#VALUE!</v>
      </c>
    </row>
    <row r="872" spans="1:50" ht="15.6">
      <c r="A872" s="220">
        <v>866</v>
      </c>
      <c r="B872" s="220" t="s">
        <v>3659</v>
      </c>
      <c r="C872" s="209" t="s">
        <v>17</v>
      </c>
      <c r="D872" s="209" t="s">
        <v>3648</v>
      </c>
      <c r="E872" s="209"/>
      <c r="F872" s="209"/>
      <c r="G872" s="209"/>
      <c r="H872" s="210" t="s">
        <v>5699</v>
      </c>
      <c r="I872" s="210"/>
      <c r="J872" s="211"/>
      <c r="K872" s="210"/>
      <c r="L872" s="212" t="s">
        <v>2999</v>
      </c>
      <c r="M872" s="212" t="s">
        <v>2999</v>
      </c>
      <c r="N872" s="213"/>
      <c r="O872" s="263">
        <v>4590007916</v>
      </c>
      <c r="P872" s="214">
        <v>44867</v>
      </c>
      <c r="Q872" s="334">
        <v>18</v>
      </c>
      <c r="R872" s="216">
        <v>13208.57</v>
      </c>
      <c r="S872" s="217" t="s">
        <v>2156</v>
      </c>
      <c r="T872" s="209" t="s">
        <v>3913</v>
      </c>
      <c r="U872" s="209" t="s">
        <v>3914</v>
      </c>
      <c r="V872" s="213" t="s">
        <v>3915</v>
      </c>
      <c r="W872" s="218" t="s">
        <v>3652</v>
      </c>
      <c r="X872" s="218" t="s">
        <v>3652</v>
      </c>
      <c r="Y872" s="212">
        <v>0</v>
      </c>
      <c r="Z872" s="209" t="s">
        <v>5614</v>
      </c>
      <c r="AA872" s="215"/>
      <c r="AB872" s="218"/>
      <c r="AC872" s="217" t="e">
        <v>#N/A</v>
      </c>
      <c r="AD872" s="217">
        <v>91205</v>
      </c>
      <c r="AE872" s="217" t="s">
        <v>5700</v>
      </c>
      <c r="AF872" s="217" t="s">
        <v>3918</v>
      </c>
      <c r="AG872" s="217" t="s">
        <v>3919</v>
      </c>
      <c r="AH872" s="220" t="str">
        <f t="shared" si="57"/>
        <v>4590007916_018</v>
      </c>
      <c r="AI872" s="208"/>
      <c r="AJ872" s="225">
        <v>44958</v>
      </c>
      <c r="AK872" s="221">
        <v>5283.4279999999999</v>
      </c>
      <c r="AL872" s="228">
        <v>45030</v>
      </c>
      <c r="AM872" s="208"/>
      <c r="AN872" s="220"/>
      <c r="AO872" s="222"/>
      <c r="AP872" s="227"/>
      <c r="AQ872" s="358">
        <f ca="1">IF(表格1[[#This Row],[PO$]]="","100%",表格1[[#This Row],[total amount]]/表格1[[#This Row],[PO$]])</f>
        <v>0.4</v>
      </c>
      <c r="AR872" s="223">
        <f ca="1">表格1[[#This Row],[invoice amount]]+表格1[[#This Row],[invoice amount2]]</f>
        <v>5283.4279999999999</v>
      </c>
      <c r="AS872" s="224" t="s">
        <v>3673</v>
      </c>
      <c r="AT872" s="208"/>
      <c r="AU872" s="208" t="e">
        <f ca="1">VLOOKUP(表格1[[#This Row],[PO+ITEM]],#REF!,2,FALSE)</f>
        <v>#REF!</v>
      </c>
      <c r="AV872" s="341" t="e">
        <f ca="1">VLOOKUP(表格1[[#This Row],[PO+ITEM]],#REF!,3,FALSE)</f>
        <v>#REF!</v>
      </c>
      <c r="AW872" s="208" t="e">
        <f ca="1">VLOOKUP(表格1[[#This Row],[PO+ITEM]],#REF!,4,FALSE)</f>
        <v>#REF!</v>
      </c>
      <c r="AX872" s="208" t="e" cm="1" vm="1">
        <f t="array" aca="1" ref="AX872" ca="1">VLOOKUP(AI:AI,#REF!,1,FALSE)</f>
        <v>#VALUE!</v>
      </c>
    </row>
    <row r="873" spans="1:50" ht="15.6">
      <c r="A873" s="220">
        <v>867</v>
      </c>
      <c r="B873" s="220" t="s">
        <v>3674</v>
      </c>
      <c r="C873" s="209" t="s">
        <v>17</v>
      </c>
      <c r="D873" s="209" t="s">
        <v>3648</v>
      </c>
      <c r="E873" s="209"/>
      <c r="F873" s="209"/>
      <c r="G873" s="209"/>
      <c r="H873" s="210" t="s">
        <v>5701</v>
      </c>
      <c r="I873" s="210"/>
      <c r="J873" s="211"/>
      <c r="K873" s="210"/>
      <c r="L873" s="212" t="s">
        <v>2999</v>
      </c>
      <c r="M873" s="212" t="s">
        <v>2999</v>
      </c>
      <c r="N873" s="213"/>
      <c r="O873" s="263">
        <v>4590007916</v>
      </c>
      <c r="P873" s="214">
        <v>44867</v>
      </c>
      <c r="Q873" s="334">
        <v>19</v>
      </c>
      <c r="R873" s="216">
        <v>14071.07</v>
      </c>
      <c r="S873" s="217" t="s">
        <v>2156</v>
      </c>
      <c r="T873" s="209" t="s">
        <v>3913</v>
      </c>
      <c r="U873" s="209" t="s">
        <v>3914</v>
      </c>
      <c r="V873" s="213" t="s">
        <v>3915</v>
      </c>
      <c r="W873" s="218" t="s">
        <v>3652</v>
      </c>
      <c r="X873" s="218" t="s">
        <v>3652</v>
      </c>
      <c r="Y873" s="212" t="s">
        <v>6727</v>
      </c>
      <c r="Z873" s="209" t="s">
        <v>5614</v>
      </c>
      <c r="AA873" s="215"/>
      <c r="AB873" s="218"/>
      <c r="AC873" s="217" t="e">
        <v>#N/A</v>
      </c>
      <c r="AD873" s="217">
        <v>90684</v>
      </c>
      <c r="AE873" s="217" t="s">
        <v>5703</v>
      </c>
      <c r="AF873" s="217" t="s">
        <v>3918</v>
      </c>
      <c r="AG873" s="217" t="s">
        <v>3919</v>
      </c>
      <c r="AH873" s="220" t="str">
        <f t="shared" si="57"/>
        <v>4590007916_019</v>
      </c>
      <c r="AI873" s="208"/>
      <c r="AJ873" s="227">
        <v>44958</v>
      </c>
      <c r="AK873" s="221">
        <v>0</v>
      </c>
      <c r="AL873" s="314" t="s">
        <v>3788</v>
      </c>
      <c r="AM873" s="208" t="s">
        <v>5704</v>
      </c>
      <c r="AN873" s="227">
        <v>45429</v>
      </c>
      <c r="AO873" s="221">
        <v>14071.07</v>
      </c>
      <c r="AP873" s="227" t="s">
        <v>3805</v>
      </c>
      <c r="AQ873" s="358">
        <f ca="1">IF(表格1[[#This Row],[PO$]]="","100%",表格1[[#This Row],[total amount]]/表格1[[#This Row],[PO$]])</f>
        <v>1</v>
      </c>
      <c r="AR873" s="223">
        <f ca="1">表格1[[#This Row],[invoice amount]]+表格1[[#This Row],[invoice amount2]]</f>
        <v>14071.07</v>
      </c>
      <c r="AS873" s="224" t="s">
        <v>3752</v>
      </c>
      <c r="AT873" s="208" t="s">
        <v>6728</v>
      </c>
      <c r="AU873" s="208" t="e">
        <f ca="1">VLOOKUP(表格1[[#This Row],[PO+ITEM]],#REF!,2,FALSE)</f>
        <v>#REF!</v>
      </c>
      <c r="AV873" s="341" t="e">
        <f ca="1">VLOOKUP(表格1[[#This Row],[PO+ITEM]],#REF!,3,FALSE)</f>
        <v>#REF!</v>
      </c>
      <c r="AW873" s="208" t="e">
        <f ca="1">VLOOKUP(表格1[[#This Row],[PO+ITEM]],#REF!,4,FALSE)</f>
        <v>#REF!</v>
      </c>
      <c r="AX873" s="208" t="e" cm="1" vm="1">
        <f t="array" aca="1" ref="AX873" ca="1">VLOOKUP(AI:AI,#REF!,1,FALSE)</f>
        <v>#VALUE!</v>
      </c>
    </row>
    <row r="874" spans="1:50" ht="15.6">
      <c r="A874" s="220">
        <v>868</v>
      </c>
      <c r="B874" s="220" t="s">
        <v>3659</v>
      </c>
      <c r="C874" s="209" t="s">
        <v>17</v>
      </c>
      <c r="D874" s="209" t="s">
        <v>3648</v>
      </c>
      <c r="E874" s="209"/>
      <c r="F874" s="209"/>
      <c r="G874" s="209"/>
      <c r="H874" s="210" t="s">
        <v>5705</v>
      </c>
      <c r="I874" s="210"/>
      <c r="J874" s="211"/>
      <c r="K874" s="210"/>
      <c r="L874" s="212" t="s">
        <v>2999</v>
      </c>
      <c r="M874" s="212" t="s">
        <v>2999</v>
      </c>
      <c r="N874" s="213"/>
      <c r="O874" s="263">
        <v>4590007916</v>
      </c>
      <c r="P874" s="214">
        <v>44867</v>
      </c>
      <c r="Q874" s="334">
        <v>20</v>
      </c>
      <c r="R874" s="216">
        <v>14071.07</v>
      </c>
      <c r="S874" s="217" t="s">
        <v>2156</v>
      </c>
      <c r="T874" s="209" t="s">
        <v>3913</v>
      </c>
      <c r="U874" s="209" t="s">
        <v>3914</v>
      </c>
      <c r="V874" s="213" t="s">
        <v>3915</v>
      </c>
      <c r="W874" s="218" t="s">
        <v>3652</v>
      </c>
      <c r="X874" s="218" t="s">
        <v>3652</v>
      </c>
      <c r="Y874" s="212">
        <v>0</v>
      </c>
      <c r="Z874" s="209" t="s">
        <v>5614</v>
      </c>
      <c r="AA874" s="215"/>
      <c r="AB874" s="218"/>
      <c r="AC874" s="217" t="e">
        <v>#N/A</v>
      </c>
      <c r="AD874" s="217">
        <v>90685</v>
      </c>
      <c r="AE874" s="217" t="s">
        <v>5706</v>
      </c>
      <c r="AF874" s="217" t="s">
        <v>3918</v>
      </c>
      <c r="AG874" s="217" t="s">
        <v>3919</v>
      </c>
      <c r="AH874" s="220" t="str">
        <f t="shared" si="57"/>
        <v>4590007916_020</v>
      </c>
      <c r="AI874" s="208"/>
      <c r="AJ874" s="225">
        <v>44958</v>
      </c>
      <c r="AK874" s="221">
        <v>5628.4279999999999</v>
      </c>
      <c r="AL874" s="228">
        <v>45030</v>
      </c>
      <c r="AM874" s="208"/>
      <c r="AN874" s="220"/>
      <c r="AO874" s="222"/>
      <c r="AP874" s="227"/>
      <c r="AQ874" s="358">
        <f ca="1">IF(表格1[[#This Row],[PO$]]="","100%",表格1[[#This Row],[total amount]]/表格1[[#This Row],[PO$]])</f>
        <v>0.4</v>
      </c>
      <c r="AR874" s="223">
        <f ca="1">表格1[[#This Row],[invoice amount]]+表格1[[#This Row],[invoice amount2]]</f>
        <v>5628.4279999999999</v>
      </c>
      <c r="AS874" s="224" t="s">
        <v>3673</v>
      </c>
      <c r="AT874" s="208"/>
      <c r="AU874" s="208" t="e">
        <f ca="1">VLOOKUP(表格1[[#This Row],[PO+ITEM]],#REF!,2,FALSE)</f>
        <v>#REF!</v>
      </c>
      <c r="AV874" s="341" t="e">
        <f ca="1">VLOOKUP(表格1[[#This Row],[PO+ITEM]],#REF!,3,FALSE)</f>
        <v>#REF!</v>
      </c>
      <c r="AW874" s="208" t="e">
        <f ca="1">VLOOKUP(表格1[[#This Row],[PO+ITEM]],#REF!,4,FALSE)</f>
        <v>#REF!</v>
      </c>
      <c r="AX874" s="208" t="e" cm="1" vm="1">
        <f t="array" aca="1" ref="AX874" ca="1">VLOOKUP(AI:AI,#REF!,1,FALSE)</f>
        <v>#VALUE!</v>
      </c>
    </row>
    <row r="875" spans="1:50" ht="15.6">
      <c r="A875" s="220">
        <v>869</v>
      </c>
      <c r="B875" s="220" t="s">
        <v>3674</v>
      </c>
      <c r="C875" s="209" t="s">
        <v>17</v>
      </c>
      <c r="D875" s="209" t="s">
        <v>3648</v>
      </c>
      <c r="E875" s="209"/>
      <c r="F875" s="209"/>
      <c r="G875" s="209"/>
      <c r="H875" s="210" t="s">
        <v>5707</v>
      </c>
      <c r="I875" s="210"/>
      <c r="J875" s="211"/>
      <c r="K875" s="210"/>
      <c r="L875" s="212" t="s">
        <v>2999</v>
      </c>
      <c r="M875" s="212" t="s">
        <v>2999</v>
      </c>
      <c r="N875" s="213"/>
      <c r="O875" s="263">
        <v>4590007916</v>
      </c>
      <c r="P875" s="214">
        <v>44867</v>
      </c>
      <c r="Q875" s="334">
        <v>21</v>
      </c>
      <c r="R875" s="216">
        <v>14071.07</v>
      </c>
      <c r="S875" s="217" t="s">
        <v>2156</v>
      </c>
      <c r="T875" s="209" t="s">
        <v>3913</v>
      </c>
      <c r="U875" s="209" t="s">
        <v>3914</v>
      </c>
      <c r="V875" s="213" t="s">
        <v>3915</v>
      </c>
      <c r="W875" s="218" t="s">
        <v>3652</v>
      </c>
      <c r="X875" s="218" t="s">
        <v>3652</v>
      </c>
      <c r="Y875" s="212">
        <v>0</v>
      </c>
      <c r="Z875" s="209" t="s">
        <v>5614</v>
      </c>
      <c r="AA875" s="215"/>
      <c r="AB875" s="218"/>
      <c r="AC875" s="217" t="e">
        <v>#N/A</v>
      </c>
      <c r="AD875" s="217">
        <v>90693</v>
      </c>
      <c r="AE875" s="217" t="s">
        <v>5708</v>
      </c>
      <c r="AF875" s="217" t="s">
        <v>3918</v>
      </c>
      <c r="AG875" s="217" t="s">
        <v>3919</v>
      </c>
      <c r="AH875" s="220" t="str">
        <f t="shared" si="57"/>
        <v>4590007916_021</v>
      </c>
      <c r="AI875" s="208"/>
      <c r="AJ875" s="225">
        <v>44958</v>
      </c>
      <c r="AK875" s="221">
        <v>5628.4279999999999</v>
      </c>
      <c r="AL875" s="228">
        <v>45030</v>
      </c>
      <c r="AM875" s="208" t="s">
        <v>5709</v>
      </c>
      <c r="AN875" s="227">
        <v>45412</v>
      </c>
      <c r="AO875" s="222">
        <v>8442.64</v>
      </c>
      <c r="AP875" s="227" t="s">
        <v>5710</v>
      </c>
      <c r="AQ875" s="358">
        <f ca="1">IF(表格1[[#This Row],[PO$]]="","100%",表格1[[#This Row],[total amount]]/表格1[[#This Row],[PO$]])</f>
        <v>0.99999985786439838</v>
      </c>
      <c r="AR875" s="223">
        <f ca="1">表格1[[#This Row],[invoice amount]]+表格1[[#This Row],[invoice amount2]]</f>
        <v>14071.067999999999</v>
      </c>
      <c r="AS875" s="224" t="s">
        <v>4371</v>
      </c>
      <c r="AT875" s="246"/>
      <c r="AU875" s="208" t="e">
        <f ca="1">VLOOKUP(表格1[[#This Row],[PO+ITEM]],#REF!,2,FALSE)</f>
        <v>#REF!</v>
      </c>
      <c r="AV875" s="341" t="e">
        <f ca="1">VLOOKUP(表格1[[#This Row],[PO+ITEM]],#REF!,3,FALSE)</f>
        <v>#REF!</v>
      </c>
      <c r="AW875" s="208" t="e">
        <f ca="1">VLOOKUP(表格1[[#This Row],[PO+ITEM]],#REF!,4,FALSE)</f>
        <v>#REF!</v>
      </c>
      <c r="AX875" s="208" t="e" cm="1" vm="1">
        <f t="array" aca="1" ref="AX875" ca="1">VLOOKUP(AI:AI,#REF!,1,FALSE)</f>
        <v>#VALUE!</v>
      </c>
    </row>
    <row r="876" spans="1:50" ht="15.6">
      <c r="A876" s="220">
        <v>870</v>
      </c>
      <c r="B876" s="220" t="s">
        <v>3659</v>
      </c>
      <c r="C876" s="209" t="s">
        <v>17</v>
      </c>
      <c r="D876" s="209" t="s">
        <v>3648</v>
      </c>
      <c r="E876" s="209"/>
      <c r="F876" s="209"/>
      <c r="G876" s="209"/>
      <c r="H876" s="210" t="s">
        <v>5711</v>
      </c>
      <c r="I876" s="210"/>
      <c r="J876" s="211"/>
      <c r="K876" s="210"/>
      <c r="L876" s="212" t="s">
        <v>2999</v>
      </c>
      <c r="M876" s="212" t="s">
        <v>2999</v>
      </c>
      <c r="N876" s="213"/>
      <c r="O876" s="263">
        <v>4590007916</v>
      </c>
      <c r="P876" s="214">
        <v>44867</v>
      </c>
      <c r="Q876" s="334">
        <v>22</v>
      </c>
      <c r="R876" s="216">
        <v>14071.07</v>
      </c>
      <c r="S876" s="217" t="s">
        <v>2156</v>
      </c>
      <c r="T876" s="209" t="s">
        <v>3913</v>
      </c>
      <c r="U876" s="209" t="s">
        <v>3914</v>
      </c>
      <c r="V876" s="213" t="s">
        <v>3915</v>
      </c>
      <c r="W876" s="218" t="s">
        <v>3652</v>
      </c>
      <c r="X876" s="218" t="s">
        <v>3652</v>
      </c>
      <c r="Y876" s="212">
        <v>0</v>
      </c>
      <c r="Z876" s="209" t="s">
        <v>5614</v>
      </c>
      <c r="AA876" s="215"/>
      <c r="AB876" s="218"/>
      <c r="AC876" s="217" t="e">
        <v>#N/A</v>
      </c>
      <c r="AD876" s="217">
        <v>90694</v>
      </c>
      <c r="AE876" s="217" t="s">
        <v>5712</v>
      </c>
      <c r="AF876" s="217" t="s">
        <v>3918</v>
      </c>
      <c r="AG876" s="217" t="s">
        <v>3919</v>
      </c>
      <c r="AH876" s="220" t="str">
        <f t="shared" si="57"/>
        <v>4590007916_022</v>
      </c>
      <c r="AI876" s="208"/>
      <c r="AJ876" s="225">
        <v>44958</v>
      </c>
      <c r="AK876" s="221">
        <v>5628.4279999999999</v>
      </c>
      <c r="AL876" s="228">
        <v>45030</v>
      </c>
      <c r="AM876" s="208"/>
      <c r="AN876" s="220"/>
      <c r="AO876" s="222"/>
      <c r="AP876" s="227"/>
      <c r="AQ876" s="358">
        <f ca="1">IF(表格1[[#This Row],[PO$]]="","100%",表格1[[#This Row],[total amount]]/表格1[[#This Row],[PO$]])</f>
        <v>0.4</v>
      </c>
      <c r="AR876" s="223">
        <f ca="1">表格1[[#This Row],[invoice amount]]+表格1[[#This Row],[invoice amount2]]</f>
        <v>5628.4279999999999</v>
      </c>
      <c r="AS876" s="224" t="s">
        <v>3673</v>
      </c>
      <c r="AT876" s="208"/>
      <c r="AU876" s="208" t="e">
        <f ca="1">VLOOKUP(表格1[[#This Row],[PO+ITEM]],#REF!,2,FALSE)</f>
        <v>#REF!</v>
      </c>
      <c r="AV876" s="341" t="e">
        <f ca="1">VLOOKUP(表格1[[#This Row],[PO+ITEM]],#REF!,3,FALSE)</f>
        <v>#REF!</v>
      </c>
      <c r="AW876" s="208" t="e">
        <f ca="1">VLOOKUP(表格1[[#This Row],[PO+ITEM]],#REF!,4,FALSE)</f>
        <v>#REF!</v>
      </c>
      <c r="AX876" s="208" t="e" cm="1" vm="1">
        <f t="array" aca="1" ref="AX876" ca="1">VLOOKUP(AI:AI,#REF!,1,FALSE)</f>
        <v>#VALUE!</v>
      </c>
    </row>
    <row r="877" spans="1:50" ht="15.6">
      <c r="A877" s="220">
        <v>871</v>
      </c>
      <c r="B877" s="220" t="s">
        <v>3659</v>
      </c>
      <c r="C877" s="209" t="s">
        <v>17</v>
      </c>
      <c r="D877" s="209" t="s">
        <v>3648</v>
      </c>
      <c r="E877" s="209"/>
      <c r="F877" s="209"/>
      <c r="G877" s="209"/>
      <c r="H877" s="210" t="s">
        <v>5713</v>
      </c>
      <c r="I877" s="210"/>
      <c r="J877" s="211"/>
      <c r="K877" s="210"/>
      <c r="L877" s="212" t="s">
        <v>2999</v>
      </c>
      <c r="M877" s="212" t="s">
        <v>2999</v>
      </c>
      <c r="N877" s="213"/>
      <c r="O877" s="263">
        <v>4590007917</v>
      </c>
      <c r="P877" s="214">
        <v>44867</v>
      </c>
      <c r="Q877" s="334">
        <v>1</v>
      </c>
      <c r="R877" s="216">
        <v>284982.32</v>
      </c>
      <c r="S877" s="217" t="s">
        <v>2156</v>
      </c>
      <c r="T877" s="209" t="s">
        <v>3913</v>
      </c>
      <c r="U877" s="209" t="s">
        <v>3914</v>
      </c>
      <c r="V877" s="213" t="s">
        <v>3915</v>
      </c>
      <c r="W877" s="218" t="s">
        <v>3652</v>
      </c>
      <c r="X877" s="218" t="s">
        <v>3652</v>
      </c>
      <c r="Y877" s="212" t="s">
        <v>5714</v>
      </c>
      <c r="Z877" s="209" t="s">
        <v>5614</v>
      </c>
      <c r="AA877" s="215"/>
      <c r="AB877" s="218"/>
      <c r="AC877" s="217" t="e">
        <v>#N/A</v>
      </c>
      <c r="AD877" s="217">
        <v>90734</v>
      </c>
      <c r="AE877" s="217" t="s">
        <v>5715</v>
      </c>
      <c r="AF877" s="217" t="s">
        <v>3918</v>
      </c>
      <c r="AG877" s="217" t="s">
        <v>3919</v>
      </c>
      <c r="AH877" s="220" t="str">
        <f t="shared" ref="AH877:AH908" si="58">O877&amp;"_00"&amp;Q877</f>
        <v>4590007917_001</v>
      </c>
      <c r="AI877" s="208"/>
      <c r="AJ877" s="225">
        <v>44958</v>
      </c>
      <c r="AK877" s="221">
        <v>113992.92800000001</v>
      </c>
      <c r="AL877" s="226">
        <v>45015</v>
      </c>
      <c r="AM877" s="208"/>
      <c r="AN877" s="220"/>
      <c r="AO877" s="222"/>
      <c r="AP877" s="227"/>
      <c r="AQ877" s="358">
        <f ca="1">IF(表格1[[#This Row],[PO$]]="","100%",表格1[[#This Row],[total amount]]/表格1[[#This Row],[PO$]])</f>
        <v>0.4</v>
      </c>
      <c r="AR877" s="223">
        <f ca="1">表格1[[#This Row],[invoice amount]]+表格1[[#This Row],[invoice amount2]]</f>
        <v>113992.92800000001</v>
      </c>
      <c r="AS877" s="224" t="s">
        <v>3673</v>
      </c>
      <c r="AT877" s="208"/>
      <c r="AU877" s="208" t="e">
        <f ca="1">VLOOKUP(表格1[[#This Row],[PO+ITEM]],#REF!,2,FALSE)</f>
        <v>#REF!</v>
      </c>
      <c r="AV877" s="341" t="e">
        <f ca="1">VLOOKUP(表格1[[#This Row],[PO+ITEM]],#REF!,3,FALSE)</f>
        <v>#REF!</v>
      </c>
      <c r="AW877" s="208" t="e">
        <f ca="1">VLOOKUP(表格1[[#This Row],[PO+ITEM]],#REF!,4,FALSE)</f>
        <v>#REF!</v>
      </c>
      <c r="AX877" s="208" t="e" cm="1" vm="1">
        <f t="array" aca="1" ref="AX877" ca="1">VLOOKUP(AI:AI,#REF!,1,FALSE)</f>
        <v>#VALUE!</v>
      </c>
    </row>
    <row r="878" spans="1:50" ht="15.6">
      <c r="A878" s="220">
        <v>872</v>
      </c>
      <c r="B878" s="220" t="s">
        <v>3674</v>
      </c>
      <c r="C878" s="209" t="s">
        <v>17</v>
      </c>
      <c r="D878" s="209" t="s">
        <v>3648</v>
      </c>
      <c r="E878" s="209"/>
      <c r="F878" s="209"/>
      <c r="G878" s="209"/>
      <c r="H878" s="210" t="s">
        <v>5716</v>
      </c>
      <c r="I878" s="210"/>
      <c r="J878" s="211"/>
      <c r="K878" s="210"/>
      <c r="L878" s="212" t="s">
        <v>2999</v>
      </c>
      <c r="M878" s="212" t="s">
        <v>2999</v>
      </c>
      <c r="N878" s="213"/>
      <c r="O878" s="263">
        <v>4590007917</v>
      </c>
      <c r="P878" s="214">
        <v>44867</v>
      </c>
      <c r="Q878" s="334">
        <v>2</v>
      </c>
      <c r="R878" s="216">
        <v>280842.32</v>
      </c>
      <c r="S878" s="217" t="s">
        <v>2156</v>
      </c>
      <c r="T878" s="209" t="s">
        <v>3913</v>
      </c>
      <c r="U878" s="209" t="s">
        <v>3914</v>
      </c>
      <c r="V878" s="213" t="s">
        <v>3915</v>
      </c>
      <c r="W878" s="218" t="s">
        <v>3652</v>
      </c>
      <c r="X878" s="218" t="s">
        <v>3652</v>
      </c>
      <c r="Y878" s="212" t="s">
        <v>5714</v>
      </c>
      <c r="Z878" s="209" t="s">
        <v>5614</v>
      </c>
      <c r="AA878" s="215"/>
      <c r="AB878" s="218"/>
      <c r="AC878" s="217" t="e">
        <v>#N/A</v>
      </c>
      <c r="AD878" s="217">
        <v>90709</v>
      </c>
      <c r="AE878" s="217" t="s">
        <v>5717</v>
      </c>
      <c r="AF878" s="217" t="s">
        <v>3918</v>
      </c>
      <c r="AG878" s="217" t="s">
        <v>3919</v>
      </c>
      <c r="AH878" s="220" t="str">
        <f t="shared" si="58"/>
        <v>4590007917_002</v>
      </c>
      <c r="AI878" s="208"/>
      <c r="AJ878" s="225">
        <v>44958</v>
      </c>
      <c r="AK878" s="221">
        <v>112336.92800000001</v>
      </c>
      <c r="AL878" s="226">
        <v>45015</v>
      </c>
      <c r="AM878" s="208" t="s">
        <v>5718</v>
      </c>
      <c r="AN878" s="227">
        <v>45422</v>
      </c>
      <c r="AO878" s="222">
        <v>168505.39199999999</v>
      </c>
      <c r="AP878" s="227" t="s">
        <v>3805</v>
      </c>
      <c r="AQ878" s="358">
        <f ca="1">IF(表格1[[#This Row],[PO$]]="","100%",表格1[[#This Row],[total amount]]/表格1[[#This Row],[PO$]])</f>
        <v>1</v>
      </c>
      <c r="AR878" s="223">
        <f ca="1">表格1[[#This Row],[invoice amount]]+表格1[[#This Row],[invoice amount2]]</f>
        <v>280842.32</v>
      </c>
      <c r="AS878" s="224" t="s">
        <v>4371</v>
      </c>
      <c r="AT878" s="208" t="s">
        <v>3657</v>
      </c>
      <c r="AU878" s="208" t="e">
        <f ca="1">VLOOKUP(表格1[[#This Row],[PO+ITEM]],#REF!,2,FALSE)</f>
        <v>#REF!</v>
      </c>
      <c r="AV878" s="341" t="e">
        <f ca="1">VLOOKUP(表格1[[#This Row],[PO+ITEM]],#REF!,3,FALSE)</f>
        <v>#REF!</v>
      </c>
      <c r="AW878" s="208" t="e">
        <f ca="1">VLOOKUP(表格1[[#This Row],[PO+ITEM]],#REF!,4,FALSE)</f>
        <v>#REF!</v>
      </c>
      <c r="AX878" s="208" t="e" cm="1" vm="1">
        <f t="array" aca="1" ref="AX878" ca="1">VLOOKUP(AI:AI,#REF!,1,FALSE)</f>
        <v>#VALUE!</v>
      </c>
    </row>
    <row r="879" spans="1:50" ht="15.6">
      <c r="A879" s="220">
        <v>873</v>
      </c>
      <c r="B879" s="220" t="s">
        <v>3659</v>
      </c>
      <c r="C879" s="209" t="s">
        <v>17</v>
      </c>
      <c r="D879" s="209" t="s">
        <v>3648</v>
      </c>
      <c r="E879" s="209"/>
      <c r="F879" s="209"/>
      <c r="G879" s="209"/>
      <c r="H879" s="210" t="s">
        <v>5719</v>
      </c>
      <c r="I879" s="210"/>
      <c r="J879" s="211"/>
      <c r="K879" s="210"/>
      <c r="L879" s="212" t="s">
        <v>2999</v>
      </c>
      <c r="M879" s="212" t="s">
        <v>2999</v>
      </c>
      <c r="N879" s="213"/>
      <c r="O879" s="263">
        <v>4590007917</v>
      </c>
      <c r="P879" s="214">
        <v>44867</v>
      </c>
      <c r="Q879" s="334">
        <v>3</v>
      </c>
      <c r="R879" s="216">
        <v>280842.32</v>
      </c>
      <c r="S879" s="217" t="s">
        <v>2156</v>
      </c>
      <c r="T879" s="209" t="s">
        <v>3913</v>
      </c>
      <c r="U879" s="209" t="s">
        <v>3914</v>
      </c>
      <c r="V879" s="213" t="s">
        <v>3915</v>
      </c>
      <c r="W879" s="218" t="s">
        <v>3652</v>
      </c>
      <c r="X879" s="218" t="s">
        <v>3652</v>
      </c>
      <c r="Y879" s="212" t="s">
        <v>5714</v>
      </c>
      <c r="Z879" s="209" t="s">
        <v>5614</v>
      </c>
      <c r="AA879" s="215"/>
      <c r="AB879" s="218"/>
      <c r="AC879" s="217" t="e">
        <v>#N/A</v>
      </c>
      <c r="AD879" s="217">
        <v>90746</v>
      </c>
      <c r="AE879" s="217" t="s">
        <v>5720</v>
      </c>
      <c r="AF879" s="217" t="s">
        <v>3918</v>
      </c>
      <c r="AG879" s="217" t="s">
        <v>3919</v>
      </c>
      <c r="AH879" s="220" t="str">
        <f t="shared" si="58"/>
        <v>4590007917_003</v>
      </c>
      <c r="AI879" s="208"/>
      <c r="AJ879" s="225">
        <v>44958</v>
      </c>
      <c r="AK879" s="221">
        <v>112336.92800000001</v>
      </c>
      <c r="AL879" s="226">
        <v>45015</v>
      </c>
      <c r="AM879" s="208"/>
      <c r="AN879" s="220"/>
      <c r="AO879" s="222"/>
      <c r="AP879" s="227"/>
      <c r="AQ879" s="358">
        <f ca="1">IF(表格1[[#This Row],[PO$]]="","100%",表格1[[#This Row],[total amount]]/表格1[[#This Row],[PO$]])</f>
        <v>0.4</v>
      </c>
      <c r="AR879" s="223">
        <f ca="1">表格1[[#This Row],[invoice amount]]+表格1[[#This Row],[invoice amount2]]</f>
        <v>112336.92800000001</v>
      </c>
      <c r="AS879" s="224" t="s">
        <v>3673</v>
      </c>
      <c r="AT879" s="208"/>
      <c r="AU879" s="208" t="e">
        <f ca="1">VLOOKUP(表格1[[#This Row],[PO+ITEM]],#REF!,2,FALSE)</f>
        <v>#REF!</v>
      </c>
      <c r="AV879" s="341" t="e">
        <f ca="1">VLOOKUP(表格1[[#This Row],[PO+ITEM]],#REF!,3,FALSE)</f>
        <v>#REF!</v>
      </c>
      <c r="AW879" s="208" t="e">
        <f ca="1">VLOOKUP(表格1[[#This Row],[PO+ITEM]],#REF!,4,FALSE)</f>
        <v>#REF!</v>
      </c>
      <c r="AX879" s="208" t="e" cm="1" vm="1">
        <f t="array" aca="1" ref="AX879" ca="1">VLOOKUP(AI:AI,#REF!,1,FALSE)</f>
        <v>#VALUE!</v>
      </c>
    </row>
    <row r="880" spans="1:50">
      <c r="A880" s="220">
        <v>874</v>
      </c>
      <c r="B880" s="220" t="s">
        <v>3674</v>
      </c>
      <c r="C880" s="209" t="s">
        <v>17</v>
      </c>
      <c r="D880" s="209" t="s">
        <v>3648</v>
      </c>
      <c r="E880" s="209"/>
      <c r="F880" s="209"/>
      <c r="G880" s="209"/>
      <c r="H880" s="210" t="s">
        <v>5721</v>
      </c>
      <c r="I880" s="210"/>
      <c r="J880" s="211"/>
      <c r="K880" s="210"/>
      <c r="L880" s="212" t="s">
        <v>2999</v>
      </c>
      <c r="M880" s="212" t="s">
        <v>2999</v>
      </c>
      <c r="N880" s="213"/>
      <c r="O880" s="263">
        <v>4590007918</v>
      </c>
      <c r="P880" s="214">
        <v>44867</v>
      </c>
      <c r="Q880" s="334">
        <v>1</v>
      </c>
      <c r="R880" s="216">
        <v>369926.25</v>
      </c>
      <c r="S880" s="217" t="s">
        <v>2156</v>
      </c>
      <c r="T880" s="209" t="s">
        <v>3913</v>
      </c>
      <c r="U880" s="209" t="s">
        <v>3914</v>
      </c>
      <c r="V880" s="213" t="s">
        <v>3915</v>
      </c>
      <c r="W880" s="218" t="s">
        <v>3652</v>
      </c>
      <c r="X880" s="218" t="s">
        <v>3652</v>
      </c>
      <c r="Y880" s="212">
        <v>0</v>
      </c>
      <c r="Z880" s="209" t="s">
        <v>5722</v>
      </c>
      <c r="AA880" s="215"/>
      <c r="AB880" s="218"/>
      <c r="AC880" s="217" t="e">
        <v>#N/A</v>
      </c>
      <c r="AD880" s="217">
        <v>90811</v>
      </c>
      <c r="AE880" s="217" t="s">
        <v>5723</v>
      </c>
      <c r="AF880" s="217" t="s">
        <v>3918</v>
      </c>
      <c r="AG880" s="217" t="s">
        <v>3919</v>
      </c>
      <c r="AH880" s="220" t="str">
        <f t="shared" si="58"/>
        <v>4590007918_001</v>
      </c>
      <c r="AI880" s="208" t="s">
        <v>5724</v>
      </c>
      <c r="AJ880" s="227">
        <v>45429</v>
      </c>
      <c r="AK880" s="221">
        <v>369926.25</v>
      </c>
      <c r="AL880" s="227" t="s">
        <v>3805</v>
      </c>
      <c r="AM880" s="208"/>
      <c r="AN880" s="220"/>
      <c r="AO880" s="222"/>
      <c r="AP880" s="227"/>
      <c r="AQ880" s="358">
        <f ca="1">IF(表格1[[#This Row],[PO$]]="","100%",表格1[[#This Row],[total amount]]/表格1[[#This Row],[PO$]])</f>
        <v>1</v>
      </c>
      <c r="AR880" s="223">
        <f ca="1">表格1[[#This Row],[invoice amount]]+表格1[[#This Row],[invoice amount2]]</f>
        <v>369926.25</v>
      </c>
      <c r="AS880" s="224" t="s">
        <v>3752</v>
      </c>
      <c r="AT880" s="208"/>
      <c r="AU880" s="208" t="e">
        <f ca="1">VLOOKUP(表格1[[#This Row],[PO+ITEM]],#REF!,2,FALSE)</f>
        <v>#REF!</v>
      </c>
      <c r="AV880" s="341" t="e">
        <f ca="1">VLOOKUP(表格1[[#This Row],[PO+ITEM]],#REF!,3,FALSE)</f>
        <v>#REF!</v>
      </c>
      <c r="AW880" s="208" t="e">
        <f ca="1">VLOOKUP(表格1[[#This Row],[PO+ITEM]],#REF!,4,FALSE)</f>
        <v>#REF!</v>
      </c>
      <c r="AX880" s="208" t="e" cm="1" vm="1">
        <f t="array" aca="1" ref="AX880" ca="1">VLOOKUP(AI:AI,#REF!,1,FALSE)</f>
        <v>#VALUE!</v>
      </c>
    </row>
    <row r="881" spans="1:50">
      <c r="A881" s="220">
        <v>875</v>
      </c>
      <c r="B881" s="220" t="s">
        <v>3674</v>
      </c>
      <c r="C881" s="209" t="s">
        <v>17</v>
      </c>
      <c r="D881" s="209" t="s">
        <v>3648</v>
      </c>
      <c r="E881" s="209"/>
      <c r="F881" s="209"/>
      <c r="G881" s="209"/>
      <c r="H881" s="210" t="s">
        <v>5725</v>
      </c>
      <c r="I881" s="210"/>
      <c r="J881" s="211"/>
      <c r="K881" s="210"/>
      <c r="L881" s="212" t="s">
        <v>2999</v>
      </c>
      <c r="M881" s="212" t="s">
        <v>2999</v>
      </c>
      <c r="N881" s="213"/>
      <c r="O881" s="263">
        <v>4590007918</v>
      </c>
      <c r="P881" s="214">
        <v>44867</v>
      </c>
      <c r="Q881" s="334">
        <v>2</v>
      </c>
      <c r="R881" s="216">
        <v>369926.25</v>
      </c>
      <c r="S881" s="217" t="s">
        <v>2156</v>
      </c>
      <c r="T881" s="209" t="s">
        <v>3913</v>
      </c>
      <c r="U881" s="209" t="s">
        <v>3914</v>
      </c>
      <c r="V881" s="213" t="s">
        <v>3915</v>
      </c>
      <c r="W881" s="218" t="s">
        <v>3652</v>
      </c>
      <c r="X881" s="218" t="s">
        <v>3652</v>
      </c>
      <c r="Y881" s="212">
        <v>0</v>
      </c>
      <c r="Z881" s="209" t="s">
        <v>5722</v>
      </c>
      <c r="AA881" s="215"/>
      <c r="AB881" s="218"/>
      <c r="AC881" s="217" t="e">
        <v>#N/A</v>
      </c>
      <c r="AD881" s="217">
        <v>90812</v>
      </c>
      <c r="AE881" s="217" t="s">
        <v>5726</v>
      </c>
      <c r="AF881" s="217" t="s">
        <v>3918</v>
      </c>
      <c r="AG881" s="217" t="s">
        <v>3919</v>
      </c>
      <c r="AH881" s="220" t="str">
        <f t="shared" si="58"/>
        <v>4590007918_002</v>
      </c>
      <c r="AI881" s="208" t="s">
        <v>5727</v>
      </c>
      <c r="AJ881" s="227">
        <v>45408</v>
      </c>
      <c r="AK881" s="222">
        <v>369926.25</v>
      </c>
      <c r="AL881" s="227" t="s">
        <v>3805</v>
      </c>
      <c r="AM881" s="208"/>
      <c r="AN881" s="220"/>
      <c r="AP881" s="227"/>
      <c r="AQ881" s="358">
        <f ca="1">IF(表格1[[#This Row],[PO$]]="","100%",表格1[[#This Row],[total amount]]/表格1[[#This Row],[PO$]])</f>
        <v>1</v>
      </c>
      <c r="AR881" s="223">
        <f ca="1">表格1[[#This Row],[invoice amount]]+表格1[[#This Row],[invoice amount2]]</f>
        <v>369926.25</v>
      </c>
      <c r="AS881" s="224" t="s">
        <v>3806</v>
      </c>
      <c r="AT881" s="208"/>
      <c r="AU881" s="208" t="e">
        <f ca="1">VLOOKUP(表格1[[#This Row],[PO+ITEM]],#REF!,2,FALSE)</f>
        <v>#REF!</v>
      </c>
      <c r="AV881" s="341" t="e">
        <f ca="1">VLOOKUP(表格1[[#This Row],[PO+ITEM]],#REF!,3,FALSE)</f>
        <v>#REF!</v>
      </c>
      <c r="AW881" s="208" t="e">
        <f ca="1">VLOOKUP(表格1[[#This Row],[PO+ITEM]],#REF!,4,FALSE)</f>
        <v>#REF!</v>
      </c>
      <c r="AX881" s="208" t="e" cm="1" vm="1">
        <f t="array" aca="1" ref="AX881" ca="1">VLOOKUP(AI:AI,#REF!,1,FALSE)</f>
        <v>#VALUE!</v>
      </c>
    </row>
    <row r="882" spans="1:50">
      <c r="A882" s="220">
        <v>876</v>
      </c>
      <c r="B882" s="220" t="s">
        <v>3659</v>
      </c>
      <c r="C882" s="209" t="s">
        <v>17</v>
      </c>
      <c r="D882" s="209" t="s">
        <v>3648</v>
      </c>
      <c r="E882" s="209"/>
      <c r="F882" s="209"/>
      <c r="G882" s="209"/>
      <c r="H882" s="210" t="s">
        <v>5728</v>
      </c>
      <c r="I882" s="210"/>
      <c r="J882" s="211"/>
      <c r="K882" s="210"/>
      <c r="L882" s="212" t="s">
        <v>2999</v>
      </c>
      <c r="M882" s="212" t="s">
        <v>2999</v>
      </c>
      <c r="N882" s="213"/>
      <c r="O882" s="263">
        <v>4590007918</v>
      </c>
      <c r="P882" s="214">
        <v>44867</v>
      </c>
      <c r="Q882" s="334">
        <v>3</v>
      </c>
      <c r="R882" s="216">
        <v>369926.25</v>
      </c>
      <c r="S882" s="217" t="s">
        <v>2156</v>
      </c>
      <c r="T882" s="209" t="s">
        <v>3913</v>
      </c>
      <c r="U882" s="209" t="s">
        <v>3914</v>
      </c>
      <c r="V882" s="213" t="s">
        <v>3915</v>
      </c>
      <c r="W882" s="218" t="s">
        <v>3652</v>
      </c>
      <c r="X882" s="218" t="s">
        <v>3652</v>
      </c>
      <c r="Y882" s="212">
        <v>0</v>
      </c>
      <c r="Z882" s="209" t="s">
        <v>5722</v>
      </c>
      <c r="AA882" s="215"/>
      <c r="AB882" s="218"/>
      <c r="AC882" s="217" t="e">
        <v>#N/A</v>
      </c>
      <c r="AD882" s="217">
        <v>90962</v>
      </c>
      <c r="AE882" s="217" t="s">
        <v>5729</v>
      </c>
      <c r="AF882" s="217" t="s">
        <v>3918</v>
      </c>
      <c r="AG882" s="217" t="s">
        <v>3919</v>
      </c>
      <c r="AH882" s="220" t="str">
        <f t="shared" si="58"/>
        <v>4590007918_003</v>
      </c>
      <c r="AI882" s="208"/>
      <c r="AJ882" s="220"/>
      <c r="AK882" s="222"/>
      <c r="AL882" s="227"/>
      <c r="AM882" s="208"/>
      <c r="AN882" s="220"/>
      <c r="AP882" s="227"/>
      <c r="AQ882" s="358">
        <f ca="1">IF(表格1[[#This Row],[PO$]]="","100%",表格1[[#This Row],[total amount]]/表格1[[#This Row],[PO$]])</f>
        <v>0</v>
      </c>
      <c r="AR882" s="223">
        <f ca="1">表格1[[#This Row],[invoice amount]]+表格1[[#This Row],[invoice amount2]]</f>
        <v>0</v>
      </c>
      <c r="AS882" s="224"/>
      <c r="AT882" s="208"/>
      <c r="AU882" s="208" t="e">
        <f ca="1">VLOOKUP(表格1[[#This Row],[PO+ITEM]],#REF!,2,FALSE)</f>
        <v>#REF!</v>
      </c>
      <c r="AV882" s="341" t="e">
        <f ca="1">VLOOKUP(表格1[[#This Row],[PO+ITEM]],#REF!,3,FALSE)</f>
        <v>#REF!</v>
      </c>
      <c r="AW882" s="208" t="e">
        <f ca="1">VLOOKUP(表格1[[#This Row],[PO+ITEM]],#REF!,4,FALSE)</f>
        <v>#REF!</v>
      </c>
      <c r="AX882" s="208" t="e" cm="1" vm="1">
        <f t="array" aca="1" ref="AX882" ca="1">VLOOKUP(AI:AI,#REF!,1,FALSE)</f>
        <v>#VALUE!</v>
      </c>
    </row>
    <row r="883" spans="1:50">
      <c r="A883" s="220">
        <v>877</v>
      </c>
      <c r="B883" s="220" t="s">
        <v>3659</v>
      </c>
      <c r="C883" s="209" t="s">
        <v>17</v>
      </c>
      <c r="D883" s="209" t="s">
        <v>3648</v>
      </c>
      <c r="E883" s="209"/>
      <c r="F883" s="209"/>
      <c r="G883" s="209"/>
      <c r="H883" s="217" t="s">
        <v>5730</v>
      </c>
      <c r="I883" s="217"/>
      <c r="J883" s="215"/>
      <c r="K883" s="217"/>
      <c r="L883" s="212" t="s">
        <v>2999</v>
      </c>
      <c r="M883" s="212" t="s">
        <v>2999</v>
      </c>
      <c r="N883" s="213"/>
      <c r="O883" s="263">
        <v>4590007918</v>
      </c>
      <c r="P883" s="214">
        <v>44867</v>
      </c>
      <c r="Q883" s="334">
        <v>4</v>
      </c>
      <c r="R883" s="216">
        <v>369926.25</v>
      </c>
      <c r="S883" s="217" t="s">
        <v>2156</v>
      </c>
      <c r="T883" s="209" t="s">
        <v>3913</v>
      </c>
      <c r="U883" s="209" t="s">
        <v>3914</v>
      </c>
      <c r="V883" s="213" t="s">
        <v>3915</v>
      </c>
      <c r="W883" s="218" t="s">
        <v>3652</v>
      </c>
      <c r="X883" s="218" t="s">
        <v>3652</v>
      </c>
      <c r="Y883" s="212">
        <v>0</v>
      </c>
      <c r="Z883" s="209" t="s">
        <v>5722</v>
      </c>
      <c r="AA883" s="215"/>
      <c r="AB883" s="218"/>
      <c r="AC883" s="217" t="e">
        <v>#N/A</v>
      </c>
      <c r="AD883" s="217">
        <v>90991</v>
      </c>
      <c r="AE883" s="217" t="s">
        <v>5731</v>
      </c>
      <c r="AF883" s="217" t="s">
        <v>3918</v>
      </c>
      <c r="AG883" s="217" t="s">
        <v>3919</v>
      </c>
      <c r="AH883" s="220" t="str">
        <f t="shared" si="58"/>
        <v>4590007918_004</v>
      </c>
      <c r="AI883" s="208"/>
      <c r="AJ883" s="220"/>
      <c r="AK883" s="222"/>
      <c r="AL883" s="227"/>
      <c r="AM883" s="208"/>
      <c r="AN883" s="220"/>
      <c r="AP883" s="227"/>
      <c r="AQ883" s="358">
        <f ca="1">IF(表格1[[#This Row],[PO$]]="","100%",表格1[[#This Row],[total amount]]/表格1[[#This Row],[PO$]])</f>
        <v>0</v>
      </c>
      <c r="AR883" s="223">
        <f ca="1">表格1[[#This Row],[invoice amount]]+表格1[[#This Row],[invoice amount2]]</f>
        <v>0</v>
      </c>
      <c r="AS883" s="224"/>
      <c r="AT883" s="208"/>
      <c r="AU883" s="208" t="e">
        <f ca="1">VLOOKUP(表格1[[#This Row],[PO+ITEM]],#REF!,2,FALSE)</f>
        <v>#REF!</v>
      </c>
      <c r="AV883" s="341" t="e">
        <f ca="1">VLOOKUP(表格1[[#This Row],[PO+ITEM]],#REF!,3,FALSE)</f>
        <v>#REF!</v>
      </c>
      <c r="AW883" s="208" t="e">
        <f ca="1">VLOOKUP(表格1[[#This Row],[PO+ITEM]],#REF!,4,FALSE)</f>
        <v>#REF!</v>
      </c>
      <c r="AX883" s="208" t="e" cm="1" vm="1">
        <f t="array" aca="1" ref="AX883" ca="1">VLOOKUP(AI:AI,#REF!,1,FALSE)</f>
        <v>#VALUE!</v>
      </c>
    </row>
    <row r="884" spans="1:50">
      <c r="A884" s="220">
        <v>878</v>
      </c>
      <c r="B884" s="220" t="s">
        <v>3674</v>
      </c>
      <c r="C884" s="209" t="s">
        <v>17</v>
      </c>
      <c r="D884" s="209" t="s">
        <v>3648</v>
      </c>
      <c r="E884" s="209"/>
      <c r="F884" s="209"/>
      <c r="G884" s="209"/>
      <c r="H884" s="210" t="s">
        <v>5732</v>
      </c>
      <c r="I884" s="210"/>
      <c r="J884" s="211"/>
      <c r="K884" s="210"/>
      <c r="L884" s="212" t="s">
        <v>2999</v>
      </c>
      <c r="M884" s="212" t="s">
        <v>2999</v>
      </c>
      <c r="N884" s="213"/>
      <c r="O884" s="263">
        <v>4590007919</v>
      </c>
      <c r="P884" s="214">
        <v>44867</v>
      </c>
      <c r="Q884" s="334">
        <v>1</v>
      </c>
      <c r="R884" s="216">
        <v>307284.11</v>
      </c>
      <c r="S884" s="217" t="s">
        <v>2156</v>
      </c>
      <c r="T884" s="209" t="s">
        <v>3913</v>
      </c>
      <c r="U884" s="209" t="s">
        <v>3914</v>
      </c>
      <c r="V884" s="213" t="s">
        <v>3915</v>
      </c>
      <c r="W884" s="218" t="s">
        <v>3652</v>
      </c>
      <c r="X884" s="218" t="s">
        <v>3652</v>
      </c>
      <c r="Y884" s="212">
        <v>0</v>
      </c>
      <c r="Z884" s="209" t="s">
        <v>5614</v>
      </c>
      <c r="AA884" s="215"/>
      <c r="AB884" s="218"/>
      <c r="AC884" s="217" t="e">
        <v>#N/A</v>
      </c>
      <c r="AD884" s="217">
        <v>90708</v>
      </c>
      <c r="AE884" s="217" t="s">
        <v>5733</v>
      </c>
      <c r="AF884" s="217" t="s">
        <v>3918</v>
      </c>
      <c r="AG884" s="217" t="s">
        <v>3919</v>
      </c>
      <c r="AH884" s="220" t="str">
        <f t="shared" si="58"/>
        <v>4590007919_001</v>
      </c>
      <c r="AI884" s="208" t="s">
        <v>5734</v>
      </c>
      <c r="AJ884" s="227">
        <v>45408</v>
      </c>
      <c r="AK884" s="222">
        <v>307284.11</v>
      </c>
      <c r="AL884" s="227" t="s">
        <v>3805</v>
      </c>
      <c r="AM884" s="208"/>
      <c r="AN884" s="220"/>
      <c r="AP884" s="227"/>
      <c r="AQ884" s="358">
        <f ca="1">IF(表格1[[#This Row],[PO$]]="","100%",表格1[[#This Row],[total amount]]/表格1[[#This Row],[PO$]])</f>
        <v>1</v>
      </c>
      <c r="AR884" s="223">
        <f ca="1">表格1[[#This Row],[invoice amount]]+表格1[[#This Row],[invoice amount2]]</f>
        <v>307284.11</v>
      </c>
      <c r="AS884" s="224" t="s">
        <v>3806</v>
      </c>
      <c r="AT884" s="208"/>
      <c r="AU884" s="208" t="e">
        <f ca="1">VLOOKUP(表格1[[#This Row],[PO+ITEM]],#REF!,2,FALSE)</f>
        <v>#REF!</v>
      </c>
      <c r="AV884" s="341" t="e">
        <f ca="1">VLOOKUP(表格1[[#This Row],[PO+ITEM]],#REF!,3,FALSE)</f>
        <v>#REF!</v>
      </c>
      <c r="AW884" s="208" t="e">
        <f ca="1">VLOOKUP(表格1[[#This Row],[PO+ITEM]],#REF!,4,FALSE)</f>
        <v>#REF!</v>
      </c>
      <c r="AX884" s="208" t="e" cm="1" vm="1">
        <f t="array" aca="1" ref="AX884" ca="1">VLOOKUP(AI:AI,#REF!,1,FALSE)</f>
        <v>#VALUE!</v>
      </c>
    </row>
    <row r="885" spans="1:50">
      <c r="A885" s="220">
        <v>879</v>
      </c>
      <c r="B885" s="220" t="s">
        <v>3659</v>
      </c>
      <c r="C885" s="209" t="s">
        <v>17</v>
      </c>
      <c r="D885" s="209" t="s">
        <v>3648</v>
      </c>
      <c r="E885" s="209"/>
      <c r="F885" s="209"/>
      <c r="G885" s="209"/>
      <c r="H885" s="210" t="s">
        <v>5735</v>
      </c>
      <c r="I885" s="210"/>
      <c r="J885" s="211"/>
      <c r="K885" s="210"/>
      <c r="L885" s="212" t="s">
        <v>2999</v>
      </c>
      <c r="M885" s="212" t="s">
        <v>2999</v>
      </c>
      <c r="N885" s="213"/>
      <c r="O885" s="263">
        <v>4590007919</v>
      </c>
      <c r="P885" s="214">
        <v>44867</v>
      </c>
      <c r="Q885" s="334">
        <v>2</v>
      </c>
      <c r="R885" s="216">
        <v>307284.11</v>
      </c>
      <c r="S885" s="217" t="s">
        <v>2156</v>
      </c>
      <c r="T885" s="209" t="s">
        <v>3913</v>
      </c>
      <c r="U885" s="209" t="s">
        <v>3914</v>
      </c>
      <c r="V885" s="213" t="s">
        <v>3915</v>
      </c>
      <c r="W885" s="218" t="s">
        <v>3652</v>
      </c>
      <c r="X885" s="218" t="s">
        <v>3652</v>
      </c>
      <c r="Y885" s="212">
        <v>0</v>
      </c>
      <c r="Z885" s="209" t="s">
        <v>5614</v>
      </c>
      <c r="AA885" s="215"/>
      <c r="AB885" s="218"/>
      <c r="AC885" s="217" t="e">
        <v>#N/A</v>
      </c>
      <c r="AD885" s="217">
        <v>90724</v>
      </c>
      <c r="AE885" s="217" t="s">
        <v>5736</v>
      </c>
      <c r="AF885" s="217" t="s">
        <v>3918</v>
      </c>
      <c r="AG885" s="217" t="s">
        <v>3919</v>
      </c>
      <c r="AH885" s="220" t="str">
        <f t="shared" si="58"/>
        <v>4590007919_002</v>
      </c>
      <c r="AI885" s="208"/>
      <c r="AJ885" s="220"/>
      <c r="AK885" s="221"/>
      <c r="AL885" s="227"/>
      <c r="AM885" s="208"/>
      <c r="AN885" s="220"/>
      <c r="AO885" s="222"/>
      <c r="AP885" s="227"/>
      <c r="AQ885" s="358">
        <f ca="1">IF(表格1[[#This Row],[PO$]]="","100%",表格1[[#This Row],[total amount]]/表格1[[#This Row],[PO$]])</f>
        <v>0</v>
      </c>
      <c r="AR885" s="223">
        <f ca="1">表格1[[#This Row],[invoice amount]]+表格1[[#This Row],[invoice amount2]]</f>
        <v>0</v>
      </c>
      <c r="AS885" s="224"/>
      <c r="AT885" s="208"/>
      <c r="AU885" s="208" t="e">
        <f ca="1">VLOOKUP(表格1[[#This Row],[PO+ITEM]],#REF!,2,FALSE)</f>
        <v>#REF!</v>
      </c>
      <c r="AV885" s="341" t="e">
        <f ca="1">VLOOKUP(表格1[[#This Row],[PO+ITEM]],#REF!,3,FALSE)</f>
        <v>#REF!</v>
      </c>
      <c r="AW885" s="208" t="e">
        <f ca="1">VLOOKUP(表格1[[#This Row],[PO+ITEM]],#REF!,4,FALSE)</f>
        <v>#REF!</v>
      </c>
      <c r="AX885" s="208" t="e" cm="1" vm="1">
        <f t="array" aca="1" ref="AX885" ca="1">VLOOKUP(AI:AI,#REF!,1,FALSE)</f>
        <v>#VALUE!</v>
      </c>
    </row>
    <row r="886" spans="1:50">
      <c r="A886" s="220">
        <v>880</v>
      </c>
      <c r="B886" s="220" t="s">
        <v>3659</v>
      </c>
      <c r="C886" s="209" t="s">
        <v>17</v>
      </c>
      <c r="D886" s="209" t="s">
        <v>3648</v>
      </c>
      <c r="E886" s="209"/>
      <c r="F886" s="209"/>
      <c r="G886" s="209"/>
      <c r="H886" s="210" t="s">
        <v>5737</v>
      </c>
      <c r="I886" s="210"/>
      <c r="J886" s="211"/>
      <c r="K886" s="210"/>
      <c r="L886" s="212" t="s">
        <v>2999</v>
      </c>
      <c r="M886" s="212" t="s">
        <v>2999</v>
      </c>
      <c r="N886" s="213"/>
      <c r="O886" s="263">
        <v>4590007919</v>
      </c>
      <c r="P886" s="214">
        <v>44867</v>
      </c>
      <c r="Q886" s="334">
        <v>3</v>
      </c>
      <c r="R886" s="216">
        <v>274028.57</v>
      </c>
      <c r="S886" s="217" t="s">
        <v>2156</v>
      </c>
      <c r="T886" s="209" t="s">
        <v>3913</v>
      </c>
      <c r="U886" s="209" t="s">
        <v>3914</v>
      </c>
      <c r="V886" s="213" t="s">
        <v>3915</v>
      </c>
      <c r="W886" s="218" t="s">
        <v>3652</v>
      </c>
      <c r="X886" s="218" t="s">
        <v>3652</v>
      </c>
      <c r="Y886" s="212">
        <v>0</v>
      </c>
      <c r="Z886" s="209" t="s">
        <v>5614</v>
      </c>
      <c r="AA886" s="215"/>
      <c r="AB886" s="218"/>
      <c r="AC886" s="217" t="e">
        <v>#N/A</v>
      </c>
      <c r="AD886" s="217">
        <v>90745</v>
      </c>
      <c r="AE886" s="217" t="s">
        <v>5738</v>
      </c>
      <c r="AF886" s="217" t="s">
        <v>3918</v>
      </c>
      <c r="AG886" s="217" t="s">
        <v>3919</v>
      </c>
      <c r="AH886" s="220" t="str">
        <f t="shared" si="58"/>
        <v>4590007919_003</v>
      </c>
      <c r="AI886" s="208"/>
      <c r="AJ886" s="220"/>
      <c r="AK886" s="221"/>
      <c r="AL886" s="227"/>
      <c r="AM886" s="208"/>
      <c r="AN886" s="220"/>
      <c r="AO886" s="222"/>
      <c r="AP886" s="227"/>
      <c r="AQ886" s="358">
        <f ca="1">IF(表格1[[#This Row],[PO$]]="","100%",表格1[[#This Row],[total amount]]/表格1[[#This Row],[PO$]])</f>
        <v>0</v>
      </c>
      <c r="AR886" s="223">
        <f ca="1">表格1[[#This Row],[invoice amount]]+表格1[[#This Row],[invoice amount2]]</f>
        <v>0</v>
      </c>
      <c r="AS886" s="224"/>
      <c r="AT886" s="208"/>
      <c r="AU886" s="208" t="e">
        <f ca="1">VLOOKUP(表格1[[#This Row],[PO+ITEM]],#REF!,2,FALSE)</f>
        <v>#REF!</v>
      </c>
      <c r="AV886" s="341" t="e">
        <f ca="1">VLOOKUP(表格1[[#This Row],[PO+ITEM]],#REF!,3,FALSE)</f>
        <v>#REF!</v>
      </c>
      <c r="AW886" s="208" t="e">
        <f ca="1">VLOOKUP(表格1[[#This Row],[PO+ITEM]],#REF!,4,FALSE)</f>
        <v>#REF!</v>
      </c>
      <c r="AX886" s="208" t="e" cm="1" vm="1">
        <f t="array" aca="1" ref="AX886" ca="1">VLOOKUP(AI:AI,#REF!,1,FALSE)</f>
        <v>#VALUE!</v>
      </c>
    </row>
    <row r="887" spans="1:50">
      <c r="A887" s="220">
        <v>881</v>
      </c>
      <c r="B887" s="220" t="s">
        <v>3674</v>
      </c>
      <c r="C887" s="209" t="s">
        <v>17</v>
      </c>
      <c r="D887" s="209" t="s">
        <v>3648</v>
      </c>
      <c r="E887" s="209"/>
      <c r="F887" s="209"/>
      <c r="G887" s="209"/>
      <c r="H887" s="210" t="s">
        <v>5739</v>
      </c>
      <c r="I887" s="210"/>
      <c r="J887" s="211"/>
      <c r="K887" s="210"/>
      <c r="L887" s="212" t="s">
        <v>2999</v>
      </c>
      <c r="M887" s="212" t="s">
        <v>2999</v>
      </c>
      <c r="N887" s="213"/>
      <c r="O887" s="263">
        <v>4590007919</v>
      </c>
      <c r="P887" s="214">
        <v>44867</v>
      </c>
      <c r="Q887" s="334">
        <v>4</v>
      </c>
      <c r="R887" s="216">
        <v>274028.57</v>
      </c>
      <c r="S887" s="217" t="s">
        <v>2156</v>
      </c>
      <c r="T887" s="209" t="s">
        <v>3913</v>
      </c>
      <c r="U887" s="209" t="s">
        <v>3914</v>
      </c>
      <c r="V887" s="213" t="s">
        <v>3915</v>
      </c>
      <c r="W887" s="218" t="s">
        <v>3652</v>
      </c>
      <c r="X887" s="218" t="s">
        <v>3652</v>
      </c>
      <c r="Y887" s="212">
        <v>0</v>
      </c>
      <c r="Z887" s="209" t="s">
        <v>5614</v>
      </c>
      <c r="AA887" s="215"/>
      <c r="AB887" s="218"/>
      <c r="AC887" s="217" t="e">
        <v>#N/A</v>
      </c>
      <c r="AD887" s="217">
        <v>90712</v>
      </c>
      <c r="AE887" s="217" t="s">
        <v>5740</v>
      </c>
      <c r="AF887" s="217" t="s">
        <v>3918</v>
      </c>
      <c r="AG887" s="217" t="s">
        <v>3919</v>
      </c>
      <c r="AH887" s="220" t="str">
        <f t="shared" si="58"/>
        <v>4590007919_004</v>
      </c>
      <c r="AI887" s="208" t="s">
        <v>5741</v>
      </c>
      <c r="AJ887" s="227">
        <v>45429</v>
      </c>
      <c r="AK887" s="221">
        <v>274028.57</v>
      </c>
      <c r="AL887" s="227" t="s">
        <v>3805</v>
      </c>
      <c r="AM887" s="208"/>
      <c r="AN887" s="220"/>
      <c r="AO887" s="222"/>
      <c r="AP887" s="227"/>
      <c r="AQ887" s="358">
        <f ca="1">IF(表格1[[#This Row],[PO$]]="","100%",表格1[[#This Row],[total amount]]/表格1[[#This Row],[PO$]])</f>
        <v>1</v>
      </c>
      <c r="AR887" s="223">
        <f ca="1">表格1[[#This Row],[invoice amount]]+表格1[[#This Row],[invoice amount2]]</f>
        <v>274028.57</v>
      </c>
      <c r="AS887" s="224" t="s">
        <v>3752</v>
      </c>
      <c r="AT887" s="208"/>
      <c r="AU887" s="208" t="e">
        <f ca="1">VLOOKUP(表格1[[#This Row],[PO+ITEM]],#REF!,2,FALSE)</f>
        <v>#REF!</v>
      </c>
      <c r="AV887" s="341" t="e">
        <f ca="1">VLOOKUP(表格1[[#This Row],[PO+ITEM]],#REF!,3,FALSE)</f>
        <v>#REF!</v>
      </c>
      <c r="AW887" s="208" t="e">
        <f ca="1">VLOOKUP(表格1[[#This Row],[PO+ITEM]],#REF!,4,FALSE)</f>
        <v>#REF!</v>
      </c>
      <c r="AX887" s="208" t="e" cm="1" vm="1">
        <f t="array" aca="1" ref="AX887" ca="1">VLOOKUP(AI:AI,#REF!,1,FALSE)</f>
        <v>#VALUE!</v>
      </c>
    </row>
    <row r="888" spans="1:50" ht="15.6">
      <c r="A888" s="220">
        <v>882</v>
      </c>
      <c r="B888" s="220" t="s">
        <v>3674</v>
      </c>
      <c r="C888" s="209" t="s">
        <v>17</v>
      </c>
      <c r="D888" s="209" t="s">
        <v>3648</v>
      </c>
      <c r="E888" s="209"/>
      <c r="F888" s="209"/>
      <c r="G888" s="209"/>
      <c r="H888" s="210" t="s">
        <v>5742</v>
      </c>
      <c r="I888" s="210"/>
      <c r="J888" s="211"/>
      <c r="K888" s="210"/>
      <c r="L888" s="212" t="s">
        <v>2999</v>
      </c>
      <c r="M888" s="212" t="s">
        <v>2999</v>
      </c>
      <c r="N888" s="213"/>
      <c r="O888" s="263">
        <v>4590007920</v>
      </c>
      <c r="P888" s="214">
        <v>44867</v>
      </c>
      <c r="Q888" s="334">
        <v>1</v>
      </c>
      <c r="R888" s="216">
        <v>142448.04</v>
      </c>
      <c r="S888" s="217" t="s">
        <v>2156</v>
      </c>
      <c r="T888" s="209" t="s">
        <v>3913</v>
      </c>
      <c r="U888" s="209" t="s">
        <v>3914</v>
      </c>
      <c r="V888" s="213" t="s">
        <v>3915</v>
      </c>
      <c r="W888" s="218" t="s">
        <v>3652</v>
      </c>
      <c r="X888" s="218" t="s">
        <v>3652</v>
      </c>
      <c r="Y888" s="212" t="s">
        <v>5299</v>
      </c>
      <c r="Z888" s="209" t="s">
        <v>5614</v>
      </c>
      <c r="AA888" s="215"/>
      <c r="AB888" s="218"/>
      <c r="AC888" s="217" t="e">
        <v>#N/A</v>
      </c>
      <c r="AD888" s="217">
        <v>90702</v>
      </c>
      <c r="AE888" s="217" t="s">
        <v>5743</v>
      </c>
      <c r="AF888" s="217" t="s">
        <v>3918</v>
      </c>
      <c r="AG888" s="217" t="s">
        <v>3919</v>
      </c>
      <c r="AH888" s="220" t="str">
        <f t="shared" si="58"/>
        <v>4590007920_001</v>
      </c>
      <c r="AI888" s="208"/>
      <c r="AJ888" s="225">
        <v>44958</v>
      </c>
      <c r="AK888" s="221">
        <v>56979.216000000008</v>
      </c>
      <c r="AL888" s="226">
        <v>45015</v>
      </c>
      <c r="AM888" s="208" t="s">
        <v>5744</v>
      </c>
      <c r="AN888" s="227">
        <v>45436</v>
      </c>
      <c r="AO888" s="222">
        <v>85468.824000000008</v>
      </c>
      <c r="AP888" s="227" t="s">
        <v>3805</v>
      </c>
      <c r="AQ888" s="358">
        <f ca="1">IF(表格1[[#This Row],[PO$]]="","100%",表格1[[#This Row],[total amount]]/表格1[[#This Row],[PO$]])</f>
        <v>1</v>
      </c>
      <c r="AR888" s="223">
        <f ca="1">表格1[[#This Row],[invoice amount]]+表格1[[#This Row],[invoice amount2]]</f>
        <v>142448.04</v>
      </c>
      <c r="AS888" s="224" t="s">
        <v>4371</v>
      </c>
      <c r="AT888" s="208"/>
      <c r="AU888" s="208" t="e">
        <f ca="1">VLOOKUP(表格1[[#This Row],[PO+ITEM]],#REF!,2,FALSE)</f>
        <v>#REF!</v>
      </c>
      <c r="AV888" s="341" t="e">
        <f ca="1">VLOOKUP(表格1[[#This Row],[PO+ITEM]],#REF!,3,FALSE)</f>
        <v>#REF!</v>
      </c>
      <c r="AW888" s="208" t="e">
        <f ca="1">VLOOKUP(表格1[[#This Row],[PO+ITEM]],#REF!,4,FALSE)</f>
        <v>#REF!</v>
      </c>
      <c r="AX888" s="208" t="e" cm="1" vm="1">
        <f t="array" aca="1" ref="AX888" ca="1">VLOOKUP(AI:AI,#REF!,1,FALSE)</f>
        <v>#VALUE!</v>
      </c>
    </row>
    <row r="889" spans="1:50" ht="15.6">
      <c r="A889" s="220">
        <v>883</v>
      </c>
      <c r="B889" s="220" t="s">
        <v>3674</v>
      </c>
      <c r="C889" s="209" t="s">
        <v>17</v>
      </c>
      <c r="D889" s="209" t="s">
        <v>3648</v>
      </c>
      <c r="E889" s="209"/>
      <c r="F889" s="209"/>
      <c r="G889" s="209"/>
      <c r="H889" s="210" t="s">
        <v>5745</v>
      </c>
      <c r="I889" s="210"/>
      <c r="J889" s="211"/>
      <c r="K889" s="210"/>
      <c r="L889" s="212" t="s">
        <v>2999</v>
      </c>
      <c r="M889" s="212" t="s">
        <v>2999</v>
      </c>
      <c r="N889" s="213"/>
      <c r="O889" s="263">
        <v>4590007920</v>
      </c>
      <c r="P889" s="214">
        <v>44867</v>
      </c>
      <c r="Q889" s="334">
        <v>2</v>
      </c>
      <c r="R889" s="216">
        <v>327220.18</v>
      </c>
      <c r="S889" s="217" t="s">
        <v>2156</v>
      </c>
      <c r="T889" s="209" t="s">
        <v>3913</v>
      </c>
      <c r="U889" s="209" t="s">
        <v>3914</v>
      </c>
      <c r="V889" s="213" t="s">
        <v>3915</v>
      </c>
      <c r="W889" s="218" t="s">
        <v>3652</v>
      </c>
      <c r="X889" s="218" t="s">
        <v>3652</v>
      </c>
      <c r="Y889" s="212">
        <v>0</v>
      </c>
      <c r="Z889" s="209" t="s">
        <v>5614</v>
      </c>
      <c r="AA889" s="215"/>
      <c r="AB889" s="218"/>
      <c r="AC889" s="217" t="e">
        <v>#N/A</v>
      </c>
      <c r="AD889" s="217">
        <v>90703</v>
      </c>
      <c r="AE889" s="217" t="s">
        <v>5746</v>
      </c>
      <c r="AF889" s="217" t="s">
        <v>3918</v>
      </c>
      <c r="AG889" s="217" t="s">
        <v>3919</v>
      </c>
      <c r="AH889" s="220" t="str">
        <f t="shared" si="58"/>
        <v>4590007920_002</v>
      </c>
      <c r="AI889" s="208"/>
      <c r="AJ889" s="225">
        <v>44958</v>
      </c>
      <c r="AK889" s="221">
        <v>130888.072</v>
      </c>
      <c r="AL889" s="228">
        <v>45030</v>
      </c>
      <c r="AM889" s="208" t="s">
        <v>5747</v>
      </c>
      <c r="AN889" s="227">
        <v>45436</v>
      </c>
      <c r="AO889" s="222">
        <v>196332.10799999998</v>
      </c>
      <c r="AP889" s="227" t="s">
        <v>3805</v>
      </c>
      <c r="AQ889" s="358">
        <f ca="1">IF(表格1[[#This Row],[PO$]]="","100%",表格1[[#This Row],[total amount]]/表格1[[#This Row],[PO$]])</f>
        <v>1</v>
      </c>
      <c r="AR889" s="223">
        <f ca="1">表格1[[#This Row],[invoice amount]]+表格1[[#This Row],[invoice amount2]]</f>
        <v>327220.18</v>
      </c>
      <c r="AS889" s="224" t="s">
        <v>4371</v>
      </c>
      <c r="AT889" s="208"/>
      <c r="AU889" s="208" t="e">
        <f ca="1">VLOOKUP(表格1[[#This Row],[PO+ITEM]],#REF!,2,FALSE)</f>
        <v>#REF!</v>
      </c>
      <c r="AV889" s="341" t="e">
        <f ca="1">VLOOKUP(表格1[[#This Row],[PO+ITEM]],#REF!,3,FALSE)</f>
        <v>#REF!</v>
      </c>
      <c r="AW889" s="208" t="e">
        <f ca="1">VLOOKUP(表格1[[#This Row],[PO+ITEM]],#REF!,4,FALSE)</f>
        <v>#REF!</v>
      </c>
      <c r="AX889" s="208" t="e" cm="1" vm="1">
        <f t="array" aca="1" ref="AX889" ca="1">VLOOKUP(AI:AI,#REF!,1,FALSE)</f>
        <v>#VALUE!</v>
      </c>
    </row>
    <row r="890" spans="1:50" ht="15.6">
      <c r="A890" s="220">
        <v>884</v>
      </c>
      <c r="B890" s="220" t="s">
        <v>3659</v>
      </c>
      <c r="C890" s="209" t="s">
        <v>17</v>
      </c>
      <c r="D890" s="209" t="s">
        <v>3648</v>
      </c>
      <c r="E890" s="209"/>
      <c r="F890" s="209"/>
      <c r="G890" s="209"/>
      <c r="H890" s="210" t="s">
        <v>5748</v>
      </c>
      <c r="I890" s="210"/>
      <c r="J890" s="211"/>
      <c r="K890" s="210"/>
      <c r="L890" s="212" t="s">
        <v>2999</v>
      </c>
      <c r="M890" s="212" t="s">
        <v>2999</v>
      </c>
      <c r="N890" s="213"/>
      <c r="O890" s="263">
        <v>4590007920</v>
      </c>
      <c r="P890" s="214">
        <v>44867</v>
      </c>
      <c r="Q890" s="334">
        <v>3</v>
      </c>
      <c r="R890" s="216">
        <v>327220.18</v>
      </c>
      <c r="S890" s="217" t="s">
        <v>2156</v>
      </c>
      <c r="T890" s="209" t="s">
        <v>3913</v>
      </c>
      <c r="U890" s="209" t="s">
        <v>3914</v>
      </c>
      <c r="V890" s="213" t="s">
        <v>3915</v>
      </c>
      <c r="W890" s="218" t="s">
        <v>3652</v>
      </c>
      <c r="X890" s="218" t="s">
        <v>3652</v>
      </c>
      <c r="Y890" s="212">
        <v>0</v>
      </c>
      <c r="Z890" s="209" t="s">
        <v>5614</v>
      </c>
      <c r="AA890" s="215"/>
      <c r="AB890" s="218"/>
      <c r="AC890" s="217" t="e">
        <v>#N/A</v>
      </c>
      <c r="AD890" s="217">
        <v>90704</v>
      </c>
      <c r="AE890" s="217" t="s">
        <v>5749</v>
      </c>
      <c r="AF890" s="217" t="s">
        <v>3918</v>
      </c>
      <c r="AG890" s="217" t="s">
        <v>3919</v>
      </c>
      <c r="AH890" s="220" t="str">
        <f t="shared" si="58"/>
        <v>4590007920_003</v>
      </c>
      <c r="AI890" s="208"/>
      <c r="AJ890" s="225">
        <v>44958</v>
      </c>
      <c r="AK890" s="221">
        <v>130888.072</v>
      </c>
      <c r="AL890" s="228">
        <v>45030</v>
      </c>
      <c r="AM890" s="208"/>
      <c r="AN890" s="220"/>
      <c r="AO890" s="222"/>
      <c r="AP890" s="227"/>
      <c r="AQ890" s="358">
        <f ca="1">IF(表格1[[#This Row],[PO$]]="","100%",表格1[[#This Row],[total amount]]/表格1[[#This Row],[PO$]])</f>
        <v>0.4</v>
      </c>
      <c r="AR890" s="223">
        <f ca="1">表格1[[#This Row],[invoice amount]]+表格1[[#This Row],[invoice amount2]]</f>
        <v>130888.072</v>
      </c>
      <c r="AS890" s="224" t="s">
        <v>3673</v>
      </c>
      <c r="AT890" s="208"/>
      <c r="AU890" s="208" t="e">
        <f ca="1">VLOOKUP(表格1[[#This Row],[PO+ITEM]],#REF!,2,FALSE)</f>
        <v>#REF!</v>
      </c>
      <c r="AV890" s="341" t="e">
        <f ca="1">VLOOKUP(表格1[[#This Row],[PO+ITEM]],#REF!,3,FALSE)</f>
        <v>#REF!</v>
      </c>
      <c r="AW890" s="208" t="e">
        <f ca="1">VLOOKUP(表格1[[#This Row],[PO+ITEM]],#REF!,4,FALSE)</f>
        <v>#REF!</v>
      </c>
      <c r="AX890" s="208" t="e" cm="1" vm="1">
        <f t="array" aca="1" ref="AX890" ca="1">VLOOKUP(AI:AI,#REF!,1,FALSE)</f>
        <v>#VALUE!</v>
      </c>
    </row>
    <row r="891" spans="1:50" ht="15.6">
      <c r="A891" s="220">
        <v>885</v>
      </c>
      <c r="B891" s="220" t="s">
        <v>3674</v>
      </c>
      <c r="C891" s="209" t="s">
        <v>17</v>
      </c>
      <c r="D891" s="209" t="s">
        <v>3648</v>
      </c>
      <c r="E891" s="209"/>
      <c r="F891" s="209"/>
      <c r="G891" s="209"/>
      <c r="H891" s="210" t="s">
        <v>5750</v>
      </c>
      <c r="I891" s="210"/>
      <c r="J891" s="211"/>
      <c r="K891" s="210"/>
      <c r="L891" s="212" t="s">
        <v>2999</v>
      </c>
      <c r="M891" s="212" t="s">
        <v>2999</v>
      </c>
      <c r="N891" s="213"/>
      <c r="O891" s="263">
        <v>4590007920</v>
      </c>
      <c r="P891" s="214">
        <v>44867</v>
      </c>
      <c r="Q891" s="334">
        <v>4</v>
      </c>
      <c r="R891" s="216">
        <v>74791.070000000007</v>
      </c>
      <c r="S891" s="217" t="s">
        <v>2156</v>
      </c>
      <c r="T891" s="209" t="s">
        <v>3913</v>
      </c>
      <c r="U891" s="209" t="s">
        <v>3914</v>
      </c>
      <c r="V891" s="213" t="s">
        <v>3915</v>
      </c>
      <c r="W891" s="218" t="s">
        <v>3652</v>
      </c>
      <c r="X891" s="218" t="s">
        <v>3652</v>
      </c>
      <c r="Y891" s="212">
        <v>0</v>
      </c>
      <c r="Z891" s="209" t="s">
        <v>5614</v>
      </c>
      <c r="AA891" s="215"/>
      <c r="AB891" s="218"/>
      <c r="AC891" s="217" t="e">
        <v>#N/A</v>
      </c>
      <c r="AD891" s="217">
        <v>90705</v>
      </c>
      <c r="AE891" s="217" t="s">
        <v>5751</v>
      </c>
      <c r="AF891" s="217" t="s">
        <v>3918</v>
      </c>
      <c r="AG891" s="217" t="s">
        <v>3919</v>
      </c>
      <c r="AH891" s="220" t="str">
        <f t="shared" si="58"/>
        <v>4590007920_004</v>
      </c>
      <c r="AI891" s="208"/>
      <c r="AJ891" s="225">
        <v>44958</v>
      </c>
      <c r="AK891" s="221">
        <v>29916.428000000004</v>
      </c>
      <c r="AL891" s="228">
        <v>45030</v>
      </c>
      <c r="AM891" s="208" t="s">
        <v>5752</v>
      </c>
      <c r="AN891" s="227">
        <v>45412</v>
      </c>
      <c r="AO891" s="222">
        <v>44874.64</v>
      </c>
      <c r="AP891" s="227" t="s">
        <v>5710</v>
      </c>
      <c r="AQ891" s="358">
        <f ca="1">IF(表格1[[#This Row],[PO$]]="","100%",表格1[[#This Row],[total amount]]/表格1[[#This Row],[PO$]])</f>
        <v>0.99999997325883949</v>
      </c>
      <c r="AR891" s="223">
        <f ca="1">表格1[[#This Row],[invoice amount]]+表格1[[#This Row],[invoice amount2]]</f>
        <v>74791.067999999999</v>
      </c>
      <c r="AS891" s="224" t="s">
        <v>4371</v>
      </c>
      <c r="AT891" s="246"/>
      <c r="AU891" s="208" t="e">
        <f ca="1">VLOOKUP(表格1[[#This Row],[PO+ITEM]],#REF!,2,FALSE)</f>
        <v>#REF!</v>
      </c>
      <c r="AV891" s="341" t="e">
        <f ca="1">VLOOKUP(表格1[[#This Row],[PO+ITEM]],#REF!,3,FALSE)</f>
        <v>#REF!</v>
      </c>
      <c r="AW891" s="208" t="e">
        <f ca="1">VLOOKUP(表格1[[#This Row],[PO+ITEM]],#REF!,4,FALSE)</f>
        <v>#REF!</v>
      </c>
      <c r="AX891" s="208" t="e" cm="1" vm="1">
        <f t="array" aca="1" ref="AX891" ca="1">VLOOKUP(AI:AI,#REF!,1,FALSE)</f>
        <v>#VALUE!</v>
      </c>
    </row>
    <row r="892" spans="1:50" ht="15.6">
      <c r="A892" s="220">
        <v>886</v>
      </c>
      <c r="B892" s="220" t="s">
        <v>3659</v>
      </c>
      <c r="C892" s="209" t="s">
        <v>17</v>
      </c>
      <c r="D892" s="209" t="s">
        <v>3648</v>
      </c>
      <c r="E892" s="209"/>
      <c r="F892" s="209"/>
      <c r="G892" s="209"/>
      <c r="H892" s="210" t="s">
        <v>5753</v>
      </c>
      <c r="I892" s="210"/>
      <c r="J892" s="211"/>
      <c r="K892" s="210"/>
      <c r="L892" s="212" t="s">
        <v>2999</v>
      </c>
      <c r="M892" s="212" t="s">
        <v>2999</v>
      </c>
      <c r="N892" s="213"/>
      <c r="O892" s="263">
        <v>4590007920</v>
      </c>
      <c r="P892" s="214">
        <v>44867</v>
      </c>
      <c r="Q892" s="334">
        <v>5</v>
      </c>
      <c r="R892" s="216">
        <v>74791.070000000007</v>
      </c>
      <c r="S892" s="217" t="s">
        <v>2156</v>
      </c>
      <c r="T892" s="209" t="s">
        <v>3913</v>
      </c>
      <c r="U892" s="209" t="s">
        <v>3914</v>
      </c>
      <c r="V892" s="213" t="s">
        <v>3915</v>
      </c>
      <c r="W892" s="218" t="s">
        <v>3652</v>
      </c>
      <c r="X892" s="218" t="s">
        <v>3652</v>
      </c>
      <c r="Y892" s="212">
        <v>0</v>
      </c>
      <c r="Z892" s="209" t="s">
        <v>5614</v>
      </c>
      <c r="AA892" s="215"/>
      <c r="AB892" s="218"/>
      <c r="AC892" s="217" t="e">
        <v>#N/A</v>
      </c>
      <c r="AD892" s="217">
        <v>90706</v>
      </c>
      <c r="AE892" s="217" t="s">
        <v>5754</v>
      </c>
      <c r="AF892" s="217" t="s">
        <v>3918</v>
      </c>
      <c r="AG892" s="217" t="s">
        <v>3919</v>
      </c>
      <c r="AH892" s="220" t="str">
        <f t="shared" si="58"/>
        <v>4590007920_005</v>
      </c>
      <c r="AI892" s="208"/>
      <c r="AJ892" s="225">
        <v>44958</v>
      </c>
      <c r="AK892" s="221">
        <v>29916.428000000004</v>
      </c>
      <c r="AL892" s="228">
        <v>45030</v>
      </c>
      <c r="AM892" s="208"/>
      <c r="AN892" s="220"/>
      <c r="AO892" s="222"/>
      <c r="AP892" s="227"/>
      <c r="AQ892" s="358">
        <f ca="1">IF(表格1[[#This Row],[PO$]]="","100%",表格1[[#This Row],[total amount]]/表格1[[#This Row],[PO$]])</f>
        <v>0.4</v>
      </c>
      <c r="AR892" s="223">
        <f ca="1">表格1[[#This Row],[invoice amount]]+表格1[[#This Row],[invoice amount2]]</f>
        <v>29916.428000000004</v>
      </c>
      <c r="AS892" s="224" t="s">
        <v>3673</v>
      </c>
      <c r="AT892" s="208"/>
      <c r="AU892" s="208" t="e">
        <f ca="1">VLOOKUP(表格1[[#This Row],[PO+ITEM]],#REF!,2,FALSE)</f>
        <v>#REF!</v>
      </c>
      <c r="AV892" s="341" t="e">
        <f ca="1">VLOOKUP(表格1[[#This Row],[PO+ITEM]],#REF!,3,FALSE)</f>
        <v>#REF!</v>
      </c>
      <c r="AW892" s="208" t="e">
        <f ca="1">VLOOKUP(表格1[[#This Row],[PO+ITEM]],#REF!,4,FALSE)</f>
        <v>#REF!</v>
      </c>
      <c r="AX892" s="208" t="e" cm="1" vm="1">
        <f t="array" aca="1" ref="AX892" ca="1">VLOOKUP(AI:AI,#REF!,1,FALSE)</f>
        <v>#VALUE!</v>
      </c>
    </row>
    <row r="893" spans="1:50" ht="15.6">
      <c r="A893" s="220">
        <v>887</v>
      </c>
      <c r="B893" s="220" t="s">
        <v>3674</v>
      </c>
      <c r="C893" s="209" t="s">
        <v>17</v>
      </c>
      <c r="D893" s="209" t="s">
        <v>3648</v>
      </c>
      <c r="E893" s="209"/>
      <c r="F893" s="209"/>
      <c r="G893" s="209"/>
      <c r="H893" s="210" t="s">
        <v>5755</v>
      </c>
      <c r="I893" s="210"/>
      <c r="J893" s="211"/>
      <c r="K893" s="210"/>
      <c r="L893" s="212" t="s">
        <v>2999</v>
      </c>
      <c r="M893" s="212" t="s">
        <v>2999</v>
      </c>
      <c r="N893" s="213"/>
      <c r="O893" s="263">
        <v>4590007922</v>
      </c>
      <c r="P893" s="214">
        <v>44867</v>
      </c>
      <c r="Q893" s="334">
        <v>1</v>
      </c>
      <c r="R893" s="216">
        <v>204141.43</v>
      </c>
      <c r="S893" s="217" t="s">
        <v>2156</v>
      </c>
      <c r="T893" s="209" t="s">
        <v>3913</v>
      </c>
      <c r="U893" s="209" t="s">
        <v>3914</v>
      </c>
      <c r="V893" s="213" t="s">
        <v>3915</v>
      </c>
      <c r="W893" s="218" t="s">
        <v>3652</v>
      </c>
      <c r="X893" s="218" t="s">
        <v>3652</v>
      </c>
      <c r="Y893" s="212" t="s">
        <v>5714</v>
      </c>
      <c r="Z893" s="209" t="s">
        <v>5756</v>
      </c>
      <c r="AA893" s="215"/>
      <c r="AB893" s="218"/>
      <c r="AC893" s="217" t="e">
        <v>#N/A</v>
      </c>
      <c r="AD893" s="217">
        <v>90701</v>
      </c>
      <c r="AE893" s="217" t="s">
        <v>5757</v>
      </c>
      <c r="AF893" s="217" t="s">
        <v>3918</v>
      </c>
      <c r="AG893" s="217" t="s">
        <v>3919</v>
      </c>
      <c r="AH893" s="220" t="str">
        <f t="shared" si="58"/>
        <v>4590007922_001</v>
      </c>
      <c r="AI893" s="208"/>
      <c r="AJ893" s="225">
        <v>44958</v>
      </c>
      <c r="AK893" s="221">
        <v>81656.572</v>
      </c>
      <c r="AL893" s="226">
        <v>45015</v>
      </c>
      <c r="AM893" s="208" t="s">
        <v>5758</v>
      </c>
      <c r="AN893" s="227">
        <v>45429</v>
      </c>
      <c r="AO893" s="222">
        <v>122484.85799999999</v>
      </c>
      <c r="AP893" s="227" t="s">
        <v>3805</v>
      </c>
      <c r="AQ893" s="358">
        <f ca="1">IF(表格1[[#This Row],[PO$]]="","100%",表格1[[#This Row],[total amount]]/表格1[[#This Row],[PO$]])</f>
        <v>1</v>
      </c>
      <c r="AR893" s="223">
        <f ca="1">表格1[[#This Row],[invoice amount]]+表格1[[#This Row],[invoice amount2]]</f>
        <v>204141.43</v>
      </c>
      <c r="AS893" s="224" t="s">
        <v>4371</v>
      </c>
      <c r="AT893" s="208"/>
      <c r="AU893" s="208" t="e">
        <f ca="1">VLOOKUP(表格1[[#This Row],[PO+ITEM]],#REF!,2,FALSE)</f>
        <v>#REF!</v>
      </c>
      <c r="AV893" s="341" t="e">
        <f ca="1">VLOOKUP(表格1[[#This Row],[PO+ITEM]],#REF!,3,FALSE)</f>
        <v>#REF!</v>
      </c>
      <c r="AW893" s="208" t="e">
        <f ca="1">VLOOKUP(表格1[[#This Row],[PO+ITEM]],#REF!,4,FALSE)</f>
        <v>#REF!</v>
      </c>
      <c r="AX893" s="208" t="e" cm="1" vm="1">
        <f t="array" aca="1" ref="AX893" ca="1">VLOOKUP(AI:AI,#REF!,1,FALSE)</f>
        <v>#VALUE!</v>
      </c>
    </row>
    <row r="894" spans="1:50" ht="15.6">
      <c r="A894" s="220">
        <v>888</v>
      </c>
      <c r="B894" s="220" t="s">
        <v>3659</v>
      </c>
      <c r="C894" s="209" t="s">
        <v>17</v>
      </c>
      <c r="D894" s="209" t="s">
        <v>3648</v>
      </c>
      <c r="E894" s="209"/>
      <c r="F894" s="209"/>
      <c r="G894" s="209"/>
      <c r="H894" s="210" t="s">
        <v>5759</v>
      </c>
      <c r="I894" s="210"/>
      <c r="J894" s="211"/>
      <c r="K894" s="210"/>
      <c r="L894" s="212" t="s">
        <v>2999</v>
      </c>
      <c r="M894" s="212" t="s">
        <v>2999</v>
      </c>
      <c r="N894" s="213"/>
      <c r="O894" s="263">
        <v>4590007922</v>
      </c>
      <c r="P894" s="214">
        <v>44867</v>
      </c>
      <c r="Q894" s="334">
        <v>2</v>
      </c>
      <c r="R894" s="216">
        <v>204141.43</v>
      </c>
      <c r="S894" s="217" t="s">
        <v>2156</v>
      </c>
      <c r="T894" s="209" t="s">
        <v>3913</v>
      </c>
      <c r="U894" s="209" t="s">
        <v>3914</v>
      </c>
      <c r="V894" s="213" t="s">
        <v>3915</v>
      </c>
      <c r="W894" s="218" t="s">
        <v>3652</v>
      </c>
      <c r="X894" s="218" t="s">
        <v>3652</v>
      </c>
      <c r="Y894" s="212" t="s">
        <v>5714</v>
      </c>
      <c r="Z894" s="209" t="s">
        <v>5756</v>
      </c>
      <c r="AA894" s="215"/>
      <c r="AB894" s="218"/>
      <c r="AC894" s="217" t="e">
        <v>#N/A</v>
      </c>
      <c r="AD894" s="217">
        <v>90744</v>
      </c>
      <c r="AE894" s="217" t="s">
        <v>5760</v>
      </c>
      <c r="AF894" s="217" t="s">
        <v>3918</v>
      </c>
      <c r="AG894" s="217" t="s">
        <v>3919</v>
      </c>
      <c r="AH894" s="220" t="str">
        <f t="shared" si="58"/>
        <v>4590007922_002</v>
      </c>
      <c r="AI894" s="208"/>
      <c r="AJ894" s="225">
        <v>44958</v>
      </c>
      <c r="AK894" s="221">
        <v>81656.572</v>
      </c>
      <c r="AL894" s="226">
        <v>45015</v>
      </c>
      <c r="AM894" s="208"/>
      <c r="AN894" s="220"/>
      <c r="AO894" s="222"/>
      <c r="AP894" s="227"/>
      <c r="AQ894" s="358">
        <f ca="1">IF(表格1[[#This Row],[PO$]]="","100%",表格1[[#This Row],[total amount]]/表格1[[#This Row],[PO$]])</f>
        <v>0.4</v>
      </c>
      <c r="AR894" s="223">
        <f ca="1">表格1[[#This Row],[invoice amount]]+表格1[[#This Row],[invoice amount2]]</f>
        <v>81656.572</v>
      </c>
      <c r="AS894" s="224" t="s">
        <v>3673</v>
      </c>
      <c r="AT894" s="208"/>
      <c r="AU894" s="208" t="e">
        <f ca="1">VLOOKUP(表格1[[#This Row],[PO+ITEM]],#REF!,2,FALSE)</f>
        <v>#REF!</v>
      </c>
      <c r="AV894" s="341" t="e">
        <f ca="1">VLOOKUP(表格1[[#This Row],[PO+ITEM]],#REF!,3,FALSE)</f>
        <v>#REF!</v>
      </c>
      <c r="AW894" s="208" t="e">
        <f ca="1">VLOOKUP(表格1[[#This Row],[PO+ITEM]],#REF!,4,FALSE)</f>
        <v>#REF!</v>
      </c>
      <c r="AX894" s="208" t="e" cm="1" vm="1">
        <f t="array" aca="1" ref="AX894" ca="1">VLOOKUP(AI:AI,#REF!,1,FALSE)</f>
        <v>#VALUE!</v>
      </c>
    </row>
    <row r="895" spans="1:50">
      <c r="A895" s="220">
        <v>889</v>
      </c>
      <c r="B895" s="220" t="s">
        <v>3674</v>
      </c>
      <c r="C895" s="209" t="s">
        <v>17</v>
      </c>
      <c r="D895" s="209" t="s">
        <v>3648</v>
      </c>
      <c r="E895" s="209"/>
      <c r="F895" s="209"/>
      <c r="G895" s="209"/>
      <c r="H895" s="210" t="s">
        <v>5761</v>
      </c>
      <c r="I895" s="210"/>
      <c r="J895" s="211"/>
      <c r="K895" s="210"/>
      <c r="L895" s="212" t="s">
        <v>2999</v>
      </c>
      <c r="M895" s="212" t="s">
        <v>2999</v>
      </c>
      <c r="N895" s="213"/>
      <c r="O895" s="263">
        <v>4590007923</v>
      </c>
      <c r="P895" s="214">
        <v>44867</v>
      </c>
      <c r="Q895" s="334">
        <v>1</v>
      </c>
      <c r="R895" s="216">
        <v>173251.61</v>
      </c>
      <c r="S895" s="217" t="s">
        <v>2156</v>
      </c>
      <c r="T895" s="209" t="s">
        <v>3913</v>
      </c>
      <c r="U895" s="209" t="s">
        <v>3914</v>
      </c>
      <c r="V895" s="213" t="s">
        <v>3915</v>
      </c>
      <c r="W895" s="218" t="s">
        <v>3652</v>
      </c>
      <c r="X895" s="218" t="s">
        <v>3652</v>
      </c>
      <c r="Y895" s="212">
        <v>0</v>
      </c>
      <c r="Z895" s="209" t="s">
        <v>5762</v>
      </c>
      <c r="AA895" s="215"/>
      <c r="AB895" s="218"/>
      <c r="AC895" s="217" t="e">
        <v>#N/A</v>
      </c>
      <c r="AD895" s="217">
        <v>90722</v>
      </c>
      <c r="AE895" s="217" t="s">
        <v>5763</v>
      </c>
      <c r="AF895" s="217" t="s">
        <v>3918</v>
      </c>
      <c r="AG895" s="217" t="s">
        <v>3919</v>
      </c>
      <c r="AH895" s="220" t="str">
        <f t="shared" si="58"/>
        <v>4590007923_001</v>
      </c>
      <c r="AI895" s="208" t="s">
        <v>5764</v>
      </c>
      <c r="AJ895" s="227">
        <v>45436</v>
      </c>
      <c r="AK895" s="221">
        <v>173251.61</v>
      </c>
      <c r="AL895" s="227" t="s">
        <v>3805</v>
      </c>
      <c r="AM895" s="208"/>
      <c r="AN895" s="220"/>
      <c r="AO895" s="222"/>
      <c r="AP895" s="227"/>
      <c r="AQ895" s="358">
        <f ca="1">IF(表格1[[#This Row],[PO$]]="","100%",表格1[[#This Row],[total amount]]/表格1[[#This Row],[PO$]])</f>
        <v>1</v>
      </c>
      <c r="AR895" s="223">
        <f ca="1">表格1[[#This Row],[invoice amount]]+表格1[[#This Row],[invoice amount2]]</f>
        <v>173251.61</v>
      </c>
      <c r="AS895" s="224" t="s">
        <v>3701</v>
      </c>
      <c r="AT895" s="208"/>
      <c r="AU895" s="208" t="e">
        <f ca="1">VLOOKUP(表格1[[#This Row],[PO+ITEM]],#REF!,2,FALSE)</f>
        <v>#REF!</v>
      </c>
      <c r="AV895" s="341" t="e">
        <f ca="1">VLOOKUP(表格1[[#This Row],[PO+ITEM]],#REF!,3,FALSE)</f>
        <v>#REF!</v>
      </c>
      <c r="AW895" s="208" t="e">
        <f ca="1">VLOOKUP(表格1[[#This Row],[PO+ITEM]],#REF!,4,FALSE)</f>
        <v>#REF!</v>
      </c>
      <c r="AX895" s="208" t="e" cm="1" vm="1">
        <f t="array" aca="1" ref="AX895" ca="1">VLOOKUP(AI:AI,#REF!,1,FALSE)</f>
        <v>#VALUE!</v>
      </c>
    </row>
    <row r="896" spans="1:50">
      <c r="A896" s="220">
        <v>890</v>
      </c>
      <c r="B896" s="220" t="s">
        <v>3659</v>
      </c>
      <c r="C896" s="209" t="s">
        <v>17</v>
      </c>
      <c r="D896" s="209" t="s">
        <v>3648</v>
      </c>
      <c r="E896" s="209"/>
      <c r="F896" s="209"/>
      <c r="G896" s="209"/>
      <c r="H896" s="210" t="s">
        <v>5765</v>
      </c>
      <c r="I896" s="210"/>
      <c r="J896" s="211"/>
      <c r="K896" s="210"/>
      <c r="L896" s="212" t="s">
        <v>2999</v>
      </c>
      <c r="M896" s="212" t="s">
        <v>2999</v>
      </c>
      <c r="N896" s="213"/>
      <c r="O896" s="263">
        <v>4590007923</v>
      </c>
      <c r="P896" s="214">
        <v>44867</v>
      </c>
      <c r="Q896" s="334">
        <v>2</v>
      </c>
      <c r="R896" s="216">
        <v>173251.61</v>
      </c>
      <c r="S896" s="217" t="s">
        <v>2156</v>
      </c>
      <c r="T896" s="209" t="s">
        <v>3913</v>
      </c>
      <c r="U896" s="209" t="s">
        <v>3914</v>
      </c>
      <c r="V896" s="213" t="s">
        <v>3915</v>
      </c>
      <c r="W896" s="218" t="s">
        <v>3652</v>
      </c>
      <c r="X896" s="218" t="s">
        <v>3652</v>
      </c>
      <c r="Y896" s="212">
        <v>0</v>
      </c>
      <c r="Z896" s="209" t="s">
        <v>5762</v>
      </c>
      <c r="AA896" s="215"/>
      <c r="AB896" s="218"/>
      <c r="AC896" s="217" t="e">
        <v>#N/A</v>
      </c>
      <c r="AD896" s="217">
        <v>90723</v>
      </c>
      <c r="AE896" s="217" t="s">
        <v>5766</v>
      </c>
      <c r="AF896" s="217" t="s">
        <v>3918</v>
      </c>
      <c r="AG896" s="217" t="s">
        <v>3919</v>
      </c>
      <c r="AH896" s="220" t="str">
        <f t="shared" si="58"/>
        <v>4590007923_002</v>
      </c>
      <c r="AI896" s="208"/>
      <c r="AJ896" s="220"/>
      <c r="AK896" s="221"/>
      <c r="AL896" s="227"/>
      <c r="AM896" s="208"/>
      <c r="AN896" s="220"/>
      <c r="AO896" s="222"/>
      <c r="AP896" s="227"/>
      <c r="AQ896" s="358">
        <f ca="1">IF(表格1[[#This Row],[PO$]]="","100%",表格1[[#This Row],[total amount]]/表格1[[#This Row],[PO$]])</f>
        <v>0</v>
      </c>
      <c r="AR896" s="223">
        <f ca="1">表格1[[#This Row],[invoice amount]]+表格1[[#This Row],[invoice amount2]]</f>
        <v>0</v>
      </c>
      <c r="AS896" s="224"/>
      <c r="AT896" s="208"/>
      <c r="AU896" s="208" t="e">
        <f ca="1">VLOOKUP(表格1[[#This Row],[PO+ITEM]],#REF!,2,FALSE)</f>
        <v>#REF!</v>
      </c>
      <c r="AV896" s="341" t="e">
        <f ca="1">VLOOKUP(表格1[[#This Row],[PO+ITEM]],#REF!,3,FALSE)</f>
        <v>#REF!</v>
      </c>
      <c r="AW896" s="208" t="e">
        <f ca="1">VLOOKUP(表格1[[#This Row],[PO+ITEM]],#REF!,4,FALSE)</f>
        <v>#REF!</v>
      </c>
      <c r="AX896" s="208" t="e" cm="1" vm="1">
        <f t="array" aca="1" ref="AX896" ca="1">VLOOKUP(AI:AI,#REF!,1,FALSE)</f>
        <v>#VALUE!</v>
      </c>
    </row>
    <row r="897" spans="1:50">
      <c r="A897" s="220">
        <v>891</v>
      </c>
      <c r="B897" s="220" t="s">
        <v>3674</v>
      </c>
      <c r="C897" s="209" t="s">
        <v>17</v>
      </c>
      <c r="D897" s="209" t="s">
        <v>3648</v>
      </c>
      <c r="E897" s="209"/>
      <c r="F897" s="209"/>
      <c r="G897" s="209"/>
      <c r="H897" s="210" t="s">
        <v>5767</v>
      </c>
      <c r="I897" s="210"/>
      <c r="J897" s="211"/>
      <c r="K897" s="210"/>
      <c r="L897" s="212" t="s">
        <v>2999</v>
      </c>
      <c r="M897" s="212" t="s">
        <v>2999</v>
      </c>
      <c r="N897" s="213"/>
      <c r="O897" s="263">
        <v>4590007924</v>
      </c>
      <c r="P897" s="214">
        <v>44867</v>
      </c>
      <c r="Q897" s="334">
        <v>1</v>
      </c>
      <c r="R897" s="216">
        <v>168446.25</v>
      </c>
      <c r="S897" s="217" t="s">
        <v>2156</v>
      </c>
      <c r="T897" s="209" t="s">
        <v>3913</v>
      </c>
      <c r="U897" s="209" t="s">
        <v>3914</v>
      </c>
      <c r="V897" s="213" t="s">
        <v>3915</v>
      </c>
      <c r="W897" s="218" t="s">
        <v>3652</v>
      </c>
      <c r="X897" s="218" t="s">
        <v>3652</v>
      </c>
      <c r="Y897" s="212">
        <v>0</v>
      </c>
      <c r="Z897" s="209" t="s">
        <v>5768</v>
      </c>
      <c r="AA897" s="215"/>
      <c r="AB897" s="218"/>
      <c r="AC897" s="217" t="e">
        <v>#N/A</v>
      </c>
      <c r="AD897" s="217">
        <v>90707</v>
      </c>
      <c r="AE897" s="217" t="s">
        <v>5769</v>
      </c>
      <c r="AF897" s="217" t="s">
        <v>3918</v>
      </c>
      <c r="AG897" s="217" t="s">
        <v>3919</v>
      </c>
      <c r="AH897" s="220" t="str">
        <f t="shared" si="58"/>
        <v>4590007924_001</v>
      </c>
      <c r="AI897" s="208" t="s">
        <v>5770</v>
      </c>
      <c r="AJ897" s="227">
        <v>45412</v>
      </c>
      <c r="AK897" s="273">
        <v>168446.25</v>
      </c>
      <c r="AL897" s="227" t="s">
        <v>3805</v>
      </c>
      <c r="AM897" s="208"/>
      <c r="AN897" s="220"/>
      <c r="AO897" s="222"/>
      <c r="AP897" s="227"/>
      <c r="AQ897" s="358">
        <f ca="1">IF(表格1[[#This Row],[PO$]]="","100%",表格1[[#This Row],[total amount]]/表格1[[#This Row],[PO$]])</f>
        <v>1</v>
      </c>
      <c r="AR897" s="223">
        <f ca="1">表格1[[#This Row],[invoice amount]]+表格1[[#This Row],[invoice amount2]]</f>
        <v>168446.25</v>
      </c>
      <c r="AS897" s="224" t="s">
        <v>3806</v>
      </c>
      <c r="AT897" s="246"/>
      <c r="AU897" s="208" t="e">
        <f ca="1">VLOOKUP(表格1[[#This Row],[PO+ITEM]],#REF!,2,FALSE)</f>
        <v>#REF!</v>
      </c>
      <c r="AV897" s="341" t="e">
        <f ca="1">VLOOKUP(表格1[[#This Row],[PO+ITEM]],#REF!,3,FALSE)</f>
        <v>#REF!</v>
      </c>
      <c r="AW897" s="208" t="e">
        <f ca="1">VLOOKUP(表格1[[#This Row],[PO+ITEM]],#REF!,4,FALSE)</f>
        <v>#REF!</v>
      </c>
      <c r="AX897" s="208" t="e" cm="1" vm="1">
        <f t="array" aca="1" ref="AX897" ca="1">VLOOKUP(AI:AI,#REF!,1,FALSE)</f>
        <v>#VALUE!</v>
      </c>
    </row>
    <row r="898" spans="1:50">
      <c r="A898" s="220">
        <v>892</v>
      </c>
      <c r="B898" s="220" t="s">
        <v>3659</v>
      </c>
      <c r="C898" s="209" t="s">
        <v>17</v>
      </c>
      <c r="D898" s="209" t="s">
        <v>3648</v>
      </c>
      <c r="E898" s="209"/>
      <c r="F898" s="209"/>
      <c r="G898" s="209"/>
      <c r="H898" s="210" t="s">
        <v>5771</v>
      </c>
      <c r="I898" s="210"/>
      <c r="J898" s="211"/>
      <c r="K898" s="210"/>
      <c r="L898" s="212" t="s">
        <v>2999</v>
      </c>
      <c r="M898" s="212" t="s">
        <v>2999</v>
      </c>
      <c r="N898" s="213"/>
      <c r="O898" s="263">
        <v>4590007924</v>
      </c>
      <c r="P898" s="214">
        <v>44867</v>
      </c>
      <c r="Q898" s="334">
        <v>2</v>
      </c>
      <c r="R898" s="216">
        <v>168446.25</v>
      </c>
      <c r="S898" s="217" t="s">
        <v>2156</v>
      </c>
      <c r="T898" s="209" t="s">
        <v>3913</v>
      </c>
      <c r="U898" s="209" t="s">
        <v>3914</v>
      </c>
      <c r="V898" s="213" t="s">
        <v>3915</v>
      </c>
      <c r="W898" s="218" t="s">
        <v>3652</v>
      </c>
      <c r="X898" s="218" t="s">
        <v>3652</v>
      </c>
      <c r="Y898" s="212">
        <v>0</v>
      </c>
      <c r="Z898" s="209" t="s">
        <v>5768</v>
      </c>
      <c r="AA898" s="215"/>
      <c r="AB898" s="218"/>
      <c r="AC898" s="217" t="e">
        <v>#N/A</v>
      </c>
      <c r="AD898" s="217">
        <v>91004</v>
      </c>
      <c r="AE898" s="217" t="s">
        <v>5772</v>
      </c>
      <c r="AF898" s="217" t="s">
        <v>3918</v>
      </c>
      <c r="AG898" s="217" t="s">
        <v>3919</v>
      </c>
      <c r="AH898" s="220" t="str">
        <f t="shared" si="58"/>
        <v>4590007924_002</v>
      </c>
      <c r="AI898" s="208"/>
      <c r="AJ898" s="220"/>
      <c r="AK898" s="221"/>
      <c r="AL898" s="227"/>
      <c r="AM898" s="208"/>
      <c r="AN898" s="220"/>
      <c r="AO898" s="222"/>
      <c r="AP898" s="227"/>
      <c r="AQ898" s="358">
        <f ca="1">IF(表格1[[#This Row],[PO$]]="","100%",表格1[[#This Row],[total amount]]/表格1[[#This Row],[PO$]])</f>
        <v>0</v>
      </c>
      <c r="AR898" s="223">
        <f ca="1">表格1[[#This Row],[invoice amount]]+表格1[[#This Row],[invoice amount2]]</f>
        <v>0</v>
      </c>
      <c r="AS898" s="224"/>
      <c r="AT898" s="208"/>
      <c r="AU898" s="208" t="e">
        <f ca="1">VLOOKUP(表格1[[#This Row],[PO+ITEM]],#REF!,2,FALSE)</f>
        <v>#REF!</v>
      </c>
      <c r="AV898" s="341" t="e">
        <f ca="1">VLOOKUP(表格1[[#This Row],[PO+ITEM]],#REF!,3,FALSE)</f>
        <v>#REF!</v>
      </c>
      <c r="AW898" s="208" t="e">
        <f ca="1">VLOOKUP(表格1[[#This Row],[PO+ITEM]],#REF!,4,FALSE)</f>
        <v>#REF!</v>
      </c>
      <c r="AX898" s="208" t="e" cm="1" vm="1">
        <f t="array" aca="1" ref="AX898" ca="1">VLOOKUP(AI:AI,#REF!,1,FALSE)</f>
        <v>#VALUE!</v>
      </c>
    </row>
    <row r="899" spans="1:50" ht="15.6">
      <c r="A899" s="220">
        <v>893</v>
      </c>
      <c r="B899" s="220" t="s">
        <v>3674</v>
      </c>
      <c r="C899" s="209" t="s">
        <v>17</v>
      </c>
      <c r="D899" s="209" t="s">
        <v>3648</v>
      </c>
      <c r="E899" s="209"/>
      <c r="F899" s="209"/>
      <c r="G899" s="209"/>
      <c r="H899" s="210" t="s">
        <v>5773</v>
      </c>
      <c r="I899" s="210"/>
      <c r="J899" s="211"/>
      <c r="K899" s="210"/>
      <c r="L899" s="212" t="s">
        <v>2999</v>
      </c>
      <c r="M899" s="212" t="s">
        <v>2999</v>
      </c>
      <c r="N899" s="213"/>
      <c r="O899" s="263">
        <v>4590007925</v>
      </c>
      <c r="P899" s="214">
        <v>44867</v>
      </c>
      <c r="Q899" s="334">
        <v>1</v>
      </c>
      <c r="R899" s="216">
        <v>142448.04</v>
      </c>
      <c r="S899" s="217" t="s">
        <v>2156</v>
      </c>
      <c r="T899" s="209" t="s">
        <v>3913</v>
      </c>
      <c r="U899" s="209" t="s">
        <v>3914</v>
      </c>
      <c r="V899" s="213" t="s">
        <v>3915</v>
      </c>
      <c r="W899" s="218" t="s">
        <v>3652</v>
      </c>
      <c r="X899" s="218" t="s">
        <v>3652</v>
      </c>
      <c r="Y899" s="212">
        <v>0</v>
      </c>
      <c r="Z899" s="209" t="s">
        <v>5614</v>
      </c>
      <c r="AA899" s="215"/>
      <c r="AB899" s="218"/>
      <c r="AC899" s="217" t="e">
        <v>#N/A</v>
      </c>
      <c r="AD899" s="217">
        <v>90717</v>
      </c>
      <c r="AE899" s="217" t="s">
        <v>5774</v>
      </c>
      <c r="AF899" s="217" t="s">
        <v>3918</v>
      </c>
      <c r="AG899" s="217" t="s">
        <v>3919</v>
      </c>
      <c r="AH899" s="220" t="str">
        <f t="shared" si="58"/>
        <v>4590007925_001</v>
      </c>
      <c r="AI899" s="208"/>
      <c r="AJ899" s="225">
        <v>44958</v>
      </c>
      <c r="AK899" s="221">
        <v>56979.216000000008</v>
      </c>
      <c r="AL899" s="228">
        <v>45030</v>
      </c>
      <c r="AM899" s="208" t="s">
        <v>5775</v>
      </c>
      <c r="AN899" s="227">
        <v>45412</v>
      </c>
      <c r="AO899" s="222">
        <v>85468.82</v>
      </c>
      <c r="AP899" s="227" t="s">
        <v>5710</v>
      </c>
      <c r="AQ899" s="358">
        <f ca="1">IF(表格1[[#This Row],[PO$]]="","100%",表格1[[#This Row],[total amount]]/表格1[[#This Row],[PO$]])</f>
        <v>0.99999997191958567</v>
      </c>
      <c r="AR899" s="223">
        <f ca="1">表格1[[#This Row],[invoice amount]]+表格1[[#This Row],[invoice amount2]]</f>
        <v>142448.03600000002</v>
      </c>
      <c r="AS899" s="224" t="s">
        <v>4371</v>
      </c>
      <c r="AT899" s="246"/>
      <c r="AU899" s="208" t="e">
        <f ca="1">VLOOKUP(表格1[[#This Row],[PO+ITEM]],#REF!,2,FALSE)</f>
        <v>#REF!</v>
      </c>
      <c r="AV899" s="341" t="e">
        <f ca="1">VLOOKUP(表格1[[#This Row],[PO+ITEM]],#REF!,3,FALSE)</f>
        <v>#REF!</v>
      </c>
      <c r="AW899" s="208" t="e">
        <f ca="1">VLOOKUP(表格1[[#This Row],[PO+ITEM]],#REF!,4,FALSE)</f>
        <v>#REF!</v>
      </c>
      <c r="AX899" s="208" t="e" cm="1" vm="1">
        <f t="array" aca="1" ref="AX899" ca="1">VLOOKUP(AI:AI,#REF!,1,FALSE)</f>
        <v>#VALUE!</v>
      </c>
    </row>
    <row r="900" spans="1:50" ht="15.6">
      <c r="A900" s="220">
        <v>894</v>
      </c>
      <c r="B900" s="220" t="s">
        <v>3659</v>
      </c>
      <c r="C900" s="209" t="s">
        <v>17</v>
      </c>
      <c r="D900" s="209" t="s">
        <v>3648</v>
      </c>
      <c r="E900" s="209"/>
      <c r="F900" s="209"/>
      <c r="G900" s="209"/>
      <c r="H900" s="210" t="s">
        <v>5776</v>
      </c>
      <c r="I900" s="210"/>
      <c r="J900" s="211"/>
      <c r="K900" s="210"/>
      <c r="L900" s="212" t="s">
        <v>2999</v>
      </c>
      <c r="M900" s="212" t="s">
        <v>2999</v>
      </c>
      <c r="N900" s="213"/>
      <c r="O900" s="263">
        <v>4590007925</v>
      </c>
      <c r="P900" s="214">
        <v>44867</v>
      </c>
      <c r="Q900" s="334">
        <v>2</v>
      </c>
      <c r="R900" s="216">
        <v>142448.04</v>
      </c>
      <c r="S900" s="217" t="s">
        <v>2156</v>
      </c>
      <c r="T900" s="209" t="s">
        <v>3913</v>
      </c>
      <c r="U900" s="209" t="s">
        <v>3914</v>
      </c>
      <c r="V900" s="213" t="s">
        <v>3915</v>
      </c>
      <c r="W900" s="218" t="s">
        <v>3652</v>
      </c>
      <c r="X900" s="218" t="s">
        <v>3652</v>
      </c>
      <c r="Y900" s="212">
        <v>0</v>
      </c>
      <c r="Z900" s="209" t="s">
        <v>5614</v>
      </c>
      <c r="AA900" s="215"/>
      <c r="AB900" s="218"/>
      <c r="AC900" s="217" t="e">
        <v>#N/A</v>
      </c>
      <c r="AD900" s="217">
        <v>90718</v>
      </c>
      <c r="AE900" s="217" t="s">
        <v>5777</v>
      </c>
      <c r="AF900" s="217" t="s">
        <v>3918</v>
      </c>
      <c r="AG900" s="217" t="s">
        <v>3919</v>
      </c>
      <c r="AH900" s="220" t="str">
        <f t="shared" si="58"/>
        <v>4590007925_002</v>
      </c>
      <c r="AI900" s="208"/>
      <c r="AJ900" s="225">
        <v>44958</v>
      </c>
      <c r="AK900" s="221">
        <v>56979.216000000008</v>
      </c>
      <c r="AL900" s="228">
        <v>45030</v>
      </c>
      <c r="AM900" s="208"/>
      <c r="AN900" s="220"/>
      <c r="AO900" s="222"/>
      <c r="AP900" s="227"/>
      <c r="AQ900" s="358">
        <f ca="1">IF(表格1[[#This Row],[PO$]]="","100%",表格1[[#This Row],[total amount]]/表格1[[#This Row],[PO$]])</f>
        <v>0.4</v>
      </c>
      <c r="AR900" s="223">
        <f ca="1">表格1[[#This Row],[invoice amount]]+表格1[[#This Row],[invoice amount2]]</f>
        <v>56979.216000000008</v>
      </c>
      <c r="AS900" s="224" t="s">
        <v>3673</v>
      </c>
      <c r="AT900" s="208"/>
      <c r="AU900" s="208" t="e">
        <f ca="1">VLOOKUP(表格1[[#This Row],[PO+ITEM]],#REF!,2,FALSE)</f>
        <v>#REF!</v>
      </c>
      <c r="AV900" s="341" t="e">
        <f ca="1">VLOOKUP(表格1[[#This Row],[PO+ITEM]],#REF!,3,FALSE)</f>
        <v>#REF!</v>
      </c>
      <c r="AW900" s="208" t="e">
        <f ca="1">VLOOKUP(表格1[[#This Row],[PO+ITEM]],#REF!,4,FALSE)</f>
        <v>#REF!</v>
      </c>
      <c r="AX900" s="208" t="e" cm="1" vm="1">
        <f t="array" aca="1" ref="AX900" ca="1">VLOOKUP(AI:AI,#REF!,1,FALSE)</f>
        <v>#VALUE!</v>
      </c>
    </row>
    <row r="901" spans="1:50" ht="15.6">
      <c r="A901" s="220">
        <v>895</v>
      </c>
      <c r="B901" s="220" t="s">
        <v>3674</v>
      </c>
      <c r="C901" s="209" t="s">
        <v>17</v>
      </c>
      <c r="D901" s="209" t="s">
        <v>3648</v>
      </c>
      <c r="E901" s="209"/>
      <c r="F901" s="209"/>
      <c r="G901" s="209"/>
      <c r="H901" s="210" t="s">
        <v>5778</v>
      </c>
      <c r="I901" s="210"/>
      <c r="J901" s="211"/>
      <c r="K901" s="210"/>
      <c r="L901" s="212" t="s">
        <v>2999</v>
      </c>
      <c r="M901" s="212" t="s">
        <v>2999</v>
      </c>
      <c r="N901" s="213"/>
      <c r="O901" s="263">
        <v>4590007925</v>
      </c>
      <c r="P901" s="214">
        <v>44867</v>
      </c>
      <c r="Q901" s="334">
        <v>3</v>
      </c>
      <c r="R901" s="216">
        <v>193273.93</v>
      </c>
      <c r="S901" s="217" t="s">
        <v>2156</v>
      </c>
      <c r="T901" s="209" t="s">
        <v>3913</v>
      </c>
      <c r="U901" s="209" t="s">
        <v>3914</v>
      </c>
      <c r="V901" s="213" t="s">
        <v>3915</v>
      </c>
      <c r="W901" s="218" t="s">
        <v>3652</v>
      </c>
      <c r="X901" s="218" t="s">
        <v>3652</v>
      </c>
      <c r="Y901" s="212" t="s">
        <v>5299</v>
      </c>
      <c r="Z901" s="209" t="s">
        <v>5614</v>
      </c>
      <c r="AA901" s="215"/>
      <c r="AB901" s="218"/>
      <c r="AC901" s="217" t="e">
        <v>#N/A</v>
      </c>
      <c r="AD901" s="217">
        <v>90719</v>
      </c>
      <c r="AE901" s="217" t="s">
        <v>5779</v>
      </c>
      <c r="AF901" s="217" t="s">
        <v>3918</v>
      </c>
      <c r="AG901" s="217" t="s">
        <v>3919</v>
      </c>
      <c r="AH901" s="220" t="str">
        <f t="shared" si="58"/>
        <v>4590007925_003</v>
      </c>
      <c r="AI901" s="208"/>
      <c r="AJ901" s="225">
        <v>44958</v>
      </c>
      <c r="AK901" s="221">
        <v>77309.572</v>
      </c>
      <c r="AL901" s="226">
        <v>45015</v>
      </c>
      <c r="AM901" s="36" t="s">
        <v>5780</v>
      </c>
      <c r="AN901" s="227">
        <v>45483</v>
      </c>
      <c r="AO901" s="222"/>
      <c r="AP901" s="227"/>
      <c r="AQ901" s="358">
        <f ca="1">IF(表格1[[#This Row],[PO$]]="","100%",表格1[[#This Row],[total amount]]/表格1[[#This Row],[PO$]])</f>
        <v>0.4</v>
      </c>
      <c r="AR901" s="223">
        <f ca="1">表格1[[#This Row],[invoice amount]]+表格1[[#This Row],[invoice amount2]]</f>
        <v>77309.572</v>
      </c>
      <c r="AS901" s="224" t="s">
        <v>4235</v>
      </c>
      <c r="AT901" s="208"/>
      <c r="AU901" s="208" t="e">
        <f ca="1">VLOOKUP(表格1[[#This Row],[PO+ITEM]],#REF!,2,FALSE)</f>
        <v>#REF!</v>
      </c>
      <c r="AV901" s="341" t="e">
        <f ca="1">VLOOKUP(表格1[[#This Row],[PO+ITEM]],#REF!,3,FALSE)</f>
        <v>#REF!</v>
      </c>
      <c r="AW901" s="208" t="e">
        <f ca="1">VLOOKUP(表格1[[#This Row],[PO+ITEM]],#REF!,4,FALSE)</f>
        <v>#REF!</v>
      </c>
      <c r="AX901" s="208" t="e" cm="1" vm="1">
        <f t="array" aca="1" ref="AX901" ca="1">VLOOKUP(AI:AI,#REF!,1,FALSE)</f>
        <v>#VALUE!</v>
      </c>
    </row>
    <row r="902" spans="1:50" ht="15.6">
      <c r="A902" s="220">
        <v>896</v>
      </c>
      <c r="B902" s="220" t="s">
        <v>3659</v>
      </c>
      <c r="C902" s="209" t="s">
        <v>17</v>
      </c>
      <c r="D902" s="209" t="s">
        <v>3648</v>
      </c>
      <c r="E902" s="209"/>
      <c r="F902" s="209"/>
      <c r="G902" s="209"/>
      <c r="H902" s="210" t="s">
        <v>5781</v>
      </c>
      <c r="I902" s="210"/>
      <c r="J902" s="211"/>
      <c r="K902" s="210"/>
      <c r="L902" s="212" t="s">
        <v>2999</v>
      </c>
      <c r="M902" s="212" t="s">
        <v>2999</v>
      </c>
      <c r="N902" s="213"/>
      <c r="O902" s="263">
        <v>4590007925</v>
      </c>
      <c r="P902" s="214">
        <v>44867</v>
      </c>
      <c r="Q902" s="334">
        <v>4</v>
      </c>
      <c r="R902" s="216">
        <v>193273.93</v>
      </c>
      <c r="S902" s="217" t="s">
        <v>2156</v>
      </c>
      <c r="T902" s="209" t="s">
        <v>3913</v>
      </c>
      <c r="U902" s="209" t="s">
        <v>3914</v>
      </c>
      <c r="V902" s="213" t="s">
        <v>3915</v>
      </c>
      <c r="W902" s="218" t="s">
        <v>3652</v>
      </c>
      <c r="X902" s="218" t="s">
        <v>3652</v>
      </c>
      <c r="Y902" s="212" t="s">
        <v>5299</v>
      </c>
      <c r="Z902" s="209" t="s">
        <v>5614</v>
      </c>
      <c r="AA902" s="215"/>
      <c r="AB902" s="218"/>
      <c r="AC902" s="217" t="e">
        <v>#N/A</v>
      </c>
      <c r="AD902" s="217">
        <v>91208</v>
      </c>
      <c r="AE902" s="217" t="s">
        <v>5782</v>
      </c>
      <c r="AF902" s="217" t="s">
        <v>3918</v>
      </c>
      <c r="AG902" s="217" t="s">
        <v>3919</v>
      </c>
      <c r="AH902" s="220" t="str">
        <f t="shared" si="58"/>
        <v>4590007925_004</v>
      </c>
      <c r="AI902" s="208"/>
      <c r="AJ902" s="225">
        <v>44958</v>
      </c>
      <c r="AK902" s="221">
        <v>77309.572</v>
      </c>
      <c r="AL902" s="226">
        <v>45015</v>
      </c>
      <c r="AM902" s="208"/>
      <c r="AN902" s="220"/>
      <c r="AO902" s="222"/>
      <c r="AP902" s="227"/>
      <c r="AQ902" s="358">
        <f ca="1">IF(表格1[[#This Row],[PO$]]="","100%",表格1[[#This Row],[total amount]]/表格1[[#This Row],[PO$]])</f>
        <v>0.4</v>
      </c>
      <c r="AR902" s="223">
        <f ca="1">表格1[[#This Row],[invoice amount]]+表格1[[#This Row],[invoice amount2]]</f>
        <v>77309.572</v>
      </c>
      <c r="AS902" s="224" t="s">
        <v>3673</v>
      </c>
      <c r="AT902" s="208"/>
      <c r="AU902" s="208" t="e">
        <f ca="1">VLOOKUP(表格1[[#This Row],[PO+ITEM]],#REF!,2,FALSE)</f>
        <v>#REF!</v>
      </c>
      <c r="AV902" s="341" t="e">
        <f ca="1">VLOOKUP(表格1[[#This Row],[PO+ITEM]],#REF!,3,FALSE)</f>
        <v>#REF!</v>
      </c>
      <c r="AW902" s="208" t="e">
        <f ca="1">VLOOKUP(表格1[[#This Row],[PO+ITEM]],#REF!,4,FALSE)</f>
        <v>#REF!</v>
      </c>
      <c r="AX902" s="208" t="e" cm="1" vm="1">
        <f t="array" aca="1" ref="AX902" ca="1">VLOOKUP(AI:AI,#REF!,1,FALSE)</f>
        <v>#VALUE!</v>
      </c>
    </row>
    <row r="903" spans="1:50" ht="15.6">
      <c r="A903" s="220">
        <v>897</v>
      </c>
      <c r="B903" s="220" t="s">
        <v>3674</v>
      </c>
      <c r="C903" s="209" t="s">
        <v>17</v>
      </c>
      <c r="D903" s="209" t="s">
        <v>3648</v>
      </c>
      <c r="E903" s="209"/>
      <c r="F903" s="209"/>
      <c r="G903" s="209"/>
      <c r="H903" s="210" t="s">
        <v>5783</v>
      </c>
      <c r="I903" s="210"/>
      <c r="J903" s="211"/>
      <c r="K903" s="210"/>
      <c r="L903" s="212" t="s">
        <v>2999</v>
      </c>
      <c r="M903" s="212" t="s">
        <v>2999</v>
      </c>
      <c r="N903" s="213"/>
      <c r="O903" s="263">
        <v>4590007925</v>
      </c>
      <c r="P903" s="214">
        <v>44867</v>
      </c>
      <c r="Q903" s="334">
        <v>5</v>
      </c>
      <c r="R903" s="216">
        <v>193273.93</v>
      </c>
      <c r="S903" s="217" t="s">
        <v>2156</v>
      </c>
      <c r="T903" s="209" t="s">
        <v>3913</v>
      </c>
      <c r="U903" s="209" t="s">
        <v>3914</v>
      </c>
      <c r="V903" s="213" t="s">
        <v>3915</v>
      </c>
      <c r="W903" s="218" t="s">
        <v>3652</v>
      </c>
      <c r="X903" s="218" t="s">
        <v>3652</v>
      </c>
      <c r="Y903" s="212" t="s">
        <v>5299</v>
      </c>
      <c r="Z903" s="209" t="s">
        <v>5614</v>
      </c>
      <c r="AA903" s="215"/>
      <c r="AB903" s="218"/>
      <c r="AC903" s="217" t="e">
        <v>#N/A</v>
      </c>
      <c r="AD903" s="217">
        <v>90720</v>
      </c>
      <c r="AE903" s="217" t="s">
        <v>5784</v>
      </c>
      <c r="AF903" s="217" t="s">
        <v>3918</v>
      </c>
      <c r="AG903" s="217" t="s">
        <v>3919</v>
      </c>
      <c r="AH903" s="220" t="str">
        <f t="shared" si="58"/>
        <v>4590007925_005</v>
      </c>
      <c r="AI903" s="208"/>
      <c r="AJ903" s="225">
        <v>44958</v>
      </c>
      <c r="AK903" s="221">
        <v>77309.572</v>
      </c>
      <c r="AL903" s="226">
        <v>45015</v>
      </c>
      <c r="AM903" s="208" t="s">
        <v>5785</v>
      </c>
      <c r="AN903" s="227">
        <v>45436</v>
      </c>
      <c r="AO903" s="222">
        <v>115964.35799999999</v>
      </c>
      <c r="AP903" s="227" t="s">
        <v>3805</v>
      </c>
      <c r="AQ903" s="358">
        <f ca="1">IF(表格1[[#This Row],[PO$]]="","100%",表格1[[#This Row],[total amount]]/表格1[[#This Row],[PO$]])</f>
        <v>1</v>
      </c>
      <c r="AR903" s="223">
        <f ca="1">表格1[[#This Row],[invoice amount]]+表格1[[#This Row],[invoice amount2]]</f>
        <v>193273.93</v>
      </c>
      <c r="AS903" s="224" t="s">
        <v>4371</v>
      </c>
      <c r="AT903" s="208"/>
      <c r="AU903" s="208" t="e">
        <f ca="1">VLOOKUP(表格1[[#This Row],[PO+ITEM]],#REF!,2,FALSE)</f>
        <v>#REF!</v>
      </c>
      <c r="AV903" s="341" t="e">
        <f ca="1">VLOOKUP(表格1[[#This Row],[PO+ITEM]],#REF!,3,FALSE)</f>
        <v>#REF!</v>
      </c>
      <c r="AW903" s="208" t="e">
        <f ca="1">VLOOKUP(表格1[[#This Row],[PO+ITEM]],#REF!,4,FALSE)</f>
        <v>#REF!</v>
      </c>
      <c r="AX903" s="208" t="e" cm="1" vm="1">
        <f t="array" aca="1" ref="AX903" ca="1">VLOOKUP(AI:AI,#REF!,1,FALSE)</f>
        <v>#VALUE!</v>
      </c>
    </row>
    <row r="904" spans="1:50" ht="15.6">
      <c r="A904" s="220">
        <v>898</v>
      </c>
      <c r="B904" s="220" t="s">
        <v>3659</v>
      </c>
      <c r="C904" s="209" t="s">
        <v>17</v>
      </c>
      <c r="D904" s="209" t="s">
        <v>3648</v>
      </c>
      <c r="E904" s="209"/>
      <c r="F904" s="209"/>
      <c r="G904" s="209"/>
      <c r="H904" s="210" t="s">
        <v>5786</v>
      </c>
      <c r="I904" s="210"/>
      <c r="J904" s="211"/>
      <c r="K904" s="210"/>
      <c r="L904" s="212" t="s">
        <v>2999</v>
      </c>
      <c r="M904" s="212" t="s">
        <v>2999</v>
      </c>
      <c r="N904" s="213"/>
      <c r="O904" s="263">
        <v>4590007925</v>
      </c>
      <c r="P904" s="214">
        <v>44867</v>
      </c>
      <c r="Q904" s="334">
        <v>6</v>
      </c>
      <c r="R904" s="216">
        <v>193273.93</v>
      </c>
      <c r="S904" s="217" t="s">
        <v>2156</v>
      </c>
      <c r="T904" s="209" t="s">
        <v>3913</v>
      </c>
      <c r="U904" s="209" t="s">
        <v>3914</v>
      </c>
      <c r="V904" s="213" t="s">
        <v>3915</v>
      </c>
      <c r="W904" s="218" t="s">
        <v>3652</v>
      </c>
      <c r="X904" s="218" t="s">
        <v>3652</v>
      </c>
      <c r="Y904" s="212" t="s">
        <v>5299</v>
      </c>
      <c r="Z904" s="209" t="s">
        <v>5614</v>
      </c>
      <c r="AA904" s="215"/>
      <c r="AB904" s="218"/>
      <c r="AC904" s="217" t="e">
        <v>#N/A</v>
      </c>
      <c r="AD904" s="217">
        <v>90721</v>
      </c>
      <c r="AE904" s="217" t="s">
        <v>5787</v>
      </c>
      <c r="AF904" s="217" t="s">
        <v>3918</v>
      </c>
      <c r="AG904" s="217" t="s">
        <v>3919</v>
      </c>
      <c r="AH904" s="220" t="str">
        <f t="shared" si="58"/>
        <v>4590007925_006</v>
      </c>
      <c r="AI904" s="208"/>
      <c r="AJ904" s="225">
        <v>44958</v>
      </c>
      <c r="AK904" s="221">
        <v>77309.572</v>
      </c>
      <c r="AL904" s="226">
        <v>45015</v>
      </c>
      <c r="AM904" s="208"/>
      <c r="AN904" s="220"/>
      <c r="AO904" s="222"/>
      <c r="AP904" s="227"/>
      <c r="AQ904" s="358">
        <f ca="1">IF(表格1[[#This Row],[PO$]]="","100%",表格1[[#This Row],[total amount]]/表格1[[#This Row],[PO$]])</f>
        <v>0.4</v>
      </c>
      <c r="AR904" s="223">
        <f ca="1">表格1[[#This Row],[invoice amount]]+表格1[[#This Row],[invoice amount2]]</f>
        <v>77309.572</v>
      </c>
      <c r="AS904" s="224" t="s">
        <v>3673</v>
      </c>
      <c r="AT904" s="208"/>
      <c r="AU904" s="208" t="e">
        <f ca="1">VLOOKUP(表格1[[#This Row],[PO+ITEM]],#REF!,2,FALSE)</f>
        <v>#REF!</v>
      </c>
      <c r="AV904" s="341" t="e">
        <f ca="1">VLOOKUP(表格1[[#This Row],[PO+ITEM]],#REF!,3,FALSE)</f>
        <v>#REF!</v>
      </c>
      <c r="AW904" s="208" t="e">
        <f ca="1">VLOOKUP(表格1[[#This Row],[PO+ITEM]],#REF!,4,FALSE)</f>
        <v>#REF!</v>
      </c>
      <c r="AX904" s="208" t="e" cm="1" vm="1">
        <f t="array" aca="1" ref="AX904" ca="1">VLOOKUP(AI:AI,#REF!,1,FALSE)</f>
        <v>#VALUE!</v>
      </c>
    </row>
    <row r="905" spans="1:50" ht="15.6">
      <c r="A905" s="220">
        <v>899</v>
      </c>
      <c r="B905" s="220" t="s">
        <v>3674</v>
      </c>
      <c r="C905" s="209" t="s">
        <v>17</v>
      </c>
      <c r="D905" s="209" t="s">
        <v>3648</v>
      </c>
      <c r="E905" s="209"/>
      <c r="F905" s="209"/>
      <c r="G905" s="209"/>
      <c r="H905" s="210" t="s">
        <v>5788</v>
      </c>
      <c r="I905" s="210"/>
      <c r="J905" s="211"/>
      <c r="K905" s="210"/>
      <c r="L905" s="212" t="s">
        <v>2999</v>
      </c>
      <c r="M905" s="212" t="s">
        <v>2999</v>
      </c>
      <c r="N905" s="213"/>
      <c r="O905" s="263">
        <v>4590007939</v>
      </c>
      <c r="P905" s="214">
        <v>44867</v>
      </c>
      <c r="Q905" s="334">
        <v>1</v>
      </c>
      <c r="R905" s="216">
        <v>128685</v>
      </c>
      <c r="S905" s="217" t="s">
        <v>2156</v>
      </c>
      <c r="T905" s="209" t="s">
        <v>3913</v>
      </c>
      <c r="U905" s="209" t="s">
        <v>3914</v>
      </c>
      <c r="V905" s="213" t="s">
        <v>3915</v>
      </c>
      <c r="W905" s="218" t="s">
        <v>3652</v>
      </c>
      <c r="X905" s="218" t="s">
        <v>3652</v>
      </c>
      <c r="Y905" s="212">
        <v>0</v>
      </c>
      <c r="Z905" s="209" t="s">
        <v>5614</v>
      </c>
      <c r="AA905" s="215"/>
      <c r="AB905" s="218"/>
      <c r="AC905" s="217" t="e">
        <v>#N/A</v>
      </c>
      <c r="AD905" s="217">
        <v>90731</v>
      </c>
      <c r="AE905" s="217" t="s">
        <v>5789</v>
      </c>
      <c r="AF905" s="217" t="s">
        <v>3918</v>
      </c>
      <c r="AG905" s="217" t="s">
        <v>3919</v>
      </c>
      <c r="AH905" s="220" t="str">
        <f t="shared" si="58"/>
        <v>4590007939_001</v>
      </c>
      <c r="AI905" s="208"/>
      <c r="AJ905" s="225">
        <v>44958</v>
      </c>
      <c r="AK905" s="221">
        <v>51474</v>
      </c>
      <c r="AL905" s="226">
        <v>45015</v>
      </c>
      <c r="AM905" s="208" t="s">
        <v>5790</v>
      </c>
      <c r="AN905" s="227">
        <v>45436</v>
      </c>
      <c r="AO905" s="222">
        <v>77211</v>
      </c>
      <c r="AP905" s="227" t="s">
        <v>3805</v>
      </c>
      <c r="AQ905" s="358">
        <f ca="1">IF(表格1[[#This Row],[PO$]]="","100%",表格1[[#This Row],[total amount]]/表格1[[#This Row],[PO$]])</f>
        <v>1</v>
      </c>
      <c r="AR905" s="223">
        <f ca="1">表格1[[#This Row],[invoice amount]]+表格1[[#This Row],[invoice amount2]]</f>
        <v>128685</v>
      </c>
      <c r="AS905" s="224" t="s">
        <v>4371</v>
      </c>
      <c r="AT905" s="208"/>
      <c r="AU905" s="208" t="e">
        <f ca="1">VLOOKUP(表格1[[#This Row],[PO+ITEM]],#REF!,2,FALSE)</f>
        <v>#REF!</v>
      </c>
      <c r="AV905" s="341" t="e">
        <f ca="1">VLOOKUP(表格1[[#This Row],[PO+ITEM]],#REF!,3,FALSE)</f>
        <v>#REF!</v>
      </c>
      <c r="AW905" s="208" t="e">
        <f ca="1">VLOOKUP(表格1[[#This Row],[PO+ITEM]],#REF!,4,FALSE)</f>
        <v>#REF!</v>
      </c>
      <c r="AX905" s="208" t="e" cm="1" vm="1">
        <f t="array" aca="1" ref="AX905" ca="1">VLOOKUP(AI:AI,#REF!,1,FALSE)</f>
        <v>#VALUE!</v>
      </c>
    </row>
    <row r="906" spans="1:50" ht="15.6">
      <c r="A906" s="220">
        <v>900</v>
      </c>
      <c r="B906" s="220" t="s">
        <v>3659</v>
      </c>
      <c r="C906" s="209" t="s">
        <v>17</v>
      </c>
      <c r="D906" s="209" t="s">
        <v>3648</v>
      </c>
      <c r="E906" s="209"/>
      <c r="F906" s="209"/>
      <c r="G906" s="209"/>
      <c r="H906" s="210" t="s">
        <v>5791</v>
      </c>
      <c r="I906" s="210"/>
      <c r="J906" s="211"/>
      <c r="K906" s="210"/>
      <c r="L906" s="212" t="s">
        <v>2999</v>
      </c>
      <c r="M906" s="212" t="s">
        <v>2999</v>
      </c>
      <c r="N906" s="213"/>
      <c r="O906" s="263">
        <v>4590007939</v>
      </c>
      <c r="P906" s="214">
        <v>44867</v>
      </c>
      <c r="Q906" s="334">
        <v>2</v>
      </c>
      <c r="R906" s="216">
        <v>128685</v>
      </c>
      <c r="S906" s="217" t="s">
        <v>2156</v>
      </c>
      <c r="T906" s="209" t="s">
        <v>3913</v>
      </c>
      <c r="U906" s="209" t="s">
        <v>3914</v>
      </c>
      <c r="V906" s="213" t="s">
        <v>3915</v>
      </c>
      <c r="W906" s="218" t="s">
        <v>3652</v>
      </c>
      <c r="X906" s="218" t="s">
        <v>3652</v>
      </c>
      <c r="Y906" s="212">
        <v>0</v>
      </c>
      <c r="Z906" s="209" t="s">
        <v>5614</v>
      </c>
      <c r="AA906" s="215"/>
      <c r="AB906" s="218"/>
      <c r="AC906" s="217" t="e">
        <v>#N/A</v>
      </c>
      <c r="AD906" s="217">
        <v>90732</v>
      </c>
      <c r="AE906" s="217" t="s">
        <v>5792</v>
      </c>
      <c r="AF906" s="217" t="s">
        <v>3918</v>
      </c>
      <c r="AG906" s="217" t="s">
        <v>3919</v>
      </c>
      <c r="AH906" s="220" t="str">
        <f t="shared" si="58"/>
        <v>4590007939_002</v>
      </c>
      <c r="AI906" s="208"/>
      <c r="AJ906" s="225">
        <v>44958</v>
      </c>
      <c r="AK906" s="221">
        <v>51474</v>
      </c>
      <c r="AL906" s="226">
        <v>45015</v>
      </c>
      <c r="AM906" s="208"/>
      <c r="AN906" s="220"/>
      <c r="AO906" s="222"/>
      <c r="AP906" s="227"/>
      <c r="AQ906" s="358">
        <f ca="1">IF(表格1[[#This Row],[PO$]]="","100%",表格1[[#This Row],[total amount]]/表格1[[#This Row],[PO$]])</f>
        <v>0.4</v>
      </c>
      <c r="AR906" s="223">
        <f ca="1">表格1[[#This Row],[invoice amount]]+表格1[[#This Row],[invoice amount2]]</f>
        <v>51474</v>
      </c>
      <c r="AS906" s="224" t="s">
        <v>3673</v>
      </c>
      <c r="AT906" s="208"/>
      <c r="AU906" s="208" t="e">
        <f ca="1">VLOOKUP(表格1[[#This Row],[PO+ITEM]],#REF!,2,FALSE)</f>
        <v>#REF!</v>
      </c>
      <c r="AV906" s="341" t="e">
        <f ca="1">VLOOKUP(表格1[[#This Row],[PO+ITEM]],#REF!,3,FALSE)</f>
        <v>#REF!</v>
      </c>
      <c r="AW906" s="208" t="e">
        <f ca="1">VLOOKUP(表格1[[#This Row],[PO+ITEM]],#REF!,4,FALSE)</f>
        <v>#REF!</v>
      </c>
      <c r="AX906" s="208" t="e" cm="1" vm="1">
        <f t="array" aca="1" ref="AX906" ca="1">VLOOKUP(AI:AI,#REF!,1,FALSE)</f>
        <v>#VALUE!</v>
      </c>
    </row>
    <row r="907" spans="1:50" ht="15.6">
      <c r="A907" s="220">
        <v>901</v>
      </c>
      <c r="B907" s="220" t="s">
        <v>3674</v>
      </c>
      <c r="C907" s="209" t="s">
        <v>17</v>
      </c>
      <c r="D907" s="209" t="s">
        <v>3648</v>
      </c>
      <c r="E907" s="209"/>
      <c r="F907" s="209"/>
      <c r="G907" s="209"/>
      <c r="H907" s="210" t="s">
        <v>5793</v>
      </c>
      <c r="I907" s="210"/>
      <c r="J907" s="211"/>
      <c r="K907" s="210"/>
      <c r="L907" s="212" t="s">
        <v>2999</v>
      </c>
      <c r="M907" s="212" t="s">
        <v>2999</v>
      </c>
      <c r="N907" s="213"/>
      <c r="O907" s="263">
        <v>4590007939</v>
      </c>
      <c r="P907" s="214">
        <v>44867</v>
      </c>
      <c r="Q907" s="334">
        <v>3</v>
      </c>
      <c r="R907" s="216">
        <v>128685</v>
      </c>
      <c r="S907" s="217" t="s">
        <v>2156</v>
      </c>
      <c r="T907" s="209" t="s">
        <v>3913</v>
      </c>
      <c r="U907" s="209" t="s">
        <v>3914</v>
      </c>
      <c r="V907" s="213" t="s">
        <v>3915</v>
      </c>
      <c r="W907" s="218" t="s">
        <v>3652</v>
      </c>
      <c r="X907" s="218" t="s">
        <v>3652</v>
      </c>
      <c r="Y907" s="212">
        <v>0</v>
      </c>
      <c r="Z907" s="209" t="s">
        <v>5614</v>
      </c>
      <c r="AA907" s="215"/>
      <c r="AB907" s="218"/>
      <c r="AC907" s="217" t="e">
        <v>#N/A</v>
      </c>
      <c r="AD907" s="217">
        <v>90725</v>
      </c>
      <c r="AE907" s="217" t="s">
        <v>5794</v>
      </c>
      <c r="AF907" s="217" t="s">
        <v>3918</v>
      </c>
      <c r="AG907" s="217" t="s">
        <v>3919</v>
      </c>
      <c r="AH907" s="220" t="str">
        <f t="shared" si="58"/>
        <v>4590007939_003</v>
      </c>
      <c r="AI907" s="208"/>
      <c r="AJ907" s="225">
        <v>44958</v>
      </c>
      <c r="AK907" s="221">
        <v>51474</v>
      </c>
      <c r="AL907" s="226">
        <v>45015</v>
      </c>
      <c r="AM907" s="208" t="s">
        <v>5795</v>
      </c>
      <c r="AN907" s="227">
        <v>45436</v>
      </c>
      <c r="AO907" s="222">
        <v>77211</v>
      </c>
      <c r="AP907" s="227" t="s">
        <v>3805</v>
      </c>
      <c r="AQ907" s="358">
        <f ca="1">IF(表格1[[#This Row],[PO$]]="","100%",表格1[[#This Row],[total amount]]/表格1[[#This Row],[PO$]])</f>
        <v>1</v>
      </c>
      <c r="AR907" s="223">
        <f ca="1">表格1[[#This Row],[invoice amount]]+表格1[[#This Row],[invoice amount2]]</f>
        <v>128685</v>
      </c>
      <c r="AS907" s="224" t="s">
        <v>4371</v>
      </c>
      <c r="AT907" s="208"/>
      <c r="AU907" s="208" t="e">
        <f ca="1">VLOOKUP(表格1[[#This Row],[PO+ITEM]],#REF!,2,FALSE)</f>
        <v>#REF!</v>
      </c>
      <c r="AV907" s="341" t="e">
        <f ca="1">VLOOKUP(表格1[[#This Row],[PO+ITEM]],#REF!,3,FALSE)</f>
        <v>#REF!</v>
      </c>
      <c r="AW907" s="208" t="e">
        <f ca="1">VLOOKUP(表格1[[#This Row],[PO+ITEM]],#REF!,4,FALSE)</f>
        <v>#REF!</v>
      </c>
      <c r="AX907" s="208" t="e" cm="1" vm="1">
        <f t="array" aca="1" ref="AX907" ca="1">VLOOKUP(AI:AI,#REF!,1,FALSE)</f>
        <v>#VALUE!</v>
      </c>
    </row>
    <row r="908" spans="1:50" ht="15.6">
      <c r="A908" s="220">
        <v>902</v>
      </c>
      <c r="B908" s="220" t="s">
        <v>3674</v>
      </c>
      <c r="C908" s="209" t="s">
        <v>17</v>
      </c>
      <c r="D908" s="209" t="s">
        <v>3648</v>
      </c>
      <c r="E908" s="209"/>
      <c r="F908" s="209"/>
      <c r="G908" s="209"/>
      <c r="H908" s="217" t="s">
        <v>5796</v>
      </c>
      <c r="I908" s="217"/>
      <c r="J908" s="215"/>
      <c r="K908" s="217"/>
      <c r="L908" s="212" t="s">
        <v>2999</v>
      </c>
      <c r="M908" s="212" t="s">
        <v>2999</v>
      </c>
      <c r="N908" s="213"/>
      <c r="O908" s="263">
        <v>4590007939</v>
      </c>
      <c r="P908" s="214">
        <v>44867</v>
      </c>
      <c r="Q908" s="334">
        <v>4</v>
      </c>
      <c r="R908" s="216">
        <v>128685</v>
      </c>
      <c r="S908" s="217" t="s">
        <v>2156</v>
      </c>
      <c r="T908" s="209" t="s">
        <v>3913</v>
      </c>
      <c r="U908" s="209" t="s">
        <v>3914</v>
      </c>
      <c r="V908" s="213" t="s">
        <v>3915</v>
      </c>
      <c r="W908" s="218" t="s">
        <v>3652</v>
      </c>
      <c r="X908" s="218" t="s">
        <v>3652</v>
      </c>
      <c r="Y908" s="212">
        <v>0</v>
      </c>
      <c r="Z908" s="209" t="s">
        <v>5614</v>
      </c>
      <c r="AA908" s="215"/>
      <c r="AB908" s="218"/>
      <c r="AC908" s="217" t="e">
        <v>#N/A</v>
      </c>
      <c r="AD908" s="217">
        <v>90726</v>
      </c>
      <c r="AE908" s="217" t="s">
        <v>5797</v>
      </c>
      <c r="AF908" s="217" t="s">
        <v>3918</v>
      </c>
      <c r="AG908" s="217" t="s">
        <v>3919</v>
      </c>
      <c r="AH908" s="220" t="str">
        <f t="shared" si="58"/>
        <v>4590007939_004</v>
      </c>
      <c r="AI908" s="208"/>
      <c r="AJ908" s="225">
        <v>44958</v>
      </c>
      <c r="AK908" s="221">
        <v>51474</v>
      </c>
      <c r="AL908" s="226">
        <v>45015</v>
      </c>
      <c r="AM908" s="208"/>
      <c r="AN908" s="220"/>
      <c r="AO908" s="222"/>
      <c r="AP908" s="227"/>
      <c r="AQ908" s="358">
        <f ca="1">IF(表格1[[#This Row],[PO$]]="","100%",表格1[[#This Row],[total amount]]/表格1[[#This Row],[PO$]])</f>
        <v>0.4</v>
      </c>
      <c r="AR908" s="223">
        <f ca="1">表格1[[#This Row],[invoice amount]]+表格1[[#This Row],[invoice amount2]]</f>
        <v>51474</v>
      </c>
      <c r="AS908" s="224" t="s">
        <v>3673</v>
      </c>
      <c r="AT908" s="208"/>
      <c r="AU908" s="208" t="e">
        <f ca="1">VLOOKUP(表格1[[#This Row],[PO+ITEM]],#REF!,2,FALSE)</f>
        <v>#REF!</v>
      </c>
      <c r="AV908" s="341" t="e">
        <f ca="1">VLOOKUP(表格1[[#This Row],[PO+ITEM]],#REF!,3,FALSE)</f>
        <v>#REF!</v>
      </c>
      <c r="AW908" s="208" t="e">
        <f ca="1">VLOOKUP(表格1[[#This Row],[PO+ITEM]],#REF!,4,FALSE)</f>
        <v>#REF!</v>
      </c>
      <c r="AX908" s="208" t="e" cm="1" vm="1">
        <f t="array" aca="1" ref="AX908" ca="1">VLOOKUP(AI:AI,#REF!,1,FALSE)</f>
        <v>#VALUE!</v>
      </c>
    </row>
    <row r="909" spans="1:50" ht="15.6">
      <c r="A909" s="220">
        <v>903</v>
      </c>
      <c r="B909" s="220" t="s">
        <v>3659</v>
      </c>
      <c r="C909" s="209" t="s">
        <v>17</v>
      </c>
      <c r="D909" s="209" t="s">
        <v>3648</v>
      </c>
      <c r="E909" s="209"/>
      <c r="F909" s="209"/>
      <c r="G909" s="209"/>
      <c r="H909" s="210" t="s">
        <v>5799</v>
      </c>
      <c r="I909" s="210"/>
      <c r="J909" s="211"/>
      <c r="K909" s="210"/>
      <c r="L909" s="212" t="s">
        <v>2999</v>
      </c>
      <c r="M909" s="212" t="s">
        <v>2999</v>
      </c>
      <c r="N909" s="213"/>
      <c r="O909" s="263">
        <v>4590007939</v>
      </c>
      <c r="P909" s="214">
        <v>44867</v>
      </c>
      <c r="Q909" s="334">
        <v>5</v>
      </c>
      <c r="R909" s="216">
        <v>128685</v>
      </c>
      <c r="S909" s="217" t="s">
        <v>2156</v>
      </c>
      <c r="T909" s="209" t="s">
        <v>3913</v>
      </c>
      <c r="U909" s="209" t="s">
        <v>3914</v>
      </c>
      <c r="V909" s="213" t="s">
        <v>3915</v>
      </c>
      <c r="W909" s="218" t="s">
        <v>3652</v>
      </c>
      <c r="X909" s="218" t="s">
        <v>3652</v>
      </c>
      <c r="Y909" s="212" t="s">
        <v>5800</v>
      </c>
      <c r="Z909" s="209" t="s">
        <v>5614</v>
      </c>
      <c r="AA909" s="215"/>
      <c r="AB909" s="218"/>
      <c r="AC909" s="217" t="e">
        <v>#N/A</v>
      </c>
      <c r="AD909" s="217">
        <v>90992</v>
      </c>
      <c r="AE909" s="217" t="s">
        <v>5801</v>
      </c>
      <c r="AF909" s="217" t="s">
        <v>3918</v>
      </c>
      <c r="AG909" s="217" t="s">
        <v>3919</v>
      </c>
      <c r="AH909" s="220" t="str">
        <f t="shared" ref="AH909:AH945" si="59">O909&amp;"_00"&amp;Q909</f>
        <v>4590007939_005</v>
      </c>
      <c r="AI909" s="208"/>
      <c r="AJ909" s="225">
        <v>44958</v>
      </c>
      <c r="AK909" s="221">
        <v>51474</v>
      </c>
      <c r="AL909" s="226">
        <v>45015</v>
      </c>
      <c r="AM909" s="208"/>
      <c r="AN909" s="220"/>
      <c r="AO909" s="222"/>
      <c r="AP909" s="227"/>
      <c r="AQ909" s="358">
        <f ca="1">IF(表格1[[#This Row],[PO$]]="","100%",表格1[[#This Row],[total amount]]/表格1[[#This Row],[PO$]])</f>
        <v>0.4</v>
      </c>
      <c r="AR909" s="223">
        <f ca="1">表格1[[#This Row],[invoice amount]]+表格1[[#This Row],[invoice amount2]]</f>
        <v>51474</v>
      </c>
      <c r="AS909" s="224" t="s">
        <v>3673</v>
      </c>
      <c r="AT909" s="208"/>
      <c r="AU909" s="208" t="e">
        <f ca="1">VLOOKUP(表格1[[#This Row],[PO+ITEM]],#REF!,2,FALSE)</f>
        <v>#REF!</v>
      </c>
      <c r="AV909" s="341" t="e">
        <f ca="1">VLOOKUP(表格1[[#This Row],[PO+ITEM]],#REF!,3,FALSE)</f>
        <v>#REF!</v>
      </c>
      <c r="AW909" s="208" t="e">
        <f ca="1">VLOOKUP(表格1[[#This Row],[PO+ITEM]],#REF!,4,FALSE)</f>
        <v>#REF!</v>
      </c>
      <c r="AX909" s="208" t="e" cm="1" vm="1">
        <f t="array" aca="1" ref="AX909" ca="1">VLOOKUP(AI:AI,#REF!,1,FALSE)</f>
        <v>#VALUE!</v>
      </c>
    </row>
    <row r="910" spans="1:50" ht="15.6">
      <c r="A910" s="220">
        <v>904</v>
      </c>
      <c r="B910" s="220" t="s">
        <v>3674</v>
      </c>
      <c r="C910" s="209" t="s">
        <v>17</v>
      </c>
      <c r="D910" s="209" t="s">
        <v>3648</v>
      </c>
      <c r="E910" s="209"/>
      <c r="F910" s="209"/>
      <c r="G910" s="209"/>
      <c r="H910" s="210" t="s">
        <v>5802</v>
      </c>
      <c r="I910" s="210"/>
      <c r="J910" s="211"/>
      <c r="K910" s="210"/>
      <c r="L910" s="212" t="s">
        <v>2999</v>
      </c>
      <c r="M910" s="212" t="s">
        <v>2999</v>
      </c>
      <c r="N910" s="213"/>
      <c r="O910" s="263">
        <v>4590007939</v>
      </c>
      <c r="P910" s="214">
        <v>44867</v>
      </c>
      <c r="Q910" s="334">
        <v>6</v>
      </c>
      <c r="R910" s="216">
        <v>128685</v>
      </c>
      <c r="S910" s="217" t="s">
        <v>2156</v>
      </c>
      <c r="T910" s="209" t="s">
        <v>3913</v>
      </c>
      <c r="U910" s="209" t="s">
        <v>3914</v>
      </c>
      <c r="V910" s="213" t="s">
        <v>3915</v>
      </c>
      <c r="W910" s="218" t="s">
        <v>3652</v>
      </c>
      <c r="X910" s="218" t="s">
        <v>3652</v>
      </c>
      <c r="Y910" s="212">
        <v>0</v>
      </c>
      <c r="Z910" s="209" t="s">
        <v>5614</v>
      </c>
      <c r="AA910" s="215"/>
      <c r="AB910" s="218"/>
      <c r="AC910" s="217" t="e">
        <v>#N/A</v>
      </c>
      <c r="AD910" s="217">
        <v>90733</v>
      </c>
      <c r="AE910" s="217" t="s">
        <v>5803</v>
      </c>
      <c r="AF910" s="217" t="s">
        <v>3918</v>
      </c>
      <c r="AG910" s="217" t="s">
        <v>3919</v>
      </c>
      <c r="AH910" s="220" t="str">
        <f t="shared" si="59"/>
        <v>4590007939_006</v>
      </c>
      <c r="AI910" s="208"/>
      <c r="AJ910" s="225">
        <v>44958</v>
      </c>
      <c r="AK910" s="221">
        <v>51474</v>
      </c>
      <c r="AL910" s="226">
        <v>45015</v>
      </c>
      <c r="AM910" s="208" t="s">
        <v>5804</v>
      </c>
      <c r="AN910" s="227">
        <v>45429</v>
      </c>
      <c r="AO910" s="222">
        <v>77211</v>
      </c>
      <c r="AP910" s="227" t="s">
        <v>3805</v>
      </c>
      <c r="AQ910" s="358">
        <f ca="1">IF(表格1[[#This Row],[PO$]]="","100%",表格1[[#This Row],[total amount]]/表格1[[#This Row],[PO$]])</f>
        <v>1</v>
      </c>
      <c r="AR910" s="223">
        <f ca="1">表格1[[#This Row],[invoice amount]]+表格1[[#This Row],[invoice amount2]]</f>
        <v>128685</v>
      </c>
      <c r="AS910" s="224" t="s">
        <v>4371</v>
      </c>
      <c r="AT910" s="208"/>
      <c r="AU910" s="208" t="e">
        <f ca="1">VLOOKUP(表格1[[#This Row],[PO+ITEM]],#REF!,2,FALSE)</f>
        <v>#REF!</v>
      </c>
      <c r="AV910" s="341" t="e">
        <f ca="1">VLOOKUP(表格1[[#This Row],[PO+ITEM]],#REF!,3,FALSE)</f>
        <v>#REF!</v>
      </c>
      <c r="AW910" s="208" t="e">
        <f ca="1">VLOOKUP(表格1[[#This Row],[PO+ITEM]],#REF!,4,FALSE)</f>
        <v>#REF!</v>
      </c>
      <c r="AX910" s="208" t="e" cm="1" vm="1">
        <f t="array" aca="1" ref="AX910" ca="1">VLOOKUP(AI:AI,#REF!,1,FALSE)</f>
        <v>#VALUE!</v>
      </c>
    </row>
    <row r="911" spans="1:50" ht="15.6">
      <c r="A911" s="220">
        <v>905</v>
      </c>
      <c r="B911" s="220" t="s">
        <v>3674</v>
      </c>
      <c r="C911" s="209" t="s">
        <v>17</v>
      </c>
      <c r="D911" s="209" t="s">
        <v>3648</v>
      </c>
      <c r="E911" s="209"/>
      <c r="F911" s="209"/>
      <c r="G911" s="209"/>
      <c r="H911" s="210" t="s">
        <v>5805</v>
      </c>
      <c r="I911" s="210"/>
      <c r="J911" s="211"/>
      <c r="K911" s="210"/>
      <c r="L911" s="212" t="s">
        <v>2999</v>
      </c>
      <c r="M911" s="212" t="s">
        <v>2999</v>
      </c>
      <c r="N911" s="213"/>
      <c r="O911" s="263">
        <v>4590007940</v>
      </c>
      <c r="P911" s="214">
        <v>44867</v>
      </c>
      <c r="Q911" s="334">
        <v>1</v>
      </c>
      <c r="R911" s="216">
        <v>169912.5</v>
      </c>
      <c r="S911" s="217" t="s">
        <v>2156</v>
      </c>
      <c r="T911" s="209" t="s">
        <v>3913</v>
      </c>
      <c r="U911" s="209" t="s">
        <v>3914</v>
      </c>
      <c r="V911" s="213" t="s">
        <v>3915</v>
      </c>
      <c r="W911" s="218" t="s">
        <v>3652</v>
      </c>
      <c r="X911" s="218" t="s">
        <v>3652</v>
      </c>
      <c r="Y911" s="212" t="s">
        <v>5714</v>
      </c>
      <c r="Z911" s="209" t="s">
        <v>5614</v>
      </c>
      <c r="AA911" s="215"/>
      <c r="AB911" s="218"/>
      <c r="AC911" s="217" t="e">
        <v>#N/A</v>
      </c>
      <c r="AD911" s="217">
        <v>90699</v>
      </c>
      <c r="AE911" s="217" t="s">
        <v>5806</v>
      </c>
      <c r="AF911" s="217" t="s">
        <v>3918</v>
      </c>
      <c r="AG911" s="217" t="s">
        <v>3919</v>
      </c>
      <c r="AH911" s="220" t="str">
        <f t="shared" si="59"/>
        <v>4590007940_001</v>
      </c>
      <c r="AI911" s="208"/>
      <c r="AJ911" s="225">
        <v>44958</v>
      </c>
      <c r="AK911" s="221">
        <v>67965</v>
      </c>
      <c r="AL911" s="226">
        <v>45015</v>
      </c>
      <c r="AM911" s="208" t="s">
        <v>5807</v>
      </c>
      <c r="AN911" s="227">
        <v>45412</v>
      </c>
      <c r="AO911" s="222">
        <v>101947.5</v>
      </c>
      <c r="AP911" s="227" t="s">
        <v>5710</v>
      </c>
      <c r="AQ911" s="358">
        <f ca="1">IF(表格1[[#This Row],[PO$]]="","100%",表格1[[#This Row],[total amount]]/表格1[[#This Row],[PO$]])</f>
        <v>1</v>
      </c>
      <c r="AR911" s="223">
        <f ca="1">表格1[[#This Row],[invoice amount]]+表格1[[#This Row],[invoice amount2]]</f>
        <v>169912.5</v>
      </c>
      <c r="AS911" s="224" t="s">
        <v>4371</v>
      </c>
      <c r="AT911" s="246"/>
      <c r="AU911" s="208" t="e">
        <f ca="1">VLOOKUP(表格1[[#This Row],[PO+ITEM]],#REF!,2,FALSE)</f>
        <v>#REF!</v>
      </c>
      <c r="AV911" s="341" t="e">
        <f ca="1">VLOOKUP(表格1[[#This Row],[PO+ITEM]],#REF!,3,FALSE)</f>
        <v>#REF!</v>
      </c>
      <c r="AW911" s="208" t="e">
        <f ca="1">VLOOKUP(表格1[[#This Row],[PO+ITEM]],#REF!,4,FALSE)</f>
        <v>#REF!</v>
      </c>
      <c r="AX911" s="208" t="e" cm="1" vm="1">
        <f t="array" aca="1" ref="AX911" ca="1">VLOOKUP(AI:AI,#REF!,1,FALSE)</f>
        <v>#VALUE!</v>
      </c>
    </row>
    <row r="912" spans="1:50" ht="15.6">
      <c r="A912" s="220">
        <v>906</v>
      </c>
      <c r="B912" s="220" t="s">
        <v>3659</v>
      </c>
      <c r="C912" s="209" t="s">
        <v>17</v>
      </c>
      <c r="D912" s="209" t="s">
        <v>3648</v>
      </c>
      <c r="E912" s="209"/>
      <c r="F912" s="209"/>
      <c r="G912" s="209"/>
      <c r="H912" s="217" t="s">
        <v>5808</v>
      </c>
      <c r="I912" s="217"/>
      <c r="J912" s="215"/>
      <c r="K912" s="217"/>
      <c r="L912" s="212" t="s">
        <v>2999</v>
      </c>
      <c r="M912" s="212" t="s">
        <v>2999</v>
      </c>
      <c r="N912" s="213"/>
      <c r="O912" s="263">
        <v>4590007940</v>
      </c>
      <c r="P912" s="214">
        <v>44867</v>
      </c>
      <c r="Q912" s="334">
        <v>2</v>
      </c>
      <c r="R912" s="216">
        <v>169912.5</v>
      </c>
      <c r="S912" s="217" t="s">
        <v>2156</v>
      </c>
      <c r="T912" s="209" t="s">
        <v>3913</v>
      </c>
      <c r="U912" s="209" t="s">
        <v>3914</v>
      </c>
      <c r="V912" s="213" t="s">
        <v>3915</v>
      </c>
      <c r="W912" s="218" t="s">
        <v>3652</v>
      </c>
      <c r="X912" s="218" t="s">
        <v>3652</v>
      </c>
      <c r="Y912" s="212" t="s">
        <v>5714</v>
      </c>
      <c r="Z912" s="209" t="s">
        <v>5614</v>
      </c>
      <c r="AA912" s="215"/>
      <c r="AB912" s="218"/>
      <c r="AC912" s="217" t="e">
        <v>#N/A</v>
      </c>
      <c r="AD912" s="217">
        <v>90700</v>
      </c>
      <c r="AE912" s="217" t="s">
        <v>5809</v>
      </c>
      <c r="AF912" s="217" t="s">
        <v>3918</v>
      </c>
      <c r="AG912" s="217" t="s">
        <v>3919</v>
      </c>
      <c r="AH912" s="220" t="str">
        <f t="shared" si="59"/>
        <v>4590007940_002</v>
      </c>
      <c r="AI912" s="208"/>
      <c r="AJ912" s="225">
        <v>44958</v>
      </c>
      <c r="AK912" s="221">
        <v>67965</v>
      </c>
      <c r="AL912" s="226">
        <v>45015</v>
      </c>
      <c r="AM912" s="208"/>
      <c r="AN912" s="220"/>
      <c r="AO912" s="222"/>
      <c r="AP912" s="227"/>
      <c r="AQ912" s="358">
        <f ca="1">IF(表格1[[#This Row],[PO$]]="","100%",表格1[[#This Row],[total amount]]/表格1[[#This Row],[PO$]])</f>
        <v>0.4</v>
      </c>
      <c r="AR912" s="223">
        <f ca="1">表格1[[#This Row],[invoice amount]]+表格1[[#This Row],[invoice amount2]]</f>
        <v>67965</v>
      </c>
      <c r="AS912" s="224" t="s">
        <v>3673</v>
      </c>
      <c r="AT912" s="208"/>
      <c r="AU912" s="208" t="e">
        <f ca="1">VLOOKUP(表格1[[#This Row],[PO+ITEM]],#REF!,2,FALSE)</f>
        <v>#REF!</v>
      </c>
      <c r="AV912" s="341" t="e">
        <f ca="1">VLOOKUP(表格1[[#This Row],[PO+ITEM]],#REF!,3,FALSE)</f>
        <v>#REF!</v>
      </c>
      <c r="AW912" s="208" t="e">
        <f ca="1">VLOOKUP(表格1[[#This Row],[PO+ITEM]],#REF!,4,FALSE)</f>
        <v>#REF!</v>
      </c>
      <c r="AX912" s="208" t="e" cm="1" vm="1">
        <f t="array" aca="1" ref="AX912" ca="1">VLOOKUP(AI:AI,#REF!,1,FALSE)</f>
        <v>#VALUE!</v>
      </c>
    </row>
    <row r="913" spans="1:50" ht="15.6">
      <c r="A913" s="220">
        <v>907</v>
      </c>
      <c r="B913" s="220" t="s">
        <v>3659</v>
      </c>
      <c r="C913" s="209" t="s">
        <v>17</v>
      </c>
      <c r="D913" s="209" t="s">
        <v>3648</v>
      </c>
      <c r="E913" s="209"/>
      <c r="F913" s="209"/>
      <c r="G913" s="209"/>
      <c r="H913" s="210" t="s">
        <v>5810</v>
      </c>
      <c r="I913" s="210"/>
      <c r="J913" s="211"/>
      <c r="K913" s="210"/>
      <c r="L913" s="212" t="s">
        <v>2999</v>
      </c>
      <c r="M913" s="212" t="s">
        <v>2999</v>
      </c>
      <c r="N913" s="213"/>
      <c r="O913" s="263">
        <v>4590007940</v>
      </c>
      <c r="P913" s="214">
        <v>44867</v>
      </c>
      <c r="Q913" s="334">
        <v>3</v>
      </c>
      <c r="R913" s="216">
        <v>169912.5</v>
      </c>
      <c r="S913" s="217" t="s">
        <v>2156</v>
      </c>
      <c r="T913" s="209" t="s">
        <v>3913</v>
      </c>
      <c r="U913" s="209" t="s">
        <v>3914</v>
      </c>
      <c r="V913" s="213" t="s">
        <v>3915</v>
      </c>
      <c r="W913" s="218" t="s">
        <v>3652</v>
      </c>
      <c r="X913" s="218" t="s">
        <v>3652</v>
      </c>
      <c r="Y913" s="212" t="s">
        <v>5714</v>
      </c>
      <c r="Z913" s="209" t="s">
        <v>5614</v>
      </c>
      <c r="AA913" s="215"/>
      <c r="AB913" s="218"/>
      <c r="AC913" s="217" t="e">
        <v>#N/A</v>
      </c>
      <c r="AD913" s="217">
        <v>91374</v>
      </c>
      <c r="AE913" s="217" t="s">
        <v>5811</v>
      </c>
      <c r="AF913" s="217" t="s">
        <v>3918</v>
      </c>
      <c r="AG913" s="217" t="s">
        <v>3919</v>
      </c>
      <c r="AH913" s="220" t="str">
        <f t="shared" si="59"/>
        <v>4590007940_003</v>
      </c>
      <c r="AI913" s="208"/>
      <c r="AJ913" s="225">
        <v>44958</v>
      </c>
      <c r="AK913" s="221">
        <v>67965</v>
      </c>
      <c r="AL913" s="226">
        <v>45015</v>
      </c>
      <c r="AM913" s="208"/>
      <c r="AN913" s="220"/>
      <c r="AO913" s="222"/>
      <c r="AP913" s="227"/>
      <c r="AQ913" s="358">
        <f ca="1">IF(表格1[[#This Row],[PO$]]="","100%",表格1[[#This Row],[total amount]]/表格1[[#This Row],[PO$]])</f>
        <v>0.4</v>
      </c>
      <c r="AR913" s="223">
        <f ca="1">表格1[[#This Row],[invoice amount]]+表格1[[#This Row],[invoice amount2]]</f>
        <v>67965</v>
      </c>
      <c r="AS913" s="224" t="s">
        <v>3673</v>
      </c>
      <c r="AT913" s="208"/>
      <c r="AU913" s="208" t="e">
        <f ca="1">VLOOKUP(表格1[[#This Row],[PO+ITEM]],#REF!,2,FALSE)</f>
        <v>#REF!</v>
      </c>
      <c r="AV913" s="341" t="e">
        <f ca="1">VLOOKUP(表格1[[#This Row],[PO+ITEM]],#REF!,3,FALSE)</f>
        <v>#REF!</v>
      </c>
      <c r="AW913" s="208" t="e">
        <f ca="1">VLOOKUP(表格1[[#This Row],[PO+ITEM]],#REF!,4,FALSE)</f>
        <v>#REF!</v>
      </c>
      <c r="AX913" s="208" t="e" cm="1" vm="1">
        <f t="array" aca="1" ref="AX913" ca="1">VLOOKUP(AI:AI,#REF!,1,FALSE)</f>
        <v>#VALUE!</v>
      </c>
    </row>
    <row r="914" spans="1:50">
      <c r="A914" s="220">
        <v>908</v>
      </c>
      <c r="B914" s="220" t="s">
        <v>3674</v>
      </c>
      <c r="C914" s="209" t="s">
        <v>17</v>
      </c>
      <c r="D914" s="209" t="s">
        <v>3648</v>
      </c>
      <c r="E914" s="209"/>
      <c r="F914" s="209"/>
      <c r="G914" s="209"/>
      <c r="H914" s="210" t="s">
        <v>5812</v>
      </c>
      <c r="I914" s="210"/>
      <c r="J914" s="211"/>
      <c r="K914" s="210"/>
      <c r="L914" s="212" t="s">
        <v>2999</v>
      </c>
      <c r="M914" s="212" t="s">
        <v>2999</v>
      </c>
      <c r="N914" s="213"/>
      <c r="O914" s="263">
        <v>4590007940</v>
      </c>
      <c r="P914" s="214">
        <v>44867</v>
      </c>
      <c r="Q914" s="334">
        <v>4</v>
      </c>
      <c r="R914" s="216">
        <v>165784.82</v>
      </c>
      <c r="S914" s="217" t="s">
        <v>2156</v>
      </c>
      <c r="T914" s="209" t="s">
        <v>3913</v>
      </c>
      <c r="U914" s="209" t="s">
        <v>3914</v>
      </c>
      <c r="V914" s="213" t="s">
        <v>3915</v>
      </c>
      <c r="W914" s="218" t="s">
        <v>3652</v>
      </c>
      <c r="X914" s="218" t="s">
        <v>3652</v>
      </c>
      <c r="Y914" s="212">
        <v>0</v>
      </c>
      <c r="Z914" s="209" t="s">
        <v>5614</v>
      </c>
      <c r="AA914" s="215"/>
      <c r="AB914" s="218"/>
      <c r="AC914" s="217" t="e">
        <v>#N/A</v>
      </c>
      <c r="AD914" s="217">
        <v>90695</v>
      </c>
      <c r="AE914" s="217" t="s">
        <v>5813</v>
      </c>
      <c r="AF914" s="217" t="s">
        <v>3918</v>
      </c>
      <c r="AG914" s="217" t="s">
        <v>3919</v>
      </c>
      <c r="AH914" s="220" t="str">
        <f t="shared" si="59"/>
        <v>4590007940_004</v>
      </c>
      <c r="AI914" s="208" t="s">
        <v>5814</v>
      </c>
      <c r="AJ914" s="227">
        <v>45412</v>
      </c>
      <c r="AK914" s="273">
        <v>165784.82</v>
      </c>
      <c r="AL914" s="227" t="s">
        <v>3805</v>
      </c>
      <c r="AM914" s="208"/>
      <c r="AN914" s="220"/>
      <c r="AO914" s="222"/>
      <c r="AP914" s="227"/>
      <c r="AQ914" s="358">
        <f ca="1">IF(表格1[[#This Row],[PO$]]="","100%",表格1[[#This Row],[total amount]]/表格1[[#This Row],[PO$]])</f>
        <v>1</v>
      </c>
      <c r="AR914" s="223">
        <f ca="1">表格1[[#This Row],[invoice amount]]+表格1[[#This Row],[invoice amount2]]</f>
        <v>165784.82</v>
      </c>
      <c r="AS914" s="224" t="s">
        <v>3806</v>
      </c>
      <c r="AT914" s="246"/>
      <c r="AU914" s="208" t="e">
        <f ca="1">VLOOKUP(表格1[[#This Row],[PO+ITEM]],#REF!,2,FALSE)</f>
        <v>#REF!</v>
      </c>
      <c r="AV914" s="341" t="e">
        <f ca="1">VLOOKUP(表格1[[#This Row],[PO+ITEM]],#REF!,3,FALSE)</f>
        <v>#REF!</v>
      </c>
      <c r="AW914" s="208" t="e">
        <f ca="1">VLOOKUP(表格1[[#This Row],[PO+ITEM]],#REF!,4,FALSE)</f>
        <v>#REF!</v>
      </c>
      <c r="AX914" s="208" t="e" cm="1" vm="1">
        <f t="array" aca="1" ref="AX914" ca="1">VLOOKUP(AI:AI,#REF!,1,FALSE)</f>
        <v>#VALUE!</v>
      </c>
    </row>
    <row r="915" spans="1:50">
      <c r="A915" s="220">
        <v>909</v>
      </c>
      <c r="B915" s="220" t="s">
        <v>3659</v>
      </c>
      <c r="C915" s="209" t="s">
        <v>17</v>
      </c>
      <c r="D915" s="209" t="s">
        <v>3648</v>
      </c>
      <c r="E915" s="209"/>
      <c r="F915" s="209"/>
      <c r="G915" s="209"/>
      <c r="H915" s="210" t="s">
        <v>5815</v>
      </c>
      <c r="I915" s="210"/>
      <c r="J915" s="211"/>
      <c r="K915" s="210"/>
      <c r="L915" s="212" t="s">
        <v>2999</v>
      </c>
      <c r="M915" s="212" t="s">
        <v>2999</v>
      </c>
      <c r="N915" s="213"/>
      <c r="O915" s="263">
        <v>4590007940</v>
      </c>
      <c r="P915" s="214">
        <v>44867</v>
      </c>
      <c r="Q915" s="334">
        <v>5</v>
      </c>
      <c r="R915" s="216">
        <v>165784.82</v>
      </c>
      <c r="S915" s="217" t="s">
        <v>2156</v>
      </c>
      <c r="T915" s="209" t="s">
        <v>3913</v>
      </c>
      <c r="U915" s="209" t="s">
        <v>3914</v>
      </c>
      <c r="V915" s="213" t="s">
        <v>3915</v>
      </c>
      <c r="W915" s="218" t="s">
        <v>3652</v>
      </c>
      <c r="X915" s="218" t="s">
        <v>3652</v>
      </c>
      <c r="Y915" s="212">
        <v>0</v>
      </c>
      <c r="Z915" s="209" t="s">
        <v>5614</v>
      </c>
      <c r="AA915" s="215"/>
      <c r="AB915" s="218"/>
      <c r="AC915" s="217" t="e">
        <v>#N/A</v>
      </c>
      <c r="AD915" s="217">
        <v>90696</v>
      </c>
      <c r="AE915" s="217" t="s">
        <v>5816</v>
      </c>
      <c r="AF915" s="217" t="s">
        <v>3918</v>
      </c>
      <c r="AG915" s="217" t="s">
        <v>3919</v>
      </c>
      <c r="AH915" s="220" t="str">
        <f t="shared" si="59"/>
        <v>4590007940_005</v>
      </c>
      <c r="AI915" s="208"/>
      <c r="AJ915" s="220"/>
      <c r="AK915" s="221"/>
      <c r="AL915" s="227"/>
      <c r="AM915" s="208"/>
      <c r="AN915" s="220"/>
      <c r="AO915" s="222"/>
      <c r="AP915" s="227"/>
      <c r="AQ915" s="358">
        <f ca="1">IF(表格1[[#This Row],[PO$]]="","100%",表格1[[#This Row],[total amount]]/表格1[[#This Row],[PO$]])</f>
        <v>0</v>
      </c>
      <c r="AR915" s="223">
        <f ca="1">表格1[[#This Row],[invoice amount]]+表格1[[#This Row],[invoice amount2]]</f>
        <v>0</v>
      </c>
      <c r="AS915" s="224"/>
      <c r="AT915" s="208"/>
      <c r="AU915" s="208" t="e">
        <f ca="1">VLOOKUP(表格1[[#This Row],[PO+ITEM]],#REF!,2,FALSE)</f>
        <v>#REF!</v>
      </c>
      <c r="AV915" s="341" t="e">
        <f ca="1">VLOOKUP(表格1[[#This Row],[PO+ITEM]],#REF!,3,FALSE)</f>
        <v>#REF!</v>
      </c>
      <c r="AW915" s="208" t="e">
        <f ca="1">VLOOKUP(表格1[[#This Row],[PO+ITEM]],#REF!,4,FALSE)</f>
        <v>#REF!</v>
      </c>
      <c r="AX915" s="208" t="e" cm="1" vm="1">
        <f t="array" aca="1" ref="AX915" ca="1">VLOOKUP(AI:AI,#REF!,1,FALSE)</f>
        <v>#VALUE!</v>
      </c>
    </row>
    <row r="916" spans="1:50">
      <c r="A916" s="220">
        <v>910</v>
      </c>
      <c r="B916" s="220" t="s">
        <v>3659</v>
      </c>
      <c r="C916" s="209" t="s">
        <v>17</v>
      </c>
      <c r="D916" s="209" t="s">
        <v>3648</v>
      </c>
      <c r="E916" s="209"/>
      <c r="F916" s="209"/>
      <c r="G916" s="209"/>
      <c r="H916" s="210" t="s">
        <v>5817</v>
      </c>
      <c r="I916" s="210"/>
      <c r="J916" s="211"/>
      <c r="K916" s="210"/>
      <c r="L916" s="212" t="s">
        <v>2999</v>
      </c>
      <c r="M916" s="212" t="s">
        <v>2999</v>
      </c>
      <c r="N916" s="213"/>
      <c r="O916" s="263">
        <v>4590007940</v>
      </c>
      <c r="P916" s="214">
        <v>44867</v>
      </c>
      <c r="Q916" s="334">
        <v>6</v>
      </c>
      <c r="R916" s="216">
        <v>165784.82</v>
      </c>
      <c r="S916" s="217" t="s">
        <v>2156</v>
      </c>
      <c r="T916" s="209" t="s">
        <v>3913</v>
      </c>
      <c r="U916" s="209" t="s">
        <v>3914</v>
      </c>
      <c r="V916" s="213" t="s">
        <v>3915</v>
      </c>
      <c r="W916" s="218" t="s">
        <v>3652</v>
      </c>
      <c r="X916" s="218" t="s">
        <v>3652</v>
      </c>
      <c r="Y916" s="212">
        <v>0</v>
      </c>
      <c r="Z916" s="209" t="s">
        <v>5614</v>
      </c>
      <c r="AA916" s="215"/>
      <c r="AB916" s="218"/>
      <c r="AC916" s="217" t="e">
        <v>#N/A</v>
      </c>
      <c r="AD916" s="217">
        <v>91196</v>
      </c>
      <c r="AE916" s="217" t="s">
        <v>5818</v>
      </c>
      <c r="AF916" s="217" t="s">
        <v>3918</v>
      </c>
      <c r="AG916" s="217" t="s">
        <v>3919</v>
      </c>
      <c r="AH916" s="220" t="str">
        <f t="shared" si="59"/>
        <v>4590007940_006</v>
      </c>
      <c r="AI916" s="208"/>
      <c r="AJ916" s="220"/>
      <c r="AK916" s="221"/>
      <c r="AL916" s="227"/>
      <c r="AM916" s="208"/>
      <c r="AN916" s="220"/>
      <c r="AO916" s="222"/>
      <c r="AP916" s="227"/>
      <c r="AQ916" s="358">
        <f ca="1">IF(表格1[[#This Row],[PO$]]="","100%",表格1[[#This Row],[total amount]]/表格1[[#This Row],[PO$]])</f>
        <v>0</v>
      </c>
      <c r="AR916" s="223">
        <f ca="1">表格1[[#This Row],[invoice amount]]+表格1[[#This Row],[invoice amount2]]</f>
        <v>0</v>
      </c>
      <c r="AS916" s="224"/>
      <c r="AT916" s="208"/>
      <c r="AU916" s="208" t="e">
        <f ca="1">VLOOKUP(表格1[[#This Row],[PO+ITEM]],#REF!,2,FALSE)</f>
        <v>#REF!</v>
      </c>
      <c r="AV916" s="341" t="e">
        <f ca="1">VLOOKUP(表格1[[#This Row],[PO+ITEM]],#REF!,3,FALSE)</f>
        <v>#REF!</v>
      </c>
      <c r="AW916" s="208" t="e">
        <f ca="1">VLOOKUP(表格1[[#This Row],[PO+ITEM]],#REF!,4,FALSE)</f>
        <v>#REF!</v>
      </c>
      <c r="AX916" s="208" t="e" cm="1" vm="1">
        <f t="array" aca="1" ref="AX916" ca="1">VLOOKUP(AI:AI,#REF!,1,FALSE)</f>
        <v>#VALUE!</v>
      </c>
    </row>
    <row r="917" spans="1:50" ht="15.6">
      <c r="A917" s="220">
        <v>911</v>
      </c>
      <c r="B917" s="220" t="s">
        <v>3674</v>
      </c>
      <c r="C917" s="209" t="s">
        <v>17</v>
      </c>
      <c r="D917" s="209" t="s">
        <v>3648</v>
      </c>
      <c r="E917" s="209"/>
      <c r="F917" s="209"/>
      <c r="G917" s="209"/>
      <c r="H917" s="210" t="s">
        <v>5819</v>
      </c>
      <c r="I917" s="210"/>
      <c r="J917" s="211"/>
      <c r="K917" s="210"/>
      <c r="L917" s="212" t="s">
        <v>2999</v>
      </c>
      <c r="M917" s="212" t="s">
        <v>2999</v>
      </c>
      <c r="N917" s="213"/>
      <c r="O917" s="263">
        <v>4590007941</v>
      </c>
      <c r="P917" s="214">
        <v>44867</v>
      </c>
      <c r="Q917" s="334">
        <v>1</v>
      </c>
      <c r="R917" s="216">
        <v>233503.39</v>
      </c>
      <c r="S917" s="217" t="s">
        <v>2156</v>
      </c>
      <c r="T917" s="209" t="s">
        <v>3913</v>
      </c>
      <c r="U917" s="209" t="s">
        <v>3914</v>
      </c>
      <c r="V917" s="213" t="s">
        <v>3915</v>
      </c>
      <c r="W917" s="218" t="s">
        <v>3652</v>
      </c>
      <c r="X917" s="218" t="s">
        <v>3652</v>
      </c>
      <c r="Y917" s="212" t="s">
        <v>5714</v>
      </c>
      <c r="Z917" s="209" t="s">
        <v>5820</v>
      </c>
      <c r="AA917" s="215"/>
      <c r="AB917" s="218"/>
      <c r="AC917" s="217" t="e">
        <v>#N/A</v>
      </c>
      <c r="AD917" s="217">
        <v>90697</v>
      </c>
      <c r="AE917" s="217" t="s">
        <v>5821</v>
      </c>
      <c r="AF917" s="217" t="s">
        <v>3918</v>
      </c>
      <c r="AG917" s="217" t="s">
        <v>3919</v>
      </c>
      <c r="AH917" s="220" t="str">
        <f t="shared" si="59"/>
        <v>4590007941_001</v>
      </c>
      <c r="AI917" s="208"/>
      <c r="AJ917" s="225">
        <v>44958</v>
      </c>
      <c r="AK917" s="221">
        <v>93401.356000000014</v>
      </c>
      <c r="AL917" s="226">
        <v>45015</v>
      </c>
      <c r="AM917" s="208" t="s">
        <v>5822</v>
      </c>
      <c r="AN917" s="227">
        <v>45412</v>
      </c>
      <c r="AO917" s="222">
        <v>140102.03</v>
      </c>
      <c r="AP917" s="227" t="s">
        <v>5710</v>
      </c>
      <c r="AQ917" s="358">
        <f ca="1">IF(表格1[[#This Row],[PO$]]="","100%",表格1[[#This Row],[total amount]]/表格1[[#This Row],[PO$]])</f>
        <v>0.99999998286962766</v>
      </c>
      <c r="AR917" s="223">
        <f ca="1">表格1[[#This Row],[invoice amount]]+表格1[[#This Row],[invoice amount2]]</f>
        <v>233503.386</v>
      </c>
      <c r="AS917" s="224" t="s">
        <v>4371</v>
      </c>
      <c r="AT917" s="246"/>
      <c r="AU917" s="208" t="e">
        <f ca="1">VLOOKUP(表格1[[#This Row],[PO+ITEM]],#REF!,2,FALSE)</f>
        <v>#REF!</v>
      </c>
      <c r="AV917" s="341" t="e">
        <f ca="1">VLOOKUP(表格1[[#This Row],[PO+ITEM]],#REF!,3,FALSE)</f>
        <v>#REF!</v>
      </c>
      <c r="AW917" s="208" t="e">
        <f ca="1">VLOOKUP(表格1[[#This Row],[PO+ITEM]],#REF!,4,FALSE)</f>
        <v>#REF!</v>
      </c>
      <c r="AX917" s="208" t="e" cm="1" vm="1">
        <f t="array" aca="1" ref="AX917" ca="1">VLOOKUP(AI:AI,#REF!,1,FALSE)</f>
        <v>#VALUE!</v>
      </c>
    </row>
    <row r="918" spans="1:50" ht="15.6">
      <c r="A918" s="220">
        <v>912</v>
      </c>
      <c r="B918" s="220" t="s">
        <v>3659</v>
      </c>
      <c r="C918" s="209" t="s">
        <v>17</v>
      </c>
      <c r="D918" s="209" t="s">
        <v>3648</v>
      </c>
      <c r="E918" s="209"/>
      <c r="F918" s="209"/>
      <c r="G918" s="209"/>
      <c r="H918" s="210" t="s">
        <v>5823</v>
      </c>
      <c r="I918" s="210"/>
      <c r="J918" s="211"/>
      <c r="K918" s="210"/>
      <c r="L918" s="212" t="s">
        <v>2999</v>
      </c>
      <c r="M918" s="212" t="s">
        <v>2999</v>
      </c>
      <c r="N918" s="213"/>
      <c r="O918" s="263">
        <v>4590007941</v>
      </c>
      <c r="P918" s="214">
        <v>44867</v>
      </c>
      <c r="Q918" s="334">
        <v>2</v>
      </c>
      <c r="R918" s="216">
        <v>233503.39</v>
      </c>
      <c r="S918" s="217" t="s">
        <v>2156</v>
      </c>
      <c r="T918" s="209" t="s">
        <v>3913</v>
      </c>
      <c r="U918" s="209" t="s">
        <v>3914</v>
      </c>
      <c r="V918" s="213" t="s">
        <v>3915</v>
      </c>
      <c r="W918" s="218" t="s">
        <v>3652</v>
      </c>
      <c r="X918" s="218" t="s">
        <v>3652</v>
      </c>
      <c r="Y918" s="212" t="s">
        <v>5714</v>
      </c>
      <c r="Z918" s="209" t="s">
        <v>5820</v>
      </c>
      <c r="AA918" s="215"/>
      <c r="AB918" s="218"/>
      <c r="AC918" s="217" t="e">
        <v>#N/A</v>
      </c>
      <c r="AD918" s="217">
        <v>90698</v>
      </c>
      <c r="AE918" s="217" t="s">
        <v>5824</v>
      </c>
      <c r="AF918" s="217" t="s">
        <v>3918</v>
      </c>
      <c r="AG918" s="217" t="s">
        <v>3919</v>
      </c>
      <c r="AH918" s="220" t="str">
        <f t="shared" si="59"/>
        <v>4590007941_002</v>
      </c>
      <c r="AI918" s="208"/>
      <c r="AJ918" s="225">
        <v>44958</v>
      </c>
      <c r="AK918" s="221">
        <v>93401.356000000014</v>
      </c>
      <c r="AL918" s="226">
        <v>45015</v>
      </c>
      <c r="AM918" s="208"/>
      <c r="AN918" s="220"/>
      <c r="AO918" s="222"/>
      <c r="AP918" s="227"/>
      <c r="AQ918" s="358">
        <f ca="1">IF(表格1[[#This Row],[PO$]]="","100%",表格1[[#This Row],[total amount]]/表格1[[#This Row],[PO$]])</f>
        <v>0.4</v>
      </c>
      <c r="AR918" s="223">
        <f ca="1">表格1[[#This Row],[invoice amount]]+表格1[[#This Row],[invoice amount2]]</f>
        <v>93401.356000000014</v>
      </c>
      <c r="AS918" s="224" t="s">
        <v>3673</v>
      </c>
      <c r="AT918" s="208"/>
      <c r="AU918" s="208" t="e">
        <f ca="1">VLOOKUP(表格1[[#This Row],[PO+ITEM]],#REF!,2,FALSE)</f>
        <v>#REF!</v>
      </c>
      <c r="AV918" s="341" t="e">
        <f ca="1">VLOOKUP(表格1[[#This Row],[PO+ITEM]],#REF!,3,FALSE)</f>
        <v>#REF!</v>
      </c>
      <c r="AW918" s="208" t="e">
        <f ca="1">VLOOKUP(表格1[[#This Row],[PO+ITEM]],#REF!,4,FALSE)</f>
        <v>#REF!</v>
      </c>
      <c r="AX918" s="208" t="e" cm="1" vm="1">
        <f t="array" aca="1" ref="AX918" ca="1">VLOOKUP(AI:AI,#REF!,1,FALSE)</f>
        <v>#VALUE!</v>
      </c>
    </row>
    <row r="919" spans="1:50" ht="15.6">
      <c r="A919" s="220">
        <v>913</v>
      </c>
      <c r="B919" s="220" t="s">
        <v>3659</v>
      </c>
      <c r="C919" s="209" t="s">
        <v>17</v>
      </c>
      <c r="D919" s="209" t="s">
        <v>3648</v>
      </c>
      <c r="E919" s="209"/>
      <c r="F919" s="209"/>
      <c r="G919" s="209"/>
      <c r="H919" s="210" t="s">
        <v>5825</v>
      </c>
      <c r="I919" s="210"/>
      <c r="J919" s="211"/>
      <c r="K919" s="210"/>
      <c r="L919" s="212" t="s">
        <v>2999</v>
      </c>
      <c r="M919" s="212" t="s">
        <v>2999</v>
      </c>
      <c r="N919" s="213"/>
      <c r="O919" s="263">
        <v>4590007941</v>
      </c>
      <c r="P919" s="214">
        <v>44867</v>
      </c>
      <c r="Q919" s="334">
        <v>3</v>
      </c>
      <c r="R919" s="216">
        <v>233503.39</v>
      </c>
      <c r="S919" s="217" t="s">
        <v>2156</v>
      </c>
      <c r="T919" s="209" t="s">
        <v>3913</v>
      </c>
      <c r="U919" s="209" t="s">
        <v>3914</v>
      </c>
      <c r="V919" s="213" t="s">
        <v>3915</v>
      </c>
      <c r="W919" s="218" t="s">
        <v>3652</v>
      </c>
      <c r="X919" s="218" t="s">
        <v>3652</v>
      </c>
      <c r="Y919" s="212" t="s">
        <v>5714</v>
      </c>
      <c r="Z919" s="209" t="s">
        <v>5820</v>
      </c>
      <c r="AA919" s="215"/>
      <c r="AB919" s="218"/>
      <c r="AC919" s="217" t="e">
        <v>#N/A</v>
      </c>
      <c r="AD919" s="217">
        <v>90955</v>
      </c>
      <c r="AE919" s="217" t="s">
        <v>5826</v>
      </c>
      <c r="AF919" s="217" t="s">
        <v>3918</v>
      </c>
      <c r="AG919" s="217" t="s">
        <v>3919</v>
      </c>
      <c r="AH919" s="220" t="str">
        <f t="shared" si="59"/>
        <v>4590007941_003</v>
      </c>
      <c r="AI919" s="208"/>
      <c r="AJ919" s="225">
        <v>44958</v>
      </c>
      <c r="AK919" s="221">
        <v>93401.356000000014</v>
      </c>
      <c r="AL919" s="226">
        <v>45015</v>
      </c>
      <c r="AM919" s="208"/>
      <c r="AN919" s="220"/>
      <c r="AO919" s="222"/>
      <c r="AP919" s="227"/>
      <c r="AQ919" s="358">
        <f ca="1">IF(表格1[[#This Row],[PO$]]="","100%",表格1[[#This Row],[total amount]]/表格1[[#This Row],[PO$]])</f>
        <v>0.4</v>
      </c>
      <c r="AR919" s="223">
        <f ca="1">表格1[[#This Row],[invoice amount]]+表格1[[#This Row],[invoice amount2]]</f>
        <v>93401.356000000014</v>
      </c>
      <c r="AS919" s="224" t="s">
        <v>3673</v>
      </c>
      <c r="AT919" s="208"/>
      <c r="AU919" s="208" t="e">
        <f ca="1">VLOOKUP(表格1[[#This Row],[PO+ITEM]],#REF!,2,FALSE)</f>
        <v>#REF!</v>
      </c>
      <c r="AV919" s="341" t="e">
        <f ca="1">VLOOKUP(表格1[[#This Row],[PO+ITEM]],#REF!,3,FALSE)</f>
        <v>#REF!</v>
      </c>
      <c r="AW919" s="208" t="e">
        <f ca="1">VLOOKUP(表格1[[#This Row],[PO+ITEM]],#REF!,4,FALSE)</f>
        <v>#REF!</v>
      </c>
      <c r="AX919" s="208" t="e" cm="1" vm="1">
        <f t="array" aca="1" ref="AX919" ca="1">VLOOKUP(AI:AI,#REF!,1,FALSE)</f>
        <v>#VALUE!</v>
      </c>
    </row>
    <row r="920" spans="1:50">
      <c r="A920" s="220">
        <v>914</v>
      </c>
      <c r="B920" s="220" t="s">
        <v>3659</v>
      </c>
      <c r="C920" s="209" t="s">
        <v>17</v>
      </c>
      <c r="D920" s="209" t="s">
        <v>3648</v>
      </c>
      <c r="E920" s="209"/>
      <c r="F920" s="209"/>
      <c r="G920" s="209"/>
      <c r="H920" s="210" t="s">
        <v>5827</v>
      </c>
      <c r="I920" s="210"/>
      <c r="J920" s="211"/>
      <c r="K920" s="210"/>
      <c r="L920" s="212" t="s">
        <v>2999</v>
      </c>
      <c r="M920" s="212" t="s">
        <v>2999</v>
      </c>
      <c r="N920" s="213"/>
      <c r="O920" s="263">
        <v>4590007942</v>
      </c>
      <c r="P920" s="214">
        <v>44867</v>
      </c>
      <c r="Q920" s="334">
        <v>1</v>
      </c>
      <c r="R920" s="216">
        <v>31846</v>
      </c>
      <c r="S920" s="217" t="s">
        <v>2156</v>
      </c>
      <c r="T920" s="209" t="s">
        <v>3713</v>
      </c>
      <c r="U920" s="209" t="s">
        <v>3714</v>
      </c>
      <c r="V920" s="213" t="s">
        <v>3715</v>
      </c>
      <c r="W920" s="218" t="s">
        <v>3652</v>
      </c>
      <c r="X920" s="218" t="s">
        <v>3652</v>
      </c>
      <c r="Y920" s="212">
        <v>0</v>
      </c>
      <c r="Z920" s="209" t="s">
        <v>3716</v>
      </c>
      <c r="AA920" s="215"/>
      <c r="AB920" s="218"/>
      <c r="AC920" s="217" t="e">
        <v>#N/A</v>
      </c>
      <c r="AD920" s="217">
        <v>91100</v>
      </c>
      <c r="AE920" s="217" t="s">
        <v>5828</v>
      </c>
      <c r="AF920" s="217" t="s">
        <v>3828</v>
      </c>
      <c r="AG920" s="217" t="s">
        <v>3719</v>
      </c>
      <c r="AH920" s="220" t="str">
        <f t="shared" si="59"/>
        <v>4590007942_001</v>
      </c>
      <c r="AI920" s="208"/>
      <c r="AJ920" s="220"/>
      <c r="AK920" s="221"/>
      <c r="AL920" s="227"/>
      <c r="AM920" s="208"/>
      <c r="AN920" s="220"/>
      <c r="AO920" s="222"/>
      <c r="AP920" s="227"/>
      <c r="AQ920" s="358">
        <f ca="1">IF(表格1[[#This Row],[PO$]]="","100%",表格1[[#This Row],[total amount]]/表格1[[#This Row],[PO$]])</f>
        <v>0</v>
      </c>
      <c r="AR920" s="223">
        <f ca="1">表格1[[#This Row],[invoice amount]]+表格1[[#This Row],[invoice amount2]]</f>
        <v>0</v>
      </c>
      <c r="AS920" s="224"/>
      <c r="AT920" s="208"/>
      <c r="AU920" s="208" t="e">
        <f ca="1">VLOOKUP(表格1[[#This Row],[PO+ITEM]],#REF!,2,FALSE)</f>
        <v>#REF!</v>
      </c>
      <c r="AV920" s="341" t="e">
        <f ca="1">VLOOKUP(表格1[[#This Row],[PO+ITEM]],#REF!,3,FALSE)</f>
        <v>#REF!</v>
      </c>
      <c r="AW920" s="208" t="e">
        <f ca="1">VLOOKUP(表格1[[#This Row],[PO+ITEM]],#REF!,4,FALSE)</f>
        <v>#REF!</v>
      </c>
      <c r="AX920" s="208" t="e" cm="1" vm="1">
        <f t="array" aca="1" ref="AX920" ca="1">VLOOKUP(AI:AI,#REF!,1,FALSE)</f>
        <v>#VALUE!</v>
      </c>
    </row>
    <row r="921" spans="1:50">
      <c r="A921" s="220">
        <v>915</v>
      </c>
      <c r="B921" s="220" t="s">
        <v>3674</v>
      </c>
      <c r="C921" s="209" t="s">
        <v>17</v>
      </c>
      <c r="D921" s="209" t="s">
        <v>3648</v>
      </c>
      <c r="E921" s="209"/>
      <c r="F921" s="209"/>
      <c r="G921" s="209"/>
      <c r="H921" s="210" t="s">
        <v>5829</v>
      </c>
      <c r="I921" s="210"/>
      <c r="J921" s="211"/>
      <c r="K921" s="210"/>
      <c r="L921" s="212" t="s">
        <v>2999</v>
      </c>
      <c r="M921" s="212" t="s">
        <v>2999</v>
      </c>
      <c r="N921" s="213"/>
      <c r="O921" s="263">
        <v>4590007942</v>
      </c>
      <c r="P921" s="214">
        <v>44867</v>
      </c>
      <c r="Q921" s="334">
        <v>2</v>
      </c>
      <c r="R921" s="216">
        <v>44669</v>
      </c>
      <c r="S921" s="217" t="s">
        <v>2156</v>
      </c>
      <c r="T921" s="209" t="s">
        <v>3713</v>
      </c>
      <c r="U921" s="209" t="s">
        <v>3714</v>
      </c>
      <c r="V921" s="213" t="s">
        <v>3715</v>
      </c>
      <c r="W921" s="218" t="s">
        <v>3652</v>
      </c>
      <c r="X921" s="218" t="s">
        <v>3652</v>
      </c>
      <c r="Y921" s="212">
        <v>0</v>
      </c>
      <c r="Z921" s="209" t="s">
        <v>3716</v>
      </c>
      <c r="AA921" s="215"/>
      <c r="AB921" s="218"/>
      <c r="AC921" s="217" t="e">
        <v>#N/A</v>
      </c>
      <c r="AD921" s="217">
        <v>90848</v>
      </c>
      <c r="AE921" s="217" t="s">
        <v>4638</v>
      </c>
      <c r="AF921" s="217" t="s">
        <v>3828</v>
      </c>
      <c r="AG921" s="217" t="s">
        <v>3719</v>
      </c>
      <c r="AH921" s="220" t="str">
        <f t="shared" si="59"/>
        <v>4590007942_002</v>
      </c>
      <c r="AI921" s="208" t="s">
        <v>5830</v>
      </c>
      <c r="AJ921" s="227">
        <v>45401</v>
      </c>
      <c r="AK921" s="221">
        <v>44669</v>
      </c>
      <c r="AL921" s="227" t="s">
        <v>3805</v>
      </c>
      <c r="AM921" s="208"/>
      <c r="AN921" s="220"/>
      <c r="AO921" s="222"/>
      <c r="AP921" s="227"/>
      <c r="AQ921" s="358">
        <f ca="1">IF(表格1[[#This Row],[PO$]]="","100%",表格1[[#This Row],[total amount]]/表格1[[#This Row],[PO$]])</f>
        <v>1</v>
      </c>
      <c r="AR921" s="223">
        <f ca="1">表格1[[#This Row],[invoice amount]]+表格1[[#This Row],[invoice amount2]]</f>
        <v>44669</v>
      </c>
      <c r="AS921" s="224" t="s">
        <v>3806</v>
      </c>
      <c r="AT921" s="208"/>
      <c r="AU921" s="208" t="e">
        <f ca="1">VLOOKUP(表格1[[#This Row],[PO+ITEM]],#REF!,2,FALSE)</f>
        <v>#REF!</v>
      </c>
      <c r="AV921" s="341" t="e">
        <f ca="1">VLOOKUP(表格1[[#This Row],[PO+ITEM]],#REF!,3,FALSE)</f>
        <v>#REF!</v>
      </c>
      <c r="AW921" s="208" t="e">
        <f ca="1">VLOOKUP(表格1[[#This Row],[PO+ITEM]],#REF!,4,FALSE)</f>
        <v>#REF!</v>
      </c>
      <c r="AX921" s="208" t="e" cm="1" vm="1">
        <f t="array" aca="1" ref="AX921" ca="1">VLOOKUP(AI:AI,#REF!,1,FALSE)</f>
        <v>#VALUE!</v>
      </c>
    </row>
    <row r="922" spans="1:50" ht="15.6">
      <c r="A922" s="220">
        <v>916</v>
      </c>
      <c r="B922" s="220" t="s">
        <v>3674</v>
      </c>
      <c r="C922" s="209" t="s">
        <v>17</v>
      </c>
      <c r="D922" s="209" t="s">
        <v>3648</v>
      </c>
      <c r="E922" s="209"/>
      <c r="F922" s="209"/>
      <c r="G922" s="209"/>
      <c r="H922" s="210" t="s">
        <v>5831</v>
      </c>
      <c r="I922" s="210"/>
      <c r="J922" s="211"/>
      <c r="K922" s="210"/>
      <c r="L922" s="212" t="s">
        <v>2999</v>
      </c>
      <c r="M922" s="212" t="s">
        <v>2999</v>
      </c>
      <c r="N922" s="213"/>
      <c r="O922" s="263">
        <v>4590007942</v>
      </c>
      <c r="P922" s="214">
        <v>44867</v>
      </c>
      <c r="Q922" s="334">
        <v>3</v>
      </c>
      <c r="R922" s="216">
        <v>44669</v>
      </c>
      <c r="S922" s="217" t="s">
        <v>2156</v>
      </c>
      <c r="T922" s="209" t="s">
        <v>3713</v>
      </c>
      <c r="U922" s="209" t="s">
        <v>3714</v>
      </c>
      <c r="V922" s="213" t="s">
        <v>3715</v>
      </c>
      <c r="W922" s="218" t="s">
        <v>3652</v>
      </c>
      <c r="X922" s="218" t="s">
        <v>3652</v>
      </c>
      <c r="Y922" s="212" t="s">
        <v>4559</v>
      </c>
      <c r="Z922" s="209" t="s">
        <v>3716</v>
      </c>
      <c r="AA922" s="215"/>
      <c r="AB922" s="218"/>
      <c r="AC922" s="217" t="e">
        <v>#N/A</v>
      </c>
      <c r="AD922" s="217">
        <v>90130</v>
      </c>
      <c r="AE922" s="217" t="s">
        <v>4091</v>
      </c>
      <c r="AF922" s="217" t="s">
        <v>3828</v>
      </c>
      <c r="AG922" s="217" t="s">
        <v>3719</v>
      </c>
      <c r="AH922" s="220" t="str">
        <f t="shared" si="59"/>
        <v>4590007942_003</v>
      </c>
      <c r="AI922" s="208" t="s">
        <v>5832</v>
      </c>
      <c r="AJ922" s="227">
        <v>45408</v>
      </c>
      <c r="AK922" s="221">
        <v>42435.55</v>
      </c>
      <c r="AL922" s="314" t="s">
        <v>6691</v>
      </c>
      <c r="AM922" s="208"/>
      <c r="AN922" s="220"/>
      <c r="AO922" s="222"/>
      <c r="AP922" s="227"/>
      <c r="AQ922" s="358">
        <f ca="1">IF(表格1[[#This Row],[PO$]]="","100%",表格1[[#This Row],[total amount]]/表格1[[#This Row],[PO$]])</f>
        <v>0.95000000000000007</v>
      </c>
      <c r="AR922" s="223">
        <f ca="1">表格1[[#This Row],[invoice amount]]+表格1[[#This Row],[invoice amount2]]</f>
        <v>42435.55</v>
      </c>
      <c r="AS922" s="224" t="s">
        <v>3806</v>
      </c>
      <c r="AT922" s="208" t="s">
        <v>5833</v>
      </c>
      <c r="AU922" s="208" t="e">
        <f ca="1">VLOOKUP(表格1[[#This Row],[PO+ITEM]],#REF!,2,FALSE)</f>
        <v>#REF!</v>
      </c>
      <c r="AV922" s="341" t="e">
        <f ca="1">VLOOKUP(表格1[[#This Row],[PO+ITEM]],#REF!,3,FALSE)</f>
        <v>#REF!</v>
      </c>
      <c r="AW922" s="208" t="e">
        <f ca="1">VLOOKUP(表格1[[#This Row],[PO+ITEM]],#REF!,4,FALSE)</f>
        <v>#REF!</v>
      </c>
      <c r="AX922" s="208" t="e" cm="1" vm="1">
        <f t="array" aca="1" ref="AX922" ca="1">VLOOKUP(AI:AI,#REF!,1,FALSE)</f>
        <v>#VALUE!</v>
      </c>
    </row>
    <row r="923" spans="1:50">
      <c r="A923" s="220">
        <v>917</v>
      </c>
      <c r="B923" s="220" t="s">
        <v>3674</v>
      </c>
      <c r="C923" s="209" t="s">
        <v>17</v>
      </c>
      <c r="D923" s="209" t="s">
        <v>3648</v>
      </c>
      <c r="E923" s="209"/>
      <c r="F923" s="209"/>
      <c r="G923" s="209"/>
      <c r="H923" s="210" t="s">
        <v>5834</v>
      </c>
      <c r="I923" s="210"/>
      <c r="J923" s="211"/>
      <c r="K923" s="210"/>
      <c r="L923" s="212" t="s">
        <v>2999</v>
      </c>
      <c r="M923" s="212" t="s">
        <v>2999</v>
      </c>
      <c r="N923" s="213"/>
      <c r="O923" s="263">
        <v>4590007942</v>
      </c>
      <c r="P923" s="214">
        <v>44867</v>
      </c>
      <c r="Q923" s="334">
        <v>4</v>
      </c>
      <c r="R923" s="216">
        <v>44669</v>
      </c>
      <c r="S923" s="217" t="s">
        <v>2156</v>
      </c>
      <c r="T923" s="209" t="s">
        <v>3713</v>
      </c>
      <c r="U923" s="209" t="s">
        <v>3714</v>
      </c>
      <c r="V923" s="213" t="s">
        <v>3715</v>
      </c>
      <c r="W923" s="218" t="s">
        <v>3652</v>
      </c>
      <c r="X923" s="218" t="s">
        <v>3652</v>
      </c>
      <c r="Y923" s="212">
        <v>0</v>
      </c>
      <c r="Z923" s="209" t="s">
        <v>3716</v>
      </c>
      <c r="AA923" s="215"/>
      <c r="AB923" s="218"/>
      <c r="AC923" s="217" t="e">
        <v>#N/A</v>
      </c>
      <c r="AD923" s="217">
        <v>90849</v>
      </c>
      <c r="AE923" s="217" t="s">
        <v>4641</v>
      </c>
      <c r="AF923" s="217" t="s">
        <v>3828</v>
      </c>
      <c r="AG923" s="217" t="s">
        <v>3719</v>
      </c>
      <c r="AH923" s="220" t="str">
        <f t="shared" si="59"/>
        <v>4590007942_004</v>
      </c>
      <c r="AI923" s="208" t="s">
        <v>5835</v>
      </c>
      <c r="AJ923" s="227">
        <v>45401</v>
      </c>
      <c r="AK923" s="221">
        <v>44669</v>
      </c>
      <c r="AL923" s="227" t="s">
        <v>3805</v>
      </c>
      <c r="AM923" s="208"/>
      <c r="AN923" s="220"/>
      <c r="AO923" s="222"/>
      <c r="AP923" s="227"/>
      <c r="AQ923" s="358">
        <f ca="1">IF(表格1[[#This Row],[PO$]]="","100%",表格1[[#This Row],[total amount]]/表格1[[#This Row],[PO$]])</f>
        <v>1</v>
      </c>
      <c r="AR923" s="223">
        <f ca="1">表格1[[#This Row],[invoice amount]]+表格1[[#This Row],[invoice amount2]]</f>
        <v>44669</v>
      </c>
      <c r="AS923" s="224" t="s">
        <v>3806</v>
      </c>
      <c r="AT923" s="208"/>
      <c r="AU923" s="208" t="e">
        <f ca="1">VLOOKUP(表格1[[#This Row],[PO+ITEM]],#REF!,2,FALSE)</f>
        <v>#REF!</v>
      </c>
      <c r="AV923" s="341" t="e">
        <f ca="1">VLOOKUP(表格1[[#This Row],[PO+ITEM]],#REF!,3,FALSE)</f>
        <v>#REF!</v>
      </c>
      <c r="AW923" s="208" t="e">
        <f ca="1">VLOOKUP(表格1[[#This Row],[PO+ITEM]],#REF!,4,FALSE)</f>
        <v>#REF!</v>
      </c>
      <c r="AX923" s="208" t="e" cm="1" vm="1">
        <f t="array" aca="1" ref="AX923" ca="1">VLOOKUP(AI:AI,#REF!,1,FALSE)</f>
        <v>#VALUE!</v>
      </c>
    </row>
    <row r="924" spans="1:50">
      <c r="A924" s="220">
        <v>918</v>
      </c>
      <c r="B924" s="220" t="s">
        <v>3659</v>
      </c>
      <c r="C924" s="209" t="s">
        <v>17</v>
      </c>
      <c r="D924" s="209" t="s">
        <v>3648</v>
      </c>
      <c r="E924" s="209"/>
      <c r="F924" s="209"/>
      <c r="G924" s="209"/>
      <c r="H924" s="210" t="s">
        <v>5836</v>
      </c>
      <c r="I924" s="210"/>
      <c r="J924" s="211"/>
      <c r="K924" s="210"/>
      <c r="L924" s="212" t="s">
        <v>2999</v>
      </c>
      <c r="M924" s="212" t="s">
        <v>2999</v>
      </c>
      <c r="N924" s="213"/>
      <c r="O924" s="263">
        <v>4590007942</v>
      </c>
      <c r="P924" s="214">
        <v>44867</v>
      </c>
      <c r="Q924" s="334">
        <v>5</v>
      </c>
      <c r="R924" s="216">
        <v>44669</v>
      </c>
      <c r="S924" s="217" t="s">
        <v>2156</v>
      </c>
      <c r="T924" s="209" t="s">
        <v>3713</v>
      </c>
      <c r="U924" s="209" t="s">
        <v>3714</v>
      </c>
      <c r="V924" s="213" t="s">
        <v>3715</v>
      </c>
      <c r="W924" s="218" t="s">
        <v>3652</v>
      </c>
      <c r="X924" s="218" t="s">
        <v>3652</v>
      </c>
      <c r="Y924" s="212">
        <v>0</v>
      </c>
      <c r="Z924" s="209" t="s">
        <v>3716</v>
      </c>
      <c r="AA924" s="215"/>
      <c r="AB924" s="218"/>
      <c r="AC924" s="217" t="e">
        <v>#N/A</v>
      </c>
      <c r="AD924" s="217">
        <v>91395</v>
      </c>
      <c r="AE924" s="217" t="s">
        <v>5362</v>
      </c>
      <c r="AF924" s="217" t="s">
        <v>3828</v>
      </c>
      <c r="AG924" s="217" t="s">
        <v>3719</v>
      </c>
      <c r="AH924" s="220" t="str">
        <f t="shared" si="59"/>
        <v>4590007942_005</v>
      </c>
      <c r="AI924" s="208"/>
      <c r="AJ924" s="220"/>
      <c r="AK924" s="221"/>
      <c r="AL924" s="227"/>
      <c r="AM924" s="208"/>
      <c r="AN924" s="220"/>
      <c r="AO924" s="222"/>
      <c r="AP924" s="227"/>
      <c r="AQ924" s="358">
        <f ca="1">IF(表格1[[#This Row],[PO$]]="","100%",表格1[[#This Row],[total amount]]/表格1[[#This Row],[PO$]])</f>
        <v>0</v>
      </c>
      <c r="AR924" s="223">
        <f ca="1">表格1[[#This Row],[invoice amount]]+表格1[[#This Row],[invoice amount2]]</f>
        <v>0</v>
      </c>
      <c r="AS924" s="224"/>
      <c r="AT924" s="208"/>
      <c r="AU924" s="208" t="e">
        <f ca="1">VLOOKUP(表格1[[#This Row],[PO+ITEM]],#REF!,2,FALSE)</f>
        <v>#REF!</v>
      </c>
      <c r="AV924" s="341" t="e">
        <f ca="1">VLOOKUP(表格1[[#This Row],[PO+ITEM]],#REF!,3,FALSE)</f>
        <v>#REF!</v>
      </c>
      <c r="AW924" s="208" t="e">
        <f ca="1">VLOOKUP(表格1[[#This Row],[PO+ITEM]],#REF!,4,FALSE)</f>
        <v>#REF!</v>
      </c>
      <c r="AX924" s="208" t="e" cm="1" vm="1">
        <f t="array" aca="1" ref="AX924" ca="1">VLOOKUP(AI:AI,#REF!,1,FALSE)</f>
        <v>#VALUE!</v>
      </c>
    </row>
    <row r="925" spans="1:50">
      <c r="A925" s="220">
        <v>919</v>
      </c>
      <c r="B925" s="220" t="s">
        <v>3659</v>
      </c>
      <c r="C925" s="209" t="s">
        <v>17</v>
      </c>
      <c r="D925" s="209" t="s">
        <v>3648</v>
      </c>
      <c r="E925" s="209"/>
      <c r="F925" s="209"/>
      <c r="G925" s="209"/>
      <c r="H925" s="210" t="s">
        <v>5837</v>
      </c>
      <c r="I925" s="210"/>
      <c r="J925" s="211"/>
      <c r="K925" s="210"/>
      <c r="L925" s="212" t="s">
        <v>2999</v>
      </c>
      <c r="M925" s="212" t="s">
        <v>2999</v>
      </c>
      <c r="N925" s="213"/>
      <c r="O925" s="263">
        <v>4590007942</v>
      </c>
      <c r="P925" s="214">
        <v>44867</v>
      </c>
      <c r="Q925" s="334">
        <v>6</v>
      </c>
      <c r="R925" s="216">
        <v>44669</v>
      </c>
      <c r="S925" s="217" t="s">
        <v>2156</v>
      </c>
      <c r="T925" s="209" t="s">
        <v>3713</v>
      </c>
      <c r="U925" s="209" t="s">
        <v>3714</v>
      </c>
      <c r="V925" s="213" t="s">
        <v>3715</v>
      </c>
      <c r="W925" s="218" t="s">
        <v>3652</v>
      </c>
      <c r="X925" s="218" t="s">
        <v>3652</v>
      </c>
      <c r="Y925" s="212">
        <v>0</v>
      </c>
      <c r="Z925" s="209" t="s">
        <v>3716</v>
      </c>
      <c r="AA925" s="215"/>
      <c r="AB925" s="218"/>
      <c r="AC925" s="217" t="e">
        <v>#N/A</v>
      </c>
      <c r="AD925" s="217">
        <v>91012</v>
      </c>
      <c r="AE925" s="217" t="s">
        <v>5360</v>
      </c>
      <c r="AF925" s="217" t="s">
        <v>3828</v>
      </c>
      <c r="AG925" s="217" t="s">
        <v>3719</v>
      </c>
      <c r="AH925" s="220" t="str">
        <f t="shared" si="59"/>
        <v>4590007942_006</v>
      </c>
      <c r="AI925" s="208"/>
      <c r="AJ925" s="220"/>
      <c r="AK925" s="221"/>
      <c r="AL925" s="227"/>
      <c r="AM925" s="208"/>
      <c r="AN925" s="220"/>
      <c r="AO925" s="222"/>
      <c r="AP925" s="227"/>
      <c r="AQ925" s="358">
        <f ca="1">IF(表格1[[#This Row],[PO$]]="","100%",表格1[[#This Row],[total amount]]/表格1[[#This Row],[PO$]])</f>
        <v>0</v>
      </c>
      <c r="AR925" s="223">
        <f ca="1">表格1[[#This Row],[invoice amount]]+表格1[[#This Row],[invoice amount2]]</f>
        <v>0</v>
      </c>
      <c r="AS925" s="224"/>
      <c r="AT925" s="208"/>
      <c r="AU925" s="208" t="e">
        <f ca="1">VLOOKUP(表格1[[#This Row],[PO+ITEM]],#REF!,2,FALSE)</f>
        <v>#REF!</v>
      </c>
      <c r="AV925" s="341" t="e">
        <f ca="1">VLOOKUP(表格1[[#This Row],[PO+ITEM]],#REF!,3,FALSE)</f>
        <v>#REF!</v>
      </c>
      <c r="AW925" s="208" t="e">
        <f ca="1">VLOOKUP(表格1[[#This Row],[PO+ITEM]],#REF!,4,FALSE)</f>
        <v>#REF!</v>
      </c>
      <c r="AX925" s="208" t="e" cm="1" vm="1">
        <f t="array" aca="1" ref="AX925" ca="1">VLOOKUP(AI:AI,#REF!,1,FALSE)</f>
        <v>#VALUE!</v>
      </c>
    </row>
    <row r="926" spans="1:50">
      <c r="A926" s="220">
        <v>920</v>
      </c>
      <c r="B926" s="220" t="s">
        <v>3659</v>
      </c>
      <c r="C926" s="209" t="s">
        <v>17</v>
      </c>
      <c r="D926" s="209" t="s">
        <v>3648</v>
      </c>
      <c r="E926" s="209"/>
      <c r="F926" s="209"/>
      <c r="G926" s="209"/>
      <c r="H926" s="210" t="s">
        <v>5838</v>
      </c>
      <c r="I926" s="210"/>
      <c r="J926" s="211"/>
      <c r="K926" s="210"/>
      <c r="L926" s="212" t="s">
        <v>2999</v>
      </c>
      <c r="M926" s="212" t="s">
        <v>2999</v>
      </c>
      <c r="N926" s="213"/>
      <c r="O926" s="263">
        <v>4590007942</v>
      </c>
      <c r="P926" s="214">
        <v>44867</v>
      </c>
      <c r="Q926" s="334">
        <v>7</v>
      </c>
      <c r="R926" s="216">
        <v>44669</v>
      </c>
      <c r="S926" s="217" t="s">
        <v>2156</v>
      </c>
      <c r="T926" s="209" t="s">
        <v>3713</v>
      </c>
      <c r="U926" s="209" t="s">
        <v>3714</v>
      </c>
      <c r="V926" s="213" t="s">
        <v>3715</v>
      </c>
      <c r="W926" s="218" t="s">
        <v>3652</v>
      </c>
      <c r="X926" s="218" t="s">
        <v>3652</v>
      </c>
      <c r="Y926" s="212">
        <v>0</v>
      </c>
      <c r="Z926" s="209" t="s">
        <v>3716</v>
      </c>
      <c r="AA926" s="215"/>
      <c r="AB926" s="218"/>
      <c r="AC926" s="217" t="e">
        <v>#N/A</v>
      </c>
      <c r="AD926" s="217">
        <v>91093</v>
      </c>
      <c r="AE926" s="217" t="s">
        <v>5839</v>
      </c>
      <c r="AF926" s="217" t="s">
        <v>3828</v>
      </c>
      <c r="AG926" s="217" t="s">
        <v>3719</v>
      </c>
      <c r="AH926" s="220" t="str">
        <f t="shared" si="59"/>
        <v>4590007942_007</v>
      </c>
      <c r="AI926" s="208"/>
      <c r="AJ926" s="220"/>
      <c r="AK926" s="221"/>
      <c r="AL926" s="227"/>
      <c r="AM926" s="208"/>
      <c r="AN926" s="220"/>
      <c r="AO926" s="222"/>
      <c r="AP926" s="227"/>
      <c r="AQ926" s="358">
        <f ca="1">IF(表格1[[#This Row],[PO$]]="","100%",表格1[[#This Row],[total amount]]/表格1[[#This Row],[PO$]])</f>
        <v>0</v>
      </c>
      <c r="AR926" s="223">
        <f ca="1">表格1[[#This Row],[invoice amount]]+表格1[[#This Row],[invoice amount2]]</f>
        <v>0</v>
      </c>
      <c r="AS926" s="224"/>
      <c r="AT926" s="208"/>
      <c r="AU926" s="208" t="e">
        <f ca="1">VLOOKUP(表格1[[#This Row],[PO+ITEM]],#REF!,2,FALSE)</f>
        <v>#REF!</v>
      </c>
      <c r="AV926" s="341" t="e">
        <f ca="1">VLOOKUP(表格1[[#This Row],[PO+ITEM]],#REF!,3,FALSE)</f>
        <v>#REF!</v>
      </c>
      <c r="AW926" s="208" t="e">
        <f ca="1">VLOOKUP(表格1[[#This Row],[PO+ITEM]],#REF!,4,FALSE)</f>
        <v>#REF!</v>
      </c>
      <c r="AX926" s="208" t="e" cm="1" vm="1">
        <f t="array" aca="1" ref="AX926" ca="1">VLOOKUP(AI:AI,#REF!,1,FALSE)</f>
        <v>#VALUE!</v>
      </c>
    </row>
    <row r="927" spans="1:50">
      <c r="A927" s="220">
        <v>921</v>
      </c>
      <c r="B927" s="220" t="s">
        <v>3674</v>
      </c>
      <c r="C927" s="209" t="s">
        <v>17</v>
      </c>
      <c r="D927" s="209" t="s">
        <v>3648</v>
      </c>
      <c r="E927" s="209"/>
      <c r="F927" s="209"/>
      <c r="G927" s="209"/>
      <c r="H927" s="210" t="s">
        <v>5840</v>
      </c>
      <c r="I927" s="210"/>
      <c r="J927" s="211"/>
      <c r="K927" s="210"/>
      <c r="L927" s="212" t="s">
        <v>2999</v>
      </c>
      <c r="M927" s="212" t="s">
        <v>2206</v>
      </c>
      <c r="N927" s="213"/>
      <c r="O927" s="263">
        <v>4590008015</v>
      </c>
      <c r="P927" s="214">
        <v>44868</v>
      </c>
      <c r="Q927" s="334">
        <v>1</v>
      </c>
      <c r="R927" s="216">
        <v>31318.99</v>
      </c>
      <c r="S927" s="217" t="s">
        <v>2156</v>
      </c>
      <c r="T927" s="209" t="s">
        <v>3913</v>
      </c>
      <c r="U927" s="209" t="s">
        <v>3914</v>
      </c>
      <c r="V927" s="213" t="s">
        <v>3915</v>
      </c>
      <c r="W927" s="218" t="s">
        <v>3652</v>
      </c>
      <c r="X927" s="218" t="s">
        <v>3652</v>
      </c>
      <c r="Y927" s="212" t="s">
        <v>5841</v>
      </c>
      <c r="Z927" s="209" t="s">
        <v>5842</v>
      </c>
      <c r="AA927" s="215"/>
      <c r="AB927" s="218"/>
      <c r="AC927" s="217" t="e">
        <v>#N/A</v>
      </c>
      <c r="AD927" s="217">
        <v>90759</v>
      </c>
      <c r="AE927" s="217" t="s">
        <v>5843</v>
      </c>
      <c r="AF927" s="217" t="s">
        <v>3681</v>
      </c>
      <c r="AG927" s="217" t="s">
        <v>3919</v>
      </c>
      <c r="AH927" s="220" t="str">
        <f t="shared" si="59"/>
        <v>4590008015_001</v>
      </c>
      <c r="AI927" s="208" t="s">
        <v>5844</v>
      </c>
      <c r="AJ927" s="227">
        <v>45380</v>
      </c>
      <c r="AK927" s="222">
        <v>31318.99</v>
      </c>
      <c r="AL927" s="227">
        <v>45503</v>
      </c>
      <c r="AM927" s="208"/>
      <c r="AN927" s="220"/>
      <c r="AO927" s="222"/>
      <c r="AP927" s="227"/>
      <c r="AQ927" s="358">
        <f ca="1">IF(表格1[[#This Row],[PO$]]="","100%",表格1[[#This Row],[total amount]]/表格1[[#This Row],[PO$]])</f>
        <v>1</v>
      </c>
      <c r="AR927" s="223">
        <f ca="1">表格1[[#This Row],[invoice amount]]+表格1[[#This Row],[invoice amount2]]</f>
        <v>31318.99</v>
      </c>
      <c r="AS927" s="224" t="s">
        <v>3725</v>
      </c>
      <c r="AT927" s="208"/>
      <c r="AU927" s="208" t="e">
        <f ca="1">VLOOKUP(表格1[[#This Row],[PO+ITEM]],#REF!,2,FALSE)</f>
        <v>#REF!</v>
      </c>
      <c r="AV927" s="341" t="e">
        <f ca="1">VLOOKUP(表格1[[#This Row],[PO+ITEM]],#REF!,3,FALSE)</f>
        <v>#REF!</v>
      </c>
      <c r="AW927" s="208" t="e">
        <f ca="1">VLOOKUP(表格1[[#This Row],[PO+ITEM]],#REF!,4,FALSE)</f>
        <v>#REF!</v>
      </c>
      <c r="AX927" s="208" t="e" cm="1" vm="1">
        <f t="array" aca="1" ref="AX927" ca="1">VLOOKUP(AI:AI,#REF!,1,FALSE)</f>
        <v>#VALUE!</v>
      </c>
    </row>
    <row r="928" spans="1:50">
      <c r="A928" s="220">
        <v>922</v>
      </c>
      <c r="B928" s="220" t="s">
        <v>3659</v>
      </c>
      <c r="C928" s="209" t="s">
        <v>17</v>
      </c>
      <c r="D928" s="209" t="s">
        <v>3648</v>
      </c>
      <c r="E928" s="209"/>
      <c r="F928" s="209"/>
      <c r="G928" s="209"/>
      <c r="H928" s="217" t="s">
        <v>5845</v>
      </c>
      <c r="I928" s="217"/>
      <c r="J928" s="215"/>
      <c r="K928" s="217"/>
      <c r="L928" s="212" t="s">
        <v>2999</v>
      </c>
      <c r="M928" s="212" t="s">
        <v>2206</v>
      </c>
      <c r="N928" s="213"/>
      <c r="O928" s="263">
        <v>4590008015</v>
      </c>
      <c r="P928" s="214">
        <v>44868</v>
      </c>
      <c r="Q928" s="334">
        <v>2</v>
      </c>
      <c r="R928" s="216">
        <v>31318.99</v>
      </c>
      <c r="S928" s="217" t="s">
        <v>2156</v>
      </c>
      <c r="T928" s="209" t="s">
        <v>3913</v>
      </c>
      <c r="U928" s="209" t="s">
        <v>3914</v>
      </c>
      <c r="V928" s="213" t="s">
        <v>3915</v>
      </c>
      <c r="W928" s="218" t="s">
        <v>3652</v>
      </c>
      <c r="X928" s="218" t="s">
        <v>3652</v>
      </c>
      <c r="Y928" s="212" t="s">
        <v>5841</v>
      </c>
      <c r="Z928" s="209" t="s">
        <v>5842</v>
      </c>
      <c r="AA928" s="215"/>
      <c r="AB928" s="218"/>
      <c r="AC928" s="217" t="e">
        <v>#N/A</v>
      </c>
      <c r="AD928" s="217">
        <v>91295</v>
      </c>
      <c r="AE928" s="217" t="s">
        <v>5846</v>
      </c>
      <c r="AF928" s="217" t="s">
        <v>3681</v>
      </c>
      <c r="AG928" s="217" t="s">
        <v>3919</v>
      </c>
      <c r="AH928" s="220" t="str">
        <f t="shared" si="59"/>
        <v>4590008015_002</v>
      </c>
      <c r="AI928" s="208"/>
      <c r="AJ928" s="220"/>
      <c r="AK928" s="221"/>
      <c r="AL928" s="227"/>
      <c r="AM928" s="208"/>
      <c r="AN928" s="220"/>
      <c r="AO928" s="222"/>
      <c r="AP928" s="227"/>
      <c r="AQ928" s="358">
        <f ca="1">IF(表格1[[#This Row],[PO$]]="","100%",表格1[[#This Row],[total amount]]/表格1[[#This Row],[PO$]])</f>
        <v>0</v>
      </c>
      <c r="AR928" s="223">
        <f ca="1">表格1[[#This Row],[invoice amount]]+表格1[[#This Row],[invoice amount2]]</f>
        <v>0</v>
      </c>
      <c r="AS928" s="224"/>
      <c r="AT928" s="208"/>
      <c r="AU928" s="208" t="e">
        <f ca="1">VLOOKUP(表格1[[#This Row],[PO+ITEM]],#REF!,2,FALSE)</f>
        <v>#REF!</v>
      </c>
      <c r="AV928" s="341" t="e">
        <f ca="1">VLOOKUP(表格1[[#This Row],[PO+ITEM]],#REF!,3,FALSE)</f>
        <v>#REF!</v>
      </c>
      <c r="AW928" s="208" t="e">
        <f ca="1">VLOOKUP(表格1[[#This Row],[PO+ITEM]],#REF!,4,FALSE)</f>
        <v>#REF!</v>
      </c>
      <c r="AX928" s="208" t="e" cm="1" vm="1">
        <f t="array" aca="1" ref="AX928" ca="1">VLOOKUP(AI:AI,#REF!,1,FALSE)</f>
        <v>#VALUE!</v>
      </c>
    </row>
    <row r="929" spans="1:50">
      <c r="A929" s="220">
        <v>923</v>
      </c>
      <c r="B929" s="220" t="s">
        <v>3659</v>
      </c>
      <c r="C929" s="209" t="s">
        <v>16</v>
      </c>
      <c r="D929" s="209" t="s">
        <v>3648</v>
      </c>
      <c r="E929" s="209"/>
      <c r="F929" s="209"/>
      <c r="G929" s="209"/>
      <c r="H929" s="210" t="s">
        <v>5847</v>
      </c>
      <c r="I929" s="210"/>
      <c r="J929" s="211"/>
      <c r="K929" s="210"/>
      <c r="L929" s="212" t="s">
        <v>2999</v>
      </c>
      <c r="M929" s="212" t="s">
        <v>2999</v>
      </c>
      <c r="N929" s="210"/>
      <c r="O929" s="263">
        <v>4590009024</v>
      </c>
      <c r="P929" s="214">
        <v>44944</v>
      </c>
      <c r="Q929" s="334">
        <v>1</v>
      </c>
      <c r="R929" s="216">
        <v>3780.29</v>
      </c>
      <c r="S929" s="274" t="s">
        <v>2156</v>
      </c>
      <c r="T929" s="209" t="s">
        <v>3661</v>
      </c>
      <c r="U929" s="209" t="s">
        <v>3662</v>
      </c>
      <c r="V929" s="213" t="s">
        <v>3663</v>
      </c>
      <c r="W929" s="218" t="s">
        <v>3652</v>
      </c>
      <c r="X929" s="218" t="s">
        <v>3652</v>
      </c>
      <c r="Y929" s="212">
        <v>0</v>
      </c>
      <c r="Z929" s="209" t="s">
        <v>3664</v>
      </c>
      <c r="AA929" s="215"/>
      <c r="AB929" s="218"/>
      <c r="AC929" s="217" t="e">
        <v>#N/A</v>
      </c>
      <c r="AD929" s="217">
        <v>91439</v>
      </c>
      <c r="AE929" s="217" t="s">
        <v>5848</v>
      </c>
      <c r="AF929" s="217" t="s">
        <v>3828</v>
      </c>
      <c r="AG929" s="217" t="s">
        <v>4444</v>
      </c>
      <c r="AH929" s="220" t="str">
        <f t="shared" si="59"/>
        <v>4590009024_001</v>
      </c>
      <c r="AI929" s="208"/>
      <c r="AJ929" s="220"/>
      <c r="AK929" s="221"/>
      <c r="AL929" s="227"/>
      <c r="AM929" s="208"/>
      <c r="AN929" s="220"/>
      <c r="AO929" s="222"/>
      <c r="AP929" s="227"/>
      <c r="AQ929" s="358">
        <f ca="1">IF(表格1[[#This Row],[PO$]]="","100%",表格1[[#This Row],[total amount]]/表格1[[#This Row],[PO$]])</f>
        <v>0</v>
      </c>
      <c r="AR929" s="223">
        <f ca="1">表格1[[#This Row],[invoice amount]]+表格1[[#This Row],[invoice amount2]]</f>
        <v>0</v>
      </c>
      <c r="AS929" s="224"/>
      <c r="AT929" s="208"/>
      <c r="AU929" s="208" t="e">
        <f ca="1">VLOOKUP(表格1[[#This Row],[PO+ITEM]],#REF!,2,FALSE)</f>
        <v>#REF!</v>
      </c>
      <c r="AV929" s="341" t="e">
        <f ca="1">VLOOKUP(表格1[[#This Row],[PO+ITEM]],#REF!,3,FALSE)</f>
        <v>#REF!</v>
      </c>
      <c r="AW929" s="208" t="e">
        <f ca="1">VLOOKUP(表格1[[#This Row],[PO+ITEM]],#REF!,4,FALSE)</f>
        <v>#REF!</v>
      </c>
      <c r="AX929" s="208" t="e" cm="1" vm="1">
        <f t="array" aca="1" ref="AX929" ca="1">VLOOKUP(AI:AI,#REF!,1,FALSE)</f>
        <v>#VALUE!</v>
      </c>
    </row>
    <row r="930" spans="1:50">
      <c r="A930" s="220">
        <v>924</v>
      </c>
      <c r="B930" s="220" t="s">
        <v>3659</v>
      </c>
      <c r="C930" s="209" t="s">
        <v>16</v>
      </c>
      <c r="D930" s="209" t="s">
        <v>3648</v>
      </c>
      <c r="E930" s="209"/>
      <c r="F930" s="209"/>
      <c r="G930" s="209"/>
      <c r="H930" s="217" t="s">
        <v>5849</v>
      </c>
      <c r="I930" s="217"/>
      <c r="J930" s="215"/>
      <c r="K930" s="217"/>
      <c r="L930" s="212" t="s">
        <v>2999</v>
      </c>
      <c r="M930" s="212" t="s">
        <v>2999</v>
      </c>
      <c r="N930" s="210"/>
      <c r="O930" s="263">
        <v>4590009024</v>
      </c>
      <c r="P930" s="214">
        <v>44944</v>
      </c>
      <c r="Q930" s="334">
        <v>2</v>
      </c>
      <c r="R930" s="216">
        <v>3780.29</v>
      </c>
      <c r="S930" s="274" t="s">
        <v>2156</v>
      </c>
      <c r="T930" s="209" t="s">
        <v>3661</v>
      </c>
      <c r="U930" s="209" t="s">
        <v>3662</v>
      </c>
      <c r="V930" s="213" t="s">
        <v>3663</v>
      </c>
      <c r="W930" s="218" t="s">
        <v>3652</v>
      </c>
      <c r="X930" s="218" t="s">
        <v>3652</v>
      </c>
      <c r="Y930" s="212">
        <v>0</v>
      </c>
      <c r="Z930" s="209" t="s">
        <v>3664</v>
      </c>
      <c r="AA930" s="215"/>
      <c r="AB930" s="218"/>
      <c r="AC930" s="217" t="e">
        <v>#N/A</v>
      </c>
      <c r="AD930" s="217">
        <v>91440</v>
      </c>
      <c r="AE930" s="217" t="s">
        <v>5850</v>
      </c>
      <c r="AF930" s="217" t="s">
        <v>3828</v>
      </c>
      <c r="AG930" s="217" t="s">
        <v>4444</v>
      </c>
      <c r="AH930" s="220" t="str">
        <f t="shared" si="59"/>
        <v>4590009024_002</v>
      </c>
      <c r="AI930" s="208"/>
      <c r="AJ930" s="220"/>
      <c r="AK930" s="221"/>
      <c r="AL930" s="227"/>
      <c r="AM930" s="208"/>
      <c r="AN930" s="220"/>
      <c r="AO930" s="222"/>
      <c r="AP930" s="227"/>
      <c r="AQ930" s="358">
        <f ca="1">IF(表格1[[#This Row],[PO$]]="","100%",表格1[[#This Row],[total amount]]/表格1[[#This Row],[PO$]])</f>
        <v>0</v>
      </c>
      <c r="AR930" s="223">
        <f ca="1">表格1[[#This Row],[invoice amount]]+表格1[[#This Row],[invoice amount2]]</f>
        <v>0</v>
      </c>
      <c r="AS930" s="224"/>
      <c r="AT930" s="208"/>
      <c r="AU930" s="208" t="e">
        <f ca="1">VLOOKUP(表格1[[#This Row],[PO+ITEM]],#REF!,2,FALSE)</f>
        <v>#REF!</v>
      </c>
      <c r="AV930" s="341" t="e">
        <f ca="1">VLOOKUP(表格1[[#This Row],[PO+ITEM]],#REF!,3,FALSE)</f>
        <v>#REF!</v>
      </c>
      <c r="AW930" s="208" t="e">
        <f ca="1">VLOOKUP(表格1[[#This Row],[PO+ITEM]],#REF!,4,FALSE)</f>
        <v>#REF!</v>
      </c>
      <c r="AX930" s="208" t="e" cm="1" vm="1">
        <f t="array" aca="1" ref="AX930" ca="1">VLOOKUP(AI:AI,#REF!,1,FALSE)</f>
        <v>#VALUE!</v>
      </c>
    </row>
    <row r="931" spans="1:50">
      <c r="A931" s="220">
        <v>925</v>
      </c>
      <c r="B931" s="220" t="s">
        <v>3659</v>
      </c>
      <c r="C931" s="209" t="s">
        <v>16</v>
      </c>
      <c r="D931" s="209" t="s">
        <v>3648</v>
      </c>
      <c r="E931" s="209"/>
      <c r="F931" s="209"/>
      <c r="G931" s="209"/>
      <c r="H931" s="210" t="s">
        <v>5851</v>
      </c>
      <c r="I931" s="210"/>
      <c r="J931" s="211"/>
      <c r="K931" s="210"/>
      <c r="L931" s="212" t="s">
        <v>2999</v>
      </c>
      <c r="M931" s="212" t="s">
        <v>2999</v>
      </c>
      <c r="N931" s="210"/>
      <c r="O931" s="263">
        <v>4590009024</v>
      </c>
      <c r="P931" s="214">
        <v>44944</v>
      </c>
      <c r="Q931" s="334">
        <v>3</v>
      </c>
      <c r="R931" s="216">
        <v>3780.29</v>
      </c>
      <c r="S931" s="274" t="s">
        <v>2156</v>
      </c>
      <c r="T931" s="209" t="s">
        <v>3661</v>
      </c>
      <c r="U931" s="209" t="s">
        <v>3662</v>
      </c>
      <c r="V931" s="213" t="s">
        <v>3663</v>
      </c>
      <c r="W931" s="218" t="s">
        <v>3652</v>
      </c>
      <c r="X931" s="218" t="s">
        <v>3652</v>
      </c>
      <c r="Y931" s="212">
        <v>0</v>
      </c>
      <c r="Z931" s="209" t="s">
        <v>3664</v>
      </c>
      <c r="AA931" s="215"/>
      <c r="AB931" s="218"/>
      <c r="AC931" s="217" t="e">
        <v>#N/A</v>
      </c>
      <c r="AD931" s="217">
        <v>91441</v>
      </c>
      <c r="AE931" s="217" t="s">
        <v>5852</v>
      </c>
      <c r="AF931" s="217" t="s">
        <v>3828</v>
      </c>
      <c r="AG931" s="217" t="s">
        <v>4444</v>
      </c>
      <c r="AH931" s="220" t="str">
        <f t="shared" si="59"/>
        <v>4590009024_003</v>
      </c>
      <c r="AI931" s="208"/>
      <c r="AJ931" s="220"/>
      <c r="AK931" s="221"/>
      <c r="AL931" s="227"/>
      <c r="AM931" s="208"/>
      <c r="AN931" s="220"/>
      <c r="AO931" s="222"/>
      <c r="AP931" s="227"/>
      <c r="AQ931" s="358">
        <f ca="1">IF(表格1[[#This Row],[PO$]]="","100%",表格1[[#This Row],[total amount]]/表格1[[#This Row],[PO$]])</f>
        <v>0</v>
      </c>
      <c r="AR931" s="223">
        <f ca="1">表格1[[#This Row],[invoice amount]]+表格1[[#This Row],[invoice amount2]]</f>
        <v>0</v>
      </c>
      <c r="AS931" s="224"/>
      <c r="AT931" s="208"/>
      <c r="AU931" s="208" t="e">
        <f ca="1">VLOOKUP(表格1[[#This Row],[PO+ITEM]],#REF!,2,FALSE)</f>
        <v>#REF!</v>
      </c>
      <c r="AV931" s="341" t="e">
        <f ca="1">VLOOKUP(表格1[[#This Row],[PO+ITEM]],#REF!,3,FALSE)</f>
        <v>#REF!</v>
      </c>
      <c r="AW931" s="208" t="e">
        <f ca="1">VLOOKUP(表格1[[#This Row],[PO+ITEM]],#REF!,4,FALSE)</f>
        <v>#REF!</v>
      </c>
      <c r="AX931" s="208" t="e" cm="1" vm="1">
        <f t="array" aca="1" ref="AX931" ca="1">VLOOKUP(AI:AI,#REF!,1,FALSE)</f>
        <v>#VALUE!</v>
      </c>
    </row>
    <row r="932" spans="1:50">
      <c r="A932" s="220">
        <v>926</v>
      </c>
      <c r="B932" s="220" t="s">
        <v>3659</v>
      </c>
      <c r="C932" s="209" t="s">
        <v>16</v>
      </c>
      <c r="D932" s="209" t="s">
        <v>3648</v>
      </c>
      <c r="E932" s="209"/>
      <c r="F932" s="209"/>
      <c r="G932" s="209"/>
      <c r="H932" s="210" t="s">
        <v>5853</v>
      </c>
      <c r="I932" s="210"/>
      <c r="J932" s="211"/>
      <c r="K932" s="210"/>
      <c r="L932" s="212" t="s">
        <v>2999</v>
      </c>
      <c r="M932" s="212" t="s">
        <v>2999</v>
      </c>
      <c r="N932" s="210"/>
      <c r="O932" s="263">
        <v>4590009024</v>
      </c>
      <c r="P932" s="214">
        <v>44944</v>
      </c>
      <c r="Q932" s="334">
        <v>4</v>
      </c>
      <c r="R932" s="216">
        <v>1455.78</v>
      </c>
      <c r="S932" s="274" t="s">
        <v>2156</v>
      </c>
      <c r="T932" s="209" t="s">
        <v>3661</v>
      </c>
      <c r="U932" s="209" t="s">
        <v>3662</v>
      </c>
      <c r="V932" s="213" t="s">
        <v>3663</v>
      </c>
      <c r="W932" s="218" t="s">
        <v>3652</v>
      </c>
      <c r="X932" s="218" t="s">
        <v>3652</v>
      </c>
      <c r="Y932" s="212">
        <v>0</v>
      </c>
      <c r="Z932" s="209" t="s">
        <v>3664</v>
      </c>
      <c r="AA932" s="215"/>
      <c r="AB932" s="218"/>
      <c r="AC932" s="217" t="e">
        <v>#N/A</v>
      </c>
      <c r="AD932" s="217">
        <v>91428</v>
      </c>
      <c r="AE932" s="217" t="s">
        <v>3281</v>
      </c>
      <c r="AF932" s="217" t="s">
        <v>3828</v>
      </c>
      <c r="AG932" s="217" t="s">
        <v>3666</v>
      </c>
      <c r="AH932" s="220" t="str">
        <f t="shared" si="59"/>
        <v>4590009024_004</v>
      </c>
      <c r="AI932" s="208"/>
      <c r="AJ932" s="220"/>
      <c r="AK932" s="221"/>
      <c r="AL932" s="227"/>
      <c r="AM932" s="208"/>
      <c r="AN932" s="220"/>
      <c r="AO932" s="222"/>
      <c r="AP932" s="227"/>
      <c r="AQ932" s="358">
        <f ca="1">IF(表格1[[#This Row],[PO$]]="","100%",表格1[[#This Row],[total amount]]/表格1[[#This Row],[PO$]])</f>
        <v>0</v>
      </c>
      <c r="AR932" s="223">
        <f ca="1">表格1[[#This Row],[invoice amount]]+表格1[[#This Row],[invoice amount2]]</f>
        <v>0</v>
      </c>
      <c r="AS932" s="224"/>
      <c r="AT932" s="208"/>
      <c r="AU932" s="208" t="e">
        <f ca="1">VLOOKUP(表格1[[#This Row],[PO+ITEM]],#REF!,2,FALSE)</f>
        <v>#REF!</v>
      </c>
      <c r="AV932" s="341" t="e">
        <f ca="1">VLOOKUP(表格1[[#This Row],[PO+ITEM]],#REF!,3,FALSE)</f>
        <v>#REF!</v>
      </c>
      <c r="AW932" s="208" t="e">
        <f ca="1">VLOOKUP(表格1[[#This Row],[PO+ITEM]],#REF!,4,FALSE)</f>
        <v>#REF!</v>
      </c>
      <c r="AX932" s="208" t="e" cm="1" vm="1">
        <f t="array" aca="1" ref="AX932" ca="1">VLOOKUP(AI:AI,#REF!,1,FALSE)</f>
        <v>#VALUE!</v>
      </c>
    </row>
    <row r="933" spans="1:50">
      <c r="A933" s="220">
        <v>927</v>
      </c>
      <c r="B933" s="220" t="e">
        <v>#N/A</v>
      </c>
      <c r="C933" s="209" t="s">
        <v>16</v>
      </c>
      <c r="D933" s="209" t="s">
        <v>3648</v>
      </c>
      <c r="E933" s="209"/>
      <c r="F933" s="209"/>
      <c r="G933" s="209"/>
      <c r="H933" s="217" t="s">
        <v>5854</v>
      </c>
      <c r="I933" s="217"/>
      <c r="J933" s="215"/>
      <c r="K933" s="217"/>
      <c r="L933" s="212" t="s">
        <v>2999</v>
      </c>
      <c r="M933" s="212" t="s">
        <v>2999</v>
      </c>
      <c r="N933" s="210"/>
      <c r="O933" s="263">
        <v>4590009024</v>
      </c>
      <c r="P933" s="214">
        <v>44944</v>
      </c>
      <c r="Q933" s="334">
        <v>5</v>
      </c>
      <c r="R933" s="216">
        <v>1455.78</v>
      </c>
      <c r="S933" s="274" t="s">
        <v>2156</v>
      </c>
      <c r="T933" s="209" t="s">
        <v>3661</v>
      </c>
      <c r="U933" s="209" t="s">
        <v>3662</v>
      </c>
      <c r="V933" s="213" t="s">
        <v>3663</v>
      </c>
      <c r="W933" s="218" t="s">
        <v>3652</v>
      </c>
      <c r="X933" s="218" t="s">
        <v>3652</v>
      </c>
      <c r="Y933" s="212">
        <v>0</v>
      </c>
      <c r="Z933" s="209" t="s">
        <v>3664</v>
      </c>
      <c r="AA933" s="215"/>
      <c r="AB933" s="218"/>
      <c r="AC933" s="217" t="e">
        <v>#N/A</v>
      </c>
      <c r="AD933" s="217">
        <v>91425</v>
      </c>
      <c r="AE933" s="217" t="s">
        <v>3283</v>
      </c>
      <c r="AF933" s="217" t="s">
        <v>3828</v>
      </c>
      <c r="AG933" s="217" t="s">
        <v>3666</v>
      </c>
      <c r="AH933" s="220" t="str">
        <f t="shared" si="59"/>
        <v>4590009024_005</v>
      </c>
      <c r="AI933" s="208"/>
      <c r="AJ933" s="220"/>
      <c r="AK933" s="221"/>
      <c r="AL933" s="227"/>
      <c r="AM933" s="208"/>
      <c r="AN933" s="220"/>
      <c r="AO933" s="222"/>
      <c r="AP933" s="227"/>
      <c r="AQ933" s="358">
        <f ca="1">IF(表格1[[#This Row],[PO$]]="","100%",表格1[[#This Row],[total amount]]/表格1[[#This Row],[PO$]])</f>
        <v>0</v>
      </c>
      <c r="AR933" s="223">
        <f ca="1">表格1[[#This Row],[invoice amount]]+表格1[[#This Row],[invoice amount2]]</f>
        <v>0</v>
      </c>
      <c r="AS933" s="224"/>
      <c r="AT933" s="208"/>
      <c r="AU933" s="208" t="e">
        <f ca="1">VLOOKUP(表格1[[#This Row],[PO+ITEM]],#REF!,2,FALSE)</f>
        <v>#REF!</v>
      </c>
      <c r="AV933" s="341" t="e">
        <f ca="1">VLOOKUP(表格1[[#This Row],[PO+ITEM]],#REF!,3,FALSE)</f>
        <v>#REF!</v>
      </c>
      <c r="AW933" s="208" t="e">
        <f ca="1">VLOOKUP(表格1[[#This Row],[PO+ITEM]],#REF!,4,FALSE)</f>
        <v>#REF!</v>
      </c>
      <c r="AX933" s="208" t="e" cm="1" vm="1">
        <f t="array" aca="1" ref="AX933" ca="1">VLOOKUP(AI:AI,#REF!,1,FALSE)</f>
        <v>#VALUE!</v>
      </c>
    </row>
    <row r="934" spans="1:50">
      <c r="A934" s="220">
        <v>928</v>
      </c>
      <c r="B934" s="220" t="s">
        <v>3659</v>
      </c>
      <c r="C934" s="209" t="s">
        <v>16</v>
      </c>
      <c r="D934" s="209" t="s">
        <v>3648</v>
      </c>
      <c r="E934" s="209"/>
      <c r="F934" s="209"/>
      <c r="G934" s="209"/>
      <c r="H934" s="210" t="s">
        <v>5855</v>
      </c>
      <c r="I934" s="210"/>
      <c r="J934" s="211"/>
      <c r="K934" s="210"/>
      <c r="L934" s="212" t="s">
        <v>2999</v>
      </c>
      <c r="M934" s="212" t="s">
        <v>2999</v>
      </c>
      <c r="N934" s="210"/>
      <c r="O934" s="263">
        <v>4590009024</v>
      </c>
      <c r="P934" s="214">
        <v>44944</v>
      </c>
      <c r="Q934" s="334">
        <v>6</v>
      </c>
      <c r="R934" s="216">
        <v>1455.78</v>
      </c>
      <c r="S934" s="274" t="s">
        <v>2156</v>
      </c>
      <c r="T934" s="209" t="s">
        <v>3661</v>
      </c>
      <c r="U934" s="209" t="s">
        <v>3662</v>
      </c>
      <c r="V934" s="213" t="s">
        <v>3663</v>
      </c>
      <c r="W934" s="218" t="s">
        <v>3652</v>
      </c>
      <c r="X934" s="218" t="s">
        <v>3652</v>
      </c>
      <c r="Y934" s="212">
        <v>0</v>
      </c>
      <c r="Z934" s="209" t="s">
        <v>3664</v>
      </c>
      <c r="AA934" s="215"/>
      <c r="AB934" s="218"/>
      <c r="AC934" s="217" t="e">
        <v>#N/A</v>
      </c>
      <c r="AD934" s="217">
        <v>91427</v>
      </c>
      <c r="AE934" s="217" t="s">
        <v>5856</v>
      </c>
      <c r="AF934" s="217" t="s">
        <v>3828</v>
      </c>
      <c r="AG934" s="217" t="s">
        <v>3666</v>
      </c>
      <c r="AH934" s="220" t="str">
        <f t="shared" si="59"/>
        <v>4590009024_006</v>
      </c>
      <c r="AI934" s="208"/>
      <c r="AJ934" s="220"/>
      <c r="AK934" s="221"/>
      <c r="AL934" s="227"/>
      <c r="AM934" s="208"/>
      <c r="AN934" s="220"/>
      <c r="AO934" s="222"/>
      <c r="AP934" s="227"/>
      <c r="AQ934" s="358">
        <f ca="1">IF(表格1[[#This Row],[PO$]]="","100%",表格1[[#This Row],[total amount]]/表格1[[#This Row],[PO$]])</f>
        <v>0</v>
      </c>
      <c r="AR934" s="223">
        <f ca="1">表格1[[#This Row],[invoice amount]]+表格1[[#This Row],[invoice amount2]]</f>
        <v>0</v>
      </c>
      <c r="AS934" s="224"/>
      <c r="AT934" s="208"/>
      <c r="AU934" s="208" t="e">
        <f ca="1">VLOOKUP(表格1[[#This Row],[PO+ITEM]],#REF!,2,FALSE)</f>
        <v>#REF!</v>
      </c>
      <c r="AV934" s="341" t="e">
        <f ca="1">VLOOKUP(表格1[[#This Row],[PO+ITEM]],#REF!,3,FALSE)</f>
        <v>#REF!</v>
      </c>
      <c r="AW934" s="208" t="e">
        <f ca="1">VLOOKUP(表格1[[#This Row],[PO+ITEM]],#REF!,4,FALSE)</f>
        <v>#REF!</v>
      </c>
      <c r="AX934" s="208" t="e" cm="1" vm="1">
        <f t="array" aca="1" ref="AX934" ca="1">VLOOKUP(AI:AI,#REF!,1,FALSE)</f>
        <v>#VALUE!</v>
      </c>
    </row>
    <row r="935" spans="1:50">
      <c r="A935" s="220">
        <v>929</v>
      </c>
      <c r="B935" s="220" t="s">
        <v>3674</v>
      </c>
      <c r="C935" s="209" t="s">
        <v>16</v>
      </c>
      <c r="D935" s="209" t="s">
        <v>3648</v>
      </c>
      <c r="E935" s="209"/>
      <c r="F935" s="209"/>
      <c r="G935" s="209"/>
      <c r="H935" s="217" t="s">
        <v>5857</v>
      </c>
      <c r="I935" s="217"/>
      <c r="J935" s="215"/>
      <c r="K935" s="217"/>
      <c r="L935" s="212" t="s">
        <v>4088</v>
      </c>
      <c r="M935" s="212"/>
      <c r="N935" s="210"/>
      <c r="O935" s="263">
        <v>4590009139</v>
      </c>
      <c r="P935" s="214">
        <v>44958</v>
      </c>
      <c r="Q935" s="334">
        <v>1</v>
      </c>
      <c r="R935" s="216">
        <v>55351</v>
      </c>
      <c r="S935" s="217" t="s">
        <v>2156</v>
      </c>
      <c r="T935" s="209" t="s">
        <v>5858</v>
      </c>
      <c r="U935" s="209" t="s">
        <v>3662</v>
      </c>
      <c r="V935" s="213"/>
      <c r="W935" s="218" t="s">
        <v>3652</v>
      </c>
      <c r="X935" s="218" t="s">
        <v>3652</v>
      </c>
      <c r="Y935" s="212">
        <v>0</v>
      </c>
      <c r="Z935" s="209" t="s">
        <v>5859</v>
      </c>
      <c r="AA935" s="215"/>
      <c r="AB935" s="218"/>
      <c r="AC935" s="217" t="e">
        <v>#N/A</v>
      </c>
      <c r="AD935" s="217">
        <v>90393</v>
      </c>
      <c r="AE935" s="217" t="s">
        <v>2568</v>
      </c>
      <c r="AF935" s="217" t="s">
        <v>3711</v>
      </c>
      <c r="AG935" s="217" t="s">
        <v>846</v>
      </c>
      <c r="AH935" s="220" t="str">
        <f t="shared" si="59"/>
        <v>4590009139_001</v>
      </c>
      <c r="AI935" s="208"/>
      <c r="AJ935" s="220"/>
      <c r="AK935" s="221"/>
      <c r="AL935" s="227"/>
      <c r="AM935" s="208"/>
      <c r="AN935" s="220"/>
      <c r="AO935" s="222"/>
      <c r="AP935" s="227"/>
      <c r="AQ935" s="358">
        <f ca="1">IF(表格1[[#This Row],[PO$]]="","100%",表格1[[#This Row],[total amount]]/表格1[[#This Row],[PO$]])</f>
        <v>0</v>
      </c>
      <c r="AR935" s="223">
        <f ca="1">表格1[[#This Row],[invoice amount]]+表格1[[#This Row],[invoice amount2]]</f>
        <v>0</v>
      </c>
      <c r="AS935" s="224"/>
      <c r="AT935" s="208"/>
      <c r="AU935" s="208" t="e">
        <f ca="1">VLOOKUP(表格1[[#This Row],[PO+ITEM]],#REF!,2,FALSE)</f>
        <v>#REF!</v>
      </c>
      <c r="AV935" s="341" t="e">
        <f ca="1">VLOOKUP(表格1[[#This Row],[PO+ITEM]],#REF!,3,FALSE)</f>
        <v>#REF!</v>
      </c>
      <c r="AW935" s="208" t="e">
        <f ca="1">VLOOKUP(表格1[[#This Row],[PO+ITEM]],#REF!,4,FALSE)</f>
        <v>#REF!</v>
      </c>
      <c r="AX935" s="208" t="e" cm="1" vm="1">
        <f t="array" aca="1" ref="AX935" ca="1">VLOOKUP(AI:AI,#REF!,1,FALSE)</f>
        <v>#VALUE!</v>
      </c>
    </row>
    <row r="936" spans="1:50">
      <c r="A936" s="220">
        <v>930</v>
      </c>
      <c r="B936" s="220" t="s">
        <v>3674</v>
      </c>
      <c r="C936" s="209" t="s">
        <v>16</v>
      </c>
      <c r="D936" s="209" t="s">
        <v>3648</v>
      </c>
      <c r="E936" s="209"/>
      <c r="F936" s="209"/>
      <c r="G936" s="209"/>
      <c r="H936" s="217" t="s">
        <v>5860</v>
      </c>
      <c r="I936" s="217"/>
      <c r="J936" s="215"/>
      <c r="K936" s="217"/>
      <c r="L936" s="212" t="s">
        <v>4088</v>
      </c>
      <c r="M936" s="212"/>
      <c r="N936" s="210"/>
      <c r="O936" s="263">
        <v>4590009139</v>
      </c>
      <c r="P936" s="214">
        <v>44958</v>
      </c>
      <c r="Q936" s="334">
        <v>2</v>
      </c>
      <c r="R936" s="216">
        <v>48831</v>
      </c>
      <c r="S936" s="217" t="s">
        <v>2156</v>
      </c>
      <c r="T936" s="209" t="s">
        <v>5861</v>
      </c>
      <c r="U936" s="209" t="s">
        <v>3662</v>
      </c>
      <c r="V936" s="213"/>
      <c r="W936" s="218" t="s">
        <v>3652</v>
      </c>
      <c r="X936" s="218" t="s">
        <v>3652</v>
      </c>
      <c r="Y936" s="212">
        <v>0</v>
      </c>
      <c r="Z936" s="209" t="s">
        <v>5859</v>
      </c>
      <c r="AA936" s="215"/>
      <c r="AB936" s="218"/>
      <c r="AC936" s="217" t="e">
        <v>#N/A</v>
      </c>
      <c r="AD936" s="217">
        <v>90490</v>
      </c>
      <c r="AE936" s="217" t="s">
        <v>5485</v>
      </c>
      <c r="AF936" s="217" t="s">
        <v>3711</v>
      </c>
      <c r="AG936" s="217" t="s">
        <v>3719</v>
      </c>
      <c r="AH936" s="220" t="str">
        <f t="shared" si="59"/>
        <v>4590009139_002</v>
      </c>
      <c r="AI936" s="208"/>
      <c r="AJ936" s="220"/>
      <c r="AK936" s="221"/>
      <c r="AL936" s="227"/>
      <c r="AM936" s="208"/>
      <c r="AN936" s="220"/>
      <c r="AO936" s="222"/>
      <c r="AP936" s="227"/>
      <c r="AQ936" s="358">
        <f ca="1">IF(表格1[[#This Row],[PO$]]="","100%",表格1[[#This Row],[total amount]]/表格1[[#This Row],[PO$]])</f>
        <v>0</v>
      </c>
      <c r="AR936" s="223">
        <f ca="1">表格1[[#This Row],[invoice amount]]+表格1[[#This Row],[invoice amount2]]</f>
        <v>0</v>
      </c>
      <c r="AS936" s="224"/>
      <c r="AT936" s="208"/>
      <c r="AU936" s="208" t="e">
        <f ca="1">VLOOKUP(表格1[[#This Row],[PO+ITEM]],#REF!,2,FALSE)</f>
        <v>#REF!</v>
      </c>
      <c r="AV936" s="341" t="e">
        <f ca="1">VLOOKUP(表格1[[#This Row],[PO+ITEM]],#REF!,3,FALSE)</f>
        <v>#REF!</v>
      </c>
      <c r="AW936" s="208" t="e">
        <f ca="1">VLOOKUP(表格1[[#This Row],[PO+ITEM]],#REF!,4,FALSE)</f>
        <v>#REF!</v>
      </c>
      <c r="AX936" s="208" t="e" cm="1" vm="1">
        <f t="array" aca="1" ref="AX936" ca="1">VLOOKUP(AI:AI,#REF!,1,FALSE)</f>
        <v>#VALUE!</v>
      </c>
    </row>
    <row r="937" spans="1:50" s="230" customFormat="1">
      <c r="A937" s="220">
        <v>931</v>
      </c>
      <c r="B937" s="220" t="s">
        <v>3674</v>
      </c>
      <c r="C937" s="231" t="s">
        <v>16</v>
      </c>
      <c r="D937" s="231" t="s">
        <v>3648</v>
      </c>
      <c r="E937" s="231"/>
      <c r="F937" s="231"/>
      <c r="G937" s="231"/>
      <c r="H937" s="270" t="s">
        <v>5863</v>
      </c>
      <c r="I937" s="270"/>
      <c r="J937" s="271"/>
      <c r="K937" s="270"/>
      <c r="L937" s="234" t="s">
        <v>2206</v>
      </c>
      <c r="M937" s="234" t="s">
        <v>2206</v>
      </c>
      <c r="N937" s="270"/>
      <c r="O937" s="268">
        <v>4590009140</v>
      </c>
      <c r="P937" s="236">
        <v>44958</v>
      </c>
      <c r="Q937" s="336">
        <v>1</v>
      </c>
      <c r="R937" s="237"/>
      <c r="S937" s="232" t="s">
        <v>2156</v>
      </c>
      <c r="T937" s="231" t="s">
        <v>4468</v>
      </c>
      <c r="U937" s="231" t="s">
        <v>4469</v>
      </c>
      <c r="V937" s="235" t="s">
        <v>4470</v>
      </c>
      <c r="W937" s="238" t="s">
        <v>3652</v>
      </c>
      <c r="X937" s="238" t="s">
        <v>3652</v>
      </c>
      <c r="Y937" s="234">
        <v>0</v>
      </c>
      <c r="Z937" s="231" t="s">
        <v>5864</v>
      </c>
      <c r="AA937" s="233"/>
      <c r="AB937" s="238"/>
      <c r="AC937" s="232" t="e">
        <v>#N/A</v>
      </c>
      <c r="AD937" s="232">
        <v>90057</v>
      </c>
      <c r="AE937" s="232" t="s">
        <v>4479</v>
      </c>
      <c r="AF937" s="232" t="s">
        <v>4102</v>
      </c>
      <c r="AG937" s="232" t="s">
        <v>846</v>
      </c>
      <c r="AH937" s="239" t="str">
        <f t="shared" si="59"/>
        <v>4590009140_001</v>
      </c>
      <c r="AJ937" s="239"/>
      <c r="AK937" s="240"/>
      <c r="AL937" s="302"/>
      <c r="AN937" s="239"/>
      <c r="AO937" s="241"/>
      <c r="AP937" s="302"/>
      <c r="AQ937" s="358" t="str">
        <f ca="1">IF(表格1[[#This Row],[PO$]]="","100%",表格1[[#This Row],[total amount]]/表格1[[#This Row],[PO$]])</f>
        <v>100%</v>
      </c>
      <c r="AR937" s="242"/>
      <c r="AS937" s="243"/>
      <c r="AT937" s="208"/>
      <c r="AU937" s="208" t="e">
        <f ca="1">VLOOKUP(表格1[[#This Row],[PO+ITEM]],#REF!,2,FALSE)</f>
        <v>#REF!</v>
      </c>
      <c r="AV937" s="341" t="e">
        <f ca="1">VLOOKUP(表格1[[#This Row],[PO+ITEM]],#REF!,3,FALSE)</f>
        <v>#REF!</v>
      </c>
      <c r="AW937" s="208" t="e">
        <f ca="1">VLOOKUP(表格1[[#This Row],[PO+ITEM]],#REF!,4,FALSE)</f>
        <v>#REF!</v>
      </c>
      <c r="AX937" s="208" t="e" cm="1" vm="1">
        <f t="array" aca="1" ref="AX937" ca="1">VLOOKUP(AI:AI,#REF!,1,FALSE)</f>
        <v>#VALUE!</v>
      </c>
    </row>
    <row r="938" spans="1:50" s="230" customFormat="1">
      <c r="A938" s="220">
        <v>932</v>
      </c>
      <c r="B938" s="220" t="s">
        <v>3674</v>
      </c>
      <c r="C938" s="231" t="s">
        <v>16</v>
      </c>
      <c r="D938" s="231" t="s">
        <v>3648</v>
      </c>
      <c r="E938" s="231"/>
      <c r="F938" s="231"/>
      <c r="G938" s="231"/>
      <c r="H938" s="270" t="s">
        <v>5865</v>
      </c>
      <c r="I938" s="270"/>
      <c r="J938" s="271"/>
      <c r="K938" s="270"/>
      <c r="L938" s="234" t="s">
        <v>2206</v>
      </c>
      <c r="M938" s="234" t="s">
        <v>2206</v>
      </c>
      <c r="N938" s="270"/>
      <c r="O938" s="268">
        <v>4590009140</v>
      </c>
      <c r="P938" s="236">
        <v>44958</v>
      </c>
      <c r="Q938" s="336">
        <v>2</v>
      </c>
      <c r="R938" s="237"/>
      <c r="S938" s="232" t="s">
        <v>2156</v>
      </c>
      <c r="T938" s="231" t="s">
        <v>4468</v>
      </c>
      <c r="U938" s="231" t="s">
        <v>4469</v>
      </c>
      <c r="V938" s="235" t="s">
        <v>4470</v>
      </c>
      <c r="W938" s="238" t="s">
        <v>3652</v>
      </c>
      <c r="X938" s="238" t="s">
        <v>3652</v>
      </c>
      <c r="Y938" s="234">
        <v>0</v>
      </c>
      <c r="Z938" s="231" t="s">
        <v>5864</v>
      </c>
      <c r="AA938" s="233"/>
      <c r="AB938" s="238"/>
      <c r="AC938" s="232" t="e">
        <v>#N/A</v>
      </c>
      <c r="AD938" s="232">
        <v>91244</v>
      </c>
      <c r="AE938" s="232" t="s">
        <v>5011</v>
      </c>
      <c r="AF938" s="232" t="s">
        <v>4102</v>
      </c>
      <c r="AG938" s="232" t="s">
        <v>846</v>
      </c>
      <c r="AH938" s="239" t="str">
        <f t="shared" si="59"/>
        <v>4590009140_002</v>
      </c>
      <c r="AJ938" s="239"/>
      <c r="AK938" s="240"/>
      <c r="AL938" s="302"/>
      <c r="AN938" s="239"/>
      <c r="AO938" s="241"/>
      <c r="AP938" s="302"/>
      <c r="AQ938" s="358" t="str">
        <f ca="1">IF(表格1[[#This Row],[PO$]]="","100%",表格1[[#This Row],[total amount]]/表格1[[#This Row],[PO$]])</f>
        <v>100%</v>
      </c>
      <c r="AR938" s="242"/>
      <c r="AS938" s="243"/>
      <c r="AT938" s="208"/>
      <c r="AU938" s="208" t="e">
        <f ca="1">VLOOKUP(表格1[[#This Row],[PO+ITEM]],#REF!,2,FALSE)</f>
        <v>#REF!</v>
      </c>
      <c r="AV938" s="341" t="e">
        <f ca="1">VLOOKUP(表格1[[#This Row],[PO+ITEM]],#REF!,3,FALSE)</f>
        <v>#REF!</v>
      </c>
      <c r="AW938" s="208" t="e">
        <f ca="1">VLOOKUP(表格1[[#This Row],[PO+ITEM]],#REF!,4,FALSE)</f>
        <v>#REF!</v>
      </c>
      <c r="AX938" s="208" t="e" cm="1" vm="1">
        <f t="array" aca="1" ref="AX938" ca="1">VLOOKUP(AI:AI,#REF!,1,FALSE)</f>
        <v>#VALUE!</v>
      </c>
    </row>
    <row r="939" spans="1:50" s="230" customFormat="1">
      <c r="A939" s="220">
        <v>933</v>
      </c>
      <c r="B939" s="220" t="s">
        <v>3659</v>
      </c>
      <c r="C939" s="231" t="s">
        <v>16</v>
      </c>
      <c r="D939" s="231" t="s">
        <v>3648</v>
      </c>
      <c r="E939" s="231"/>
      <c r="F939" s="231"/>
      <c r="G939" s="231"/>
      <c r="H939" s="270" t="s">
        <v>5866</v>
      </c>
      <c r="I939" s="270"/>
      <c r="J939" s="271"/>
      <c r="K939" s="270"/>
      <c r="L939" s="234" t="s">
        <v>2206</v>
      </c>
      <c r="M939" s="234" t="s">
        <v>2206</v>
      </c>
      <c r="N939" s="270"/>
      <c r="O939" s="268">
        <v>4590009140</v>
      </c>
      <c r="P939" s="236">
        <v>44958</v>
      </c>
      <c r="Q939" s="336">
        <v>3</v>
      </c>
      <c r="R939" s="237"/>
      <c r="S939" s="232" t="s">
        <v>2156</v>
      </c>
      <c r="T939" s="231" t="s">
        <v>4468</v>
      </c>
      <c r="U939" s="231" t="s">
        <v>4469</v>
      </c>
      <c r="V939" s="235" t="s">
        <v>4470</v>
      </c>
      <c r="W939" s="238" t="s">
        <v>3652</v>
      </c>
      <c r="X939" s="238" t="s">
        <v>3652</v>
      </c>
      <c r="Y939" s="234">
        <v>0</v>
      </c>
      <c r="Z939" s="231" t="s">
        <v>5864</v>
      </c>
      <c r="AA939" s="233"/>
      <c r="AB939" s="238"/>
      <c r="AC939" s="232" t="e">
        <v>#N/A</v>
      </c>
      <c r="AD939" s="232">
        <v>91243</v>
      </c>
      <c r="AE939" s="232" t="s">
        <v>5009</v>
      </c>
      <c r="AF939" s="232" t="s">
        <v>4102</v>
      </c>
      <c r="AG939" s="232" t="s">
        <v>846</v>
      </c>
      <c r="AH939" s="239" t="str">
        <f t="shared" si="59"/>
        <v>4590009140_003</v>
      </c>
      <c r="AJ939" s="239"/>
      <c r="AK939" s="240"/>
      <c r="AL939" s="302"/>
      <c r="AN939" s="239"/>
      <c r="AO939" s="241"/>
      <c r="AP939" s="302"/>
      <c r="AQ939" s="358" t="str">
        <f ca="1">IF(表格1[[#This Row],[PO$]]="","100%",表格1[[#This Row],[total amount]]/表格1[[#This Row],[PO$]])</f>
        <v>100%</v>
      </c>
      <c r="AR939" s="242"/>
      <c r="AS939" s="243"/>
      <c r="AT939" s="208"/>
      <c r="AU939" s="208" t="e">
        <f ca="1">VLOOKUP(表格1[[#This Row],[PO+ITEM]],#REF!,2,FALSE)</f>
        <v>#REF!</v>
      </c>
      <c r="AV939" s="341" t="e">
        <f ca="1">VLOOKUP(表格1[[#This Row],[PO+ITEM]],#REF!,3,FALSE)</f>
        <v>#REF!</v>
      </c>
      <c r="AW939" s="208" t="e">
        <f ca="1">VLOOKUP(表格1[[#This Row],[PO+ITEM]],#REF!,4,FALSE)</f>
        <v>#REF!</v>
      </c>
      <c r="AX939" s="208" t="e" cm="1" vm="1">
        <f t="array" aca="1" ref="AX939" ca="1">VLOOKUP(AI:AI,#REF!,1,FALSE)</f>
        <v>#VALUE!</v>
      </c>
    </row>
    <row r="940" spans="1:50" s="230" customFormat="1">
      <c r="A940" s="220">
        <v>934</v>
      </c>
      <c r="B940" s="220" t="s">
        <v>3674</v>
      </c>
      <c r="C940" s="231" t="s">
        <v>16</v>
      </c>
      <c r="D940" s="231" t="s">
        <v>3648</v>
      </c>
      <c r="E940" s="231"/>
      <c r="F940" s="231"/>
      <c r="G940" s="231"/>
      <c r="H940" s="232" t="s">
        <v>5867</v>
      </c>
      <c r="I940" s="232"/>
      <c r="J940" s="233"/>
      <c r="K940" s="232"/>
      <c r="L940" s="234" t="s">
        <v>2206</v>
      </c>
      <c r="M940" s="234" t="s">
        <v>2206</v>
      </c>
      <c r="N940" s="270"/>
      <c r="O940" s="268">
        <v>4590009140</v>
      </c>
      <c r="P940" s="236">
        <v>44958</v>
      </c>
      <c r="Q940" s="336">
        <v>4</v>
      </c>
      <c r="R940" s="237"/>
      <c r="S940" s="232" t="s">
        <v>2156</v>
      </c>
      <c r="T940" s="231" t="s">
        <v>4468</v>
      </c>
      <c r="U940" s="231" t="s">
        <v>4469</v>
      </c>
      <c r="V940" s="235" t="s">
        <v>4470</v>
      </c>
      <c r="W940" s="238" t="s">
        <v>3652</v>
      </c>
      <c r="X940" s="238" t="s">
        <v>3652</v>
      </c>
      <c r="Y940" s="234">
        <v>0</v>
      </c>
      <c r="Z940" s="231" t="s">
        <v>5864</v>
      </c>
      <c r="AA940" s="233"/>
      <c r="AB940" s="238"/>
      <c r="AC940" s="232" t="e">
        <v>#N/A</v>
      </c>
      <c r="AD940" s="232">
        <v>91242</v>
      </c>
      <c r="AE940" s="232" t="s">
        <v>5007</v>
      </c>
      <c r="AF940" s="232" t="s">
        <v>4102</v>
      </c>
      <c r="AG940" s="232" t="s">
        <v>846</v>
      </c>
      <c r="AH940" s="239" t="str">
        <f t="shared" si="59"/>
        <v>4590009140_004</v>
      </c>
      <c r="AJ940" s="239"/>
      <c r="AK940" s="240"/>
      <c r="AL940" s="302"/>
      <c r="AN940" s="239"/>
      <c r="AO940" s="241"/>
      <c r="AP940" s="302"/>
      <c r="AQ940" s="358" t="str">
        <f ca="1">IF(表格1[[#This Row],[PO$]]="","100%",表格1[[#This Row],[total amount]]/表格1[[#This Row],[PO$]])</f>
        <v>100%</v>
      </c>
      <c r="AR940" s="242"/>
      <c r="AS940" s="243"/>
      <c r="AT940" s="208"/>
      <c r="AU940" s="208" t="e">
        <f ca="1">VLOOKUP(表格1[[#This Row],[PO+ITEM]],#REF!,2,FALSE)</f>
        <v>#REF!</v>
      </c>
      <c r="AV940" s="341" t="e">
        <f ca="1">VLOOKUP(表格1[[#This Row],[PO+ITEM]],#REF!,3,FALSE)</f>
        <v>#REF!</v>
      </c>
      <c r="AW940" s="208" t="e">
        <f ca="1">VLOOKUP(表格1[[#This Row],[PO+ITEM]],#REF!,4,FALSE)</f>
        <v>#REF!</v>
      </c>
      <c r="AX940" s="208" t="e" cm="1" vm="1">
        <f t="array" aca="1" ref="AX940" ca="1">VLOOKUP(AI:AI,#REF!,1,FALSE)</f>
        <v>#VALUE!</v>
      </c>
    </row>
    <row r="941" spans="1:50" s="230" customFormat="1">
      <c r="A941" s="220">
        <v>935</v>
      </c>
      <c r="B941" s="220" t="s">
        <v>3674</v>
      </c>
      <c r="C941" s="231" t="s">
        <v>16</v>
      </c>
      <c r="D941" s="231" t="s">
        <v>3648</v>
      </c>
      <c r="E941" s="231"/>
      <c r="F941" s="231"/>
      <c r="G941" s="231"/>
      <c r="H941" s="232" t="s">
        <v>5868</v>
      </c>
      <c r="I941" s="232"/>
      <c r="J941" s="233"/>
      <c r="K941" s="232"/>
      <c r="L941" s="234" t="s">
        <v>2206</v>
      </c>
      <c r="M941" s="234" t="s">
        <v>2206</v>
      </c>
      <c r="N941" s="270"/>
      <c r="O941" s="268">
        <v>4590009140</v>
      </c>
      <c r="P941" s="236">
        <v>44958</v>
      </c>
      <c r="Q941" s="336">
        <v>5</v>
      </c>
      <c r="R941" s="237"/>
      <c r="S941" s="232" t="s">
        <v>2156</v>
      </c>
      <c r="T941" s="231" t="s">
        <v>4468</v>
      </c>
      <c r="U941" s="231" t="s">
        <v>4469</v>
      </c>
      <c r="V941" s="235" t="s">
        <v>4470</v>
      </c>
      <c r="W941" s="238" t="s">
        <v>3652</v>
      </c>
      <c r="X941" s="238" t="s">
        <v>3652</v>
      </c>
      <c r="Y941" s="234">
        <v>0</v>
      </c>
      <c r="Z941" s="231" t="s">
        <v>5864</v>
      </c>
      <c r="AA941" s="233"/>
      <c r="AB941" s="238"/>
      <c r="AC941" s="232" t="e">
        <v>#N/A</v>
      </c>
      <c r="AD941" s="232">
        <v>91241</v>
      </c>
      <c r="AE941" s="232" t="s">
        <v>5004</v>
      </c>
      <c r="AF941" s="232" t="s">
        <v>4102</v>
      </c>
      <c r="AG941" s="232" t="s">
        <v>846</v>
      </c>
      <c r="AH941" s="239" t="str">
        <f t="shared" si="59"/>
        <v>4590009140_005</v>
      </c>
      <c r="AJ941" s="239"/>
      <c r="AK941" s="240"/>
      <c r="AL941" s="302"/>
      <c r="AN941" s="239"/>
      <c r="AO941" s="241"/>
      <c r="AP941" s="302"/>
      <c r="AQ941" s="358" t="str">
        <f ca="1">IF(表格1[[#This Row],[PO$]]="","100%",表格1[[#This Row],[total amount]]/表格1[[#This Row],[PO$]])</f>
        <v>100%</v>
      </c>
      <c r="AR941" s="242"/>
      <c r="AS941" s="243"/>
      <c r="AT941" s="208"/>
      <c r="AU941" s="208" t="e">
        <f ca="1">VLOOKUP(表格1[[#This Row],[PO+ITEM]],#REF!,2,FALSE)</f>
        <v>#REF!</v>
      </c>
      <c r="AV941" s="341" t="e">
        <f ca="1">VLOOKUP(表格1[[#This Row],[PO+ITEM]],#REF!,3,FALSE)</f>
        <v>#REF!</v>
      </c>
      <c r="AW941" s="208" t="e">
        <f ca="1">VLOOKUP(表格1[[#This Row],[PO+ITEM]],#REF!,4,FALSE)</f>
        <v>#REF!</v>
      </c>
      <c r="AX941" s="208" t="e" cm="1" vm="1">
        <f t="array" aca="1" ref="AX941" ca="1">VLOOKUP(AI:AI,#REF!,1,FALSE)</f>
        <v>#VALUE!</v>
      </c>
    </row>
    <row r="942" spans="1:50" s="230" customFormat="1">
      <c r="A942" s="220">
        <v>936</v>
      </c>
      <c r="B942" s="220" t="s">
        <v>3659</v>
      </c>
      <c r="C942" s="231" t="s">
        <v>16</v>
      </c>
      <c r="D942" s="231" t="s">
        <v>3648</v>
      </c>
      <c r="E942" s="231"/>
      <c r="F942" s="231"/>
      <c r="G942" s="231"/>
      <c r="H942" s="232" t="s">
        <v>5869</v>
      </c>
      <c r="I942" s="232"/>
      <c r="J942" s="233"/>
      <c r="K942" s="232"/>
      <c r="L942" s="234" t="s">
        <v>2206</v>
      </c>
      <c r="M942" s="234" t="s">
        <v>2206</v>
      </c>
      <c r="N942" s="270"/>
      <c r="O942" s="268">
        <v>4590009140</v>
      </c>
      <c r="P942" s="236">
        <v>44958</v>
      </c>
      <c r="Q942" s="336">
        <v>6</v>
      </c>
      <c r="R942" s="237"/>
      <c r="S942" s="232" t="s">
        <v>2156</v>
      </c>
      <c r="T942" s="231" t="s">
        <v>4468</v>
      </c>
      <c r="U942" s="231" t="s">
        <v>4469</v>
      </c>
      <c r="V942" s="235" t="s">
        <v>4470</v>
      </c>
      <c r="W942" s="238" t="s">
        <v>3652</v>
      </c>
      <c r="X942" s="238" t="s">
        <v>3652</v>
      </c>
      <c r="Y942" s="234">
        <v>0</v>
      </c>
      <c r="Z942" s="231" t="s">
        <v>5864</v>
      </c>
      <c r="AA942" s="233"/>
      <c r="AB942" s="238"/>
      <c r="AC942" s="232" t="e">
        <v>#N/A</v>
      </c>
      <c r="AD942" s="232">
        <v>91239</v>
      </c>
      <c r="AE942" s="232" t="s">
        <v>4998</v>
      </c>
      <c r="AF942" s="232" t="s">
        <v>4102</v>
      </c>
      <c r="AG942" s="232" t="s">
        <v>846</v>
      </c>
      <c r="AH942" s="239" t="str">
        <f t="shared" si="59"/>
        <v>4590009140_006</v>
      </c>
      <c r="AJ942" s="239"/>
      <c r="AK942" s="240"/>
      <c r="AL942" s="302"/>
      <c r="AN942" s="239"/>
      <c r="AO942" s="241"/>
      <c r="AP942" s="302"/>
      <c r="AQ942" s="358" t="str">
        <f ca="1">IF(表格1[[#This Row],[PO$]]="","100%",表格1[[#This Row],[total amount]]/表格1[[#This Row],[PO$]])</f>
        <v>100%</v>
      </c>
      <c r="AR942" s="242"/>
      <c r="AS942" s="243"/>
      <c r="AT942" s="208"/>
      <c r="AU942" s="208" t="e">
        <f ca="1">VLOOKUP(表格1[[#This Row],[PO+ITEM]],#REF!,2,FALSE)</f>
        <v>#REF!</v>
      </c>
      <c r="AV942" s="341" t="e">
        <f ca="1">VLOOKUP(表格1[[#This Row],[PO+ITEM]],#REF!,3,FALSE)</f>
        <v>#REF!</v>
      </c>
      <c r="AW942" s="208" t="e">
        <f ca="1">VLOOKUP(表格1[[#This Row],[PO+ITEM]],#REF!,4,FALSE)</f>
        <v>#REF!</v>
      </c>
      <c r="AX942" s="208" t="e" cm="1" vm="1">
        <f t="array" aca="1" ref="AX942" ca="1">VLOOKUP(AI:AI,#REF!,1,FALSE)</f>
        <v>#VALUE!</v>
      </c>
    </row>
    <row r="943" spans="1:50" s="230" customFormat="1">
      <c r="A943" s="220">
        <v>937</v>
      </c>
      <c r="B943" s="220" t="s">
        <v>3659</v>
      </c>
      <c r="C943" s="231" t="s">
        <v>16</v>
      </c>
      <c r="D943" s="231" t="s">
        <v>3648</v>
      </c>
      <c r="E943" s="231"/>
      <c r="F943" s="231"/>
      <c r="G943" s="231"/>
      <c r="H943" s="232" t="s">
        <v>5870</v>
      </c>
      <c r="I943" s="232"/>
      <c r="J943" s="233"/>
      <c r="K943" s="232"/>
      <c r="L943" s="234" t="s">
        <v>2206</v>
      </c>
      <c r="M943" s="234" t="s">
        <v>2206</v>
      </c>
      <c r="N943" s="270"/>
      <c r="O943" s="268">
        <v>4590009140</v>
      </c>
      <c r="P943" s="236">
        <v>44958</v>
      </c>
      <c r="Q943" s="336">
        <v>7</v>
      </c>
      <c r="R943" s="237"/>
      <c r="S943" s="232" t="s">
        <v>2156</v>
      </c>
      <c r="T943" s="231" t="s">
        <v>4468</v>
      </c>
      <c r="U943" s="231" t="s">
        <v>4469</v>
      </c>
      <c r="V943" s="235" t="s">
        <v>4470</v>
      </c>
      <c r="W943" s="238" t="s">
        <v>3652</v>
      </c>
      <c r="X943" s="238" t="s">
        <v>3652</v>
      </c>
      <c r="Y943" s="234">
        <v>0</v>
      </c>
      <c r="Z943" s="231" t="s">
        <v>5864</v>
      </c>
      <c r="AA943" s="233"/>
      <c r="AB943" s="238"/>
      <c r="AC943" s="232" t="e">
        <v>#N/A</v>
      </c>
      <c r="AD943" s="232">
        <v>91238</v>
      </c>
      <c r="AE943" s="232" t="s">
        <v>5000</v>
      </c>
      <c r="AF943" s="232" t="s">
        <v>4102</v>
      </c>
      <c r="AG943" s="232" t="s">
        <v>846</v>
      </c>
      <c r="AH943" s="239" t="str">
        <f t="shared" si="59"/>
        <v>4590009140_007</v>
      </c>
      <c r="AJ943" s="239"/>
      <c r="AK943" s="240"/>
      <c r="AL943" s="302"/>
      <c r="AN943" s="239"/>
      <c r="AO943" s="241"/>
      <c r="AP943" s="302"/>
      <c r="AQ943" s="358" t="str">
        <f ca="1">IF(表格1[[#This Row],[PO$]]="","100%",表格1[[#This Row],[total amount]]/表格1[[#This Row],[PO$]])</f>
        <v>100%</v>
      </c>
      <c r="AR943" s="242"/>
      <c r="AS943" s="243"/>
      <c r="AT943" s="208"/>
      <c r="AU943" s="208" t="e">
        <f ca="1">VLOOKUP(表格1[[#This Row],[PO+ITEM]],#REF!,2,FALSE)</f>
        <v>#REF!</v>
      </c>
      <c r="AV943" s="341" t="e">
        <f ca="1">VLOOKUP(表格1[[#This Row],[PO+ITEM]],#REF!,3,FALSE)</f>
        <v>#REF!</v>
      </c>
      <c r="AW943" s="208" t="e">
        <f ca="1">VLOOKUP(表格1[[#This Row],[PO+ITEM]],#REF!,4,FALSE)</f>
        <v>#REF!</v>
      </c>
      <c r="AX943" s="208" t="e" cm="1" vm="1">
        <f t="array" aca="1" ref="AX943" ca="1">VLOOKUP(AI:AI,#REF!,1,FALSE)</f>
        <v>#VALUE!</v>
      </c>
    </row>
    <row r="944" spans="1:50" s="230" customFormat="1">
      <c r="A944" s="220">
        <v>938</v>
      </c>
      <c r="B944" s="220" t="s">
        <v>3659</v>
      </c>
      <c r="C944" s="231" t="s">
        <v>16</v>
      </c>
      <c r="D944" s="231" t="s">
        <v>3648</v>
      </c>
      <c r="E944" s="231"/>
      <c r="F944" s="231"/>
      <c r="G944" s="231"/>
      <c r="H944" s="232" t="s">
        <v>5871</v>
      </c>
      <c r="I944" s="232"/>
      <c r="J944" s="233"/>
      <c r="K944" s="232"/>
      <c r="L944" s="234" t="s">
        <v>2206</v>
      </c>
      <c r="M944" s="234" t="s">
        <v>2206</v>
      </c>
      <c r="N944" s="270"/>
      <c r="O944" s="268">
        <v>4590009140</v>
      </c>
      <c r="P944" s="236">
        <v>44958</v>
      </c>
      <c r="Q944" s="336">
        <v>8</v>
      </c>
      <c r="R944" s="237"/>
      <c r="S944" s="232" t="s">
        <v>2156</v>
      </c>
      <c r="T944" s="231" t="s">
        <v>4468</v>
      </c>
      <c r="U944" s="231" t="s">
        <v>4469</v>
      </c>
      <c r="V944" s="235" t="s">
        <v>4470</v>
      </c>
      <c r="W944" s="238" t="s">
        <v>3652</v>
      </c>
      <c r="X944" s="238" t="s">
        <v>3652</v>
      </c>
      <c r="Y944" s="234">
        <v>0</v>
      </c>
      <c r="Z944" s="231" t="s">
        <v>5864</v>
      </c>
      <c r="AA944" s="233"/>
      <c r="AB944" s="238"/>
      <c r="AC944" s="232" t="e">
        <v>#N/A</v>
      </c>
      <c r="AD944" s="232">
        <v>91240</v>
      </c>
      <c r="AE944" s="232" t="s">
        <v>5002</v>
      </c>
      <c r="AF944" s="232" t="s">
        <v>4102</v>
      </c>
      <c r="AG944" s="232" t="s">
        <v>846</v>
      </c>
      <c r="AH944" s="239" t="str">
        <f t="shared" si="59"/>
        <v>4590009140_008</v>
      </c>
      <c r="AJ944" s="239"/>
      <c r="AK944" s="240"/>
      <c r="AL944" s="302"/>
      <c r="AN944" s="239"/>
      <c r="AO944" s="241"/>
      <c r="AP944" s="302"/>
      <c r="AQ944" s="358" t="str">
        <f ca="1">IF(表格1[[#This Row],[PO$]]="","100%",表格1[[#This Row],[total amount]]/表格1[[#This Row],[PO$]])</f>
        <v>100%</v>
      </c>
      <c r="AR944" s="242"/>
      <c r="AS944" s="243"/>
      <c r="AT944" s="208"/>
      <c r="AU944" s="208" t="e">
        <f ca="1">VLOOKUP(表格1[[#This Row],[PO+ITEM]],#REF!,2,FALSE)</f>
        <v>#REF!</v>
      </c>
      <c r="AV944" s="341" t="e">
        <f ca="1">VLOOKUP(表格1[[#This Row],[PO+ITEM]],#REF!,3,FALSE)</f>
        <v>#REF!</v>
      </c>
      <c r="AW944" s="208" t="e">
        <f ca="1">VLOOKUP(表格1[[#This Row],[PO+ITEM]],#REF!,4,FALSE)</f>
        <v>#REF!</v>
      </c>
      <c r="AX944" s="208" t="e" cm="1" vm="1">
        <f t="array" aca="1" ref="AX944" ca="1">VLOOKUP(AI:AI,#REF!,1,FALSE)</f>
        <v>#VALUE!</v>
      </c>
    </row>
    <row r="945" spans="1:50" s="230" customFormat="1">
      <c r="A945" s="220">
        <v>939</v>
      </c>
      <c r="B945" s="220" t="s">
        <v>3674</v>
      </c>
      <c r="C945" s="231" t="s">
        <v>16</v>
      </c>
      <c r="D945" s="231" t="s">
        <v>3648</v>
      </c>
      <c r="E945" s="231"/>
      <c r="F945" s="231"/>
      <c r="G945" s="231"/>
      <c r="H945" s="232" t="s">
        <v>5872</v>
      </c>
      <c r="I945" s="232"/>
      <c r="J945" s="233"/>
      <c r="K945" s="232"/>
      <c r="L945" s="234" t="s">
        <v>2206</v>
      </c>
      <c r="M945" s="234" t="s">
        <v>2206</v>
      </c>
      <c r="N945" s="270"/>
      <c r="O945" s="268">
        <v>4590009140</v>
      </c>
      <c r="P945" s="236">
        <v>44958</v>
      </c>
      <c r="Q945" s="336">
        <v>9</v>
      </c>
      <c r="R945" s="237"/>
      <c r="S945" s="232" t="s">
        <v>2156</v>
      </c>
      <c r="T945" s="231" t="s">
        <v>4468</v>
      </c>
      <c r="U945" s="231" t="s">
        <v>4469</v>
      </c>
      <c r="V945" s="235" t="s">
        <v>4470</v>
      </c>
      <c r="W945" s="238" t="s">
        <v>3652</v>
      </c>
      <c r="X945" s="238" t="s">
        <v>3652</v>
      </c>
      <c r="Y945" s="234">
        <v>0</v>
      </c>
      <c r="Z945" s="231" t="s">
        <v>5864</v>
      </c>
      <c r="AA945" s="233"/>
      <c r="AB945" s="238"/>
      <c r="AC945" s="232" t="e">
        <v>#N/A</v>
      </c>
      <c r="AD945" s="232">
        <v>90061</v>
      </c>
      <c r="AE945" s="232" t="s">
        <v>2589</v>
      </c>
      <c r="AF945" s="232" t="s">
        <v>4102</v>
      </c>
      <c r="AG945" s="232" t="s">
        <v>846</v>
      </c>
      <c r="AH945" s="239" t="str">
        <f t="shared" si="59"/>
        <v>4590009140_009</v>
      </c>
      <c r="AJ945" s="239"/>
      <c r="AK945" s="240"/>
      <c r="AL945" s="302"/>
      <c r="AN945" s="239"/>
      <c r="AO945" s="241"/>
      <c r="AP945" s="302"/>
      <c r="AQ945" s="358" t="str">
        <f ca="1">IF(表格1[[#This Row],[PO$]]="","100%",表格1[[#This Row],[total amount]]/表格1[[#This Row],[PO$]])</f>
        <v>100%</v>
      </c>
      <c r="AR945" s="242"/>
      <c r="AS945" s="243"/>
      <c r="AT945" s="208"/>
      <c r="AU945" s="208" t="e">
        <f ca="1">VLOOKUP(表格1[[#This Row],[PO+ITEM]],#REF!,2,FALSE)</f>
        <v>#REF!</v>
      </c>
      <c r="AV945" s="341" t="e">
        <f ca="1">VLOOKUP(表格1[[#This Row],[PO+ITEM]],#REF!,3,FALSE)</f>
        <v>#REF!</v>
      </c>
      <c r="AW945" s="208" t="e">
        <f ca="1">VLOOKUP(表格1[[#This Row],[PO+ITEM]],#REF!,4,FALSE)</f>
        <v>#REF!</v>
      </c>
      <c r="AX945" s="208" t="e" cm="1" vm="1">
        <f t="array" aca="1" ref="AX945" ca="1">VLOOKUP(AI:AI,#REF!,1,FALSE)</f>
        <v>#VALUE!</v>
      </c>
    </row>
    <row r="946" spans="1:50" s="230" customFormat="1">
      <c r="A946" s="220">
        <v>940</v>
      </c>
      <c r="B946" s="220" t="s">
        <v>3674</v>
      </c>
      <c r="C946" s="231" t="s">
        <v>16</v>
      </c>
      <c r="D946" s="231" t="s">
        <v>3648</v>
      </c>
      <c r="E946" s="231"/>
      <c r="F946" s="231"/>
      <c r="G946" s="231"/>
      <c r="H946" s="232" t="s">
        <v>5873</v>
      </c>
      <c r="I946" s="232"/>
      <c r="J946" s="233"/>
      <c r="K946" s="232"/>
      <c r="L946" s="234" t="s">
        <v>2206</v>
      </c>
      <c r="M946" s="234" t="s">
        <v>2206</v>
      </c>
      <c r="N946" s="270"/>
      <c r="O946" s="268">
        <v>4590009140</v>
      </c>
      <c r="P946" s="236">
        <v>44958</v>
      </c>
      <c r="Q946" s="336">
        <v>10</v>
      </c>
      <c r="R946" s="237"/>
      <c r="S946" s="232" t="s">
        <v>2156</v>
      </c>
      <c r="T946" s="231" t="s">
        <v>4468</v>
      </c>
      <c r="U946" s="231" t="s">
        <v>4469</v>
      </c>
      <c r="V946" s="235" t="s">
        <v>4470</v>
      </c>
      <c r="W946" s="238" t="s">
        <v>3652</v>
      </c>
      <c r="X946" s="238" t="s">
        <v>3652</v>
      </c>
      <c r="Y946" s="234">
        <v>0</v>
      </c>
      <c r="Z946" s="231" t="s">
        <v>5864</v>
      </c>
      <c r="AA946" s="233"/>
      <c r="AB946" s="238"/>
      <c r="AC946" s="232" t="e">
        <v>#N/A</v>
      </c>
      <c r="AD946" s="232">
        <v>90060</v>
      </c>
      <c r="AE946" s="232" t="s">
        <v>2594</v>
      </c>
      <c r="AF946" s="232" t="s">
        <v>4102</v>
      </c>
      <c r="AG946" s="232" t="s">
        <v>846</v>
      </c>
      <c r="AH946" s="239" t="str">
        <f>O946&amp;"_0"&amp;Q946</f>
        <v>4590009140_010</v>
      </c>
      <c r="AJ946" s="239"/>
      <c r="AK946" s="240"/>
      <c r="AL946" s="302"/>
      <c r="AN946" s="239"/>
      <c r="AO946" s="241"/>
      <c r="AP946" s="302"/>
      <c r="AQ946" s="358" t="str">
        <f ca="1">IF(表格1[[#This Row],[PO$]]="","100%",表格1[[#This Row],[total amount]]/表格1[[#This Row],[PO$]])</f>
        <v>100%</v>
      </c>
      <c r="AR946" s="242"/>
      <c r="AS946" s="243"/>
      <c r="AT946" s="208"/>
      <c r="AU946" s="208" t="e">
        <f ca="1">VLOOKUP(表格1[[#This Row],[PO+ITEM]],#REF!,2,FALSE)</f>
        <v>#REF!</v>
      </c>
      <c r="AV946" s="341" t="e">
        <f ca="1">VLOOKUP(表格1[[#This Row],[PO+ITEM]],#REF!,3,FALSE)</f>
        <v>#REF!</v>
      </c>
      <c r="AW946" s="208" t="e">
        <f ca="1">VLOOKUP(表格1[[#This Row],[PO+ITEM]],#REF!,4,FALSE)</f>
        <v>#REF!</v>
      </c>
      <c r="AX946" s="208" t="e" cm="1" vm="1">
        <f t="array" aca="1" ref="AX946" ca="1">VLOOKUP(AI:AI,#REF!,1,FALSE)</f>
        <v>#VALUE!</v>
      </c>
    </row>
    <row r="947" spans="1:50" ht="15.6">
      <c r="A947" s="220">
        <v>941</v>
      </c>
      <c r="B947" s="220" t="s">
        <v>3674</v>
      </c>
      <c r="C947" s="209" t="s">
        <v>16</v>
      </c>
      <c r="D947" s="209" t="s">
        <v>3648</v>
      </c>
      <c r="E947" s="209"/>
      <c r="F947" s="209"/>
      <c r="G947" s="209"/>
      <c r="H947" s="217" t="s">
        <v>5874</v>
      </c>
      <c r="I947" s="217"/>
      <c r="J947" s="215"/>
      <c r="K947" s="217"/>
      <c r="L947" s="212" t="s">
        <v>3941</v>
      </c>
      <c r="M947" s="212" t="s">
        <v>3941</v>
      </c>
      <c r="N947" s="210"/>
      <c r="O947" s="263">
        <v>4590009140</v>
      </c>
      <c r="P947" s="214">
        <v>44958</v>
      </c>
      <c r="Q947" s="334">
        <v>11</v>
      </c>
      <c r="R947" s="216">
        <v>5475.46</v>
      </c>
      <c r="S947" s="217" t="s">
        <v>2156</v>
      </c>
      <c r="T947" s="209" t="s">
        <v>4468</v>
      </c>
      <c r="U947" s="209" t="s">
        <v>4469</v>
      </c>
      <c r="V947" s="213" t="s">
        <v>4470</v>
      </c>
      <c r="W947" s="218" t="s">
        <v>3652</v>
      </c>
      <c r="X947" s="218" t="s">
        <v>3652</v>
      </c>
      <c r="Y947" s="212" t="s">
        <v>5875</v>
      </c>
      <c r="Z947" s="209" t="s">
        <v>5876</v>
      </c>
      <c r="AA947" s="215"/>
      <c r="AB947" s="218"/>
      <c r="AC947" s="217" t="e">
        <v>#N/A</v>
      </c>
      <c r="AD947" s="217">
        <v>90328</v>
      </c>
      <c r="AE947" s="217" t="s">
        <v>5877</v>
      </c>
      <c r="AF947" s="217" t="s">
        <v>4102</v>
      </c>
      <c r="AG947" s="217" t="s">
        <v>5878</v>
      </c>
      <c r="AH947" s="220" t="str">
        <f>O947&amp;"_0"&amp;Q947</f>
        <v>4590009140_011</v>
      </c>
      <c r="AI947" s="208"/>
      <c r="AJ947" s="225">
        <v>45261</v>
      </c>
      <c r="AK947" s="221">
        <v>5201.6869999999999</v>
      </c>
      <c r="AL947" s="244">
        <v>45366</v>
      </c>
      <c r="AM947" s="208"/>
      <c r="AN947" s="220"/>
      <c r="AO947" s="222"/>
      <c r="AP947" s="227"/>
      <c r="AQ947" s="358">
        <f ca="1">IF(表格1[[#This Row],[PO$]]="","100%",表格1[[#This Row],[total amount]]/表格1[[#This Row],[PO$]])</f>
        <v>0.95</v>
      </c>
      <c r="AR947" s="223">
        <f ca="1">表格1[[#This Row],[invoice amount]]+表格1[[#This Row],[invoice amount2]]</f>
        <v>5201.6869999999999</v>
      </c>
      <c r="AS947" s="224" t="s">
        <v>3673</v>
      </c>
      <c r="AT947" s="208"/>
      <c r="AU947" s="208" t="e">
        <f ca="1">VLOOKUP(表格1[[#This Row],[PO+ITEM]],#REF!,2,FALSE)</f>
        <v>#REF!</v>
      </c>
      <c r="AV947" s="341" t="e">
        <f ca="1">VLOOKUP(表格1[[#This Row],[PO+ITEM]],#REF!,3,FALSE)</f>
        <v>#REF!</v>
      </c>
      <c r="AW947" s="208" t="e">
        <f ca="1">VLOOKUP(表格1[[#This Row],[PO+ITEM]],#REF!,4,FALSE)</f>
        <v>#REF!</v>
      </c>
      <c r="AX947" s="208" t="e" cm="1" vm="1">
        <f t="array" aca="1" ref="AX947" ca="1">VLOOKUP(AI:AI,#REF!,1,FALSE)</f>
        <v>#VALUE!</v>
      </c>
    </row>
    <row r="948" spans="1:50" s="230" customFormat="1">
      <c r="A948" s="220">
        <v>942</v>
      </c>
      <c r="B948" s="220" t="s">
        <v>3659</v>
      </c>
      <c r="C948" s="209" t="s">
        <v>16</v>
      </c>
      <c r="D948" s="209" t="s">
        <v>3648</v>
      </c>
      <c r="E948" s="209"/>
      <c r="F948" s="209"/>
      <c r="G948" s="209"/>
      <c r="H948" s="217" t="s">
        <v>5879</v>
      </c>
      <c r="I948" s="217"/>
      <c r="J948" s="215"/>
      <c r="K948" s="217"/>
      <c r="L948" s="212" t="s">
        <v>3941</v>
      </c>
      <c r="M948" s="212" t="s">
        <v>3941</v>
      </c>
      <c r="N948" s="210"/>
      <c r="O948" s="263">
        <v>4590009140</v>
      </c>
      <c r="P948" s="214">
        <v>44958</v>
      </c>
      <c r="Q948" s="334">
        <v>12</v>
      </c>
      <c r="R948" s="216">
        <v>5475.46</v>
      </c>
      <c r="S948" s="217" t="s">
        <v>2156</v>
      </c>
      <c r="T948" s="209" t="s">
        <v>4468</v>
      </c>
      <c r="U948" s="209" t="s">
        <v>4469</v>
      </c>
      <c r="V948" s="213" t="s">
        <v>4470</v>
      </c>
      <c r="W948" s="218" t="s">
        <v>3652</v>
      </c>
      <c r="X948" s="218" t="s">
        <v>3652</v>
      </c>
      <c r="Y948" s="212">
        <v>0</v>
      </c>
      <c r="Z948" s="209" t="s">
        <v>5876</v>
      </c>
      <c r="AA948" s="215"/>
      <c r="AB948" s="218"/>
      <c r="AC948" s="217" t="e">
        <v>#N/A</v>
      </c>
      <c r="AD948" s="217">
        <v>91230</v>
      </c>
      <c r="AE948" s="217" t="s">
        <v>5880</v>
      </c>
      <c r="AF948" s="217" t="s">
        <v>4102</v>
      </c>
      <c r="AG948" s="217" t="s">
        <v>5878</v>
      </c>
      <c r="AH948" s="220" t="str">
        <f>O948&amp;"_0"&amp;Q948</f>
        <v>4590009140_012</v>
      </c>
      <c r="AI948" s="208"/>
      <c r="AJ948" s="220"/>
      <c r="AK948" s="221"/>
      <c r="AL948" s="227"/>
      <c r="AM948" s="208"/>
      <c r="AN948" s="220"/>
      <c r="AO948" s="222"/>
      <c r="AP948" s="227"/>
      <c r="AQ948" s="358">
        <f ca="1">IF(表格1[[#This Row],[PO$]]="","100%",表格1[[#This Row],[total amount]]/表格1[[#This Row],[PO$]])</f>
        <v>0</v>
      </c>
      <c r="AR948" s="223">
        <f ca="1">表格1[[#This Row],[invoice amount]]+表格1[[#This Row],[invoice amount2]]</f>
        <v>0</v>
      </c>
      <c r="AS948" s="224"/>
      <c r="AT948" s="208"/>
      <c r="AU948" s="208" t="e">
        <f ca="1">VLOOKUP(表格1[[#This Row],[PO+ITEM]],#REF!,2,FALSE)</f>
        <v>#REF!</v>
      </c>
      <c r="AV948" s="341" t="e">
        <f ca="1">VLOOKUP(表格1[[#This Row],[PO+ITEM]],#REF!,3,FALSE)</f>
        <v>#REF!</v>
      </c>
      <c r="AW948" s="208" t="e">
        <f ca="1">VLOOKUP(表格1[[#This Row],[PO+ITEM]],#REF!,4,FALSE)</f>
        <v>#REF!</v>
      </c>
      <c r="AX948" s="208" t="e" cm="1" vm="1">
        <f t="array" aca="1" ref="AX948" ca="1">VLOOKUP(AI:AI,#REF!,1,FALSE)</f>
        <v>#VALUE!</v>
      </c>
    </row>
    <row r="949" spans="1:50" s="230" customFormat="1">
      <c r="A949" s="220">
        <v>943</v>
      </c>
      <c r="B949" s="220" t="s">
        <v>3674</v>
      </c>
      <c r="C949" s="231" t="s">
        <v>16</v>
      </c>
      <c r="D949" s="231" t="s">
        <v>3648</v>
      </c>
      <c r="E949" s="231"/>
      <c r="F949" s="231"/>
      <c r="G949" s="231"/>
      <c r="H949" s="232" t="s">
        <v>5881</v>
      </c>
      <c r="I949" s="232"/>
      <c r="J949" s="233"/>
      <c r="K949" s="232"/>
      <c r="L949" s="234" t="s">
        <v>2206</v>
      </c>
      <c r="M949" s="234" t="s">
        <v>2206</v>
      </c>
      <c r="N949" s="270"/>
      <c r="O949" s="268">
        <v>4590009140</v>
      </c>
      <c r="P949" s="236">
        <v>44958</v>
      </c>
      <c r="Q949" s="336">
        <v>13</v>
      </c>
      <c r="R949" s="237"/>
      <c r="S949" s="232" t="s">
        <v>2156</v>
      </c>
      <c r="T949" s="231" t="s">
        <v>4468</v>
      </c>
      <c r="U949" s="231" t="s">
        <v>4469</v>
      </c>
      <c r="V949" s="235" t="s">
        <v>4470</v>
      </c>
      <c r="W949" s="238" t="s">
        <v>3652</v>
      </c>
      <c r="X949" s="238" t="s">
        <v>3652</v>
      </c>
      <c r="Y949" s="234">
        <v>0</v>
      </c>
      <c r="Z949" s="231" t="s">
        <v>5864</v>
      </c>
      <c r="AA949" s="233"/>
      <c r="AB949" s="238"/>
      <c r="AC949" s="232" t="e">
        <v>#N/A</v>
      </c>
      <c r="AD949" s="232">
        <v>90059</v>
      </c>
      <c r="AE949" s="232" t="s">
        <v>2587</v>
      </c>
      <c r="AF949" s="232" t="s">
        <v>4102</v>
      </c>
      <c r="AG949" s="232" t="s">
        <v>846</v>
      </c>
      <c r="AH949" s="239" t="str">
        <f>O949&amp;"_0"&amp;Q949</f>
        <v>4590009140_013</v>
      </c>
      <c r="AJ949" s="239"/>
      <c r="AK949" s="240"/>
      <c r="AL949" s="302"/>
      <c r="AN949" s="239"/>
      <c r="AO949" s="241"/>
      <c r="AP949" s="302"/>
      <c r="AQ949" s="358" t="str">
        <f ca="1">IF(表格1[[#This Row],[PO$]]="","100%",表格1[[#This Row],[total amount]]/表格1[[#This Row],[PO$]])</f>
        <v>100%</v>
      </c>
      <c r="AR949" s="242"/>
      <c r="AS949" s="243"/>
      <c r="AT949" s="208"/>
      <c r="AU949" s="208" t="e">
        <f ca="1">VLOOKUP(表格1[[#This Row],[PO+ITEM]],#REF!,2,FALSE)</f>
        <v>#REF!</v>
      </c>
      <c r="AV949" s="341" t="e">
        <f ca="1">VLOOKUP(表格1[[#This Row],[PO+ITEM]],#REF!,3,FALSE)</f>
        <v>#REF!</v>
      </c>
      <c r="AW949" s="208" t="e">
        <f ca="1">VLOOKUP(表格1[[#This Row],[PO+ITEM]],#REF!,4,FALSE)</f>
        <v>#REF!</v>
      </c>
      <c r="AX949" s="208" t="e" cm="1" vm="1">
        <f t="array" aca="1" ref="AX949" ca="1">VLOOKUP(AI:AI,#REF!,1,FALSE)</f>
        <v>#VALUE!</v>
      </c>
    </row>
    <row r="950" spans="1:50" s="230" customFormat="1">
      <c r="A950" s="220">
        <v>944</v>
      </c>
      <c r="B950" s="220" t="s">
        <v>3674</v>
      </c>
      <c r="C950" s="231" t="s">
        <v>16</v>
      </c>
      <c r="D950" s="231" t="s">
        <v>3648</v>
      </c>
      <c r="E950" s="231"/>
      <c r="F950" s="231"/>
      <c r="G950" s="231"/>
      <c r="H950" s="232" t="s">
        <v>5882</v>
      </c>
      <c r="I950" s="232"/>
      <c r="J950" s="233"/>
      <c r="K950" s="232"/>
      <c r="L950" s="234" t="s">
        <v>2206</v>
      </c>
      <c r="M950" s="234" t="s">
        <v>2206</v>
      </c>
      <c r="N950" s="270"/>
      <c r="O950" s="268">
        <v>4590009140</v>
      </c>
      <c r="P950" s="236">
        <v>44958</v>
      </c>
      <c r="Q950" s="336">
        <v>14</v>
      </c>
      <c r="R950" s="237"/>
      <c r="S950" s="232" t="s">
        <v>2156</v>
      </c>
      <c r="T950" s="231" t="s">
        <v>4468</v>
      </c>
      <c r="U950" s="231" t="s">
        <v>4469</v>
      </c>
      <c r="V950" s="235" t="s">
        <v>4470</v>
      </c>
      <c r="W950" s="238" t="s">
        <v>3652</v>
      </c>
      <c r="X950" s="238" t="s">
        <v>3652</v>
      </c>
      <c r="Y950" s="234">
        <v>0</v>
      </c>
      <c r="Z950" s="231" t="s">
        <v>5864</v>
      </c>
      <c r="AA950" s="233"/>
      <c r="AB950" s="238"/>
      <c r="AC950" s="232" t="e">
        <v>#N/A</v>
      </c>
      <c r="AD950" s="232">
        <v>90058</v>
      </c>
      <c r="AE950" s="232" t="s">
        <v>2627</v>
      </c>
      <c r="AF950" s="232" t="s">
        <v>4102</v>
      </c>
      <c r="AG950" s="232" t="s">
        <v>846</v>
      </c>
      <c r="AH950" s="239" t="str">
        <f>O950&amp;"_0"&amp;Q950</f>
        <v>4590009140_014</v>
      </c>
      <c r="AJ950" s="239"/>
      <c r="AK950" s="240"/>
      <c r="AL950" s="302"/>
      <c r="AN950" s="239"/>
      <c r="AO950" s="241"/>
      <c r="AP950" s="302"/>
      <c r="AQ950" s="358" t="str">
        <f ca="1">IF(表格1[[#This Row],[PO$]]="","100%",表格1[[#This Row],[total amount]]/表格1[[#This Row],[PO$]])</f>
        <v>100%</v>
      </c>
      <c r="AR950" s="242"/>
      <c r="AS950" s="243"/>
      <c r="AT950" s="208"/>
      <c r="AU950" s="208" t="e">
        <f ca="1">VLOOKUP(表格1[[#This Row],[PO+ITEM]],#REF!,2,FALSE)</f>
        <v>#REF!</v>
      </c>
      <c r="AV950" s="341" t="e">
        <f ca="1">VLOOKUP(表格1[[#This Row],[PO+ITEM]],#REF!,3,FALSE)</f>
        <v>#REF!</v>
      </c>
      <c r="AW950" s="208" t="e">
        <f ca="1">VLOOKUP(表格1[[#This Row],[PO+ITEM]],#REF!,4,FALSE)</f>
        <v>#REF!</v>
      </c>
      <c r="AX950" s="208" t="e" cm="1" vm="1">
        <f t="array" aca="1" ref="AX950" ca="1">VLOOKUP(AI:AI,#REF!,1,FALSE)</f>
        <v>#VALUE!</v>
      </c>
    </row>
    <row r="951" spans="1:50" s="230" customFormat="1">
      <c r="A951" s="220">
        <v>945</v>
      </c>
      <c r="B951" s="220" t="s">
        <v>3659</v>
      </c>
      <c r="C951" s="209" t="s">
        <v>16</v>
      </c>
      <c r="D951" s="209" t="s">
        <v>3648</v>
      </c>
      <c r="E951" s="209"/>
      <c r="F951" s="209"/>
      <c r="G951" s="209"/>
      <c r="H951" s="210" t="s">
        <v>5883</v>
      </c>
      <c r="I951" s="218"/>
      <c r="J951" s="218"/>
      <c r="K951" s="218"/>
      <c r="L951" s="212" t="s">
        <v>2659</v>
      </c>
      <c r="M951" s="212"/>
      <c r="N951" s="218"/>
      <c r="O951" s="212">
        <v>4590016398</v>
      </c>
      <c r="P951" s="212" t="s">
        <v>6729</v>
      </c>
      <c r="Q951" s="334">
        <v>1</v>
      </c>
      <c r="R951" s="275">
        <v>469.48</v>
      </c>
      <c r="S951" s="217" t="s">
        <v>2156</v>
      </c>
      <c r="T951" s="209" t="s">
        <v>5884</v>
      </c>
      <c r="U951" s="209" t="s">
        <v>4469</v>
      </c>
      <c r="V951" s="213" t="s">
        <v>4470</v>
      </c>
      <c r="W951" s="218" t="s">
        <v>3652</v>
      </c>
      <c r="X951" s="218" t="s">
        <v>3652</v>
      </c>
      <c r="Y951" s="212" t="e">
        <v>#N/A</v>
      </c>
      <c r="Z951" s="209" t="s">
        <v>5885</v>
      </c>
      <c r="AA951" s="218"/>
      <c r="AB951" s="218" t="s">
        <v>4083</v>
      </c>
      <c r="AC951" s="218" t="e">
        <v>#N/A</v>
      </c>
      <c r="AD951" s="217">
        <v>91238</v>
      </c>
      <c r="AE951" s="217" t="s">
        <v>5000</v>
      </c>
      <c r="AF951" s="217" t="s">
        <v>3681</v>
      </c>
      <c r="AG951" s="217" t="s">
        <v>846</v>
      </c>
      <c r="AH951" s="220" t="str">
        <f t="shared" ref="AH951:AH959" si="60">O951&amp;"_00"&amp;Q951</f>
        <v>4590016398_001</v>
      </c>
      <c r="AI951" s="208"/>
      <c r="AJ951" s="220"/>
      <c r="AK951" s="221"/>
      <c r="AL951" s="227"/>
      <c r="AM951" s="208"/>
      <c r="AN951" s="220"/>
      <c r="AO951" s="222"/>
      <c r="AP951" s="227"/>
      <c r="AQ951" s="358">
        <f ca="1">IF(表格1[[#This Row],[PO$]]="","100%",表格1[[#This Row],[total amount]]/表格1[[#This Row],[PO$]])</f>
        <v>0</v>
      </c>
      <c r="AR951" s="223">
        <f ca="1">表格1[[#This Row],[invoice amount]]+表格1[[#This Row],[invoice amount2]]</f>
        <v>0</v>
      </c>
      <c r="AS951" s="224"/>
      <c r="AT951" s="208"/>
      <c r="AU951" s="208" t="e">
        <f ca="1">VLOOKUP(表格1[[#This Row],[PO+ITEM]],#REF!,2,FALSE)</f>
        <v>#REF!</v>
      </c>
      <c r="AV951" s="341" t="e">
        <f ca="1">VLOOKUP(表格1[[#This Row],[PO+ITEM]],#REF!,3,FALSE)</f>
        <v>#REF!</v>
      </c>
      <c r="AW951" s="208" t="e">
        <f ca="1">VLOOKUP(表格1[[#This Row],[PO+ITEM]],#REF!,4,FALSE)</f>
        <v>#REF!</v>
      </c>
      <c r="AX951" s="208" t="e" cm="1" vm="1">
        <f t="array" aca="1" ref="AX951" ca="1">VLOOKUP(AI:AI,#REF!,1,FALSE)</f>
        <v>#VALUE!</v>
      </c>
    </row>
    <row r="952" spans="1:50" s="230" customFormat="1">
      <c r="A952" s="220">
        <v>946</v>
      </c>
      <c r="B952" s="220" t="s">
        <v>3659</v>
      </c>
      <c r="C952" s="209" t="s">
        <v>16</v>
      </c>
      <c r="D952" s="209" t="s">
        <v>3648</v>
      </c>
      <c r="E952" s="209"/>
      <c r="F952" s="209"/>
      <c r="G952" s="209"/>
      <c r="H952" s="210" t="s">
        <v>5886</v>
      </c>
      <c r="I952" s="218"/>
      <c r="J952" s="218"/>
      <c r="K952" s="218"/>
      <c r="L952" s="212" t="s">
        <v>2659</v>
      </c>
      <c r="M952" s="212"/>
      <c r="N952" s="218"/>
      <c r="O952" s="212">
        <v>4590016398</v>
      </c>
      <c r="P952" s="212" t="s">
        <v>6729</v>
      </c>
      <c r="Q952" s="334">
        <v>2</v>
      </c>
      <c r="R952" s="275">
        <v>469.48</v>
      </c>
      <c r="S952" s="217" t="s">
        <v>2156</v>
      </c>
      <c r="T952" s="209" t="s">
        <v>5884</v>
      </c>
      <c r="U952" s="209" t="s">
        <v>4469</v>
      </c>
      <c r="V952" s="213" t="s">
        <v>4470</v>
      </c>
      <c r="W952" s="218" t="s">
        <v>3652</v>
      </c>
      <c r="X952" s="218" t="s">
        <v>3652</v>
      </c>
      <c r="Y952" s="212" t="s">
        <v>5887</v>
      </c>
      <c r="Z952" s="209" t="s">
        <v>5885</v>
      </c>
      <c r="AA952" s="218"/>
      <c r="AB952" s="218" t="s">
        <v>4083</v>
      </c>
      <c r="AC952" s="218" t="e">
        <v>#N/A</v>
      </c>
      <c r="AD952" s="217">
        <v>91239</v>
      </c>
      <c r="AE952" s="217" t="s">
        <v>4998</v>
      </c>
      <c r="AF952" s="217" t="s">
        <v>3932</v>
      </c>
      <c r="AG952" s="217" t="s">
        <v>846</v>
      </c>
      <c r="AH952" s="220" t="str">
        <f t="shared" si="60"/>
        <v>4590016398_002</v>
      </c>
      <c r="AI952" s="208"/>
      <c r="AJ952" s="220"/>
      <c r="AK952" s="221"/>
      <c r="AL952" s="227"/>
      <c r="AM952" s="208"/>
      <c r="AN952" s="220"/>
      <c r="AO952" s="222"/>
      <c r="AP952" s="227"/>
      <c r="AQ952" s="358">
        <f ca="1">IF(表格1[[#This Row],[PO$]]="","100%",表格1[[#This Row],[total amount]]/表格1[[#This Row],[PO$]])</f>
        <v>0</v>
      </c>
      <c r="AR952" s="223">
        <f ca="1">表格1[[#This Row],[invoice amount]]+表格1[[#This Row],[invoice amount2]]</f>
        <v>0</v>
      </c>
      <c r="AS952" s="224"/>
      <c r="AT952" s="208"/>
      <c r="AU952" s="208" t="e">
        <f ca="1">VLOOKUP(表格1[[#This Row],[PO+ITEM]],#REF!,2,FALSE)</f>
        <v>#REF!</v>
      </c>
      <c r="AV952" s="341" t="e">
        <f ca="1">VLOOKUP(表格1[[#This Row],[PO+ITEM]],#REF!,3,FALSE)</f>
        <v>#REF!</v>
      </c>
      <c r="AW952" s="208" t="e">
        <f ca="1">VLOOKUP(表格1[[#This Row],[PO+ITEM]],#REF!,4,FALSE)</f>
        <v>#REF!</v>
      </c>
      <c r="AX952" s="208" t="e" cm="1" vm="1">
        <f t="array" aca="1" ref="AX952" ca="1">VLOOKUP(AI:AI,#REF!,1,FALSE)</f>
        <v>#VALUE!</v>
      </c>
    </row>
    <row r="953" spans="1:50" s="230" customFormat="1">
      <c r="A953" s="220">
        <v>947</v>
      </c>
      <c r="B953" s="220" t="s">
        <v>3659</v>
      </c>
      <c r="C953" s="209" t="s">
        <v>16</v>
      </c>
      <c r="D953" s="209" t="s">
        <v>3648</v>
      </c>
      <c r="E953" s="209"/>
      <c r="F953" s="209"/>
      <c r="G953" s="209"/>
      <c r="H953" s="210" t="s">
        <v>5888</v>
      </c>
      <c r="I953" s="218"/>
      <c r="J953" s="218"/>
      <c r="K953" s="218"/>
      <c r="L953" s="212" t="s">
        <v>2659</v>
      </c>
      <c r="M953" s="212"/>
      <c r="N953" s="218"/>
      <c r="O953" s="212">
        <v>4590016398</v>
      </c>
      <c r="P953" s="212" t="s">
        <v>6729</v>
      </c>
      <c r="Q953" s="334">
        <v>3</v>
      </c>
      <c r="R953" s="275">
        <v>469.48</v>
      </c>
      <c r="S953" s="217" t="s">
        <v>2156</v>
      </c>
      <c r="T953" s="209" t="s">
        <v>5884</v>
      </c>
      <c r="U953" s="209" t="s">
        <v>4469</v>
      </c>
      <c r="V953" s="213" t="s">
        <v>4470</v>
      </c>
      <c r="W953" s="218" t="s">
        <v>3652</v>
      </c>
      <c r="X953" s="218" t="s">
        <v>3652</v>
      </c>
      <c r="Y953" s="212" t="s">
        <v>5887</v>
      </c>
      <c r="Z953" s="209" t="s">
        <v>5885</v>
      </c>
      <c r="AA953" s="218"/>
      <c r="AB953" s="218" t="s">
        <v>4083</v>
      </c>
      <c r="AC953" s="218" t="e">
        <v>#N/A</v>
      </c>
      <c r="AD953" s="217">
        <v>91240</v>
      </c>
      <c r="AE953" s="217" t="s">
        <v>5002</v>
      </c>
      <c r="AF953" s="217" t="s">
        <v>2369</v>
      </c>
      <c r="AG953" s="217" t="s">
        <v>846</v>
      </c>
      <c r="AH953" s="220" t="str">
        <f t="shared" si="60"/>
        <v>4590016398_003</v>
      </c>
      <c r="AI953" s="208"/>
      <c r="AJ953" s="220"/>
      <c r="AK953" s="221"/>
      <c r="AL953" s="227"/>
      <c r="AM953" s="208"/>
      <c r="AN953" s="220"/>
      <c r="AO953" s="222"/>
      <c r="AP953" s="227"/>
      <c r="AQ953" s="358">
        <f ca="1">IF(表格1[[#This Row],[PO$]]="","100%",表格1[[#This Row],[total amount]]/表格1[[#This Row],[PO$]])</f>
        <v>0</v>
      </c>
      <c r="AR953" s="223">
        <f ca="1">表格1[[#This Row],[invoice amount]]+表格1[[#This Row],[invoice amount2]]</f>
        <v>0</v>
      </c>
      <c r="AS953" s="224"/>
      <c r="AT953" s="208"/>
      <c r="AU953" s="208" t="e">
        <f ca="1">VLOOKUP(表格1[[#This Row],[PO+ITEM]],#REF!,2,FALSE)</f>
        <v>#REF!</v>
      </c>
      <c r="AV953" s="341" t="e">
        <f ca="1">VLOOKUP(表格1[[#This Row],[PO+ITEM]],#REF!,3,FALSE)</f>
        <v>#REF!</v>
      </c>
      <c r="AW953" s="208" t="e">
        <f ca="1">VLOOKUP(表格1[[#This Row],[PO+ITEM]],#REF!,4,FALSE)</f>
        <v>#REF!</v>
      </c>
      <c r="AX953" s="208" t="e" cm="1" vm="1">
        <f t="array" aca="1" ref="AX953" ca="1">VLOOKUP(AI:AI,#REF!,1,FALSE)</f>
        <v>#VALUE!</v>
      </c>
    </row>
    <row r="954" spans="1:50" s="230" customFormat="1">
      <c r="A954" s="220">
        <v>948</v>
      </c>
      <c r="B954" s="220" t="s">
        <v>3674</v>
      </c>
      <c r="C954" s="209" t="s">
        <v>16</v>
      </c>
      <c r="D954" s="209" t="s">
        <v>3648</v>
      </c>
      <c r="E954" s="209"/>
      <c r="F954" s="209"/>
      <c r="G954" s="209"/>
      <c r="H954" s="210" t="s">
        <v>5889</v>
      </c>
      <c r="I954" s="218"/>
      <c r="J954" s="218"/>
      <c r="K954" s="218"/>
      <c r="L954" s="212" t="s">
        <v>2659</v>
      </c>
      <c r="M954" s="212"/>
      <c r="N954" s="218"/>
      <c r="O954" s="212">
        <v>4590016398</v>
      </c>
      <c r="P954" s="212" t="s">
        <v>6729</v>
      </c>
      <c r="Q954" s="334">
        <v>4</v>
      </c>
      <c r="R954" s="275">
        <v>469.48</v>
      </c>
      <c r="S954" s="217" t="s">
        <v>2156</v>
      </c>
      <c r="T954" s="209" t="s">
        <v>5884</v>
      </c>
      <c r="U954" s="209" t="s">
        <v>4469</v>
      </c>
      <c r="V954" s="213" t="s">
        <v>4470</v>
      </c>
      <c r="W954" s="218" t="s">
        <v>3652</v>
      </c>
      <c r="X954" s="218" t="s">
        <v>3652</v>
      </c>
      <c r="Y954" s="212" t="s">
        <v>5887</v>
      </c>
      <c r="Z954" s="209" t="s">
        <v>5885</v>
      </c>
      <c r="AA954" s="218"/>
      <c r="AB954" s="218" t="s">
        <v>4083</v>
      </c>
      <c r="AC954" s="218" t="e">
        <v>#N/A</v>
      </c>
      <c r="AD954" s="217">
        <v>91241</v>
      </c>
      <c r="AE954" s="217" t="s">
        <v>5004</v>
      </c>
      <c r="AF954" s="217" t="s">
        <v>4102</v>
      </c>
      <c r="AG954" s="217" t="s">
        <v>846</v>
      </c>
      <c r="AH954" s="220" t="str">
        <f t="shared" si="60"/>
        <v>4590016398_004</v>
      </c>
      <c r="AI954" s="208"/>
      <c r="AJ954" s="220"/>
      <c r="AK954" s="221"/>
      <c r="AL954" s="227"/>
      <c r="AM954" s="208"/>
      <c r="AN954" s="220"/>
      <c r="AO954" s="222"/>
      <c r="AP954" s="227"/>
      <c r="AQ954" s="358">
        <f ca="1">IF(表格1[[#This Row],[PO$]]="","100%",表格1[[#This Row],[total amount]]/表格1[[#This Row],[PO$]])</f>
        <v>0</v>
      </c>
      <c r="AR954" s="223">
        <f ca="1">表格1[[#This Row],[invoice amount]]+表格1[[#This Row],[invoice amount2]]</f>
        <v>0</v>
      </c>
      <c r="AS954" s="224"/>
      <c r="AT954" s="208"/>
      <c r="AU954" s="208" t="e">
        <f ca="1">VLOOKUP(表格1[[#This Row],[PO+ITEM]],#REF!,2,FALSE)</f>
        <v>#REF!</v>
      </c>
      <c r="AV954" s="341" t="e">
        <f ca="1">VLOOKUP(表格1[[#This Row],[PO+ITEM]],#REF!,3,FALSE)</f>
        <v>#REF!</v>
      </c>
      <c r="AW954" s="208" t="e">
        <f ca="1">VLOOKUP(表格1[[#This Row],[PO+ITEM]],#REF!,4,FALSE)</f>
        <v>#REF!</v>
      </c>
      <c r="AX954" s="208" t="e" cm="1" vm="1">
        <f t="array" aca="1" ref="AX954" ca="1">VLOOKUP(AI:AI,#REF!,1,FALSE)</f>
        <v>#VALUE!</v>
      </c>
    </row>
    <row r="955" spans="1:50" s="230" customFormat="1">
      <c r="A955" s="220">
        <v>949</v>
      </c>
      <c r="B955" s="220" t="s">
        <v>3674</v>
      </c>
      <c r="C955" s="209" t="s">
        <v>16</v>
      </c>
      <c r="D955" s="209" t="s">
        <v>3648</v>
      </c>
      <c r="E955" s="209"/>
      <c r="F955" s="209"/>
      <c r="G955" s="209"/>
      <c r="H955" s="210" t="s">
        <v>5892</v>
      </c>
      <c r="I955" s="218"/>
      <c r="J955" s="218"/>
      <c r="K955" s="218"/>
      <c r="L955" s="212" t="s">
        <v>2659</v>
      </c>
      <c r="M955" s="212"/>
      <c r="N955" s="218"/>
      <c r="O955" s="212">
        <v>4590016398</v>
      </c>
      <c r="P955" s="212" t="s">
        <v>6729</v>
      </c>
      <c r="Q955" s="334">
        <v>5</v>
      </c>
      <c r="R955" s="275">
        <v>469.48</v>
      </c>
      <c r="S955" s="217" t="s">
        <v>2156</v>
      </c>
      <c r="T955" s="209" t="s">
        <v>5884</v>
      </c>
      <c r="U955" s="209" t="s">
        <v>4469</v>
      </c>
      <c r="V955" s="213" t="s">
        <v>4470</v>
      </c>
      <c r="W955" s="218" t="s">
        <v>3652</v>
      </c>
      <c r="X955" s="218" t="s">
        <v>3652</v>
      </c>
      <c r="Y955" s="212" t="s">
        <v>5887</v>
      </c>
      <c r="Z955" s="209" t="s">
        <v>5885</v>
      </c>
      <c r="AA955" s="218"/>
      <c r="AB955" s="218" t="s">
        <v>4083</v>
      </c>
      <c r="AC955" s="218" t="e">
        <v>#N/A</v>
      </c>
      <c r="AD955" s="217">
        <v>91242</v>
      </c>
      <c r="AE955" s="217" t="s">
        <v>5007</v>
      </c>
      <c r="AF955" s="217" t="s">
        <v>4102</v>
      </c>
      <c r="AG955" s="217" t="s">
        <v>846</v>
      </c>
      <c r="AH955" s="220" t="str">
        <f t="shared" si="60"/>
        <v>4590016398_005</v>
      </c>
      <c r="AI955" s="208"/>
      <c r="AJ955" s="220"/>
      <c r="AK955" s="221"/>
      <c r="AL955" s="227"/>
      <c r="AM955" s="208"/>
      <c r="AN955" s="220"/>
      <c r="AO955" s="222"/>
      <c r="AP955" s="227"/>
      <c r="AQ955" s="358">
        <f ca="1">IF(表格1[[#This Row],[PO$]]="","100%",表格1[[#This Row],[total amount]]/表格1[[#This Row],[PO$]])</f>
        <v>0</v>
      </c>
      <c r="AR955" s="223">
        <f ca="1">表格1[[#This Row],[invoice amount]]+表格1[[#This Row],[invoice amount2]]</f>
        <v>0</v>
      </c>
      <c r="AS955" s="224"/>
      <c r="AT955" s="208"/>
      <c r="AU955" s="208" t="e">
        <f ca="1">VLOOKUP(表格1[[#This Row],[PO+ITEM]],#REF!,2,FALSE)</f>
        <v>#REF!</v>
      </c>
      <c r="AV955" s="341" t="e">
        <f ca="1">VLOOKUP(表格1[[#This Row],[PO+ITEM]],#REF!,3,FALSE)</f>
        <v>#REF!</v>
      </c>
      <c r="AW955" s="208" t="e">
        <f ca="1">VLOOKUP(表格1[[#This Row],[PO+ITEM]],#REF!,4,FALSE)</f>
        <v>#REF!</v>
      </c>
      <c r="AX955" s="208" t="e" cm="1" vm="1">
        <f t="array" aca="1" ref="AX955" ca="1">VLOOKUP(AI:AI,#REF!,1,FALSE)</f>
        <v>#VALUE!</v>
      </c>
    </row>
    <row r="956" spans="1:50" s="230" customFormat="1">
      <c r="A956" s="220">
        <v>950</v>
      </c>
      <c r="B956" s="220" t="s">
        <v>3659</v>
      </c>
      <c r="C956" s="209" t="s">
        <v>16</v>
      </c>
      <c r="D956" s="209" t="s">
        <v>3648</v>
      </c>
      <c r="E956" s="209"/>
      <c r="F956" s="209"/>
      <c r="G956" s="209"/>
      <c r="H956" s="210" t="s">
        <v>5893</v>
      </c>
      <c r="I956" s="218"/>
      <c r="J956" s="218"/>
      <c r="K956" s="218"/>
      <c r="L956" s="212" t="s">
        <v>2659</v>
      </c>
      <c r="M956" s="212"/>
      <c r="N956" s="218"/>
      <c r="O956" s="212">
        <v>4590016398</v>
      </c>
      <c r="P956" s="212" t="s">
        <v>6729</v>
      </c>
      <c r="Q956" s="334">
        <v>6</v>
      </c>
      <c r="R956" s="275">
        <v>469.48</v>
      </c>
      <c r="S956" s="217" t="s">
        <v>2156</v>
      </c>
      <c r="T956" s="209" t="s">
        <v>5884</v>
      </c>
      <c r="U956" s="209" t="s">
        <v>4469</v>
      </c>
      <c r="V956" s="213" t="s">
        <v>4470</v>
      </c>
      <c r="W956" s="218" t="s">
        <v>3652</v>
      </c>
      <c r="X956" s="218" t="s">
        <v>3652</v>
      </c>
      <c r="Y956" s="212" t="s">
        <v>5887</v>
      </c>
      <c r="Z956" s="209" t="s">
        <v>5885</v>
      </c>
      <c r="AA956" s="218"/>
      <c r="AB956" s="218" t="s">
        <v>4083</v>
      </c>
      <c r="AC956" s="218" t="e">
        <v>#N/A</v>
      </c>
      <c r="AD956" s="217">
        <v>91243</v>
      </c>
      <c r="AE956" s="217" t="s">
        <v>5009</v>
      </c>
      <c r="AF956" s="217" t="s">
        <v>4102</v>
      </c>
      <c r="AG956" s="217" t="s">
        <v>846</v>
      </c>
      <c r="AH956" s="220" t="str">
        <f t="shared" si="60"/>
        <v>4590016398_006</v>
      </c>
      <c r="AI956" s="208"/>
      <c r="AJ956" s="220"/>
      <c r="AK956" s="221"/>
      <c r="AL956" s="227"/>
      <c r="AM956" s="208"/>
      <c r="AN956" s="220"/>
      <c r="AO956" s="222"/>
      <c r="AP956" s="227"/>
      <c r="AQ956" s="358">
        <f ca="1">IF(表格1[[#This Row],[PO$]]="","100%",表格1[[#This Row],[total amount]]/表格1[[#This Row],[PO$]])</f>
        <v>0</v>
      </c>
      <c r="AR956" s="223">
        <f ca="1">表格1[[#This Row],[invoice amount]]+表格1[[#This Row],[invoice amount2]]</f>
        <v>0</v>
      </c>
      <c r="AS956" s="224"/>
      <c r="AT956" s="208"/>
      <c r="AU956" s="208" t="e">
        <f ca="1">VLOOKUP(表格1[[#This Row],[PO+ITEM]],#REF!,2,FALSE)</f>
        <v>#REF!</v>
      </c>
      <c r="AV956" s="341" t="e">
        <f ca="1">VLOOKUP(表格1[[#This Row],[PO+ITEM]],#REF!,3,FALSE)</f>
        <v>#REF!</v>
      </c>
      <c r="AW956" s="208" t="e">
        <f ca="1">VLOOKUP(表格1[[#This Row],[PO+ITEM]],#REF!,4,FALSE)</f>
        <v>#REF!</v>
      </c>
      <c r="AX956" s="208" t="e" cm="1" vm="1">
        <f t="array" aca="1" ref="AX956" ca="1">VLOOKUP(AI:AI,#REF!,1,FALSE)</f>
        <v>#VALUE!</v>
      </c>
    </row>
    <row r="957" spans="1:50" s="230" customFormat="1">
      <c r="A957" s="220">
        <v>951</v>
      </c>
      <c r="B957" s="220" t="s">
        <v>3674</v>
      </c>
      <c r="C957" s="209" t="s">
        <v>16</v>
      </c>
      <c r="D957" s="209" t="s">
        <v>3648</v>
      </c>
      <c r="E957" s="209"/>
      <c r="F957" s="209"/>
      <c r="G957" s="209"/>
      <c r="H957" s="210" t="s">
        <v>5894</v>
      </c>
      <c r="I957" s="218"/>
      <c r="J957" s="218"/>
      <c r="K957" s="218"/>
      <c r="L957" s="212" t="s">
        <v>2659</v>
      </c>
      <c r="M957" s="212"/>
      <c r="N957" s="218"/>
      <c r="O957" s="212">
        <v>4590016398</v>
      </c>
      <c r="P957" s="212" t="s">
        <v>6729</v>
      </c>
      <c r="Q957" s="334">
        <v>7</v>
      </c>
      <c r="R957" s="275">
        <v>469.48</v>
      </c>
      <c r="S957" s="217" t="s">
        <v>2156</v>
      </c>
      <c r="T957" s="209" t="s">
        <v>5884</v>
      </c>
      <c r="U957" s="209" t="s">
        <v>4469</v>
      </c>
      <c r="V957" s="213" t="s">
        <v>4470</v>
      </c>
      <c r="W957" s="218" t="s">
        <v>3652</v>
      </c>
      <c r="X957" s="218" t="s">
        <v>3652</v>
      </c>
      <c r="Y957" s="212" t="s">
        <v>5887</v>
      </c>
      <c r="Z957" s="209" t="s">
        <v>5885</v>
      </c>
      <c r="AA957" s="218"/>
      <c r="AB957" s="218" t="s">
        <v>4083</v>
      </c>
      <c r="AC957" s="218" t="e">
        <v>#N/A</v>
      </c>
      <c r="AD957" s="217">
        <v>91244</v>
      </c>
      <c r="AE957" s="217" t="s">
        <v>5011</v>
      </c>
      <c r="AF957" s="217" t="s">
        <v>4102</v>
      </c>
      <c r="AG957" s="217" t="s">
        <v>846</v>
      </c>
      <c r="AH957" s="220" t="str">
        <f t="shared" si="60"/>
        <v>4590016398_007</v>
      </c>
      <c r="AI957" s="208"/>
      <c r="AJ957" s="220"/>
      <c r="AK957" s="221"/>
      <c r="AL957" s="227"/>
      <c r="AM957" s="208"/>
      <c r="AN957" s="220"/>
      <c r="AO957" s="222"/>
      <c r="AP957" s="227"/>
      <c r="AQ957" s="358">
        <f ca="1">IF(表格1[[#This Row],[PO$]]="","100%",表格1[[#This Row],[total amount]]/表格1[[#This Row],[PO$]])</f>
        <v>0</v>
      </c>
      <c r="AR957" s="223">
        <f ca="1">表格1[[#This Row],[invoice amount]]+表格1[[#This Row],[invoice amount2]]</f>
        <v>0</v>
      </c>
      <c r="AS957" s="224"/>
      <c r="AT957" s="208"/>
      <c r="AU957" s="208" t="e">
        <f ca="1">VLOOKUP(表格1[[#This Row],[PO+ITEM]],#REF!,2,FALSE)</f>
        <v>#REF!</v>
      </c>
      <c r="AV957" s="341" t="e">
        <f ca="1">VLOOKUP(表格1[[#This Row],[PO+ITEM]],#REF!,3,FALSE)</f>
        <v>#REF!</v>
      </c>
      <c r="AW957" s="208" t="e">
        <f ca="1">VLOOKUP(表格1[[#This Row],[PO+ITEM]],#REF!,4,FALSE)</f>
        <v>#REF!</v>
      </c>
      <c r="AX957" s="208" t="e" cm="1" vm="1">
        <f t="array" aca="1" ref="AX957" ca="1">VLOOKUP(AI:AI,#REF!,1,FALSE)</f>
        <v>#VALUE!</v>
      </c>
    </row>
    <row r="958" spans="1:50">
      <c r="A958" s="220">
        <v>952</v>
      </c>
      <c r="B958" s="220" t="s">
        <v>3674</v>
      </c>
      <c r="C958" s="209" t="s">
        <v>16</v>
      </c>
      <c r="D958" s="209" t="s">
        <v>3648</v>
      </c>
      <c r="E958" s="209"/>
      <c r="F958" s="209"/>
      <c r="G958" s="209"/>
      <c r="H958" s="210" t="s">
        <v>5895</v>
      </c>
      <c r="I958" s="218"/>
      <c r="J958" s="218"/>
      <c r="K958" s="218"/>
      <c r="L958" s="212" t="s">
        <v>2659</v>
      </c>
      <c r="M958" s="212"/>
      <c r="N958" s="218"/>
      <c r="O958" s="212">
        <v>4590016398</v>
      </c>
      <c r="P958" s="212" t="s">
        <v>6729</v>
      </c>
      <c r="Q958" s="334">
        <v>8</v>
      </c>
      <c r="R958" s="275">
        <v>469.48</v>
      </c>
      <c r="S958" s="217" t="s">
        <v>2156</v>
      </c>
      <c r="T958" s="209" t="s">
        <v>5884</v>
      </c>
      <c r="U958" s="209" t="s">
        <v>4469</v>
      </c>
      <c r="V958" s="213" t="s">
        <v>4470</v>
      </c>
      <c r="W958" s="218" t="s">
        <v>3652</v>
      </c>
      <c r="X958" s="218" t="s">
        <v>3652</v>
      </c>
      <c r="Y958" s="212" t="s">
        <v>5887</v>
      </c>
      <c r="Z958" s="209" t="s">
        <v>5885</v>
      </c>
      <c r="AA958" s="218"/>
      <c r="AB958" s="218" t="s">
        <v>4083</v>
      </c>
      <c r="AC958" s="218" t="e">
        <v>#N/A</v>
      </c>
      <c r="AD958" s="217">
        <v>90057</v>
      </c>
      <c r="AE958" s="217" t="s">
        <v>4479</v>
      </c>
      <c r="AF958" s="217" t="s">
        <v>4102</v>
      </c>
      <c r="AG958" s="217" t="s">
        <v>846</v>
      </c>
      <c r="AH958" s="220" t="str">
        <f t="shared" si="60"/>
        <v>4590016398_008</v>
      </c>
      <c r="AI958" s="208"/>
      <c r="AJ958" s="220"/>
      <c r="AK958" s="221"/>
      <c r="AL958" s="227"/>
      <c r="AM958" s="208"/>
      <c r="AN958" s="220"/>
      <c r="AO958" s="222"/>
      <c r="AP958" s="227"/>
      <c r="AQ958" s="358">
        <f ca="1">IF(表格1[[#This Row],[PO$]]="","100%",表格1[[#This Row],[total amount]]/表格1[[#This Row],[PO$]])</f>
        <v>0</v>
      </c>
      <c r="AR958" s="223">
        <f ca="1">表格1[[#This Row],[invoice amount]]+表格1[[#This Row],[invoice amount2]]</f>
        <v>0</v>
      </c>
      <c r="AS958" s="224"/>
      <c r="AT958" s="208"/>
      <c r="AU958" s="208" t="e">
        <f ca="1">VLOOKUP(表格1[[#This Row],[PO+ITEM]],#REF!,2,FALSE)</f>
        <v>#REF!</v>
      </c>
      <c r="AV958" s="341" t="e">
        <f ca="1">VLOOKUP(表格1[[#This Row],[PO+ITEM]],#REF!,3,FALSE)</f>
        <v>#REF!</v>
      </c>
      <c r="AW958" s="208" t="e">
        <f ca="1">VLOOKUP(表格1[[#This Row],[PO+ITEM]],#REF!,4,FALSE)</f>
        <v>#REF!</v>
      </c>
      <c r="AX958" s="208" t="e" cm="1" vm="1">
        <f t="array" aca="1" ref="AX958" ca="1">VLOOKUP(AI:AI,#REF!,1,FALSE)</f>
        <v>#VALUE!</v>
      </c>
    </row>
    <row r="959" spans="1:50">
      <c r="A959" s="220">
        <v>953</v>
      </c>
      <c r="B959" s="220" t="s">
        <v>3674</v>
      </c>
      <c r="C959" s="209" t="s">
        <v>16</v>
      </c>
      <c r="D959" s="209" t="s">
        <v>3648</v>
      </c>
      <c r="E959" s="209"/>
      <c r="F959" s="209"/>
      <c r="G959" s="209"/>
      <c r="H959" s="210" t="s">
        <v>5897</v>
      </c>
      <c r="I959" s="218"/>
      <c r="J959" s="218"/>
      <c r="K959" s="218"/>
      <c r="L959" s="212" t="s">
        <v>2659</v>
      </c>
      <c r="M959" s="212"/>
      <c r="N959" s="218"/>
      <c r="O959" s="212">
        <v>4590016398</v>
      </c>
      <c r="P959" s="212" t="s">
        <v>6729</v>
      </c>
      <c r="Q959" s="334">
        <v>9</v>
      </c>
      <c r="R959" s="275">
        <v>469.48</v>
      </c>
      <c r="S959" s="217" t="s">
        <v>2156</v>
      </c>
      <c r="T959" s="209" t="s">
        <v>5884</v>
      </c>
      <c r="U959" s="209" t="s">
        <v>4469</v>
      </c>
      <c r="V959" s="213" t="s">
        <v>4470</v>
      </c>
      <c r="W959" s="218" t="s">
        <v>3652</v>
      </c>
      <c r="X959" s="218" t="s">
        <v>3652</v>
      </c>
      <c r="Y959" s="212" t="s">
        <v>5887</v>
      </c>
      <c r="Z959" s="209" t="s">
        <v>5885</v>
      </c>
      <c r="AA959" s="218"/>
      <c r="AB959" s="218" t="s">
        <v>4083</v>
      </c>
      <c r="AC959" s="218" t="e">
        <v>#N/A</v>
      </c>
      <c r="AD959" s="217">
        <v>90058</v>
      </c>
      <c r="AE959" s="217" t="s">
        <v>2627</v>
      </c>
      <c r="AF959" s="217" t="s">
        <v>4102</v>
      </c>
      <c r="AG959" s="217" t="s">
        <v>846</v>
      </c>
      <c r="AH959" s="220" t="str">
        <f t="shared" si="60"/>
        <v>4590016398_009</v>
      </c>
      <c r="AI959" s="208"/>
      <c r="AJ959" s="220"/>
      <c r="AK959" s="221"/>
      <c r="AL959" s="227"/>
      <c r="AM959" s="208"/>
      <c r="AN959" s="220"/>
      <c r="AO959" s="222"/>
      <c r="AP959" s="227"/>
      <c r="AQ959" s="358">
        <f ca="1">IF(表格1[[#This Row],[PO$]]="","100%",表格1[[#This Row],[total amount]]/表格1[[#This Row],[PO$]])</f>
        <v>0</v>
      </c>
      <c r="AR959" s="223">
        <f ca="1">表格1[[#This Row],[invoice amount]]+表格1[[#This Row],[invoice amount2]]</f>
        <v>0</v>
      </c>
      <c r="AS959" s="224"/>
      <c r="AT959" s="208"/>
      <c r="AU959" s="208" t="e">
        <f ca="1">VLOOKUP(表格1[[#This Row],[PO+ITEM]],#REF!,2,FALSE)</f>
        <v>#REF!</v>
      </c>
      <c r="AV959" s="341" t="e">
        <f ca="1">VLOOKUP(表格1[[#This Row],[PO+ITEM]],#REF!,3,FALSE)</f>
        <v>#REF!</v>
      </c>
      <c r="AW959" s="208" t="e">
        <f ca="1">VLOOKUP(表格1[[#This Row],[PO+ITEM]],#REF!,4,FALSE)</f>
        <v>#REF!</v>
      </c>
      <c r="AX959" s="208" t="e" cm="1" vm="1">
        <f t="array" aca="1" ref="AX959" ca="1">VLOOKUP(AI:AI,#REF!,1,FALSE)</f>
        <v>#VALUE!</v>
      </c>
    </row>
    <row r="960" spans="1:50" s="230" customFormat="1">
      <c r="A960" s="220">
        <v>954</v>
      </c>
      <c r="B960" s="220" t="s">
        <v>3674</v>
      </c>
      <c r="C960" s="209" t="s">
        <v>16</v>
      </c>
      <c r="D960" s="209" t="s">
        <v>3648</v>
      </c>
      <c r="E960" s="209"/>
      <c r="F960" s="209"/>
      <c r="G960" s="209"/>
      <c r="H960" s="210" t="s">
        <v>5899</v>
      </c>
      <c r="I960" s="218"/>
      <c r="J960" s="218"/>
      <c r="K960" s="218"/>
      <c r="L960" s="212" t="s">
        <v>2659</v>
      </c>
      <c r="M960" s="212"/>
      <c r="N960" s="218"/>
      <c r="O960" s="212">
        <v>4590016398</v>
      </c>
      <c r="P960" s="212" t="s">
        <v>6729</v>
      </c>
      <c r="Q960" s="334">
        <v>10</v>
      </c>
      <c r="R960" s="275">
        <v>469.48</v>
      </c>
      <c r="S960" s="217" t="s">
        <v>2156</v>
      </c>
      <c r="T960" s="209" t="s">
        <v>5884</v>
      </c>
      <c r="U960" s="209" t="s">
        <v>4469</v>
      </c>
      <c r="V960" s="213" t="s">
        <v>4470</v>
      </c>
      <c r="W960" s="218" t="s">
        <v>3652</v>
      </c>
      <c r="X960" s="218" t="s">
        <v>3652</v>
      </c>
      <c r="Y960" s="212" t="s">
        <v>5887</v>
      </c>
      <c r="Z960" s="209" t="s">
        <v>5885</v>
      </c>
      <c r="AA960" s="218"/>
      <c r="AB960" s="218" t="s">
        <v>4083</v>
      </c>
      <c r="AC960" s="218" t="e">
        <v>#N/A</v>
      </c>
      <c r="AD960" s="217">
        <v>90059</v>
      </c>
      <c r="AE960" s="217" t="s">
        <v>2587</v>
      </c>
      <c r="AF960" s="217" t="s">
        <v>4102</v>
      </c>
      <c r="AG960" s="217" t="s">
        <v>846</v>
      </c>
      <c r="AH960" s="220" t="str">
        <f>O960&amp;"_0"&amp;Q960</f>
        <v>4590016398_010</v>
      </c>
      <c r="AI960" s="208"/>
      <c r="AJ960" s="220"/>
      <c r="AK960" s="221"/>
      <c r="AL960" s="227"/>
      <c r="AM960" s="208"/>
      <c r="AN960" s="220"/>
      <c r="AO960" s="222"/>
      <c r="AP960" s="227"/>
      <c r="AQ960" s="358">
        <f ca="1">IF(表格1[[#This Row],[PO$]]="","100%",表格1[[#This Row],[total amount]]/表格1[[#This Row],[PO$]])</f>
        <v>0</v>
      </c>
      <c r="AR960" s="223">
        <f ca="1">表格1[[#This Row],[invoice amount]]+表格1[[#This Row],[invoice amount2]]</f>
        <v>0</v>
      </c>
      <c r="AS960" s="224"/>
      <c r="AT960" s="208"/>
      <c r="AU960" s="208" t="e">
        <f ca="1">VLOOKUP(表格1[[#This Row],[PO+ITEM]],#REF!,2,FALSE)</f>
        <v>#REF!</v>
      </c>
      <c r="AV960" s="341" t="e">
        <f ca="1">VLOOKUP(表格1[[#This Row],[PO+ITEM]],#REF!,3,FALSE)</f>
        <v>#REF!</v>
      </c>
      <c r="AW960" s="208" t="e">
        <f ca="1">VLOOKUP(表格1[[#This Row],[PO+ITEM]],#REF!,4,FALSE)</f>
        <v>#REF!</v>
      </c>
      <c r="AX960" s="208" t="e" cm="1" vm="1">
        <f t="array" aca="1" ref="AX960" ca="1">VLOOKUP(AI:AI,#REF!,1,FALSE)</f>
        <v>#VALUE!</v>
      </c>
    </row>
    <row r="961" spans="1:50" s="230" customFormat="1">
      <c r="A961" s="220">
        <v>955</v>
      </c>
      <c r="B961" s="220" t="s">
        <v>3674</v>
      </c>
      <c r="C961" s="209" t="s">
        <v>16</v>
      </c>
      <c r="D961" s="209" t="s">
        <v>3648</v>
      </c>
      <c r="E961" s="209"/>
      <c r="F961" s="209"/>
      <c r="G961" s="209"/>
      <c r="H961" s="210" t="s">
        <v>5901</v>
      </c>
      <c r="I961" s="218"/>
      <c r="J961" s="218"/>
      <c r="K961" s="218"/>
      <c r="L961" s="212" t="s">
        <v>2659</v>
      </c>
      <c r="M961" s="212"/>
      <c r="N961" s="218"/>
      <c r="O961" s="212">
        <v>4590016398</v>
      </c>
      <c r="P961" s="212" t="s">
        <v>6729</v>
      </c>
      <c r="Q961" s="334">
        <v>11</v>
      </c>
      <c r="R961" s="275">
        <v>469.48</v>
      </c>
      <c r="S961" s="217" t="s">
        <v>2156</v>
      </c>
      <c r="T961" s="209" t="s">
        <v>5884</v>
      </c>
      <c r="U961" s="209" t="s">
        <v>4469</v>
      </c>
      <c r="V961" s="213" t="s">
        <v>4470</v>
      </c>
      <c r="W961" s="218" t="s">
        <v>3652</v>
      </c>
      <c r="X961" s="218" t="s">
        <v>3652</v>
      </c>
      <c r="Y961" s="212" t="s">
        <v>5887</v>
      </c>
      <c r="Z961" s="209" t="s">
        <v>5885</v>
      </c>
      <c r="AA961" s="218"/>
      <c r="AB961" s="218" t="s">
        <v>4083</v>
      </c>
      <c r="AC961" s="218" t="e">
        <v>#N/A</v>
      </c>
      <c r="AD961" s="217">
        <v>90060</v>
      </c>
      <c r="AE961" s="217" t="s">
        <v>2594</v>
      </c>
      <c r="AF961" s="217" t="s">
        <v>4102</v>
      </c>
      <c r="AG961" s="217" t="s">
        <v>846</v>
      </c>
      <c r="AH961" s="220" t="str">
        <f>O961&amp;"_0"&amp;Q961</f>
        <v>4590016398_011</v>
      </c>
      <c r="AI961" s="208"/>
      <c r="AJ961" s="220"/>
      <c r="AK961" s="221"/>
      <c r="AL961" s="227"/>
      <c r="AM961" s="208"/>
      <c r="AN961" s="220"/>
      <c r="AO961" s="222"/>
      <c r="AP961" s="227"/>
      <c r="AQ961" s="358">
        <f ca="1">IF(表格1[[#This Row],[PO$]]="","100%",表格1[[#This Row],[total amount]]/表格1[[#This Row],[PO$]])</f>
        <v>0</v>
      </c>
      <c r="AR961" s="223">
        <f ca="1">表格1[[#This Row],[invoice amount]]+表格1[[#This Row],[invoice amount2]]</f>
        <v>0</v>
      </c>
      <c r="AS961" s="224"/>
      <c r="AT961" s="208"/>
      <c r="AU961" s="208" t="e">
        <f ca="1">VLOOKUP(表格1[[#This Row],[PO+ITEM]],#REF!,2,FALSE)</f>
        <v>#REF!</v>
      </c>
      <c r="AV961" s="341" t="e">
        <f ca="1">VLOOKUP(表格1[[#This Row],[PO+ITEM]],#REF!,3,FALSE)</f>
        <v>#REF!</v>
      </c>
      <c r="AW961" s="208" t="e">
        <f ca="1">VLOOKUP(表格1[[#This Row],[PO+ITEM]],#REF!,4,FALSE)</f>
        <v>#REF!</v>
      </c>
      <c r="AX961" s="208" t="e" cm="1" vm="1">
        <f t="array" aca="1" ref="AX961" ca="1">VLOOKUP(AI:AI,#REF!,1,FALSE)</f>
        <v>#VALUE!</v>
      </c>
    </row>
    <row r="962" spans="1:50">
      <c r="A962" s="220">
        <v>956</v>
      </c>
      <c r="B962" s="220" t="s">
        <v>3674</v>
      </c>
      <c r="C962" s="209" t="s">
        <v>16</v>
      </c>
      <c r="D962" s="209" t="s">
        <v>3648</v>
      </c>
      <c r="E962" s="209"/>
      <c r="F962" s="209"/>
      <c r="G962" s="209"/>
      <c r="H962" s="210" t="s">
        <v>5903</v>
      </c>
      <c r="I962" s="218"/>
      <c r="J962" s="218"/>
      <c r="K962" s="218"/>
      <c r="L962" s="212" t="s">
        <v>2659</v>
      </c>
      <c r="M962" s="212"/>
      <c r="N962" s="218"/>
      <c r="O962" s="212">
        <v>4590016398</v>
      </c>
      <c r="P962" s="212" t="s">
        <v>6729</v>
      </c>
      <c r="Q962" s="334">
        <v>12</v>
      </c>
      <c r="R962" s="275">
        <v>469.48</v>
      </c>
      <c r="S962" s="217" t="s">
        <v>2156</v>
      </c>
      <c r="T962" s="209" t="s">
        <v>5884</v>
      </c>
      <c r="U962" s="209" t="s">
        <v>4469</v>
      </c>
      <c r="V962" s="213" t="s">
        <v>4470</v>
      </c>
      <c r="W962" s="218" t="s">
        <v>3652</v>
      </c>
      <c r="X962" s="218" t="s">
        <v>3652</v>
      </c>
      <c r="Y962" s="212" t="s">
        <v>5887</v>
      </c>
      <c r="Z962" s="209" t="s">
        <v>5885</v>
      </c>
      <c r="AA962" s="218"/>
      <c r="AB962" s="218" t="s">
        <v>4083</v>
      </c>
      <c r="AC962" s="218" t="e">
        <v>#N/A</v>
      </c>
      <c r="AD962" s="217">
        <v>90061</v>
      </c>
      <c r="AE962" s="217" t="s">
        <v>2589</v>
      </c>
      <c r="AF962" s="217" t="s">
        <v>4102</v>
      </c>
      <c r="AG962" s="217" t="s">
        <v>846</v>
      </c>
      <c r="AH962" s="220" t="str">
        <f>O962&amp;"_0"&amp;Q962</f>
        <v>4590016398_012</v>
      </c>
      <c r="AI962" s="208"/>
      <c r="AJ962" s="220"/>
      <c r="AK962" s="221"/>
      <c r="AL962" s="227"/>
      <c r="AM962" s="208"/>
      <c r="AN962" s="220"/>
      <c r="AO962" s="222"/>
      <c r="AP962" s="227"/>
      <c r="AQ962" s="358">
        <f ca="1">IF(表格1[[#This Row],[PO$]]="","100%",表格1[[#This Row],[total amount]]/表格1[[#This Row],[PO$]])</f>
        <v>0</v>
      </c>
      <c r="AR962" s="223">
        <f ca="1">表格1[[#This Row],[invoice amount]]+表格1[[#This Row],[invoice amount2]]</f>
        <v>0</v>
      </c>
      <c r="AS962" s="224"/>
      <c r="AT962" s="208"/>
      <c r="AU962" s="208" t="e">
        <f ca="1">VLOOKUP(表格1[[#This Row],[PO+ITEM]],#REF!,2,FALSE)</f>
        <v>#REF!</v>
      </c>
      <c r="AV962" s="341" t="e">
        <f ca="1">VLOOKUP(表格1[[#This Row],[PO+ITEM]],#REF!,3,FALSE)</f>
        <v>#REF!</v>
      </c>
      <c r="AW962" s="208" t="e">
        <f ca="1">VLOOKUP(表格1[[#This Row],[PO+ITEM]],#REF!,4,FALSE)</f>
        <v>#REF!</v>
      </c>
      <c r="AX962" s="208" t="e" cm="1" vm="1">
        <f t="array" aca="1" ref="AX962" ca="1">VLOOKUP(AI:AI,#REF!,1,FALSE)</f>
        <v>#VALUE!</v>
      </c>
    </row>
    <row r="963" spans="1:50">
      <c r="A963" s="220">
        <v>957</v>
      </c>
      <c r="B963" s="220" t="e">
        <v>#N/A</v>
      </c>
      <c r="C963" s="209" t="s">
        <v>10</v>
      </c>
      <c r="D963" s="209" t="s">
        <v>3648</v>
      </c>
      <c r="E963" s="209" t="s">
        <v>5905</v>
      </c>
      <c r="F963" s="209" t="s">
        <v>5905</v>
      </c>
      <c r="G963" s="209" t="s">
        <v>5905</v>
      </c>
      <c r="H963" s="210" t="s">
        <v>5906</v>
      </c>
      <c r="I963" s="218" t="s">
        <v>5905</v>
      </c>
      <c r="J963" s="218" t="s">
        <v>5905</v>
      </c>
      <c r="K963" s="218" t="s">
        <v>6730</v>
      </c>
      <c r="L963" s="212" t="s">
        <v>2888</v>
      </c>
      <c r="M963" s="212"/>
      <c r="N963" s="218" t="s">
        <v>5907</v>
      </c>
      <c r="O963" s="212">
        <v>4590006324</v>
      </c>
      <c r="P963" s="212" t="s">
        <v>6731</v>
      </c>
      <c r="Q963" s="215">
        <v>1</v>
      </c>
      <c r="R963" s="275">
        <v>120783</v>
      </c>
      <c r="S963" s="217" t="s">
        <v>2253</v>
      </c>
      <c r="T963" s="209" t="s">
        <v>5908</v>
      </c>
      <c r="U963" s="209" t="s">
        <v>3651</v>
      </c>
      <c r="V963" s="213" t="s">
        <v>3649</v>
      </c>
      <c r="W963" s="218" t="s">
        <v>3652</v>
      </c>
      <c r="X963" s="218" t="s">
        <v>4145</v>
      </c>
      <c r="Y963" s="212" t="s">
        <v>5909</v>
      </c>
      <c r="Z963" s="209" t="s">
        <v>5910</v>
      </c>
      <c r="AA963" s="218" t="s">
        <v>5905</v>
      </c>
      <c r="AB963" s="218" t="s">
        <v>5905</v>
      </c>
      <c r="AC963" s="218" t="e">
        <v>#N/A</v>
      </c>
      <c r="AD963" s="217"/>
      <c r="AE963" s="217"/>
      <c r="AF963" s="210" t="s">
        <v>10</v>
      </c>
      <c r="AG963" s="217"/>
      <c r="AH963" s="220">
        <f t="shared" ref="AH963:AH994" si="61">O963</f>
        <v>4590006324</v>
      </c>
      <c r="AI963" s="208" t="s">
        <v>5911</v>
      </c>
      <c r="AJ963" s="227">
        <v>45271</v>
      </c>
      <c r="AK963" s="221">
        <v>951.46</v>
      </c>
      <c r="AL963" s="227">
        <v>45503</v>
      </c>
      <c r="AM963" s="208"/>
      <c r="AN963" s="220"/>
      <c r="AO963" s="222"/>
      <c r="AP963" s="227"/>
      <c r="AQ963" s="358">
        <f ca="1">IF(表格1[[#This Row],[PO$]]="","100%",表格1[[#This Row],[total amount]]/表格1[[#This Row],[PO$]])</f>
        <v>7.8774330824702161E-3</v>
      </c>
      <c r="AR963" s="223">
        <f ca="1">表格1[[#This Row],[invoice amount]]+表格1[[#This Row],[invoice amount2]]</f>
        <v>951.46</v>
      </c>
      <c r="AS963" s="224" t="s">
        <v>3725</v>
      </c>
      <c r="AT963" s="208" t="s">
        <v>6732</v>
      </c>
      <c r="AU963" s="208" t="e">
        <f ca="1">VLOOKUP(表格1[[#This Row],[PO+ITEM]],#REF!,2,FALSE)</f>
        <v>#REF!</v>
      </c>
      <c r="AV963" s="341" t="e">
        <f ca="1">VLOOKUP(表格1[[#This Row],[PO+ITEM]],#REF!,3,FALSE)</f>
        <v>#REF!</v>
      </c>
      <c r="AW963" s="208" t="e">
        <f ca="1">VLOOKUP(表格1[[#This Row],[PO+ITEM]],#REF!,4,FALSE)</f>
        <v>#REF!</v>
      </c>
      <c r="AX963" s="208" t="e" cm="1" vm="1">
        <f t="array" aca="1" ref="AX963" ca="1">VLOOKUP(AI:AI,#REF!,1,FALSE)</f>
        <v>#VALUE!</v>
      </c>
    </row>
    <row r="964" spans="1:50">
      <c r="A964" s="220">
        <v>958</v>
      </c>
      <c r="B964" s="220" t="s">
        <v>3674</v>
      </c>
      <c r="C964" s="209" t="s">
        <v>17</v>
      </c>
      <c r="D964" s="209" t="s">
        <v>3648</v>
      </c>
      <c r="E964" s="209" t="s">
        <v>2196</v>
      </c>
      <c r="F964" s="209"/>
      <c r="G964" s="209"/>
      <c r="H964" s="210" t="s">
        <v>5914</v>
      </c>
      <c r="I964" s="218"/>
      <c r="J964" s="218"/>
      <c r="K964" s="218"/>
      <c r="L964" s="212" t="s">
        <v>4166</v>
      </c>
      <c r="M964" s="212"/>
      <c r="N964" s="218"/>
      <c r="O964" s="212">
        <v>4590017571</v>
      </c>
      <c r="P964" s="214" t="s">
        <v>6733</v>
      </c>
      <c r="Q964" s="215">
        <v>1</v>
      </c>
      <c r="R964" s="216">
        <v>1995.28</v>
      </c>
      <c r="S964" s="217" t="s">
        <v>2156</v>
      </c>
      <c r="T964" s="209"/>
      <c r="U964" s="209" t="s">
        <v>4031</v>
      </c>
      <c r="V964" s="210"/>
      <c r="W964" s="218" t="s">
        <v>3652</v>
      </c>
      <c r="X964" s="218" t="s">
        <v>4145</v>
      </c>
      <c r="Y964" s="212"/>
      <c r="Z964" s="209" t="s">
        <v>5917</v>
      </c>
      <c r="AA964" s="218"/>
      <c r="AB964" s="218"/>
      <c r="AC964" s="217"/>
      <c r="AD964" s="217"/>
      <c r="AE964" s="217" t="s">
        <v>5877</v>
      </c>
      <c r="AF964" s="217"/>
      <c r="AG964" s="217"/>
      <c r="AH964" s="220">
        <f t="shared" si="61"/>
        <v>4590017571</v>
      </c>
      <c r="AI964" s="208"/>
      <c r="AJ964" s="220"/>
      <c r="AK964" s="221"/>
      <c r="AL964" s="227"/>
      <c r="AM964" s="208"/>
      <c r="AN964" s="220"/>
      <c r="AO964" s="222"/>
      <c r="AP964" s="227"/>
      <c r="AQ964" s="358">
        <f ca="1">IF(表格1[[#This Row],[PO$]]="","100%",表格1[[#This Row],[total amount]]/表格1[[#This Row],[PO$]])</f>
        <v>0</v>
      </c>
      <c r="AR964" s="223">
        <f ca="1">表格1[[#This Row],[invoice amount]]+表格1[[#This Row],[invoice amount2]]</f>
        <v>0</v>
      </c>
      <c r="AS964" s="224"/>
      <c r="AT964" s="208"/>
      <c r="AU964" s="208" t="e">
        <f ca="1">VLOOKUP(表格1[[#This Row],[PO+ITEM]],#REF!,2,FALSE)</f>
        <v>#REF!</v>
      </c>
      <c r="AV964" s="341" t="e">
        <f ca="1">VLOOKUP(表格1[[#This Row],[PO+ITEM]],#REF!,3,FALSE)</f>
        <v>#REF!</v>
      </c>
      <c r="AW964" s="208" t="e">
        <f ca="1">VLOOKUP(表格1[[#This Row],[PO+ITEM]],#REF!,4,FALSE)</f>
        <v>#REF!</v>
      </c>
      <c r="AX964" s="208" t="e" cm="1" vm="1">
        <f t="array" aca="1" ref="AX964" ca="1">VLOOKUP(AI:AI,#REF!,1,FALSE)</f>
        <v>#VALUE!</v>
      </c>
    </row>
    <row r="965" spans="1:50">
      <c r="A965" s="220">
        <v>959</v>
      </c>
      <c r="B965" s="220" t="s">
        <v>3674</v>
      </c>
      <c r="C965" s="209" t="s">
        <v>17</v>
      </c>
      <c r="D965" s="209" t="s">
        <v>3648</v>
      </c>
      <c r="E965" s="209" t="s">
        <v>2196</v>
      </c>
      <c r="F965" s="209"/>
      <c r="G965" s="209"/>
      <c r="H965" s="210" t="s">
        <v>5920</v>
      </c>
      <c r="I965" s="210"/>
      <c r="J965" s="211"/>
      <c r="K965" s="218"/>
      <c r="L965" s="210" t="s">
        <v>2659</v>
      </c>
      <c r="M965" s="210"/>
      <c r="N965" s="210"/>
      <c r="O965" s="257">
        <v>4590017669</v>
      </c>
      <c r="P965" s="214" t="s">
        <v>6734</v>
      </c>
      <c r="Q965" s="215">
        <v>1</v>
      </c>
      <c r="R965" s="216">
        <v>14732.62</v>
      </c>
      <c r="S965" s="217" t="s">
        <v>2156</v>
      </c>
      <c r="T965" s="209"/>
      <c r="U965" s="209" t="s">
        <v>4031</v>
      </c>
      <c r="V965" s="210"/>
      <c r="W965" s="218" t="s">
        <v>3652</v>
      </c>
      <c r="X965" s="218" t="s">
        <v>4145</v>
      </c>
      <c r="Y965" s="212" t="s">
        <v>4198</v>
      </c>
      <c r="Z965" s="209" t="s">
        <v>5923</v>
      </c>
      <c r="AA965" s="215"/>
      <c r="AB965" s="218"/>
      <c r="AC965" s="217"/>
      <c r="AD965" s="217"/>
      <c r="AE965" s="217" t="s">
        <v>2621</v>
      </c>
      <c r="AF965" s="217"/>
      <c r="AG965" s="217"/>
      <c r="AH965" s="220">
        <f t="shared" si="61"/>
        <v>4590017669</v>
      </c>
      <c r="AI965" s="208"/>
      <c r="AJ965" s="220"/>
      <c r="AK965" s="221"/>
      <c r="AL965" s="227"/>
      <c r="AM965" s="208"/>
      <c r="AN965" s="220"/>
      <c r="AO965" s="222"/>
      <c r="AP965" s="227"/>
      <c r="AQ965" s="358">
        <f ca="1">IF(表格1[[#This Row],[PO$]]="","100%",表格1[[#This Row],[total amount]]/表格1[[#This Row],[PO$]])</f>
        <v>0</v>
      </c>
      <c r="AR965" s="223">
        <f ca="1">表格1[[#This Row],[invoice amount]]+表格1[[#This Row],[invoice amount2]]</f>
        <v>0</v>
      </c>
      <c r="AS965" s="224"/>
      <c r="AT965" s="208"/>
      <c r="AU965" s="208" t="e">
        <f ca="1">VLOOKUP(表格1[[#This Row],[PO+ITEM]],#REF!,2,FALSE)</f>
        <v>#REF!</v>
      </c>
      <c r="AV965" s="341" t="e">
        <f ca="1">VLOOKUP(表格1[[#This Row],[PO+ITEM]],#REF!,3,FALSE)</f>
        <v>#REF!</v>
      </c>
      <c r="AW965" s="208" t="e">
        <f ca="1">VLOOKUP(表格1[[#This Row],[PO+ITEM]],#REF!,4,FALSE)</f>
        <v>#REF!</v>
      </c>
      <c r="AX965" s="208" t="e" cm="1" vm="1">
        <f t="array" aca="1" ref="AX965" ca="1">VLOOKUP(AI:AI,#REF!,1,FALSE)</f>
        <v>#VALUE!</v>
      </c>
    </row>
    <row r="966" spans="1:50">
      <c r="A966" s="220">
        <v>960</v>
      </c>
      <c r="B966" s="220" t="s">
        <v>3674</v>
      </c>
      <c r="C966" s="209" t="s">
        <v>17</v>
      </c>
      <c r="D966" s="209" t="s">
        <v>3648</v>
      </c>
      <c r="E966" s="209" t="s">
        <v>2196</v>
      </c>
      <c r="F966" s="209"/>
      <c r="G966" s="209"/>
      <c r="H966" s="210" t="s">
        <v>5925</v>
      </c>
      <c r="I966" s="218"/>
      <c r="J966" s="218"/>
      <c r="K966" s="218"/>
      <c r="L966" s="212" t="s">
        <v>2659</v>
      </c>
      <c r="M966" s="212"/>
      <c r="N966" s="218"/>
      <c r="O966" s="212">
        <v>4590017670</v>
      </c>
      <c r="P966" s="214" t="s">
        <v>6734</v>
      </c>
      <c r="Q966" s="215">
        <v>1</v>
      </c>
      <c r="R966" s="216">
        <v>13787.28</v>
      </c>
      <c r="S966" s="217" t="s">
        <v>2156</v>
      </c>
      <c r="T966" s="209"/>
      <c r="U966" s="209" t="s">
        <v>4031</v>
      </c>
      <c r="V966" s="210"/>
      <c r="W966" s="218" t="s">
        <v>3652</v>
      </c>
      <c r="X966" s="218" t="s">
        <v>4145</v>
      </c>
      <c r="Y966" s="212" t="s">
        <v>4198</v>
      </c>
      <c r="Z966" s="209" t="s">
        <v>5927</v>
      </c>
      <c r="AA966" s="218"/>
      <c r="AB966" s="218"/>
      <c r="AC966" s="217"/>
      <c r="AD966" s="217"/>
      <c r="AE966" s="217" t="s">
        <v>2673</v>
      </c>
      <c r="AF966" s="217"/>
      <c r="AG966" s="217"/>
      <c r="AH966" s="220">
        <f t="shared" si="61"/>
        <v>4590017670</v>
      </c>
      <c r="AI966" s="208"/>
      <c r="AJ966" s="220"/>
      <c r="AK966" s="221"/>
      <c r="AL966" s="227"/>
      <c r="AM966" s="208"/>
      <c r="AN966" s="220"/>
      <c r="AO966" s="222"/>
      <c r="AP966" s="227"/>
      <c r="AQ966" s="358">
        <f ca="1">IF(表格1[[#This Row],[PO$]]="","100%",表格1[[#This Row],[total amount]]/表格1[[#This Row],[PO$]])</f>
        <v>0</v>
      </c>
      <c r="AR966" s="223">
        <f ca="1">表格1[[#This Row],[invoice amount]]+表格1[[#This Row],[invoice amount2]]</f>
        <v>0</v>
      </c>
      <c r="AS966" s="224"/>
      <c r="AT966" s="208"/>
      <c r="AU966" s="208" t="e">
        <f ca="1">VLOOKUP(表格1[[#This Row],[PO+ITEM]],#REF!,2,FALSE)</f>
        <v>#REF!</v>
      </c>
      <c r="AV966" s="341" t="e">
        <f ca="1">VLOOKUP(表格1[[#This Row],[PO+ITEM]],#REF!,3,FALSE)</f>
        <v>#REF!</v>
      </c>
      <c r="AW966" s="208" t="e">
        <f ca="1">VLOOKUP(表格1[[#This Row],[PO+ITEM]],#REF!,4,FALSE)</f>
        <v>#REF!</v>
      </c>
      <c r="AX966" s="208" t="e" cm="1" vm="1">
        <f t="array" aca="1" ref="AX966" ca="1">VLOOKUP(AI:AI,#REF!,1,FALSE)</f>
        <v>#VALUE!</v>
      </c>
    </row>
    <row r="967" spans="1:50">
      <c r="A967" s="220">
        <v>961</v>
      </c>
      <c r="B967" s="220" t="s">
        <v>3674</v>
      </c>
      <c r="C967" s="209" t="s">
        <v>17</v>
      </c>
      <c r="D967" s="209" t="s">
        <v>3648</v>
      </c>
      <c r="E967" s="209" t="s">
        <v>2196</v>
      </c>
      <c r="F967" s="209"/>
      <c r="G967" s="209"/>
      <c r="H967" s="210" t="s">
        <v>5929</v>
      </c>
      <c r="I967" s="218"/>
      <c r="J967" s="218"/>
      <c r="K967" s="218"/>
      <c r="L967" s="212" t="s">
        <v>2659</v>
      </c>
      <c r="M967" s="212"/>
      <c r="N967" s="218"/>
      <c r="O967" s="212">
        <v>4590017671</v>
      </c>
      <c r="P967" s="214" t="s">
        <v>6734</v>
      </c>
      <c r="Q967" s="215">
        <v>1</v>
      </c>
      <c r="R967" s="216">
        <v>13138.32</v>
      </c>
      <c r="S967" s="217" t="s">
        <v>2156</v>
      </c>
      <c r="T967" s="209"/>
      <c r="U967" s="209" t="s">
        <v>4031</v>
      </c>
      <c r="V967" s="210"/>
      <c r="W967" s="218" t="s">
        <v>3652</v>
      </c>
      <c r="X967" s="218" t="s">
        <v>4145</v>
      </c>
      <c r="Y967" s="212" t="s">
        <v>4198</v>
      </c>
      <c r="Z967" s="209" t="s">
        <v>5931</v>
      </c>
      <c r="AA967" s="218"/>
      <c r="AB967" s="218"/>
      <c r="AC967" s="217"/>
      <c r="AD967" s="217"/>
      <c r="AE967" s="217" t="s">
        <v>2689</v>
      </c>
      <c r="AF967" s="217"/>
      <c r="AG967" s="217"/>
      <c r="AH967" s="220">
        <f t="shared" si="61"/>
        <v>4590017671</v>
      </c>
      <c r="AI967" s="208"/>
      <c r="AJ967" s="220"/>
      <c r="AK967" s="221"/>
      <c r="AL967" s="227"/>
      <c r="AM967" s="208"/>
      <c r="AN967" s="220"/>
      <c r="AO967" s="222"/>
      <c r="AP967" s="227"/>
      <c r="AQ967" s="358">
        <f ca="1">IF(表格1[[#This Row],[PO$]]="","100%",表格1[[#This Row],[total amount]]/表格1[[#This Row],[PO$]])</f>
        <v>0</v>
      </c>
      <c r="AR967" s="223">
        <f ca="1">表格1[[#This Row],[invoice amount]]+表格1[[#This Row],[invoice amount2]]</f>
        <v>0</v>
      </c>
      <c r="AS967" s="224"/>
      <c r="AT967" s="208"/>
      <c r="AU967" s="208" t="e">
        <f ca="1">VLOOKUP(表格1[[#This Row],[PO+ITEM]],#REF!,2,FALSE)</f>
        <v>#REF!</v>
      </c>
      <c r="AV967" s="341" t="e">
        <f ca="1">VLOOKUP(表格1[[#This Row],[PO+ITEM]],#REF!,3,FALSE)</f>
        <v>#REF!</v>
      </c>
      <c r="AW967" s="208" t="e">
        <f ca="1">VLOOKUP(表格1[[#This Row],[PO+ITEM]],#REF!,4,FALSE)</f>
        <v>#REF!</v>
      </c>
      <c r="AX967" s="208" t="e" cm="1" vm="1">
        <f t="array" aca="1" ref="AX967" ca="1">VLOOKUP(AI:AI,#REF!,1,FALSE)</f>
        <v>#VALUE!</v>
      </c>
    </row>
    <row r="968" spans="1:50">
      <c r="A968" s="220">
        <v>962</v>
      </c>
      <c r="B968" s="220" t="s">
        <v>3674</v>
      </c>
      <c r="C968" s="209" t="s">
        <v>17</v>
      </c>
      <c r="D968" s="209" t="s">
        <v>3648</v>
      </c>
      <c r="E968" s="209" t="s">
        <v>2196</v>
      </c>
      <c r="F968" s="209"/>
      <c r="G968" s="209"/>
      <c r="H968" s="217" t="s">
        <v>5933</v>
      </c>
      <c r="I968" s="210"/>
      <c r="J968" s="211"/>
      <c r="K968" s="218"/>
      <c r="L968" s="210" t="s">
        <v>2659</v>
      </c>
      <c r="M968" s="210"/>
      <c r="N968" s="210"/>
      <c r="O968" s="257">
        <v>4590017672</v>
      </c>
      <c r="P968" s="214" t="s">
        <v>6734</v>
      </c>
      <c r="Q968" s="215">
        <v>1</v>
      </c>
      <c r="R968" s="216">
        <v>14478.73</v>
      </c>
      <c r="S968" s="217" t="s">
        <v>2156</v>
      </c>
      <c r="T968" s="209"/>
      <c r="U968" s="209" t="s">
        <v>4031</v>
      </c>
      <c r="V968" s="210"/>
      <c r="W968" s="218" t="s">
        <v>3652</v>
      </c>
      <c r="X968" s="218" t="s">
        <v>4145</v>
      </c>
      <c r="Y968" s="212" t="s">
        <v>4198</v>
      </c>
      <c r="Z968" s="209" t="s">
        <v>5935</v>
      </c>
      <c r="AA968" s="215"/>
      <c r="AB968" s="218"/>
      <c r="AC968" s="217"/>
      <c r="AD968" s="217"/>
      <c r="AE968" s="217" t="s">
        <v>2606</v>
      </c>
      <c r="AF968" s="217"/>
      <c r="AG968" s="217"/>
      <c r="AH968" s="220">
        <f t="shared" si="61"/>
        <v>4590017672</v>
      </c>
      <c r="AI968" s="208"/>
      <c r="AJ968" s="220"/>
      <c r="AK968" s="221"/>
      <c r="AL968" s="227"/>
      <c r="AM968" s="208"/>
      <c r="AN968" s="220"/>
      <c r="AO968" s="222"/>
      <c r="AP968" s="227"/>
      <c r="AQ968" s="358">
        <f ca="1">IF(表格1[[#This Row],[PO$]]="","100%",表格1[[#This Row],[total amount]]/表格1[[#This Row],[PO$]])</f>
        <v>0</v>
      </c>
      <c r="AR968" s="223">
        <f ca="1">表格1[[#This Row],[invoice amount]]+表格1[[#This Row],[invoice amount2]]</f>
        <v>0</v>
      </c>
      <c r="AS968" s="224"/>
      <c r="AT968" s="208"/>
      <c r="AU968" s="208" t="e">
        <f ca="1">VLOOKUP(表格1[[#This Row],[PO+ITEM]],#REF!,2,FALSE)</f>
        <v>#REF!</v>
      </c>
      <c r="AV968" s="341" t="e">
        <f ca="1">VLOOKUP(表格1[[#This Row],[PO+ITEM]],#REF!,3,FALSE)</f>
        <v>#REF!</v>
      </c>
      <c r="AW968" s="208" t="e">
        <f ca="1">VLOOKUP(表格1[[#This Row],[PO+ITEM]],#REF!,4,FALSE)</f>
        <v>#REF!</v>
      </c>
      <c r="AX968" s="208" t="e" cm="1" vm="1">
        <f t="array" aca="1" ref="AX968" ca="1">VLOOKUP(AI:AI,#REF!,1,FALSE)</f>
        <v>#VALUE!</v>
      </c>
    </row>
    <row r="969" spans="1:50">
      <c r="A969" s="220">
        <v>963</v>
      </c>
      <c r="B969" s="220" t="s">
        <v>3674</v>
      </c>
      <c r="C969" s="209" t="s">
        <v>17</v>
      </c>
      <c r="D969" s="209" t="s">
        <v>3648</v>
      </c>
      <c r="E969" s="209" t="s">
        <v>2196</v>
      </c>
      <c r="F969" s="209"/>
      <c r="G969" s="209"/>
      <c r="H969" s="217" t="s">
        <v>5937</v>
      </c>
      <c r="I969" s="210"/>
      <c r="J969" s="211"/>
      <c r="K969" s="218"/>
      <c r="L969" s="210" t="s">
        <v>2659</v>
      </c>
      <c r="M969" s="210"/>
      <c r="N969" s="210"/>
      <c r="O969" s="257">
        <v>4590017673</v>
      </c>
      <c r="P969" s="214" t="s">
        <v>6734</v>
      </c>
      <c r="Q969" s="215">
        <v>1</v>
      </c>
      <c r="R969" s="216">
        <v>14892.97</v>
      </c>
      <c r="S969" s="217" t="s">
        <v>2156</v>
      </c>
      <c r="T969" s="209"/>
      <c r="U969" s="209" t="s">
        <v>4031</v>
      </c>
      <c r="V969" s="210"/>
      <c r="W969" s="218" t="s">
        <v>3652</v>
      </c>
      <c r="X969" s="218" t="s">
        <v>4145</v>
      </c>
      <c r="Y969" s="212" t="s">
        <v>4198</v>
      </c>
      <c r="Z969" s="209" t="s">
        <v>5939</v>
      </c>
      <c r="AA969" s="215"/>
      <c r="AB969" s="218"/>
      <c r="AC969" s="217"/>
      <c r="AD969" s="217"/>
      <c r="AE969" s="217" t="s">
        <v>2669</v>
      </c>
      <c r="AF969" s="217"/>
      <c r="AG969" s="217"/>
      <c r="AH969" s="220">
        <f t="shared" si="61"/>
        <v>4590017673</v>
      </c>
      <c r="AI969" s="208"/>
      <c r="AJ969" s="220"/>
      <c r="AK969" s="221"/>
      <c r="AL969" s="227"/>
      <c r="AM969" s="208"/>
      <c r="AN969" s="220"/>
      <c r="AO969" s="222"/>
      <c r="AP969" s="227"/>
      <c r="AQ969" s="358">
        <f ca="1">IF(表格1[[#This Row],[PO$]]="","100%",表格1[[#This Row],[total amount]]/表格1[[#This Row],[PO$]])</f>
        <v>0</v>
      </c>
      <c r="AR969" s="223">
        <f ca="1">表格1[[#This Row],[invoice amount]]+表格1[[#This Row],[invoice amount2]]</f>
        <v>0</v>
      </c>
      <c r="AS969" s="224"/>
      <c r="AT969" s="208"/>
      <c r="AU969" s="208" t="e">
        <f ca="1">VLOOKUP(表格1[[#This Row],[PO+ITEM]],#REF!,2,FALSE)</f>
        <v>#REF!</v>
      </c>
      <c r="AV969" s="341" t="e">
        <f ca="1">VLOOKUP(表格1[[#This Row],[PO+ITEM]],#REF!,3,FALSE)</f>
        <v>#REF!</v>
      </c>
      <c r="AW969" s="208" t="e">
        <f ca="1">VLOOKUP(表格1[[#This Row],[PO+ITEM]],#REF!,4,FALSE)</f>
        <v>#REF!</v>
      </c>
      <c r="AX969" s="208" t="e" cm="1" vm="1">
        <f t="array" aca="1" ref="AX969" ca="1">VLOOKUP(AI:AI,#REF!,1,FALSE)</f>
        <v>#VALUE!</v>
      </c>
    </row>
    <row r="970" spans="1:50">
      <c r="A970" s="220">
        <v>964</v>
      </c>
      <c r="B970" s="220" t="s">
        <v>3674</v>
      </c>
      <c r="C970" s="209" t="s">
        <v>17</v>
      </c>
      <c r="D970" s="209" t="s">
        <v>3648</v>
      </c>
      <c r="E970" s="209" t="s">
        <v>2196</v>
      </c>
      <c r="F970" s="209" t="s">
        <v>2659</v>
      </c>
      <c r="G970" s="209"/>
      <c r="H970" s="210" t="s">
        <v>5941</v>
      </c>
      <c r="I970" s="212" t="s">
        <v>2659</v>
      </c>
      <c r="J970" s="218"/>
      <c r="K970" s="218"/>
      <c r="L970" s="212" t="s">
        <v>2659</v>
      </c>
      <c r="M970" s="212"/>
      <c r="N970" s="218"/>
      <c r="O970" s="212">
        <v>4590017674</v>
      </c>
      <c r="P970" s="212" t="s">
        <v>6734</v>
      </c>
      <c r="Q970" s="215">
        <v>1</v>
      </c>
      <c r="R970" s="216">
        <v>19980.689999999999</v>
      </c>
      <c r="S970" s="217" t="s">
        <v>2156</v>
      </c>
      <c r="T970" s="209"/>
      <c r="U970" s="209" t="s">
        <v>4031</v>
      </c>
      <c r="V970" s="210"/>
      <c r="W970" s="218" t="s">
        <v>3652</v>
      </c>
      <c r="X970" s="218" t="s">
        <v>4145</v>
      </c>
      <c r="Y970" s="212" t="s">
        <v>4198</v>
      </c>
      <c r="Z970" s="209" t="s">
        <v>5943</v>
      </c>
      <c r="AA970" s="218"/>
      <c r="AB970" s="218"/>
      <c r="AC970" s="217"/>
      <c r="AD970" s="217"/>
      <c r="AE970" s="217" t="s">
        <v>1043</v>
      </c>
      <c r="AF970" s="217"/>
      <c r="AG970" s="217"/>
      <c r="AH970" s="220">
        <f t="shared" si="61"/>
        <v>4590017674</v>
      </c>
      <c r="AI970" s="208"/>
      <c r="AJ970" s="220"/>
      <c r="AK970" s="221"/>
      <c r="AL970" s="227"/>
      <c r="AM970" s="208"/>
      <c r="AN970" s="220"/>
      <c r="AO970" s="222"/>
      <c r="AP970" s="227"/>
      <c r="AQ970" s="358">
        <f ca="1">IF(表格1[[#This Row],[PO$]]="","100%",表格1[[#This Row],[total amount]]/表格1[[#This Row],[PO$]])</f>
        <v>0</v>
      </c>
      <c r="AR970" s="223">
        <f ca="1">表格1[[#This Row],[invoice amount]]+表格1[[#This Row],[invoice amount2]]</f>
        <v>0</v>
      </c>
      <c r="AS970" s="224"/>
      <c r="AT970" s="208"/>
      <c r="AU970" s="208" t="e">
        <f ca="1">VLOOKUP(表格1[[#This Row],[PO+ITEM]],#REF!,2,FALSE)</f>
        <v>#REF!</v>
      </c>
      <c r="AV970" s="341" t="e">
        <f ca="1">VLOOKUP(表格1[[#This Row],[PO+ITEM]],#REF!,3,FALSE)</f>
        <v>#REF!</v>
      </c>
      <c r="AW970" s="208" t="e">
        <f ca="1">VLOOKUP(表格1[[#This Row],[PO+ITEM]],#REF!,4,FALSE)</f>
        <v>#REF!</v>
      </c>
      <c r="AX970" s="208" t="e" cm="1" vm="1">
        <f t="array" aca="1" ref="AX970" ca="1">VLOOKUP(AI:AI,#REF!,1,FALSE)</f>
        <v>#VALUE!</v>
      </c>
    </row>
    <row r="971" spans="1:50">
      <c r="A971" s="220">
        <v>965</v>
      </c>
      <c r="B971" s="220" t="s">
        <v>3674</v>
      </c>
      <c r="C971" s="209" t="s">
        <v>17</v>
      </c>
      <c r="D971" s="209" t="s">
        <v>3648</v>
      </c>
      <c r="E971" s="209" t="s">
        <v>2196</v>
      </c>
      <c r="F971" s="209"/>
      <c r="G971" s="209"/>
      <c r="H971" s="210" t="s">
        <v>5945</v>
      </c>
      <c r="I971" s="218"/>
      <c r="J971" s="218"/>
      <c r="K971" s="218"/>
      <c r="L971" s="212" t="s">
        <v>2659</v>
      </c>
      <c r="M971" s="212"/>
      <c r="N971" s="218"/>
      <c r="O971" s="212">
        <v>4590017675</v>
      </c>
      <c r="P971" s="212" t="s">
        <v>6734</v>
      </c>
      <c r="Q971" s="215">
        <v>1</v>
      </c>
      <c r="R971" s="216">
        <v>22928.11</v>
      </c>
      <c r="S971" s="217" t="s">
        <v>2156</v>
      </c>
      <c r="T971" s="209"/>
      <c r="U971" s="209" t="s">
        <v>4031</v>
      </c>
      <c r="V971" s="210"/>
      <c r="W971" s="218" t="s">
        <v>3652</v>
      </c>
      <c r="X971" s="218" t="s">
        <v>4145</v>
      </c>
      <c r="Y971" s="212" t="s">
        <v>4198</v>
      </c>
      <c r="Z971" s="209" t="s">
        <v>5947</v>
      </c>
      <c r="AA971" s="218"/>
      <c r="AB971" s="218"/>
      <c r="AC971" s="276"/>
      <c r="AD971" s="217"/>
      <c r="AE971" s="217" t="s">
        <v>2645</v>
      </c>
      <c r="AF971" s="217"/>
      <c r="AG971" s="217"/>
      <c r="AH971" s="220">
        <f t="shared" si="61"/>
        <v>4590017675</v>
      </c>
      <c r="AI971" s="208"/>
      <c r="AJ971" s="220"/>
      <c r="AK971" s="221"/>
      <c r="AL971" s="227"/>
      <c r="AM971" s="208"/>
      <c r="AN971" s="220"/>
      <c r="AO971" s="222"/>
      <c r="AP971" s="227"/>
      <c r="AQ971" s="358">
        <f ca="1">IF(表格1[[#This Row],[PO$]]="","100%",表格1[[#This Row],[total amount]]/表格1[[#This Row],[PO$]])</f>
        <v>0</v>
      </c>
      <c r="AR971" s="223">
        <f ca="1">表格1[[#This Row],[invoice amount]]+表格1[[#This Row],[invoice amount2]]</f>
        <v>0</v>
      </c>
      <c r="AS971" s="224"/>
      <c r="AT971" s="208"/>
      <c r="AU971" s="208" t="e">
        <f ca="1">VLOOKUP(表格1[[#This Row],[PO+ITEM]],#REF!,2,FALSE)</f>
        <v>#REF!</v>
      </c>
      <c r="AV971" s="341" t="e">
        <f ca="1">VLOOKUP(表格1[[#This Row],[PO+ITEM]],#REF!,3,FALSE)</f>
        <v>#REF!</v>
      </c>
      <c r="AW971" s="208" t="e">
        <f ca="1">VLOOKUP(表格1[[#This Row],[PO+ITEM]],#REF!,4,FALSE)</f>
        <v>#REF!</v>
      </c>
      <c r="AX971" s="208" t="e" cm="1" vm="1">
        <f t="array" aca="1" ref="AX971" ca="1">VLOOKUP(AI:AI,#REF!,1,FALSE)</f>
        <v>#VALUE!</v>
      </c>
    </row>
    <row r="972" spans="1:50">
      <c r="A972" s="220">
        <v>966</v>
      </c>
      <c r="B972" s="220" t="s">
        <v>3674</v>
      </c>
      <c r="C972" s="209" t="s">
        <v>17</v>
      </c>
      <c r="D972" s="209" t="s">
        <v>3648</v>
      </c>
      <c r="E972" s="209" t="s">
        <v>2196</v>
      </c>
      <c r="F972" s="209"/>
      <c r="G972" s="209"/>
      <c r="H972" s="210" t="s">
        <v>5949</v>
      </c>
      <c r="I972" s="218"/>
      <c r="J972" s="218"/>
      <c r="K972" s="218"/>
      <c r="L972" s="212" t="s">
        <v>2659</v>
      </c>
      <c r="M972" s="212"/>
      <c r="N972" s="218"/>
      <c r="O972" s="212">
        <v>4590017677</v>
      </c>
      <c r="P972" s="212" t="s">
        <v>6734</v>
      </c>
      <c r="Q972" s="215">
        <v>1</v>
      </c>
      <c r="R972" s="261">
        <v>19332.759999999998</v>
      </c>
      <c r="S972" s="217" t="s">
        <v>2156</v>
      </c>
      <c r="T972" s="209"/>
      <c r="U972" s="209" t="s">
        <v>4031</v>
      </c>
      <c r="V972" s="210"/>
      <c r="W972" s="218" t="s">
        <v>3652</v>
      </c>
      <c r="X972" s="218" t="s">
        <v>4145</v>
      </c>
      <c r="Y972" s="212" t="s">
        <v>4198</v>
      </c>
      <c r="Z972" s="209" t="s">
        <v>5951</v>
      </c>
      <c r="AA972" s="218"/>
      <c r="AB972" s="218"/>
      <c r="AC972" s="218"/>
      <c r="AD972" s="218"/>
      <c r="AE972" s="217" t="s">
        <v>1045</v>
      </c>
      <c r="AF972" s="217"/>
      <c r="AG972" s="217"/>
      <c r="AH972" s="220">
        <f t="shared" si="61"/>
        <v>4590017677</v>
      </c>
      <c r="AI972" s="208"/>
      <c r="AJ972" s="220"/>
      <c r="AK972" s="221"/>
      <c r="AL972" s="227"/>
      <c r="AM972" s="208"/>
      <c r="AN972" s="220"/>
      <c r="AO972" s="222"/>
      <c r="AP972" s="227"/>
      <c r="AQ972" s="358">
        <f ca="1">IF(表格1[[#This Row],[PO$]]="","100%",表格1[[#This Row],[total amount]]/表格1[[#This Row],[PO$]])</f>
        <v>0</v>
      </c>
      <c r="AR972" s="223">
        <f ca="1">表格1[[#This Row],[invoice amount]]+表格1[[#This Row],[invoice amount2]]</f>
        <v>0</v>
      </c>
      <c r="AS972" s="224"/>
      <c r="AT972" s="208"/>
      <c r="AU972" s="208" t="e">
        <f ca="1">VLOOKUP(表格1[[#This Row],[PO+ITEM]],#REF!,2,FALSE)</f>
        <v>#REF!</v>
      </c>
      <c r="AV972" s="341" t="e">
        <f ca="1">VLOOKUP(表格1[[#This Row],[PO+ITEM]],#REF!,3,FALSE)</f>
        <v>#REF!</v>
      </c>
      <c r="AW972" s="208" t="e">
        <f ca="1">VLOOKUP(表格1[[#This Row],[PO+ITEM]],#REF!,4,FALSE)</f>
        <v>#REF!</v>
      </c>
      <c r="AX972" s="208" t="e" cm="1" vm="1">
        <f t="array" aca="1" ref="AX972" ca="1">VLOOKUP(AI:AI,#REF!,1,FALSE)</f>
        <v>#VALUE!</v>
      </c>
    </row>
    <row r="973" spans="1:50">
      <c r="A973" s="220">
        <v>967</v>
      </c>
      <c r="B973" s="220" t="s">
        <v>3674</v>
      </c>
      <c r="C973" s="209" t="s">
        <v>17</v>
      </c>
      <c r="D973" s="209" t="s">
        <v>3648</v>
      </c>
      <c r="E973" s="209" t="s">
        <v>2196</v>
      </c>
      <c r="F973" s="209"/>
      <c r="G973" s="209"/>
      <c r="H973" s="210" t="s">
        <v>5953</v>
      </c>
      <c r="I973" s="218"/>
      <c r="J973" s="218"/>
      <c r="K973" s="218"/>
      <c r="L973" s="212" t="s">
        <v>4129</v>
      </c>
      <c r="M973" s="212"/>
      <c r="N973" s="218"/>
      <c r="O973" s="212">
        <v>4590017678</v>
      </c>
      <c r="P973" s="212" t="s">
        <v>6734</v>
      </c>
      <c r="Q973" s="215">
        <v>1</v>
      </c>
      <c r="R973" s="349">
        <v>2871.85</v>
      </c>
      <c r="S973" s="217" t="s">
        <v>2156</v>
      </c>
      <c r="T973" s="209"/>
      <c r="U973" s="209" t="s">
        <v>4031</v>
      </c>
      <c r="V973" s="213"/>
      <c r="W973" s="218" t="s">
        <v>3652</v>
      </c>
      <c r="X973" s="218" t="s">
        <v>4145</v>
      </c>
      <c r="Y973" s="212" t="s">
        <v>4198</v>
      </c>
      <c r="Z973" s="209" t="s">
        <v>5956</v>
      </c>
      <c r="AA973" s="218"/>
      <c r="AB973" s="218"/>
      <c r="AC973" s="218"/>
      <c r="AD973" s="217"/>
      <c r="AE973" s="217" t="s">
        <v>3273</v>
      </c>
      <c r="AF973" s="217" t="s">
        <v>3828</v>
      </c>
      <c r="AG973" s="217"/>
      <c r="AH973" s="220">
        <f t="shared" si="61"/>
        <v>4590017678</v>
      </c>
      <c r="AI973" s="208"/>
      <c r="AJ973" s="220"/>
      <c r="AK973" s="221"/>
      <c r="AL973" s="227"/>
      <c r="AM973" s="208"/>
      <c r="AN973" s="220"/>
      <c r="AO973" s="222"/>
      <c r="AP973" s="227"/>
      <c r="AQ973" s="358">
        <f ca="1">IF(表格1[[#This Row],[PO$]]="","100%",表格1[[#This Row],[total amount]]/表格1[[#This Row],[PO$]])</f>
        <v>0</v>
      </c>
      <c r="AR973" s="223">
        <f ca="1">表格1[[#This Row],[invoice amount]]+表格1[[#This Row],[invoice amount2]]</f>
        <v>0</v>
      </c>
      <c r="AS973" s="224"/>
      <c r="AT973" s="208"/>
      <c r="AU973" s="208" t="e">
        <f ca="1">VLOOKUP(表格1[[#This Row],[PO+ITEM]],#REF!,2,FALSE)</f>
        <v>#REF!</v>
      </c>
      <c r="AV973" s="341" t="e">
        <f ca="1">VLOOKUP(表格1[[#This Row],[PO+ITEM]],#REF!,3,FALSE)</f>
        <v>#REF!</v>
      </c>
      <c r="AW973" s="208" t="e">
        <f ca="1">VLOOKUP(表格1[[#This Row],[PO+ITEM]],#REF!,4,FALSE)</f>
        <v>#REF!</v>
      </c>
      <c r="AX973" s="208" t="e" cm="1" vm="1">
        <f t="array" aca="1" ref="AX973" ca="1">VLOOKUP(AI:AI,#REF!,1,FALSE)</f>
        <v>#VALUE!</v>
      </c>
    </row>
    <row r="974" spans="1:50">
      <c r="A974" s="220">
        <v>968</v>
      </c>
      <c r="B974" s="220" t="s">
        <v>3674</v>
      </c>
      <c r="C974" s="209" t="s">
        <v>17</v>
      </c>
      <c r="D974" s="209" t="s">
        <v>3648</v>
      </c>
      <c r="E974" s="209" t="s">
        <v>2196</v>
      </c>
      <c r="F974" s="209"/>
      <c r="G974" s="209"/>
      <c r="H974" s="210" t="s">
        <v>5959</v>
      </c>
      <c r="I974" s="218"/>
      <c r="J974" s="218"/>
      <c r="K974" s="218"/>
      <c r="L974" s="212" t="s">
        <v>2888</v>
      </c>
      <c r="M974" s="212"/>
      <c r="N974" s="218"/>
      <c r="O974" s="212">
        <v>4590017803</v>
      </c>
      <c r="P974" s="214">
        <v>45421</v>
      </c>
      <c r="Q974" s="215">
        <v>1</v>
      </c>
      <c r="R974" s="399">
        <v>2534.5100000000002</v>
      </c>
      <c r="S974" s="209" t="s">
        <v>2156</v>
      </c>
      <c r="T974" s="209" t="s">
        <v>5960</v>
      </c>
      <c r="U974" s="209" t="s">
        <v>4031</v>
      </c>
      <c r="V974" s="213"/>
      <c r="W974" s="218" t="s">
        <v>3652</v>
      </c>
      <c r="X974" s="218"/>
      <c r="Y974" s="212" t="s">
        <v>5961</v>
      </c>
      <c r="Z974" s="209" t="s">
        <v>5962</v>
      </c>
      <c r="AA974" s="218" t="s">
        <v>3161</v>
      </c>
      <c r="AB974" s="218"/>
      <c r="AC974" s="218"/>
      <c r="AD974" s="217"/>
      <c r="AE974" s="217" t="s">
        <v>3161</v>
      </c>
      <c r="AF974" s="217" t="s">
        <v>3828</v>
      </c>
      <c r="AG974" s="217" t="s">
        <v>3666</v>
      </c>
      <c r="AH974" s="220">
        <f t="shared" si="61"/>
        <v>4590017803</v>
      </c>
      <c r="AI974" s="217" t="s">
        <v>5964</v>
      </c>
      <c r="AJ974" s="227">
        <v>45506</v>
      </c>
      <c r="AK974" s="405">
        <v>2534.5100000000002</v>
      </c>
      <c r="AL974" s="227"/>
      <c r="AM974" s="208"/>
      <c r="AN974" s="227"/>
      <c r="AO974" s="297"/>
      <c r="AP974" s="227"/>
      <c r="AQ974" s="358">
        <f ca="1">IF(表格1[[#This Row],[PO$]]="","100%",表格1[[#This Row],[total amount]]/表格1[[#This Row],[PO$]])</f>
        <v>1</v>
      </c>
      <c r="AR974" s="223">
        <f ca="1">表格1[[#This Row],[invoice amount]]+表格1[[#This Row],[invoice amount2]]</f>
        <v>2534.5100000000002</v>
      </c>
      <c r="AS974" s="224" t="s">
        <v>3752</v>
      </c>
      <c r="AT974" s="208"/>
      <c r="AU974" s="220" t="e">
        <f ca="1">VLOOKUP(表格1[[#This Row],[PO+ITEM]],#REF!,2,FALSE)</f>
        <v>#REF!</v>
      </c>
      <c r="AV974" s="341" t="e">
        <f ca="1">VLOOKUP(表格1[[#This Row],[PO+ITEM]],#REF!,3,FALSE)</f>
        <v>#REF!</v>
      </c>
      <c r="AW974" s="208" t="e">
        <f ca="1">VLOOKUP(表格1[[#This Row],[PO+ITEM]],#REF!,4,FALSE)</f>
        <v>#REF!</v>
      </c>
      <c r="AX974" s="208" t="e" cm="1" vm="1">
        <f t="array" aca="1" ref="AX974" ca="1">VLOOKUP(AI:AI,#REF!,1,FALSE)</f>
        <v>#VALUE!</v>
      </c>
    </row>
    <row r="975" spans="1:50">
      <c r="A975" s="220">
        <v>969</v>
      </c>
      <c r="B975" s="220" t="s">
        <v>3674</v>
      </c>
      <c r="C975" s="209" t="s">
        <v>17</v>
      </c>
      <c r="D975" s="209" t="s">
        <v>3648</v>
      </c>
      <c r="E975" s="209" t="s">
        <v>2196</v>
      </c>
      <c r="F975" s="209"/>
      <c r="G975" s="209"/>
      <c r="H975" s="210" t="s">
        <v>5965</v>
      </c>
      <c r="I975" s="218"/>
      <c r="J975" s="218"/>
      <c r="K975" s="218"/>
      <c r="L975" s="212" t="s">
        <v>3762</v>
      </c>
      <c r="M975" s="212"/>
      <c r="N975" s="218"/>
      <c r="O975" s="212">
        <v>4590017867</v>
      </c>
      <c r="P975" s="214">
        <v>45423</v>
      </c>
      <c r="Q975" s="215">
        <v>1</v>
      </c>
      <c r="R975" s="331">
        <v>1343.43</v>
      </c>
      <c r="S975" s="209" t="s">
        <v>2156</v>
      </c>
      <c r="T975" s="209" t="s">
        <v>5966</v>
      </c>
      <c r="U975" s="209" t="s">
        <v>4031</v>
      </c>
      <c r="V975" s="213"/>
      <c r="W975" s="218" t="s">
        <v>3652</v>
      </c>
      <c r="X975" s="218"/>
      <c r="Y975" s="212" t="s">
        <v>5967</v>
      </c>
      <c r="Z975" s="209" t="s">
        <v>5968</v>
      </c>
      <c r="AA975" s="218" t="s">
        <v>5717</v>
      </c>
      <c r="AB975" s="218"/>
      <c r="AC975" s="218"/>
      <c r="AD975" s="217"/>
      <c r="AE975" s="217" t="s">
        <v>5717</v>
      </c>
      <c r="AF975" s="217" t="s">
        <v>3918</v>
      </c>
      <c r="AG975" s="217" t="s">
        <v>5970</v>
      </c>
      <c r="AH975" s="220">
        <f t="shared" si="61"/>
        <v>4590017867</v>
      </c>
      <c r="AI975" s="217"/>
      <c r="AJ975" s="220"/>
      <c r="AK975" s="296"/>
      <c r="AL975" s="227"/>
      <c r="AM975" s="208"/>
      <c r="AN975" s="220"/>
      <c r="AO975" s="297"/>
      <c r="AP975" s="227"/>
      <c r="AQ975" s="358">
        <f ca="1">IF(表格1[[#This Row],[PO$]]="","100%",表格1[[#This Row],[total amount]]/表格1[[#This Row],[PO$]])</f>
        <v>0</v>
      </c>
      <c r="AR975" s="223">
        <f ca="1">表格1[[#This Row],[invoice amount]]+表格1[[#This Row],[invoice amount2]]</f>
        <v>0</v>
      </c>
      <c r="AT975" s="208"/>
      <c r="AU975" s="208" t="e">
        <f ca="1">VLOOKUP(表格1[[#This Row],[PO+ITEM]],#REF!,2,FALSE)</f>
        <v>#REF!</v>
      </c>
      <c r="AV975" s="341" t="e">
        <f ca="1">VLOOKUP(表格1[[#This Row],[PO+ITEM]],#REF!,3,FALSE)</f>
        <v>#REF!</v>
      </c>
      <c r="AW975" s="208" t="e">
        <f ca="1">VLOOKUP(表格1[[#This Row],[PO+ITEM]],#REF!,4,FALSE)</f>
        <v>#REF!</v>
      </c>
      <c r="AX975" s="208" t="e" cm="1" vm="1">
        <f t="array" aca="1" ref="AX975" ca="1">VLOOKUP(AI:AI,#REF!,1,FALSE)</f>
        <v>#VALUE!</v>
      </c>
    </row>
    <row r="976" spans="1:50">
      <c r="A976" s="220">
        <v>970</v>
      </c>
      <c r="B976" s="220" t="s">
        <v>3674</v>
      </c>
      <c r="C976" s="209" t="s">
        <v>17</v>
      </c>
      <c r="D976" s="209" t="s">
        <v>3648</v>
      </c>
      <c r="E976" s="209" t="s">
        <v>2196</v>
      </c>
      <c r="F976" s="209"/>
      <c r="G976" s="209"/>
      <c r="H976" s="210" t="s">
        <v>5972</v>
      </c>
      <c r="I976" s="218"/>
      <c r="J976" s="218"/>
      <c r="K976" s="218"/>
      <c r="L976" s="212" t="s">
        <v>4105</v>
      </c>
      <c r="M976" s="212"/>
      <c r="N976" s="218"/>
      <c r="O976" s="212">
        <v>4590017868</v>
      </c>
      <c r="P976" s="214">
        <v>45423</v>
      </c>
      <c r="Q976" s="215">
        <v>1</v>
      </c>
      <c r="R976" s="331">
        <v>2276.75</v>
      </c>
      <c r="S976" s="209" t="s">
        <v>2156</v>
      </c>
      <c r="T976" s="209" t="s">
        <v>5973</v>
      </c>
      <c r="U976" s="209" t="s">
        <v>4031</v>
      </c>
      <c r="V976" s="213"/>
      <c r="W976" s="218" t="s">
        <v>3652</v>
      </c>
      <c r="X976" s="218"/>
      <c r="Y976" s="212" t="s">
        <v>5974</v>
      </c>
      <c r="Z976" s="209" t="s">
        <v>5975</v>
      </c>
      <c r="AA976" s="218" t="s">
        <v>2815</v>
      </c>
      <c r="AB976" s="218"/>
      <c r="AC976" s="218"/>
      <c r="AD976" s="217"/>
      <c r="AE976" s="217" t="s">
        <v>2815</v>
      </c>
      <c r="AF976" s="217" t="s">
        <v>4109</v>
      </c>
      <c r="AG976" s="217" t="s">
        <v>5977</v>
      </c>
      <c r="AH976" s="220">
        <f t="shared" si="61"/>
        <v>4590017868</v>
      </c>
      <c r="AI976" s="217"/>
      <c r="AJ976" s="220"/>
      <c r="AK976" s="299"/>
      <c r="AL976" s="227"/>
      <c r="AM976" s="208"/>
      <c r="AN976" s="220"/>
      <c r="AP976" s="227"/>
      <c r="AQ976" s="358">
        <f ca="1">IF(表格1[[#This Row],[PO$]]="","100%",表格1[[#This Row],[total amount]]/表格1[[#This Row],[PO$]])</f>
        <v>0</v>
      </c>
      <c r="AR976" s="223">
        <f ca="1">表格1[[#This Row],[invoice amount]]+表格1[[#This Row],[invoice amount2]]</f>
        <v>0</v>
      </c>
      <c r="AT976" s="208"/>
      <c r="AU976" s="208" t="e">
        <f ca="1">VLOOKUP(表格1[[#This Row],[PO+ITEM]],#REF!,2,FALSE)</f>
        <v>#REF!</v>
      </c>
      <c r="AV976" s="341" t="e">
        <f ca="1">VLOOKUP(表格1[[#This Row],[PO+ITEM]],#REF!,3,FALSE)</f>
        <v>#REF!</v>
      </c>
      <c r="AW976" s="208" t="e">
        <f ca="1">VLOOKUP(表格1[[#This Row],[PO+ITEM]],#REF!,4,FALSE)</f>
        <v>#REF!</v>
      </c>
      <c r="AX976" s="208" t="e" cm="1" vm="1">
        <f t="array" aca="1" ref="AX976" ca="1">VLOOKUP(AI:AI,#REF!,1,FALSE)</f>
        <v>#VALUE!</v>
      </c>
    </row>
    <row r="977" spans="1:50">
      <c r="A977" s="220">
        <v>971</v>
      </c>
      <c r="B977" s="220" t="s">
        <v>3674</v>
      </c>
      <c r="C977" s="209" t="s">
        <v>17</v>
      </c>
      <c r="D977" s="209" t="s">
        <v>3648</v>
      </c>
      <c r="E977" s="209" t="s">
        <v>2196</v>
      </c>
      <c r="F977" s="209"/>
      <c r="G977" s="209"/>
      <c r="H977" s="210" t="s">
        <v>5979</v>
      </c>
      <c r="I977" s="218"/>
      <c r="J977" s="218"/>
      <c r="K977" s="218"/>
      <c r="L977" s="212" t="s">
        <v>4105</v>
      </c>
      <c r="M977" s="212"/>
      <c r="N977" s="218"/>
      <c r="O977" s="212">
        <v>4590017870</v>
      </c>
      <c r="P977" s="214">
        <v>45423</v>
      </c>
      <c r="Q977" s="215">
        <v>1</v>
      </c>
      <c r="R977" s="331">
        <v>1668.65</v>
      </c>
      <c r="S977" s="209" t="s">
        <v>2156</v>
      </c>
      <c r="T977" s="209" t="s">
        <v>5980</v>
      </c>
      <c r="U977" s="209" t="s">
        <v>4031</v>
      </c>
      <c r="V977" s="213"/>
      <c r="W977" s="218" t="s">
        <v>3652</v>
      </c>
      <c r="X977" s="218"/>
      <c r="Y977" s="212" t="s">
        <v>5974</v>
      </c>
      <c r="Z977" s="209" t="s">
        <v>5981</v>
      </c>
      <c r="AA977" s="218" t="s">
        <v>2813</v>
      </c>
      <c r="AB977" s="218"/>
      <c r="AC977" s="218"/>
      <c r="AD977" s="217"/>
      <c r="AE977" s="217" t="s">
        <v>2813</v>
      </c>
      <c r="AF977" s="217" t="s">
        <v>4109</v>
      </c>
      <c r="AG977" s="217" t="s">
        <v>5977</v>
      </c>
      <c r="AH977" s="220">
        <f t="shared" si="61"/>
        <v>4590017870</v>
      </c>
      <c r="AI977" s="217"/>
      <c r="AJ977" s="220"/>
      <c r="AK977" s="299"/>
      <c r="AL977" s="227"/>
      <c r="AM977" s="208"/>
      <c r="AN977" s="220"/>
      <c r="AP977" s="227"/>
      <c r="AQ977" s="358">
        <f ca="1">IF(表格1[[#This Row],[PO$]]="","100%",表格1[[#This Row],[total amount]]/表格1[[#This Row],[PO$]])</f>
        <v>0</v>
      </c>
      <c r="AR977" s="223">
        <f ca="1">表格1[[#This Row],[invoice amount]]+表格1[[#This Row],[invoice amount2]]</f>
        <v>0</v>
      </c>
      <c r="AT977" s="208"/>
      <c r="AU977" s="208" t="e">
        <f ca="1">VLOOKUP(表格1[[#This Row],[PO+ITEM]],#REF!,2,FALSE)</f>
        <v>#REF!</v>
      </c>
      <c r="AV977" s="341" t="e">
        <f ca="1">VLOOKUP(表格1[[#This Row],[PO+ITEM]],#REF!,3,FALSE)</f>
        <v>#REF!</v>
      </c>
      <c r="AW977" s="208" t="e">
        <f ca="1">VLOOKUP(表格1[[#This Row],[PO+ITEM]],#REF!,4,FALSE)</f>
        <v>#REF!</v>
      </c>
      <c r="AX977" s="208" t="e" cm="1" vm="1">
        <f t="array" aca="1" ref="AX977" ca="1">VLOOKUP(AI:AI,#REF!,1,FALSE)</f>
        <v>#VALUE!</v>
      </c>
    </row>
    <row r="978" spans="1:50">
      <c r="A978" s="220">
        <v>972</v>
      </c>
      <c r="B978" s="220" t="s">
        <v>3674</v>
      </c>
      <c r="C978" s="209" t="s">
        <v>17</v>
      </c>
      <c r="D978" s="209" t="s">
        <v>3648</v>
      </c>
      <c r="E978" s="209" t="s">
        <v>2196</v>
      </c>
      <c r="F978" s="209"/>
      <c r="G978" s="209"/>
      <c r="H978" s="210" t="s">
        <v>5984</v>
      </c>
      <c r="I978" s="218"/>
      <c r="J978" s="218"/>
      <c r="K978" s="218"/>
      <c r="L978" s="212" t="s">
        <v>4105</v>
      </c>
      <c r="M978" s="212"/>
      <c r="N978" s="218"/>
      <c r="O978" s="212">
        <v>4590017871</v>
      </c>
      <c r="P978" s="214">
        <v>45423</v>
      </c>
      <c r="Q978" s="215">
        <v>1</v>
      </c>
      <c r="R978" s="350">
        <v>6007.41</v>
      </c>
      <c r="S978" s="209" t="s">
        <v>2156</v>
      </c>
      <c r="T978" s="209" t="s">
        <v>5985</v>
      </c>
      <c r="U978" s="209" t="s">
        <v>4031</v>
      </c>
      <c r="V978" s="213"/>
      <c r="W978" s="218" t="s">
        <v>3652</v>
      </c>
      <c r="X978" s="218"/>
      <c r="Y978" s="212" t="s">
        <v>5974</v>
      </c>
      <c r="Z978" s="209" t="s">
        <v>5986</v>
      </c>
      <c r="AA978" s="218" t="s">
        <v>3201</v>
      </c>
      <c r="AB978" s="218"/>
      <c r="AC978" s="218"/>
      <c r="AD978" s="217"/>
      <c r="AE978" s="217" t="s">
        <v>3201</v>
      </c>
      <c r="AF978" s="217" t="s">
        <v>4109</v>
      </c>
      <c r="AG978" s="217" t="s">
        <v>4560</v>
      </c>
      <c r="AH978" s="220">
        <f t="shared" si="61"/>
        <v>4590017871</v>
      </c>
      <c r="AI978" s="217"/>
      <c r="AJ978" s="220"/>
      <c r="AK978" s="299"/>
      <c r="AL978" s="227"/>
      <c r="AM978" s="208"/>
      <c r="AN978" s="220"/>
      <c r="AP978" s="227"/>
      <c r="AQ978" s="358">
        <f ca="1">IF(表格1[[#This Row],[PO$]]="","100%",表格1[[#This Row],[total amount]]/表格1[[#This Row],[PO$]])</f>
        <v>0</v>
      </c>
      <c r="AR978" s="223">
        <f ca="1">表格1[[#This Row],[invoice amount]]+表格1[[#This Row],[invoice amount2]]</f>
        <v>0</v>
      </c>
      <c r="AT978" s="208"/>
      <c r="AU978" s="208" t="e">
        <f ca="1">VLOOKUP(表格1[[#This Row],[PO+ITEM]],#REF!,2,FALSE)</f>
        <v>#REF!</v>
      </c>
      <c r="AV978" s="341" t="e">
        <f ca="1">VLOOKUP(表格1[[#This Row],[PO+ITEM]],#REF!,3,FALSE)</f>
        <v>#REF!</v>
      </c>
      <c r="AW978" s="208" t="e">
        <f ca="1">VLOOKUP(表格1[[#This Row],[PO+ITEM]],#REF!,4,FALSE)</f>
        <v>#REF!</v>
      </c>
      <c r="AX978" s="208" t="e" cm="1" vm="1">
        <f t="array" aca="1" ref="AX978" ca="1">VLOOKUP(AI:AI,#REF!,1,FALSE)</f>
        <v>#VALUE!</v>
      </c>
    </row>
    <row r="979" spans="1:50">
      <c r="A979" s="220">
        <v>973</v>
      </c>
      <c r="B979" s="220" t="s">
        <v>3674</v>
      </c>
      <c r="C979" s="209" t="s">
        <v>17</v>
      </c>
      <c r="D979" s="209" t="s">
        <v>3648</v>
      </c>
      <c r="E979" s="209" t="s">
        <v>2196</v>
      </c>
      <c r="F979" s="209"/>
      <c r="G979" s="209"/>
      <c r="H979" s="210" t="s">
        <v>5989</v>
      </c>
      <c r="I979" s="218"/>
      <c r="J979" s="218"/>
      <c r="K979" s="218"/>
      <c r="L979" s="212" t="s">
        <v>3762</v>
      </c>
      <c r="M979" s="212"/>
      <c r="N979" s="218"/>
      <c r="O979" s="212">
        <v>4590017873</v>
      </c>
      <c r="P979" s="214">
        <v>45423</v>
      </c>
      <c r="Q979" s="215">
        <v>1</v>
      </c>
      <c r="R979" s="209">
        <v>2970</v>
      </c>
      <c r="S979" s="209" t="s">
        <v>2156</v>
      </c>
      <c r="T979" s="209" t="s">
        <v>5990</v>
      </c>
      <c r="U979" s="209" t="s">
        <v>4031</v>
      </c>
      <c r="V979" s="213"/>
      <c r="W979" s="218" t="s">
        <v>3652</v>
      </c>
      <c r="X979" s="218"/>
      <c r="Y979" s="212" t="s">
        <v>5991</v>
      </c>
      <c r="Z979" s="209" t="s">
        <v>5992</v>
      </c>
      <c r="AA979" s="218" t="s">
        <v>5789</v>
      </c>
      <c r="AB979" s="218"/>
      <c r="AC979" s="218"/>
      <c r="AD979" s="217"/>
      <c r="AE979" s="217" t="s">
        <v>5789</v>
      </c>
      <c r="AF979" s="217" t="s">
        <v>3918</v>
      </c>
      <c r="AG979" s="217" t="s">
        <v>5970</v>
      </c>
      <c r="AH979" s="220">
        <f t="shared" si="61"/>
        <v>4590017873</v>
      </c>
      <c r="AI979" s="217"/>
      <c r="AJ979" s="220"/>
      <c r="AK979" s="299"/>
      <c r="AL979" s="227"/>
      <c r="AM979" s="208"/>
      <c r="AN979" s="220"/>
      <c r="AP979" s="227"/>
      <c r="AQ979" s="358">
        <f ca="1">IF(表格1[[#This Row],[PO$]]="","100%",表格1[[#This Row],[total amount]]/表格1[[#This Row],[PO$]])</f>
        <v>0</v>
      </c>
      <c r="AR979" s="223">
        <f ca="1">表格1[[#This Row],[invoice amount]]+表格1[[#This Row],[invoice amount2]]</f>
        <v>0</v>
      </c>
      <c r="AT979" s="333"/>
      <c r="AU979" s="333" t="e">
        <f ca="1">VLOOKUP(表格1[[#This Row],[PO+ITEM]],#REF!,2,FALSE)</f>
        <v>#REF!</v>
      </c>
      <c r="AV979" s="341" t="e">
        <f ca="1">VLOOKUP(表格1[[#This Row],[PO+ITEM]],#REF!,3,FALSE)</f>
        <v>#REF!</v>
      </c>
      <c r="AW979" s="208" t="e">
        <f ca="1">VLOOKUP(表格1[[#This Row],[PO+ITEM]],#REF!,4,FALSE)</f>
        <v>#REF!</v>
      </c>
      <c r="AX979" s="208" t="e" cm="1" vm="1">
        <f t="array" aca="1" ref="AX979" ca="1">VLOOKUP(AI:AI,#REF!,1,FALSE)</f>
        <v>#VALUE!</v>
      </c>
    </row>
    <row r="980" spans="1:50">
      <c r="A980" s="220">
        <v>974</v>
      </c>
      <c r="B980" s="220" t="s">
        <v>3674</v>
      </c>
      <c r="C980" s="209" t="s">
        <v>17</v>
      </c>
      <c r="D980" s="209" t="s">
        <v>3648</v>
      </c>
      <c r="E980" s="209" t="s">
        <v>2196</v>
      </c>
      <c r="F980" s="209"/>
      <c r="G980" s="209"/>
      <c r="H980" s="210" t="s">
        <v>5995</v>
      </c>
      <c r="I980" s="218"/>
      <c r="J980" s="218"/>
      <c r="K980" s="218"/>
      <c r="L980" s="212" t="s">
        <v>3762</v>
      </c>
      <c r="M980" s="212"/>
      <c r="N980" s="218"/>
      <c r="O980" s="212">
        <v>4590017876</v>
      </c>
      <c r="P980" s="214">
        <v>45423</v>
      </c>
      <c r="Q980" s="215">
        <v>1</v>
      </c>
      <c r="R980" s="209">
        <v>2970</v>
      </c>
      <c r="S980" s="209" t="s">
        <v>2156</v>
      </c>
      <c r="T980" s="209" t="s">
        <v>5996</v>
      </c>
      <c r="U980" s="209" t="s">
        <v>4031</v>
      </c>
      <c r="V980" s="213"/>
      <c r="W980" s="218" t="s">
        <v>3652</v>
      </c>
      <c r="X980" s="218"/>
      <c r="Y980" s="212" t="s">
        <v>5991</v>
      </c>
      <c r="Z980" s="209" t="s">
        <v>5997</v>
      </c>
      <c r="AA980" s="218" t="s">
        <v>5794</v>
      </c>
      <c r="AB980" s="218"/>
      <c r="AC980" s="218"/>
      <c r="AD980" s="217"/>
      <c r="AE980" s="217" t="s">
        <v>5794</v>
      </c>
      <c r="AF980" s="217" t="s">
        <v>3918</v>
      </c>
      <c r="AG980" s="217" t="s">
        <v>5970</v>
      </c>
      <c r="AH980" s="220">
        <f t="shared" si="61"/>
        <v>4590017876</v>
      </c>
      <c r="AI980" s="217"/>
      <c r="AJ980" s="220"/>
      <c r="AK980" s="299"/>
      <c r="AL980" s="227"/>
      <c r="AM980" s="208"/>
      <c r="AN980" s="220"/>
      <c r="AP980" s="227"/>
      <c r="AQ980" s="358">
        <f ca="1">IF(表格1[[#This Row],[PO$]]="","100%",表格1[[#This Row],[total amount]]/表格1[[#This Row],[PO$]])</f>
        <v>0</v>
      </c>
      <c r="AR980" s="223">
        <f ca="1">表格1[[#This Row],[invoice amount]]+表格1[[#This Row],[invoice amount2]]</f>
        <v>0</v>
      </c>
      <c r="AT980" s="333"/>
      <c r="AU980" s="333" t="e">
        <f ca="1">VLOOKUP(表格1[[#This Row],[PO+ITEM]],#REF!,2,FALSE)</f>
        <v>#REF!</v>
      </c>
      <c r="AV980" s="341" t="e">
        <f ca="1">VLOOKUP(表格1[[#This Row],[PO+ITEM]],#REF!,3,FALSE)</f>
        <v>#REF!</v>
      </c>
      <c r="AW980" s="208" t="e">
        <f ca="1">VLOOKUP(表格1[[#This Row],[PO+ITEM]],#REF!,4,FALSE)</f>
        <v>#REF!</v>
      </c>
      <c r="AX980" s="208" t="e" cm="1" vm="1">
        <f t="array" aca="1" ref="AX980" ca="1">VLOOKUP(AI:AI,#REF!,1,FALSE)</f>
        <v>#VALUE!</v>
      </c>
    </row>
    <row r="981" spans="1:50">
      <c r="A981" s="220">
        <v>975</v>
      </c>
      <c r="B981" s="220" t="s">
        <v>3674</v>
      </c>
      <c r="C981" s="209" t="s">
        <v>17</v>
      </c>
      <c r="D981" s="209" t="s">
        <v>3648</v>
      </c>
      <c r="E981" s="209" t="s">
        <v>2196</v>
      </c>
      <c r="F981" s="209"/>
      <c r="G981" s="209"/>
      <c r="H981" s="210" t="s">
        <v>6000</v>
      </c>
      <c r="I981" s="218"/>
      <c r="J981" s="218"/>
      <c r="K981" s="218"/>
      <c r="L981" s="212" t="s">
        <v>3762</v>
      </c>
      <c r="M981" s="212"/>
      <c r="N981" s="218"/>
      <c r="O981" s="212">
        <v>4590017877</v>
      </c>
      <c r="P981" s="214">
        <v>45423</v>
      </c>
      <c r="Q981" s="215">
        <v>1</v>
      </c>
      <c r="R981" s="346">
        <v>2970</v>
      </c>
      <c r="S981" s="209" t="s">
        <v>2156</v>
      </c>
      <c r="T981" s="209" t="s">
        <v>6001</v>
      </c>
      <c r="U981" s="209" t="s">
        <v>4031</v>
      </c>
      <c r="V981" s="213"/>
      <c r="W981" s="218" t="s">
        <v>3652</v>
      </c>
      <c r="X981" s="218"/>
      <c r="Y981" s="212" t="s">
        <v>5991</v>
      </c>
      <c r="Z981" s="209" t="s">
        <v>6002</v>
      </c>
      <c r="AA981" s="218" t="s">
        <v>5797</v>
      </c>
      <c r="AB981" s="218"/>
      <c r="AC981" s="218"/>
      <c r="AD981" s="217"/>
      <c r="AE981" s="217" t="s">
        <v>5797</v>
      </c>
      <c r="AF981" s="217" t="s">
        <v>3918</v>
      </c>
      <c r="AG981" s="217" t="s">
        <v>5970</v>
      </c>
      <c r="AH981" s="220">
        <f t="shared" si="61"/>
        <v>4590017877</v>
      </c>
      <c r="AI981" s="217"/>
      <c r="AJ981" s="220"/>
      <c r="AK981" s="299"/>
      <c r="AL981" s="227"/>
      <c r="AM981" s="208"/>
      <c r="AN981" s="220"/>
      <c r="AP981" s="227"/>
      <c r="AQ981" s="358">
        <f ca="1">IF(表格1[[#This Row],[PO$]]="","100%",表格1[[#This Row],[total amount]]/表格1[[#This Row],[PO$]])</f>
        <v>0</v>
      </c>
      <c r="AR981" s="223">
        <f ca="1">表格1[[#This Row],[invoice amount]]+表格1[[#This Row],[invoice amount2]]</f>
        <v>0</v>
      </c>
      <c r="AT981" s="333"/>
      <c r="AU981" s="333" t="e">
        <f ca="1">VLOOKUP(表格1[[#This Row],[PO+ITEM]],#REF!,2,FALSE)</f>
        <v>#REF!</v>
      </c>
      <c r="AV981" s="341" t="e">
        <f ca="1">VLOOKUP(表格1[[#This Row],[PO+ITEM]],#REF!,3,FALSE)</f>
        <v>#REF!</v>
      </c>
      <c r="AW981" s="208" t="e">
        <f ca="1">VLOOKUP(表格1[[#This Row],[PO+ITEM]],#REF!,4,FALSE)</f>
        <v>#REF!</v>
      </c>
      <c r="AX981" s="208" t="e" cm="1" vm="1">
        <f t="array" aca="1" ref="AX981" ca="1">VLOOKUP(AI:AI,#REF!,1,FALSE)</f>
        <v>#VALUE!</v>
      </c>
    </row>
    <row r="982" spans="1:50">
      <c r="A982" s="220">
        <v>976</v>
      </c>
      <c r="B982" s="220" t="s">
        <v>3674</v>
      </c>
      <c r="C982" s="209" t="s">
        <v>17</v>
      </c>
      <c r="D982" s="209" t="s">
        <v>3648</v>
      </c>
      <c r="E982" s="209" t="s">
        <v>2196</v>
      </c>
      <c r="F982" s="209"/>
      <c r="G982" s="209"/>
      <c r="H982" s="210" t="s">
        <v>6005</v>
      </c>
      <c r="I982" s="218"/>
      <c r="J982" s="218"/>
      <c r="K982" s="218"/>
      <c r="L982" s="212" t="s">
        <v>3762</v>
      </c>
      <c r="M982" s="212"/>
      <c r="N982" s="218"/>
      <c r="O982" s="212">
        <v>4590017881</v>
      </c>
      <c r="P982" s="214">
        <v>45423</v>
      </c>
      <c r="Q982" s="215">
        <v>1</v>
      </c>
      <c r="R982" s="209">
        <v>5138.3</v>
      </c>
      <c r="S982" s="209" t="s">
        <v>2156</v>
      </c>
      <c r="T982" s="209" t="s">
        <v>6006</v>
      </c>
      <c r="U982" s="209" t="s">
        <v>4031</v>
      </c>
      <c r="V982" s="213"/>
      <c r="W982" s="218" t="s">
        <v>3652</v>
      </c>
      <c r="X982" s="218"/>
      <c r="Y982" s="212" t="s">
        <v>5991</v>
      </c>
      <c r="Z982" s="209" t="s">
        <v>6007</v>
      </c>
      <c r="AA982" s="218" t="s">
        <v>3555</v>
      </c>
      <c r="AB982" s="218"/>
      <c r="AC982" s="218"/>
      <c r="AD982" s="217"/>
      <c r="AE982" s="217" t="s">
        <v>3555</v>
      </c>
      <c r="AF982" s="217" t="s">
        <v>3918</v>
      </c>
      <c r="AG982" s="217" t="s">
        <v>6009</v>
      </c>
      <c r="AH982" s="220">
        <f t="shared" si="61"/>
        <v>4590017881</v>
      </c>
      <c r="AI982" s="217"/>
      <c r="AJ982" s="220"/>
      <c r="AK982" s="299"/>
      <c r="AL982" s="227"/>
      <c r="AM982" s="208"/>
      <c r="AN982" s="220"/>
      <c r="AP982" s="227"/>
      <c r="AQ982" s="358">
        <f ca="1">IF(表格1[[#This Row],[PO$]]="","100%",表格1[[#This Row],[total amount]]/表格1[[#This Row],[PO$]])</f>
        <v>0</v>
      </c>
      <c r="AR982" s="223">
        <f ca="1">表格1[[#This Row],[invoice amount]]+表格1[[#This Row],[invoice amount2]]</f>
        <v>0</v>
      </c>
      <c r="AT982" s="333"/>
      <c r="AU982" s="333" t="e">
        <f ca="1">VLOOKUP(表格1[[#This Row],[PO+ITEM]],#REF!,2,FALSE)</f>
        <v>#REF!</v>
      </c>
      <c r="AV982" s="341" t="e">
        <f ca="1">VLOOKUP(表格1[[#This Row],[PO+ITEM]],#REF!,3,FALSE)</f>
        <v>#REF!</v>
      </c>
      <c r="AW982" s="208" t="e">
        <f ca="1">VLOOKUP(表格1[[#This Row],[PO+ITEM]],#REF!,4,FALSE)</f>
        <v>#REF!</v>
      </c>
      <c r="AX982" s="208" t="e" cm="1" vm="1">
        <f t="array" aca="1" ref="AX982" ca="1">VLOOKUP(AI:AI,#REF!,1,FALSE)</f>
        <v>#VALUE!</v>
      </c>
    </row>
    <row r="983" spans="1:50">
      <c r="A983" s="220">
        <v>977</v>
      </c>
      <c r="B983" s="220" t="s">
        <v>3674</v>
      </c>
      <c r="C983" s="209" t="s">
        <v>17</v>
      </c>
      <c r="D983" s="209" t="s">
        <v>3648</v>
      </c>
      <c r="E983" s="209" t="s">
        <v>2196</v>
      </c>
      <c r="F983" s="209"/>
      <c r="G983" s="209"/>
      <c r="H983" s="210" t="s">
        <v>6011</v>
      </c>
      <c r="I983" s="218"/>
      <c r="J983" s="218"/>
      <c r="K983" s="218"/>
      <c r="L983" s="212" t="s">
        <v>2798</v>
      </c>
      <c r="M983" s="212"/>
      <c r="N983" s="218"/>
      <c r="O983" s="212">
        <v>4590017882</v>
      </c>
      <c r="P983" s="214">
        <v>45423</v>
      </c>
      <c r="Q983" s="215">
        <v>1</v>
      </c>
      <c r="R983" s="209">
        <v>18138.669999999998</v>
      </c>
      <c r="S983" s="209" t="s">
        <v>2156</v>
      </c>
      <c r="T983" s="209" t="s">
        <v>6012</v>
      </c>
      <c r="U983" s="209" t="s">
        <v>4031</v>
      </c>
      <c r="V983" s="213"/>
      <c r="W983" s="218" t="s">
        <v>3652</v>
      </c>
      <c r="X983" s="218"/>
      <c r="Y983" s="212" t="s">
        <v>6013</v>
      </c>
      <c r="Z983" s="209"/>
      <c r="AA983" s="218" t="s">
        <v>2604</v>
      </c>
      <c r="AB983" s="218"/>
      <c r="AC983" s="218"/>
      <c r="AD983" s="217"/>
      <c r="AE983" s="217" t="s">
        <v>2604</v>
      </c>
      <c r="AF983" s="217" t="s">
        <v>3932</v>
      </c>
      <c r="AG983" s="217" t="s">
        <v>846</v>
      </c>
      <c r="AH983" s="220">
        <f t="shared" si="61"/>
        <v>4590017882</v>
      </c>
      <c r="AI983" s="217"/>
      <c r="AJ983" s="220"/>
      <c r="AK983" s="299"/>
      <c r="AL983" s="227"/>
      <c r="AM983" s="208"/>
      <c r="AN983" s="220"/>
      <c r="AP983" s="227"/>
      <c r="AQ983" s="358">
        <f ca="1">IF(表格1[[#This Row],[PO$]]="","100%",表格1[[#This Row],[total amount]]/表格1[[#This Row],[PO$]])</f>
        <v>0</v>
      </c>
      <c r="AR983" s="223">
        <f ca="1">表格1[[#This Row],[invoice amount]]+表格1[[#This Row],[invoice amount2]]</f>
        <v>0</v>
      </c>
      <c r="AT983" s="333"/>
      <c r="AU983" s="333" t="e">
        <f ca="1">VLOOKUP(表格1[[#This Row],[PO+ITEM]],#REF!,2,FALSE)</f>
        <v>#REF!</v>
      </c>
      <c r="AV983" s="341" t="e">
        <f ca="1">VLOOKUP(表格1[[#This Row],[PO+ITEM]],#REF!,3,FALSE)</f>
        <v>#REF!</v>
      </c>
      <c r="AW983" s="208" t="e">
        <f ca="1">VLOOKUP(表格1[[#This Row],[PO+ITEM]],#REF!,4,FALSE)</f>
        <v>#REF!</v>
      </c>
      <c r="AX983" s="208" t="e" cm="1" vm="1">
        <f t="array" aca="1" ref="AX983" ca="1">VLOOKUP(AI:AI,#REF!,1,FALSE)</f>
        <v>#VALUE!</v>
      </c>
    </row>
    <row r="984" spans="1:50">
      <c r="A984" s="220">
        <v>978</v>
      </c>
      <c r="B984" s="220" t="s">
        <v>3674</v>
      </c>
      <c r="C984" s="209" t="s">
        <v>17</v>
      </c>
      <c r="D984" s="209" t="s">
        <v>3648</v>
      </c>
      <c r="E984" s="209" t="s">
        <v>2196</v>
      </c>
      <c r="F984" s="209"/>
      <c r="G984" s="209"/>
      <c r="H984" s="210" t="s">
        <v>6015</v>
      </c>
      <c r="I984" s="218"/>
      <c r="J984" s="218"/>
      <c r="K984" s="218"/>
      <c r="L984" s="212" t="s">
        <v>2798</v>
      </c>
      <c r="M984" s="212"/>
      <c r="N984" s="218"/>
      <c r="O984" s="212">
        <v>4590017883</v>
      </c>
      <c r="P984" s="214">
        <v>45423</v>
      </c>
      <c r="Q984" s="215">
        <v>1</v>
      </c>
      <c r="R984" s="209">
        <v>14940.24</v>
      </c>
      <c r="S984" s="209" t="s">
        <v>2156</v>
      </c>
      <c r="T984" s="209" t="s">
        <v>6016</v>
      </c>
      <c r="U984" s="209" t="s">
        <v>4031</v>
      </c>
      <c r="V984" s="213"/>
      <c r="W984" s="218" t="s">
        <v>3652</v>
      </c>
      <c r="X984" s="218"/>
      <c r="Y984" s="212" t="s">
        <v>6013</v>
      </c>
      <c r="Z984" s="209" t="s">
        <v>6017</v>
      </c>
      <c r="AA984" s="218" t="s">
        <v>2683</v>
      </c>
      <c r="AB984" s="218"/>
      <c r="AC984" s="218"/>
      <c r="AD984" s="217"/>
      <c r="AE984" s="217" t="s">
        <v>2683</v>
      </c>
      <c r="AF984" s="217" t="s">
        <v>3932</v>
      </c>
      <c r="AG984" s="217" t="s">
        <v>846</v>
      </c>
      <c r="AH984" s="220">
        <f t="shared" si="61"/>
        <v>4590017883</v>
      </c>
      <c r="AI984" s="217"/>
      <c r="AJ984" s="220"/>
      <c r="AK984" s="299"/>
      <c r="AL984" s="227"/>
      <c r="AM984" s="208"/>
      <c r="AN984" s="220"/>
      <c r="AP984" s="227"/>
      <c r="AQ984" s="358">
        <f ca="1">IF(表格1[[#This Row],[PO$]]="","100%",表格1[[#This Row],[total amount]]/表格1[[#This Row],[PO$]])</f>
        <v>0</v>
      </c>
      <c r="AR984" s="223">
        <f ca="1">表格1[[#This Row],[invoice amount]]+表格1[[#This Row],[invoice amount2]]</f>
        <v>0</v>
      </c>
      <c r="AT984" s="333"/>
      <c r="AU984" s="333" t="e">
        <f ca="1">VLOOKUP(表格1[[#This Row],[PO+ITEM]],#REF!,2,FALSE)</f>
        <v>#REF!</v>
      </c>
      <c r="AV984" s="341" t="e">
        <f ca="1">VLOOKUP(表格1[[#This Row],[PO+ITEM]],#REF!,3,FALSE)</f>
        <v>#REF!</v>
      </c>
      <c r="AW984" s="208" t="e">
        <f ca="1">VLOOKUP(表格1[[#This Row],[PO+ITEM]],#REF!,4,FALSE)</f>
        <v>#REF!</v>
      </c>
      <c r="AX984" s="208" t="e" cm="1" vm="1">
        <f t="array" aca="1" ref="AX984" ca="1">VLOOKUP(AI:AI,#REF!,1,FALSE)</f>
        <v>#VALUE!</v>
      </c>
    </row>
    <row r="985" spans="1:50">
      <c r="A985" s="220">
        <v>979</v>
      </c>
      <c r="B985" s="220" t="s">
        <v>3674</v>
      </c>
      <c r="C985" s="209" t="s">
        <v>17</v>
      </c>
      <c r="D985" s="209" t="s">
        <v>3648</v>
      </c>
      <c r="E985" s="209" t="s">
        <v>2196</v>
      </c>
      <c r="F985" s="209"/>
      <c r="G985" s="209"/>
      <c r="H985" s="210" t="s">
        <v>6019</v>
      </c>
      <c r="I985" s="218"/>
      <c r="J985" s="218"/>
      <c r="K985" s="218"/>
      <c r="L985" s="212" t="s">
        <v>2798</v>
      </c>
      <c r="M985" s="212"/>
      <c r="N985" s="218"/>
      <c r="O985" s="212">
        <v>4590017884</v>
      </c>
      <c r="P985" s="214">
        <v>45423</v>
      </c>
      <c r="Q985" s="215">
        <v>1</v>
      </c>
      <c r="R985" s="209">
        <v>16167.57</v>
      </c>
      <c r="S985" s="209" t="s">
        <v>2156</v>
      </c>
      <c r="T985" s="209" t="s">
        <v>6020</v>
      </c>
      <c r="U985" s="209" t="s">
        <v>4031</v>
      </c>
      <c r="V985" s="213"/>
      <c r="W985" s="218" t="s">
        <v>3652</v>
      </c>
      <c r="X985" s="218"/>
      <c r="Y985" s="212" t="s">
        <v>6013</v>
      </c>
      <c r="Z985" s="209" t="s">
        <v>6021</v>
      </c>
      <c r="AA985" s="218" t="s">
        <v>2667</v>
      </c>
      <c r="AB985" s="218"/>
      <c r="AC985" s="218"/>
      <c r="AD985" s="217"/>
      <c r="AE985" s="217" t="s">
        <v>2667</v>
      </c>
      <c r="AF985" s="217" t="s">
        <v>3932</v>
      </c>
      <c r="AG985" s="217" t="s">
        <v>846</v>
      </c>
      <c r="AH985" s="220">
        <f t="shared" si="61"/>
        <v>4590017884</v>
      </c>
      <c r="AI985" s="217"/>
      <c r="AJ985" s="220"/>
      <c r="AK985" s="299"/>
      <c r="AL985" s="227"/>
      <c r="AM985" s="208"/>
      <c r="AN985" s="220"/>
      <c r="AP985" s="227"/>
      <c r="AQ985" s="358">
        <f ca="1">IF(表格1[[#This Row],[PO$]]="","100%",表格1[[#This Row],[total amount]]/表格1[[#This Row],[PO$]])</f>
        <v>0</v>
      </c>
      <c r="AR985" s="223">
        <f ca="1">表格1[[#This Row],[invoice amount]]+表格1[[#This Row],[invoice amount2]]</f>
        <v>0</v>
      </c>
      <c r="AT985" s="333"/>
      <c r="AU985" s="333" t="e">
        <f ca="1">VLOOKUP(表格1[[#This Row],[PO+ITEM]],#REF!,2,FALSE)</f>
        <v>#REF!</v>
      </c>
      <c r="AV985" s="341" t="e">
        <f ca="1">VLOOKUP(表格1[[#This Row],[PO+ITEM]],#REF!,3,FALSE)</f>
        <v>#REF!</v>
      </c>
      <c r="AW985" s="208" t="e">
        <f ca="1">VLOOKUP(表格1[[#This Row],[PO+ITEM]],#REF!,4,FALSE)</f>
        <v>#REF!</v>
      </c>
      <c r="AX985" s="208" t="e" cm="1" vm="1">
        <f t="array" aca="1" ref="AX985" ca="1">VLOOKUP(AI:AI,#REF!,1,FALSE)</f>
        <v>#VALUE!</v>
      </c>
    </row>
    <row r="986" spans="1:50">
      <c r="A986" s="220">
        <v>980</v>
      </c>
      <c r="B986" s="220" t="s">
        <v>3674</v>
      </c>
      <c r="C986" s="209" t="s">
        <v>17</v>
      </c>
      <c r="D986" s="209" t="s">
        <v>3648</v>
      </c>
      <c r="E986" s="209" t="s">
        <v>2196</v>
      </c>
      <c r="F986" s="209"/>
      <c r="G986" s="209"/>
      <c r="H986" s="210" t="s">
        <v>6023</v>
      </c>
      <c r="I986" s="218"/>
      <c r="J986" s="218"/>
      <c r="K986" s="218"/>
      <c r="L986" s="212" t="s">
        <v>3762</v>
      </c>
      <c r="M986" s="212"/>
      <c r="N986" s="218"/>
      <c r="O986" s="212">
        <v>4590018008</v>
      </c>
      <c r="P986" s="214">
        <v>45428</v>
      </c>
      <c r="Q986" s="215">
        <v>1</v>
      </c>
      <c r="R986" s="209">
        <v>11251.93</v>
      </c>
      <c r="S986" s="209" t="s">
        <v>2156</v>
      </c>
      <c r="T986" s="209" t="s">
        <v>6024</v>
      </c>
      <c r="U986" s="209" t="s">
        <v>4031</v>
      </c>
      <c r="V986" s="213"/>
      <c r="W986" s="218" t="s">
        <v>3652</v>
      </c>
      <c r="X986" s="218"/>
      <c r="Y986" s="212" t="s">
        <v>6025</v>
      </c>
      <c r="Z986" s="209" t="s">
        <v>6026</v>
      </c>
      <c r="AA986" s="218" t="s">
        <v>5307</v>
      </c>
      <c r="AB986" s="218"/>
      <c r="AC986" s="218"/>
      <c r="AD986" s="217"/>
      <c r="AE986" s="217" t="s">
        <v>5307</v>
      </c>
      <c r="AF986" s="217" t="s">
        <v>3918</v>
      </c>
      <c r="AG986" s="217" t="s">
        <v>3719</v>
      </c>
      <c r="AH986" s="220">
        <f t="shared" si="61"/>
        <v>4590018008</v>
      </c>
      <c r="AI986" s="217"/>
      <c r="AJ986" s="220"/>
      <c r="AK986" s="299"/>
      <c r="AL986" s="227"/>
      <c r="AM986" s="208"/>
      <c r="AN986" s="220"/>
      <c r="AP986" s="227"/>
      <c r="AQ986" s="358">
        <f ca="1">IF(表格1[[#This Row],[PO$]]="","100%",表格1[[#This Row],[total amount]]/表格1[[#This Row],[PO$]])</f>
        <v>0</v>
      </c>
      <c r="AR986" s="223">
        <f ca="1">表格1[[#This Row],[invoice amount]]+表格1[[#This Row],[invoice amount2]]</f>
        <v>0</v>
      </c>
      <c r="AT986" s="333"/>
      <c r="AU986" s="333" t="e">
        <f ca="1">VLOOKUP(表格1[[#This Row],[PO+ITEM]],#REF!,2,FALSE)</f>
        <v>#REF!</v>
      </c>
      <c r="AV986" s="341" t="e">
        <f ca="1">VLOOKUP(表格1[[#This Row],[PO+ITEM]],#REF!,3,FALSE)</f>
        <v>#REF!</v>
      </c>
      <c r="AW986" s="208" t="e">
        <f ca="1">VLOOKUP(表格1[[#This Row],[PO+ITEM]],#REF!,4,FALSE)</f>
        <v>#REF!</v>
      </c>
      <c r="AX986" s="208" t="e" cm="1" vm="1">
        <f t="array" aca="1" ref="AX986" ca="1">VLOOKUP(AI:AI,#REF!,1,FALSE)</f>
        <v>#VALUE!</v>
      </c>
    </row>
    <row r="987" spans="1:50">
      <c r="A987" s="220">
        <v>981</v>
      </c>
      <c r="B987" s="220" t="s">
        <v>3674</v>
      </c>
      <c r="C987" s="209" t="s">
        <v>17</v>
      </c>
      <c r="D987" s="209" t="s">
        <v>3648</v>
      </c>
      <c r="E987" s="209" t="s">
        <v>2196</v>
      </c>
      <c r="F987" s="209"/>
      <c r="G987" s="209"/>
      <c r="H987" s="210" t="s">
        <v>6029</v>
      </c>
      <c r="I987" s="218"/>
      <c r="J987" s="218"/>
      <c r="K987" s="218"/>
      <c r="L987" s="212" t="s">
        <v>2798</v>
      </c>
      <c r="M987" s="212"/>
      <c r="N987" s="218"/>
      <c r="O987" s="212">
        <v>4590018009</v>
      </c>
      <c r="P987" s="214">
        <v>45428</v>
      </c>
      <c r="Q987" s="215">
        <v>1</v>
      </c>
      <c r="R987" s="209">
        <v>2127.4</v>
      </c>
      <c r="S987" s="209" t="s">
        <v>6030</v>
      </c>
      <c r="T987" s="209" t="s">
        <v>6031</v>
      </c>
      <c r="U987" s="209" t="s">
        <v>4031</v>
      </c>
      <c r="V987" s="213"/>
      <c r="W987" s="218" t="s">
        <v>3652</v>
      </c>
      <c r="X987" s="218"/>
      <c r="Y987" s="212" t="s">
        <v>6032</v>
      </c>
      <c r="Z987" s="209" t="s">
        <v>6033</v>
      </c>
      <c r="AA987" s="218" t="s">
        <v>2602</v>
      </c>
      <c r="AB987" s="218"/>
      <c r="AC987" s="218"/>
      <c r="AD987" s="217"/>
      <c r="AE987" s="217" t="s">
        <v>2602</v>
      </c>
      <c r="AF987" s="217" t="s">
        <v>3681</v>
      </c>
      <c r="AG987" s="217" t="s">
        <v>846</v>
      </c>
      <c r="AH987" s="220">
        <f t="shared" si="61"/>
        <v>4590018009</v>
      </c>
      <c r="AI987" s="217"/>
      <c r="AJ987" s="220"/>
      <c r="AK987" s="299"/>
      <c r="AL987" s="227"/>
      <c r="AM987" s="208"/>
      <c r="AN987" s="220"/>
      <c r="AP987" s="227"/>
      <c r="AQ987" s="358">
        <f ca="1">IF(表格1[[#This Row],[PO$]]="","100%",表格1[[#This Row],[total amount]]/表格1[[#This Row],[PO$]])</f>
        <v>0</v>
      </c>
      <c r="AR987" s="223">
        <f ca="1">表格1[[#This Row],[invoice amount]]+表格1[[#This Row],[invoice amount2]]</f>
        <v>0</v>
      </c>
      <c r="AT987" s="333"/>
      <c r="AU987" s="333" t="e">
        <f ca="1">VLOOKUP(表格1[[#This Row],[PO+ITEM]],#REF!,2,FALSE)</f>
        <v>#REF!</v>
      </c>
      <c r="AV987" s="341" t="e">
        <f ca="1">VLOOKUP(表格1[[#This Row],[PO+ITEM]],#REF!,3,FALSE)</f>
        <v>#REF!</v>
      </c>
      <c r="AW987" s="208" t="e">
        <f ca="1">VLOOKUP(表格1[[#This Row],[PO+ITEM]],#REF!,4,FALSE)</f>
        <v>#REF!</v>
      </c>
      <c r="AX987" s="208" t="e" cm="1" vm="1">
        <f t="array" aca="1" ref="AX987" ca="1">VLOOKUP(AI:AI,#REF!,1,FALSE)</f>
        <v>#VALUE!</v>
      </c>
    </row>
    <row r="988" spans="1:50">
      <c r="A988" s="220">
        <v>982</v>
      </c>
      <c r="B988" s="220" t="s">
        <v>3674</v>
      </c>
      <c r="C988" s="209" t="s">
        <v>17</v>
      </c>
      <c r="D988" s="209" t="s">
        <v>3648</v>
      </c>
      <c r="E988" s="209" t="s">
        <v>2196</v>
      </c>
      <c r="F988" s="209"/>
      <c r="G988" s="209"/>
      <c r="H988" s="210" t="s">
        <v>6035</v>
      </c>
      <c r="I988" s="218"/>
      <c r="J988" s="218"/>
      <c r="K988" s="218"/>
      <c r="L988" s="212" t="s">
        <v>2798</v>
      </c>
      <c r="M988" s="212"/>
      <c r="N988" s="218"/>
      <c r="O988" s="212">
        <v>4590018010</v>
      </c>
      <c r="P988" s="214">
        <v>45428</v>
      </c>
      <c r="Q988" s="215">
        <v>1</v>
      </c>
      <c r="R988" s="209">
        <v>9247.07</v>
      </c>
      <c r="S988" s="209" t="s">
        <v>2156</v>
      </c>
      <c r="T988" s="209" t="s">
        <v>6036</v>
      </c>
      <c r="U988" s="209" t="s">
        <v>4031</v>
      </c>
      <c r="V988" s="213"/>
      <c r="W988" s="218" t="s">
        <v>3652</v>
      </c>
      <c r="X988" s="218"/>
      <c r="Y988" s="212" t="s">
        <v>6032</v>
      </c>
      <c r="Z988" s="209" t="s">
        <v>6037</v>
      </c>
      <c r="AA988" s="218" t="s">
        <v>2634</v>
      </c>
      <c r="AB988" s="218"/>
      <c r="AC988" s="218"/>
      <c r="AD988" s="217"/>
      <c r="AE988" s="217" t="s">
        <v>2634</v>
      </c>
      <c r="AF988" s="217" t="s">
        <v>3681</v>
      </c>
      <c r="AG988" s="217" t="s">
        <v>846</v>
      </c>
      <c r="AH988" s="220">
        <f t="shared" si="61"/>
        <v>4590018010</v>
      </c>
      <c r="AI988" s="217"/>
      <c r="AJ988" s="220"/>
      <c r="AK988" s="299"/>
      <c r="AL988" s="227"/>
      <c r="AM988" s="208"/>
      <c r="AN988" s="220"/>
      <c r="AP988" s="227"/>
      <c r="AQ988" s="358">
        <f ca="1">IF(表格1[[#This Row],[PO$]]="","100%",表格1[[#This Row],[total amount]]/表格1[[#This Row],[PO$]])</f>
        <v>0</v>
      </c>
      <c r="AR988" s="223">
        <f ca="1">表格1[[#This Row],[invoice amount]]+表格1[[#This Row],[invoice amount2]]</f>
        <v>0</v>
      </c>
      <c r="AT988" s="333"/>
      <c r="AU988" s="333" t="e">
        <f ca="1">VLOOKUP(表格1[[#This Row],[PO+ITEM]],#REF!,2,FALSE)</f>
        <v>#REF!</v>
      </c>
      <c r="AV988" s="341" t="e">
        <f ca="1">VLOOKUP(表格1[[#This Row],[PO+ITEM]],#REF!,3,FALSE)</f>
        <v>#REF!</v>
      </c>
      <c r="AW988" s="208" t="e">
        <f ca="1">VLOOKUP(表格1[[#This Row],[PO+ITEM]],#REF!,4,FALSE)</f>
        <v>#REF!</v>
      </c>
      <c r="AX988" s="208" t="e" cm="1" vm="1">
        <f t="array" aca="1" ref="AX988" ca="1">VLOOKUP(AI:AI,#REF!,1,FALSE)</f>
        <v>#VALUE!</v>
      </c>
    </row>
    <row r="989" spans="1:50">
      <c r="A989" s="220">
        <v>983</v>
      </c>
      <c r="B989" s="220" t="s">
        <v>3674</v>
      </c>
      <c r="C989" s="209" t="s">
        <v>17</v>
      </c>
      <c r="D989" s="209" t="s">
        <v>3648</v>
      </c>
      <c r="E989" s="209" t="s">
        <v>2196</v>
      </c>
      <c r="F989" s="209"/>
      <c r="G989" s="209"/>
      <c r="H989" s="210" t="s">
        <v>6735</v>
      </c>
      <c r="I989" s="218"/>
      <c r="J989" s="218"/>
      <c r="K989" s="218"/>
      <c r="L989" s="212" t="s">
        <v>2798</v>
      </c>
      <c r="M989" s="212"/>
      <c r="N989" s="218"/>
      <c r="O989" s="212">
        <v>4590018239</v>
      </c>
      <c r="P989" s="214">
        <v>45436</v>
      </c>
      <c r="Q989" s="215">
        <v>1</v>
      </c>
      <c r="R989" s="209">
        <v>17748.93</v>
      </c>
      <c r="S989" s="209" t="s">
        <v>2156</v>
      </c>
      <c r="T989" s="209"/>
      <c r="U989" s="209" t="s">
        <v>6736</v>
      </c>
      <c r="V989" s="213"/>
      <c r="W989" s="218" t="s">
        <v>3652</v>
      </c>
      <c r="X989" s="218"/>
      <c r="Y989" s="212" t="s">
        <v>6041</v>
      </c>
      <c r="Z989" s="209" t="s">
        <v>6042</v>
      </c>
      <c r="AA989" s="218" t="s">
        <v>2578</v>
      </c>
      <c r="AB989" s="218"/>
      <c r="AC989" s="218"/>
      <c r="AD989" s="217"/>
      <c r="AE989" s="217" t="s">
        <v>2578</v>
      </c>
      <c r="AF989" s="217" t="s">
        <v>3711</v>
      </c>
      <c r="AG989" s="217" t="s">
        <v>846</v>
      </c>
      <c r="AH989" s="220">
        <f t="shared" si="61"/>
        <v>4590018239</v>
      </c>
      <c r="AI989" s="217"/>
      <c r="AJ989" s="220"/>
      <c r="AK989" s="299"/>
      <c r="AL989" s="227"/>
      <c r="AM989" s="208"/>
      <c r="AN989" s="220"/>
      <c r="AP989" s="227"/>
      <c r="AQ989" s="358">
        <f ca="1">IF(表格1[[#This Row],[PO$]]="","100%",表格1[[#This Row],[total amount]]/表格1[[#This Row],[PO$]])</f>
        <v>0</v>
      </c>
      <c r="AR989" s="223">
        <f ca="1">表格1[[#This Row],[invoice amount]]+表格1[[#This Row],[invoice amount2]]</f>
        <v>0</v>
      </c>
      <c r="AT989" s="333"/>
      <c r="AU989" s="333" t="e">
        <f ca="1">VLOOKUP(表格1[[#This Row],[PO+ITEM]],#REF!,2,FALSE)</f>
        <v>#REF!</v>
      </c>
      <c r="AV989" s="341" t="e">
        <f ca="1">VLOOKUP(表格1[[#This Row],[PO+ITEM]],#REF!,3,FALSE)</f>
        <v>#REF!</v>
      </c>
      <c r="AW989" s="208" t="e">
        <f ca="1">VLOOKUP(表格1[[#This Row],[PO+ITEM]],#REF!,4,FALSE)</f>
        <v>#REF!</v>
      </c>
      <c r="AX989" s="208" t="e" cm="1" vm="1">
        <f t="array" aca="1" ref="AX989" ca="1">VLOOKUP(AI:AI,#REF!,1,FALSE)</f>
        <v>#VALUE!</v>
      </c>
    </row>
    <row r="990" spans="1:50">
      <c r="A990" s="220">
        <v>984</v>
      </c>
      <c r="B990" s="220" t="s">
        <v>3674</v>
      </c>
      <c r="C990" s="209" t="s">
        <v>17</v>
      </c>
      <c r="D990" s="209" t="s">
        <v>3648</v>
      </c>
      <c r="E990" s="209" t="s">
        <v>2196</v>
      </c>
      <c r="F990" s="209"/>
      <c r="G990" s="209"/>
      <c r="H990" s="210" t="s">
        <v>6737</v>
      </c>
      <c r="I990" s="218"/>
      <c r="J990" s="218"/>
      <c r="K990" s="218"/>
      <c r="L990" s="212" t="s">
        <v>2798</v>
      </c>
      <c r="M990" s="212"/>
      <c r="N990" s="218"/>
      <c r="O990" s="212">
        <v>4590018240</v>
      </c>
      <c r="P990" s="214">
        <v>45436</v>
      </c>
      <c r="Q990" s="215">
        <v>1</v>
      </c>
      <c r="R990" s="209">
        <v>12684.62</v>
      </c>
      <c r="S990" s="209" t="s">
        <v>2156</v>
      </c>
      <c r="T990" s="209"/>
      <c r="U990" s="209" t="s">
        <v>6736</v>
      </c>
      <c r="V990" s="213"/>
      <c r="W990" s="218" t="s">
        <v>3652</v>
      </c>
      <c r="X990" s="218"/>
      <c r="Y990" s="212" t="s">
        <v>6046</v>
      </c>
      <c r="Z990" s="209" t="s">
        <v>6047</v>
      </c>
      <c r="AA990" s="218" t="s">
        <v>1041</v>
      </c>
      <c r="AB990" s="218"/>
      <c r="AC990" s="218"/>
      <c r="AD990" s="217"/>
      <c r="AE990" s="217" t="s">
        <v>1041</v>
      </c>
      <c r="AF990" s="217" t="s">
        <v>4784</v>
      </c>
      <c r="AG990" s="217" t="s">
        <v>846</v>
      </c>
      <c r="AH990" s="220">
        <f t="shared" si="61"/>
        <v>4590018240</v>
      </c>
      <c r="AI990" s="217"/>
      <c r="AJ990" s="220"/>
      <c r="AK990" s="299"/>
      <c r="AL990" s="227"/>
      <c r="AM990" s="208"/>
      <c r="AN990" s="220"/>
      <c r="AP990" s="227"/>
      <c r="AQ990" s="358">
        <f ca="1">IF(表格1[[#This Row],[PO$]]="","100%",表格1[[#This Row],[total amount]]/表格1[[#This Row],[PO$]])</f>
        <v>0</v>
      </c>
      <c r="AR990" s="223">
        <f ca="1">表格1[[#This Row],[invoice amount]]+表格1[[#This Row],[invoice amount2]]</f>
        <v>0</v>
      </c>
      <c r="AT990" s="333"/>
      <c r="AU990" s="333" t="e">
        <f ca="1">VLOOKUP(表格1[[#This Row],[PO+ITEM]],#REF!,2,FALSE)</f>
        <v>#REF!</v>
      </c>
      <c r="AV990" s="341" t="e">
        <f ca="1">VLOOKUP(表格1[[#This Row],[PO+ITEM]],#REF!,3,FALSE)</f>
        <v>#REF!</v>
      </c>
      <c r="AW990" s="208" t="e">
        <f ca="1">VLOOKUP(表格1[[#This Row],[PO+ITEM]],#REF!,4,FALSE)</f>
        <v>#REF!</v>
      </c>
      <c r="AX990" s="208" t="e" cm="1" vm="1">
        <f t="array" aca="1" ref="AX990" ca="1">VLOOKUP(AI:AI,#REF!,1,FALSE)</f>
        <v>#VALUE!</v>
      </c>
    </row>
    <row r="991" spans="1:50">
      <c r="A991" s="220">
        <v>985</v>
      </c>
      <c r="B991" s="220" t="s">
        <v>3674</v>
      </c>
      <c r="C991" s="209" t="s">
        <v>17</v>
      </c>
      <c r="D991" s="209" t="s">
        <v>3648</v>
      </c>
      <c r="E991" s="209" t="s">
        <v>2196</v>
      </c>
      <c r="F991" s="209"/>
      <c r="G991" s="209"/>
      <c r="H991" s="210" t="s">
        <v>6738</v>
      </c>
      <c r="I991" s="218"/>
      <c r="J991" s="218"/>
      <c r="K991" s="218"/>
      <c r="L991" s="212" t="s">
        <v>2798</v>
      </c>
      <c r="M991" s="212"/>
      <c r="N991" s="218"/>
      <c r="O991" s="212">
        <v>4590018241</v>
      </c>
      <c r="P991" s="214">
        <v>45436</v>
      </c>
      <c r="Q991" s="215">
        <v>1</v>
      </c>
      <c r="R991" s="209">
        <v>14373.36</v>
      </c>
      <c r="S991" s="209" t="s">
        <v>2156</v>
      </c>
      <c r="T991" s="209"/>
      <c r="U991" s="209" t="s">
        <v>6736</v>
      </c>
      <c r="V991" s="213"/>
      <c r="W991" s="218" t="s">
        <v>3652</v>
      </c>
      <c r="X991" s="218"/>
      <c r="Y991" s="212" t="s">
        <v>6051</v>
      </c>
      <c r="Z991" s="209" t="s">
        <v>6052</v>
      </c>
      <c r="AA991" s="218" t="s">
        <v>2580</v>
      </c>
      <c r="AB991" s="218"/>
      <c r="AC991" s="218"/>
      <c r="AD991" s="217"/>
      <c r="AE991" s="217" t="s">
        <v>2580</v>
      </c>
      <c r="AF991" s="217" t="s">
        <v>3665</v>
      </c>
      <c r="AG991" s="217" t="s">
        <v>846</v>
      </c>
      <c r="AH991" s="220">
        <f t="shared" si="61"/>
        <v>4590018241</v>
      </c>
      <c r="AI991" s="217"/>
      <c r="AJ991" s="220"/>
      <c r="AK991" s="299"/>
      <c r="AL991" s="227"/>
      <c r="AM991" s="208"/>
      <c r="AN991" s="220"/>
      <c r="AP991" s="227"/>
      <c r="AQ991" s="358">
        <f ca="1">IF(表格1[[#This Row],[PO$]]="","100%",表格1[[#This Row],[total amount]]/表格1[[#This Row],[PO$]])</f>
        <v>0</v>
      </c>
      <c r="AR991" s="223">
        <f ca="1">表格1[[#This Row],[invoice amount]]+表格1[[#This Row],[invoice amount2]]</f>
        <v>0</v>
      </c>
      <c r="AT991" s="333"/>
      <c r="AU991" s="333" t="e">
        <f ca="1">VLOOKUP(表格1[[#This Row],[PO+ITEM]],#REF!,2,FALSE)</f>
        <v>#REF!</v>
      </c>
      <c r="AV991" s="341" t="e">
        <f ca="1">VLOOKUP(表格1[[#This Row],[PO+ITEM]],#REF!,3,FALSE)</f>
        <v>#REF!</v>
      </c>
      <c r="AW991" s="208" t="e">
        <f ca="1">VLOOKUP(表格1[[#This Row],[PO+ITEM]],#REF!,4,FALSE)</f>
        <v>#REF!</v>
      </c>
      <c r="AX991" s="208" t="e" cm="1" vm="1">
        <f t="array" aca="1" ref="AX991" ca="1">VLOOKUP(AI:AI,#REF!,1,FALSE)</f>
        <v>#VALUE!</v>
      </c>
    </row>
    <row r="992" spans="1:50">
      <c r="A992" s="220">
        <v>986</v>
      </c>
      <c r="B992" s="220" t="s">
        <v>3674</v>
      </c>
      <c r="C992" s="209" t="s">
        <v>17</v>
      </c>
      <c r="D992" s="209" t="s">
        <v>3648</v>
      </c>
      <c r="E992" s="209" t="s">
        <v>2196</v>
      </c>
      <c r="F992" s="209"/>
      <c r="G992" s="209"/>
      <c r="H992" s="210" t="s">
        <v>6739</v>
      </c>
      <c r="I992" s="218"/>
      <c r="J992" s="218"/>
      <c r="K992" s="218"/>
      <c r="L992" s="212" t="s">
        <v>4105</v>
      </c>
      <c r="M992" s="212"/>
      <c r="N992" s="218"/>
      <c r="O992" s="212">
        <v>4590018242</v>
      </c>
      <c r="P992" s="214">
        <v>45436</v>
      </c>
      <c r="Q992" s="215">
        <v>1</v>
      </c>
      <c r="R992" s="209">
        <v>1222.02</v>
      </c>
      <c r="S992" s="209" t="s">
        <v>2156</v>
      </c>
      <c r="T992" s="209"/>
      <c r="U992" s="209" t="s">
        <v>6736</v>
      </c>
      <c r="V992" s="213"/>
      <c r="W992" s="218" t="s">
        <v>3652</v>
      </c>
      <c r="X992" s="218"/>
      <c r="Y992" s="212" t="s">
        <v>6056</v>
      </c>
      <c r="Z992" s="209" t="s">
        <v>6057</v>
      </c>
      <c r="AA992" s="218" t="s">
        <v>3143</v>
      </c>
      <c r="AB992" s="218"/>
      <c r="AC992" s="218"/>
      <c r="AD992" s="217"/>
      <c r="AE992" s="217" t="s">
        <v>3143</v>
      </c>
      <c r="AF992" s="217" t="s">
        <v>4784</v>
      </c>
      <c r="AG992" s="217" t="s">
        <v>4309</v>
      </c>
      <c r="AH992" s="220">
        <f t="shared" si="61"/>
        <v>4590018242</v>
      </c>
      <c r="AI992" s="217"/>
      <c r="AJ992" s="220"/>
      <c r="AK992" s="299"/>
      <c r="AL992" s="227"/>
      <c r="AM992" s="208"/>
      <c r="AN992" s="220"/>
      <c r="AP992" s="227"/>
      <c r="AQ992" s="358">
        <f ca="1">IF(表格1[[#This Row],[PO$]]="","100%",表格1[[#This Row],[total amount]]/表格1[[#This Row],[PO$]])</f>
        <v>0</v>
      </c>
      <c r="AR992" s="223">
        <f ca="1">表格1[[#This Row],[invoice amount]]+表格1[[#This Row],[invoice amount2]]</f>
        <v>0</v>
      </c>
      <c r="AT992" s="333"/>
      <c r="AU992" s="333" t="e">
        <f ca="1">VLOOKUP(表格1[[#This Row],[PO+ITEM]],#REF!,2,FALSE)</f>
        <v>#REF!</v>
      </c>
      <c r="AV992" s="341" t="e">
        <f ca="1">VLOOKUP(表格1[[#This Row],[PO+ITEM]],#REF!,3,FALSE)</f>
        <v>#REF!</v>
      </c>
      <c r="AW992" s="208" t="e">
        <f ca="1">VLOOKUP(表格1[[#This Row],[PO+ITEM]],#REF!,4,FALSE)</f>
        <v>#REF!</v>
      </c>
      <c r="AX992" s="208" t="e" cm="1" vm="1">
        <f t="array" aca="1" ref="AX992" ca="1">VLOOKUP(AI:AI,#REF!,1,FALSE)</f>
        <v>#VALUE!</v>
      </c>
    </row>
    <row r="993" spans="1:50">
      <c r="A993" s="220">
        <v>987</v>
      </c>
      <c r="B993" s="220" t="s">
        <v>3674</v>
      </c>
      <c r="C993" s="209" t="s">
        <v>17</v>
      </c>
      <c r="D993" s="209" t="s">
        <v>3648</v>
      </c>
      <c r="E993" s="209" t="s">
        <v>2196</v>
      </c>
      <c r="F993" s="209"/>
      <c r="G993" s="209"/>
      <c r="H993" s="210" t="s">
        <v>6740</v>
      </c>
      <c r="I993" s="218"/>
      <c r="J993" s="218"/>
      <c r="K993" s="218"/>
      <c r="L993" s="212" t="s">
        <v>4105</v>
      </c>
      <c r="M993" s="212"/>
      <c r="N993" s="218"/>
      <c r="O993" s="212">
        <v>4590018243</v>
      </c>
      <c r="P993" s="214">
        <v>45436</v>
      </c>
      <c r="Q993" s="215">
        <v>1</v>
      </c>
      <c r="R993" s="209">
        <v>1222.02</v>
      </c>
      <c r="S993" s="209" t="s">
        <v>2156</v>
      </c>
      <c r="T993" s="209"/>
      <c r="U993" s="209" t="s">
        <v>6736</v>
      </c>
      <c r="V993" s="213"/>
      <c r="W993" s="218" t="s">
        <v>3652</v>
      </c>
      <c r="X993" s="218"/>
      <c r="Y993" s="212" t="s">
        <v>6056</v>
      </c>
      <c r="Z993" s="209" t="s">
        <v>6062</v>
      </c>
      <c r="AA993" s="218" t="s">
        <v>3142</v>
      </c>
      <c r="AB993" s="218"/>
      <c r="AC993" s="218"/>
      <c r="AD993" s="217"/>
      <c r="AE993" s="217" t="s">
        <v>3142</v>
      </c>
      <c r="AF993" s="217" t="s">
        <v>4784</v>
      </c>
      <c r="AG993" s="217" t="s">
        <v>4309</v>
      </c>
      <c r="AH993" s="220">
        <f t="shared" si="61"/>
        <v>4590018243</v>
      </c>
      <c r="AI993" s="217"/>
      <c r="AJ993" s="220"/>
      <c r="AK993" s="299"/>
      <c r="AL993" s="227"/>
      <c r="AM993" s="208"/>
      <c r="AN993" s="220"/>
      <c r="AP993" s="227"/>
      <c r="AQ993" s="358">
        <f ca="1">IF(表格1[[#This Row],[PO$]]="","100%",表格1[[#This Row],[total amount]]/表格1[[#This Row],[PO$]])</f>
        <v>0</v>
      </c>
      <c r="AR993" s="223">
        <f ca="1">表格1[[#This Row],[invoice amount]]+表格1[[#This Row],[invoice amount2]]</f>
        <v>0</v>
      </c>
      <c r="AT993" s="333"/>
      <c r="AU993" s="333" t="e">
        <f ca="1">VLOOKUP(表格1[[#This Row],[PO+ITEM]],#REF!,2,FALSE)</f>
        <v>#REF!</v>
      </c>
      <c r="AV993" s="341" t="e">
        <f ca="1">VLOOKUP(表格1[[#This Row],[PO+ITEM]],#REF!,3,FALSE)</f>
        <v>#REF!</v>
      </c>
      <c r="AW993" s="208" t="e">
        <f ca="1">VLOOKUP(表格1[[#This Row],[PO+ITEM]],#REF!,4,FALSE)</f>
        <v>#REF!</v>
      </c>
      <c r="AX993" s="208" t="e" cm="1" vm="1">
        <f t="array" aca="1" ref="AX993" ca="1">VLOOKUP(AI:AI,#REF!,1,FALSE)</f>
        <v>#VALUE!</v>
      </c>
    </row>
    <row r="994" spans="1:50">
      <c r="A994" s="220">
        <v>988</v>
      </c>
      <c r="B994" s="220" t="s">
        <v>3674</v>
      </c>
      <c r="C994" s="209" t="s">
        <v>17</v>
      </c>
      <c r="D994" s="209" t="s">
        <v>3648</v>
      </c>
      <c r="E994" s="209" t="s">
        <v>2196</v>
      </c>
      <c r="F994" s="209"/>
      <c r="G994" s="209"/>
      <c r="H994" s="210" t="s">
        <v>6741</v>
      </c>
      <c r="I994" s="218"/>
      <c r="J994" s="218"/>
      <c r="K994" s="218"/>
      <c r="L994" s="212" t="s">
        <v>4129</v>
      </c>
      <c r="M994" s="212"/>
      <c r="N994" s="218"/>
      <c r="O994" s="212">
        <v>4590018245</v>
      </c>
      <c r="P994" s="214">
        <v>45436</v>
      </c>
      <c r="Q994" s="215">
        <v>1</v>
      </c>
      <c r="R994" s="209">
        <v>4743.1000000000004</v>
      </c>
      <c r="S994" s="209" t="s">
        <v>2156</v>
      </c>
      <c r="T994" s="209"/>
      <c r="U994" s="209" t="s">
        <v>6736</v>
      </c>
      <c r="V994" s="213"/>
      <c r="W994" s="218" t="s">
        <v>3652</v>
      </c>
      <c r="X994" s="218"/>
      <c r="Y994" s="212" t="s">
        <v>6041</v>
      </c>
      <c r="Z994" s="209" t="s">
        <v>6067</v>
      </c>
      <c r="AA994" s="218" t="s">
        <v>4649</v>
      </c>
      <c r="AB994" s="218"/>
      <c r="AC994" s="218"/>
      <c r="AD994" s="217"/>
      <c r="AE994" s="217" t="s">
        <v>4649</v>
      </c>
      <c r="AF994" s="217" t="s">
        <v>3711</v>
      </c>
      <c r="AG994" s="217" t="s">
        <v>3719</v>
      </c>
      <c r="AH994" s="220">
        <f t="shared" si="61"/>
        <v>4590018245</v>
      </c>
      <c r="AI994" s="217"/>
      <c r="AJ994" s="220"/>
      <c r="AK994" s="299"/>
      <c r="AL994" s="227"/>
      <c r="AM994" s="208"/>
      <c r="AN994" s="220"/>
      <c r="AP994" s="227"/>
      <c r="AQ994" s="358">
        <f ca="1">IF(表格1[[#This Row],[PO$]]="","100%",表格1[[#This Row],[total amount]]/表格1[[#This Row],[PO$]])</f>
        <v>0</v>
      </c>
      <c r="AR994" s="223">
        <f ca="1">表格1[[#This Row],[invoice amount]]+表格1[[#This Row],[invoice amount2]]</f>
        <v>0</v>
      </c>
      <c r="AT994" s="333"/>
      <c r="AU994" s="333" t="e">
        <f ca="1">VLOOKUP(表格1[[#This Row],[PO+ITEM]],#REF!,2,FALSE)</f>
        <v>#REF!</v>
      </c>
      <c r="AV994" s="341" t="e">
        <f ca="1">VLOOKUP(表格1[[#This Row],[PO+ITEM]],#REF!,3,FALSE)</f>
        <v>#REF!</v>
      </c>
      <c r="AW994" s="208" t="e">
        <f ca="1">VLOOKUP(表格1[[#This Row],[PO+ITEM]],#REF!,4,FALSE)</f>
        <v>#REF!</v>
      </c>
      <c r="AX994" s="208" t="e" cm="1" vm="1">
        <f t="array" aca="1" ref="AX994" ca="1">VLOOKUP(AI:AI,#REF!,1,FALSE)</f>
        <v>#VALUE!</v>
      </c>
    </row>
    <row r="995" spans="1:50">
      <c r="A995" s="220">
        <v>989</v>
      </c>
      <c r="B995" s="220" t="s">
        <v>3674</v>
      </c>
      <c r="C995" s="209" t="s">
        <v>17</v>
      </c>
      <c r="D995" s="209" t="s">
        <v>3648</v>
      </c>
      <c r="E995" s="209" t="s">
        <v>2196</v>
      </c>
      <c r="F995" s="209"/>
      <c r="G995" s="209"/>
      <c r="H995" s="210" t="s">
        <v>6742</v>
      </c>
      <c r="I995" s="218"/>
      <c r="J995" s="218"/>
      <c r="K995" s="218"/>
      <c r="L995" s="212" t="s">
        <v>2798</v>
      </c>
      <c r="M995" s="212"/>
      <c r="N995" s="218"/>
      <c r="O995" s="212">
        <v>4590018251</v>
      </c>
      <c r="P995" s="214">
        <v>45436</v>
      </c>
      <c r="Q995" s="215">
        <v>1</v>
      </c>
      <c r="R995" s="209">
        <v>8350.98</v>
      </c>
      <c r="S995" s="209" t="s">
        <v>2156</v>
      </c>
      <c r="T995" s="209"/>
      <c r="U995" s="209" t="s">
        <v>6736</v>
      </c>
      <c r="V995" s="213"/>
      <c r="W995" s="218" t="s">
        <v>3652</v>
      </c>
      <c r="X995" s="218"/>
      <c r="Y995" s="212" t="s">
        <v>6041</v>
      </c>
      <c r="Z995" s="209" t="s">
        <v>6072</v>
      </c>
      <c r="AA995" s="218" t="s">
        <v>2583</v>
      </c>
      <c r="AB995" s="218"/>
      <c r="AC995" s="218"/>
      <c r="AD995" s="217"/>
      <c r="AE995" s="217" t="s">
        <v>2583</v>
      </c>
      <c r="AF995" s="217" t="s">
        <v>3711</v>
      </c>
      <c r="AG995" s="217" t="s">
        <v>846</v>
      </c>
      <c r="AH995" s="220">
        <f t="shared" ref="AH995:AH1026" si="62">O995</f>
        <v>4590018251</v>
      </c>
      <c r="AI995" s="217"/>
      <c r="AJ995" s="220"/>
      <c r="AK995" s="299"/>
      <c r="AL995" s="227"/>
      <c r="AM995" s="208"/>
      <c r="AN995" s="220"/>
      <c r="AP995" s="227"/>
      <c r="AQ995" s="358">
        <f ca="1">IF(表格1[[#This Row],[PO$]]="","100%",表格1[[#This Row],[total amount]]/表格1[[#This Row],[PO$]])</f>
        <v>0</v>
      </c>
      <c r="AR995" s="223">
        <f ca="1">表格1[[#This Row],[invoice amount]]+表格1[[#This Row],[invoice amount2]]</f>
        <v>0</v>
      </c>
      <c r="AT995" s="333"/>
      <c r="AU995" s="333" t="e">
        <f ca="1">VLOOKUP(表格1[[#This Row],[PO+ITEM]],#REF!,2,FALSE)</f>
        <v>#REF!</v>
      </c>
      <c r="AV995" s="341" t="e">
        <f ca="1">VLOOKUP(表格1[[#This Row],[PO+ITEM]],#REF!,3,FALSE)</f>
        <v>#REF!</v>
      </c>
      <c r="AW995" s="208" t="e">
        <f ca="1">VLOOKUP(表格1[[#This Row],[PO+ITEM]],#REF!,4,FALSE)</f>
        <v>#REF!</v>
      </c>
      <c r="AX995" s="208" t="e" cm="1" vm="1">
        <f t="array" aca="1" ref="AX995" ca="1">VLOOKUP(AI:AI,#REF!,1,FALSE)</f>
        <v>#VALUE!</v>
      </c>
    </row>
    <row r="996" spans="1:50">
      <c r="A996" s="220">
        <v>1008</v>
      </c>
      <c r="B996" s="220" t="s">
        <v>3674</v>
      </c>
      <c r="C996" s="209" t="s">
        <v>17</v>
      </c>
      <c r="D996" s="209" t="s">
        <v>3648</v>
      </c>
      <c r="E996" s="209" t="s">
        <v>2196</v>
      </c>
      <c r="F996" s="209"/>
      <c r="G996" s="209"/>
      <c r="H996" s="212" t="s">
        <v>6074</v>
      </c>
      <c r="I996" s="218"/>
      <c r="J996" s="218"/>
      <c r="K996" s="218"/>
      <c r="L996" s="212" t="s">
        <v>4105</v>
      </c>
      <c r="M996" s="212"/>
      <c r="N996" s="218"/>
      <c r="O996" s="212">
        <v>4590018441</v>
      </c>
      <c r="P996" s="214">
        <v>45444</v>
      </c>
      <c r="Q996" s="334" t="s">
        <v>3907</v>
      </c>
      <c r="R996" s="353">
        <v>6807.01</v>
      </c>
      <c r="S996" s="217" t="s">
        <v>2156</v>
      </c>
      <c r="T996" s="209" t="s">
        <v>6075</v>
      </c>
      <c r="U996" s="209" t="s">
        <v>4031</v>
      </c>
      <c r="V996" s="213" t="s">
        <v>6076</v>
      </c>
      <c r="W996" s="218" t="s">
        <v>3652</v>
      </c>
      <c r="X996" s="218"/>
      <c r="Y996" s="212" t="s">
        <v>6082</v>
      </c>
      <c r="Z996" s="209" t="s">
        <v>6078</v>
      </c>
      <c r="AA996" s="218" t="s">
        <v>3568</v>
      </c>
      <c r="AB996" s="218"/>
      <c r="AC996" s="218"/>
      <c r="AD996" s="217"/>
      <c r="AE996" s="217" t="s">
        <v>3568</v>
      </c>
      <c r="AF996" s="217" t="s">
        <v>3911</v>
      </c>
      <c r="AG996" s="217" t="s">
        <v>56</v>
      </c>
      <c r="AH996" s="220">
        <f t="shared" si="62"/>
        <v>4590018441</v>
      </c>
      <c r="AI996" s="217"/>
      <c r="AJ996" s="220"/>
      <c r="AK996" s="299"/>
      <c r="AL996" s="227"/>
      <c r="AM996" s="208"/>
      <c r="AN996" s="220"/>
      <c r="AP996" s="227"/>
      <c r="AQ996" s="358">
        <f ca="1">IF(表格1[[#This Row],[PO$]]="","100%",表格1[[#This Row],[total amount]]/表格1[[#This Row],[PO$]])</f>
        <v>0</v>
      </c>
      <c r="AR996" s="318">
        <f ca="1">表格1[[#This Row],[invoice amount]]+表格1[[#This Row],[invoice amount2]]</f>
        <v>0</v>
      </c>
      <c r="AT996" s="352"/>
      <c r="AU996" s="352" t="e">
        <f ca="1">VLOOKUP(表格1[[#This Row],[PO+ITEM]],#REF!,2,FALSE)</f>
        <v>#REF!</v>
      </c>
      <c r="AV996" s="341" t="e">
        <f ca="1">VLOOKUP(表格1[[#This Row],[PO+ITEM]],#REF!,3,FALSE)</f>
        <v>#REF!</v>
      </c>
      <c r="AW996" s="208" t="e">
        <f ca="1">VLOOKUP(表格1[[#This Row],[PO+ITEM]],#REF!,4,FALSE)</f>
        <v>#REF!</v>
      </c>
      <c r="AX996" s="208" t="e" cm="1" vm="1">
        <f t="array" aca="1" ref="AX996" ca="1">VLOOKUP(AI:AI,#REF!,1,FALSE)</f>
        <v>#VALUE!</v>
      </c>
    </row>
    <row r="997" spans="1:50">
      <c r="A997" s="220">
        <v>1009</v>
      </c>
      <c r="B997" s="220" t="s">
        <v>3674</v>
      </c>
      <c r="C997" s="209" t="s">
        <v>17</v>
      </c>
      <c r="D997" s="209" t="s">
        <v>3648</v>
      </c>
      <c r="E997" s="209" t="s">
        <v>2196</v>
      </c>
      <c r="F997" s="209"/>
      <c r="G997" s="209"/>
      <c r="H997" s="212" t="s">
        <v>6080</v>
      </c>
      <c r="I997" s="218"/>
      <c r="J997" s="218"/>
      <c r="K997" s="218"/>
      <c r="L997" s="212" t="s">
        <v>4129</v>
      </c>
      <c r="M997" s="212"/>
      <c r="N997" s="218"/>
      <c r="O997" s="212">
        <v>4590018491</v>
      </c>
      <c r="P997" s="214">
        <v>45447</v>
      </c>
      <c r="Q997" s="334" t="s">
        <v>3907</v>
      </c>
      <c r="R997" s="353">
        <v>6337.67</v>
      </c>
      <c r="S997" s="217" t="s">
        <v>2156</v>
      </c>
      <c r="T997" s="209" t="s">
        <v>6081</v>
      </c>
      <c r="U997" s="209" t="s">
        <v>4031</v>
      </c>
      <c r="V997" s="213" t="s">
        <v>6076</v>
      </c>
      <c r="W997" s="218" t="s">
        <v>3652</v>
      </c>
      <c r="X997" s="218"/>
      <c r="Y997" s="212" t="s">
        <v>6082</v>
      </c>
      <c r="Z997" s="209" t="s">
        <v>6083</v>
      </c>
      <c r="AA997" s="218" t="s">
        <v>4652</v>
      </c>
      <c r="AB997" s="218"/>
      <c r="AC997" s="218"/>
      <c r="AD997" s="217"/>
      <c r="AE997" s="217" t="s">
        <v>4652</v>
      </c>
      <c r="AF997" s="217" t="s">
        <v>3711</v>
      </c>
      <c r="AG997" s="217" t="s">
        <v>3719</v>
      </c>
      <c r="AH997" s="220">
        <f t="shared" si="62"/>
        <v>4590018491</v>
      </c>
      <c r="AI997" s="217"/>
      <c r="AJ997" s="220"/>
      <c r="AK997" s="299"/>
      <c r="AL997" s="227"/>
      <c r="AM997" s="208"/>
      <c r="AN997" s="220"/>
      <c r="AP997" s="227"/>
      <c r="AQ997" s="358">
        <f ca="1">IF(表格1[[#This Row],[PO$]]="","100%",表格1[[#This Row],[total amount]]/表格1[[#This Row],[PO$]])</f>
        <v>0</v>
      </c>
      <c r="AR997" s="318">
        <f ca="1">表格1[[#This Row],[invoice amount]]+表格1[[#This Row],[invoice amount2]]</f>
        <v>0</v>
      </c>
      <c r="AT997" s="352"/>
      <c r="AU997" s="352" t="e">
        <f ca="1">VLOOKUP(表格1[[#This Row],[PO+ITEM]],#REF!,2,FALSE)</f>
        <v>#REF!</v>
      </c>
      <c r="AV997" s="341" t="e">
        <f ca="1">VLOOKUP(表格1[[#This Row],[PO+ITEM]],#REF!,3,FALSE)</f>
        <v>#REF!</v>
      </c>
      <c r="AW997" s="208" t="e">
        <f ca="1">VLOOKUP(表格1[[#This Row],[PO+ITEM]],#REF!,4,FALSE)</f>
        <v>#REF!</v>
      </c>
      <c r="AX997" s="208" t="e" cm="1" vm="1">
        <f t="array" aca="1" ref="AX997" ca="1">VLOOKUP(AI:AI,#REF!,1,FALSE)</f>
        <v>#VALUE!</v>
      </c>
    </row>
    <row r="998" spans="1:50">
      <c r="A998" s="220">
        <v>1010</v>
      </c>
      <c r="B998" s="220" t="s">
        <v>3674</v>
      </c>
      <c r="C998" s="209" t="s">
        <v>17</v>
      </c>
      <c r="D998" s="209" t="s">
        <v>3648</v>
      </c>
      <c r="E998" s="209" t="s">
        <v>2196</v>
      </c>
      <c r="F998" s="209"/>
      <c r="G998" s="209"/>
      <c r="H998" s="212" t="s">
        <v>6086</v>
      </c>
      <c r="I998" s="218"/>
      <c r="J998" s="218"/>
      <c r="K998" s="218"/>
      <c r="L998" s="212" t="s">
        <v>4129</v>
      </c>
      <c r="M998" s="212"/>
      <c r="N998" s="218"/>
      <c r="O998" s="212">
        <v>4590018584</v>
      </c>
      <c r="P998" s="214">
        <v>45449</v>
      </c>
      <c r="Q998" s="334" t="s">
        <v>3907</v>
      </c>
      <c r="R998" s="353">
        <v>3935.05</v>
      </c>
      <c r="S998" s="217" t="s">
        <v>2156</v>
      </c>
      <c r="T998" s="209" t="s">
        <v>6087</v>
      </c>
      <c r="U998" s="209" t="s">
        <v>4031</v>
      </c>
      <c r="V998" s="213" t="s">
        <v>6076</v>
      </c>
      <c r="W998" s="218" t="s">
        <v>3652</v>
      </c>
      <c r="X998" s="218"/>
      <c r="Y998" s="212" t="s">
        <v>6082</v>
      </c>
      <c r="Z998" s="209" t="s">
        <v>6088</v>
      </c>
      <c r="AA998" s="218" t="s">
        <v>4641</v>
      </c>
      <c r="AB998" s="218"/>
      <c r="AC998" s="218"/>
      <c r="AD998" s="217"/>
      <c r="AE998" s="217" t="s">
        <v>4641</v>
      </c>
      <c r="AF998" s="217" t="s">
        <v>3828</v>
      </c>
      <c r="AG998" s="217" t="s">
        <v>3719</v>
      </c>
      <c r="AH998" s="220">
        <f t="shared" si="62"/>
        <v>4590018584</v>
      </c>
      <c r="AI998" s="217" t="s">
        <v>6090</v>
      </c>
      <c r="AJ998" s="227">
        <v>45506</v>
      </c>
      <c r="AK998" s="406">
        <v>3935.05</v>
      </c>
      <c r="AL998" s="227"/>
      <c r="AM998" s="208"/>
      <c r="AN998" s="227"/>
      <c r="AP998" s="227"/>
      <c r="AQ998" s="358">
        <f ca="1">IF(表格1[[#This Row],[PO$]]="","100%",表格1[[#This Row],[total amount]]/表格1[[#This Row],[PO$]])</f>
        <v>1</v>
      </c>
      <c r="AR998" s="318">
        <f ca="1">表格1[[#This Row],[invoice amount]]+表格1[[#This Row],[invoice amount2]]</f>
        <v>3935.05</v>
      </c>
      <c r="AS998" s="224" t="s">
        <v>3752</v>
      </c>
      <c r="AT998" s="352"/>
      <c r="AU998" s="403" t="e">
        <f ca="1">VLOOKUP(表格1[[#This Row],[PO+ITEM]],#REF!,2,FALSE)</f>
        <v>#REF!</v>
      </c>
      <c r="AV998" s="341" t="e">
        <f ca="1">VLOOKUP(表格1[[#This Row],[PO+ITEM]],#REF!,3,FALSE)</f>
        <v>#REF!</v>
      </c>
      <c r="AW998" s="208" t="e">
        <f ca="1">VLOOKUP(表格1[[#This Row],[PO+ITEM]],#REF!,4,FALSE)</f>
        <v>#REF!</v>
      </c>
      <c r="AX998" s="208" t="e" cm="1" vm="1">
        <f t="array" aca="1" ref="AX998" ca="1">VLOOKUP(AI:AI,#REF!,1,FALSE)</f>
        <v>#VALUE!</v>
      </c>
    </row>
    <row r="999" spans="1:50">
      <c r="A999" s="220">
        <v>1011</v>
      </c>
      <c r="B999" s="220" t="s">
        <v>3674</v>
      </c>
      <c r="C999" s="209" t="s">
        <v>17</v>
      </c>
      <c r="D999" s="209" t="s">
        <v>3648</v>
      </c>
      <c r="E999" s="209" t="s">
        <v>2196</v>
      </c>
      <c r="F999" s="209"/>
      <c r="G999" s="209"/>
      <c r="H999" s="212" t="s">
        <v>6091</v>
      </c>
      <c r="I999" s="218"/>
      <c r="J999" s="218"/>
      <c r="K999" s="218"/>
      <c r="L999" s="212" t="s">
        <v>4129</v>
      </c>
      <c r="M999" s="212"/>
      <c r="N999" s="218"/>
      <c r="O999" s="212">
        <v>4590018586</v>
      </c>
      <c r="P999" s="214">
        <v>45449</v>
      </c>
      <c r="Q999" s="334" t="s">
        <v>3907</v>
      </c>
      <c r="R999" s="353">
        <v>3935.05</v>
      </c>
      <c r="S999" s="217" t="s">
        <v>2156</v>
      </c>
      <c r="T999" s="209" t="s">
        <v>6092</v>
      </c>
      <c r="U999" s="209" t="s">
        <v>4031</v>
      </c>
      <c r="V999" s="213" t="s">
        <v>6076</v>
      </c>
      <c r="W999" s="218" t="s">
        <v>3652</v>
      </c>
      <c r="X999" s="218"/>
      <c r="Y999" s="212" t="s">
        <v>6082</v>
      </c>
      <c r="Z999" s="209" t="s">
        <v>6093</v>
      </c>
      <c r="AA999" s="218" t="s">
        <v>4638</v>
      </c>
      <c r="AB999" s="218"/>
      <c r="AC999" s="218"/>
      <c r="AD999" s="217"/>
      <c r="AE999" s="217" t="s">
        <v>4638</v>
      </c>
      <c r="AF999" s="217" t="s">
        <v>3828</v>
      </c>
      <c r="AG999" s="217" t="s">
        <v>3719</v>
      </c>
      <c r="AH999" s="220">
        <f t="shared" si="62"/>
        <v>4590018586</v>
      </c>
      <c r="AI999" s="217" t="s">
        <v>6095</v>
      </c>
      <c r="AJ999" s="227">
        <v>45506</v>
      </c>
      <c r="AK999" s="406">
        <v>3935.05</v>
      </c>
      <c r="AL999" s="227"/>
      <c r="AM999" s="208"/>
      <c r="AN999" s="227"/>
      <c r="AP999" s="227"/>
      <c r="AQ999" s="358">
        <f ca="1">IF(表格1[[#This Row],[PO$]]="","100%",表格1[[#This Row],[total amount]]/表格1[[#This Row],[PO$]])</f>
        <v>1</v>
      </c>
      <c r="AR999" s="318">
        <f ca="1">表格1[[#This Row],[invoice amount]]+表格1[[#This Row],[invoice amount2]]</f>
        <v>3935.05</v>
      </c>
      <c r="AS999" s="224" t="s">
        <v>3752</v>
      </c>
      <c r="AT999" s="352"/>
      <c r="AU999" s="403" t="e">
        <f ca="1">VLOOKUP(表格1[[#This Row],[PO+ITEM]],#REF!,2,FALSE)</f>
        <v>#REF!</v>
      </c>
      <c r="AV999" s="341" t="e">
        <f ca="1">VLOOKUP(表格1[[#This Row],[PO+ITEM]],#REF!,3,FALSE)</f>
        <v>#REF!</v>
      </c>
      <c r="AW999" s="208" t="e">
        <f ca="1">VLOOKUP(表格1[[#This Row],[PO+ITEM]],#REF!,4,FALSE)</f>
        <v>#REF!</v>
      </c>
      <c r="AX999" s="208" t="e" cm="1" vm="1">
        <f t="array" aca="1" ref="AX999" ca="1">VLOOKUP(AI:AI,#REF!,1,FALSE)</f>
        <v>#VALUE!</v>
      </c>
    </row>
    <row r="1000" spans="1:50">
      <c r="A1000" s="220">
        <v>1012</v>
      </c>
      <c r="B1000" s="220" t="s">
        <v>3674</v>
      </c>
      <c r="C1000" s="209" t="s">
        <v>17</v>
      </c>
      <c r="D1000" s="209" t="s">
        <v>3648</v>
      </c>
      <c r="E1000" s="209" t="s">
        <v>2196</v>
      </c>
      <c r="F1000" s="209"/>
      <c r="G1000" s="209"/>
      <c r="H1000" s="212" t="s">
        <v>6096</v>
      </c>
      <c r="I1000" s="218"/>
      <c r="J1000" s="218"/>
      <c r="K1000" s="218"/>
      <c r="L1000" s="212" t="s">
        <v>4129</v>
      </c>
      <c r="M1000" s="212"/>
      <c r="N1000" s="218"/>
      <c r="O1000" s="212">
        <v>4590018587</v>
      </c>
      <c r="P1000" s="214">
        <v>45449</v>
      </c>
      <c r="Q1000" s="334" t="s">
        <v>3907</v>
      </c>
      <c r="R1000" s="353">
        <v>7870.09</v>
      </c>
      <c r="S1000" s="217" t="s">
        <v>2156</v>
      </c>
      <c r="T1000" s="209" t="s">
        <v>6097</v>
      </c>
      <c r="U1000" s="209" t="s">
        <v>4031</v>
      </c>
      <c r="V1000" s="213" t="s">
        <v>6076</v>
      </c>
      <c r="W1000" s="218" t="s">
        <v>3652</v>
      </c>
      <c r="X1000" s="218"/>
      <c r="Y1000" s="212" t="s">
        <v>6082</v>
      </c>
      <c r="Z1000" s="209" t="s">
        <v>6098</v>
      </c>
      <c r="AA1000" s="218" t="s">
        <v>3827</v>
      </c>
      <c r="AB1000" s="218"/>
      <c r="AC1000" s="218"/>
      <c r="AD1000" s="217"/>
      <c r="AE1000" s="217" t="s">
        <v>3827</v>
      </c>
      <c r="AF1000" s="217" t="s">
        <v>3828</v>
      </c>
      <c r="AG1000" s="217" t="s">
        <v>3719</v>
      </c>
      <c r="AH1000" s="220">
        <f t="shared" si="62"/>
        <v>4590018587</v>
      </c>
      <c r="AI1000" s="217"/>
      <c r="AJ1000" s="220"/>
      <c r="AK1000" s="299"/>
      <c r="AL1000" s="227"/>
      <c r="AM1000" s="208"/>
      <c r="AN1000" s="220"/>
      <c r="AP1000" s="227"/>
      <c r="AQ1000" s="358">
        <f ca="1">IF(表格1[[#This Row],[PO$]]="","100%",表格1[[#This Row],[total amount]]/表格1[[#This Row],[PO$]])</f>
        <v>0</v>
      </c>
      <c r="AR1000" s="318">
        <f ca="1">表格1[[#This Row],[invoice amount]]+表格1[[#This Row],[invoice amount2]]</f>
        <v>0</v>
      </c>
      <c r="AT1000" s="352"/>
      <c r="AU1000" s="352" t="e">
        <f ca="1">VLOOKUP(表格1[[#This Row],[PO+ITEM]],#REF!,2,FALSE)</f>
        <v>#REF!</v>
      </c>
      <c r="AV1000" s="341" t="e">
        <f ca="1">VLOOKUP(表格1[[#This Row],[PO+ITEM]],#REF!,3,FALSE)</f>
        <v>#REF!</v>
      </c>
      <c r="AW1000" s="208" t="e">
        <f ca="1">VLOOKUP(表格1[[#This Row],[PO+ITEM]],#REF!,4,FALSE)</f>
        <v>#REF!</v>
      </c>
      <c r="AX1000" s="208" t="e" cm="1" vm="1">
        <f t="array" aca="1" ref="AX1000" ca="1">VLOOKUP(AI:AI,#REF!,1,FALSE)</f>
        <v>#VALUE!</v>
      </c>
    </row>
    <row r="1001" spans="1:50">
      <c r="A1001" s="220">
        <v>1013</v>
      </c>
      <c r="B1001" s="220" t="s">
        <v>3674</v>
      </c>
      <c r="C1001" s="209" t="s">
        <v>17</v>
      </c>
      <c r="D1001" s="209" t="s">
        <v>3648</v>
      </c>
      <c r="E1001" s="209" t="s">
        <v>2196</v>
      </c>
      <c r="F1001" s="209"/>
      <c r="G1001" s="209"/>
      <c r="H1001" s="212" t="s">
        <v>6101</v>
      </c>
      <c r="I1001" s="218"/>
      <c r="J1001" s="218"/>
      <c r="K1001" s="218"/>
      <c r="L1001" s="212" t="s">
        <v>3559</v>
      </c>
      <c r="M1001" s="212"/>
      <c r="N1001" s="218"/>
      <c r="O1001" s="212">
        <v>4590018614</v>
      </c>
      <c r="P1001" s="214">
        <v>45449</v>
      </c>
      <c r="Q1001" s="334" t="s">
        <v>3907</v>
      </c>
      <c r="R1001" s="353">
        <v>2659.5</v>
      </c>
      <c r="S1001" s="217" t="s">
        <v>2156</v>
      </c>
      <c r="T1001" s="209" t="s">
        <v>6102</v>
      </c>
      <c r="U1001" s="209" t="s">
        <v>4031</v>
      </c>
      <c r="V1001" s="213" t="s">
        <v>6076</v>
      </c>
      <c r="W1001" s="218" t="s">
        <v>3652</v>
      </c>
      <c r="X1001" s="218"/>
      <c r="Y1001" s="212" t="s">
        <v>6082</v>
      </c>
      <c r="Z1001" s="209" t="s">
        <v>6104</v>
      </c>
      <c r="AA1001" s="218" t="s">
        <v>2630</v>
      </c>
      <c r="AB1001" s="218"/>
      <c r="AC1001" s="218"/>
      <c r="AD1001" s="217"/>
      <c r="AE1001" s="217" t="s">
        <v>2630</v>
      </c>
      <c r="AF1001" s="217" t="s">
        <v>2369</v>
      </c>
      <c r="AG1001" s="217" t="s">
        <v>846</v>
      </c>
      <c r="AH1001" s="220">
        <f t="shared" si="62"/>
        <v>4590018614</v>
      </c>
      <c r="AI1001" s="217"/>
      <c r="AJ1001" s="220"/>
      <c r="AK1001" s="299"/>
      <c r="AL1001" s="227"/>
      <c r="AM1001" s="208"/>
      <c r="AN1001" s="220"/>
      <c r="AP1001" s="227"/>
      <c r="AQ1001" s="358">
        <f ca="1">IF(表格1[[#This Row],[PO$]]="","100%",表格1[[#This Row],[total amount]]/表格1[[#This Row],[PO$]])</f>
        <v>0</v>
      </c>
      <c r="AR1001" s="318">
        <f ca="1">表格1[[#This Row],[invoice amount]]+表格1[[#This Row],[invoice amount2]]</f>
        <v>0</v>
      </c>
      <c r="AT1001" s="352"/>
      <c r="AU1001" s="352" t="e">
        <f ca="1">VLOOKUP(表格1[[#This Row],[PO+ITEM]],#REF!,2,FALSE)</f>
        <v>#REF!</v>
      </c>
      <c r="AV1001" s="341" t="e">
        <f ca="1">VLOOKUP(表格1[[#This Row],[PO+ITEM]],#REF!,3,FALSE)</f>
        <v>#REF!</v>
      </c>
      <c r="AW1001" s="208" t="e">
        <f ca="1">VLOOKUP(表格1[[#This Row],[PO+ITEM]],#REF!,4,FALSE)</f>
        <v>#REF!</v>
      </c>
      <c r="AX1001" s="208" t="e" cm="1" vm="1">
        <f t="array" aca="1" ref="AX1001" ca="1">VLOOKUP(AI:AI,#REF!,1,FALSE)</f>
        <v>#VALUE!</v>
      </c>
    </row>
    <row r="1002" spans="1:50">
      <c r="A1002" s="220">
        <v>1014</v>
      </c>
      <c r="B1002" s="220" t="s">
        <v>3674</v>
      </c>
      <c r="C1002" s="209" t="s">
        <v>17</v>
      </c>
      <c r="D1002" s="209" t="s">
        <v>3648</v>
      </c>
      <c r="E1002" s="209" t="s">
        <v>2196</v>
      </c>
      <c r="F1002" s="209"/>
      <c r="G1002" s="209"/>
      <c r="H1002" s="212" t="s">
        <v>6106</v>
      </c>
      <c r="I1002" s="218"/>
      <c r="J1002" s="218"/>
      <c r="K1002" s="218"/>
      <c r="L1002" s="212" t="s">
        <v>4129</v>
      </c>
      <c r="M1002" s="212"/>
      <c r="N1002" s="218"/>
      <c r="O1002" s="212">
        <v>4590018616</v>
      </c>
      <c r="P1002" s="214">
        <v>45449</v>
      </c>
      <c r="Q1002" s="334" t="s">
        <v>3907</v>
      </c>
      <c r="R1002" s="353">
        <v>2871.85</v>
      </c>
      <c r="S1002" s="217" t="s">
        <v>2156</v>
      </c>
      <c r="T1002" s="209" t="s">
        <v>6107</v>
      </c>
      <c r="U1002" s="209" t="s">
        <v>4031</v>
      </c>
      <c r="V1002" s="213" t="s">
        <v>6076</v>
      </c>
      <c r="W1002" s="218" t="s">
        <v>3652</v>
      </c>
      <c r="X1002" s="218"/>
      <c r="Y1002" s="212" t="s">
        <v>6082</v>
      </c>
      <c r="Z1002" s="209" t="s">
        <v>6108</v>
      </c>
      <c r="AA1002" s="218" t="s">
        <v>3471</v>
      </c>
      <c r="AB1002" s="218"/>
      <c r="AC1002" s="218"/>
      <c r="AD1002" s="217"/>
      <c r="AE1002" s="217" t="s">
        <v>3471</v>
      </c>
      <c r="AF1002" s="217" t="s">
        <v>3828</v>
      </c>
      <c r="AG1002" s="217" t="s">
        <v>3666</v>
      </c>
      <c r="AH1002" s="220">
        <f t="shared" si="62"/>
        <v>4590018616</v>
      </c>
      <c r="AI1002" s="217" t="s">
        <v>6110</v>
      </c>
      <c r="AJ1002" s="227">
        <v>45506</v>
      </c>
      <c r="AK1002" s="406">
        <v>2871.85</v>
      </c>
      <c r="AL1002" s="227"/>
      <c r="AM1002" s="208"/>
      <c r="AN1002" s="227"/>
      <c r="AP1002" s="227"/>
      <c r="AQ1002" s="358">
        <f ca="1">IF(表格1[[#This Row],[PO$]]="","100%",表格1[[#This Row],[total amount]]/表格1[[#This Row],[PO$]])</f>
        <v>1</v>
      </c>
      <c r="AR1002" s="318">
        <f ca="1">表格1[[#This Row],[invoice amount]]+表格1[[#This Row],[invoice amount2]]</f>
        <v>2871.85</v>
      </c>
      <c r="AS1002" s="224" t="s">
        <v>3752</v>
      </c>
      <c r="AT1002" s="352"/>
      <c r="AU1002" s="403" t="e">
        <f ca="1">VLOOKUP(表格1[[#This Row],[PO+ITEM]],#REF!,2,FALSE)</f>
        <v>#REF!</v>
      </c>
      <c r="AV1002" s="341" t="e">
        <f ca="1">VLOOKUP(表格1[[#This Row],[PO+ITEM]],#REF!,3,FALSE)</f>
        <v>#REF!</v>
      </c>
      <c r="AW1002" s="208" t="e">
        <f ca="1">VLOOKUP(表格1[[#This Row],[PO+ITEM]],#REF!,4,FALSE)</f>
        <v>#REF!</v>
      </c>
      <c r="AX1002" s="208" t="e" cm="1" vm="1">
        <f t="array" aca="1" ref="AX1002" ca="1">VLOOKUP(AI:AI,#REF!,1,FALSE)</f>
        <v>#VALUE!</v>
      </c>
    </row>
    <row r="1003" spans="1:50">
      <c r="A1003" s="220">
        <v>1015</v>
      </c>
      <c r="B1003" s="220" t="s">
        <v>3674</v>
      </c>
      <c r="C1003" s="209" t="s">
        <v>17</v>
      </c>
      <c r="D1003" s="209" t="s">
        <v>3648</v>
      </c>
      <c r="E1003" s="209" t="s">
        <v>2196</v>
      </c>
      <c r="F1003" s="209"/>
      <c r="G1003" s="209"/>
      <c r="H1003" s="212" t="s">
        <v>6111</v>
      </c>
      <c r="I1003" s="218"/>
      <c r="J1003" s="218"/>
      <c r="K1003" s="218"/>
      <c r="L1003" s="212" t="s">
        <v>4129</v>
      </c>
      <c r="M1003" s="212"/>
      <c r="N1003" s="218"/>
      <c r="O1003" s="212">
        <v>4590018617</v>
      </c>
      <c r="P1003" s="214">
        <v>45449</v>
      </c>
      <c r="Q1003" s="334" t="s">
        <v>3907</v>
      </c>
      <c r="R1003" s="353">
        <v>2871.85</v>
      </c>
      <c r="S1003" s="217" t="s">
        <v>2156</v>
      </c>
      <c r="T1003" s="209" t="s">
        <v>6112</v>
      </c>
      <c r="U1003" s="209" t="s">
        <v>4031</v>
      </c>
      <c r="V1003" s="213" t="s">
        <v>6076</v>
      </c>
      <c r="W1003" s="218" t="s">
        <v>3652</v>
      </c>
      <c r="X1003" s="218"/>
      <c r="Y1003" s="212" t="s">
        <v>6082</v>
      </c>
      <c r="Z1003" s="209" t="s">
        <v>6113</v>
      </c>
      <c r="AA1003" s="218" t="s">
        <v>3490</v>
      </c>
      <c r="AB1003" s="218"/>
      <c r="AC1003" s="218"/>
      <c r="AD1003" s="217"/>
      <c r="AE1003" s="217" t="s">
        <v>3490</v>
      </c>
      <c r="AF1003" s="217" t="s">
        <v>3828</v>
      </c>
      <c r="AG1003" s="217" t="s">
        <v>3666</v>
      </c>
      <c r="AH1003" s="220">
        <f t="shared" si="62"/>
        <v>4590018617</v>
      </c>
      <c r="AI1003" s="217"/>
      <c r="AJ1003" s="220"/>
      <c r="AK1003" s="299"/>
      <c r="AL1003" s="227"/>
      <c r="AM1003" s="208"/>
      <c r="AN1003" s="220"/>
      <c r="AP1003" s="227"/>
      <c r="AQ1003" s="358">
        <f ca="1">IF(表格1[[#This Row],[PO$]]="","100%",表格1[[#This Row],[total amount]]/表格1[[#This Row],[PO$]])</f>
        <v>0</v>
      </c>
      <c r="AR1003" s="318">
        <f ca="1">表格1[[#This Row],[invoice amount]]+表格1[[#This Row],[invoice amount2]]</f>
        <v>0</v>
      </c>
      <c r="AT1003" s="352"/>
      <c r="AU1003" s="352" t="e">
        <f ca="1">VLOOKUP(表格1[[#This Row],[PO+ITEM]],#REF!,2,FALSE)</f>
        <v>#REF!</v>
      </c>
      <c r="AV1003" s="341" t="e">
        <f ca="1">VLOOKUP(表格1[[#This Row],[PO+ITEM]],#REF!,3,FALSE)</f>
        <v>#REF!</v>
      </c>
      <c r="AW1003" s="208" t="e">
        <f ca="1">VLOOKUP(表格1[[#This Row],[PO+ITEM]],#REF!,4,FALSE)</f>
        <v>#REF!</v>
      </c>
      <c r="AX1003" s="208" t="e" cm="1" vm="1">
        <f t="array" aca="1" ref="AX1003" ca="1">VLOOKUP(AI:AI,#REF!,1,FALSE)</f>
        <v>#VALUE!</v>
      </c>
    </row>
    <row r="1004" spans="1:50">
      <c r="A1004" s="220">
        <v>1016</v>
      </c>
      <c r="B1004" s="220" t="s">
        <v>3674</v>
      </c>
      <c r="C1004" s="209" t="s">
        <v>17</v>
      </c>
      <c r="D1004" s="209" t="s">
        <v>3648</v>
      </c>
      <c r="E1004" s="209" t="s">
        <v>2196</v>
      </c>
      <c r="F1004" s="209"/>
      <c r="G1004" s="209"/>
      <c r="H1004" s="212" t="s">
        <v>6116</v>
      </c>
      <c r="I1004" s="218"/>
      <c r="J1004" s="218"/>
      <c r="K1004" s="218"/>
      <c r="L1004" s="212" t="s">
        <v>4129</v>
      </c>
      <c r="M1004" s="212"/>
      <c r="N1004" s="218"/>
      <c r="O1004" s="212">
        <v>4590018618</v>
      </c>
      <c r="P1004" s="214">
        <v>45449</v>
      </c>
      <c r="Q1004" s="334" t="s">
        <v>3907</v>
      </c>
      <c r="R1004" s="353">
        <v>7870.09</v>
      </c>
      <c r="S1004" s="217" t="s">
        <v>2156</v>
      </c>
      <c r="T1004" s="209" t="s">
        <v>6117</v>
      </c>
      <c r="U1004" s="209" t="s">
        <v>4031</v>
      </c>
      <c r="V1004" s="213" t="s">
        <v>6076</v>
      </c>
      <c r="W1004" s="218" t="s">
        <v>3652</v>
      </c>
      <c r="X1004" s="218"/>
      <c r="Y1004" s="212" t="s">
        <v>6082</v>
      </c>
      <c r="Z1004" s="209" t="s">
        <v>6118</v>
      </c>
      <c r="AA1004" s="218" t="s">
        <v>2917</v>
      </c>
      <c r="AB1004" s="218"/>
      <c r="AC1004" s="218"/>
      <c r="AD1004" s="217"/>
      <c r="AE1004" s="217" t="s">
        <v>2917</v>
      </c>
      <c r="AF1004" s="217" t="s">
        <v>3828</v>
      </c>
      <c r="AG1004" s="217" t="s">
        <v>6120</v>
      </c>
      <c r="AH1004" s="220">
        <f t="shared" si="62"/>
        <v>4590018618</v>
      </c>
      <c r="AI1004" s="217"/>
      <c r="AJ1004" s="220"/>
      <c r="AK1004" s="299"/>
      <c r="AL1004" s="227"/>
      <c r="AM1004" s="208"/>
      <c r="AN1004" s="220"/>
      <c r="AP1004" s="227"/>
      <c r="AQ1004" s="358">
        <f ca="1">IF(表格1[[#This Row],[PO$]]="","100%",表格1[[#This Row],[total amount]]/表格1[[#This Row],[PO$]])</f>
        <v>0</v>
      </c>
      <c r="AR1004" s="318">
        <f ca="1">表格1[[#This Row],[invoice amount]]+表格1[[#This Row],[invoice amount2]]</f>
        <v>0</v>
      </c>
      <c r="AT1004" s="352"/>
      <c r="AU1004" s="352" t="e">
        <f ca="1">VLOOKUP(表格1[[#This Row],[PO+ITEM]],#REF!,2,FALSE)</f>
        <v>#REF!</v>
      </c>
      <c r="AV1004" s="341" t="e">
        <f ca="1">VLOOKUP(表格1[[#This Row],[PO+ITEM]],#REF!,3,FALSE)</f>
        <v>#REF!</v>
      </c>
      <c r="AW1004" s="208" t="e">
        <f ca="1">VLOOKUP(表格1[[#This Row],[PO+ITEM]],#REF!,4,FALSE)</f>
        <v>#REF!</v>
      </c>
      <c r="AX1004" s="208" t="e" cm="1" vm="1">
        <f t="array" aca="1" ref="AX1004" ca="1">VLOOKUP(AI:AI,#REF!,1,FALSE)</f>
        <v>#VALUE!</v>
      </c>
    </row>
    <row r="1005" spans="1:50">
      <c r="A1005" s="220">
        <v>1017</v>
      </c>
      <c r="B1005" s="220" t="s">
        <v>3674</v>
      </c>
      <c r="C1005" s="209" t="s">
        <v>17</v>
      </c>
      <c r="D1005" s="209" t="s">
        <v>3648</v>
      </c>
      <c r="E1005" s="209" t="s">
        <v>2196</v>
      </c>
      <c r="F1005" s="209"/>
      <c r="G1005" s="209"/>
      <c r="H1005" s="212" t="s">
        <v>6122</v>
      </c>
      <c r="I1005" s="218"/>
      <c r="J1005" s="218"/>
      <c r="K1005" s="218"/>
      <c r="L1005" s="212" t="s">
        <v>4129</v>
      </c>
      <c r="M1005" s="212"/>
      <c r="N1005" s="218"/>
      <c r="O1005" s="212">
        <v>4590018619</v>
      </c>
      <c r="P1005" s="214">
        <v>45449</v>
      </c>
      <c r="Q1005" s="334" t="s">
        <v>3907</v>
      </c>
      <c r="R1005" s="353">
        <v>2871.85</v>
      </c>
      <c r="S1005" s="217" t="s">
        <v>2156</v>
      </c>
      <c r="T1005" s="209" t="s">
        <v>6123</v>
      </c>
      <c r="U1005" s="209" t="s">
        <v>4031</v>
      </c>
      <c r="V1005" s="213" t="s">
        <v>6076</v>
      </c>
      <c r="W1005" s="218" t="s">
        <v>3652</v>
      </c>
      <c r="X1005" s="218"/>
      <c r="Y1005" s="212" t="s">
        <v>6082</v>
      </c>
      <c r="Z1005" s="209" t="s">
        <v>6124</v>
      </c>
      <c r="AA1005" s="218" t="s">
        <v>3152</v>
      </c>
      <c r="AB1005" s="218"/>
      <c r="AC1005" s="218"/>
      <c r="AD1005" s="217"/>
      <c r="AE1005" s="217" t="s">
        <v>3152</v>
      </c>
      <c r="AF1005" s="217" t="s">
        <v>3828</v>
      </c>
      <c r="AG1005" s="217" t="s">
        <v>3666</v>
      </c>
      <c r="AH1005" s="220">
        <f t="shared" si="62"/>
        <v>4590018619</v>
      </c>
      <c r="AI1005" s="217" t="s">
        <v>6126</v>
      </c>
      <c r="AJ1005" s="227">
        <v>45506</v>
      </c>
      <c r="AK1005" s="406">
        <v>2871.85</v>
      </c>
      <c r="AL1005" s="227"/>
      <c r="AM1005" s="208"/>
      <c r="AN1005" s="227"/>
      <c r="AP1005" s="227"/>
      <c r="AQ1005" s="358">
        <f ca="1">IF(表格1[[#This Row],[PO$]]="","100%",表格1[[#This Row],[total amount]]/表格1[[#This Row],[PO$]])</f>
        <v>1</v>
      </c>
      <c r="AR1005" s="318">
        <f ca="1">表格1[[#This Row],[invoice amount]]+表格1[[#This Row],[invoice amount2]]</f>
        <v>2871.85</v>
      </c>
      <c r="AS1005" s="224" t="s">
        <v>3752</v>
      </c>
      <c r="AT1005" s="352"/>
      <c r="AU1005" s="403" t="e">
        <f ca="1">VLOOKUP(表格1[[#This Row],[PO+ITEM]],#REF!,2,FALSE)</f>
        <v>#REF!</v>
      </c>
      <c r="AV1005" s="341" t="e">
        <f ca="1">VLOOKUP(表格1[[#This Row],[PO+ITEM]],#REF!,3,FALSE)</f>
        <v>#REF!</v>
      </c>
      <c r="AW1005" s="208" t="e">
        <f ca="1">VLOOKUP(表格1[[#This Row],[PO+ITEM]],#REF!,4,FALSE)</f>
        <v>#REF!</v>
      </c>
      <c r="AX1005" s="208" t="e" cm="1" vm="1">
        <f t="array" aca="1" ref="AX1005" ca="1">VLOOKUP(AI:AI,#REF!,1,FALSE)</f>
        <v>#VALUE!</v>
      </c>
    </row>
    <row r="1006" spans="1:50">
      <c r="A1006" s="220">
        <v>1018</v>
      </c>
      <c r="B1006" s="220" t="s">
        <v>3674</v>
      </c>
      <c r="C1006" s="209" t="s">
        <v>17</v>
      </c>
      <c r="D1006" s="209" t="s">
        <v>3648</v>
      </c>
      <c r="E1006" s="209" t="s">
        <v>2196</v>
      </c>
      <c r="F1006" s="209"/>
      <c r="G1006" s="209"/>
      <c r="H1006" s="212" t="s">
        <v>6127</v>
      </c>
      <c r="I1006" s="218"/>
      <c r="J1006" s="218"/>
      <c r="K1006" s="218"/>
      <c r="L1006" s="212" t="s">
        <v>4129</v>
      </c>
      <c r="M1006" s="212"/>
      <c r="N1006" s="218"/>
      <c r="O1006" s="212">
        <v>4590018620</v>
      </c>
      <c r="P1006" s="214">
        <v>45449</v>
      </c>
      <c r="Q1006" s="334" t="s">
        <v>3907</v>
      </c>
      <c r="R1006" s="353">
        <v>2871.85</v>
      </c>
      <c r="S1006" s="217" t="s">
        <v>2156</v>
      </c>
      <c r="T1006" s="209" t="s">
        <v>6128</v>
      </c>
      <c r="U1006" s="209" t="s">
        <v>4031</v>
      </c>
      <c r="V1006" s="213" t="s">
        <v>6076</v>
      </c>
      <c r="W1006" s="218" t="s">
        <v>3652</v>
      </c>
      <c r="X1006" s="218"/>
      <c r="Y1006" s="212" t="s">
        <v>6082</v>
      </c>
      <c r="Z1006" s="209" t="s">
        <v>6129</v>
      </c>
      <c r="AA1006" s="218" t="s">
        <v>3476</v>
      </c>
      <c r="AB1006" s="218"/>
      <c r="AC1006" s="218"/>
      <c r="AD1006" s="217"/>
      <c r="AE1006" s="217" t="s">
        <v>3476</v>
      </c>
      <c r="AF1006" s="217" t="s">
        <v>3828</v>
      </c>
      <c r="AG1006" s="217" t="s">
        <v>3666</v>
      </c>
      <c r="AH1006" s="220">
        <f t="shared" si="62"/>
        <v>4590018620</v>
      </c>
      <c r="AI1006" s="217"/>
      <c r="AJ1006" s="220"/>
      <c r="AK1006" s="299"/>
      <c r="AL1006" s="227"/>
      <c r="AM1006" s="208"/>
      <c r="AN1006" s="220"/>
      <c r="AP1006" s="227"/>
      <c r="AQ1006" s="358">
        <f ca="1">IF(表格1[[#This Row],[PO$]]="","100%",表格1[[#This Row],[total amount]]/表格1[[#This Row],[PO$]])</f>
        <v>0</v>
      </c>
      <c r="AR1006" s="318">
        <f ca="1">表格1[[#This Row],[invoice amount]]+表格1[[#This Row],[invoice amount2]]</f>
        <v>0</v>
      </c>
      <c r="AT1006" s="352"/>
      <c r="AU1006" s="352" t="e">
        <f ca="1">VLOOKUP(表格1[[#This Row],[PO+ITEM]],#REF!,2,FALSE)</f>
        <v>#REF!</v>
      </c>
      <c r="AV1006" s="341" t="e">
        <f ca="1">VLOOKUP(表格1[[#This Row],[PO+ITEM]],#REF!,3,FALSE)</f>
        <v>#REF!</v>
      </c>
      <c r="AW1006" s="208" t="e">
        <f ca="1">VLOOKUP(表格1[[#This Row],[PO+ITEM]],#REF!,4,FALSE)</f>
        <v>#REF!</v>
      </c>
      <c r="AX1006" s="208" t="e" cm="1" vm="1">
        <f t="array" aca="1" ref="AX1006" ca="1">VLOOKUP(AI:AI,#REF!,1,FALSE)</f>
        <v>#VALUE!</v>
      </c>
    </row>
    <row r="1007" spans="1:50">
      <c r="A1007" s="220">
        <v>1019</v>
      </c>
      <c r="B1007" s="220" t="s">
        <v>3674</v>
      </c>
      <c r="C1007" s="209" t="s">
        <v>17</v>
      </c>
      <c r="D1007" s="209" t="s">
        <v>3648</v>
      </c>
      <c r="E1007" s="209" t="s">
        <v>2196</v>
      </c>
      <c r="F1007" s="209"/>
      <c r="G1007" s="209"/>
      <c r="H1007" s="212" t="s">
        <v>6132</v>
      </c>
      <c r="I1007" s="218"/>
      <c r="J1007" s="218"/>
      <c r="K1007" s="218"/>
      <c r="L1007" s="212" t="s">
        <v>4129</v>
      </c>
      <c r="M1007" s="212"/>
      <c r="N1007" s="218"/>
      <c r="O1007" s="212">
        <v>4590018621</v>
      </c>
      <c r="P1007" s="214">
        <v>45449</v>
      </c>
      <c r="Q1007" s="334" t="s">
        <v>3907</v>
      </c>
      <c r="R1007" s="353">
        <v>4999.25</v>
      </c>
      <c r="S1007" s="217" t="s">
        <v>2156</v>
      </c>
      <c r="T1007" s="209" t="s">
        <v>6133</v>
      </c>
      <c r="U1007" s="209" t="s">
        <v>4031</v>
      </c>
      <c r="V1007" s="213" t="s">
        <v>6076</v>
      </c>
      <c r="W1007" s="218" t="s">
        <v>3652</v>
      </c>
      <c r="X1007" s="218"/>
      <c r="Y1007" s="212" t="s">
        <v>6082</v>
      </c>
      <c r="Z1007" s="209" t="s">
        <v>6134</v>
      </c>
      <c r="AA1007" s="218" t="s">
        <v>2921</v>
      </c>
      <c r="AB1007" s="218"/>
      <c r="AC1007" s="218"/>
      <c r="AD1007" s="217"/>
      <c r="AE1007" s="217" t="s">
        <v>2921</v>
      </c>
      <c r="AF1007" s="217" t="s">
        <v>3828</v>
      </c>
      <c r="AG1007" s="217" t="s">
        <v>6120</v>
      </c>
      <c r="AH1007" s="220">
        <f t="shared" si="62"/>
        <v>4590018621</v>
      </c>
      <c r="AI1007" s="217"/>
      <c r="AJ1007" s="220"/>
      <c r="AK1007" s="299"/>
      <c r="AL1007" s="227"/>
      <c r="AM1007" s="208"/>
      <c r="AN1007" s="220"/>
      <c r="AP1007" s="227"/>
      <c r="AQ1007" s="358">
        <f ca="1">IF(表格1[[#This Row],[PO$]]="","100%",表格1[[#This Row],[total amount]]/表格1[[#This Row],[PO$]])</f>
        <v>0</v>
      </c>
      <c r="AR1007" s="318">
        <f ca="1">表格1[[#This Row],[invoice amount]]+表格1[[#This Row],[invoice amount2]]</f>
        <v>0</v>
      </c>
      <c r="AT1007" s="352"/>
      <c r="AU1007" s="352" t="e">
        <f ca="1">VLOOKUP(表格1[[#This Row],[PO+ITEM]],#REF!,2,FALSE)</f>
        <v>#REF!</v>
      </c>
      <c r="AV1007" s="341" t="e">
        <f ca="1">VLOOKUP(表格1[[#This Row],[PO+ITEM]],#REF!,3,FALSE)</f>
        <v>#REF!</v>
      </c>
      <c r="AW1007" s="208" t="e">
        <f ca="1">VLOOKUP(表格1[[#This Row],[PO+ITEM]],#REF!,4,FALSE)</f>
        <v>#REF!</v>
      </c>
      <c r="AX1007" s="208" t="e" cm="1" vm="1">
        <f t="array" aca="1" ref="AX1007" ca="1">VLOOKUP(AI:AI,#REF!,1,FALSE)</f>
        <v>#VALUE!</v>
      </c>
    </row>
    <row r="1008" spans="1:50">
      <c r="A1008" s="220">
        <v>1020</v>
      </c>
      <c r="B1008" s="220" t="s">
        <v>3674</v>
      </c>
      <c r="C1008" s="209" t="s">
        <v>17</v>
      </c>
      <c r="D1008" s="209" t="s">
        <v>3648</v>
      </c>
      <c r="E1008" s="209" t="s">
        <v>2196</v>
      </c>
      <c r="F1008" s="209"/>
      <c r="G1008" s="209"/>
      <c r="H1008" s="212" t="s">
        <v>6137</v>
      </c>
      <c r="I1008" s="218"/>
      <c r="J1008" s="218"/>
      <c r="K1008" s="218"/>
      <c r="L1008" s="212" t="s">
        <v>4129</v>
      </c>
      <c r="M1008" s="212"/>
      <c r="N1008" s="218"/>
      <c r="O1008" s="212">
        <v>4590018622</v>
      </c>
      <c r="P1008" s="214">
        <v>45449</v>
      </c>
      <c r="Q1008" s="334" t="s">
        <v>3907</v>
      </c>
      <c r="R1008" s="353">
        <v>11612.59</v>
      </c>
      <c r="S1008" s="217" t="s">
        <v>2156</v>
      </c>
      <c r="T1008" s="209" t="s">
        <v>6138</v>
      </c>
      <c r="U1008" s="209" t="s">
        <v>4031</v>
      </c>
      <c r="V1008" s="213" t="s">
        <v>6076</v>
      </c>
      <c r="W1008" s="218" t="s">
        <v>3652</v>
      </c>
      <c r="X1008" s="218"/>
      <c r="Y1008" s="212" t="s">
        <v>6082</v>
      </c>
      <c r="Z1008" s="209" t="s">
        <v>6139</v>
      </c>
      <c r="AA1008" s="218" t="s">
        <v>2919</v>
      </c>
      <c r="AB1008" s="218"/>
      <c r="AC1008" s="218"/>
      <c r="AD1008" s="217"/>
      <c r="AE1008" s="217" t="s">
        <v>2919</v>
      </c>
      <c r="AF1008" s="217" t="s">
        <v>3828</v>
      </c>
      <c r="AG1008" s="217" t="s">
        <v>6120</v>
      </c>
      <c r="AH1008" s="220">
        <f t="shared" si="62"/>
        <v>4590018622</v>
      </c>
      <c r="AI1008" s="217"/>
      <c r="AJ1008" s="220"/>
      <c r="AK1008" s="299"/>
      <c r="AL1008" s="227"/>
      <c r="AM1008" s="208"/>
      <c r="AN1008" s="220"/>
      <c r="AP1008" s="227"/>
      <c r="AQ1008" s="358">
        <f ca="1">IF(表格1[[#This Row],[PO$]]="","100%",表格1[[#This Row],[total amount]]/表格1[[#This Row],[PO$]])</f>
        <v>0</v>
      </c>
      <c r="AR1008" s="318">
        <f ca="1">表格1[[#This Row],[invoice amount]]+表格1[[#This Row],[invoice amount2]]</f>
        <v>0</v>
      </c>
      <c r="AT1008" s="352"/>
      <c r="AU1008" s="352" t="e">
        <f ca="1">VLOOKUP(表格1[[#This Row],[PO+ITEM]],#REF!,2,FALSE)</f>
        <v>#REF!</v>
      </c>
      <c r="AV1008" s="341" t="e">
        <f ca="1">VLOOKUP(表格1[[#This Row],[PO+ITEM]],#REF!,3,FALSE)</f>
        <v>#REF!</v>
      </c>
      <c r="AW1008" s="208" t="e">
        <f ca="1">VLOOKUP(表格1[[#This Row],[PO+ITEM]],#REF!,4,FALSE)</f>
        <v>#REF!</v>
      </c>
      <c r="AX1008" s="208" t="e" cm="1" vm="1">
        <f t="array" aca="1" ref="AX1008" ca="1">VLOOKUP(AI:AI,#REF!,1,FALSE)</f>
        <v>#VALUE!</v>
      </c>
    </row>
    <row r="1009" spans="1:50">
      <c r="A1009" s="220">
        <v>1021</v>
      </c>
      <c r="B1009" s="220" t="s">
        <v>3674</v>
      </c>
      <c r="C1009" s="209" t="s">
        <v>17</v>
      </c>
      <c r="D1009" s="209" t="s">
        <v>3648</v>
      </c>
      <c r="E1009" s="209" t="s">
        <v>2196</v>
      </c>
      <c r="F1009" s="209"/>
      <c r="G1009" s="209"/>
      <c r="H1009" s="212" t="s">
        <v>6142</v>
      </c>
      <c r="I1009" s="218"/>
      <c r="J1009" s="218"/>
      <c r="K1009" s="218"/>
      <c r="L1009" s="212" t="s">
        <v>2888</v>
      </c>
      <c r="M1009" s="212"/>
      <c r="N1009" s="218"/>
      <c r="O1009" s="212">
        <v>4590018623</v>
      </c>
      <c r="P1009" s="214">
        <v>45449</v>
      </c>
      <c r="Q1009" s="334" t="s">
        <v>3907</v>
      </c>
      <c r="R1009" s="353">
        <v>1055</v>
      </c>
      <c r="S1009" s="217" t="s">
        <v>2156</v>
      </c>
      <c r="T1009" s="209" t="s">
        <v>6143</v>
      </c>
      <c r="U1009" s="209" t="s">
        <v>4031</v>
      </c>
      <c r="V1009" s="213" t="s">
        <v>6076</v>
      </c>
      <c r="W1009" s="218" t="s">
        <v>3652</v>
      </c>
      <c r="X1009" s="218"/>
      <c r="Y1009" s="212" t="s">
        <v>6082</v>
      </c>
      <c r="Z1009" s="209" t="s">
        <v>6144</v>
      </c>
      <c r="AA1009" s="218" t="s">
        <v>6145</v>
      </c>
      <c r="AB1009" s="218"/>
      <c r="AC1009" s="218"/>
      <c r="AD1009" s="217"/>
      <c r="AE1009" s="217" t="s">
        <v>6145</v>
      </c>
      <c r="AF1009" s="217" t="s">
        <v>2369</v>
      </c>
      <c r="AG1009" s="217" t="s">
        <v>47</v>
      </c>
      <c r="AH1009" s="220">
        <f t="shared" si="62"/>
        <v>4590018623</v>
      </c>
      <c r="AI1009" s="217"/>
      <c r="AJ1009" s="220"/>
      <c r="AK1009" s="299"/>
      <c r="AL1009" s="227"/>
      <c r="AM1009" s="208"/>
      <c r="AN1009" s="220"/>
      <c r="AP1009" s="227"/>
      <c r="AQ1009" s="358">
        <f ca="1">IF(表格1[[#This Row],[PO$]]="","100%",表格1[[#This Row],[total amount]]/表格1[[#This Row],[PO$]])</f>
        <v>0</v>
      </c>
      <c r="AR1009" s="318">
        <f ca="1">表格1[[#This Row],[invoice amount]]+表格1[[#This Row],[invoice amount2]]</f>
        <v>0</v>
      </c>
      <c r="AT1009" s="352"/>
      <c r="AU1009" s="352" t="e">
        <f ca="1">VLOOKUP(表格1[[#This Row],[PO+ITEM]],#REF!,2,FALSE)</f>
        <v>#REF!</v>
      </c>
      <c r="AV1009" s="341" t="e">
        <f ca="1">VLOOKUP(表格1[[#This Row],[PO+ITEM]],#REF!,3,FALSE)</f>
        <v>#REF!</v>
      </c>
      <c r="AW1009" s="208" t="e">
        <f ca="1">VLOOKUP(表格1[[#This Row],[PO+ITEM]],#REF!,4,FALSE)</f>
        <v>#REF!</v>
      </c>
      <c r="AX1009" s="208" t="e" cm="1" vm="1">
        <f t="array" aca="1" ref="AX1009" ca="1">VLOOKUP(AI:AI,#REF!,1,FALSE)</f>
        <v>#VALUE!</v>
      </c>
    </row>
    <row r="1010" spans="1:50">
      <c r="A1010" s="220">
        <v>1022</v>
      </c>
      <c r="B1010" s="220" t="s">
        <v>3674</v>
      </c>
      <c r="C1010" s="209" t="s">
        <v>17</v>
      </c>
      <c r="D1010" s="209" t="s">
        <v>3648</v>
      </c>
      <c r="E1010" s="209" t="s">
        <v>2196</v>
      </c>
      <c r="F1010" s="209"/>
      <c r="G1010" s="209"/>
      <c r="H1010" s="212" t="s">
        <v>6148</v>
      </c>
      <c r="I1010" s="218"/>
      <c r="J1010" s="218"/>
      <c r="K1010" s="218"/>
      <c r="L1010" s="212" t="s">
        <v>2888</v>
      </c>
      <c r="M1010" s="212"/>
      <c r="N1010" s="218"/>
      <c r="O1010" s="212">
        <v>4590018624</v>
      </c>
      <c r="P1010" s="214">
        <v>45449</v>
      </c>
      <c r="Q1010" s="334" t="s">
        <v>3907</v>
      </c>
      <c r="R1010" s="353">
        <v>1055</v>
      </c>
      <c r="S1010" s="217" t="s">
        <v>2156</v>
      </c>
      <c r="T1010" s="209" t="s">
        <v>6149</v>
      </c>
      <c r="U1010" s="209" t="s">
        <v>4031</v>
      </c>
      <c r="V1010" s="213" t="s">
        <v>6076</v>
      </c>
      <c r="W1010" s="218" t="s">
        <v>3652</v>
      </c>
      <c r="X1010" s="218"/>
      <c r="Y1010" s="212" t="s">
        <v>6082</v>
      </c>
      <c r="Z1010" s="209" t="s">
        <v>6150</v>
      </c>
      <c r="AA1010" s="218" t="s">
        <v>6151</v>
      </c>
      <c r="AB1010" s="218"/>
      <c r="AC1010" s="218"/>
      <c r="AD1010" s="217"/>
      <c r="AE1010" s="217" t="s">
        <v>6151</v>
      </c>
      <c r="AF1010" s="217" t="s">
        <v>2369</v>
      </c>
      <c r="AG1010" s="217" t="s">
        <v>47</v>
      </c>
      <c r="AH1010" s="220">
        <f t="shared" si="62"/>
        <v>4590018624</v>
      </c>
      <c r="AI1010" s="217"/>
      <c r="AJ1010" s="220"/>
      <c r="AK1010" s="299"/>
      <c r="AL1010" s="227"/>
      <c r="AM1010" s="208"/>
      <c r="AN1010" s="220"/>
      <c r="AP1010" s="227"/>
      <c r="AQ1010" s="358">
        <f ca="1">IF(表格1[[#This Row],[PO$]]="","100%",表格1[[#This Row],[total amount]]/表格1[[#This Row],[PO$]])</f>
        <v>0</v>
      </c>
      <c r="AR1010" s="318">
        <f ca="1">表格1[[#This Row],[invoice amount]]+表格1[[#This Row],[invoice amount2]]</f>
        <v>0</v>
      </c>
      <c r="AT1010" s="352"/>
      <c r="AU1010" s="352" t="e">
        <f ca="1">VLOOKUP(表格1[[#This Row],[PO+ITEM]],#REF!,2,FALSE)</f>
        <v>#REF!</v>
      </c>
      <c r="AV1010" s="341" t="e">
        <f ca="1">VLOOKUP(表格1[[#This Row],[PO+ITEM]],#REF!,3,FALSE)</f>
        <v>#REF!</v>
      </c>
      <c r="AW1010" s="208" t="e">
        <f ca="1">VLOOKUP(表格1[[#This Row],[PO+ITEM]],#REF!,4,FALSE)</f>
        <v>#REF!</v>
      </c>
      <c r="AX1010" s="208" t="e" cm="1" vm="1">
        <f t="array" aca="1" ref="AX1010" ca="1">VLOOKUP(AI:AI,#REF!,1,FALSE)</f>
        <v>#VALUE!</v>
      </c>
    </row>
    <row r="1011" spans="1:50">
      <c r="A1011" s="220">
        <v>1023</v>
      </c>
      <c r="B1011" s="220" t="s">
        <v>3674</v>
      </c>
      <c r="C1011" s="209" t="s">
        <v>17</v>
      </c>
      <c r="D1011" s="209" t="s">
        <v>3648</v>
      </c>
      <c r="E1011" s="209" t="s">
        <v>2196</v>
      </c>
      <c r="F1011" s="209"/>
      <c r="G1011" s="209"/>
      <c r="H1011" s="212" t="s">
        <v>6154</v>
      </c>
      <c r="I1011" s="218"/>
      <c r="J1011" s="218"/>
      <c r="K1011" s="218"/>
      <c r="L1011" s="212" t="s">
        <v>4129</v>
      </c>
      <c r="M1011" s="212"/>
      <c r="N1011" s="218"/>
      <c r="O1011" s="212">
        <v>4590018646</v>
      </c>
      <c r="P1011" s="214">
        <v>45450</v>
      </c>
      <c r="Q1011" s="334" t="s">
        <v>3907</v>
      </c>
      <c r="R1011" s="353">
        <v>2014.8</v>
      </c>
      <c r="S1011" s="217" t="s">
        <v>2156</v>
      </c>
      <c r="T1011" s="209" t="s">
        <v>6155</v>
      </c>
      <c r="U1011" s="209" t="s">
        <v>4031</v>
      </c>
      <c r="V1011" s="213" t="s">
        <v>6076</v>
      </c>
      <c r="W1011" s="218" t="s">
        <v>3652</v>
      </c>
      <c r="X1011" s="218"/>
      <c r="Y1011" s="212" t="s">
        <v>6082</v>
      </c>
      <c r="Z1011" s="209" t="s">
        <v>6156</v>
      </c>
      <c r="AA1011" s="218" t="s">
        <v>2915</v>
      </c>
      <c r="AB1011" s="218"/>
      <c r="AC1011" s="218"/>
      <c r="AD1011" s="217"/>
      <c r="AE1011" s="217" t="s">
        <v>2915</v>
      </c>
      <c r="AF1011" s="217" t="s">
        <v>3828</v>
      </c>
      <c r="AG1011" s="217" t="s">
        <v>6120</v>
      </c>
      <c r="AH1011" s="220">
        <f t="shared" si="62"/>
        <v>4590018646</v>
      </c>
      <c r="AI1011" s="217"/>
      <c r="AJ1011" s="220"/>
      <c r="AK1011" s="299"/>
      <c r="AL1011" s="227"/>
      <c r="AM1011" s="208"/>
      <c r="AN1011" s="220"/>
      <c r="AP1011" s="227"/>
      <c r="AQ1011" s="358">
        <f ca="1">IF(表格1[[#This Row],[PO$]]="","100%",表格1[[#This Row],[total amount]]/表格1[[#This Row],[PO$]])</f>
        <v>0</v>
      </c>
      <c r="AR1011" s="318">
        <f ca="1">表格1[[#This Row],[invoice amount]]+表格1[[#This Row],[invoice amount2]]</f>
        <v>0</v>
      </c>
      <c r="AT1011" s="352"/>
      <c r="AU1011" s="352" t="e">
        <f ca="1">VLOOKUP(表格1[[#This Row],[PO+ITEM]],#REF!,2,FALSE)</f>
        <v>#REF!</v>
      </c>
      <c r="AV1011" s="341" t="e">
        <f ca="1">VLOOKUP(表格1[[#This Row],[PO+ITEM]],#REF!,3,FALSE)</f>
        <v>#REF!</v>
      </c>
      <c r="AW1011" s="208" t="e">
        <f ca="1">VLOOKUP(表格1[[#This Row],[PO+ITEM]],#REF!,4,FALSE)</f>
        <v>#REF!</v>
      </c>
      <c r="AX1011" s="208" t="e" cm="1" vm="1">
        <f t="array" aca="1" ref="AX1011" ca="1">VLOOKUP(AI:AI,#REF!,1,FALSE)</f>
        <v>#VALUE!</v>
      </c>
    </row>
    <row r="1012" spans="1:50">
      <c r="A1012" s="220">
        <v>1024</v>
      </c>
      <c r="B1012" s="220" t="s">
        <v>3674</v>
      </c>
      <c r="C1012" s="209" t="s">
        <v>17</v>
      </c>
      <c r="D1012" s="209" t="s">
        <v>3648</v>
      </c>
      <c r="E1012" s="209" t="s">
        <v>2196</v>
      </c>
      <c r="F1012" s="209"/>
      <c r="G1012" s="209"/>
      <c r="H1012" s="212" t="s">
        <v>6159</v>
      </c>
      <c r="I1012" s="218"/>
      <c r="J1012" s="218"/>
      <c r="K1012" s="218"/>
      <c r="L1012" s="212" t="s">
        <v>4129</v>
      </c>
      <c r="M1012" s="212"/>
      <c r="N1012" s="218"/>
      <c r="O1012" s="212">
        <v>4590018667</v>
      </c>
      <c r="P1012" s="214">
        <v>45451</v>
      </c>
      <c r="Q1012" s="334" t="s">
        <v>3907</v>
      </c>
      <c r="R1012" s="353">
        <v>3403.95</v>
      </c>
      <c r="S1012" s="217" t="s">
        <v>2156</v>
      </c>
      <c r="T1012" s="209" t="s">
        <v>6160</v>
      </c>
      <c r="U1012" s="209" t="s">
        <v>4031</v>
      </c>
      <c r="V1012" s="213" t="s">
        <v>6076</v>
      </c>
      <c r="W1012" s="218" t="s">
        <v>3652</v>
      </c>
      <c r="X1012" s="218"/>
      <c r="Y1012" s="212" t="s">
        <v>6082</v>
      </c>
      <c r="Z1012" s="209" t="s">
        <v>6161</v>
      </c>
      <c r="AA1012" s="218" t="s">
        <v>4655</v>
      </c>
      <c r="AB1012" s="218"/>
      <c r="AC1012" s="218"/>
      <c r="AD1012" s="217"/>
      <c r="AE1012" s="217" t="s">
        <v>4655</v>
      </c>
      <c r="AF1012" s="217" t="s">
        <v>3711</v>
      </c>
      <c r="AG1012" s="217" t="s">
        <v>3719</v>
      </c>
      <c r="AH1012" s="220">
        <f t="shared" si="62"/>
        <v>4590018667</v>
      </c>
      <c r="AI1012" s="217"/>
      <c r="AJ1012" s="220"/>
      <c r="AK1012" s="299"/>
      <c r="AL1012" s="227"/>
      <c r="AM1012" s="208"/>
      <c r="AN1012" s="220"/>
      <c r="AP1012" s="227"/>
      <c r="AQ1012" s="358">
        <f ca="1">IF(表格1[[#This Row],[PO$]]="","100%",表格1[[#This Row],[total amount]]/表格1[[#This Row],[PO$]])</f>
        <v>0</v>
      </c>
      <c r="AR1012" s="318">
        <f ca="1">表格1[[#This Row],[invoice amount]]+表格1[[#This Row],[invoice amount2]]</f>
        <v>0</v>
      </c>
      <c r="AT1012" s="352"/>
      <c r="AU1012" s="352" t="e">
        <f ca="1">VLOOKUP(表格1[[#This Row],[PO+ITEM]],#REF!,2,FALSE)</f>
        <v>#REF!</v>
      </c>
      <c r="AV1012" s="341" t="e">
        <f ca="1">VLOOKUP(表格1[[#This Row],[PO+ITEM]],#REF!,3,FALSE)</f>
        <v>#REF!</v>
      </c>
      <c r="AW1012" s="208" t="e">
        <f ca="1">VLOOKUP(表格1[[#This Row],[PO+ITEM]],#REF!,4,FALSE)</f>
        <v>#REF!</v>
      </c>
      <c r="AX1012" s="208" t="e" cm="1" vm="1">
        <f t="array" aca="1" ref="AX1012" ca="1">VLOOKUP(AI:AI,#REF!,1,FALSE)</f>
        <v>#VALUE!</v>
      </c>
    </row>
    <row r="1013" spans="1:50">
      <c r="A1013" s="220">
        <v>1025</v>
      </c>
      <c r="B1013" s="220" t="s">
        <v>3674</v>
      </c>
      <c r="C1013" s="209" t="s">
        <v>17</v>
      </c>
      <c r="D1013" s="209" t="s">
        <v>3648</v>
      </c>
      <c r="E1013" s="209" t="s">
        <v>2196</v>
      </c>
      <c r="F1013" s="209"/>
      <c r="G1013" s="209"/>
      <c r="H1013" s="212" t="s">
        <v>6164</v>
      </c>
      <c r="I1013" s="218"/>
      <c r="J1013" s="218"/>
      <c r="K1013" s="218"/>
      <c r="L1013" s="212" t="s">
        <v>4129</v>
      </c>
      <c r="M1013" s="212"/>
      <c r="N1013" s="218"/>
      <c r="O1013" s="212">
        <v>4590018668</v>
      </c>
      <c r="P1013" s="214">
        <v>45451</v>
      </c>
      <c r="Q1013" s="334" t="s">
        <v>3907</v>
      </c>
      <c r="R1013" s="353">
        <v>3403.95</v>
      </c>
      <c r="S1013" s="217" t="s">
        <v>2156</v>
      </c>
      <c r="T1013" s="209" t="s">
        <v>6165</v>
      </c>
      <c r="U1013" s="209" t="s">
        <v>4031</v>
      </c>
      <c r="V1013" s="213" t="s">
        <v>6076</v>
      </c>
      <c r="W1013" s="218" t="s">
        <v>3652</v>
      </c>
      <c r="X1013" s="218"/>
      <c r="Y1013" s="212" t="s">
        <v>6082</v>
      </c>
      <c r="Z1013" s="209" t="s">
        <v>6166</v>
      </c>
      <c r="AA1013" s="218" t="s">
        <v>4684</v>
      </c>
      <c r="AB1013" s="218"/>
      <c r="AC1013" s="218"/>
      <c r="AD1013" s="217"/>
      <c r="AE1013" s="217" t="s">
        <v>4684</v>
      </c>
      <c r="AF1013" s="217" t="s">
        <v>3711</v>
      </c>
      <c r="AG1013" s="217" t="s">
        <v>3719</v>
      </c>
      <c r="AH1013" s="220">
        <f t="shared" si="62"/>
        <v>4590018668</v>
      </c>
      <c r="AI1013" s="217"/>
      <c r="AJ1013" s="220"/>
      <c r="AK1013" s="299"/>
      <c r="AL1013" s="227"/>
      <c r="AM1013" s="208"/>
      <c r="AN1013" s="220"/>
      <c r="AP1013" s="227"/>
      <c r="AQ1013" s="358">
        <f ca="1">IF(表格1[[#This Row],[PO$]]="","100%",表格1[[#This Row],[total amount]]/表格1[[#This Row],[PO$]])</f>
        <v>0</v>
      </c>
      <c r="AR1013" s="318">
        <f ca="1">表格1[[#This Row],[invoice amount]]+表格1[[#This Row],[invoice amount2]]</f>
        <v>0</v>
      </c>
      <c r="AT1013" s="352"/>
      <c r="AU1013" s="352" t="e">
        <f ca="1">VLOOKUP(表格1[[#This Row],[PO+ITEM]],#REF!,2,FALSE)</f>
        <v>#REF!</v>
      </c>
      <c r="AV1013" s="341" t="e">
        <f ca="1">VLOOKUP(表格1[[#This Row],[PO+ITEM]],#REF!,3,FALSE)</f>
        <v>#REF!</v>
      </c>
      <c r="AW1013" s="208" t="e">
        <f ca="1">VLOOKUP(表格1[[#This Row],[PO+ITEM]],#REF!,4,FALSE)</f>
        <v>#REF!</v>
      </c>
      <c r="AX1013" s="208" t="e" cm="1" vm="1">
        <f t="array" aca="1" ref="AX1013" ca="1">VLOOKUP(AI:AI,#REF!,1,FALSE)</f>
        <v>#VALUE!</v>
      </c>
    </row>
    <row r="1014" spans="1:50">
      <c r="A1014" s="220">
        <v>1026</v>
      </c>
      <c r="B1014" s="220" t="e">
        <v>#N/A</v>
      </c>
      <c r="C1014" s="209" t="s">
        <v>17</v>
      </c>
      <c r="D1014" s="209" t="s">
        <v>3648</v>
      </c>
      <c r="E1014" s="209" t="s">
        <v>2196</v>
      </c>
      <c r="F1014" s="209"/>
      <c r="G1014" s="209"/>
      <c r="H1014" s="212" t="s">
        <v>6169</v>
      </c>
      <c r="I1014" s="218"/>
      <c r="J1014" s="218"/>
      <c r="K1014" s="218"/>
      <c r="L1014" s="212" t="s">
        <v>2888</v>
      </c>
      <c r="M1014" s="212"/>
      <c r="N1014" s="218"/>
      <c r="O1014" s="212">
        <v>4590019324</v>
      </c>
      <c r="P1014" s="214">
        <v>45470</v>
      </c>
      <c r="Q1014" s="334" t="s">
        <v>3907</v>
      </c>
      <c r="R1014" s="353">
        <v>5492</v>
      </c>
      <c r="S1014" s="217" t="s">
        <v>2156</v>
      </c>
      <c r="T1014" s="209"/>
      <c r="U1014" s="209" t="s">
        <v>6708</v>
      </c>
      <c r="V1014" s="213"/>
      <c r="W1014" s="218" t="s">
        <v>3652</v>
      </c>
      <c r="X1014" s="218"/>
      <c r="Y1014" s="212" t="s">
        <v>6171</v>
      </c>
      <c r="Z1014" s="209" t="s">
        <v>6172</v>
      </c>
      <c r="AA1014" s="218"/>
      <c r="AB1014" s="218"/>
      <c r="AC1014" s="218"/>
      <c r="AD1014" s="217"/>
      <c r="AE1014" s="217"/>
      <c r="AF1014" s="217"/>
      <c r="AG1014" s="217"/>
      <c r="AH1014" s="220">
        <f t="shared" si="62"/>
        <v>4590019324</v>
      </c>
      <c r="AI1014" s="217"/>
      <c r="AJ1014" s="220"/>
      <c r="AK1014" s="299"/>
      <c r="AL1014" s="227"/>
      <c r="AM1014" s="208"/>
      <c r="AN1014" s="220"/>
      <c r="AP1014" s="227"/>
      <c r="AQ1014" s="358">
        <f ca="1">IF(表格1[[#This Row],[PO$]]="","100%",表格1[[#This Row],[total amount]]/表格1[[#This Row],[PO$]])</f>
        <v>0</v>
      </c>
      <c r="AR1014" s="318">
        <f ca="1">表格1[[#This Row],[invoice amount]]+表格1[[#This Row],[invoice amount2]]</f>
        <v>0</v>
      </c>
      <c r="AT1014" s="352"/>
      <c r="AU1014" s="352" t="e">
        <f ca="1">VLOOKUP(表格1[[#This Row],[PO+ITEM]],#REF!,2,FALSE)</f>
        <v>#REF!</v>
      </c>
      <c r="AV1014" s="341" t="e">
        <f ca="1">VLOOKUP(表格1[[#This Row],[PO+ITEM]],#REF!,3,FALSE)</f>
        <v>#REF!</v>
      </c>
      <c r="AW1014" s="208" t="e">
        <f ca="1">VLOOKUP(表格1[[#This Row],[PO+ITEM]],#REF!,4,FALSE)</f>
        <v>#REF!</v>
      </c>
      <c r="AX1014" s="208" t="e" cm="1" vm="1">
        <f t="array" aca="1" ref="AX1014" ca="1">VLOOKUP(AI:AI,#REF!,1,FALSE)</f>
        <v>#VALUE!</v>
      </c>
    </row>
    <row r="1015" spans="1:50">
      <c r="A1015" s="220">
        <v>1027</v>
      </c>
      <c r="B1015" s="220"/>
      <c r="C1015" s="209" t="s">
        <v>17</v>
      </c>
      <c r="D1015" s="209" t="s">
        <v>3648</v>
      </c>
      <c r="E1015" s="209" t="s">
        <v>2196</v>
      </c>
      <c r="F1015" s="209"/>
      <c r="G1015" s="209"/>
      <c r="H1015" s="210" t="s">
        <v>6174</v>
      </c>
      <c r="I1015" s="218"/>
      <c r="J1015" s="218"/>
      <c r="K1015" s="218"/>
      <c r="L1015" s="212" t="s">
        <v>4129</v>
      </c>
      <c r="M1015" s="212"/>
      <c r="N1015" s="218"/>
      <c r="O1015" s="212">
        <v>4590020406</v>
      </c>
      <c r="P1015" s="212" t="s">
        <v>3591</v>
      </c>
      <c r="Q1015" s="334" t="s">
        <v>3907</v>
      </c>
      <c r="R1015" s="215">
        <v>2871.85</v>
      </c>
      <c r="S1015" s="217" t="s">
        <v>2156</v>
      </c>
      <c r="T1015" s="209"/>
      <c r="U1015" s="209" t="s">
        <v>6736</v>
      </c>
      <c r="V1015" s="213" t="s">
        <v>6076</v>
      </c>
      <c r="W1015" s="218" t="s">
        <v>3652</v>
      </c>
      <c r="X1015" s="218"/>
      <c r="Y1015" s="212" t="s">
        <v>6176</v>
      </c>
      <c r="Z1015" s="209" t="s">
        <v>6177</v>
      </c>
      <c r="AA1015" s="218"/>
      <c r="AB1015" s="218"/>
      <c r="AC1015" s="218"/>
      <c r="AD1015" s="217"/>
      <c r="AE1015" s="217" t="s">
        <v>3286</v>
      </c>
      <c r="AF1015" s="217"/>
      <c r="AG1015" s="217"/>
      <c r="AH1015" s="220">
        <f t="shared" si="62"/>
        <v>4590020406</v>
      </c>
      <c r="AI1015" s="217"/>
      <c r="AJ1015" s="220"/>
      <c r="AK1015" s="299"/>
      <c r="AL1015" s="227"/>
      <c r="AM1015" s="208"/>
      <c r="AN1015" s="220"/>
      <c r="AP1015" s="227"/>
      <c r="AQ1015" s="358">
        <f ca="1">IF(表格1[[#This Row],[PO$]]="","100%",表格1[[#This Row],[total amount]]/表格1[[#This Row],[PO$]])</f>
        <v>0</v>
      </c>
      <c r="AR1015" s="318">
        <f ca="1">表格1[[#This Row],[invoice amount]]+表格1[[#This Row],[invoice amount2]]</f>
        <v>0</v>
      </c>
      <c r="AT1015" s="398"/>
      <c r="AU1015" s="398" t="e">
        <f ca="1">VLOOKUP(表格1[[#This Row],[PO+ITEM]],#REF!,2,FALSE)</f>
        <v>#REF!</v>
      </c>
      <c r="AV1015" s="341" t="e">
        <f ca="1">VLOOKUP(表格1[[#This Row],[PO+ITEM]],#REF!,3,FALSE)</f>
        <v>#REF!</v>
      </c>
      <c r="AW1015" s="208" t="e">
        <f ca="1">VLOOKUP(表格1[[#This Row],[PO+ITEM]],#REF!,4,FALSE)</f>
        <v>#REF!</v>
      </c>
      <c r="AX1015" s="208" t="e" cm="1" vm="1">
        <f t="array" aca="1" ref="AX1015" ca="1">VLOOKUP(AI:AI,#REF!,1,FALSE)</f>
        <v>#VALUE!</v>
      </c>
    </row>
    <row r="1016" spans="1:50">
      <c r="A1016" s="220">
        <v>1028</v>
      </c>
      <c r="B1016" s="220" t="s">
        <v>3674</v>
      </c>
      <c r="C1016" s="209" t="s">
        <v>17</v>
      </c>
      <c r="D1016" s="209" t="s">
        <v>3648</v>
      </c>
      <c r="E1016" s="209" t="s">
        <v>2196</v>
      </c>
      <c r="F1016" s="209"/>
      <c r="G1016" s="209"/>
      <c r="H1016" s="210" t="s">
        <v>6180</v>
      </c>
      <c r="I1016" s="218"/>
      <c r="J1016" s="218"/>
      <c r="K1016" s="218"/>
      <c r="L1016" s="212" t="s">
        <v>4129</v>
      </c>
      <c r="M1016" s="212"/>
      <c r="N1016" s="218"/>
      <c r="O1016" s="212">
        <v>4590020408</v>
      </c>
      <c r="P1016" s="212" t="s">
        <v>3591</v>
      </c>
      <c r="Q1016" s="334" t="s">
        <v>3907</v>
      </c>
      <c r="R1016" s="215">
        <v>2871.85</v>
      </c>
      <c r="S1016" s="217" t="s">
        <v>2156</v>
      </c>
      <c r="T1016" s="209"/>
      <c r="U1016" s="209" t="s">
        <v>6736</v>
      </c>
      <c r="V1016" s="213" t="s">
        <v>6076</v>
      </c>
      <c r="W1016" s="218" t="s">
        <v>3652</v>
      </c>
      <c r="X1016" s="218"/>
      <c r="Y1016" s="212" t="s">
        <v>6176</v>
      </c>
      <c r="Z1016" s="209" t="s">
        <v>6182</v>
      </c>
      <c r="AA1016" s="218"/>
      <c r="AB1016" s="218"/>
      <c r="AC1016" s="218"/>
      <c r="AD1016" s="217"/>
      <c r="AE1016" s="217" t="s">
        <v>3445</v>
      </c>
      <c r="AF1016" s="217" t="s">
        <v>3711</v>
      </c>
      <c r="AG1016" s="217"/>
      <c r="AH1016" s="220">
        <f t="shared" si="62"/>
        <v>4590020408</v>
      </c>
      <c r="AI1016" s="217" t="s">
        <v>6184</v>
      </c>
      <c r="AJ1016" s="227">
        <v>45506</v>
      </c>
      <c r="AK1016" s="406">
        <v>2871.85</v>
      </c>
      <c r="AL1016" s="227"/>
      <c r="AM1016" s="208"/>
      <c r="AN1016" s="227"/>
      <c r="AP1016" s="227"/>
      <c r="AQ1016" s="358">
        <f ca="1">IF(表格1[[#This Row],[PO$]]="","100%",表格1[[#This Row],[total amount]]/表格1[[#This Row],[PO$]])</f>
        <v>1</v>
      </c>
      <c r="AR1016" s="318">
        <f ca="1">表格1[[#This Row],[invoice amount]]+表格1[[#This Row],[invoice amount2]]</f>
        <v>2871.85</v>
      </c>
      <c r="AS1016" s="224" t="s">
        <v>3752</v>
      </c>
      <c r="AT1016" s="398"/>
      <c r="AU1016" s="404" t="e">
        <f ca="1">VLOOKUP(表格1[[#This Row],[PO+ITEM]],#REF!,2,FALSE)</f>
        <v>#REF!</v>
      </c>
      <c r="AV1016" s="341" t="e">
        <f ca="1">VLOOKUP(表格1[[#This Row],[PO+ITEM]],#REF!,3,FALSE)</f>
        <v>#REF!</v>
      </c>
      <c r="AW1016" s="208" t="e">
        <f ca="1">VLOOKUP(表格1[[#This Row],[PO+ITEM]],#REF!,4,FALSE)</f>
        <v>#REF!</v>
      </c>
      <c r="AX1016" s="208" t="e" cm="1" vm="1">
        <f t="array" aca="1" ref="AX1016" ca="1">VLOOKUP(AI:AI,#REF!,1,FALSE)</f>
        <v>#VALUE!</v>
      </c>
    </row>
    <row r="1017" spans="1:50">
      <c r="A1017" s="220">
        <v>1029</v>
      </c>
      <c r="B1017" s="220" t="s">
        <v>3674</v>
      </c>
      <c r="C1017" s="209" t="s">
        <v>17</v>
      </c>
      <c r="D1017" s="209" t="s">
        <v>3648</v>
      </c>
      <c r="E1017" s="209" t="s">
        <v>2196</v>
      </c>
      <c r="F1017" s="209"/>
      <c r="G1017" s="209"/>
      <c r="H1017" s="210" t="s">
        <v>6185</v>
      </c>
      <c r="I1017" s="218"/>
      <c r="J1017" s="218"/>
      <c r="K1017" s="218"/>
      <c r="L1017" s="212" t="s">
        <v>4129</v>
      </c>
      <c r="M1017" s="212"/>
      <c r="N1017" s="218"/>
      <c r="O1017" s="212">
        <v>4590020409</v>
      </c>
      <c r="P1017" s="212" t="s">
        <v>3591</v>
      </c>
      <c r="Q1017" s="334" t="s">
        <v>3907</v>
      </c>
      <c r="R1017" s="215">
        <v>2871.85</v>
      </c>
      <c r="S1017" s="217" t="s">
        <v>2156</v>
      </c>
      <c r="T1017" s="209"/>
      <c r="U1017" s="209" t="s">
        <v>6736</v>
      </c>
      <c r="V1017" s="213" t="s">
        <v>6076</v>
      </c>
      <c r="W1017" s="218" t="s">
        <v>3652</v>
      </c>
      <c r="X1017" s="218"/>
      <c r="Y1017" s="212" t="s">
        <v>6176</v>
      </c>
      <c r="Z1017" s="209" t="s">
        <v>6187</v>
      </c>
      <c r="AA1017" s="218"/>
      <c r="AB1017" s="218"/>
      <c r="AC1017" s="218"/>
      <c r="AD1017" s="217"/>
      <c r="AE1017" s="217" t="s">
        <v>3256</v>
      </c>
      <c r="AF1017" s="217" t="s">
        <v>3711</v>
      </c>
      <c r="AG1017" s="217"/>
      <c r="AH1017" s="220">
        <f t="shared" si="62"/>
        <v>4590020409</v>
      </c>
      <c r="AI1017" s="217" t="s">
        <v>6189</v>
      </c>
      <c r="AJ1017" s="227">
        <v>45506</v>
      </c>
      <c r="AK1017" s="406">
        <v>2871.85</v>
      </c>
      <c r="AL1017" s="227"/>
      <c r="AM1017" s="208"/>
      <c r="AN1017" s="227"/>
      <c r="AP1017" s="227"/>
      <c r="AQ1017" s="358">
        <f ca="1">IF(表格1[[#This Row],[PO$]]="","100%",表格1[[#This Row],[total amount]]/表格1[[#This Row],[PO$]])</f>
        <v>1</v>
      </c>
      <c r="AR1017" s="318">
        <f ca="1">表格1[[#This Row],[invoice amount]]+表格1[[#This Row],[invoice amount2]]</f>
        <v>2871.85</v>
      </c>
      <c r="AS1017" s="224" t="s">
        <v>3752</v>
      </c>
      <c r="AT1017" s="398"/>
      <c r="AU1017" s="404" t="e">
        <f ca="1">VLOOKUP(表格1[[#This Row],[PO+ITEM]],#REF!,2,FALSE)</f>
        <v>#REF!</v>
      </c>
      <c r="AV1017" s="341" t="e">
        <f ca="1">VLOOKUP(表格1[[#This Row],[PO+ITEM]],#REF!,3,FALSE)</f>
        <v>#REF!</v>
      </c>
      <c r="AW1017" s="208" t="e">
        <f ca="1">VLOOKUP(表格1[[#This Row],[PO+ITEM]],#REF!,4,FALSE)</f>
        <v>#REF!</v>
      </c>
      <c r="AX1017" s="208" t="e" cm="1" vm="1">
        <f t="array" aca="1" ref="AX1017" ca="1">VLOOKUP(AI:AI,#REF!,1,FALSE)</f>
        <v>#VALUE!</v>
      </c>
    </row>
    <row r="1018" spans="1:50">
      <c r="A1018" s="220">
        <v>1030</v>
      </c>
      <c r="B1018" s="220" t="s">
        <v>3674</v>
      </c>
      <c r="C1018" s="209" t="s">
        <v>17</v>
      </c>
      <c r="D1018" s="209" t="s">
        <v>3648</v>
      </c>
      <c r="E1018" s="209" t="s">
        <v>2196</v>
      </c>
      <c r="F1018" s="209"/>
      <c r="G1018" s="209"/>
      <c r="H1018" s="210" t="s">
        <v>6190</v>
      </c>
      <c r="I1018" s="218"/>
      <c r="J1018" s="218"/>
      <c r="K1018" s="218"/>
      <c r="L1018" s="212" t="s">
        <v>4129</v>
      </c>
      <c r="M1018" s="212"/>
      <c r="N1018" s="218"/>
      <c r="O1018" s="212">
        <v>4590020436</v>
      </c>
      <c r="P1018" s="212" t="s">
        <v>3591</v>
      </c>
      <c r="Q1018" s="334" t="s">
        <v>3907</v>
      </c>
      <c r="R1018" s="215">
        <v>4721.99</v>
      </c>
      <c r="S1018" s="217" t="s">
        <v>2156</v>
      </c>
      <c r="T1018" s="209"/>
      <c r="U1018" s="209" t="s">
        <v>6736</v>
      </c>
      <c r="V1018" s="213" t="s">
        <v>6076</v>
      </c>
      <c r="W1018" s="218" t="s">
        <v>3652</v>
      </c>
      <c r="X1018" s="218"/>
      <c r="Y1018" s="212" t="s">
        <v>6176</v>
      </c>
      <c r="Z1018" s="209" t="s">
        <v>6192</v>
      </c>
      <c r="AA1018" s="218"/>
      <c r="AB1018" s="218"/>
      <c r="AC1018" s="218"/>
      <c r="AD1018" s="217"/>
      <c r="AE1018" s="217" t="s">
        <v>3326</v>
      </c>
      <c r="AF1018" s="217" t="s">
        <v>3665</v>
      </c>
      <c r="AG1018" s="217"/>
      <c r="AH1018" s="220">
        <f t="shared" si="62"/>
        <v>4590020436</v>
      </c>
      <c r="AI1018" s="217" t="s">
        <v>6194</v>
      </c>
      <c r="AJ1018" s="227">
        <v>45506</v>
      </c>
      <c r="AK1018" s="406">
        <v>4721.99</v>
      </c>
      <c r="AL1018" s="227"/>
      <c r="AM1018" s="208"/>
      <c r="AN1018" s="227"/>
      <c r="AP1018" s="227"/>
      <c r="AQ1018" s="358">
        <f ca="1">IF(表格1[[#This Row],[PO$]]="","100%",表格1[[#This Row],[total amount]]/表格1[[#This Row],[PO$]])</f>
        <v>1</v>
      </c>
      <c r="AR1018" s="318">
        <f ca="1">表格1[[#This Row],[invoice amount]]+表格1[[#This Row],[invoice amount2]]</f>
        <v>4721.99</v>
      </c>
      <c r="AS1018" s="224" t="s">
        <v>3752</v>
      </c>
      <c r="AT1018" s="398"/>
      <c r="AU1018" s="404" t="e">
        <f ca="1">VLOOKUP(表格1[[#This Row],[PO+ITEM]],#REF!,2,FALSE)</f>
        <v>#REF!</v>
      </c>
      <c r="AV1018" s="341" t="e">
        <f ca="1">VLOOKUP(表格1[[#This Row],[PO+ITEM]],#REF!,3,FALSE)</f>
        <v>#REF!</v>
      </c>
      <c r="AW1018" s="208" t="e">
        <f ca="1">VLOOKUP(表格1[[#This Row],[PO+ITEM]],#REF!,4,FALSE)</f>
        <v>#REF!</v>
      </c>
      <c r="AX1018" s="208" t="e" cm="1" vm="1">
        <f t="array" aca="1" ref="AX1018" ca="1">VLOOKUP(AI:AI,#REF!,1,FALSE)</f>
        <v>#VALUE!</v>
      </c>
    </row>
    <row r="1019" spans="1:50">
      <c r="A1019" s="220">
        <v>1031</v>
      </c>
      <c r="B1019" s="220" t="s">
        <v>3674</v>
      </c>
      <c r="C1019" s="209" t="s">
        <v>17</v>
      </c>
      <c r="D1019" s="209" t="s">
        <v>3648</v>
      </c>
      <c r="E1019" s="209" t="s">
        <v>2196</v>
      </c>
      <c r="F1019" s="209"/>
      <c r="G1019" s="209"/>
      <c r="H1019" s="210" t="s">
        <v>6195</v>
      </c>
      <c r="I1019" s="218"/>
      <c r="J1019" s="218"/>
      <c r="K1019" s="218"/>
      <c r="L1019" s="212" t="s">
        <v>4129</v>
      </c>
      <c r="M1019" s="212"/>
      <c r="N1019" s="218"/>
      <c r="O1019" s="212">
        <v>4590020407</v>
      </c>
      <c r="P1019" s="212" t="s">
        <v>3591</v>
      </c>
      <c r="Q1019" s="334" t="s">
        <v>3907</v>
      </c>
      <c r="R1019" s="215">
        <v>2871.85</v>
      </c>
      <c r="S1019" s="217" t="s">
        <v>2156</v>
      </c>
      <c r="T1019" s="209"/>
      <c r="U1019" s="209" t="s">
        <v>6736</v>
      </c>
      <c r="V1019" s="213" t="s">
        <v>6076</v>
      </c>
      <c r="W1019" s="218" t="s">
        <v>3652</v>
      </c>
      <c r="X1019" s="218"/>
      <c r="Y1019" s="212" t="s">
        <v>6176</v>
      </c>
      <c r="Z1019" s="209" t="s">
        <v>6197</v>
      </c>
      <c r="AA1019" s="218"/>
      <c r="AB1019" s="218"/>
      <c r="AC1019" s="218"/>
      <c r="AD1019" s="217"/>
      <c r="AE1019" s="217" t="s">
        <v>3242</v>
      </c>
      <c r="AF1019" s="217" t="s">
        <v>3711</v>
      </c>
      <c r="AG1019" s="217"/>
      <c r="AH1019" s="220">
        <f t="shared" si="62"/>
        <v>4590020407</v>
      </c>
      <c r="AI1019" s="217" t="s">
        <v>6199</v>
      </c>
      <c r="AJ1019" s="227">
        <v>45506</v>
      </c>
      <c r="AK1019" s="406">
        <v>2871.85</v>
      </c>
      <c r="AL1019" s="227"/>
      <c r="AM1019" s="208"/>
      <c r="AN1019" s="227"/>
      <c r="AP1019" s="227"/>
      <c r="AQ1019" s="358">
        <f ca="1">IF(表格1[[#This Row],[PO$]]="","100%",表格1[[#This Row],[total amount]]/表格1[[#This Row],[PO$]])</f>
        <v>1</v>
      </c>
      <c r="AR1019" s="318">
        <f ca="1">表格1[[#This Row],[invoice amount]]+表格1[[#This Row],[invoice amount2]]</f>
        <v>2871.85</v>
      </c>
      <c r="AS1019" s="224" t="s">
        <v>3752</v>
      </c>
      <c r="AT1019" s="398"/>
      <c r="AU1019" s="404" t="e">
        <f ca="1">VLOOKUP(表格1[[#This Row],[PO+ITEM]],#REF!,2,FALSE)</f>
        <v>#REF!</v>
      </c>
      <c r="AV1019" s="341" t="e">
        <f ca="1">VLOOKUP(表格1[[#This Row],[PO+ITEM]],#REF!,3,FALSE)</f>
        <v>#REF!</v>
      </c>
      <c r="AW1019" s="208" t="e">
        <f ca="1">VLOOKUP(表格1[[#This Row],[PO+ITEM]],#REF!,4,FALSE)</f>
        <v>#REF!</v>
      </c>
      <c r="AX1019" s="208" t="e" cm="1" vm="1">
        <f t="array" aca="1" ref="AX1019" ca="1">VLOOKUP(AI:AI,#REF!,1,FALSE)</f>
        <v>#VALUE!</v>
      </c>
    </row>
    <row r="1020" spans="1:50">
      <c r="A1020" s="220">
        <v>1032</v>
      </c>
      <c r="B1020" s="220" t="s">
        <v>3674</v>
      </c>
      <c r="C1020" s="209" t="s">
        <v>17</v>
      </c>
      <c r="D1020" s="209" t="s">
        <v>3648</v>
      </c>
      <c r="E1020" s="209" t="s">
        <v>2196</v>
      </c>
      <c r="F1020" s="209"/>
      <c r="G1020" s="209"/>
      <c r="H1020" s="210" t="s">
        <v>6200</v>
      </c>
      <c r="I1020" s="218"/>
      <c r="J1020" s="218"/>
      <c r="K1020" s="218"/>
      <c r="L1020" s="212" t="s">
        <v>4129</v>
      </c>
      <c r="M1020" s="212"/>
      <c r="N1020" s="218"/>
      <c r="O1020" s="212">
        <v>4590020410</v>
      </c>
      <c r="P1020" s="212" t="s">
        <v>3591</v>
      </c>
      <c r="Q1020" s="334" t="s">
        <v>3907</v>
      </c>
      <c r="R1020" s="215">
        <v>2871.85</v>
      </c>
      <c r="S1020" s="217" t="s">
        <v>2156</v>
      </c>
      <c r="T1020" s="209"/>
      <c r="U1020" s="209" t="s">
        <v>6736</v>
      </c>
      <c r="V1020" s="213" t="s">
        <v>6076</v>
      </c>
      <c r="W1020" s="218" t="s">
        <v>3652</v>
      </c>
      <c r="X1020" s="218"/>
      <c r="Y1020" s="212" t="s">
        <v>6176</v>
      </c>
      <c r="Z1020" s="209" t="s">
        <v>6202</v>
      </c>
      <c r="AA1020" s="218"/>
      <c r="AB1020" s="218"/>
      <c r="AC1020" s="218"/>
      <c r="AD1020" s="217"/>
      <c r="AE1020" s="217" t="s">
        <v>3173</v>
      </c>
      <c r="AF1020" s="217" t="s">
        <v>3711</v>
      </c>
      <c r="AG1020" s="217"/>
      <c r="AH1020" s="220">
        <f t="shared" si="62"/>
        <v>4590020410</v>
      </c>
      <c r="AI1020" s="217" t="s">
        <v>6204</v>
      </c>
      <c r="AJ1020" s="227">
        <v>45506</v>
      </c>
      <c r="AK1020" s="406">
        <v>2871.85</v>
      </c>
      <c r="AL1020" s="227"/>
      <c r="AM1020" s="208"/>
      <c r="AN1020" s="227"/>
      <c r="AP1020" s="227"/>
      <c r="AQ1020" s="358">
        <f ca="1">IF(表格1[[#This Row],[PO$]]="","100%",表格1[[#This Row],[total amount]]/表格1[[#This Row],[PO$]])</f>
        <v>1</v>
      </c>
      <c r="AR1020" s="318">
        <f ca="1">表格1[[#This Row],[invoice amount]]+表格1[[#This Row],[invoice amount2]]</f>
        <v>2871.85</v>
      </c>
      <c r="AS1020" s="224" t="s">
        <v>3752</v>
      </c>
      <c r="AT1020" s="398"/>
      <c r="AU1020" s="404" t="e">
        <f ca="1">VLOOKUP(表格1[[#This Row],[PO+ITEM]],#REF!,2,FALSE)</f>
        <v>#REF!</v>
      </c>
      <c r="AV1020" s="341" t="e">
        <f ca="1">VLOOKUP(表格1[[#This Row],[PO+ITEM]],#REF!,3,FALSE)</f>
        <v>#REF!</v>
      </c>
      <c r="AW1020" s="208" t="e">
        <f ca="1">VLOOKUP(表格1[[#This Row],[PO+ITEM]],#REF!,4,FALSE)</f>
        <v>#REF!</v>
      </c>
      <c r="AX1020" s="208" t="e" cm="1" vm="1">
        <f t="array" aca="1" ref="AX1020" ca="1">VLOOKUP(AI:AI,#REF!,1,FALSE)</f>
        <v>#VALUE!</v>
      </c>
    </row>
    <row r="1021" spans="1:50">
      <c r="A1021" s="220">
        <v>1033</v>
      </c>
      <c r="B1021" s="220" t="s">
        <v>3674</v>
      </c>
      <c r="C1021" s="209" t="s">
        <v>17</v>
      </c>
      <c r="D1021" s="209" t="s">
        <v>3648</v>
      </c>
      <c r="E1021" s="209" t="s">
        <v>2196</v>
      </c>
      <c r="F1021" s="209"/>
      <c r="G1021" s="209"/>
      <c r="H1021" s="210" t="s">
        <v>6205</v>
      </c>
      <c r="I1021" s="218"/>
      <c r="J1021" s="218"/>
      <c r="K1021" s="218"/>
      <c r="L1021" s="212" t="s">
        <v>4129</v>
      </c>
      <c r="M1021" s="212"/>
      <c r="N1021" s="218"/>
      <c r="O1021" s="212">
        <v>4590020415</v>
      </c>
      <c r="P1021" s="212" t="s">
        <v>3591</v>
      </c>
      <c r="Q1021" s="334" t="s">
        <v>3907</v>
      </c>
      <c r="R1021" s="215">
        <v>2871.85</v>
      </c>
      <c r="S1021" s="217" t="s">
        <v>2156</v>
      </c>
      <c r="T1021" s="209"/>
      <c r="U1021" s="209" t="s">
        <v>6736</v>
      </c>
      <c r="V1021" s="213" t="s">
        <v>6076</v>
      </c>
      <c r="W1021" s="218" t="s">
        <v>3652</v>
      </c>
      <c r="X1021" s="218"/>
      <c r="Y1021" s="212" t="s">
        <v>6176</v>
      </c>
      <c r="Z1021" s="209" t="s">
        <v>6207</v>
      </c>
      <c r="AA1021" s="218"/>
      <c r="AB1021" s="218"/>
      <c r="AC1021" s="218"/>
      <c r="AD1021" s="217"/>
      <c r="AE1021" s="217" t="s">
        <v>3175</v>
      </c>
      <c r="AF1021" s="217" t="s">
        <v>3711</v>
      </c>
      <c r="AG1021" s="217"/>
      <c r="AH1021" s="220">
        <f t="shared" si="62"/>
        <v>4590020415</v>
      </c>
      <c r="AI1021" s="217" t="s">
        <v>6209</v>
      </c>
      <c r="AJ1021" s="227">
        <v>45506</v>
      </c>
      <c r="AK1021" s="406">
        <v>2871.85</v>
      </c>
      <c r="AL1021" s="227"/>
      <c r="AM1021" s="208"/>
      <c r="AN1021" s="227"/>
      <c r="AP1021" s="227"/>
      <c r="AQ1021" s="358">
        <f ca="1">IF(表格1[[#This Row],[PO$]]="","100%",表格1[[#This Row],[total amount]]/表格1[[#This Row],[PO$]])</f>
        <v>1</v>
      </c>
      <c r="AR1021" s="318">
        <f ca="1">表格1[[#This Row],[invoice amount]]+表格1[[#This Row],[invoice amount2]]</f>
        <v>2871.85</v>
      </c>
      <c r="AS1021" s="224" t="s">
        <v>3752</v>
      </c>
      <c r="AT1021" s="398"/>
      <c r="AU1021" s="404" t="e">
        <f ca="1">VLOOKUP(表格1[[#This Row],[PO+ITEM]],#REF!,2,FALSE)</f>
        <v>#REF!</v>
      </c>
      <c r="AV1021" s="341" t="e">
        <f ca="1">VLOOKUP(表格1[[#This Row],[PO+ITEM]],#REF!,3,FALSE)</f>
        <v>#REF!</v>
      </c>
      <c r="AW1021" s="208" t="e">
        <f ca="1">VLOOKUP(表格1[[#This Row],[PO+ITEM]],#REF!,4,FALSE)</f>
        <v>#REF!</v>
      </c>
      <c r="AX1021" s="208" t="e" cm="1" vm="1">
        <f t="array" aca="1" ref="AX1021" ca="1">VLOOKUP(AI:AI,#REF!,1,FALSE)</f>
        <v>#VALUE!</v>
      </c>
    </row>
    <row r="1022" spans="1:50">
      <c r="A1022" s="220">
        <v>1034</v>
      </c>
      <c r="B1022" s="220" t="s">
        <v>3674</v>
      </c>
      <c r="C1022" s="209" t="s">
        <v>17</v>
      </c>
      <c r="D1022" s="209" t="s">
        <v>3648</v>
      </c>
      <c r="E1022" s="209" t="s">
        <v>2196</v>
      </c>
      <c r="F1022" s="209"/>
      <c r="G1022" s="209"/>
      <c r="H1022" s="210" t="s">
        <v>6210</v>
      </c>
      <c r="I1022" s="218"/>
      <c r="J1022" s="218"/>
      <c r="K1022" s="218"/>
      <c r="L1022" s="212" t="s">
        <v>4129</v>
      </c>
      <c r="M1022" s="212"/>
      <c r="N1022" s="218"/>
      <c r="O1022" s="212">
        <v>4590020416</v>
      </c>
      <c r="P1022" s="212" t="s">
        <v>3591</v>
      </c>
      <c r="Q1022" s="334" t="s">
        <v>3907</v>
      </c>
      <c r="R1022" s="215">
        <v>2871.85</v>
      </c>
      <c r="S1022" s="217" t="s">
        <v>2156</v>
      </c>
      <c r="T1022" s="209"/>
      <c r="U1022" s="209" t="s">
        <v>6736</v>
      </c>
      <c r="V1022" s="213" t="s">
        <v>6076</v>
      </c>
      <c r="W1022" s="218" t="s">
        <v>3652</v>
      </c>
      <c r="X1022" s="218"/>
      <c r="Y1022" s="212" t="s">
        <v>6176</v>
      </c>
      <c r="Z1022" s="209" t="s">
        <v>6212</v>
      </c>
      <c r="AA1022" s="218"/>
      <c r="AB1022" s="218"/>
      <c r="AC1022" s="218"/>
      <c r="AD1022" s="217"/>
      <c r="AE1022" s="217" t="s">
        <v>3268</v>
      </c>
      <c r="AF1022" s="217" t="s">
        <v>3711</v>
      </c>
      <c r="AG1022" s="217"/>
      <c r="AH1022" s="220">
        <f t="shared" si="62"/>
        <v>4590020416</v>
      </c>
      <c r="AI1022" s="217" t="s">
        <v>6214</v>
      </c>
      <c r="AJ1022" s="227">
        <v>45506</v>
      </c>
      <c r="AK1022" s="406">
        <v>2871.85</v>
      </c>
      <c r="AL1022" s="227"/>
      <c r="AM1022" s="208"/>
      <c r="AN1022" s="227"/>
      <c r="AP1022" s="227"/>
      <c r="AQ1022" s="358">
        <f ca="1">IF(表格1[[#This Row],[PO$]]="","100%",表格1[[#This Row],[total amount]]/表格1[[#This Row],[PO$]])</f>
        <v>1</v>
      </c>
      <c r="AR1022" s="318">
        <f ca="1">表格1[[#This Row],[invoice amount]]+表格1[[#This Row],[invoice amount2]]</f>
        <v>2871.85</v>
      </c>
      <c r="AS1022" s="224" t="s">
        <v>3752</v>
      </c>
      <c r="AT1022" s="398"/>
      <c r="AU1022" s="404" t="e">
        <f ca="1">VLOOKUP(表格1[[#This Row],[PO+ITEM]],#REF!,2,FALSE)</f>
        <v>#REF!</v>
      </c>
      <c r="AV1022" s="341" t="e">
        <f ca="1">VLOOKUP(表格1[[#This Row],[PO+ITEM]],#REF!,3,FALSE)</f>
        <v>#REF!</v>
      </c>
      <c r="AW1022" s="208" t="e">
        <f ca="1">VLOOKUP(表格1[[#This Row],[PO+ITEM]],#REF!,4,FALSE)</f>
        <v>#REF!</v>
      </c>
      <c r="AX1022" s="208" t="e" cm="1" vm="1">
        <f t="array" aca="1" ref="AX1022" ca="1">VLOOKUP(AI:AI,#REF!,1,FALSE)</f>
        <v>#VALUE!</v>
      </c>
    </row>
    <row r="1023" spans="1:50">
      <c r="A1023" s="220">
        <v>1035</v>
      </c>
      <c r="B1023" s="220"/>
      <c r="C1023" s="209" t="s">
        <v>17</v>
      </c>
      <c r="D1023" s="209" t="s">
        <v>3648</v>
      </c>
      <c r="E1023" s="209" t="s">
        <v>2196</v>
      </c>
      <c r="F1023" s="209"/>
      <c r="G1023" s="209"/>
      <c r="H1023" s="210" t="s">
        <v>6215</v>
      </c>
      <c r="I1023" s="218"/>
      <c r="J1023" s="218"/>
      <c r="K1023" s="218"/>
      <c r="L1023" s="212" t="s">
        <v>4129</v>
      </c>
      <c r="M1023" s="212"/>
      <c r="N1023" s="218"/>
      <c r="O1023" s="212">
        <v>4590020437</v>
      </c>
      <c r="P1023" s="212" t="s">
        <v>3591</v>
      </c>
      <c r="Q1023" s="334" t="s">
        <v>3907</v>
      </c>
      <c r="R1023" s="215">
        <v>4721.99</v>
      </c>
      <c r="S1023" s="217" t="s">
        <v>2156</v>
      </c>
      <c r="T1023" s="209"/>
      <c r="U1023" s="209" t="s">
        <v>6736</v>
      </c>
      <c r="V1023" s="213" t="s">
        <v>6076</v>
      </c>
      <c r="W1023" s="218" t="s">
        <v>3652</v>
      </c>
      <c r="X1023" s="218"/>
      <c r="Y1023" s="212" t="s">
        <v>6176</v>
      </c>
      <c r="Z1023" s="209" t="s">
        <v>6217</v>
      </c>
      <c r="AA1023" s="218"/>
      <c r="AB1023" s="218"/>
      <c r="AC1023" s="218"/>
      <c r="AD1023" s="217"/>
      <c r="AE1023" s="217" t="s">
        <v>6743</v>
      </c>
      <c r="AF1023" s="217"/>
      <c r="AG1023" s="217"/>
      <c r="AH1023" s="220">
        <f t="shared" si="62"/>
        <v>4590020437</v>
      </c>
      <c r="AI1023" s="217"/>
      <c r="AJ1023" s="220"/>
      <c r="AK1023" s="299"/>
      <c r="AL1023" s="227"/>
      <c r="AM1023" s="208"/>
      <c r="AN1023" s="220"/>
      <c r="AP1023" s="227"/>
      <c r="AQ1023" s="358">
        <f ca="1">IF(表格1[[#This Row],[PO$]]="","100%",表格1[[#This Row],[total amount]]/表格1[[#This Row],[PO$]])</f>
        <v>0</v>
      </c>
      <c r="AR1023" s="318">
        <f ca="1">表格1[[#This Row],[invoice amount]]+表格1[[#This Row],[invoice amount2]]</f>
        <v>0</v>
      </c>
      <c r="AT1023" s="398"/>
      <c r="AU1023" s="398" t="e">
        <f ca="1">VLOOKUP(表格1[[#This Row],[PO+ITEM]],#REF!,2,FALSE)</f>
        <v>#REF!</v>
      </c>
      <c r="AV1023" s="341" t="e">
        <f ca="1">VLOOKUP(表格1[[#This Row],[PO+ITEM]],#REF!,3,FALSE)</f>
        <v>#REF!</v>
      </c>
      <c r="AW1023" s="208" t="e">
        <f ca="1">VLOOKUP(表格1[[#This Row],[PO+ITEM]],#REF!,4,FALSE)</f>
        <v>#REF!</v>
      </c>
      <c r="AX1023" s="208" t="e" cm="1" vm="1">
        <f t="array" aca="1" ref="AX1023" ca="1">VLOOKUP(AI:AI,#REF!,1,FALSE)</f>
        <v>#VALUE!</v>
      </c>
    </row>
    <row r="1024" spans="1:50">
      <c r="A1024" s="220">
        <v>1036</v>
      </c>
      <c r="B1024" s="220" t="s">
        <v>3674</v>
      </c>
      <c r="C1024" s="209" t="s">
        <v>17</v>
      </c>
      <c r="D1024" s="209" t="s">
        <v>3648</v>
      </c>
      <c r="E1024" s="209" t="s">
        <v>2196</v>
      </c>
      <c r="F1024" s="209"/>
      <c r="G1024" s="209"/>
      <c r="H1024" s="210" t="s">
        <v>6219</v>
      </c>
      <c r="I1024" s="218"/>
      <c r="J1024" s="218"/>
      <c r="K1024" s="218"/>
      <c r="L1024" s="212" t="s">
        <v>4129</v>
      </c>
      <c r="M1024" s="212"/>
      <c r="N1024" s="218"/>
      <c r="O1024" s="212">
        <v>4590020440</v>
      </c>
      <c r="P1024" s="212" t="s">
        <v>3591</v>
      </c>
      <c r="Q1024" s="334" t="s">
        <v>3907</v>
      </c>
      <c r="R1024" s="215">
        <v>4721.99</v>
      </c>
      <c r="S1024" s="217" t="s">
        <v>2156</v>
      </c>
      <c r="T1024" s="209"/>
      <c r="U1024" s="209" t="s">
        <v>6736</v>
      </c>
      <c r="V1024" s="213" t="s">
        <v>6076</v>
      </c>
      <c r="W1024" s="218" t="s">
        <v>3652</v>
      </c>
      <c r="X1024" s="218"/>
      <c r="Y1024" s="212" t="s">
        <v>6176</v>
      </c>
      <c r="Z1024" s="209" t="s">
        <v>6221</v>
      </c>
      <c r="AA1024" s="218"/>
      <c r="AB1024" s="218"/>
      <c r="AC1024" s="218"/>
      <c r="AD1024" s="217"/>
      <c r="AE1024" s="217" t="s">
        <v>3295</v>
      </c>
      <c r="AF1024" s="217" t="s">
        <v>3665</v>
      </c>
      <c r="AG1024" s="217"/>
      <c r="AH1024" s="220">
        <f t="shared" si="62"/>
        <v>4590020440</v>
      </c>
      <c r="AI1024" s="217" t="s">
        <v>6223</v>
      </c>
      <c r="AJ1024" s="227">
        <v>45506</v>
      </c>
      <c r="AK1024" s="406">
        <v>4721.99</v>
      </c>
      <c r="AL1024" s="227"/>
      <c r="AM1024" s="208"/>
      <c r="AN1024" s="227"/>
      <c r="AP1024" s="227"/>
      <c r="AQ1024" s="358">
        <f ca="1">IF(表格1[[#This Row],[PO$]]="","100%",表格1[[#This Row],[total amount]]/表格1[[#This Row],[PO$]])</f>
        <v>1</v>
      </c>
      <c r="AR1024" s="318">
        <f ca="1">表格1[[#This Row],[invoice amount]]+表格1[[#This Row],[invoice amount2]]</f>
        <v>4721.99</v>
      </c>
      <c r="AS1024" s="224" t="s">
        <v>3752</v>
      </c>
      <c r="AT1024" s="398"/>
      <c r="AU1024" s="404" t="e">
        <f ca="1">VLOOKUP(表格1[[#This Row],[PO+ITEM]],#REF!,2,FALSE)</f>
        <v>#REF!</v>
      </c>
      <c r="AV1024" s="341" t="e">
        <f ca="1">VLOOKUP(表格1[[#This Row],[PO+ITEM]],#REF!,3,FALSE)</f>
        <v>#REF!</v>
      </c>
      <c r="AW1024" s="208" t="e">
        <f ca="1">VLOOKUP(表格1[[#This Row],[PO+ITEM]],#REF!,4,FALSE)</f>
        <v>#REF!</v>
      </c>
      <c r="AX1024" s="208" t="e" cm="1" vm="1">
        <f t="array" aca="1" ref="AX1024" ca="1">VLOOKUP(AI:AI,#REF!,1,FALSE)</f>
        <v>#VALUE!</v>
      </c>
    </row>
    <row r="1025" spans="1:50">
      <c r="A1025" s="220">
        <v>1037</v>
      </c>
      <c r="B1025" s="220" t="s">
        <v>3674</v>
      </c>
      <c r="C1025" s="209" t="s">
        <v>17</v>
      </c>
      <c r="D1025" s="209" t="s">
        <v>3648</v>
      </c>
      <c r="E1025" s="209" t="s">
        <v>2196</v>
      </c>
      <c r="F1025" s="209"/>
      <c r="G1025" s="209"/>
      <c r="H1025" s="210" t="s">
        <v>6224</v>
      </c>
      <c r="I1025" s="218"/>
      <c r="J1025" s="218"/>
      <c r="K1025" s="218"/>
      <c r="L1025" s="212" t="s">
        <v>4129</v>
      </c>
      <c r="M1025" s="212"/>
      <c r="N1025" s="218"/>
      <c r="O1025" s="212">
        <v>4590020442</v>
      </c>
      <c r="P1025" s="212" t="s">
        <v>3591</v>
      </c>
      <c r="Q1025" s="334" t="s">
        <v>3907</v>
      </c>
      <c r="R1025" s="215">
        <v>4721.99</v>
      </c>
      <c r="S1025" s="217" t="s">
        <v>2156</v>
      </c>
      <c r="T1025" s="209"/>
      <c r="U1025" s="209" t="s">
        <v>6736</v>
      </c>
      <c r="V1025" s="213" t="s">
        <v>6076</v>
      </c>
      <c r="W1025" s="218" t="s">
        <v>3652</v>
      </c>
      <c r="X1025" s="218"/>
      <c r="Y1025" s="212" t="s">
        <v>6176</v>
      </c>
      <c r="Z1025" s="209" t="s">
        <v>6226</v>
      </c>
      <c r="AA1025" s="218"/>
      <c r="AB1025" s="218"/>
      <c r="AC1025" s="218"/>
      <c r="AD1025" s="217"/>
      <c r="AE1025" s="217" t="s">
        <v>3440</v>
      </c>
      <c r="AF1025" s="217" t="s">
        <v>3665</v>
      </c>
      <c r="AG1025" s="217"/>
      <c r="AH1025" s="220">
        <f t="shared" si="62"/>
        <v>4590020442</v>
      </c>
      <c r="AI1025" s="217" t="s">
        <v>6228</v>
      </c>
      <c r="AJ1025" s="227">
        <v>45506</v>
      </c>
      <c r="AK1025" s="406">
        <v>4721.99</v>
      </c>
      <c r="AL1025" s="227"/>
      <c r="AM1025" s="208"/>
      <c r="AN1025" s="227"/>
      <c r="AP1025" s="227"/>
      <c r="AQ1025" s="358">
        <f ca="1">IF(表格1[[#This Row],[PO$]]="","100%",表格1[[#This Row],[total amount]]/表格1[[#This Row],[PO$]])</f>
        <v>1</v>
      </c>
      <c r="AR1025" s="318">
        <f ca="1">表格1[[#This Row],[invoice amount]]+表格1[[#This Row],[invoice amount2]]</f>
        <v>4721.99</v>
      </c>
      <c r="AS1025" s="224" t="s">
        <v>3752</v>
      </c>
      <c r="AT1025" s="398"/>
      <c r="AU1025" s="404" t="e">
        <f ca="1">VLOOKUP(表格1[[#This Row],[PO+ITEM]],#REF!,2,FALSE)</f>
        <v>#REF!</v>
      </c>
      <c r="AV1025" s="341" t="e">
        <f ca="1">VLOOKUP(表格1[[#This Row],[PO+ITEM]],#REF!,3,FALSE)</f>
        <v>#REF!</v>
      </c>
      <c r="AW1025" s="208" t="e">
        <f ca="1">VLOOKUP(表格1[[#This Row],[PO+ITEM]],#REF!,4,FALSE)</f>
        <v>#REF!</v>
      </c>
      <c r="AX1025" s="208" t="e" cm="1" vm="1">
        <f t="array" aca="1" ref="AX1025" ca="1">VLOOKUP(AI:AI,#REF!,1,FALSE)</f>
        <v>#VALUE!</v>
      </c>
    </row>
    <row r="1026" spans="1:50">
      <c r="A1026" s="220">
        <v>1038</v>
      </c>
      <c r="B1026" s="220" t="s">
        <v>3674</v>
      </c>
      <c r="C1026" s="209" t="s">
        <v>17</v>
      </c>
      <c r="D1026" s="209" t="s">
        <v>3648</v>
      </c>
      <c r="E1026" s="209" t="s">
        <v>2196</v>
      </c>
      <c r="F1026" s="209"/>
      <c r="G1026" s="209"/>
      <c r="H1026" s="210" t="s">
        <v>6229</v>
      </c>
      <c r="I1026" s="218"/>
      <c r="J1026" s="218"/>
      <c r="K1026" s="218"/>
      <c r="L1026" s="212" t="s">
        <v>4129</v>
      </c>
      <c r="M1026" s="212"/>
      <c r="N1026" s="218"/>
      <c r="O1026" s="212">
        <v>4590020443</v>
      </c>
      <c r="P1026" s="212" t="s">
        <v>3591</v>
      </c>
      <c r="Q1026" s="334" t="s">
        <v>3907</v>
      </c>
      <c r="R1026" s="215">
        <v>4721.99</v>
      </c>
      <c r="S1026" s="217" t="s">
        <v>2156</v>
      </c>
      <c r="T1026" s="209"/>
      <c r="U1026" s="209" t="s">
        <v>6736</v>
      </c>
      <c r="V1026" s="213" t="s">
        <v>6076</v>
      </c>
      <c r="W1026" s="218" t="s">
        <v>3652</v>
      </c>
      <c r="X1026" s="218"/>
      <c r="Y1026" s="212" t="s">
        <v>6176</v>
      </c>
      <c r="Z1026" s="209" t="s">
        <v>6231</v>
      </c>
      <c r="AA1026" s="218"/>
      <c r="AB1026" s="218"/>
      <c r="AC1026" s="218"/>
      <c r="AD1026" s="217"/>
      <c r="AE1026" s="217" t="s">
        <v>3405</v>
      </c>
      <c r="AF1026" s="217" t="s">
        <v>3665</v>
      </c>
      <c r="AG1026" s="217"/>
      <c r="AH1026" s="220">
        <f t="shared" si="62"/>
        <v>4590020443</v>
      </c>
      <c r="AI1026" s="217" t="s">
        <v>6233</v>
      </c>
      <c r="AJ1026" s="227">
        <v>45506</v>
      </c>
      <c r="AK1026" s="406">
        <v>4721.99</v>
      </c>
      <c r="AL1026" s="227"/>
      <c r="AM1026" s="208"/>
      <c r="AN1026" s="227"/>
      <c r="AP1026" s="227"/>
      <c r="AQ1026" s="358">
        <f ca="1">IF(表格1[[#This Row],[PO$]]="","100%",表格1[[#This Row],[total amount]]/表格1[[#This Row],[PO$]])</f>
        <v>1</v>
      </c>
      <c r="AR1026" s="318">
        <f ca="1">表格1[[#This Row],[invoice amount]]+表格1[[#This Row],[invoice amount2]]</f>
        <v>4721.99</v>
      </c>
      <c r="AS1026" s="224" t="s">
        <v>3752</v>
      </c>
      <c r="AT1026" s="398"/>
      <c r="AU1026" s="404" t="e">
        <f ca="1">VLOOKUP(表格1[[#This Row],[PO+ITEM]],#REF!,2,FALSE)</f>
        <v>#REF!</v>
      </c>
      <c r="AV1026" s="341" t="e">
        <f ca="1">VLOOKUP(表格1[[#This Row],[PO+ITEM]],#REF!,3,FALSE)</f>
        <v>#REF!</v>
      </c>
      <c r="AW1026" s="208" t="e">
        <f ca="1">VLOOKUP(表格1[[#This Row],[PO+ITEM]],#REF!,4,FALSE)</f>
        <v>#REF!</v>
      </c>
      <c r="AX1026" s="208" t="e" cm="1" vm="1">
        <f t="array" aca="1" ref="AX1026" ca="1">VLOOKUP(AI:AI,#REF!,1,FALSE)</f>
        <v>#VALUE!</v>
      </c>
    </row>
    <row r="1027" spans="1:50">
      <c r="A1027" s="220">
        <v>1039</v>
      </c>
      <c r="B1027" s="220" t="s">
        <v>3674</v>
      </c>
      <c r="C1027" s="209" t="s">
        <v>17</v>
      </c>
      <c r="D1027" s="209" t="s">
        <v>3648</v>
      </c>
      <c r="E1027" s="209" t="s">
        <v>2196</v>
      </c>
      <c r="F1027" s="209"/>
      <c r="G1027" s="209"/>
      <c r="H1027" s="210" t="s">
        <v>6234</v>
      </c>
      <c r="I1027" s="218"/>
      <c r="J1027" s="218"/>
      <c r="K1027" s="218"/>
      <c r="L1027" s="212" t="s">
        <v>4129</v>
      </c>
      <c r="M1027" s="212"/>
      <c r="N1027" s="218"/>
      <c r="O1027" s="212">
        <v>4590020445</v>
      </c>
      <c r="P1027" s="212" t="s">
        <v>3591</v>
      </c>
      <c r="Q1027" s="334" t="s">
        <v>3907</v>
      </c>
      <c r="R1027" s="215">
        <v>5962.19</v>
      </c>
      <c r="S1027" s="217" t="s">
        <v>2156</v>
      </c>
      <c r="T1027" s="209"/>
      <c r="U1027" s="209" t="s">
        <v>6736</v>
      </c>
      <c r="V1027" s="213" t="s">
        <v>6076</v>
      </c>
      <c r="W1027" s="218" t="s">
        <v>3652</v>
      </c>
      <c r="X1027" s="218"/>
      <c r="Y1027" s="212" t="s">
        <v>6176</v>
      </c>
      <c r="Z1027" s="209" t="s">
        <v>6236</v>
      </c>
      <c r="AA1027" s="218"/>
      <c r="AB1027" s="218"/>
      <c r="AC1027" s="218"/>
      <c r="AD1027" s="217"/>
      <c r="AE1027" s="217" t="s">
        <v>3204</v>
      </c>
      <c r="AF1027" s="217" t="s">
        <v>3665</v>
      </c>
      <c r="AG1027" s="217"/>
      <c r="AH1027" s="220">
        <f t="shared" ref="AH1027:AH1039" si="63">O1027</f>
        <v>4590020445</v>
      </c>
      <c r="AI1027" s="217" t="s">
        <v>6238</v>
      </c>
      <c r="AJ1027" s="227">
        <v>45506</v>
      </c>
      <c r="AK1027" s="406">
        <v>5962.19</v>
      </c>
      <c r="AL1027" s="227"/>
      <c r="AM1027" s="208"/>
      <c r="AN1027" s="227"/>
      <c r="AP1027" s="227"/>
      <c r="AQ1027" s="358">
        <f ca="1">IF(表格1[[#This Row],[PO$]]="","100%",表格1[[#This Row],[total amount]]/表格1[[#This Row],[PO$]])</f>
        <v>1</v>
      </c>
      <c r="AR1027" s="318">
        <f ca="1">表格1[[#This Row],[invoice amount]]+表格1[[#This Row],[invoice amount2]]</f>
        <v>5962.19</v>
      </c>
      <c r="AS1027" s="224" t="s">
        <v>3752</v>
      </c>
      <c r="AT1027" s="398"/>
      <c r="AU1027" s="404" t="e">
        <f ca="1">VLOOKUP(表格1[[#This Row],[PO+ITEM]],#REF!,2,FALSE)</f>
        <v>#REF!</v>
      </c>
      <c r="AV1027" s="341" t="e">
        <f ca="1">VLOOKUP(表格1[[#This Row],[PO+ITEM]],#REF!,3,FALSE)</f>
        <v>#REF!</v>
      </c>
      <c r="AW1027" s="208" t="e">
        <f ca="1">VLOOKUP(表格1[[#This Row],[PO+ITEM]],#REF!,4,FALSE)</f>
        <v>#REF!</v>
      </c>
      <c r="AX1027" s="208" t="e" cm="1" vm="1">
        <f t="array" aca="1" ref="AX1027" ca="1">VLOOKUP(AI:AI,#REF!,1,FALSE)</f>
        <v>#VALUE!</v>
      </c>
    </row>
    <row r="1028" spans="1:50">
      <c r="A1028" s="220">
        <v>1040</v>
      </c>
      <c r="B1028" s="220" t="s">
        <v>3674</v>
      </c>
      <c r="C1028" s="209" t="s">
        <v>17</v>
      </c>
      <c r="D1028" s="209" t="s">
        <v>3648</v>
      </c>
      <c r="E1028" s="209" t="s">
        <v>2196</v>
      </c>
      <c r="F1028" s="209"/>
      <c r="G1028" s="209"/>
      <c r="H1028" s="210" t="s">
        <v>6239</v>
      </c>
      <c r="I1028" s="218"/>
      <c r="J1028" s="218"/>
      <c r="K1028" s="218"/>
      <c r="L1028" s="212" t="s">
        <v>4129</v>
      </c>
      <c r="M1028" s="212"/>
      <c r="N1028" s="218"/>
      <c r="O1028" s="212">
        <v>4590020448</v>
      </c>
      <c r="P1028" s="212" t="s">
        <v>3591</v>
      </c>
      <c r="Q1028" s="334" t="s">
        <v>3907</v>
      </c>
      <c r="R1028" s="215">
        <v>4721.99</v>
      </c>
      <c r="S1028" s="217" t="s">
        <v>2156</v>
      </c>
      <c r="T1028" s="209"/>
      <c r="U1028" s="209" t="s">
        <v>6736</v>
      </c>
      <c r="V1028" s="213" t="s">
        <v>6076</v>
      </c>
      <c r="W1028" s="218" t="s">
        <v>3652</v>
      </c>
      <c r="X1028" s="218"/>
      <c r="Y1028" s="212" t="s">
        <v>6176</v>
      </c>
      <c r="Z1028" s="209" t="s">
        <v>6241</v>
      </c>
      <c r="AA1028" s="218"/>
      <c r="AB1028" s="218"/>
      <c r="AC1028" s="218"/>
      <c r="AD1028" s="217"/>
      <c r="AE1028" s="217" t="s">
        <v>3193</v>
      </c>
      <c r="AF1028" s="217" t="s">
        <v>3665</v>
      </c>
      <c r="AG1028" s="217"/>
      <c r="AH1028" s="220">
        <f t="shared" si="63"/>
        <v>4590020448</v>
      </c>
      <c r="AI1028" s="217" t="s">
        <v>6243</v>
      </c>
      <c r="AJ1028" s="227">
        <v>45506</v>
      </c>
      <c r="AK1028" s="406">
        <v>4721.99</v>
      </c>
      <c r="AL1028" s="227"/>
      <c r="AM1028" s="208"/>
      <c r="AN1028" s="227"/>
      <c r="AP1028" s="227"/>
      <c r="AQ1028" s="358">
        <f ca="1">IF(表格1[[#This Row],[PO$]]="","100%",表格1[[#This Row],[total amount]]/表格1[[#This Row],[PO$]])</f>
        <v>1</v>
      </c>
      <c r="AR1028" s="318">
        <f ca="1">表格1[[#This Row],[invoice amount]]+表格1[[#This Row],[invoice amount2]]</f>
        <v>4721.99</v>
      </c>
      <c r="AS1028" s="224" t="s">
        <v>3752</v>
      </c>
      <c r="AT1028" s="398"/>
      <c r="AU1028" s="404" t="e">
        <f ca="1">VLOOKUP(表格1[[#This Row],[PO+ITEM]],#REF!,2,FALSE)</f>
        <v>#REF!</v>
      </c>
      <c r="AV1028" s="341" t="e">
        <f ca="1">VLOOKUP(表格1[[#This Row],[PO+ITEM]],#REF!,3,FALSE)</f>
        <v>#REF!</v>
      </c>
      <c r="AW1028" s="208" t="e">
        <f ca="1">VLOOKUP(表格1[[#This Row],[PO+ITEM]],#REF!,4,FALSE)</f>
        <v>#REF!</v>
      </c>
      <c r="AX1028" s="208" t="e" cm="1" vm="1">
        <f t="array" aca="1" ref="AX1028" ca="1">VLOOKUP(AI:AI,#REF!,1,FALSE)</f>
        <v>#VALUE!</v>
      </c>
    </row>
    <row r="1029" spans="1:50">
      <c r="A1029" s="220">
        <v>1041</v>
      </c>
      <c r="B1029" s="220" t="s">
        <v>3674</v>
      </c>
      <c r="C1029" s="209" t="s">
        <v>17</v>
      </c>
      <c r="D1029" s="209" t="s">
        <v>3648</v>
      </c>
      <c r="E1029" s="209" t="s">
        <v>2196</v>
      </c>
      <c r="F1029" s="209"/>
      <c r="G1029" s="209"/>
      <c r="H1029" s="210" t="s">
        <v>6244</v>
      </c>
      <c r="I1029" s="218"/>
      <c r="J1029" s="218"/>
      <c r="K1029" s="218"/>
      <c r="L1029" s="212" t="s">
        <v>4129</v>
      </c>
      <c r="M1029" s="212"/>
      <c r="N1029" s="218"/>
      <c r="O1029" s="212">
        <v>4590020449</v>
      </c>
      <c r="P1029" s="212" t="s">
        <v>3591</v>
      </c>
      <c r="Q1029" s="334" t="s">
        <v>3907</v>
      </c>
      <c r="R1029" s="215">
        <v>4721.99</v>
      </c>
      <c r="S1029" s="217" t="s">
        <v>2156</v>
      </c>
      <c r="T1029" s="209"/>
      <c r="U1029" s="209" t="s">
        <v>6736</v>
      </c>
      <c r="V1029" s="213" t="s">
        <v>6076</v>
      </c>
      <c r="W1029" s="218" t="s">
        <v>3652</v>
      </c>
      <c r="X1029" s="218"/>
      <c r="Y1029" s="212" t="s">
        <v>6176</v>
      </c>
      <c r="Z1029" s="209" t="s">
        <v>6246</v>
      </c>
      <c r="AA1029" s="218"/>
      <c r="AB1029" s="218"/>
      <c r="AC1029" s="218"/>
      <c r="AD1029" s="217"/>
      <c r="AE1029" s="217" t="s">
        <v>3363</v>
      </c>
      <c r="AF1029" s="217" t="s">
        <v>3665</v>
      </c>
      <c r="AG1029" s="217"/>
      <c r="AH1029" s="220">
        <f t="shared" si="63"/>
        <v>4590020449</v>
      </c>
      <c r="AI1029" s="217" t="s">
        <v>6248</v>
      </c>
      <c r="AJ1029" s="227">
        <v>45506</v>
      </c>
      <c r="AK1029" s="406">
        <v>4721.99</v>
      </c>
      <c r="AL1029" s="227"/>
      <c r="AM1029" s="208"/>
      <c r="AN1029" s="227"/>
      <c r="AP1029" s="227"/>
      <c r="AQ1029" s="358">
        <f ca="1">IF(表格1[[#This Row],[PO$]]="","100%",表格1[[#This Row],[total amount]]/表格1[[#This Row],[PO$]])</f>
        <v>1</v>
      </c>
      <c r="AR1029" s="318">
        <f ca="1">表格1[[#This Row],[invoice amount]]+表格1[[#This Row],[invoice amount2]]</f>
        <v>4721.99</v>
      </c>
      <c r="AS1029" s="224" t="s">
        <v>3752</v>
      </c>
      <c r="AT1029" s="398"/>
      <c r="AU1029" s="404" t="e">
        <f ca="1">VLOOKUP(表格1[[#This Row],[PO+ITEM]],#REF!,2,FALSE)</f>
        <v>#REF!</v>
      </c>
      <c r="AV1029" s="341" t="e">
        <f ca="1">VLOOKUP(表格1[[#This Row],[PO+ITEM]],#REF!,3,FALSE)</f>
        <v>#REF!</v>
      </c>
      <c r="AW1029" s="208" t="e">
        <f ca="1">VLOOKUP(表格1[[#This Row],[PO+ITEM]],#REF!,4,FALSE)</f>
        <v>#REF!</v>
      </c>
      <c r="AX1029" s="208" t="e" cm="1" vm="1">
        <f t="array" aca="1" ref="AX1029" ca="1">VLOOKUP(AI:AI,#REF!,1,FALSE)</f>
        <v>#VALUE!</v>
      </c>
    </row>
    <row r="1030" spans="1:50">
      <c r="A1030" s="220">
        <v>1042</v>
      </c>
      <c r="B1030" s="220" t="s">
        <v>3674</v>
      </c>
      <c r="C1030" s="209" t="s">
        <v>17</v>
      </c>
      <c r="D1030" s="209" t="s">
        <v>3648</v>
      </c>
      <c r="E1030" s="209" t="s">
        <v>2196</v>
      </c>
      <c r="F1030" s="209"/>
      <c r="G1030" s="209"/>
      <c r="H1030" s="210" t="s">
        <v>6249</v>
      </c>
      <c r="I1030" s="218"/>
      <c r="J1030" s="218"/>
      <c r="K1030" s="218"/>
      <c r="L1030" s="212" t="s">
        <v>4105</v>
      </c>
      <c r="M1030" s="212"/>
      <c r="N1030" s="218"/>
      <c r="O1030" s="212">
        <v>4590020450</v>
      </c>
      <c r="P1030" s="212" t="s">
        <v>3591</v>
      </c>
      <c r="Q1030" s="334" t="s">
        <v>3907</v>
      </c>
      <c r="R1030" s="215">
        <v>7107.86</v>
      </c>
      <c r="S1030" s="217" t="s">
        <v>2156</v>
      </c>
      <c r="T1030" s="209"/>
      <c r="U1030" s="209" t="s">
        <v>6736</v>
      </c>
      <c r="V1030" s="213" t="s">
        <v>6076</v>
      </c>
      <c r="W1030" s="218" t="s">
        <v>3652</v>
      </c>
      <c r="X1030" s="218"/>
      <c r="Y1030" s="212" t="s">
        <v>6176</v>
      </c>
      <c r="Z1030" s="209" t="s">
        <v>6251</v>
      </c>
      <c r="AA1030" s="218"/>
      <c r="AB1030" s="218"/>
      <c r="AC1030" s="218"/>
      <c r="AD1030" s="217"/>
      <c r="AE1030" s="217" t="s">
        <v>3396</v>
      </c>
      <c r="AF1030" s="217" t="s">
        <v>4109</v>
      </c>
      <c r="AG1030" s="217"/>
      <c r="AH1030" s="220">
        <f t="shared" si="63"/>
        <v>4590020450</v>
      </c>
      <c r="AI1030" s="217" t="s">
        <v>6253</v>
      </c>
      <c r="AJ1030" s="227">
        <v>45506</v>
      </c>
      <c r="AK1030" s="406">
        <v>7107.86</v>
      </c>
      <c r="AL1030" s="227"/>
      <c r="AM1030" s="208"/>
      <c r="AN1030" s="227"/>
      <c r="AP1030" s="227"/>
      <c r="AQ1030" s="358">
        <f ca="1">IF(表格1[[#This Row],[PO$]]="","100%",表格1[[#This Row],[total amount]]/表格1[[#This Row],[PO$]])</f>
        <v>1</v>
      </c>
      <c r="AR1030" s="318">
        <f ca="1">表格1[[#This Row],[invoice amount]]+表格1[[#This Row],[invoice amount2]]</f>
        <v>7107.86</v>
      </c>
      <c r="AS1030" s="224" t="s">
        <v>3752</v>
      </c>
      <c r="AT1030" s="398"/>
      <c r="AU1030" s="404" t="e">
        <f ca="1">VLOOKUP(表格1[[#This Row],[PO+ITEM]],#REF!,2,FALSE)</f>
        <v>#REF!</v>
      </c>
      <c r="AV1030" s="341" t="e">
        <f ca="1">VLOOKUP(表格1[[#This Row],[PO+ITEM]],#REF!,3,FALSE)</f>
        <v>#REF!</v>
      </c>
      <c r="AW1030" s="208" t="e">
        <f ca="1">VLOOKUP(表格1[[#This Row],[PO+ITEM]],#REF!,4,FALSE)</f>
        <v>#REF!</v>
      </c>
      <c r="AX1030" s="208" t="e" cm="1" vm="1">
        <f t="array" aca="1" ref="AX1030" ca="1">VLOOKUP(AI:AI,#REF!,1,FALSE)</f>
        <v>#VALUE!</v>
      </c>
    </row>
    <row r="1031" spans="1:50">
      <c r="A1031" s="220">
        <v>1043</v>
      </c>
      <c r="B1031" s="220" t="s">
        <v>3674</v>
      </c>
      <c r="C1031" s="209" t="s">
        <v>17</v>
      </c>
      <c r="D1031" s="209" t="s">
        <v>3648</v>
      </c>
      <c r="E1031" s="209" t="s">
        <v>2196</v>
      </c>
      <c r="F1031" s="209"/>
      <c r="G1031" s="209"/>
      <c r="H1031" s="210" t="s">
        <v>6254</v>
      </c>
      <c r="I1031" s="218"/>
      <c r="J1031" s="218"/>
      <c r="K1031" s="218"/>
      <c r="L1031" s="212" t="s">
        <v>4105</v>
      </c>
      <c r="M1031" s="212"/>
      <c r="N1031" s="218"/>
      <c r="O1031" s="212">
        <v>4590020451</v>
      </c>
      <c r="P1031" s="212" t="s">
        <v>3591</v>
      </c>
      <c r="Q1031" s="334" t="s">
        <v>3907</v>
      </c>
      <c r="R1031" s="215">
        <v>6574.76</v>
      </c>
      <c r="S1031" s="217" t="s">
        <v>2156</v>
      </c>
      <c r="T1031" s="209"/>
      <c r="U1031" s="209" t="s">
        <v>6736</v>
      </c>
      <c r="V1031" s="213" t="s">
        <v>6076</v>
      </c>
      <c r="W1031" s="218" t="s">
        <v>3652</v>
      </c>
      <c r="X1031" s="218"/>
      <c r="Y1031" s="212" t="s">
        <v>6176</v>
      </c>
      <c r="Z1031" s="209" t="s">
        <v>6256</v>
      </c>
      <c r="AA1031" s="218"/>
      <c r="AB1031" s="218"/>
      <c r="AC1031" s="218"/>
      <c r="AD1031" s="217"/>
      <c r="AE1031" s="217" t="s">
        <v>3346</v>
      </c>
      <c r="AF1031" s="217" t="s">
        <v>4109</v>
      </c>
      <c r="AG1031" s="217"/>
      <c r="AH1031" s="220">
        <f t="shared" si="63"/>
        <v>4590020451</v>
      </c>
      <c r="AI1031" s="217" t="s">
        <v>6258</v>
      </c>
      <c r="AJ1031" s="227">
        <v>45506</v>
      </c>
      <c r="AK1031" s="406">
        <v>6574.76</v>
      </c>
      <c r="AL1031" s="227"/>
      <c r="AM1031" s="208"/>
      <c r="AN1031" s="227"/>
      <c r="AP1031" s="227"/>
      <c r="AQ1031" s="358">
        <f ca="1">IF(表格1[[#This Row],[PO$]]="","100%",表格1[[#This Row],[total amount]]/表格1[[#This Row],[PO$]])</f>
        <v>1</v>
      </c>
      <c r="AR1031" s="318">
        <f ca="1">表格1[[#This Row],[invoice amount]]+表格1[[#This Row],[invoice amount2]]</f>
        <v>6574.76</v>
      </c>
      <c r="AS1031" s="224" t="s">
        <v>3752</v>
      </c>
      <c r="AT1031" s="398"/>
      <c r="AU1031" s="404" t="e">
        <f ca="1">VLOOKUP(表格1[[#This Row],[PO+ITEM]],#REF!,2,FALSE)</f>
        <v>#REF!</v>
      </c>
      <c r="AV1031" s="341" t="e">
        <f ca="1">VLOOKUP(表格1[[#This Row],[PO+ITEM]],#REF!,3,FALSE)</f>
        <v>#REF!</v>
      </c>
      <c r="AW1031" s="208" t="e">
        <f ca="1">VLOOKUP(表格1[[#This Row],[PO+ITEM]],#REF!,4,FALSE)</f>
        <v>#REF!</v>
      </c>
      <c r="AX1031" s="208" t="e" cm="1" vm="1">
        <f t="array" aca="1" ref="AX1031" ca="1">VLOOKUP(AI:AI,#REF!,1,FALSE)</f>
        <v>#VALUE!</v>
      </c>
    </row>
    <row r="1032" spans="1:50">
      <c r="A1032" s="220">
        <v>1044</v>
      </c>
      <c r="B1032" s="220" t="s">
        <v>3674</v>
      </c>
      <c r="C1032" s="209" t="s">
        <v>17</v>
      </c>
      <c r="D1032" s="209" t="s">
        <v>3648</v>
      </c>
      <c r="E1032" s="209" t="s">
        <v>2196</v>
      </c>
      <c r="F1032" s="209"/>
      <c r="G1032" s="209"/>
      <c r="H1032" s="210" t="s">
        <v>6259</v>
      </c>
      <c r="I1032" s="218"/>
      <c r="J1032" s="218"/>
      <c r="K1032" s="218"/>
      <c r="L1032" s="212" t="s">
        <v>4105</v>
      </c>
      <c r="M1032" s="212"/>
      <c r="N1032" s="218"/>
      <c r="O1032" s="212">
        <v>4590020452</v>
      </c>
      <c r="P1032" s="212" t="s">
        <v>3591</v>
      </c>
      <c r="Q1032" s="334" t="s">
        <v>3907</v>
      </c>
      <c r="R1032" s="215">
        <v>4980.46</v>
      </c>
      <c r="S1032" s="217" t="s">
        <v>2156</v>
      </c>
      <c r="T1032" s="209"/>
      <c r="U1032" s="209" t="s">
        <v>6736</v>
      </c>
      <c r="V1032" s="213" t="s">
        <v>6076</v>
      </c>
      <c r="W1032" s="218" t="s">
        <v>3652</v>
      </c>
      <c r="X1032" s="218"/>
      <c r="Y1032" s="212" t="s">
        <v>6176</v>
      </c>
      <c r="Z1032" s="209" t="s">
        <v>6261</v>
      </c>
      <c r="AA1032" s="218"/>
      <c r="AB1032" s="218"/>
      <c r="AC1032" s="218"/>
      <c r="AD1032" s="217"/>
      <c r="AE1032" s="217" t="s">
        <v>3370</v>
      </c>
      <c r="AF1032" s="217" t="s">
        <v>4109</v>
      </c>
      <c r="AG1032" s="217"/>
      <c r="AH1032" s="220">
        <f t="shared" si="63"/>
        <v>4590020452</v>
      </c>
      <c r="AI1032" s="217" t="s">
        <v>6263</v>
      </c>
      <c r="AJ1032" s="227">
        <v>45506</v>
      </c>
      <c r="AK1032" s="406">
        <v>4980.46</v>
      </c>
      <c r="AL1032" s="227"/>
      <c r="AM1032" s="208"/>
      <c r="AN1032" s="227"/>
      <c r="AP1032" s="227"/>
      <c r="AQ1032" s="358">
        <f ca="1">IF(表格1[[#This Row],[PO$]]="","100%",表格1[[#This Row],[total amount]]/表格1[[#This Row],[PO$]])</f>
        <v>1</v>
      </c>
      <c r="AR1032" s="318">
        <f ca="1">表格1[[#This Row],[invoice amount]]+表格1[[#This Row],[invoice amount2]]</f>
        <v>4980.46</v>
      </c>
      <c r="AS1032" s="224" t="s">
        <v>3752</v>
      </c>
      <c r="AT1032" s="398"/>
      <c r="AU1032" s="404" t="e">
        <f ca="1">VLOOKUP(表格1[[#This Row],[PO+ITEM]],#REF!,2,FALSE)</f>
        <v>#REF!</v>
      </c>
      <c r="AV1032" s="341" t="e">
        <f ca="1">VLOOKUP(表格1[[#This Row],[PO+ITEM]],#REF!,3,FALSE)</f>
        <v>#REF!</v>
      </c>
      <c r="AW1032" s="208" t="e">
        <f ca="1">VLOOKUP(表格1[[#This Row],[PO+ITEM]],#REF!,4,FALSE)</f>
        <v>#REF!</v>
      </c>
      <c r="AX1032" s="208" t="e" cm="1" vm="1">
        <f t="array" aca="1" ref="AX1032" ca="1">VLOOKUP(AI:AI,#REF!,1,FALSE)</f>
        <v>#VALUE!</v>
      </c>
    </row>
    <row r="1033" spans="1:50">
      <c r="A1033" s="220">
        <v>1045</v>
      </c>
      <c r="B1033" s="220" t="s">
        <v>3674</v>
      </c>
      <c r="C1033" s="209" t="s">
        <v>17</v>
      </c>
      <c r="D1033" s="209" t="s">
        <v>3648</v>
      </c>
      <c r="E1033" s="209" t="s">
        <v>2196</v>
      </c>
      <c r="F1033" s="209"/>
      <c r="G1033" s="209"/>
      <c r="H1033" s="210" t="s">
        <v>6264</v>
      </c>
      <c r="I1033" s="218"/>
      <c r="J1033" s="218"/>
      <c r="K1033" s="218"/>
      <c r="L1033" s="212" t="s">
        <v>4105</v>
      </c>
      <c r="M1033" s="212"/>
      <c r="N1033" s="218"/>
      <c r="O1033" s="212">
        <v>4590020453</v>
      </c>
      <c r="P1033" s="212" t="s">
        <v>3591</v>
      </c>
      <c r="Q1033" s="334" t="s">
        <v>3907</v>
      </c>
      <c r="R1033" s="215">
        <v>7107.86</v>
      </c>
      <c r="S1033" s="217" t="s">
        <v>2156</v>
      </c>
      <c r="T1033" s="209"/>
      <c r="U1033" s="209" t="s">
        <v>6736</v>
      </c>
      <c r="V1033" s="213" t="s">
        <v>6076</v>
      </c>
      <c r="W1033" s="218" t="s">
        <v>3652</v>
      </c>
      <c r="X1033" s="218"/>
      <c r="Y1033" s="212" t="s">
        <v>6176</v>
      </c>
      <c r="Z1033" s="209" t="s">
        <v>6266</v>
      </c>
      <c r="AA1033" s="218"/>
      <c r="AB1033" s="218"/>
      <c r="AC1033" s="218"/>
      <c r="AD1033" s="217"/>
      <c r="AE1033" s="217" t="s">
        <v>3348</v>
      </c>
      <c r="AF1033" s="217" t="s">
        <v>4109</v>
      </c>
      <c r="AG1033" s="217"/>
      <c r="AH1033" s="220">
        <f t="shared" si="63"/>
        <v>4590020453</v>
      </c>
      <c r="AI1033" s="217" t="s">
        <v>6268</v>
      </c>
      <c r="AJ1033" s="227">
        <v>45506</v>
      </c>
      <c r="AK1033" s="406">
        <v>7107.86</v>
      </c>
      <c r="AL1033" s="227"/>
      <c r="AM1033" s="208"/>
      <c r="AN1033" s="227"/>
      <c r="AP1033" s="227"/>
      <c r="AQ1033" s="358">
        <f ca="1">IF(表格1[[#This Row],[PO$]]="","100%",表格1[[#This Row],[total amount]]/表格1[[#This Row],[PO$]])</f>
        <v>1</v>
      </c>
      <c r="AR1033" s="318">
        <f ca="1">表格1[[#This Row],[invoice amount]]+表格1[[#This Row],[invoice amount2]]</f>
        <v>7107.86</v>
      </c>
      <c r="AS1033" s="224" t="s">
        <v>3752</v>
      </c>
      <c r="AT1033" s="398"/>
      <c r="AU1033" s="404" t="e">
        <f ca="1">VLOOKUP(表格1[[#This Row],[PO+ITEM]],#REF!,2,FALSE)</f>
        <v>#REF!</v>
      </c>
      <c r="AV1033" s="341" t="e">
        <f ca="1">VLOOKUP(表格1[[#This Row],[PO+ITEM]],#REF!,3,FALSE)</f>
        <v>#REF!</v>
      </c>
      <c r="AW1033" s="208" t="e">
        <f ca="1">VLOOKUP(表格1[[#This Row],[PO+ITEM]],#REF!,4,FALSE)</f>
        <v>#REF!</v>
      </c>
      <c r="AX1033" s="208" t="e" cm="1" vm="1">
        <f t="array" aca="1" ref="AX1033" ca="1">VLOOKUP(AI:AI,#REF!,1,FALSE)</f>
        <v>#VALUE!</v>
      </c>
    </row>
    <row r="1034" spans="1:50">
      <c r="A1034" s="220">
        <v>1046</v>
      </c>
      <c r="B1034" s="220"/>
      <c r="C1034" s="209" t="s">
        <v>17</v>
      </c>
      <c r="D1034" s="209" t="s">
        <v>3648</v>
      </c>
      <c r="E1034" s="209" t="s">
        <v>2196</v>
      </c>
      <c r="F1034" s="209"/>
      <c r="G1034" s="209"/>
      <c r="H1034" s="210" t="s">
        <v>6269</v>
      </c>
      <c r="I1034" s="218"/>
      <c r="J1034" s="218"/>
      <c r="K1034" s="218"/>
      <c r="L1034" s="212" t="s">
        <v>4105</v>
      </c>
      <c r="M1034" s="212"/>
      <c r="N1034" s="218"/>
      <c r="O1034" s="212">
        <v>4590020454</v>
      </c>
      <c r="P1034" s="212" t="s">
        <v>3591</v>
      </c>
      <c r="Q1034" s="334" t="s">
        <v>3907</v>
      </c>
      <c r="R1034" s="215">
        <v>5511.56</v>
      </c>
      <c r="S1034" s="217" t="s">
        <v>2156</v>
      </c>
      <c r="T1034" s="209"/>
      <c r="U1034" s="209" t="s">
        <v>6736</v>
      </c>
      <c r="V1034" s="213" t="s">
        <v>6076</v>
      </c>
      <c r="W1034" s="218" t="s">
        <v>3652</v>
      </c>
      <c r="X1034" s="218"/>
      <c r="Y1034" s="212" t="s">
        <v>6176</v>
      </c>
      <c r="Z1034" s="209" t="s">
        <v>6271</v>
      </c>
      <c r="AA1034" s="218"/>
      <c r="AB1034" s="218"/>
      <c r="AC1034" s="218"/>
      <c r="AD1034" s="217"/>
      <c r="AE1034" s="400" t="s">
        <v>3374</v>
      </c>
      <c r="AF1034" s="217" t="s">
        <v>4109</v>
      </c>
      <c r="AG1034" s="217"/>
      <c r="AH1034" s="220">
        <f t="shared" si="63"/>
        <v>4590020454</v>
      </c>
      <c r="AI1034" s="217"/>
      <c r="AJ1034" s="220"/>
      <c r="AK1034" s="299"/>
      <c r="AL1034" s="227"/>
      <c r="AM1034" s="208"/>
      <c r="AN1034" s="220"/>
      <c r="AP1034" s="227"/>
      <c r="AQ1034" s="358">
        <f ca="1">IF(表格1[[#This Row],[PO$]]="","100%",表格1[[#This Row],[total amount]]/表格1[[#This Row],[PO$]])</f>
        <v>0</v>
      </c>
      <c r="AR1034" s="318">
        <f ca="1">表格1[[#This Row],[invoice amount]]+表格1[[#This Row],[invoice amount2]]</f>
        <v>0</v>
      </c>
      <c r="AT1034" s="398"/>
      <c r="AU1034" s="398" t="e">
        <f ca="1">VLOOKUP(表格1[[#This Row],[PO+ITEM]],#REF!,2,FALSE)</f>
        <v>#REF!</v>
      </c>
      <c r="AV1034" s="341" t="e">
        <f ca="1">VLOOKUP(表格1[[#This Row],[PO+ITEM]],#REF!,3,FALSE)</f>
        <v>#REF!</v>
      </c>
      <c r="AW1034" s="208" t="e">
        <f ca="1">VLOOKUP(表格1[[#This Row],[PO+ITEM]],#REF!,4,FALSE)</f>
        <v>#REF!</v>
      </c>
      <c r="AX1034" s="208" t="e" cm="1" vm="1">
        <f t="array" aca="1" ref="AX1034" ca="1">VLOOKUP(AI:AI,#REF!,1,FALSE)</f>
        <v>#VALUE!</v>
      </c>
    </row>
    <row r="1035" spans="1:50">
      <c r="A1035" s="220">
        <v>1047</v>
      </c>
      <c r="B1035" s="220" t="s">
        <v>3674</v>
      </c>
      <c r="C1035" s="209" t="s">
        <v>17</v>
      </c>
      <c r="D1035" s="209" t="s">
        <v>3648</v>
      </c>
      <c r="E1035" s="209" t="s">
        <v>2196</v>
      </c>
      <c r="F1035" s="209"/>
      <c r="G1035" s="209"/>
      <c r="H1035" s="210" t="s">
        <v>6274</v>
      </c>
      <c r="I1035" s="218"/>
      <c r="J1035" s="218"/>
      <c r="K1035" s="218"/>
      <c r="L1035" s="212" t="s">
        <v>4129</v>
      </c>
      <c r="M1035" s="212"/>
      <c r="N1035" s="218"/>
      <c r="O1035" s="212">
        <v>4590020456</v>
      </c>
      <c r="P1035" s="212" t="s">
        <v>3591</v>
      </c>
      <c r="Q1035" s="334" t="s">
        <v>3907</v>
      </c>
      <c r="R1035" s="215">
        <v>10407.370000000001</v>
      </c>
      <c r="S1035" s="217" t="s">
        <v>2156</v>
      </c>
      <c r="T1035" s="209"/>
      <c r="U1035" s="209" t="s">
        <v>6736</v>
      </c>
      <c r="V1035" s="213" t="s">
        <v>6076</v>
      </c>
      <c r="W1035" s="218"/>
      <c r="X1035" s="218"/>
      <c r="Y1035" s="212" t="s">
        <v>6176</v>
      </c>
      <c r="Z1035" s="209" t="s">
        <v>6276</v>
      </c>
      <c r="AA1035" s="218"/>
      <c r="AB1035" s="218"/>
      <c r="AC1035" s="218"/>
      <c r="AD1035" s="217"/>
      <c r="AE1035" s="217" t="s">
        <v>3170</v>
      </c>
      <c r="AF1035" s="217" t="s">
        <v>3711</v>
      </c>
      <c r="AG1035" s="217"/>
      <c r="AH1035" s="220">
        <f t="shared" si="63"/>
        <v>4590020456</v>
      </c>
      <c r="AI1035" s="217" t="s">
        <v>6278</v>
      </c>
      <c r="AJ1035" s="227">
        <v>45506</v>
      </c>
      <c r="AK1035" s="406">
        <v>10407.370000000001</v>
      </c>
      <c r="AL1035" s="227"/>
      <c r="AM1035" s="208"/>
      <c r="AN1035" s="227"/>
      <c r="AP1035" s="227"/>
      <c r="AQ1035" s="358">
        <f ca="1">IF(表格1[[#This Row],[PO$]]="","100%",表格1[[#This Row],[total amount]]/表格1[[#This Row],[PO$]])</f>
        <v>1</v>
      </c>
      <c r="AR1035" s="318">
        <f ca="1">表格1[[#This Row],[invoice amount]]+表格1[[#This Row],[invoice amount2]]</f>
        <v>10407.370000000001</v>
      </c>
      <c r="AS1035" s="224" t="s">
        <v>3752</v>
      </c>
      <c r="AT1035" s="398"/>
      <c r="AU1035" s="404" t="e">
        <f ca="1">VLOOKUP(表格1[[#This Row],[PO+ITEM]],#REF!,2,FALSE)</f>
        <v>#REF!</v>
      </c>
      <c r="AV1035" s="341" t="e">
        <f ca="1">VLOOKUP(表格1[[#This Row],[PO+ITEM]],#REF!,3,FALSE)</f>
        <v>#REF!</v>
      </c>
      <c r="AW1035" s="208" t="e">
        <f ca="1">VLOOKUP(表格1[[#This Row],[PO+ITEM]],#REF!,4,FALSE)</f>
        <v>#REF!</v>
      </c>
      <c r="AX1035" s="208" t="e" cm="1" vm="1">
        <f t="array" aca="1" ref="AX1035" ca="1">VLOOKUP(AI:AI,#REF!,1,FALSE)</f>
        <v>#VALUE!</v>
      </c>
    </row>
    <row r="1036" spans="1:50">
      <c r="A1036" s="220">
        <v>1048</v>
      </c>
      <c r="B1036" s="220" t="s">
        <v>3674</v>
      </c>
      <c r="C1036" s="209" t="s">
        <v>17</v>
      </c>
      <c r="D1036" s="209" t="s">
        <v>3648</v>
      </c>
      <c r="E1036" s="209" t="s">
        <v>2196</v>
      </c>
      <c r="F1036" s="209"/>
      <c r="G1036" s="209"/>
      <c r="H1036" s="210" t="s">
        <v>6279</v>
      </c>
      <c r="I1036" s="218"/>
      <c r="J1036" s="218"/>
      <c r="K1036" s="218"/>
      <c r="L1036" s="212" t="s">
        <v>4129</v>
      </c>
      <c r="M1036" s="212"/>
      <c r="N1036" s="218"/>
      <c r="O1036" s="212">
        <v>4590020457</v>
      </c>
      <c r="P1036" s="212" t="s">
        <v>3591</v>
      </c>
      <c r="Q1036" s="334" t="s">
        <v>3907</v>
      </c>
      <c r="R1036" s="215">
        <v>4468.1499999999996</v>
      </c>
      <c r="S1036" s="217" t="s">
        <v>2156</v>
      </c>
      <c r="T1036" s="209"/>
      <c r="U1036" s="209" t="s">
        <v>6736</v>
      </c>
      <c r="V1036" s="213" t="s">
        <v>6076</v>
      </c>
      <c r="W1036" s="218" t="s">
        <v>3652</v>
      </c>
      <c r="X1036" s="218"/>
      <c r="Y1036" s="212" t="s">
        <v>6176</v>
      </c>
      <c r="Z1036" s="209" t="s">
        <v>6281</v>
      </c>
      <c r="AA1036" s="218"/>
      <c r="AB1036" s="218"/>
      <c r="AC1036" s="218"/>
      <c r="AD1036" s="217"/>
      <c r="AE1036" s="217" t="s">
        <v>4660</v>
      </c>
      <c r="AF1036" s="217" t="s">
        <v>3711</v>
      </c>
      <c r="AG1036" s="217"/>
      <c r="AH1036" s="220">
        <f t="shared" si="63"/>
        <v>4590020457</v>
      </c>
      <c r="AI1036" s="217" t="s">
        <v>6283</v>
      </c>
      <c r="AJ1036" s="227">
        <v>45506</v>
      </c>
      <c r="AK1036" s="406">
        <v>4468.1499999999996</v>
      </c>
      <c r="AL1036" s="227"/>
      <c r="AM1036" s="208"/>
      <c r="AN1036" s="227"/>
      <c r="AP1036" s="227"/>
      <c r="AQ1036" s="358">
        <f ca="1">IF(表格1[[#This Row],[PO$]]="","100%",表格1[[#This Row],[total amount]]/表格1[[#This Row],[PO$]])</f>
        <v>1</v>
      </c>
      <c r="AR1036" s="318">
        <f ca="1">表格1[[#This Row],[invoice amount]]+表格1[[#This Row],[invoice amount2]]</f>
        <v>4468.1499999999996</v>
      </c>
      <c r="AS1036" s="224" t="s">
        <v>3752</v>
      </c>
      <c r="AT1036" s="398"/>
      <c r="AU1036" s="404" t="e">
        <f ca="1">VLOOKUP(表格1[[#This Row],[PO+ITEM]],#REF!,2,FALSE)</f>
        <v>#REF!</v>
      </c>
      <c r="AV1036" s="341" t="e">
        <f ca="1">VLOOKUP(表格1[[#This Row],[PO+ITEM]],#REF!,3,FALSE)</f>
        <v>#REF!</v>
      </c>
      <c r="AW1036" s="208" t="e">
        <f ca="1">VLOOKUP(表格1[[#This Row],[PO+ITEM]],#REF!,4,FALSE)</f>
        <v>#REF!</v>
      </c>
      <c r="AX1036" s="208" t="e" cm="1" vm="1">
        <f t="array" aca="1" ref="AX1036" ca="1">VLOOKUP(AI:AI,#REF!,1,FALSE)</f>
        <v>#VALUE!</v>
      </c>
    </row>
    <row r="1037" spans="1:50">
      <c r="A1037" s="220">
        <v>1049</v>
      </c>
      <c r="B1037" s="220" t="s">
        <v>3674</v>
      </c>
      <c r="C1037" s="209" t="s">
        <v>17</v>
      </c>
      <c r="D1037" s="209" t="s">
        <v>3648</v>
      </c>
      <c r="E1037" s="209" t="s">
        <v>2196</v>
      </c>
      <c r="F1037" s="209"/>
      <c r="G1037" s="209"/>
      <c r="H1037" s="210" t="s">
        <v>6284</v>
      </c>
      <c r="I1037" s="218"/>
      <c r="J1037" s="218"/>
      <c r="K1037" s="218"/>
      <c r="L1037" s="212" t="s">
        <v>4105</v>
      </c>
      <c r="M1037" s="212"/>
      <c r="N1037" s="218"/>
      <c r="O1037" s="212">
        <v>4590020455</v>
      </c>
      <c r="P1037" s="212" t="s">
        <v>3591</v>
      </c>
      <c r="Q1037" s="334" t="s">
        <v>3907</v>
      </c>
      <c r="R1037" s="215">
        <v>7638.96</v>
      </c>
      <c r="S1037" s="217" t="s">
        <v>2156</v>
      </c>
      <c r="T1037" s="209"/>
      <c r="U1037" s="209" t="s">
        <v>6736</v>
      </c>
      <c r="V1037" s="213" t="s">
        <v>6076</v>
      </c>
      <c r="W1037" s="218" t="s">
        <v>3652</v>
      </c>
      <c r="X1037" s="218"/>
      <c r="Y1037" s="212" t="s">
        <v>6176</v>
      </c>
      <c r="Z1037" s="209" t="s">
        <v>6286</v>
      </c>
      <c r="AA1037" s="218"/>
      <c r="AB1037" s="218"/>
      <c r="AC1037" s="218"/>
      <c r="AD1037" s="217">
        <v>90519</v>
      </c>
      <c r="AE1037" s="400" t="s">
        <v>3359</v>
      </c>
      <c r="AF1037" s="217" t="s">
        <v>4014</v>
      </c>
      <c r="AG1037" s="217" t="s">
        <v>3666</v>
      </c>
      <c r="AH1037" s="220">
        <f t="shared" si="63"/>
        <v>4590020455</v>
      </c>
      <c r="AI1037" s="217"/>
      <c r="AJ1037" s="220"/>
      <c r="AK1037" s="299"/>
      <c r="AL1037" s="227"/>
      <c r="AM1037" s="208"/>
      <c r="AN1037" s="220"/>
      <c r="AP1037" s="227"/>
      <c r="AQ1037" s="358">
        <f ca="1">IF(表格1[[#This Row],[PO$]]="","100%",表格1[[#This Row],[total amount]]/表格1[[#This Row],[PO$]])</f>
        <v>0</v>
      </c>
      <c r="AR1037" s="318">
        <f ca="1">表格1[[#This Row],[invoice amount]]+表格1[[#This Row],[invoice amount2]]</f>
        <v>0</v>
      </c>
      <c r="AT1037" s="398" t="s">
        <v>6744</v>
      </c>
      <c r="AU1037" s="398" t="e">
        <f ca="1">VLOOKUP(表格1[[#This Row],[PO+ITEM]],#REF!,2,FALSE)</f>
        <v>#REF!</v>
      </c>
      <c r="AV1037" s="341" t="e">
        <f ca="1">VLOOKUP(表格1[[#This Row],[PO+ITEM]],#REF!,3,FALSE)</f>
        <v>#REF!</v>
      </c>
      <c r="AW1037" s="208" t="e">
        <f ca="1">VLOOKUP(表格1[[#This Row],[PO+ITEM]],#REF!,4,FALSE)</f>
        <v>#REF!</v>
      </c>
      <c r="AX1037" s="208" t="e" cm="1" vm="1">
        <f t="array" aca="1" ref="AX1037" ca="1">VLOOKUP(AI:AI,#REF!,1,FALSE)</f>
        <v>#VALUE!</v>
      </c>
    </row>
    <row r="1038" spans="1:50">
      <c r="A1038" s="220">
        <v>1050</v>
      </c>
      <c r="B1038" s="220" t="s">
        <v>3674</v>
      </c>
      <c r="C1038" s="209" t="s">
        <v>17</v>
      </c>
      <c r="D1038" s="209" t="s">
        <v>3648</v>
      </c>
      <c r="E1038" s="209" t="s">
        <v>2196</v>
      </c>
      <c r="F1038" s="209"/>
      <c r="G1038" s="209"/>
      <c r="H1038" s="210" t="s">
        <v>6289</v>
      </c>
      <c r="I1038" s="218"/>
      <c r="J1038" s="218"/>
      <c r="K1038" s="218"/>
      <c r="L1038" s="212" t="s">
        <v>4129</v>
      </c>
      <c r="M1038" s="212"/>
      <c r="N1038" s="218"/>
      <c r="O1038" s="212">
        <v>4590020459</v>
      </c>
      <c r="P1038" s="212" t="s">
        <v>3591</v>
      </c>
      <c r="Q1038" s="334" t="s">
        <v>3907</v>
      </c>
      <c r="R1038" s="215">
        <v>4721.99</v>
      </c>
      <c r="S1038" s="217" t="s">
        <v>2156</v>
      </c>
      <c r="T1038" s="209"/>
      <c r="U1038" s="209" t="s">
        <v>6736</v>
      </c>
      <c r="V1038" s="213" t="s">
        <v>6076</v>
      </c>
      <c r="W1038" s="218" t="s">
        <v>3652</v>
      </c>
      <c r="X1038" s="218"/>
      <c r="Y1038" s="212" t="s">
        <v>6176</v>
      </c>
      <c r="Z1038" s="209" t="s">
        <v>6291</v>
      </c>
      <c r="AA1038" s="218"/>
      <c r="AB1038" s="218"/>
      <c r="AC1038" s="218"/>
      <c r="AD1038" s="217">
        <v>90615</v>
      </c>
      <c r="AE1038" s="217" t="s">
        <v>3307</v>
      </c>
      <c r="AF1038" s="217" t="s">
        <v>4823</v>
      </c>
      <c r="AG1038" s="217" t="s">
        <v>3666</v>
      </c>
      <c r="AH1038" s="220">
        <f t="shared" si="63"/>
        <v>4590020459</v>
      </c>
      <c r="AI1038" s="217" t="s">
        <v>6292</v>
      </c>
      <c r="AJ1038" s="227">
        <v>45506</v>
      </c>
      <c r="AK1038" s="406">
        <v>4721.99</v>
      </c>
      <c r="AL1038" s="227"/>
      <c r="AM1038" s="208"/>
      <c r="AN1038" s="227"/>
      <c r="AP1038" s="227"/>
      <c r="AQ1038" s="358">
        <f ca="1">IF(表格1[[#This Row],[PO$]]="","100%",表格1[[#This Row],[total amount]]/表格1[[#This Row],[PO$]])</f>
        <v>1</v>
      </c>
      <c r="AR1038" s="318">
        <f ca="1">表格1[[#This Row],[invoice amount]]+表格1[[#This Row],[invoice amount2]]</f>
        <v>4721.99</v>
      </c>
      <c r="AS1038" s="224" t="s">
        <v>3752</v>
      </c>
      <c r="AT1038" s="398"/>
      <c r="AU1038" s="404" t="e">
        <f ca="1">VLOOKUP(表格1[[#This Row],[PO+ITEM]],#REF!,2,FALSE)</f>
        <v>#REF!</v>
      </c>
      <c r="AV1038" s="341" t="e">
        <f ca="1">VLOOKUP(表格1[[#This Row],[PO+ITEM]],#REF!,3,FALSE)</f>
        <v>#REF!</v>
      </c>
      <c r="AW1038" s="208" t="e">
        <f ca="1">VLOOKUP(表格1[[#This Row],[PO+ITEM]],#REF!,4,FALSE)</f>
        <v>#REF!</v>
      </c>
      <c r="AX1038" s="208" t="e" cm="1" vm="1">
        <f t="array" aca="1" ref="AX1038" ca="1">VLOOKUP(AI:AI,#REF!,1,FALSE)</f>
        <v>#VALUE!</v>
      </c>
    </row>
    <row r="1039" spans="1:50">
      <c r="A1039" s="220">
        <v>1051</v>
      </c>
      <c r="B1039" s="220" t="s">
        <v>3674</v>
      </c>
      <c r="C1039" s="209" t="s">
        <v>17</v>
      </c>
      <c r="D1039" s="209" t="s">
        <v>3648</v>
      </c>
      <c r="E1039" s="209" t="s">
        <v>2196</v>
      </c>
      <c r="F1039" s="209"/>
      <c r="G1039" s="209"/>
      <c r="H1039" s="210" t="s">
        <v>6293</v>
      </c>
      <c r="I1039" s="218"/>
      <c r="J1039" s="218"/>
      <c r="K1039" s="218"/>
      <c r="L1039" s="212" t="s">
        <v>4129</v>
      </c>
      <c r="M1039" s="212"/>
      <c r="N1039" s="218"/>
      <c r="O1039" s="212">
        <v>4590020460</v>
      </c>
      <c r="P1039" s="212" t="s">
        <v>3591</v>
      </c>
      <c r="Q1039" s="334" t="s">
        <v>3907</v>
      </c>
      <c r="R1039" s="215">
        <v>6339.4</v>
      </c>
      <c r="S1039" s="217" t="s">
        <v>2156</v>
      </c>
      <c r="T1039" s="209"/>
      <c r="U1039" s="209" t="s">
        <v>6736</v>
      </c>
      <c r="V1039" s="213" t="s">
        <v>6076</v>
      </c>
      <c r="W1039" s="218" t="s">
        <v>3652</v>
      </c>
      <c r="X1039" s="218"/>
      <c r="Y1039" s="212" t="s">
        <v>6176</v>
      </c>
      <c r="Z1039" s="209" t="s">
        <v>6295</v>
      </c>
      <c r="AA1039" s="218"/>
      <c r="AB1039" s="218"/>
      <c r="AC1039" s="218"/>
      <c r="AD1039" s="217">
        <v>90672</v>
      </c>
      <c r="AE1039" s="217" t="s">
        <v>4663</v>
      </c>
      <c r="AF1039" s="217" t="s">
        <v>4823</v>
      </c>
      <c r="AG1039" s="217" t="s">
        <v>3719</v>
      </c>
      <c r="AH1039" s="220">
        <f t="shared" si="63"/>
        <v>4590020460</v>
      </c>
      <c r="AI1039" s="217" t="s">
        <v>6296</v>
      </c>
      <c r="AJ1039" s="227">
        <v>45506</v>
      </c>
      <c r="AK1039" s="406">
        <v>6339.4</v>
      </c>
      <c r="AL1039" s="227"/>
      <c r="AM1039" s="208"/>
      <c r="AN1039" s="227"/>
      <c r="AP1039" s="227"/>
      <c r="AQ1039" s="358">
        <f ca="1">IF(表格1[[#This Row],[PO$]]="","100%",表格1[[#This Row],[total amount]]/表格1[[#This Row],[PO$]])</f>
        <v>1</v>
      </c>
      <c r="AR1039" s="318">
        <f ca="1">表格1[[#This Row],[invoice amount]]+表格1[[#This Row],[invoice amount2]]</f>
        <v>6339.4</v>
      </c>
      <c r="AS1039" s="224" t="s">
        <v>3752</v>
      </c>
      <c r="AT1039" s="398"/>
      <c r="AU1039" s="404" t="e">
        <f ca="1">VLOOKUP(表格1[[#This Row],[PO+ITEM]],#REF!,2,FALSE)</f>
        <v>#REF!</v>
      </c>
      <c r="AV1039" s="341" t="e">
        <f ca="1">VLOOKUP(表格1[[#This Row],[PO+ITEM]],#REF!,3,FALSE)</f>
        <v>#REF!</v>
      </c>
      <c r="AW1039" s="208" t="e">
        <f ca="1">VLOOKUP(表格1[[#This Row],[PO+ITEM]],#REF!,4,FALSE)</f>
        <v>#REF!</v>
      </c>
      <c r="AX1039" s="208" t="e" cm="1" vm="1">
        <f t="array" aca="1" ref="AX1039" ca="1">VLOOKUP(AI:AI,#REF!,1,FALSE)</f>
        <v>#VALUE!</v>
      </c>
    </row>
    <row r="1040" spans="1:50" s="230" customFormat="1">
      <c r="A1040" s="220">
        <v>1052</v>
      </c>
      <c r="B1040" s="239"/>
      <c r="C1040" s="231" t="s">
        <v>16</v>
      </c>
      <c r="D1040" s="231" t="s">
        <v>3648</v>
      </c>
      <c r="E1040" s="231"/>
      <c r="F1040" s="231"/>
      <c r="G1040" s="231"/>
      <c r="H1040" s="270" t="s">
        <v>6297</v>
      </c>
      <c r="I1040" s="238"/>
      <c r="J1040" s="238"/>
      <c r="K1040" s="238"/>
      <c r="L1040" s="234"/>
      <c r="M1040" s="234"/>
      <c r="N1040" s="238"/>
      <c r="O1040" s="234">
        <v>4590009054</v>
      </c>
      <c r="P1040" s="234" t="s">
        <v>6745</v>
      </c>
      <c r="Q1040" s="336" t="s">
        <v>3907</v>
      </c>
      <c r="R1040" s="233"/>
      <c r="S1040" s="232" t="s">
        <v>6299</v>
      </c>
      <c r="T1040" s="231"/>
      <c r="U1040" s="231"/>
      <c r="V1040" s="235"/>
      <c r="W1040" s="238"/>
      <c r="X1040" s="238"/>
      <c r="Y1040" s="234"/>
      <c r="Z1040" s="231"/>
      <c r="AA1040" s="238"/>
      <c r="AB1040" s="238"/>
      <c r="AC1040" s="238"/>
      <c r="AD1040" s="232"/>
      <c r="AE1040" s="232"/>
      <c r="AF1040" s="232"/>
      <c r="AG1040" s="232"/>
      <c r="AH1040" s="238"/>
      <c r="AI1040" s="232"/>
      <c r="AJ1040" s="239"/>
      <c r="AK1040" s="371"/>
      <c r="AL1040" s="302"/>
      <c r="AN1040" s="239"/>
      <c r="AO1040" s="302"/>
      <c r="AP1040" s="302"/>
      <c r="AQ1040" s="372" t="str">
        <f ca="1">IF(表格1[[#This Row],[PO$]]="","100%",表格1[[#This Row],[total amount]]/表格1[[#This Row],[PO$]])</f>
        <v>100%</v>
      </c>
      <c r="AR1040" s="373">
        <f ca="1">表格1[[#This Row],[invoice amount]]+表格1[[#This Row],[invoice amount2]]</f>
        <v>0</v>
      </c>
      <c r="AS1040" s="374"/>
      <c r="AT1040" s="375"/>
      <c r="AU1040" s="375" t="e">
        <f ca="1">VLOOKUP(表格1[[#This Row],[PO+ITEM]],#REF!,2,FALSE)</f>
        <v>#REF!</v>
      </c>
      <c r="AV1040" s="341" t="e">
        <f ca="1">VLOOKUP(表格1[[#This Row],[PO+ITEM]],#REF!,3,FALSE)</f>
        <v>#REF!</v>
      </c>
      <c r="AW1040" s="208" t="e">
        <f ca="1">VLOOKUP(表格1[[#This Row],[PO+ITEM]],#REF!,4,FALSE)</f>
        <v>#REF!</v>
      </c>
      <c r="AX1040" s="208" t="e" cm="1" vm="1">
        <f t="array" aca="1" ref="AX1040" ca="1">VLOOKUP(AI:AI,#REF!,1,FALSE)</f>
        <v>#VALUE!</v>
      </c>
    </row>
  </sheetData>
  <phoneticPr fontId="14" type="noConversion"/>
  <conditionalFormatting sqref="AH1:AH1048576">
    <cfRule type="duplicateValues" dxfId="92" priority="1"/>
  </conditionalFormatting>
  <dataValidations disablePrompts="1" count="1">
    <dataValidation type="list" allowBlank="1" showInputMessage="1" showErrorMessage="1" sqref="C996:C1004" xr:uid="{8E7CAA61-3E26-45AB-9DCE-A6F3727B1716}">
      <formula1>$A$3:$A$18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06732-6B37-457B-B4E4-BF45A6B27959}">
  <dimension ref="A1:Y156"/>
  <sheetViews>
    <sheetView topLeftCell="A9" workbookViewId="0">
      <selection activeCell="F22" sqref="F22"/>
    </sheetView>
  </sheetViews>
  <sheetFormatPr defaultRowHeight="14.45"/>
  <cols>
    <col min="1" max="1" width="12.85546875" customWidth="1"/>
    <col min="2" max="2" width="17.7109375" bestFit="1" customWidth="1"/>
    <col min="3" max="3" width="22" bestFit="1" customWidth="1"/>
    <col min="4" max="4" width="11.28515625" style="4" bestFit="1" customWidth="1"/>
    <col min="5" max="5" width="13.42578125" customWidth="1"/>
    <col min="6" max="6" width="14.85546875" bestFit="1" customWidth="1"/>
    <col min="7" max="7" width="45" bestFit="1" customWidth="1"/>
    <col min="8" max="8" width="15.140625" customWidth="1"/>
    <col min="10" max="10" width="7.5703125" bestFit="1" customWidth="1"/>
    <col min="11" max="11" width="17.42578125" bestFit="1" customWidth="1"/>
    <col min="12" max="12" width="10.85546875" bestFit="1" customWidth="1"/>
    <col min="15" max="15" width="16.140625" bestFit="1" customWidth="1"/>
    <col min="16" max="16" width="8.140625" bestFit="1" customWidth="1"/>
    <col min="17" max="17" width="24.5703125" bestFit="1" customWidth="1"/>
    <col min="18" max="18" width="6.7109375" bestFit="1" customWidth="1"/>
    <col min="19" max="19" width="12.7109375" bestFit="1" customWidth="1"/>
    <col min="24" max="24" width="1.85546875" bestFit="1" customWidth="1"/>
  </cols>
  <sheetData>
    <row r="1" spans="1:25" ht="17.100000000000001">
      <c r="A1" s="647" t="s">
        <v>3158</v>
      </c>
      <c r="B1" s="475">
        <v>4590007583</v>
      </c>
      <c r="C1" s="596" t="s">
        <v>3751</v>
      </c>
      <c r="D1" s="607">
        <v>45562</v>
      </c>
      <c r="E1" s="619" t="e">
        <f>#REF!+#REF!</f>
        <v>#REF!</v>
      </c>
      <c r="F1" s="596">
        <v>4590010392</v>
      </c>
      <c r="G1" s="596" t="s">
        <v>4009</v>
      </c>
      <c r="H1" s="587">
        <v>45580</v>
      </c>
      <c r="J1" s="492">
        <v>91015</v>
      </c>
      <c r="K1" s="492" t="s">
        <v>6332</v>
      </c>
      <c r="L1" s="492" t="s">
        <v>3305</v>
      </c>
      <c r="O1" s="464" t="s">
        <v>6746</v>
      </c>
      <c r="P1" s="464" t="s">
        <v>3616</v>
      </c>
      <c r="Q1" s="464" t="s">
        <v>6747</v>
      </c>
      <c r="R1" s="464" t="s">
        <v>3604</v>
      </c>
      <c r="S1" s="464" t="s">
        <v>2493</v>
      </c>
    </row>
    <row r="2" spans="1:25" ht="17.100000000000001">
      <c r="A2" s="648" t="s">
        <v>3568</v>
      </c>
      <c r="B2" s="480">
        <v>4590007756</v>
      </c>
      <c r="C2" s="597" t="s">
        <v>3886</v>
      </c>
      <c r="D2" s="608">
        <v>45562</v>
      </c>
      <c r="E2" s="620" t="e">
        <f>#REF!+#REF!</f>
        <v>#REF!</v>
      </c>
      <c r="F2" s="597" t="s">
        <v>6748</v>
      </c>
      <c r="G2" s="597" t="s">
        <v>4644</v>
      </c>
      <c r="H2" s="587">
        <v>45580</v>
      </c>
      <c r="J2" s="492">
        <v>91093</v>
      </c>
      <c r="K2" s="492" t="s">
        <v>6336</v>
      </c>
      <c r="L2" s="492" t="s">
        <v>5839</v>
      </c>
      <c r="O2" s="469">
        <v>4590007772</v>
      </c>
      <c r="P2" s="470" t="s">
        <v>6749</v>
      </c>
      <c r="Q2" s="470" t="s">
        <v>6750</v>
      </c>
      <c r="R2" s="470" t="s">
        <v>3674</v>
      </c>
      <c r="S2" s="471" t="s">
        <v>3164</v>
      </c>
      <c r="U2" s="473" t="s">
        <v>3164</v>
      </c>
      <c r="V2" s="474" t="s">
        <v>4109</v>
      </c>
      <c r="W2" s="473" t="s">
        <v>3666</v>
      </c>
      <c r="X2" s="475" t="str">
        <f t="shared" ref="X2:X17" si="0">G1&amp;"_00"&amp;I1</f>
        <v>MICUINT202402002_00</v>
      </c>
      <c r="Y2" s="476">
        <f ca="1">IF(表格1_6[[#This Row],[PO$]]="","100%",表格1_6[[#This Row],[total amount]]/表格1_6[[#This Row],[PO$]])</f>
        <v>5.4923729367482292E-2</v>
      </c>
    </row>
    <row r="3" spans="1:25" ht="17.100000000000001">
      <c r="A3" s="647" t="s">
        <v>5514</v>
      </c>
      <c r="B3" s="475" t="s">
        <v>6751</v>
      </c>
      <c r="C3" s="596" t="s">
        <v>4471</v>
      </c>
      <c r="D3" s="607">
        <v>45562</v>
      </c>
      <c r="E3" s="619" t="e">
        <f>#REF!+#REF!</f>
        <v>#REF!</v>
      </c>
      <c r="F3" s="596" t="s">
        <v>6752</v>
      </c>
      <c r="G3" s="596" t="s">
        <v>4859</v>
      </c>
      <c r="H3" s="587">
        <v>45580</v>
      </c>
      <c r="J3" s="492">
        <v>91100</v>
      </c>
      <c r="K3" s="492" t="s">
        <v>6340</v>
      </c>
      <c r="L3" s="492" t="s">
        <v>5828</v>
      </c>
      <c r="O3" s="469">
        <v>4590007772</v>
      </c>
      <c r="P3" s="470" t="s">
        <v>6753</v>
      </c>
      <c r="Q3" s="470" t="s">
        <v>6754</v>
      </c>
      <c r="R3" s="470" t="s">
        <v>3674</v>
      </c>
      <c r="S3" s="471" t="s">
        <v>3492</v>
      </c>
      <c r="U3" s="477" t="s">
        <v>3492</v>
      </c>
      <c r="V3" s="478" t="s">
        <v>4109</v>
      </c>
      <c r="W3" s="479"/>
      <c r="X3" s="480" t="str">
        <f t="shared" si="0"/>
        <v>MICUINT202406050_00</v>
      </c>
      <c r="Y3" s="481">
        <f ca="1">IF(表格1_6[[#This Row],[PO$]]="","100%",表格1_6[[#This Row],[total amount]]/表格1_6[[#This Row],[PO$]])</f>
        <v>0</v>
      </c>
    </row>
    <row r="4" spans="1:25" ht="17.100000000000001">
      <c r="A4" s="648" t="s">
        <v>3975</v>
      </c>
      <c r="B4" s="480" t="s">
        <v>6755</v>
      </c>
      <c r="C4" s="597" t="s">
        <v>4473</v>
      </c>
      <c r="D4" s="608">
        <v>45562</v>
      </c>
      <c r="E4" s="620" t="e">
        <f>#REF!+#REF!</f>
        <v>#REF!</v>
      </c>
      <c r="F4" s="597" t="s">
        <v>6756</v>
      </c>
      <c r="G4" s="597" t="s">
        <v>4866</v>
      </c>
      <c r="H4" s="587">
        <v>45580</v>
      </c>
      <c r="J4" s="492">
        <v>91299</v>
      </c>
      <c r="K4" s="492" t="s">
        <v>6344</v>
      </c>
      <c r="L4" s="492" t="s">
        <v>3530</v>
      </c>
      <c r="O4" s="465">
        <v>4590007772</v>
      </c>
      <c r="P4" s="467" t="s">
        <v>6757</v>
      </c>
      <c r="Q4" s="467" t="s">
        <v>6758</v>
      </c>
      <c r="R4" s="467" t="s">
        <v>3674</v>
      </c>
      <c r="S4" s="466" t="s">
        <v>3167</v>
      </c>
      <c r="U4" s="473" t="s">
        <v>3167</v>
      </c>
      <c r="V4" s="474" t="s">
        <v>4109</v>
      </c>
      <c r="W4" s="473" t="s">
        <v>3666</v>
      </c>
      <c r="X4" s="475" t="str">
        <f t="shared" si="0"/>
        <v>MICUINT202407020_00</v>
      </c>
      <c r="Y4" s="476">
        <f ca="1">IF(表格1_6[[#This Row],[PO$]]="","100%",表格1_6[[#This Row],[total amount]]/表格1_6[[#This Row],[PO$]])</f>
        <v>0.4</v>
      </c>
    </row>
    <row r="5" spans="1:25" ht="17.100000000000001">
      <c r="A5" s="641"/>
      <c r="B5" s="475" t="s">
        <v>6759</v>
      </c>
      <c r="C5" s="596" t="s">
        <v>4475</v>
      </c>
      <c r="D5" s="607">
        <v>45562</v>
      </c>
      <c r="E5" s="619" t="e">
        <f>#REF!+#REF!</f>
        <v>#REF!</v>
      </c>
      <c r="F5" s="596">
        <v>4590007582</v>
      </c>
      <c r="G5" s="596" t="s">
        <v>3748</v>
      </c>
      <c r="H5" s="587">
        <v>45580</v>
      </c>
      <c r="J5" s="492">
        <v>91303</v>
      </c>
      <c r="K5" s="492" t="s">
        <v>6348</v>
      </c>
      <c r="L5" s="492" t="s">
        <v>3277</v>
      </c>
      <c r="O5" s="465">
        <v>4590007772</v>
      </c>
      <c r="P5" s="467" t="s">
        <v>6760</v>
      </c>
      <c r="Q5" s="467" t="s">
        <v>6761</v>
      </c>
      <c r="R5" s="467" t="s">
        <v>3659</v>
      </c>
      <c r="S5" s="466" t="s">
        <v>3322</v>
      </c>
      <c r="U5" s="482" t="s">
        <v>3322</v>
      </c>
      <c r="V5" s="478" t="s">
        <v>4109</v>
      </c>
      <c r="W5" s="482" t="s">
        <v>3666</v>
      </c>
      <c r="X5" s="480" t="str">
        <f t="shared" si="0"/>
        <v>MICUINT202403005_00</v>
      </c>
      <c r="Y5" s="481">
        <f ca="1">IF(表格1_6[[#This Row],[PO$]]="","100%",表格1_6[[#This Row],[total amount]]/表格1_6[[#This Row],[PO$]])</f>
        <v>1</v>
      </c>
    </row>
    <row r="6" spans="1:25" ht="17.100000000000001">
      <c r="A6" s="642"/>
      <c r="B6" s="480" t="s">
        <v>6762</v>
      </c>
      <c r="C6" s="597" t="s">
        <v>4477</v>
      </c>
      <c r="D6" s="608">
        <v>45562</v>
      </c>
      <c r="E6" s="620" t="e">
        <f>#REF!+#REF!</f>
        <v>#REF!</v>
      </c>
      <c r="F6" s="597" t="s">
        <v>6763</v>
      </c>
      <c r="G6" s="597" t="s">
        <v>5297</v>
      </c>
      <c r="H6" s="587">
        <v>45580</v>
      </c>
      <c r="J6" s="492">
        <v>91304</v>
      </c>
      <c r="K6" s="492" t="s">
        <v>6352</v>
      </c>
      <c r="L6" s="492" t="s">
        <v>3279</v>
      </c>
      <c r="O6" s="465">
        <v>4590007772</v>
      </c>
      <c r="P6" s="467" t="s">
        <v>6326</v>
      </c>
      <c r="Q6" s="467" t="s">
        <v>6764</v>
      </c>
      <c r="R6" s="467" t="s">
        <v>3674</v>
      </c>
      <c r="S6" s="466" t="s">
        <v>3500</v>
      </c>
      <c r="U6" s="473" t="s">
        <v>3500</v>
      </c>
      <c r="V6" s="474" t="s">
        <v>4109</v>
      </c>
      <c r="W6" s="473" t="s">
        <v>3666</v>
      </c>
      <c r="X6" s="475" t="str">
        <f t="shared" si="0"/>
        <v>MICUINT202408060_00</v>
      </c>
      <c r="Y6" s="476">
        <f ca="1">IF(表格1_6[[#This Row],[PO$]]="","100%",表格1_6[[#This Row],[total amount]]/表格1_6[[#This Row],[PO$]])</f>
        <v>0</v>
      </c>
    </row>
    <row r="7" spans="1:25" ht="17.100000000000001">
      <c r="A7" s="643"/>
      <c r="B7" s="475" t="s">
        <v>6765</v>
      </c>
      <c r="C7" s="596" t="s">
        <v>4480</v>
      </c>
      <c r="D7" s="607">
        <v>45562</v>
      </c>
      <c r="E7" s="619" t="e">
        <f>#REF!+#REF!</f>
        <v>#REF!</v>
      </c>
      <c r="F7" s="596" t="s">
        <v>6766</v>
      </c>
      <c r="G7" s="596" t="s">
        <v>5328</v>
      </c>
      <c r="H7" s="587">
        <v>45580</v>
      </c>
      <c r="J7" s="492">
        <v>91305</v>
      </c>
      <c r="K7" s="492" t="s">
        <v>6356</v>
      </c>
      <c r="L7" s="492" t="s">
        <v>3313</v>
      </c>
      <c r="O7" s="465">
        <v>4590007772</v>
      </c>
      <c r="P7" s="467" t="s">
        <v>6767</v>
      </c>
      <c r="Q7" s="467" t="s">
        <v>6768</v>
      </c>
      <c r="R7" s="467" t="s">
        <v>3674</v>
      </c>
      <c r="S7" s="466" t="s">
        <v>3396</v>
      </c>
      <c r="U7" s="482" t="s">
        <v>3396</v>
      </c>
      <c r="V7" s="478" t="s">
        <v>4109</v>
      </c>
      <c r="W7" s="482" t="s">
        <v>3666</v>
      </c>
      <c r="X7" s="480" t="str">
        <f t="shared" si="0"/>
        <v>MICUINT202409015_00</v>
      </c>
      <c r="Y7" s="481">
        <f ca="1">IF(表格1_6[[#This Row],[PO$]]="","100%",表格1_6[[#This Row],[total amount]]/表格1_6[[#This Row],[PO$]])</f>
        <v>1</v>
      </c>
    </row>
    <row r="8" spans="1:25" ht="17.100000000000001">
      <c r="A8" s="643"/>
      <c r="B8" s="480" t="s">
        <v>6769</v>
      </c>
      <c r="C8" s="597" t="s">
        <v>5005</v>
      </c>
      <c r="D8" s="608">
        <v>45562</v>
      </c>
      <c r="E8" s="620" t="e">
        <f>#REF!+#REF!</f>
        <v>#REF!</v>
      </c>
      <c r="F8" s="597" t="s">
        <v>6770</v>
      </c>
      <c r="G8" s="597" t="s">
        <v>5335</v>
      </c>
      <c r="H8" s="587">
        <v>45580</v>
      </c>
      <c r="J8" s="492">
        <v>91313</v>
      </c>
      <c r="K8" s="492" t="s">
        <v>6360</v>
      </c>
      <c r="L8" s="492" t="s">
        <v>3260</v>
      </c>
      <c r="O8" s="465">
        <v>4590007772</v>
      </c>
      <c r="P8" s="467" t="s">
        <v>6771</v>
      </c>
      <c r="Q8" s="467" t="s">
        <v>6772</v>
      </c>
      <c r="R8" s="467" t="s">
        <v>3674</v>
      </c>
      <c r="S8" s="466" t="s">
        <v>3399</v>
      </c>
      <c r="U8" s="473" t="s">
        <v>3399</v>
      </c>
      <c r="V8" s="474" t="s">
        <v>4109</v>
      </c>
      <c r="W8" s="473" t="s">
        <v>3666</v>
      </c>
      <c r="X8" s="475" t="str">
        <f t="shared" si="0"/>
        <v>MICUINT202403006_00</v>
      </c>
      <c r="Y8" s="476">
        <f ca="1">IF(表格1_6[[#This Row],[PO$]]="","100%",表格1_6[[#This Row],[total amount]]/表格1_6[[#This Row],[PO$]])</f>
        <v>0</v>
      </c>
    </row>
    <row r="9" spans="1:25" ht="17.100000000000001">
      <c r="A9" s="643"/>
      <c r="B9" s="475" t="s">
        <v>6773</v>
      </c>
      <c r="C9" s="596" t="s">
        <v>5103</v>
      </c>
      <c r="D9" s="607">
        <v>45562</v>
      </c>
      <c r="E9" s="619" t="e">
        <f>#REF!+#REF!</f>
        <v>#REF!</v>
      </c>
      <c r="F9" s="596" t="s">
        <v>6774</v>
      </c>
      <c r="G9" s="596" t="s">
        <v>5764</v>
      </c>
      <c r="H9" s="587">
        <v>45580</v>
      </c>
      <c r="J9" s="492">
        <v>91316</v>
      </c>
      <c r="K9" s="492" t="s">
        <v>6364</v>
      </c>
      <c r="L9" s="492" t="s">
        <v>3262</v>
      </c>
      <c r="O9" s="465">
        <v>4590007772</v>
      </c>
      <c r="P9" s="467" t="s">
        <v>6775</v>
      </c>
      <c r="Q9" s="467" t="s">
        <v>6776</v>
      </c>
      <c r="R9" s="467" t="s">
        <v>3674</v>
      </c>
      <c r="S9" s="466" t="s">
        <v>3496</v>
      </c>
      <c r="U9" s="482" t="s">
        <v>3496</v>
      </c>
      <c r="V9" s="478" t="s">
        <v>4109</v>
      </c>
      <c r="W9" s="482" t="s">
        <v>3666</v>
      </c>
      <c r="X9" s="480" t="str">
        <f t="shared" si="0"/>
        <v>MICUINT202403007_00</v>
      </c>
      <c r="Y9" s="481">
        <f ca="1">IF(表格1_6[[#This Row],[PO$]]="","100%",表格1_6[[#This Row],[total amount]]/表格1_6[[#This Row],[PO$]])</f>
        <v>0</v>
      </c>
    </row>
    <row r="10" spans="1:25" ht="17.100000000000001">
      <c r="A10" s="643"/>
      <c r="B10" s="480" t="s">
        <v>6777</v>
      </c>
      <c r="C10" s="597" t="s">
        <v>5107</v>
      </c>
      <c r="D10" s="608">
        <v>45562</v>
      </c>
      <c r="E10" s="620" t="e">
        <f>#REF!+#REF!</f>
        <v>#REF!</v>
      </c>
      <c r="F10" s="597">
        <v>4590014282</v>
      </c>
      <c r="G10" s="616" t="s">
        <v>6778</v>
      </c>
      <c r="H10" s="587">
        <v>45580</v>
      </c>
      <c r="J10" s="492">
        <v>91318</v>
      </c>
      <c r="K10" s="492" t="s">
        <v>6368</v>
      </c>
      <c r="L10" s="492" t="s">
        <v>3264</v>
      </c>
      <c r="O10" s="465">
        <v>4590007772</v>
      </c>
      <c r="P10" s="467" t="s">
        <v>6779</v>
      </c>
      <c r="Q10" s="467" t="s">
        <v>6780</v>
      </c>
      <c r="R10" s="467" t="s">
        <v>3674</v>
      </c>
      <c r="S10" s="466" t="s">
        <v>3372</v>
      </c>
      <c r="U10" s="473" t="s">
        <v>3372</v>
      </c>
      <c r="V10" s="474" t="s">
        <v>4109</v>
      </c>
      <c r="W10" s="473" t="s">
        <v>3666</v>
      </c>
      <c r="X10" s="475" t="str">
        <f t="shared" si="0"/>
        <v>MICUINT202405091_00</v>
      </c>
      <c r="Y10" s="476">
        <f ca="1">IF(表格1_6[[#This Row],[PO$]]="","100%",表格1_6[[#This Row],[total amount]]/表格1_6[[#This Row],[PO$]])</f>
        <v>0</v>
      </c>
    </row>
    <row r="11" spans="1:25" ht="17.100000000000001">
      <c r="A11" s="643"/>
      <c r="B11" s="475" t="s">
        <v>6781</v>
      </c>
      <c r="C11" s="596" t="s">
        <v>5497</v>
      </c>
      <c r="D11" s="607">
        <v>45562</v>
      </c>
      <c r="E11" s="619" t="e">
        <f>#REF!+#REF!</f>
        <v>#REF!</v>
      </c>
      <c r="F11" s="596">
        <v>4590014334</v>
      </c>
      <c r="G11" s="596" t="s">
        <v>4157</v>
      </c>
      <c r="H11" s="587">
        <v>45580</v>
      </c>
      <c r="J11" s="492">
        <v>91322</v>
      </c>
      <c r="K11" s="492" t="s">
        <v>6372</v>
      </c>
      <c r="L11" s="492" t="s">
        <v>3524</v>
      </c>
      <c r="O11" s="465">
        <v>4590007772</v>
      </c>
      <c r="P11" s="467" t="s">
        <v>6782</v>
      </c>
      <c r="Q11" s="467" t="s">
        <v>6783</v>
      </c>
      <c r="R11" s="467" t="s">
        <v>3674</v>
      </c>
      <c r="S11" s="466" t="s">
        <v>3328</v>
      </c>
      <c r="U11" s="482" t="s">
        <v>3328</v>
      </c>
      <c r="V11" s="478" t="s">
        <v>4109</v>
      </c>
      <c r="W11" s="482" t="s">
        <v>3666</v>
      </c>
      <c r="X11" s="480" t="str">
        <f t="shared" si="0"/>
        <v>MICUINT202402027(MICUINT202405095)_00</v>
      </c>
      <c r="Y11" s="481">
        <f ca="1">IF(表格1_6[[#This Row],[PO$]]="","100%",表格1_6[[#This Row],[total amount]]/表格1_6[[#This Row],[PO$]])</f>
        <v>0</v>
      </c>
    </row>
    <row r="12" spans="1:25" ht="17.100000000000001">
      <c r="A12" s="644"/>
      <c r="B12" s="480" t="s">
        <v>6784</v>
      </c>
      <c r="C12" s="597" t="s">
        <v>5508</v>
      </c>
      <c r="D12" s="608">
        <v>45562</v>
      </c>
      <c r="E12" s="620" t="e">
        <f>#REF!+#REF!</f>
        <v>#REF!</v>
      </c>
      <c r="F12" s="597">
        <v>4590017877</v>
      </c>
      <c r="G12" s="597" t="s">
        <v>6004</v>
      </c>
      <c r="H12" s="587">
        <v>45580</v>
      </c>
      <c r="J12" s="492">
        <v>91323</v>
      </c>
      <c r="K12" s="492" t="s">
        <v>6376</v>
      </c>
      <c r="L12" s="492" t="s">
        <v>3526</v>
      </c>
      <c r="O12" s="465">
        <v>4590007772</v>
      </c>
      <c r="P12" s="467" t="s">
        <v>6785</v>
      </c>
      <c r="Q12" s="467" t="s">
        <v>6786</v>
      </c>
      <c r="R12" s="467" t="s">
        <v>3674</v>
      </c>
      <c r="S12" s="466" t="s">
        <v>3331</v>
      </c>
      <c r="U12" s="473" t="s">
        <v>3331</v>
      </c>
      <c r="V12" s="474" t="s">
        <v>4109</v>
      </c>
      <c r="W12" s="473" t="s">
        <v>3666</v>
      </c>
      <c r="X12" s="475" t="str">
        <f t="shared" si="0"/>
        <v>MICUINT202408125_00</v>
      </c>
      <c r="Y12" s="476">
        <f ca="1">IF(表格1_6[[#This Row],[PO$]]="","100%",表格1_6[[#This Row],[total amount]]/表格1_6[[#This Row],[PO$]])</f>
        <v>1</v>
      </c>
    </row>
    <row r="13" spans="1:25" ht="17.100000000000001">
      <c r="A13" s="644"/>
      <c r="B13" s="475" t="s">
        <v>6787</v>
      </c>
      <c r="C13" s="596" t="s">
        <v>5862</v>
      </c>
      <c r="D13" s="607">
        <v>45562</v>
      </c>
      <c r="E13" s="619" t="e">
        <f>#REF!+#REF!</f>
        <v>#REF!</v>
      </c>
      <c r="F13" s="596">
        <v>4590014335</v>
      </c>
      <c r="G13" s="596" t="s">
        <v>4163</v>
      </c>
      <c r="H13" s="587">
        <v>45580</v>
      </c>
      <c r="J13" s="492">
        <v>91324</v>
      </c>
      <c r="K13" s="492" t="s">
        <v>6380</v>
      </c>
      <c r="L13" s="492" t="s">
        <v>3528</v>
      </c>
      <c r="O13" s="465">
        <v>4590007772</v>
      </c>
      <c r="P13" s="467" t="s">
        <v>6788</v>
      </c>
      <c r="Q13" s="467" t="s">
        <v>6789</v>
      </c>
      <c r="R13" s="467" t="s">
        <v>3674</v>
      </c>
      <c r="S13" s="466" t="s">
        <v>3494</v>
      </c>
      <c r="U13" s="482" t="s">
        <v>3494</v>
      </c>
      <c r="V13" s="478" t="s">
        <v>4109</v>
      </c>
      <c r="W13" s="482" t="s">
        <v>3666</v>
      </c>
      <c r="X13" s="480" t="str">
        <f t="shared" si="0"/>
        <v>MICUINT202406026_00</v>
      </c>
      <c r="Y13" s="481">
        <f ca="1">IF(表格1_6[[#This Row],[PO$]]="","100%",表格1_6[[#This Row],[total amount]]/表格1_6[[#This Row],[PO$]])</f>
        <v>1</v>
      </c>
    </row>
    <row r="14" spans="1:25" ht="17.100000000000001">
      <c r="A14" s="644"/>
      <c r="B14" s="480" t="s">
        <v>6790</v>
      </c>
      <c r="C14" s="597" t="s">
        <v>5891</v>
      </c>
      <c r="D14" s="608">
        <v>45562</v>
      </c>
      <c r="E14" s="620" t="e">
        <f>#REF!+#REF!</f>
        <v>#REF!</v>
      </c>
      <c r="G14" s="586"/>
      <c r="H14" s="588"/>
      <c r="J14" s="492">
        <v>91325</v>
      </c>
      <c r="K14" s="492" t="s">
        <v>6384</v>
      </c>
      <c r="L14" s="492" t="s">
        <v>3299</v>
      </c>
      <c r="O14" s="465">
        <v>4590007772</v>
      </c>
      <c r="P14" s="467" t="s">
        <v>6791</v>
      </c>
      <c r="Q14" s="467" t="s">
        <v>6792</v>
      </c>
      <c r="R14" s="467" t="s">
        <v>3674</v>
      </c>
      <c r="S14" s="466" t="s">
        <v>3498</v>
      </c>
      <c r="U14" s="477" t="s">
        <v>3500</v>
      </c>
      <c r="V14" s="474" t="s">
        <v>4109</v>
      </c>
      <c r="W14" s="473" t="s">
        <v>3666</v>
      </c>
      <c r="X14" s="475" t="str">
        <f t="shared" si="0"/>
        <v>MICUINT202402025_00</v>
      </c>
      <c r="Y14" s="476">
        <f ca="1">IF(表格1_6[[#This Row],[PO$]]="","100%",表格1_6[[#This Row],[total amount]]/表格1_6[[#This Row],[PO$]])</f>
        <v>0</v>
      </c>
    </row>
    <row r="15" spans="1:25" ht="17.100000000000001">
      <c r="B15" s="475" t="s">
        <v>6793</v>
      </c>
      <c r="C15" s="596" t="s">
        <v>5896</v>
      </c>
      <c r="D15" s="607">
        <v>45562</v>
      </c>
      <c r="E15" s="619" t="e">
        <f>#REF!+#REF!</f>
        <v>#REF!</v>
      </c>
      <c r="G15" s="586"/>
      <c r="H15" s="588"/>
      <c r="J15" s="492">
        <v>91332</v>
      </c>
      <c r="K15" s="492" t="s">
        <v>6389</v>
      </c>
      <c r="L15" s="492" t="s">
        <v>6388</v>
      </c>
      <c r="O15" s="465">
        <v>4590007772</v>
      </c>
      <c r="P15" s="467" t="s">
        <v>6794</v>
      </c>
      <c r="Q15" s="467" t="s">
        <v>6795</v>
      </c>
      <c r="R15" s="467" t="s">
        <v>3674</v>
      </c>
      <c r="S15" s="466" t="s">
        <v>3374</v>
      </c>
      <c r="U15" s="483" t="s">
        <v>3407</v>
      </c>
      <c r="V15" s="478" t="s">
        <v>4109</v>
      </c>
      <c r="W15" s="482" t="s">
        <v>3666</v>
      </c>
      <c r="X15" s="480" t="str">
        <f t="shared" si="0"/>
        <v>_00</v>
      </c>
      <c r="Y15" s="481">
        <f ca="1">IF(表格1_6[[#This Row],[PO$]]="","100%",表格1_6[[#This Row],[total amount]]/表格1_6[[#This Row],[PO$]])</f>
        <v>0</v>
      </c>
    </row>
    <row r="16" spans="1:25" ht="17.100000000000001">
      <c r="B16" s="480" t="s">
        <v>6796</v>
      </c>
      <c r="C16" s="597" t="s">
        <v>5898</v>
      </c>
      <c r="D16" s="608">
        <v>45562</v>
      </c>
      <c r="E16" s="620" t="e">
        <f>#REF!+#REF!</f>
        <v>#REF!</v>
      </c>
      <c r="G16" s="586"/>
      <c r="H16" s="588"/>
      <c r="J16" s="492">
        <v>91381</v>
      </c>
      <c r="K16" s="492" t="s">
        <v>6400</v>
      </c>
      <c r="L16" s="492" t="s">
        <v>2987</v>
      </c>
      <c r="O16" s="465">
        <v>4590007772</v>
      </c>
      <c r="P16" s="467" t="s">
        <v>6346</v>
      </c>
      <c r="Q16" s="467" t="s">
        <v>6797</v>
      </c>
      <c r="R16" s="467" t="s">
        <v>3674</v>
      </c>
      <c r="S16" s="466" t="s">
        <v>3346</v>
      </c>
      <c r="U16" s="473" t="s">
        <v>3346</v>
      </c>
      <c r="V16" s="474" t="s">
        <v>4109</v>
      </c>
      <c r="W16" s="473" t="s">
        <v>3666</v>
      </c>
      <c r="X16" s="475" t="str">
        <f t="shared" si="0"/>
        <v>_00</v>
      </c>
      <c r="Y16" s="476">
        <f ca="1">IF(表格1_6[[#This Row],[PO$]]="","100%",表格1_6[[#This Row],[total amount]]/表格1_6[[#This Row],[PO$]])</f>
        <v>0</v>
      </c>
    </row>
    <row r="17" spans="1:25" ht="17.100000000000001">
      <c r="B17" s="475" t="s">
        <v>6798</v>
      </c>
      <c r="C17" s="596" t="s">
        <v>5900</v>
      </c>
      <c r="D17" s="607">
        <v>45562</v>
      </c>
      <c r="E17" s="619" t="e">
        <f>#REF!+#REF!</f>
        <v>#REF!</v>
      </c>
      <c r="G17" s="586"/>
      <c r="H17" s="588"/>
      <c r="J17" s="492">
        <v>91382</v>
      </c>
      <c r="K17" s="492" t="s">
        <v>6404</v>
      </c>
      <c r="L17" s="492" t="s">
        <v>2989</v>
      </c>
      <c r="O17" s="465">
        <v>4590007772</v>
      </c>
      <c r="P17" s="467" t="s">
        <v>6350</v>
      </c>
      <c r="Q17" s="467" t="s">
        <v>6799</v>
      </c>
      <c r="R17" s="467" t="s">
        <v>3674</v>
      </c>
      <c r="S17" s="466" t="s">
        <v>3370</v>
      </c>
      <c r="U17" s="482" t="s">
        <v>3370</v>
      </c>
      <c r="V17" s="478" t="s">
        <v>4109</v>
      </c>
      <c r="W17" s="482" t="s">
        <v>3666</v>
      </c>
      <c r="X17" s="480" t="str">
        <f t="shared" si="0"/>
        <v>_00</v>
      </c>
      <c r="Y17" s="481">
        <f ca="1">IF(表格1_6[[#This Row],[PO$]]="","100%",表格1_6[[#This Row],[total amount]]/表格1_6[[#This Row],[PO$]])</f>
        <v>0.95</v>
      </c>
    </row>
    <row r="18" spans="1:25" ht="17.100000000000001">
      <c r="B18" s="480" t="s">
        <v>6800</v>
      </c>
      <c r="C18" s="597" t="s">
        <v>5902</v>
      </c>
      <c r="D18" s="608">
        <v>45562</v>
      </c>
      <c r="E18" s="620" t="e">
        <f>#REF!+#REF!</f>
        <v>#REF!</v>
      </c>
      <c r="G18" s="586"/>
      <c r="H18" s="588"/>
      <c r="J18" s="492">
        <v>91383</v>
      </c>
      <c r="K18" s="492" t="s">
        <v>6408</v>
      </c>
      <c r="L18" s="492" t="s">
        <v>2991</v>
      </c>
      <c r="O18" s="465">
        <v>4590007772</v>
      </c>
      <c r="P18" s="467" t="s">
        <v>6354</v>
      </c>
      <c r="Q18" s="467" t="s">
        <v>6801</v>
      </c>
      <c r="R18" s="467" t="s">
        <v>3674</v>
      </c>
      <c r="S18" s="466" t="s">
        <v>3367</v>
      </c>
      <c r="U18" s="473" t="s">
        <v>3367</v>
      </c>
      <c r="V18" s="474" t="s">
        <v>4109</v>
      </c>
      <c r="W18" s="473" t="s">
        <v>3666</v>
      </c>
      <c r="X18" s="475" t="str">
        <f t="shared" ref="X18:X24" si="1">G17&amp;"_0"&amp;I17</f>
        <v>_0</v>
      </c>
      <c r="Y18" s="476">
        <f ca="1">IF(表格1_6[[#This Row],[PO$]]="","100%",表格1_6[[#This Row],[total amount]]/表格1_6[[#This Row],[PO$]])</f>
        <v>1</v>
      </c>
    </row>
    <row r="19" spans="1:25" ht="17.100000000000001">
      <c r="B19" s="475" t="s">
        <v>6802</v>
      </c>
      <c r="C19" s="596" t="s">
        <v>5904</v>
      </c>
      <c r="D19" s="607">
        <v>45562</v>
      </c>
      <c r="E19" s="619" t="e">
        <f>#REF!+#REF!</f>
        <v>#REF!</v>
      </c>
      <c r="G19" s="586"/>
      <c r="H19" s="588"/>
      <c r="J19" s="492">
        <v>91384</v>
      </c>
      <c r="K19" s="492" t="s">
        <v>6412</v>
      </c>
      <c r="L19" s="492" t="s">
        <v>2981</v>
      </c>
      <c r="O19" s="465">
        <v>4590007772</v>
      </c>
      <c r="P19" s="467" t="s">
        <v>6803</v>
      </c>
      <c r="Q19" s="467" t="s">
        <v>6804</v>
      </c>
      <c r="R19" s="467" t="s">
        <v>3674</v>
      </c>
      <c r="S19" s="466" t="s">
        <v>3356</v>
      </c>
      <c r="U19" s="482" t="s">
        <v>3356</v>
      </c>
      <c r="V19" s="478" t="s">
        <v>4109</v>
      </c>
      <c r="W19" s="482" t="s">
        <v>3666</v>
      </c>
      <c r="X19" s="480" t="str">
        <f t="shared" si="1"/>
        <v>_0</v>
      </c>
      <c r="Y19" s="481">
        <f ca="1">IF(表格1_6[[#This Row],[PO$]]="","100%",表格1_6[[#This Row],[total amount]]/表格1_6[[#This Row],[PO$]])</f>
        <v>0</v>
      </c>
    </row>
    <row r="20" spans="1:25" ht="17.100000000000001">
      <c r="B20" s="292"/>
      <c r="C20" s="292"/>
      <c r="G20" s="586"/>
      <c r="H20" s="588"/>
      <c r="J20" s="492">
        <v>91385</v>
      </c>
      <c r="K20" s="492" t="s">
        <v>6416</v>
      </c>
      <c r="L20" s="492" t="s">
        <v>2983</v>
      </c>
      <c r="O20" s="465">
        <v>4590007772</v>
      </c>
      <c r="P20" s="467" t="s">
        <v>6805</v>
      </c>
      <c r="Q20" s="467" t="s">
        <v>6806</v>
      </c>
      <c r="R20" s="467" t="s">
        <v>3674</v>
      </c>
      <c r="S20" s="466" t="s">
        <v>3359</v>
      </c>
      <c r="U20" s="473" t="s">
        <v>3359</v>
      </c>
      <c r="V20" s="474" t="s">
        <v>4109</v>
      </c>
      <c r="W20" s="473" t="s">
        <v>3666</v>
      </c>
      <c r="X20" s="475" t="str">
        <f t="shared" si="1"/>
        <v>_0</v>
      </c>
      <c r="Y20" s="476">
        <f ca="1">IF(表格1_6[[#This Row],[PO$]]="","100%",表格1_6[[#This Row],[total amount]]/表格1_6[[#This Row],[PO$]])</f>
        <v>0.95000000000000007</v>
      </c>
    </row>
    <row r="21" spans="1:25" ht="17.100000000000001">
      <c r="B21" s="292"/>
      <c r="C21" s="292"/>
      <c r="G21" s="586"/>
      <c r="H21" s="588"/>
      <c r="J21" s="492">
        <v>91391</v>
      </c>
      <c r="K21" s="492" t="s">
        <v>6420</v>
      </c>
      <c r="L21" s="492" t="s">
        <v>2993</v>
      </c>
      <c r="O21" s="465">
        <v>4590007772</v>
      </c>
      <c r="P21" s="467" t="s">
        <v>6807</v>
      </c>
      <c r="Q21" s="467" t="s">
        <v>6808</v>
      </c>
      <c r="R21" s="467" t="s">
        <v>3674</v>
      </c>
      <c r="S21" s="466" t="s">
        <v>3341</v>
      </c>
      <c r="U21" s="482" t="s">
        <v>3341</v>
      </c>
      <c r="V21" s="478" t="s">
        <v>4109</v>
      </c>
      <c r="W21" s="482" t="s">
        <v>3666</v>
      </c>
      <c r="X21" s="480" t="str">
        <f t="shared" si="1"/>
        <v>_0</v>
      </c>
      <c r="Y21" s="481">
        <f ca="1">IF(表格1_6[[#This Row],[PO$]]="","100%",表格1_6[[#This Row],[total amount]]/表格1_6[[#This Row],[PO$]])</f>
        <v>1</v>
      </c>
    </row>
    <row r="22" spans="1:25" ht="17.100000000000001">
      <c r="B22" s="292"/>
      <c r="C22" s="292"/>
      <c r="G22" s="586"/>
      <c r="H22" s="588"/>
      <c r="J22" s="492">
        <v>91392</v>
      </c>
      <c r="K22" s="492" t="s">
        <v>6424</v>
      </c>
      <c r="L22" s="492" t="s">
        <v>2985</v>
      </c>
      <c r="O22" s="465">
        <v>4590007772</v>
      </c>
      <c r="P22" s="467" t="s">
        <v>6809</v>
      </c>
      <c r="Q22" s="467" t="s">
        <v>6810</v>
      </c>
      <c r="R22" s="467" t="s">
        <v>3659</v>
      </c>
      <c r="S22" s="466" t="s">
        <v>3344</v>
      </c>
      <c r="U22" s="473" t="s">
        <v>3344</v>
      </c>
      <c r="V22" s="474" t="s">
        <v>4109</v>
      </c>
      <c r="W22" s="473" t="s">
        <v>3666</v>
      </c>
      <c r="X22" s="475" t="str">
        <f t="shared" si="1"/>
        <v>_0</v>
      </c>
      <c r="Y22" s="476">
        <f ca="1">IF(表格1_6[[#This Row],[PO$]]="","100%",表格1_6[[#This Row],[total amount]]/表格1_6[[#This Row],[PO$]])</f>
        <v>1</v>
      </c>
    </row>
    <row r="23" spans="1:25" ht="17.100000000000001">
      <c r="B23" s="292"/>
      <c r="C23" s="292"/>
      <c r="G23" s="586"/>
      <c r="H23" s="588"/>
      <c r="J23" s="492">
        <v>91237</v>
      </c>
      <c r="K23" s="492" t="s">
        <v>6429</v>
      </c>
      <c r="L23" s="492" t="s">
        <v>6428</v>
      </c>
      <c r="O23" s="465">
        <v>4590007772</v>
      </c>
      <c r="P23" s="467" t="s">
        <v>6366</v>
      </c>
      <c r="Q23" s="467" t="s">
        <v>6811</v>
      </c>
      <c r="R23" s="467" t="s">
        <v>3674</v>
      </c>
      <c r="S23" s="466" t="s">
        <v>3348</v>
      </c>
      <c r="U23" s="482" t="s">
        <v>3348</v>
      </c>
      <c r="V23" s="478" t="s">
        <v>4109</v>
      </c>
      <c r="W23" s="482" t="s">
        <v>3666</v>
      </c>
      <c r="X23" s="480" t="str">
        <f t="shared" si="1"/>
        <v>_0</v>
      </c>
      <c r="Y23" s="481">
        <f ca="1">IF(表格1_6[[#This Row],[PO$]]="","100%",表格1_6[[#This Row],[total amount]]/表格1_6[[#This Row],[PO$]])</f>
        <v>1</v>
      </c>
    </row>
    <row r="24" spans="1:25" ht="17.100000000000001">
      <c r="B24" s="292"/>
      <c r="C24" s="292"/>
      <c r="G24" s="586"/>
      <c r="H24" s="588"/>
      <c r="J24" s="492">
        <v>91423</v>
      </c>
      <c r="K24" s="492" t="s">
        <v>6434</v>
      </c>
      <c r="L24" s="492" t="s">
        <v>6433</v>
      </c>
      <c r="O24" s="465">
        <v>4590007772</v>
      </c>
      <c r="P24" s="467" t="s">
        <v>6370</v>
      </c>
      <c r="Q24" s="467" t="s">
        <v>6812</v>
      </c>
      <c r="R24" s="467" t="s">
        <v>3674</v>
      </c>
      <c r="S24" s="466" t="s">
        <v>3201</v>
      </c>
      <c r="U24" s="473" t="s">
        <v>3201</v>
      </c>
      <c r="V24" s="474" t="s">
        <v>4109</v>
      </c>
      <c r="W24" s="473" t="s">
        <v>3666</v>
      </c>
      <c r="X24" s="475" t="str">
        <f t="shared" si="1"/>
        <v>_0</v>
      </c>
      <c r="Y24" s="476">
        <f ca="1">IF(表格1_6[[#This Row],[PO$]]="","100%",表格1_6[[#This Row],[total amount]]/表格1_6[[#This Row],[PO$]])</f>
        <v>1</v>
      </c>
    </row>
    <row r="25" spans="1:25" ht="17.100000000000001">
      <c r="A25" s="645"/>
      <c r="B25" s="292"/>
      <c r="C25" s="292"/>
      <c r="G25" s="586"/>
      <c r="H25" s="588"/>
      <c r="J25" s="492">
        <v>91300</v>
      </c>
      <c r="K25" s="492" t="s">
        <v>6438</v>
      </c>
      <c r="L25" s="492" t="s">
        <v>3311</v>
      </c>
      <c r="P25" s="468"/>
      <c r="Q25" s="468"/>
      <c r="R25" s="468"/>
    </row>
    <row r="26" spans="1:25" ht="17.100000000000001">
      <c r="A26" s="646"/>
      <c r="B26" s="472"/>
      <c r="C26" s="472"/>
      <c r="G26" s="586"/>
      <c r="H26" s="588"/>
      <c r="J26" s="492">
        <v>91301</v>
      </c>
      <c r="K26" s="492" t="s">
        <v>6442</v>
      </c>
      <c r="L26" s="492" t="s">
        <v>3266</v>
      </c>
      <c r="P26" s="468"/>
      <c r="Q26" s="468"/>
      <c r="R26" s="468"/>
    </row>
    <row r="27" spans="1:25" ht="15.6">
      <c r="A27" s="646"/>
      <c r="E27" s="160"/>
      <c r="G27" s="586"/>
      <c r="H27" s="588"/>
      <c r="P27" s="468"/>
      <c r="Q27" s="468"/>
      <c r="R27" s="468"/>
    </row>
    <row r="28" spans="1:25" ht="15.6">
      <c r="A28" s="463"/>
      <c r="G28" s="586"/>
      <c r="H28" s="588"/>
      <c r="P28" s="468"/>
      <c r="Q28" s="468"/>
      <c r="R28" s="468"/>
    </row>
    <row r="29" spans="1:25" ht="15.6">
      <c r="A29" s="463"/>
      <c r="G29" s="586"/>
      <c r="H29" s="588"/>
      <c r="P29" s="468"/>
      <c r="Q29" s="468"/>
      <c r="R29" s="468"/>
    </row>
    <row r="30" spans="1:25" ht="15.6">
      <c r="A30" s="463"/>
      <c r="G30" s="586"/>
      <c r="H30" s="588"/>
      <c r="P30" s="468"/>
      <c r="Q30" s="468"/>
      <c r="R30" s="468"/>
    </row>
    <row r="31" spans="1:25" ht="15.6">
      <c r="A31" s="463"/>
      <c r="G31" s="586"/>
      <c r="H31" s="588"/>
      <c r="P31" s="468"/>
      <c r="Q31" s="468"/>
      <c r="R31" s="468"/>
    </row>
    <row r="32" spans="1:25" ht="15.6">
      <c r="A32" s="463"/>
      <c r="G32" s="586"/>
      <c r="H32" s="588"/>
      <c r="P32" s="468"/>
      <c r="Q32" s="468"/>
      <c r="R32" s="468"/>
    </row>
    <row r="33" spans="1:18" ht="15.6">
      <c r="A33" s="463"/>
      <c r="G33" s="586"/>
      <c r="H33" s="588"/>
      <c r="P33" s="468"/>
      <c r="Q33" s="468"/>
      <c r="R33" s="468"/>
    </row>
    <row r="34" spans="1:18" ht="15.6">
      <c r="A34" s="463"/>
      <c r="G34" s="586"/>
      <c r="H34" s="588"/>
      <c r="P34" s="468"/>
      <c r="Q34" s="468"/>
      <c r="R34" s="468"/>
    </row>
    <row r="35" spans="1:18" ht="15.6">
      <c r="A35" s="463"/>
      <c r="G35" s="586"/>
      <c r="H35" s="588"/>
      <c r="P35" s="468"/>
      <c r="Q35" s="468"/>
      <c r="R35" s="468"/>
    </row>
    <row r="36" spans="1:18" ht="15.6">
      <c r="A36" s="463"/>
      <c r="G36" s="586"/>
      <c r="H36" s="588"/>
      <c r="P36" s="468"/>
      <c r="Q36" s="468"/>
      <c r="R36" s="468"/>
    </row>
    <row r="37" spans="1:18" ht="15.6">
      <c r="A37" s="463"/>
      <c r="G37" s="586"/>
      <c r="H37" s="588"/>
      <c r="P37" s="468"/>
      <c r="Q37" s="468"/>
      <c r="R37" s="468"/>
    </row>
    <row r="38" spans="1:18" ht="15.6">
      <c r="A38" s="463"/>
      <c r="G38" s="586"/>
      <c r="H38" s="588"/>
      <c r="P38" s="468"/>
      <c r="Q38" s="468"/>
      <c r="R38" s="468"/>
    </row>
    <row r="39" spans="1:18" ht="15.6">
      <c r="A39" s="463"/>
      <c r="G39" s="586"/>
      <c r="H39" s="588"/>
      <c r="P39" s="468"/>
      <c r="Q39" s="468"/>
      <c r="R39" s="468"/>
    </row>
    <row r="40" spans="1:18" ht="15.6">
      <c r="A40" s="463"/>
      <c r="G40" s="586"/>
      <c r="H40" s="588"/>
      <c r="P40" s="468"/>
      <c r="Q40" s="468"/>
      <c r="R40" s="468"/>
    </row>
    <row r="41" spans="1:18" ht="15.6">
      <c r="A41" s="463"/>
      <c r="G41" s="586"/>
      <c r="H41" s="588"/>
      <c r="P41" s="468"/>
      <c r="Q41" s="468"/>
      <c r="R41" s="468"/>
    </row>
    <row r="42" spans="1:18" ht="15.6">
      <c r="A42" s="463"/>
      <c r="G42" s="586"/>
      <c r="H42" s="588"/>
      <c r="P42" s="468"/>
      <c r="Q42" s="468"/>
      <c r="R42" s="468"/>
    </row>
    <row r="43" spans="1:18" ht="15.6">
      <c r="A43" s="463"/>
      <c r="G43" s="586"/>
      <c r="H43" s="588"/>
      <c r="P43" s="468"/>
      <c r="Q43" s="468"/>
      <c r="R43" s="468"/>
    </row>
    <row r="44" spans="1:18" ht="15.6">
      <c r="A44" s="463"/>
      <c r="G44" s="586"/>
      <c r="H44" s="588"/>
      <c r="P44" s="468"/>
      <c r="Q44" s="468"/>
      <c r="R44" s="468"/>
    </row>
    <row r="45" spans="1:18" ht="15.6">
      <c r="A45" s="463"/>
      <c r="G45" s="586"/>
      <c r="H45" s="588"/>
      <c r="P45" s="468"/>
      <c r="Q45" s="468"/>
      <c r="R45" s="468"/>
    </row>
    <row r="46" spans="1:18" ht="15.6">
      <c r="A46" s="463"/>
      <c r="G46" s="586"/>
      <c r="H46" s="588"/>
      <c r="P46" s="468"/>
      <c r="Q46" s="468"/>
      <c r="R46" s="468"/>
    </row>
    <row r="47" spans="1:18" ht="15.6">
      <c r="A47" s="463"/>
      <c r="G47" s="586"/>
      <c r="H47" s="588"/>
      <c r="P47" s="468"/>
      <c r="Q47" s="468"/>
      <c r="R47" s="468"/>
    </row>
    <row r="48" spans="1:18" ht="15.6">
      <c r="A48" s="463"/>
      <c r="G48" s="586"/>
      <c r="H48" s="588"/>
      <c r="P48" s="468"/>
      <c r="Q48" s="468"/>
      <c r="R48" s="468"/>
    </row>
    <row r="49" spans="1:18" ht="15.6">
      <c r="A49" s="463"/>
      <c r="G49" s="586"/>
      <c r="H49" s="588"/>
      <c r="P49" s="468"/>
      <c r="Q49" s="468"/>
      <c r="R49" s="468"/>
    </row>
    <row r="50" spans="1:18" ht="15.6">
      <c r="A50" s="463"/>
      <c r="G50" s="586"/>
      <c r="H50" s="588"/>
      <c r="P50" s="468"/>
      <c r="Q50" s="468"/>
      <c r="R50" s="468"/>
    </row>
    <row r="51" spans="1:18" ht="15.6">
      <c r="A51" s="463"/>
      <c r="G51" s="586"/>
      <c r="H51" s="588"/>
      <c r="P51" s="468"/>
      <c r="Q51" s="468"/>
      <c r="R51" s="468"/>
    </row>
    <row r="52" spans="1:18" ht="15.6">
      <c r="A52" s="463"/>
      <c r="G52" s="586"/>
      <c r="H52" s="588"/>
      <c r="P52" s="468"/>
      <c r="Q52" s="468"/>
      <c r="R52" s="468"/>
    </row>
    <row r="53" spans="1:18" ht="15.6">
      <c r="A53" s="463"/>
      <c r="G53" s="586"/>
      <c r="H53" s="588"/>
      <c r="P53" s="468"/>
      <c r="Q53" s="468"/>
      <c r="R53" s="468"/>
    </row>
    <row r="54" spans="1:18" ht="15.6">
      <c r="A54" s="463"/>
      <c r="G54" s="586"/>
      <c r="H54" s="588"/>
      <c r="P54" s="468"/>
      <c r="Q54" s="468"/>
      <c r="R54" s="468"/>
    </row>
    <row r="55" spans="1:18" ht="15.6">
      <c r="A55" s="463"/>
      <c r="G55" s="586"/>
      <c r="H55" s="588"/>
      <c r="P55" s="468"/>
      <c r="Q55" s="468"/>
      <c r="R55" s="468"/>
    </row>
    <row r="56" spans="1:18" ht="15.6">
      <c r="A56" s="463"/>
      <c r="G56" s="586"/>
      <c r="H56" s="588"/>
      <c r="P56" s="468"/>
      <c r="Q56" s="468"/>
      <c r="R56" s="468"/>
    </row>
    <row r="57" spans="1:18" ht="15.6">
      <c r="A57" s="463"/>
      <c r="G57" s="586"/>
      <c r="H57" s="588"/>
      <c r="P57" s="468"/>
      <c r="Q57" s="468"/>
      <c r="R57" s="468"/>
    </row>
    <row r="58" spans="1:18" ht="15.6">
      <c r="A58" s="463"/>
      <c r="G58" s="586"/>
      <c r="H58" s="588"/>
      <c r="P58" s="468"/>
      <c r="Q58" s="468"/>
      <c r="R58" s="468"/>
    </row>
    <row r="59" spans="1:18" ht="15.6">
      <c r="A59" s="463"/>
      <c r="G59" s="586"/>
      <c r="H59" s="588"/>
      <c r="P59" s="468"/>
      <c r="Q59" s="468"/>
      <c r="R59" s="468"/>
    </row>
    <row r="60" spans="1:18" ht="15.6">
      <c r="A60" s="463"/>
      <c r="G60" s="586"/>
      <c r="H60" s="588"/>
      <c r="P60" s="468"/>
      <c r="Q60" s="468"/>
      <c r="R60" s="468"/>
    </row>
    <row r="61" spans="1:18" ht="15.6">
      <c r="A61" s="463"/>
      <c r="G61" s="586"/>
      <c r="H61" s="588"/>
      <c r="P61" s="468"/>
      <c r="Q61" s="468"/>
      <c r="R61" s="468"/>
    </row>
    <row r="62" spans="1:18" ht="15.6">
      <c r="A62" s="463"/>
      <c r="G62" s="586"/>
      <c r="H62" s="588"/>
      <c r="P62" s="468"/>
      <c r="Q62" s="468"/>
      <c r="R62" s="468"/>
    </row>
    <row r="63" spans="1:18" ht="15.6">
      <c r="G63" s="586"/>
      <c r="H63" s="588"/>
      <c r="P63" s="468"/>
      <c r="Q63" s="468"/>
      <c r="R63" s="468"/>
    </row>
    <row r="64" spans="1:18">
      <c r="P64" s="468"/>
      <c r="Q64" s="468"/>
      <c r="R64" s="468"/>
    </row>
    <row r="65" spans="16:18">
      <c r="P65" s="468"/>
      <c r="Q65" s="468"/>
      <c r="R65" s="468"/>
    </row>
    <row r="66" spans="16:18">
      <c r="P66" s="468"/>
      <c r="Q66" s="468"/>
      <c r="R66" s="468"/>
    </row>
    <row r="67" spans="16:18">
      <c r="P67" s="468"/>
      <c r="Q67" s="468"/>
      <c r="R67" s="468"/>
    </row>
    <row r="68" spans="16:18">
      <c r="P68" s="468"/>
      <c r="Q68" s="468"/>
      <c r="R68" s="468"/>
    </row>
    <row r="69" spans="16:18">
      <c r="P69" s="468"/>
      <c r="Q69" s="468"/>
      <c r="R69" s="468"/>
    </row>
    <row r="70" spans="16:18">
      <c r="P70" s="468"/>
      <c r="Q70" s="468"/>
      <c r="R70" s="468"/>
    </row>
    <row r="71" spans="16:18">
      <c r="P71" s="468"/>
      <c r="Q71" s="468"/>
      <c r="R71" s="468"/>
    </row>
    <row r="72" spans="16:18">
      <c r="P72" s="468"/>
      <c r="Q72" s="468"/>
      <c r="R72" s="468"/>
    </row>
    <row r="73" spans="16:18">
      <c r="P73" s="468"/>
      <c r="Q73" s="468"/>
      <c r="R73" s="468"/>
    </row>
    <row r="74" spans="16:18">
      <c r="P74" s="468"/>
      <c r="Q74" s="468"/>
      <c r="R74" s="468"/>
    </row>
    <row r="75" spans="16:18">
      <c r="P75" s="468"/>
      <c r="Q75" s="468"/>
      <c r="R75" s="468"/>
    </row>
    <row r="76" spans="16:18">
      <c r="P76" s="468"/>
      <c r="Q76" s="468"/>
      <c r="R76" s="468"/>
    </row>
    <row r="77" spans="16:18">
      <c r="P77" s="468"/>
      <c r="Q77" s="468"/>
      <c r="R77" s="468"/>
    </row>
    <row r="78" spans="16:18">
      <c r="P78" s="468"/>
      <c r="Q78" s="468"/>
      <c r="R78" s="468"/>
    </row>
    <row r="79" spans="16:18">
      <c r="P79" s="468"/>
      <c r="Q79" s="468"/>
      <c r="R79" s="468"/>
    </row>
    <row r="80" spans="16:18">
      <c r="P80" s="468"/>
      <c r="Q80" s="468"/>
      <c r="R80" s="468"/>
    </row>
    <row r="81" spans="16:18">
      <c r="P81" s="468"/>
      <c r="Q81" s="468"/>
      <c r="R81" s="468"/>
    </row>
    <row r="82" spans="16:18">
      <c r="P82" s="468"/>
      <c r="Q82" s="468"/>
      <c r="R82" s="468"/>
    </row>
    <row r="83" spans="16:18">
      <c r="P83" s="468"/>
      <c r="Q83" s="468"/>
      <c r="R83" s="468"/>
    </row>
    <row r="84" spans="16:18">
      <c r="P84" s="468"/>
      <c r="Q84" s="468"/>
      <c r="R84" s="468"/>
    </row>
    <row r="85" spans="16:18">
      <c r="P85" s="468"/>
      <c r="Q85" s="468"/>
      <c r="R85" s="468"/>
    </row>
    <row r="86" spans="16:18">
      <c r="P86" s="468"/>
      <c r="Q86" s="468"/>
      <c r="R86" s="468"/>
    </row>
    <row r="87" spans="16:18">
      <c r="P87" s="468"/>
      <c r="Q87" s="468"/>
      <c r="R87" s="468"/>
    </row>
    <row r="88" spans="16:18">
      <c r="P88" s="468"/>
      <c r="Q88" s="468"/>
      <c r="R88" s="468"/>
    </row>
    <row r="89" spans="16:18">
      <c r="P89" s="468"/>
      <c r="Q89" s="468"/>
      <c r="R89" s="468"/>
    </row>
    <row r="90" spans="16:18">
      <c r="P90" s="468"/>
      <c r="Q90" s="468"/>
      <c r="R90" s="468"/>
    </row>
    <row r="91" spans="16:18">
      <c r="P91" s="468"/>
      <c r="Q91" s="468"/>
      <c r="R91" s="468"/>
    </row>
    <row r="92" spans="16:18">
      <c r="P92" s="468"/>
      <c r="Q92" s="468"/>
      <c r="R92" s="468"/>
    </row>
    <row r="93" spans="16:18">
      <c r="P93" s="468"/>
      <c r="Q93" s="468"/>
      <c r="R93" s="468"/>
    </row>
    <row r="94" spans="16:18">
      <c r="P94" s="468"/>
      <c r="Q94" s="468"/>
      <c r="R94" s="468"/>
    </row>
    <row r="95" spans="16:18">
      <c r="P95" s="468"/>
      <c r="Q95" s="468"/>
      <c r="R95" s="468"/>
    </row>
    <row r="96" spans="16:18">
      <c r="P96" s="468"/>
      <c r="Q96" s="468"/>
      <c r="R96" s="468"/>
    </row>
    <row r="97" spans="16:18">
      <c r="P97" s="468"/>
      <c r="Q97" s="468"/>
      <c r="R97" s="468"/>
    </row>
    <row r="98" spans="16:18">
      <c r="P98" s="468"/>
      <c r="Q98" s="468"/>
      <c r="R98" s="468"/>
    </row>
    <row r="99" spans="16:18">
      <c r="P99" s="468"/>
      <c r="Q99" s="468"/>
      <c r="R99" s="468"/>
    </row>
    <row r="100" spans="16:18">
      <c r="P100" s="468"/>
      <c r="Q100" s="468"/>
      <c r="R100" s="468"/>
    </row>
    <row r="101" spans="16:18">
      <c r="P101" s="468"/>
      <c r="Q101" s="468"/>
      <c r="R101" s="468"/>
    </row>
    <row r="102" spans="16:18">
      <c r="P102" s="468"/>
      <c r="Q102" s="468"/>
      <c r="R102" s="468"/>
    </row>
    <row r="103" spans="16:18">
      <c r="P103" s="468"/>
      <c r="Q103" s="468"/>
      <c r="R103" s="468"/>
    </row>
    <row r="104" spans="16:18">
      <c r="P104" s="468"/>
      <c r="Q104" s="468"/>
      <c r="R104" s="468"/>
    </row>
    <row r="105" spans="16:18">
      <c r="P105" s="468"/>
      <c r="Q105" s="468"/>
      <c r="R105" s="468"/>
    </row>
    <row r="106" spans="16:18">
      <c r="P106" s="468"/>
      <c r="Q106" s="468"/>
      <c r="R106" s="468"/>
    </row>
    <row r="107" spans="16:18">
      <c r="P107" s="468"/>
      <c r="Q107" s="468"/>
      <c r="R107" s="468"/>
    </row>
    <row r="108" spans="16:18">
      <c r="P108" s="468"/>
      <c r="Q108" s="468"/>
      <c r="R108" s="468"/>
    </row>
    <row r="109" spans="16:18">
      <c r="P109" s="468"/>
      <c r="Q109" s="468"/>
      <c r="R109" s="468"/>
    </row>
    <row r="110" spans="16:18">
      <c r="P110" s="468"/>
      <c r="Q110" s="468"/>
      <c r="R110" s="468"/>
    </row>
    <row r="111" spans="16:18">
      <c r="P111" s="468"/>
      <c r="Q111" s="468"/>
      <c r="R111" s="468"/>
    </row>
    <row r="112" spans="16:18">
      <c r="P112" s="468"/>
      <c r="Q112" s="468"/>
      <c r="R112" s="468"/>
    </row>
    <row r="113" spans="16:18">
      <c r="P113" s="468"/>
      <c r="Q113" s="468"/>
      <c r="R113" s="468"/>
    </row>
    <row r="114" spans="16:18">
      <c r="P114" s="468"/>
      <c r="Q114" s="468"/>
      <c r="R114" s="468"/>
    </row>
    <row r="115" spans="16:18">
      <c r="P115" s="468"/>
      <c r="Q115" s="468"/>
      <c r="R115" s="468"/>
    </row>
    <row r="116" spans="16:18">
      <c r="P116" s="468"/>
      <c r="Q116" s="468"/>
      <c r="R116" s="468"/>
    </row>
    <row r="117" spans="16:18">
      <c r="P117" s="468"/>
      <c r="Q117" s="468"/>
      <c r="R117" s="468"/>
    </row>
    <row r="118" spans="16:18">
      <c r="P118" s="468"/>
      <c r="Q118" s="468"/>
      <c r="R118" s="468"/>
    </row>
    <row r="119" spans="16:18">
      <c r="P119" s="468"/>
      <c r="Q119" s="468"/>
      <c r="R119" s="468"/>
    </row>
    <row r="120" spans="16:18">
      <c r="P120" s="468"/>
      <c r="Q120" s="468"/>
      <c r="R120" s="468"/>
    </row>
    <row r="121" spans="16:18">
      <c r="P121" s="468"/>
      <c r="Q121" s="468"/>
      <c r="R121" s="468"/>
    </row>
    <row r="122" spans="16:18">
      <c r="P122" s="468"/>
      <c r="Q122" s="468"/>
      <c r="R122" s="468"/>
    </row>
    <row r="123" spans="16:18">
      <c r="P123" s="468"/>
      <c r="Q123" s="468"/>
      <c r="R123" s="468"/>
    </row>
    <row r="124" spans="16:18">
      <c r="P124" s="468"/>
      <c r="Q124" s="468"/>
      <c r="R124" s="468"/>
    </row>
    <row r="125" spans="16:18">
      <c r="P125" s="468"/>
      <c r="Q125" s="468"/>
      <c r="R125" s="468"/>
    </row>
    <row r="126" spans="16:18">
      <c r="P126" s="468"/>
      <c r="Q126" s="468"/>
      <c r="R126" s="468"/>
    </row>
    <row r="127" spans="16:18">
      <c r="P127" s="468"/>
      <c r="Q127" s="468"/>
      <c r="R127" s="468"/>
    </row>
    <row r="128" spans="16:18">
      <c r="P128" s="468"/>
      <c r="Q128" s="468"/>
      <c r="R128" s="468"/>
    </row>
    <row r="129" spans="16:18">
      <c r="P129" s="468"/>
      <c r="Q129" s="468"/>
      <c r="R129" s="468"/>
    </row>
    <row r="130" spans="16:18">
      <c r="P130" s="468"/>
      <c r="Q130" s="468"/>
      <c r="R130" s="468"/>
    </row>
    <row r="131" spans="16:18">
      <c r="P131" s="468"/>
      <c r="Q131" s="468"/>
      <c r="R131" s="468"/>
    </row>
    <row r="132" spans="16:18">
      <c r="P132" s="468"/>
      <c r="Q132" s="468"/>
      <c r="R132" s="468"/>
    </row>
    <row r="133" spans="16:18">
      <c r="P133" s="468"/>
      <c r="Q133" s="468"/>
      <c r="R133" s="468"/>
    </row>
    <row r="134" spans="16:18">
      <c r="P134" s="468"/>
      <c r="Q134" s="468"/>
      <c r="R134" s="468"/>
    </row>
    <row r="135" spans="16:18">
      <c r="P135" s="468"/>
      <c r="Q135" s="468"/>
      <c r="R135" s="468"/>
    </row>
    <row r="136" spans="16:18">
      <c r="P136" s="468"/>
      <c r="Q136" s="468"/>
      <c r="R136" s="468"/>
    </row>
    <row r="137" spans="16:18">
      <c r="P137" s="468"/>
      <c r="Q137" s="468"/>
      <c r="R137" s="468"/>
    </row>
    <row r="138" spans="16:18">
      <c r="P138" s="468"/>
      <c r="Q138" s="468"/>
      <c r="R138" s="468"/>
    </row>
    <row r="139" spans="16:18">
      <c r="P139" s="468"/>
      <c r="Q139" s="468"/>
      <c r="R139" s="468"/>
    </row>
    <row r="140" spans="16:18">
      <c r="P140" s="468"/>
      <c r="Q140" s="468"/>
      <c r="R140" s="468"/>
    </row>
    <row r="141" spans="16:18">
      <c r="P141" s="468"/>
      <c r="Q141" s="468"/>
      <c r="R141" s="468"/>
    </row>
    <row r="142" spans="16:18">
      <c r="P142" s="468"/>
      <c r="Q142" s="468"/>
      <c r="R142" s="468"/>
    </row>
    <row r="143" spans="16:18">
      <c r="P143" s="468"/>
      <c r="Q143" s="468"/>
      <c r="R143" s="468"/>
    </row>
    <row r="144" spans="16:18">
      <c r="P144" s="468"/>
      <c r="Q144" s="468"/>
      <c r="R144" s="468"/>
    </row>
    <row r="145" spans="16:18">
      <c r="P145" s="468"/>
      <c r="Q145" s="468"/>
      <c r="R145" s="468"/>
    </row>
    <row r="146" spans="16:18">
      <c r="P146" s="468"/>
      <c r="Q146" s="468"/>
      <c r="R146" s="468"/>
    </row>
    <row r="147" spans="16:18">
      <c r="P147" s="468"/>
      <c r="Q147" s="468"/>
      <c r="R147" s="468"/>
    </row>
    <row r="148" spans="16:18">
      <c r="P148" s="468"/>
      <c r="Q148" s="468"/>
      <c r="R148" s="468"/>
    </row>
    <row r="149" spans="16:18">
      <c r="P149" s="468"/>
      <c r="Q149" s="468"/>
      <c r="R149" s="468"/>
    </row>
    <row r="150" spans="16:18">
      <c r="P150" s="468"/>
      <c r="Q150" s="468"/>
      <c r="R150" s="468"/>
    </row>
    <row r="151" spans="16:18">
      <c r="P151" s="468"/>
      <c r="Q151" s="468"/>
      <c r="R151" s="468"/>
    </row>
    <row r="152" spans="16:18">
      <c r="P152" s="468"/>
      <c r="Q152" s="468"/>
      <c r="R152" s="468"/>
    </row>
    <row r="153" spans="16:18">
      <c r="P153" s="468"/>
      <c r="Q153" s="468"/>
      <c r="R153" s="468"/>
    </row>
    <row r="154" spans="16:18">
      <c r="P154" s="468"/>
      <c r="Q154" s="468"/>
      <c r="R154" s="468"/>
    </row>
    <row r="155" spans="16:18">
      <c r="P155" s="468"/>
      <c r="Q155" s="468"/>
      <c r="R155" s="468"/>
    </row>
    <row r="156" spans="16:18">
      <c r="P156" s="468"/>
      <c r="Q156" s="468"/>
      <c r="R156" s="468"/>
    </row>
  </sheetData>
  <sortState xmlns:xlrd2="http://schemas.microsoft.com/office/spreadsheetml/2017/richdata2" ref="G2:G13">
    <sortCondition ref="G2:G13"/>
  </sortState>
  <phoneticPr fontId="14" type="noConversion"/>
  <conditionalFormatting sqref="A1:A6">
    <cfRule type="duplicateValues" dxfId="39" priority="7"/>
  </conditionalFormatting>
  <conditionalFormatting sqref="A7:A11">
    <cfRule type="duplicateValues" dxfId="38" priority="5"/>
    <cfRule type="duplicateValues" dxfId="37" priority="6"/>
  </conditionalFormatting>
  <conditionalFormatting sqref="A28:A62">
    <cfRule type="containsErrors" dxfId="36" priority="18">
      <formula>ISERROR(A28)</formula>
    </cfRule>
  </conditionalFormatting>
  <conditionalFormatting sqref="B1:B19">
    <cfRule type="duplicateValues" dxfId="35" priority="2"/>
    <cfRule type="expression" dxfId="34" priority="3">
      <formula>ISNUMBER(SEARCH("刪除線",B1:BC1133))</formula>
    </cfRule>
  </conditionalFormatting>
  <conditionalFormatting sqref="C1:C19">
    <cfRule type="duplicateValues" dxfId="33" priority="1"/>
  </conditionalFormatting>
  <conditionalFormatting sqref="C26">
    <cfRule type="duplicateValues" dxfId="32" priority="3810"/>
  </conditionalFormatting>
  <conditionalFormatting sqref="G1:G13">
    <cfRule type="duplicateValues" dxfId="31" priority="4"/>
  </conditionalFormatting>
  <conditionalFormatting sqref="X2:X24">
    <cfRule type="duplicateValues" dxfId="30" priority="15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7B744-50EB-4457-8F1B-8E7DA240F34C}">
  <dimension ref="A1:I1164"/>
  <sheetViews>
    <sheetView workbookViewId="0">
      <selection sqref="A1:XFD1048576"/>
    </sheetView>
  </sheetViews>
  <sheetFormatPr defaultRowHeight="15" customHeight="1" outlineLevelCol="1"/>
  <cols>
    <col min="1" max="5" width="9.140625" customWidth="1"/>
    <col min="6" max="6" width="4" hidden="1" customWidth="1" outlineLevel="1"/>
    <col min="7" max="7" width="44" hidden="1" customWidth="1" outlineLevel="1"/>
    <col min="8" max="8" width="64.28515625" hidden="1" customWidth="1" outlineLevel="1"/>
    <col min="9" max="9" width="9.140625" customWidth="1" collapsed="1"/>
  </cols>
  <sheetData>
    <row r="1" spans="1:9" ht="26.1">
      <c r="A1" s="503" t="s">
        <v>6813</v>
      </c>
      <c r="B1" s="503" t="s">
        <v>6814</v>
      </c>
      <c r="C1" s="504" t="s">
        <v>3604</v>
      </c>
      <c r="D1" s="504" t="s">
        <v>6815</v>
      </c>
      <c r="E1" s="503" t="s">
        <v>6816</v>
      </c>
      <c r="F1" s="504" t="s">
        <v>6817</v>
      </c>
      <c r="G1" s="504" t="s">
        <v>6818</v>
      </c>
      <c r="H1" s="503" t="s">
        <v>6819</v>
      </c>
      <c r="I1" s="505" t="s">
        <v>6820</v>
      </c>
    </row>
    <row r="2" spans="1:9" ht="14.45">
      <c r="A2" s="495">
        <v>73845</v>
      </c>
      <c r="B2" s="493" t="s">
        <v>3888</v>
      </c>
      <c r="C2" s="493" t="s">
        <v>3674</v>
      </c>
      <c r="D2" s="493" t="s">
        <v>2250</v>
      </c>
      <c r="E2" s="493" t="s">
        <v>3875</v>
      </c>
      <c r="F2" s="493" t="s">
        <v>6821</v>
      </c>
      <c r="G2" s="493" t="s">
        <v>6822</v>
      </c>
      <c r="H2" s="493" t="s">
        <v>6823</v>
      </c>
      <c r="I2" s="501" t="s">
        <v>6824</v>
      </c>
    </row>
    <row r="3" spans="1:9" ht="14.45">
      <c r="A3" s="493">
        <v>73848</v>
      </c>
      <c r="B3" s="493" t="s">
        <v>3892</v>
      </c>
      <c r="C3" s="493" t="s">
        <v>3674</v>
      </c>
      <c r="D3" s="493" t="s">
        <v>2250</v>
      </c>
      <c r="E3" s="493" t="s">
        <v>3875</v>
      </c>
      <c r="F3" s="493" t="s">
        <v>6821</v>
      </c>
      <c r="G3" s="493" t="s">
        <v>6825</v>
      </c>
      <c r="H3" s="493" t="s">
        <v>6823</v>
      </c>
      <c r="I3" s="501" t="s">
        <v>6824</v>
      </c>
    </row>
    <row r="4" spans="1:9" ht="14.45">
      <c r="A4" s="495">
        <v>90420</v>
      </c>
      <c r="B4" s="493" t="s">
        <v>3730</v>
      </c>
      <c r="C4" s="493" t="s">
        <v>3674</v>
      </c>
      <c r="D4" s="493" t="s">
        <v>3718</v>
      </c>
      <c r="E4" s="493" t="s">
        <v>3719</v>
      </c>
      <c r="F4" s="493" t="s">
        <v>6821</v>
      </c>
      <c r="G4" s="493" t="s">
        <v>6826</v>
      </c>
      <c r="H4" s="493" t="s">
        <v>6823</v>
      </c>
      <c r="I4" s="501" t="s">
        <v>6827</v>
      </c>
    </row>
    <row r="5" spans="1:9" ht="14.45">
      <c r="A5" s="493">
        <v>90419</v>
      </c>
      <c r="B5" s="493" t="s">
        <v>3733</v>
      </c>
      <c r="C5" s="493" t="s">
        <v>3674</v>
      </c>
      <c r="D5" s="493" t="s">
        <v>3718</v>
      </c>
      <c r="E5" s="493" t="s">
        <v>3719</v>
      </c>
      <c r="F5" s="493" t="s">
        <v>6821</v>
      </c>
      <c r="G5" s="493" t="s">
        <v>6828</v>
      </c>
      <c r="H5" s="493" t="s">
        <v>6823</v>
      </c>
      <c r="I5" s="501" t="s">
        <v>6827</v>
      </c>
    </row>
    <row r="6" spans="1:9" ht="14.45">
      <c r="A6" s="495">
        <v>90307</v>
      </c>
      <c r="B6" s="493" t="s">
        <v>3937</v>
      </c>
      <c r="C6" s="493" t="s">
        <v>3674</v>
      </c>
      <c r="D6" s="493" t="s">
        <v>3900</v>
      </c>
      <c r="E6" s="493" t="s">
        <v>3875</v>
      </c>
      <c r="F6" s="493" t="s">
        <v>6821</v>
      </c>
      <c r="G6" s="493" t="s">
        <v>6829</v>
      </c>
      <c r="H6" s="493" t="s">
        <v>6830</v>
      </c>
      <c r="I6" s="501" t="s">
        <v>6831</v>
      </c>
    </row>
    <row r="7" spans="1:9" ht="14.45">
      <c r="A7" s="493">
        <v>90308</v>
      </c>
      <c r="B7" s="493" t="s">
        <v>3947</v>
      </c>
      <c r="C7" s="493" t="s">
        <v>3674</v>
      </c>
      <c r="D7" s="493" t="s">
        <v>3900</v>
      </c>
      <c r="E7" s="493" t="s">
        <v>3875</v>
      </c>
      <c r="F7" s="493" t="s">
        <v>6821</v>
      </c>
      <c r="G7" s="493" t="s">
        <v>6832</v>
      </c>
      <c r="H7" s="493" t="s">
        <v>6830</v>
      </c>
      <c r="I7" s="501" t="s">
        <v>6831</v>
      </c>
    </row>
    <row r="8" spans="1:9" ht="14.45">
      <c r="A8" s="495">
        <v>90431</v>
      </c>
      <c r="B8" s="493" t="s">
        <v>3721</v>
      </c>
      <c r="C8" s="493" t="s">
        <v>3674</v>
      </c>
      <c r="D8" s="493" t="s">
        <v>3718</v>
      </c>
      <c r="E8" s="493" t="s">
        <v>3719</v>
      </c>
      <c r="F8" s="493" t="s">
        <v>6821</v>
      </c>
      <c r="G8" s="493" t="s">
        <v>6833</v>
      </c>
      <c r="H8" s="493" t="s">
        <v>6830</v>
      </c>
      <c r="I8" s="501" t="s">
        <v>6827</v>
      </c>
    </row>
    <row r="9" spans="1:9" ht="14.45">
      <c r="A9" s="493">
        <v>90430</v>
      </c>
      <c r="B9" s="493" t="s">
        <v>3723</v>
      </c>
      <c r="C9" s="493" t="s">
        <v>3674</v>
      </c>
      <c r="D9" s="493" t="s">
        <v>3718</v>
      </c>
      <c r="E9" s="493" t="s">
        <v>3719</v>
      </c>
      <c r="F9" s="493" t="s">
        <v>6821</v>
      </c>
      <c r="G9" s="493" t="s">
        <v>6834</v>
      </c>
      <c r="H9" s="493" t="s">
        <v>6830</v>
      </c>
      <c r="I9" s="501" t="s">
        <v>6827</v>
      </c>
    </row>
    <row r="10" spans="1:9" ht="14.45">
      <c r="A10" s="493">
        <v>90309</v>
      </c>
      <c r="B10" s="493" t="s">
        <v>3943</v>
      </c>
      <c r="C10" s="493" t="s">
        <v>3674</v>
      </c>
      <c r="D10" s="493" t="s">
        <v>3900</v>
      </c>
      <c r="E10" s="493" t="s">
        <v>3875</v>
      </c>
      <c r="F10" s="493" t="s">
        <v>6821</v>
      </c>
      <c r="G10" s="493" t="s">
        <v>6835</v>
      </c>
      <c r="H10" s="493" t="s">
        <v>6836</v>
      </c>
      <c r="I10" s="501" t="s">
        <v>6837</v>
      </c>
    </row>
    <row r="11" spans="1:9" ht="14.45">
      <c r="A11" s="493">
        <v>90310</v>
      </c>
      <c r="B11" s="493" t="s">
        <v>3965</v>
      </c>
      <c r="C11" s="493" t="s">
        <v>3674</v>
      </c>
      <c r="D11" s="493" t="s">
        <v>3900</v>
      </c>
      <c r="E11" s="493" t="s">
        <v>3875</v>
      </c>
      <c r="F11" s="493" t="s">
        <v>6821</v>
      </c>
      <c r="G11" s="493" t="s">
        <v>6838</v>
      </c>
      <c r="H11" s="493" t="s">
        <v>6836</v>
      </c>
      <c r="I11" s="501" t="s">
        <v>6837</v>
      </c>
    </row>
    <row r="12" spans="1:9" ht="14.45">
      <c r="A12" s="493">
        <v>90429</v>
      </c>
      <c r="B12" s="493" t="s">
        <v>5502</v>
      </c>
      <c r="C12" s="493" t="s">
        <v>3674</v>
      </c>
      <c r="D12" s="493" t="s">
        <v>3718</v>
      </c>
      <c r="E12" s="493" t="s">
        <v>3719</v>
      </c>
      <c r="F12" s="493" t="s">
        <v>6821</v>
      </c>
      <c r="G12" s="493" t="s">
        <v>6839</v>
      </c>
      <c r="H12" s="493" t="s">
        <v>6836</v>
      </c>
      <c r="I12" s="501" t="s">
        <v>6827</v>
      </c>
    </row>
    <row r="13" spans="1:9" ht="14.45">
      <c r="A13" s="493">
        <v>90428</v>
      </c>
      <c r="B13" s="493" t="s">
        <v>5504</v>
      </c>
      <c r="C13" s="493" t="s">
        <v>3674</v>
      </c>
      <c r="D13" s="493" t="s">
        <v>3718</v>
      </c>
      <c r="E13" s="493" t="s">
        <v>3719</v>
      </c>
      <c r="F13" s="493" t="s">
        <v>6821</v>
      </c>
      <c r="G13" s="493" t="s">
        <v>6840</v>
      </c>
      <c r="H13" s="493" t="s">
        <v>6836</v>
      </c>
      <c r="I13" s="501" t="s">
        <v>6827</v>
      </c>
    </row>
    <row r="14" spans="1:9" ht="14.45">
      <c r="A14" s="495">
        <v>90312</v>
      </c>
      <c r="B14" s="493" t="s">
        <v>3970</v>
      </c>
      <c r="C14" s="493" t="s">
        <v>3674</v>
      </c>
      <c r="D14" s="493" t="s">
        <v>3900</v>
      </c>
      <c r="E14" s="493" t="s">
        <v>3875</v>
      </c>
      <c r="F14" s="493" t="s">
        <v>6821</v>
      </c>
      <c r="G14" s="493" t="s">
        <v>6841</v>
      </c>
      <c r="H14" s="493" t="s">
        <v>6842</v>
      </c>
      <c r="I14" s="501" t="s">
        <v>6843</v>
      </c>
    </row>
    <row r="15" spans="1:9" ht="14.45">
      <c r="A15" s="495">
        <v>90427</v>
      </c>
      <c r="B15" s="493" t="s">
        <v>3754</v>
      </c>
      <c r="C15" s="493" t="s">
        <v>3674</v>
      </c>
      <c r="D15" s="493" t="s">
        <v>3718</v>
      </c>
      <c r="E15" s="493" t="s">
        <v>3719</v>
      </c>
      <c r="F15" s="493" t="s">
        <v>6821</v>
      </c>
      <c r="G15" s="493" t="s">
        <v>6844</v>
      </c>
      <c r="H15" s="493" t="s">
        <v>6842</v>
      </c>
      <c r="I15" s="501" t="s">
        <v>6845</v>
      </c>
    </row>
    <row r="16" spans="1:9" ht="14.45">
      <c r="A16" s="493">
        <v>90313</v>
      </c>
      <c r="B16" s="493" t="s">
        <v>3977</v>
      </c>
      <c r="C16" s="493" t="s">
        <v>3674</v>
      </c>
      <c r="D16" s="493" t="s">
        <v>3900</v>
      </c>
      <c r="E16" s="493" t="s">
        <v>3875</v>
      </c>
      <c r="F16" s="493" t="s">
        <v>6821</v>
      </c>
      <c r="G16" s="493" t="s">
        <v>6846</v>
      </c>
      <c r="H16" s="493" t="s">
        <v>6847</v>
      </c>
      <c r="I16" s="501" t="s">
        <v>6848</v>
      </c>
    </row>
    <row r="17" spans="1:9" ht="14.45">
      <c r="A17" s="493">
        <v>90314</v>
      </c>
      <c r="B17" s="493" t="s">
        <v>3903</v>
      </c>
      <c r="C17" s="493" t="s">
        <v>3674</v>
      </c>
      <c r="D17" s="493" t="s">
        <v>3900</v>
      </c>
      <c r="E17" s="493" t="s">
        <v>3875</v>
      </c>
      <c r="F17" s="493" t="s">
        <v>6821</v>
      </c>
      <c r="G17" s="493" t="s">
        <v>6849</v>
      </c>
      <c r="H17" s="493" t="s">
        <v>6847</v>
      </c>
      <c r="I17" s="501" t="s">
        <v>6848</v>
      </c>
    </row>
    <row r="18" spans="1:9" ht="14.45">
      <c r="A18" s="493">
        <v>90605</v>
      </c>
      <c r="B18" s="493" t="s">
        <v>4118</v>
      </c>
      <c r="C18" s="493" t="s">
        <v>3674</v>
      </c>
      <c r="D18" s="493" t="s">
        <v>3718</v>
      </c>
      <c r="E18" s="493" t="s">
        <v>3719</v>
      </c>
      <c r="F18" s="493" t="s">
        <v>6821</v>
      </c>
      <c r="G18" s="493" t="s">
        <v>6850</v>
      </c>
      <c r="H18" s="493" t="s">
        <v>6847</v>
      </c>
      <c r="I18" s="501" t="s">
        <v>6851</v>
      </c>
    </row>
    <row r="19" spans="1:9" ht="14.45">
      <c r="A19" s="493">
        <v>90606</v>
      </c>
      <c r="B19" s="493" t="s">
        <v>5366</v>
      </c>
      <c r="C19" s="493" t="s">
        <v>3674</v>
      </c>
      <c r="D19" s="493" t="s">
        <v>3718</v>
      </c>
      <c r="E19" s="493" t="s">
        <v>3719</v>
      </c>
      <c r="F19" s="493" t="s">
        <v>6821</v>
      </c>
      <c r="G19" s="493" t="s">
        <v>6852</v>
      </c>
      <c r="H19" s="493" t="s">
        <v>6847</v>
      </c>
      <c r="I19" s="501" t="s">
        <v>6851</v>
      </c>
    </row>
    <row r="20" spans="1:9" ht="14.45">
      <c r="A20" s="493">
        <v>90315</v>
      </c>
      <c r="B20" s="493" t="s">
        <v>3956</v>
      </c>
      <c r="C20" s="493" t="s">
        <v>3674</v>
      </c>
      <c r="D20" s="493" t="s">
        <v>3900</v>
      </c>
      <c r="E20" s="493" t="s">
        <v>3875</v>
      </c>
      <c r="F20" s="493" t="s">
        <v>6821</v>
      </c>
      <c r="G20" s="493" t="s">
        <v>6853</v>
      </c>
      <c r="H20" s="493" t="s">
        <v>6854</v>
      </c>
      <c r="I20" s="501" t="s">
        <v>6855</v>
      </c>
    </row>
    <row r="21" spans="1:9" ht="14.45">
      <c r="A21" s="493">
        <v>90426</v>
      </c>
      <c r="B21" s="493" t="s">
        <v>3756</v>
      </c>
      <c r="C21" s="493" t="s">
        <v>3674</v>
      </c>
      <c r="D21" s="493" t="s">
        <v>3718</v>
      </c>
      <c r="E21" s="493" t="s">
        <v>3719</v>
      </c>
      <c r="F21" s="493" t="s">
        <v>6821</v>
      </c>
      <c r="G21" s="493" t="s">
        <v>6856</v>
      </c>
      <c r="H21" s="493" t="s">
        <v>6854</v>
      </c>
      <c r="I21" s="501" t="s">
        <v>6857</v>
      </c>
    </row>
    <row r="22" spans="1:9" ht="14.45">
      <c r="A22" s="495">
        <v>90424</v>
      </c>
      <c r="B22" s="493" t="s">
        <v>5276</v>
      </c>
      <c r="C22" s="493" t="s">
        <v>3674</v>
      </c>
      <c r="D22" s="493" t="s">
        <v>3718</v>
      </c>
      <c r="E22" s="493" t="s">
        <v>3719</v>
      </c>
      <c r="F22" s="493" t="s">
        <v>6821</v>
      </c>
      <c r="G22" s="493" t="s">
        <v>6858</v>
      </c>
      <c r="H22" s="493" t="s">
        <v>6859</v>
      </c>
      <c r="I22" s="501" t="s">
        <v>6860</v>
      </c>
    </row>
    <row r="23" spans="1:9" ht="14.45">
      <c r="A23" s="493">
        <v>90423</v>
      </c>
      <c r="B23" s="493" t="s">
        <v>5279</v>
      </c>
      <c r="C23" s="493" t="s">
        <v>3674</v>
      </c>
      <c r="D23" s="493" t="s">
        <v>3718</v>
      </c>
      <c r="E23" s="493" t="s">
        <v>3719</v>
      </c>
      <c r="F23" s="493" t="s">
        <v>6821</v>
      </c>
      <c r="G23" s="493" t="s">
        <v>6861</v>
      </c>
      <c r="H23" s="493" t="s">
        <v>6859</v>
      </c>
      <c r="I23" s="501" t="s">
        <v>6860</v>
      </c>
    </row>
    <row r="24" spans="1:9" ht="14.45">
      <c r="A24" s="493">
        <v>90422</v>
      </c>
      <c r="B24" s="493" t="s">
        <v>3845</v>
      </c>
      <c r="C24" s="493" t="s">
        <v>3674</v>
      </c>
      <c r="D24" s="493" t="s">
        <v>3718</v>
      </c>
      <c r="E24" s="493" t="s">
        <v>3719</v>
      </c>
      <c r="F24" s="493" t="s">
        <v>6821</v>
      </c>
      <c r="G24" s="493" t="s">
        <v>6862</v>
      </c>
      <c r="H24" s="493" t="s">
        <v>6859</v>
      </c>
      <c r="I24" s="501" t="s">
        <v>6863</v>
      </c>
    </row>
    <row r="25" spans="1:9" ht="14.45">
      <c r="A25" s="493">
        <v>90417</v>
      </c>
      <c r="B25" s="493" t="s">
        <v>3848</v>
      </c>
      <c r="C25" s="493" t="s">
        <v>3674</v>
      </c>
      <c r="D25" s="493" t="s">
        <v>3718</v>
      </c>
      <c r="E25" s="493" t="s">
        <v>3719</v>
      </c>
      <c r="F25" s="493" t="s">
        <v>6821</v>
      </c>
      <c r="G25" s="493" t="s">
        <v>6864</v>
      </c>
      <c r="H25" s="493" t="s">
        <v>6859</v>
      </c>
      <c r="I25" s="501" t="s">
        <v>6863</v>
      </c>
    </row>
    <row r="26" spans="1:9" ht="14.45">
      <c r="A26" s="493">
        <v>90418</v>
      </c>
      <c r="B26" s="493" t="s">
        <v>3843</v>
      </c>
      <c r="C26" s="493" t="s">
        <v>3674</v>
      </c>
      <c r="D26" s="493" t="s">
        <v>3718</v>
      </c>
      <c r="E26" s="493" t="s">
        <v>3719</v>
      </c>
      <c r="F26" s="493" t="s">
        <v>6821</v>
      </c>
      <c r="G26" s="493" t="s">
        <v>6865</v>
      </c>
      <c r="H26" s="493" t="s">
        <v>6859</v>
      </c>
      <c r="I26" s="501" t="s">
        <v>6863</v>
      </c>
    </row>
    <row r="27" spans="1:9" ht="14.45">
      <c r="A27" s="493">
        <v>90830</v>
      </c>
      <c r="B27" s="493" t="s">
        <v>4123</v>
      </c>
      <c r="C27" s="493" t="s">
        <v>3674</v>
      </c>
      <c r="D27" s="493" t="s">
        <v>3718</v>
      </c>
      <c r="E27" s="493" t="s">
        <v>3919</v>
      </c>
      <c r="F27" s="493" t="s">
        <v>6821</v>
      </c>
      <c r="G27" s="493" t="s">
        <v>6866</v>
      </c>
      <c r="H27" s="493" t="s">
        <v>6867</v>
      </c>
      <c r="I27" s="501" t="s">
        <v>6868</v>
      </c>
    </row>
    <row r="28" spans="1:9" ht="14.45">
      <c r="A28" s="493">
        <v>90831</v>
      </c>
      <c r="B28" s="493" t="s">
        <v>4744</v>
      </c>
      <c r="C28" s="493" t="s">
        <v>3674</v>
      </c>
      <c r="D28" s="493" t="s">
        <v>3718</v>
      </c>
      <c r="E28" s="493" t="s">
        <v>3919</v>
      </c>
      <c r="F28" s="493" t="s">
        <v>6821</v>
      </c>
      <c r="G28" s="493" t="s">
        <v>6869</v>
      </c>
      <c r="H28" s="493" t="s">
        <v>6867</v>
      </c>
      <c r="I28" s="501" t="s">
        <v>6868</v>
      </c>
    </row>
    <row r="29" spans="1:9" ht="14.45">
      <c r="A29" s="493">
        <v>90433</v>
      </c>
      <c r="B29" s="493" t="s">
        <v>5267</v>
      </c>
      <c r="C29" s="493" t="s">
        <v>3674</v>
      </c>
      <c r="D29" s="493" t="s">
        <v>3718</v>
      </c>
      <c r="E29" s="493" t="s">
        <v>3719</v>
      </c>
      <c r="F29" s="493" t="s">
        <v>6821</v>
      </c>
      <c r="G29" s="493" t="s">
        <v>6870</v>
      </c>
      <c r="H29" s="493" t="s">
        <v>6871</v>
      </c>
      <c r="I29" s="501" t="s">
        <v>6872</v>
      </c>
    </row>
    <row r="30" spans="1:9" ht="14.45">
      <c r="A30" s="493">
        <v>90432</v>
      </c>
      <c r="B30" s="493" t="s">
        <v>5269</v>
      </c>
      <c r="C30" s="493" t="s">
        <v>3659</v>
      </c>
      <c r="D30" s="493" t="s">
        <v>3718</v>
      </c>
      <c r="E30" s="493" t="s">
        <v>3719</v>
      </c>
      <c r="F30" s="493" t="s">
        <v>6821</v>
      </c>
      <c r="G30" s="493" t="s">
        <v>6873</v>
      </c>
      <c r="H30" s="493" t="s">
        <v>6871</v>
      </c>
      <c r="I30" s="501" t="s">
        <v>6872</v>
      </c>
    </row>
    <row r="31" spans="1:9" ht="14.45">
      <c r="A31" s="493">
        <v>90434</v>
      </c>
      <c r="B31" s="493" t="s">
        <v>5271</v>
      </c>
      <c r="C31" s="493" t="s">
        <v>3674</v>
      </c>
      <c r="D31" s="493" t="s">
        <v>3718</v>
      </c>
      <c r="E31" s="493" t="s">
        <v>3719</v>
      </c>
      <c r="F31" s="493" t="s">
        <v>6821</v>
      </c>
      <c r="G31" s="493" t="s">
        <v>6874</v>
      </c>
      <c r="H31" s="493" t="s">
        <v>6875</v>
      </c>
      <c r="I31" s="501" t="s">
        <v>6876</v>
      </c>
    </row>
    <row r="32" spans="1:9" ht="14.45">
      <c r="A32" s="493">
        <v>90832</v>
      </c>
      <c r="B32" s="493" t="s">
        <v>4733</v>
      </c>
      <c r="C32" s="493" t="s">
        <v>3674</v>
      </c>
      <c r="D32" s="493" t="s">
        <v>3718</v>
      </c>
      <c r="E32" s="493" t="s">
        <v>3919</v>
      </c>
      <c r="F32" s="493" t="s">
        <v>6821</v>
      </c>
      <c r="G32" s="493" t="s">
        <v>6877</v>
      </c>
      <c r="H32" s="493" t="s">
        <v>6878</v>
      </c>
      <c r="I32" s="501" t="s">
        <v>6879</v>
      </c>
    </row>
    <row r="33" spans="1:9" ht="14.45">
      <c r="A33" s="493">
        <v>90435</v>
      </c>
      <c r="B33" s="493" t="s">
        <v>4737</v>
      </c>
      <c r="C33" s="493" t="s">
        <v>3674</v>
      </c>
      <c r="D33" s="493" t="s">
        <v>3718</v>
      </c>
      <c r="E33" s="493" t="s">
        <v>3719</v>
      </c>
      <c r="F33" s="493" t="s">
        <v>6821</v>
      </c>
      <c r="G33" s="493" t="s">
        <v>6880</v>
      </c>
      <c r="H33" s="493" t="s">
        <v>6881</v>
      </c>
      <c r="I33" s="501" t="s">
        <v>6882</v>
      </c>
    </row>
    <row r="34" spans="1:9" ht="14.45">
      <c r="A34" s="493">
        <v>90436</v>
      </c>
      <c r="B34" s="493" t="s">
        <v>4747</v>
      </c>
      <c r="C34" s="493" t="s">
        <v>3674</v>
      </c>
      <c r="D34" s="493" t="s">
        <v>3718</v>
      </c>
      <c r="E34" s="493" t="s">
        <v>3719</v>
      </c>
      <c r="F34" s="493" t="s">
        <v>6821</v>
      </c>
      <c r="G34" s="493" t="s">
        <v>6883</v>
      </c>
      <c r="H34" s="493" t="s">
        <v>6884</v>
      </c>
      <c r="I34" s="501" t="s">
        <v>6885</v>
      </c>
    </row>
    <row r="35" spans="1:9" ht="14.45">
      <c r="A35" s="493">
        <v>90064</v>
      </c>
      <c r="B35" s="493" t="s">
        <v>2828</v>
      </c>
      <c r="C35" s="493" t="s">
        <v>3674</v>
      </c>
      <c r="D35" s="493" t="s">
        <v>4102</v>
      </c>
      <c r="E35" s="493" t="s">
        <v>6886</v>
      </c>
      <c r="F35" s="493" t="s">
        <v>6821</v>
      </c>
      <c r="G35" s="493" t="s">
        <v>6887</v>
      </c>
      <c r="H35" s="493" t="s">
        <v>6888</v>
      </c>
      <c r="I35" s="501" t="s">
        <v>6889</v>
      </c>
    </row>
    <row r="36" spans="1:9" ht="14.45">
      <c r="A36" s="493">
        <v>90063</v>
      </c>
      <c r="B36" s="493" t="s">
        <v>2808</v>
      </c>
      <c r="C36" s="493" t="s">
        <v>3674</v>
      </c>
      <c r="D36" s="493" t="s">
        <v>4102</v>
      </c>
      <c r="E36" s="493" t="s">
        <v>6886</v>
      </c>
      <c r="F36" s="493" t="s">
        <v>6821</v>
      </c>
      <c r="G36" s="493" t="s">
        <v>6890</v>
      </c>
      <c r="H36" s="493" t="s">
        <v>6891</v>
      </c>
      <c r="I36" s="501" t="s">
        <v>6892</v>
      </c>
    </row>
    <row r="37" spans="1:9" ht="14.45">
      <c r="A37" s="493">
        <v>90062</v>
      </c>
      <c r="B37" s="493" t="s">
        <v>2822</v>
      </c>
      <c r="C37" s="493" t="s">
        <v>3674</v>
      </c>
      <c r="D37" s="493" t="s">
        <v>4102</v>
      </c>
      <c r="E37" s="493" t="s">
        <v>6886</v>
      </c>
      <c r="F37" s="493" t="s">
        <v>6821</v>
      </c>
      <c r="G37" s="493" t="s">
        <v>6893</v>
      </c>
      <c r="H37" s="493" t="s">
        <v>6891</v>
      </c>
      <c r="I37" s="501" t="s">
        <v>6892</v>
      </c>
    </row>
    <row r="38" spans="1:9" ht="14.45">
      <c r="A38" s="493">
        <v>90061</v>
      </c>
      <c r="B38" s="493" t="s">
        <v>2589</v>
      </c>
      <c r="C38" s="493" t="s">
        <v>3674</v>
      </c>
      <c r="D38" s="493" t="s">
        <v>4102</v>
      </c>
      <c r="E38" s="493" t="s">
        <v>846</v>
      </c>
      <c r="F38" s="493" t="s">
        <v>6821</v>
      </c>
      <c r="G38" s="493" t="s">
        <v>6894</v>
      </c>
      <c r="H38" s="493" t="s">
        <v>6895</v>
      </c>
      <c r="I38" s="501" t="s">
        <v>6896</v>
      </c>
    </row>
    <row r="39" spans="1:9" ht="14.45">
      <c r="A39" s="493">
        <v>90060</v>
      </c>
      <c r="B39" s="493" t="s">
        <v>2594</v>
      </c>
      <c r="C39" s="493" t="s">
        <v>3674</v>
      </c>
      <c r="D39" s="493" t="s">
        <v>4102</v>
      </c>
      <c r="E39" s="493" t="s">
        <v>846</v>
      </c>
      <c r="F39" s="493" t="s">
        <v>6821</v>
      </c>
      <c r="G39" s="493" t="s">
        <v>6897</v>
      </c>
      <c r="H39" s="493" t="s">
        <v>6895</v>
      </c>
      <c r="I39" s="501" t="s">
        <v>6896</v>
      </c>
    </row>
    <row r="40" spans="1:9" ht="14.45">
      <c r="A40" s="493">
        <v>90059</v>
      </c>
      <c r="B40" s="493" t="s">
        <v>2587</v>
      </c>
      <c r="C40" s="493" t="s">
        <v>3674</v>
      </c>
      <c r="D40" s="493" t="s">
        <v>4102</v>
      </c>
      <c r="E40" s="493" t="s">
        <v>846</v>
      </c>
      <c r="F40" s="493" t="s">
        <v>6821</v>
      </c>
      <c r="G40" s="493" t="s">
        <v>6898</v>
      </c>
      <c r="H40" s="493" t="s">
        <v>6899</v>
      </c>
      <c r="I40" s="501" t="s">
        <v>6900</v>
      </c>
    </row>
    <row r="41" spans="1:9" ht="14.45">
      <c r="A41" s="493">
        <v>90058</v>
      </c>
      <c r="B41" s="493" t="s">
        <v>2627</v>
      </c>
      <c r="C41" s="493" t="s">
        <v>3674</v>
      </c>
      <c r="D41" s="493" t="s">
        <v>4102</v>
      </c>
      <c r="E41" s="493" t="s">
        <v>846</v>
      </c>
      <c r="F41" s="493" t="s">
        <v>6821</v>
      </c>
      <c r="G41" s="493" t="s">
        <v>6901</v>
      </c>
      <c r="H41" s="493" t="s">
        <v>6899</v>
      </c>
      <c r="I41" s="501" t="s">
        <v>6900</v>
      </c>
    </row>
    <row r="42" spans="1:9" ht="14.45">
      <c r="A42" s="493">
        <v>90608</v>
      </c>
      <c r="B42" s="494" t="s">
        <v>2580</v>
      </c>
      <c r="C42" s="493" t="s">
        <v>3674</v>
      </c>
      <c r="D42" s="493" t="s">
        <v>3665</v>
      </c>
      <c r="E42" s="493" t="s">
        <v>846</v>
      </c>
      <c r="F42" s="493" t="s">
        <v>6821</v>
      </c>
      <c r="G42" s="493" t="s">
        <v>6902</v>
      </c>
      <c r="H42" s="493" t="s">
        <v>6903</v>
      </c>
      <c r="I42" s="501" t="s">
        <v>6904</v>
      </c>
    </row>
    <row r="43" spans="1:9" ht="14.45">
      <c r="A43" s="493">
        <v>90607</v>
      </c>
      <c r="B43" s="493" t="s">
        <v>4515</v>
      </c>
      <c r="C43" s="493" t="s">
        <v>3659</v>
      </c>
      <c r="D43" s="493" t="s">
        <v>3665</v>
      </c>
      <c r="E43" s="493" t="s">
        <v>846</v>
      </c>
      <c r="F43" s="493" t="s">
        <v>6821</v>
      </c>
      <c r="G43" s="493" t="s">
        <v>6905</v>
      </c>
      <c r="H43" s="493" t="s">
        <v>6903</v>
      </c>
      <c r="I43" s="501" t="s">
        <v>6904</v>
      </c>
    </row>
    <row r="44" spans="1:9" ht="14.45">
      <c r="A44" s="493">
        <v>90463</v>
      </c>
      <c r="B44" s="493" t="s">
        <v>3081</v>
      </c>
      <c r="C44" s="493" t="s">
        <v>3674</v>
      </c>
      <c r="D44" s="493" t="s">
        <v>3770</v>
      </c>
      <c r="E44" s="493" t="s">
        <v>4309</v>
      </c>
      <c r="F44" s="493" t="s">
        <v>6906</v>
      </c>
      <c r="G44" s="493" t="s">
        <v>6907</v>
      </c>
      <c r="H44" s="493" t="s">
        <v>6908</v>
      </c>
      <c r="I44" s="501" t="s">
        <v>6909</v>
      </c>
    </row>
    <row r="45" spans="1:9" ht="14.45">
      <c r="A45" s="493">
        <v>90467</v>
      </c>
      <c r="B45" s="493" t="s">
        <v>3084</v>
      </c>
      <c r="C45" s="493" t="s">
        <v>3674</v>
      </c>
      <c r="D45" s="493" t="s">
        <v>3770</v>
      </c>
      <c r="E45" s="493" t="s">
        <v>4309</v>
      </c>
      <c r="F45" s="493" t="s">
        <v>6906</v>
      </c>
      <c r="G45" s="493" t="s">
        <v>6910</v>
      </c>
      <c r="H45" s="493" t="s">
        <v>6908</v>
      </c>
      <c r="I45" s="501" t="s">
        <v>6909</v>
      </c>
    </row>
    <row r="46" spans="1:9" ht="14.45">
      <c r="A46" s="493">
        <v>90468</v>
      </c>
      <c r="B46" s="493" t="s">
        <v>3085</v>
      </c>
      <c r="C46" s="493" t="s">
        <v>3674</v>
      </c>
      <c r="D46" s="493" t="s">
        <v>3770</v>
      </c>
      <c r="E46" s="493" t="s">
        <v>4309</v>
      </c>
      <c r="F46" s="493" t="s">
        <v>6906</v>
      </c>
      <c r="G46" s="493" t="s">
        <v>6911</v>
      </c>
      <c r="H46" s="493" t="s">
        <v>6912</v>
      </c>
      <c r="I46" s="501" t="s">
        <v>6909</v>
      </c>
    </row>
    <row r="47" spans="1:9" ht="14.45">
      <c r="A47" s="493">
        <v>90791</v>
      </c>
      <c r="B47" s="493" t="s">
        <v>4402</v>
      </c>
      <c r="C47" s="493" t="s">
        <v>3674</v>
      </c>
      <c r="D47" s="493" t="s">
        <v>3770</v>
      </c>
      <c r="E47" s="493" t="s">
        <v>3719</v>
      </c>
      <c r="F47" s="493" t="s">
        <v>6906</v>
      </c>
      <c r="G47" s="493" t="s">
        <v>6913</v>
      </c>
      <c r="H47" s="493" t="s">
        <v>6914</v>
      </c>
      <c r="I47" s="501" t="s">
        <v>6915</v>
      </c>
    </row>
    <row r="48" spans="1:9" ht="14.45">
      <c r="A48" s="493">
        <v>90792</v>
      </c>
      <c r="B48" s="493" t="s">
        <v>4405</v>
      </c>
      <c r="C48" s="493" t="s">
        <v>3674</v>
      </c>
      <c r="D48" s="493" t="s">
        <v>3770</v>
      </c>
      <c r="E48" s="493" t="s">
        <v>3719</v>
      </c>
      <c r="F48" s="493" t="s">
        <v>6906</v>
      </c>
      <c r="G48" s="493" t="s">
        <v>6916</v>
      </c>
      <c r="H48" s="493" t="s">
        <v>6914</v>
      </c>
      <c r="I48" s="501" t="s">
        <v>6915</v>
      </c>
    </row>
    <row r="49" spans="1:9" ht="14.45">
      <c r="A49" s="493">
        <v>90793</v>
      </c>
      <c r="B49" s="493" t="s">
        <v>4408</v>
      </c>
      <c r="C49" s="493" t="s">
        <v>3674</v>
      </c>
      <c r="D49" s="493" t="s">
        <v>3770</v>
      </c>
      <c r="E49" s="493" t="s">
        <v>3719</v>
      </c>
      <c r="F49" s="493" t="s">
        <v>6906</v>
      </c>
      <c r="G49" s="493" t="s">
        <v>6917</v>
      </c>
      <c r="H49" s="493" t="s">
        <v>6914</v>
      </c>
      <c r="I49" s="501" t="s">
        <v>6915</v>
      </c>
    </row>
    <row r="50" spans="1:9" ht="14.45">
      <c r="A50" s="493">
        <v>90794</v>
      </c>
      <c r="B50" s="493" t="s">
        <v>4411</v>
      </c>
      <c r="C50" s="493" t="s">
        <v>3659</v>
      </c>
      <c r="D50" s="493" t="s">
        <v>3770</v>
      </c>
      <c r="E50" s="493" t="s">
        <v>3719</v>
      </c>
      <c r="F50" s="493" t="s">
        <v>6906</v>
      </c>
      <c r="G50" s="493" t="s">
        <v>6918</v>
      </c>
      <c r="H50" s="493" t="s">
        <v>6914</v>
      </c>
      <c r="I50" s="501" t="s">
        <v>6915</v>
      </c>
    </row>
    <row r="51" spans="1:9" ht="14.45">
      <c r="A51" s="493">
        <v>90813</v>
      </c>
      <c r="B51" s="493" t="s">
        <v>4396</v>
      </c>
      <c r="C51" s="493" t="s">
        <v>3674</v>
      </c>
      <c r="D51" s="493" t="s">
        <v>3770</v>
      </c>
      <c r="E51" s="493" t="s">
        <v>3719</v>
      </c>
      <c r="F51" s="493" t="s">
        <v>6906</v>
      </c>
      <c r="G51" s="493" t="s">
        <v>6919</v>
      </c>
      <c r="H51" s="493" t="s">
        <v>6920</v>
      </c>
      <c r="I51" s="501" t="s">
        <v>6915</v>
      </c>
    </row>
    <row r="52" spans="1:9" ht="14.45">
      <c r="A52" s="493">
        <v>90814</v>
      </c>
      <c r="B52" s="493" t="s">
        <v>4399</v>
      </c>
      <c r="C52" s="493" t="s">
        <v>3674</v>
      </c>
      <c r="D52" s="493" t="s">
        <v>3770</v>
      </c>
      <c r="E52" s="493" t="s">
        <v>3719</v>
      </c>
      <c r="F52" s="493" t="s">
        <v>6906</v>
      </c>
      <c r="G52" s="493" t="s">
        <v>6921</v>
      </c>
      <c r="H52" s="493" t="s">
        <v>6920</v>
      </c>
      <c r="I52" s="501" t="s">
        <v>6915</v>
      </c>
    </row>
    <row r="53" spans="1:9" ht="14.45">
      <c r="A53" s="493">
        <v>90039</v>
      </c>
      <c r="B53" s="493" t="s">
        <v>4598</v>
      </c>
      <c r="C53" s="493" t="s">
        <v>3674</v>
      </c>
      <c r="D53" s="493" t="s">
        <v>3828</v>
      </c>
      <c r="E53" s="493" t="s">
        <v>4599</v>
      </c>
      <c r="F53" s="493" t="s">
        <v>6821</v>
      </c>
      <c r="G53" s="493" t="s">
        <v>6922</v>
      </c>
      <c r="H53" s="493" t="s">
        <v>6923</v>
      </c>
      <c r="I53" s="501" t="s">
        <v>6924</v>
      </c>
    </row>
    <row r="54" spans="1:9" ht="14.45">
      <c r="A54" s="493">
        <v>90437</v>
      </c>
      <c r="B54" s="493" t="s">
        <v>4595</v>
      </c>
      <c r="C54" s="493" t="s">
        <v>3674</v>
      </c>
      <c r="D54" s="493" t="s">
        <v>3828</v>
      </c>
      <c r="E54" s="493" t="s">
        <v>846</v>
      </c>
      <c r="F54" s="493" t="s">
        <v>6821</v>
      </c>
      <c r="G54" s="493" t="s">
        <v>6925</v>
      </c>
      <c r="H54" s="493" t="s">
        <v>6926</v>
      </c>
      <c r="I54" s="501" t="s">
        <v>6927</v>
      </c>
    </row>
    <row r="55" spans="1:9" ht="14.45">
      <c r="A55" s="493">
        <v>90040</v>
      </c>
      <c r="B55" s="493" t="s">
        <v>4602</v>
      </c>
      <c r="C55" s="493" t="s">
        <v>3674</v>
      </c>
      <c r="D55" s="493" t="s">
        <v>3828</v>
      </c>
      <c r="E55" s="493" t="s">
        <v>4599</v>
      </c>
      <c r="F55" s="493" t="s">
        <v>6821</v>
      </c>
      <c r="G55" s="493" t="s">
        <v>6928</v>
      </c>
      <c r="H55" s="493" t="s">
        <v>6929</v>
      </c>
      <c r="I55" s="501" t="s">
        <v>6924</v>
      </c>
    </row>
    <row r="56" spans="1:9" ht="14.45">
      <c r="A56" s="493">
        <v>90041</v>
      </c>
      <c r="B56" s="494" t="s">
        <v>4605</v>
      </c>
      <c r="C56" s="493" t="s">
        <v>3674</v>
      </c>
      <c r="D56" s="493" t="s">
        <v>3828</v>
      </c>
      <c r="E56" s="493" t="s">
        <v>4599</v>
      </c>
      <c r="F56" s="493" t="s">
        <v>6821</v>
      </c>
      <c r="G56" s="493" t="s">
        <v>6930</v>
      </c>
      <c r="H56" s="493" t="s">
        <v>6931</v>
      </c>
      <c r="I56" s="501" t="s">
        <v>6924</v>
      </c>
    </row>
    <row r="57" spans="1:9" ht="14.45">
      <c r="A57" s="493">
        <v>90631</v>
      </c>
      <c r="B57" s="493" t="s">
        <v>3155</v>
      </c>
      <c r="C57" s="493" t="s">
        <v>3674</v>
      </c>
      <c r="D57" s="493" t="s">
        <v>3828</v>
      </c>
      <c r="E57" s="493" t="s">
        <v>3666</v>
      </c>
      <c r="F57" s="493" t="s">
        <v>6821</v>
      </c>
      <c r="G57" s="493" t="s">
        <v>6932</v>
      </c>
      <c r="H57" s="493" t="s">
        <v>6933</v>
      </c>
      <c r="I57" s="501" t="s">
        <v>6934</v>
      </c>
    </row>
    <row r="58" spans="1:9" ht="14.45">
      <c r="A58" s="493">
        <v>90630</v>
      </c>
      <c r="B58" s="493" t="s">
        <v>3478</v>
      </c>
      <c r="C58" s="493" t="s">
        <v>3674</v>
      </c>
      <c r="D58" s="493" t="s">
        <v>3828</v>
      </c>
      <c r="E58" s="493" t="s">
        <v>3666</v>
      </c>
      <c r="F58" s="493" t="s">
        <v>6821</v>
      </c>
      <c r="G58" s="493" t="s">
        <v>6935</v>
      </c>
      <c r="H58" s="493" t="s">
        <v>6936</v>
      </c>
      <c r="I58" s="501" t="s">
        <v>6934</v>
      </c>
    </row>
    <row r="59" spans="1:9" ht="14.45">
      <c r="A59" s="493">
        <v>90573</v>
      </c>
      <c r="B59" s="493" t="s">
        <v>3480</v>
      </c>
      <c r="C59" s="493" t="s">
        <v>3674</v>
      </c>
      <c r="D59" s="493" t="s">
        <v>3828</v>
      </c>
      <c r="E59" s="493" t="s">
        <v>3666</v>
      </c>
      <c r="F59" s="493" t="s">
        <v>6821</v>
      </c>
      <c r="G59" s="493" t="s">
        <v>6937</v>
      </c>
      <c r="H59" s="493" t="s">
        <v>6938</v>
      </c>
      <c r="I59" s="501" t="s">
        <v>6939</v>
      </c>
    </row>
    <row r="60" spans="1:9" ht="14.45">
      <c r="A60" s="493">
        <v>90848</v>
      </c>
      <c r="B60" s="493" t="s">
        <v>4638</v>
      </c>
      <c r="C60" s="493" t="s">
        <v>3674</v>
      </c>
      <c r="D60" s="493" t="s">
        <v>3828</v>
      </c>
      <c r="E60" s="493" t="s">
        <v>3719</v>
      </c>
      <c r="F60" s="493" t="s">
        <v>6821</v>
      </c>
      <c r="G60" s="493" t="s">
        <v>6940</v>
      </c>
      <c r="H60" s="493" t="s">
        <v>6941</v>
      </c>
      <c r="I60" s="501" t="s">
        <v>6942</v>
      </c>
    </row>
    <row r="61" spans="1:9" ht="14.45">
      <c r="A61" s="493">
        <v>90130</v>
      </c>
      <c r="B61" s="493" t="s">
        <v>4091</v>
      </c>
      <c r="C61" s="493" t="s">
        <v>3674</v>
      </c>
      <c r="D61" s="493" t="s">
        <v>3828</v>
      </c>
      <c r="E61" s="493" t="s">
        <v>3719</v>
      </c>
      <c r="F61" s="493" t="s">
        <v>6821</v>
      </c>
      <c r="G61" s="493" t="s">
        <v>6943</v>
      </c>
      <c r="H61" s="493" t="s">
        <v>6944</v>
      </c>
      <c r="I61" s="501" t="s">
        <v>6942</v>
      </c>
    </row>
    <row r="62" spans="1:9" ht="14.45">
      <c r="A62" s="493">
        <v>90849</v>
      </c>
      <c r="B62" s="493" t="s">
        <v>4641</v>
      </c>
      <c r="C62" s="493" t="s">
        <v>3674</v>
      </c>
      <c r="D62" s="493" t="s">
        <v>3828</v>
      </c>
      <c r="E62" s="493" t="s">
        <v>3719</v>
      </c>
      <c r="F62" s="493" t="s">
        <v>6821</v>
      </c>
      <c r="G62" s="493" t="s">
        <v>6945</v>
      </c>
      <c r="H62" s="493" t="s">
        <v>6946</v>
      </c>
      <c r="I62" s="501" t="s">
        <v>6942</v>
      </c>
    </row>
    <row r="63" spans="1:9" ht="14.45">
      <c r="A63" s="493">
        <v>90486</v>
      </c>
      <c r="B63" s="494" t="s">
        <v>2921</v>
      </c>
      <c r="C63" s="493" t="s">
        <v>3674</v>
      </c>
      <c r="D63" s="493" t="s">
        <v>3828</v>
      </c>
      <c r="E63" s="493" t="s">
        <v>6120</v>
      </c>
      <c r="F63" s="493" t="s">
        <v>6821</v>
      </c>
      <c r="G63" s="493" t="s">
        <v>6947</v>
      </c>
      <c r="H63" s="493" t="s">
        <v>6948</v>
      </c>
      <c r="I63" s="501" t="s">
        <v>6949</v>
      </c>
    </row>
    <row r="64" spans="1:9" ht="14.45">
      <c r="A64" s="493">
        <v>90485</v>
      </c>
      <c r="B64" s="493" t="s">
        <v>2919</v>
      </c>
      <c r="C64" s="493" t="s">
        <v>3674</v>
      </c>
      <c r="D64" s="493" t="s">
        <v>3828</v>
      </c>
      <c r="E64" s="493" t="s">
        <v>6120</v>
      </c>
      <c r="F64" s="493" t="s">
        <v>6821</v>
      </c>
      <c r="G64" s="493" t="s">
        <v>6950</v>
      </c>
      <c r="H64" s="493" t="s">
        <v>6948</v>
      </c>
      <c r="I64" s="501" t="s">
        <v>6949</v>
      </c>
    </row>
    <row r="65" spans="1:9" ht="14.45">
      <c r="A65" s="493">
        <v>90488</v>
      </c>
      <c r="B65" s="494" t="s">
        <v>2915</v>
      </c>
      <c r="C65" s="493" t="s">
        <v>3674</v>
      </c>
      <c r="D65" s="493" t="s">
        <v>3828</v>
      </c>
      <c r="E65" s="493" t="s">
        <v>6120</v>
      </c>
      <c r="F65" s="493" t="s">
        <v>6821</v>
      </c>
      <c r="G65" s="493" t="s">
        <v>6951</v>
      </c>
      <c r="H65" s="493" t="s">
        <v>6952</v>
      </c>
      <c r="I65" s="501" t="s">
        <v>6953</v>
      </c>
    </row>
    <row r="66" spans="1:9" ht="14.45">
      <c r="A66" s="493">
        <v>90629</v>
      </c>
      <c r="B66" s="493" t="s">
        <v>3490</v>
      </c>
      <c r="C66" s="493" t="s">
        <v>3674</v>
      </c>
      <c r="D66" s="493" t="s">
        <v>3828</v>
      </c>
      <c r="E66" s="493" t="s">
        <v>3666</v>
      </c>
      <c r="F66" s="493" t="s">
        <v>6821</v>
      </c>
      <c r="G66" s="493" t="s">
        <v>6954</v>
      </c>
      <c r="H66" s="493" t="s">
        <v>6955</v>
      </c>
      <c r="I66" s="501" t="s">
        <v>6956</v>
      </c>
    </row>
    <row r="67" spans="1:9" ht="14.45">
      <c r="A67" s="493">
        <v>90628</v>
      </c>
      <c r="B67" s="493" t="s">
        <v>3309</v>
      </c>
      <c r="C67" s="493" t="s">
        <v>3659</v>
      </c>
      <c r="D67" s="493" t="s">
        <v>3828</v>
      </c>
      <c r="E67" s="493" t="s">
        <v>3666</v>
      </c>
      <c r="F67" s="493" t="s">
        <v>6821</v>
      </c>
      <c r="G67" s="493" t="s">
        <v>6957</v>
      </c>
      <c r="H67" s="493" t="s">
        <v>6955</v>
      </c>
      <c r="I67" s="501" t="s">
        <v>6956</v>
      </c>
    </row>
    <row r="68" spans="1:9" ht="14.45">
      <c r="A68" s="493">
        <v>90627</v>
      </c>
      <c r="B68" s="494" t="s">
        <v>3161</v>
      </c>
      <c r="C68" s="493" t="s">
        <v>3674</v>
      </c>
      <c r="D68" s="493" t="s">
        <v>3828</v>
      </c>
      <c r="E68" s="493" t="s">
        <v>3666</v>
      </c>
      <c r="F68" s="493" t="s">
        <v>6821</v>
      </c>
      <c r="G68" s="493" t="s">
        <v>6958</v>
      </c>
      <c r="H68" s="493" t="s">
        <v>6959</v>
      </c>
      <c r="I68" s="501" t="s">
        <v>6956</v>
      </c>
    </row>
    <row r="69" spans="1:9" ht="14.45">
      <c r="A69" s="493">
        <v>90155</v>
      </c>
      <c r="B69" s="493" t="s">
        <v>2571</v>
      </c>
      <c r="C69" s="493" t="s">
        <v>3674</v>
      </c>
      <c r="D69" s="493" t="s">
        <v>3665</v>
      </c>
      <c r="E69" s="493" t="s">
        <v>846</v>
      </c>
      <c r="F69" s="493" t="s">
        <v>6821</v>
      </c>
      <c r="G69" s="493" t="s">
        <v>6960</v>
      </c>
      <c r="H69" s="493" t="s">
        <v>6961</v>
      </c>
      <c r="I69" s="501" t="s">
        <v>6962</v>
      </c>
    </row>
    <row r="70" spans="1:9" ht="14.45">
      <c r="A70" s="493">
        <v>90393</v>
      </c>
      <c r="B70" s="493" t="s">
        <v>2568</v>
      </c>
      <c r="C70" s="493" t="s">
        <v>3674</v>
      </c>
      <c r="D70" s="493" t="s">
        <v>3711</v>
      </c>
      <c r="E70" s="493" t="s">
        <v>846</v>
      </c>
      <c r="F70" s="493" t="s">
        <v>6821</v>
      </c>
      <c r="G70" s="493" t="s">
        <v>6963</v>
      </c>
      <c r="H70" s="493" t="s">
        <v>6964</v>
      </c>
      <c r="I70" s="501" t="s">
        <v>6965</v>
      </c>
    </row>
    <row r="71" spans="1:9" ht="14.45">
      <c r="A71" s="493">
        <v>90394</v>
      </c>
      <c r="B71" s="493" t="s">
        <v>2598</v>
      </c>
      <c r="C71" s="493" t="s">
        <v>3674</v>
      </c>
      <c r="D71" s="493" t="s">
        <v>3665</v>
      </c>
      <c r="E71" s="493" t="s">
        <v>846</v>
      </c>
      <c r="F71" s="493" t="s">
        <v>6821</v>
      </c>
      <c r="G71" s="493" t="s">
        <v>6966</v>
      </c>
      <c r="H71" s="493" t="s">
        <v>6967</v>
      </c>
      <c r="I71" s="501" t="s">
        <v>6968</v>
      </c>
    </row>
    <row r="72" spans="1:9" ht="14.45">
      <c r="A72" s="493">
        <v>90626</v>
      </c>
      <c r="B72" s="493" t="s">
        <v>3193</v>
      </c>
      <c r="C72" s="493" t="s">
        <v>3674</v>
      </c>
      <c r="D72" s="493" t="s">
        <v>3665</v>
      </c>
      <c r="E72" s="493" t="s">
        <v>3666</v>
      </c>
      <c r="F72" s="493" t="s">
        <v>6821</v>
      </c>
      <c r="G72" s="493" t="s">
        <v>6969</v>
      </c>
      <c r="H72" s="493" t="s">
        <v>6970</v>
      </c>
      <c r="I72" s="501" t="s">
        <v>6971</v>
      </c>
    </row>
    <row r="73" spans="1:9" ht="14.45">
      <c r="A73" s="493">
        <v>90625</v>
      </c>
      <c r="B73" s="493" t="s">
        <v>3291</v>
      </c>
      <c r="C73" s="493" t="s">
        <v>3674</v>
      </c>
      <c r="D73" s="493" t="s">
        <v>3665</v>
      </c>
      <c r="E73" s="493" t="s">
        <v>3666</v>
      </c>
      <c r="F73" s="493" t="s">
        <v>6821</v>
      </c>
      <c r="G73" s="493" t="s">
        <v>6972</v>
      </c>
      <c r="H73" s="493" t="s">
        <v>6973</v>
      </c>
      <c r="I73" s="501" t="s">
        <v>6971</v>
      </c>
    </row>
    <row r="74" spans="1:9" ht="14.45">
      <c r="A74" s="493">
        <v>90624</v>
      </c>
      <c r="B74" s="493" t="s">
        <v>3293</v>
      </c>
      <c r="C74" s="493" t="s">
        <v>3674</v>
      </c>
      <c r="D74" s="493" t="s">
        <v>3665</v>
      </c>
      <c r="E74" s="493" t="s">
        <v>3666</v>
      </c>
      <c r="F74" s="493" t="s">
        <v>6821</v>
      </c>
      <c r="G74" s="493" t="s">
        <v>6974</v>
      </c>
      <c r="H74" s="493" t="s">
        <v>6975</v>
      </c>
      <c r="I74" s="501" t="s">
        <v>6976</v>
      </c>
    </row>
    <row r="75" spans="1:9" ht="14.45">
      <c r="A75" s="493">
        <v>90623</v>
      </c>
      <c r="B75" s="493" t="s">
        <v>3195</v>
      </c>
      <c r="C75" s="493" t="s">
        <v>3674</v>
      </c>
      <c r="D75" s="493" t="s">
        <v>3665</v>
      </c>
      <c r="E75" s="493" t="s">
        <v>3666</v>
      </c>
      <c r="F75" s="493" t="s">
        <v>6821</v>
      </c>
      <c r="G75" s="493" t="s">
        <v>6977</v>
      </c>
      <c r="H75" s="493" t="s">
        <v>6978</v>
      </c>
      <c r="I75" s="501" t="s">
        <v>6976</v>
      </c>
    </row>
    <row r="76" spans="1:9" ht="14.45">
      <c r="A76" s="493">
        <v>90622</v>
      </c>
      <c r="B76" s="493" t="s">
        <v>3295</v>
      </c>
      <c r="C76" s="493" t="s">
        <v>3674</v>
      </c>
      <c r="D76" s="493" t="s">
        <v>3665</v>
      </c>
      <c r="E76" s="493" t="s">
        <v>3666</v>
      </c>
      <c r="F76" s="493" t="s">
        <v>6821</v>
      </c>
      <c r="G76" s="493" t="s">
        <v>6979</v>
      </c>
      <c r="H76" s="493" t="s">
        <v>6980</v>
      </c>
      <c r="I76" s="501" t="s">
        <v>6976</v>
      </c>
    </row>
    <row r="77" spans="1:9" ht="14.45">
      <c r="A77" s="493">
        <v>90618</v>
      </c>
      <c r="B77" s="493" t="s">
        <v>3297</v>
      </c>
      <c r="C77" s="493" t="s">
        <v>3674</v>
      </c>
      <c r="D77" s="493" t="s">
        <v>3665</v>
      </c>
      <c r="E77" s="493" t="s">
        <v>3666</v>
      </c>
      <c r="F77" s="493" t="s">
        <v>6821</v>
      </c>
      <c r="G77" s="493" t="s">
        <v>6981</v>
      </c>
      <c r="H77" s="493" t="s">
        <v>6980</v>
      </c>
      <c r="I77" s="501" t="s">
        <v>6976</v>
      </c>
    </row>
    <row r="78" spans="1:9" ht="14.45">
      <c r="A78" s="493">
        <v>90617</v>
      </c>
      <c r="B78" s="493" t="s">
        <v>3197</v>
      </c>
      <c r="C78" s="493" t="s">
        <v>3674</v>
      </c>
      <c r="D78" s="493" t="s">
        <v>3665</v>
      </c>
      <c r="E78" s="493" t="s">
        <v>3666</v>
      </c>
      <c r="F78" s="493" t="s">
        <v>6821</v>
      </c>
      <c r="G78" s="493" t="s">
        <v>6982</v>
      </c>
      <c r="H78" s="493" t="s">
        <v>6983</v>
      </c>
      <c r="I78" s="501" t="s">
        <v>6976</v>
      </c>
    </row>
    <row r="79" spans="1:9" ht="14.45">
      <c r="A79" s="493">
        <v>90616</v>
      </c>
      <c r="B79" s="493" t="s">
        <v>3199</v>
      </c>
      <c r="C79" s="493" t="s">
        <v>3659</v>
      </c>
      <c r="D79" s="493" t="s">
        <v>3665</v>
      </c>
      <c r="E79" s="493" t="s">
        <v>3666</v>
      </c>
      <c r="F79" s="493" t="s">
        <v>6821</v>
      </c>
      <c r="G79" s="493" t="s">
        <v>6984</v>
      </c>
      <c r="H79" s="493" t="s">
        <v>6983</v>
      </c>
      <c r="I79" s="501" t="s">
        <v>6976</v>
      </c>
    </row>
    <row r="80" spans="1:9" ht="14.45">
      <c r="A80" s="493">
        <v>90615</v>
      </c>
      <c r="B80" s="493" t="s">
        <v>3307</v>
      </c>
      <c r="C80" s="493" t="s">
        <v>3674</v>
      </c>
      <c r="D80" s="493" t="s">
        <v>3665</v>
      </c>
      <c r="E80" s="493" t="s">
        <v>3666</v>
      </c>
      <c r="F80" s="493" t="s">
        <v>6821</v>
      </c>
      <c r="G80" s="493" t="s">
        <v>6985</v>
      </c>
      <c r="H80" s="493" t="s">
        <v>6986</v>
      </c>
      <c r="I80" s="501" t="s">
        <v>6976</v>
      </c>
    </row>
    <row r="81" spans="1:9" ht="14.45">
      <c r="A81" s="493">
        <v>90619</v>
      </c>
      <c r="B81" s="493" t="s">
        <v>3316</v>
      </c>
      <c r="C81" s="493" t="s">
        <v>3674</v>
      </c>
      <c r="D81" s="493" t="s">
        <v>3665</v>
      </c>
      <c r="E81" s="493" t="s">
        <v>3666</v>
      </c>
      <c r="F81" s="493" t="s">
        <v>6821</v>
      </c>
      <c r="G81" s="493" t="s">
        <v>6987</v>
      </c>
      <c r="H81" s="493" t="s">
        <v>6986</v>
      </c>
      <c r="I81" s="501" t="s">
        <v>6976</v>
      </c>
    </row>
    <row r="82" spans="1:9" ht="14.45">
      <c r="A82" s="493">
        <v>90620</v>
      </c>
      <c r="B82" s="493" t="s">
        <v>3326</v>
      </c>
      <c r="C82" s="493" t="s">
        <v>3674</v>
      </c>
      <c r="D82" s="493" t="s">
        <v>3665</v>
      </c>
      <c r="E82" s="493" t="s">
        <v>3666</v>
      </c>
      <c r="F82" s="493" t="s">
        <v>6821</v>
      </c>
      <c r="G82" s="493" t="s">
        <v>6988</v>
      </c>
      <c r="H82" s="493" t="s">
        <v>6989</v>
      </c>
      <c r="I82" s="501" t="s">
        <v>6976</v>
      </c>
    </row>
    <row r="83" spans="1:9" ht="14.45">
      <c r="A83" s="493">
        <v>90758</v>
      </c>
      <c r="B83" s="493" t="s">
        <v>3363</v>
      </c>
      <c r="C83" s="493" t="s">
        <v>3674</v>
      </c>
      <c r="D83" s="493" t="s">
        <v>3665</v>
      </c>
      <c r="E83" s="493" t="s">
        <v>3666</v>
      </c>
      <c r="F83" s="493" t="s">
        <v>6821</v>
      </c>
      <c r="G83" s="493" t="s">
        <v>6990</v>
      </c>
      <c r="H83" s="493" t="s">
        <v>6991</v>
      </c>
      <c r="I83" s="501" t="s">
        <v>6992</v>
      </c>
    </row>
    <row r="84" spans="1:9" ht="14.45">
      <c r="A84" s="493">
        <v>90621</v>
      </c>
      <c r="B84" s="493" t="s">
        <v>3149</v>
      </c>
      <c r="C84" s="493" t="s">
        <v>3674</v>
      </c>
      <c r="D84" s="493" t="s">
        <v>3665</v>
      </c>
      <c r="E84" s="493" t="s">
        <v>3666</v>
      </c>
      <c r="F84" s="493" t="s">
        <v>6821</v>
      </c>
      <c r="G84" s="493" t="s">
        <v>6993</v>
      </c>
      <c r="H84" s="493" t="s">
        <v>6994</v>
      </c>
      <c r="I84" s="501" t="s">
        <v>6976</v>
      </c>
    </row>
    <row r="85" spans="1:9" ht="14.45">
      <c r="A85" s="493">
        <v>90632</v>
      </c>
      <c r="B85" s="493" t="s">
        <v>3204</v>
      </c>
      <c r="C85" s="493" t="s">
        <v>3674</v>
      </c>
      <c r="D85" s="493" t="s">
        <v>3665</v>
      </c>
      <c r="E85" s="493" t="s">
        <v>3666</v>
      </c>
      <c r="F85" s="493" t="s">
        <v>6821</v>
      </c>
      <c r="G85" s="493" t="s">
        <v>6995</v>
      </c>
      <c r="H85" s="493" t="s">
        <v>6996</v>
      </c>
      <c r="I85" s="501" t="s">
        <v>6976</v>
      </c>
    </row>
    <row r="86" spans="1:9" ht="14.45">
      <c r="A86" s="493">
        <v>90633</v>
      </c>
      <c r="B86" s="493" t="s">
        <v>3365</v>
      </c>
      <c r="C86" s="493" t="s">
        <v>3674</v>
      </c>
      <c r="D86" s="493" t="s">
        <v>3665</v>
      </c>
      <c r="E86" s="493" t="s">
        <v>3666</v>
      </c>
      <c r="F86" s="493" t="s">
        <v>6821</v>
      </c>
      <c r="G86" s="493" t="s">
        <v>6997</v>
      </c>
      <c r="H86" s="493" t="s">
        <v>6998</v>
      </c>
      <c r="I86" s="501" t="s">
        <v>6976</v>
      </c>
    </row>
    <row r="87" spans="1:9" ht="14.45">
      <c r="A87" s="493">
        <v>90634</v>
      </c>
      <c r="B87" s="493" t="s">
        <v>3471</v>
      </c>
      <c r="C87" s="493" t="s">
        <v>3674</v>
      </c>
      <c r="D87" s="493" t="s">
        <v>3828</v>
      </c>
      <c r="E87" s="493" t="s">
        <v>3666</v>
      </c>
      <c r="F87" s="493" t="s">
        <v>6821</v>
      </c>
      <c r="G87" s="493" t="s">
        <v>6999</v>
      </c>
      <c r="H87" s="493" t="s">
        <v>7000</v>
      </c>
      <c r="I87" s="501" t="s">
        <v>7001</v>
      </c>
    </row>
    <row r="88" spans="1:9" ht="14.45">
      <c r="A88" s="493">
        <v>90574</v>
      </c>
      <c r="B88" s="494" t="s">
        <v>3152</v>
      </c>
      <c r="C88" s="493" t="s">
        <v>3674</v>
      </c>
      <c r="D88" s="493" t="s">
        <v>3828</v>
      </c>
      <c r="E88" s="493" t="s">
        <v>3666</v>
      </c>
      <c r="F88" s="493" t="s">
        <v>6821</v>
      </c>
      <c r="G88" s="493" t="s">
        <v>7002</v>
      </c>
      <c r="H88" s="493" t="s">
        <v>7003</v>
      </c>
      <c r="I88" s="501" t="s">
        <v>7004</v>
      </c>
    </row>
    <row r="89" spans="1:9" ht="14.45">
      <c r="A89" s="493">
        <v>90575</v>
      </c>
      <c r="B89" s="493" t="s">
        <v>3476</v>
      </c>
      <c r="C89" s="493" t="s">
        <v>3674</v>
      </c>
      <c r="D89" s="493" t="s">
        <v>3828</v>
      </c>
      <c r="E89" s="493" t="s">
        <v>3666</v>
      </c>
      <c r="F89" s="493" t="s">
        <v>6821</v>
      </c>
      <c r="G89" s="493" t="s">
        <v>7005</v>
      </c>
      <c r="H89" s="493" t="s">
        <v>7003</v>
      </c>
      <c r="I89" s="501" t="s">
        <v>7004</v>
      </c>
    </row>
    <row r="90" spans="1:9" ht="14.45">
      <c r="A90" s="493">
        <v>90635</v>
      </c>
      <c r="B90" s="493" t="s">
        <v>3405</v>
      </c>
      <c r="C90" s="493" t="s">
        <v>3674</v>
      </c>
      <c r="D90" s="493" t="s">
        <v>3665</v>
      </c>
      <c r="E90" s="493" t="s">
        <v>3666</v>
      </c>
      <c r="F90" s="493" t="s">
        <v>6821</v>
      </c>
      <c r="G90" s="493" t="s">
        <v>7006</v>
      </c>
      <c r="H90" s="493" t="s">
        <v>7007</v>
      </c>
      <c r="I90" s="501" t="s">
        <v>7008</v>
      </c>
    </row>
    <row r="91" spans="1:9" ht="14.45">
      <c r="A91" s="493">
        <v>90636</v>
      </c>
      <c r="B91" s="493" t="s">
        <v>3206</v>
      </c>
      <c r="C91" s="493" t="s">
        <v>3674</v>
      </c>
      <c r="D91" s="493" t="s">
        <v>3665</v>
      </c>
      <c r="E91" s="493" t="s">
        <v>3666</v>
      </c>
      <c r="F91" s="493" t="s">
        <v>6821</v>
      </c>
      <c r="G91" s="493" t="s">
        <v>7009</v>
      </c>
      <c r="H91" s="493" t="s">
        <v>7010</v>
      </c>
      <c r="I91" s="501" t="s">
        <v>7008</v>
      </c>
    </row>
    <row r="92" spans="1:9" ht="14.45">
      <c r="A92" s="493">
        <v>90131</v>
      </c>
      <c r="B92" s="493" t="s">
        <v>4490</v>
      </c>
      <c r="C92" s="493" t="s">
        <v>3674</v>
      </c>
      <c r="D92" s="493" t="s">
        <v>3665</v>
      </c>
      <c r="E92" s="493" t="s">
        <v>3719</v>
      </c>
      <c r="F92" s="493" t="s">
        <v>6821</v>
      </c>
      <c r="G92" s="493" t="s">
        <v>7011</v>
      </c>
      <c r="H92" s="493" t="s">
        <v>7012</v>
      </c>
      <c r="I92" s="501" t="s">
        <v>7013</v>
      </c>
    </row>
    <row r="93" spans="1:9" ht="14.45">
      <c r="A93" s="493">
        <v>90133</v>
      </c>
      <c r="B93" s="493" t="s">
        <v>4493</v>
      </c>
      <c r="C93" s="493" t="s">
        <v>3674</v>
      </c>
      <c r="D93" s="493" t="s">
        <v>3665</v>
      </c>
      <c r="E93" s="493" t="s">
        <v>3719</v>
      </c>
      <c r="F93" s="493" t="s">
        <v>6821</v>
      </c>
      <c r="G93" s="493" t="s">
        <v>7014</v>
      </c>
      <c r="H93" s="493" t="s">
        <v>7012</v>
      </c>
      <c r="I93" s="501" t="s">
        <v>7013</v>
      </c>
    </row>
    <row r="94" spans="1:9" ht="14.45">
      <c r="A94" s="493">
        <v>90778</v>
      </c>
      <c r="B94" s="493" t="s">
        <v>2917</v>
      </c>
      <c r="C94" s="493" t="s">
        <v>3674</v>
      </c>
      <c r="D94" s="493" t="s">
        <v>3828</v>
      </c>
      <c r="E94" s="493" t="s">
        <v>6120</v>
      </c>
      <c r="F94" s="493" t="s">
        <v>6821</v>
      </c>
      <c r="G94" s="493" t="s">
        <v>7015</v>
      </c>
      <c r="H94" s="493" t="s">
        <v>7016</v>
      </c>
      <c r="I94" s="501" t="s">
        <v>6953</v>
      </c>
    </row>
    <row r="95" spans="1:9" ht="14.45">
      <c r="A95" s="493">
        <v>90134</v>
      </c>
      <c r="B95" s="493" t="s">
        <v>4483</v>
      </c>
      <c r="C95" s="493" t="s">
        <v>3674</v>
      </c>
      <c r="D95" s="493" t="s">
        <v>3665</v>
      </c>
      <c r="E95" s="493" t="s">
        <v>3719</v>
      </c>
      <c r="F95" s="493" t="s">
        <v>6821</v>
      </c>
      <c r="G95" s="493" t="s">
        <v>7017</v>
      </c>
      <c r="H95" s="493" t="s">
        <v>7018</v>
      </c>
      <c r="I95" s="501" t="s">
        <v>7019</v>
      </c>
    </row>
    <row r="96" spans="1:9" ht="14.45">
      <c r="A96" s="493">
        <v>90135</v>
      </c>
      <c r="B96" s="493" t="s">
        <v>4487</v>
      </c>
      <c r="C96" s="493" t="s">
        <v>3674</v>
      </c>
      <c r="D96" s="493" t="s">
        <v>3665</v>
      </c>
      <c r="E96" s="493" t="s">
        <v>3719</v>
      </c>
      <c r="F96" s="493" t="s">
        <v>6821</v>
      </c>
      <c r="G96" s="493" t="s">
        <v>7020</v>
      </c>
      <c r="H96" s="493" t="s">
        <v>7018</v>
      </c>
      <c r="I96" s="501" t="s">
        <v>7019</v>
      </c>
    </row>
    <row r="97" spans="1:9" ht="14.45">
      <c r="A97" s="493">
        <v>90770</v>
      </c>
      <c r="B97" s="493" t="s">
        <v>3275</v>
      </c>
      <c r="C97" s="493" t="s">
        <v>3674</v>
      </c>
      <c r="D97" s="493" t="s">
        <v>3665</v>
      </c>
      <c r="E97" s="493" t="s">
        <v>3666</v>
      </c>
      <c r="F97" s="493" t="s">
        <v>6821</v>
      </c>
      <c r="G97" s="493" t="s">
        <v>7021</v>
      </c>
      <c r="H97" s="493" t="s">
        <v>7022</v>
      </c>
      <c r="I97" s="501" t="s">
        <v>7023</v>
      </c>
    </row>
    <row r="98" spans="1:9" ht="14.45">
      <c r="A98" s="493">
        <v>90771</v>
      </c>
      <c r="B98" s="493" t="s">
        <v>3185</v>
      </c>
      <c r="C98" s="493" t="s">
        <v>3659</v>
      </c>
      <c r="D98" s="493" t="s">
        <v>3665</v>
      </c>
      <c r="E98" s="493" t="s">
        <v>3666</v>
      </c>
      <c r="F98" s="493" t="s">
        <v>6821</v>
      </c>
      <c r="G98" s="493" t="s">
        <v>7024</v>
      </c>
      <c r="H98" s="493" t="s">
        <v>7022</v>
      </c>
      <c r="I98" s="501" t="s">
        <v>7023</v>
      </c>
    </row>
    <row r="99" spans="1:9" ht="14.45">
      <c r="A99" s="493">
        <v>90268</v>
      </c>
      <c r="B99" s="493" t="s">
        <v>3518</v>
      </c>
      <c r="C99" s="493" t="s">
        <v>3674</v>
      </c>
      <c r="D99" s="493" t="s">
        <v>3828</v>
      </c>
      <c r="E99" s="493" t="s">
        <v>4444</v>
      </c>
      <c r="F99" s="493" t="s">
        <v>6821</v>
      </c>
      <c r="G99" s="493" t="s">
        <v>7025</v>
      </c>
      <c r="H99" s="493" t="s">
        <v>7026</v>
      </c>
      <c r="I99" s="501" t="s">
        <v>7027</v>
      </c>
    </row>
    <row r="100" spans="1:9" ht="14.45">
      <c r="A100" s="493">
        <v>90269</v>
      </c>
      <c r="B100" s="493" t="s">
        <v>3520</v>
      </c>
      <c r="C100" s="493" t="s">
        <v>3674</v>
      </c>
      <c r="D100" s="493" t="s">
        <v>3828</v>
      </c>
      <c r="E100" s="493" t="s">
        <v>4444</v>
      </c>
      <c r="F100" s="493" t="s">
        <v>6821</v>
      </c>
      <c r="G100" s="493" t="s">
        <v>7028</v>
      </c>
      <c r="H100" s="493" t="s">
        <v>7026</v>
      </c>
      <c r="I100" s="501" t="s">
        <v>7027</v>
      </c>
    </row>
    <row r="101" spans="1:9" ht="14.45">
      <c r="A101" s="493">
        <v>90270</v>
      </c>
      <c r="B101" s="493" t="s">
        <v>3522</v>
      </c>
      <c r="C101" s="493" t="s">
        <v>3674</v>
      </c>
      <c r="D101" s="493" t="s">
        <v>3828</v>
      </c>
      <c r="E101" s="493" t="s">
        <v>4444</v>
      </c>
      <c r="F101" s="493" t="s">
        <v>6821</v>
      </c>
      <c r="G101" s="493" t="s">
        <v>7029</v>
      </c>
      <c r="H101" s="493" t="s">
        <v>7026</v>
      </c>
      <c r="I101" s="501" t="s">
        <v>7027</v>
      </c>
    </row>
    <row r="102" spans="1:9" ht="14.45">
      <c r="A102" s="493">
        <v>90395</v>
      </c>
      <c r="B102" s="493" t="s">
        <v>2576</v>
      </c>
      <c r="C102" s="493" t="s">
        <v>3674</v>
      </c>
      <c r="D102" s="493" t="s">
        <v>3828</v>
      </c>
      <c r="E102" s="493" t="s">
        <v>846</v>
      </c>
      <c r="F102" s="493" t="s">
        <v>6821</v>
      </c>
      <c r="G102" s="493" t="s">
        <v>7030</v>
      </c>
      <c r="H102" s="493" t="s">
        <v>7031</v>
      </c>
      <c r="I102" s="501" t="s">
        <v>7032</v>
      </c>
    </row>
    <row r="103" spans="1:9" ht="14.45">
      <c r="A103" s="493">
        <v>90489</v>
      </c>
      <c r="B103" s="493" t="s">
        <v>4496</v>
      </c>
      <c r="C103" s="493" t="s">
        <v>3674</v>
      </c>
      <c r="D103" s="493" t="s">
        <v>3665</v>
      </c>
      <c r="E103" s="493" t="s">
        <v>3719</v>
      </c>
      <c r="F103" s="493" t="s">
        <v>6821</v>
      </c>
      <c r="G103" s="493" t="s">
        <v>7033</v>
      </c>
      <c r="H103" s="493" t="s">
        <v>7034</v>
      </c>
      <c r="I103" s="501" t="s">
        <v>7035</v>
      </c>
    </row>
    <row r="104" spans="1:9" ht="14.45">
      <c r="A104" s="493">
        <v>90082</v>
      </c>
      <c r="B104" s="493" t="s">
        <v>4499</v>
      </c>
      <c r="C104" s="493" t="s">
        <v>3674</v>
      </c>
      <c r="D104" s="493" t="s">
        <v>3665</v>
      </c>
      <c r="E104" s="493" t="s">
        <v>3719</v>
      </c>
      <c r="F104" s="493" t="s">
        <v>6821</v>
      </c>
      <c r="G104" s="493" t="s">
        <v>7036</v>
      </c>
      <c r="H104" s="493" t="s">
        <v>7037</v>
      </c>
      <c r="I104" s="501" t="s">
        <v>7038</v>
      </c>
    </row>
    <row r="105" spans="1:9" ht="14.45">
      <c r="A105" s="493">
        <v>90083</v>
      </c>
      <c r="B105" s="493" t="s">
        <v>4502</v>
      </c>
      <c r="C105" s="493" t="s">
        <v>3659</v>
      </c>
      <c r="D105" s="493" t="s">
        <v>3665</v>
      </c>
      <c r="E105" s="493" t="s">
        <v>3719</v>
      </c>
      <c r="F105" s="493" t="s">
        <v>6821</v>
      </c>
      <c r="G105" s="493" t="s">
        <v>7039</v>
      </c>
      <c r="H105" s="493" t="s">
        <v>7037</v>
      </c>
      <c r="I105" s="501" t="s">
        <v>7038</v>
      </c>
    </row>
    <row r="106" spans="1:9" ht="14.45">
      <c r="A106" s="493">
        <v>90084</v>
      </c>
      <c r="B106" s="493" t="s">
        <v>4150</v>
      </c>
      <c r="C106" s="493" t="s">
        <v>3674</v>
      </c>
      <c r="D106" s="493" t="s">
        <v>3665</v>
      </c>
      <c r="E106" s="493" t="s">
        <v>3719</v>
      </c>
      <c r="F106" s="493" t="s">
        <v>6821</v>
      </c>
      <c r="G106" s="493" t="s">
        <v>7040</v>
      </c>
      <c r="H106" s="493" t="s">
        <v>7041</v>
      </c>
      <c r="I106" s="501" t="s">
        <v>7038</v>
      </c>
    </row>
    <row r="107" spans="1:9" ht="14.45">
      <c r="A107" s="493">
        <v>90298</v>
      </c>
      <c r="B107" s="493" t="s">
        <v>4509</v>
      </c>
      <c r="C107" s="493" t="s">
        <v>3674</v>
      </c>
      <c r="D107" s="493" t="s">
        <v>3665</v>
      </c>
      <c r="E107" s="493" t="s">
        <v>3719</v>
      </c>
      <c r="F107" s="493" t="s">
        <v>6821</v>
      </c>
      <c r="G107" s="493" t="s">
        <v>7042</v>
      </c>
      <c r="H107" s="493" t="s">
        <v>7043</v>
      </c>
      <c r="I107" s="501" t="s">
        <v>7044</v>
      </c>
    </row>
    <row r="108" spans="1:9" ht="14.45">
      <c r="A108" s="493">
        <v>90299</v>
      </c>
      <c r="B108" s="493" t="s">
        <v>4506</v>
      </c>
      <c r="C108" s="493" t="s">
        <v>3674</v>
      </c>
      <c r="D108" s="493" t="s">
        <v>3665</v>
      </c>
      <c r="E108" s="493" t="s">
        <v>3719</v>
      </c>
      <c r="F108" s="493" t="s">
        <v>6821</v>
      </c>
      <c r="G108" s="493" t="s">
        <v>7045</v>
      </c>
      <c r="H108" s="493" t="s">
        <v>7046</v>
      </c>
      <c r="I108" s="501" t="s">
        <v>7038</v>
      </c>
    </row>
    <row r="109" spans="1:9" ht="14.45">
      <c r="A109" s="493">
        <v>90637</v>
      </c>
      <c r="B109" s="494" t="s">
        <v>3273</v>
      </c>
      <c r="C109" s="493" t="s">
        <v>3674</v>
      </c>
      <c r="D109" s="493" t="s">
        <v>3828</v>
      </c>
      <c r="E109" s="493" t="s">
        <v>3666</v>
      </c>
      <c r="F109" s="493" t="s">
        <v>6821</v>
      </c>
      <c r="G109" s="493" t="s">
        <v>7047</v>
      </c>
      <c r="H109" s="493" t="s">
        <v>7048</v>
      </c>
      <c r="I109" s="501" t="s">
        <v>7049</v>
      </c>
    </row>
    <row r="110" spans="1:9" ht="14.45">
      <c r="A110" s="495">
        <v>90396</v>
      </c>
      <c r="B110" s="494" t="s">
        <v>2596</v>
      </c>
      <c r="C110" s="493" t="s">
        <v>3674</v>
      </c>
      <c r="D110" s="493" t="s">
        <v>3828</v>
      </c>
      <c r="E110" s="493" t="s">
        <v>846</v>
      </c>
      <c r="F110" s="493" t="s">
        <v>6821</v>
      </c>
      <c r="G110" s="493" t="s">
        <v>7050</v>
      </c>
      <c r="H110" s="493" t="s">
        <v>7051</v>
      </c>
      <c r="I110" s="501" t="s">
        <v>7032</v>
      </c>
    </row>
    <row r="111" spans="1:9" ht="14.45">
      <c r="A111" s="493">
        <v>90638</v>
      </c>
      <c r="B111" s="493" t="s">
        <v>3482</v>
      </c>
      <c r="C111" s="493" t="s">
        <v>3674</v>
      </c>
      <c r="D111" s="493" t="s">
        <v>3828</v>
      </c>
      <c r="E111" s="493" t="s">
        <v>3666</v>
      </c>
      <c r="F111" s="493" t="s">
        <v>6821</v>
      </c>
      <c r="G111" s="493" t="s">
        <v>7052</v>
      </c>
      <c r="H111" s="493" t="s">
        <v>7053</v>
      </c>
      <c r="I111" s="501" t="s">
        <v>7054</v>
      </c>
    </row>
    <row r="112" spans="1:9" ht="14.45">
      <c r="A112" s="493">
        <v>90639</v>
      </c>
      <c r="B112" s="493" t="s">
        <v>3486</v>
      </c>
      <c r="C112" s="493" t="s">
        <v>3674</v>
      </c>
      <c r="D112" s="493" t="s">
        <v>3828</v>
      </c>
      <c r="E112" s="493" t="s">
        <v>3666</v>
      </c>
      <c r="F112" s="493" t="s">
        <v>6821</v>
      </c>
      <c r="G112" s="493" t="s">
        <v>7055</v>
      </c>
      <c r="H112" s="493" t="s">
        <v>7056</v>
      </c>
      <c r="I112" s="501" t="s">
        <v>7054</v>
      </c>
    </row>
    <row r="113" spans="1:9" ht="14.45">
      <c r="A113" s="493">
        <v>90640</v>
      </c>
      <c r="B113" s="493" t="s">
        <v>3301</v>
      </c>
      <c r="C113" s="493" t="s">
        <v>3659</v>
      </c>
      <c r="D113" s="493" t="s">
        <v>3828</v>
      </c>
      <c r="E113" s="493" t="s">
        <v>3666</v>
      </c>
      <c r="F113" s="493" t="s">
        <v>6821</v>
      </c>
      <c r="G113" s="493" t="s">
        <v>7057</v>
      </c>
      <c r="H113" s="493" t="s">
        <v>7056</v>
      </c>
      <c r="I113" s="501" t="s">
        <v>7054</v>
      </c>
    </row>
    <row r="114" spans="1:9" ht="14.45">
      <c r="A114" s="493">
        <v>90641</v>
      </c>
      <c r="B114" s="493" t="s">
        <v>3484</v>
      </c>
      <c r="C114" s="493" t="s">
        <v>3674</v>
      </c>
      <c r="D114" s="493" t="s">
        <v>3828</v>
      </c>
      <c r="E114" s="493" t="s">
        <v>3666</v>
      </c>
      <c r="F114" s="493" t="s">
        <v>6821</v>
      </c>
      <c r="G114" s="493" t="s">
        <v>7058</v>
      </c>
      <c r="H114" s="493" t="s">
        <v>7059</v>
      </c>
      <c r="I114" s="501" t="s">
        <v>7054</v>
      </c>
    </row>
    <row r="115" spans="1:9" ht="14.45">
      <c r="A115" s="493">
        <v>90642</v>
      </c>
      <c r="B115" s="493" t="s">
        <v>3488</v>
      </c>
      <c r="C115" s="493" t="s">
        <v>3674</v>
      </c>
      <c r="D115" s="493" t="s">
        <v>3828</v>
      </c>
      <c r="E115" s="493" t="s">
        <v>3666</v>
      </c>
      <c r="F115" s="493" t="s">
        <v>6821</v>
      </c>
      <c r="G115" s="493" t="s">
        <v>7060</v>
      </c>
      <c r="H115" s="493" t="s">
        <v>7061</v>
      </c>
      <c r="I115" s="501" t="s">
        <v>7054</v>
      </c>
    </row>
    <row r="116" spans="1:9" ht="14.45">
      <c r="A116" s="493">
        <v>90490</v>
      </c>
      <c r="B116" s="493" t="s">
        <v>5485</v>
      </c>
      <c r="C116" s="493" t="s">
        <v>3674</v>
      </c>
      <c r="D116" s="493" t="s">
        <v>3711</v>
      </c>
      <c r="E116" s="493" t="s">
        <v>3719</v>
      </c>
      <c r="F116" s="493" t="s">
        <v>6821</v>
      </c>
      <c r="G116" s="493" t="s">
        <v>7062</v>
      </c>
      <c r="H116" s="493" t="s">
        <v>7063</v>
      </c>
      <c r="I116" s="501" t="s">
        <v>7064</v>
      </c>
    </row>
    <row r="117" spans="1:9" ht="14.45">
      <c r="A117" s="493">
        <v>90671</v>
      </c>
      <c r="B117" s="493" t="s">
        <v>4660</v>
      </c>
      <c r="C117" s="493" t="s">
        <v>3674</v>
      </c>
      <c r="D117" s="493" t="s">
        <v>3711</v>
      </c>
      <c r="E117" s="493" t="s">
        <v>3719</v>
      </c>
      <c r="F117" s="493" t="s">
        <v>6821</v>
      </c>
      <c r="G117" s="493" t="s">
        <v>7065</v>
      </c>
      <c r="H117" s="493" t="s">
        <v>7066</v>
      </c>
      <c r="I117" s="501" t="s">
        <v>7067</v>
      </c>
    </row>
    <row r="118" spans="1:9" ht="14.45">
      <c r="A118" s="493">
        <v>90672</v>
      </c>
      <c r="B118" s="493" t="s">
        <v>4663</v>
      </c>
      <c r="C118" s="493" t="s">
        <v>3674</v>
      </c>
      <c r="D118" s="493" t="s">
        <v>3711</v>
      </c>
      <c r="E118" s="493" t="s">
        <v>3719</v>
      </c>
      <c r="F118" s="493" t="s">
        <v>6821</v>
      </c>
      <c r="G118" s="493" t="s">
        <v>7068</v>
      </c>
      <c r="H118" s="493" t="s">
        <v>7069</v>
      </c>
      <c r="I118" s="501" t="s">
        <v>7067</v>
      </c>
    </row>
    <row r="119" spans="1:9" ht="14.45">
      <c r="A119" s="493">
        <v>90673</v>
      </c>
      <c r="B119" s="493" t="s">
        <v>4666</v>
      </c>
      <c r="C119" s="493" t="s">
        <v>3674</v>
      </c>
      <c r="D119" s="493" t="s">
        <v>3711</v>
      </c>
      <c r="E119" s="493" t="s">
        <v>3719</v>
      </c>
      <c r="F119" s="493" t="s">
        <v>6821</v>
      </c>
      <c r="G119" s="493" t="s">
        <v>7070</v>
      </c>
      <c r="H119" s="493" t="s">
        <v>7071</v>
      </c>
      <c r="I119" s="501" t="s">
        <v>7067</v>
      </c>
    </row>
    <row r="120" spans="1:9" ht="14.45">
      <c r="A120" s="493">
        <v>90674</v>
      </c>
      <c r="B120" s="493" t="s">
        <v>4669</v>
      </c>
      <c r="C120" s="493" t="s">
        <v>3674</v>
      </c>
      <c r="D120" s="493" t="s">
        <v>3711</v>
      </c>
      <c r="E120" s="493" t="s">
        <v>3719</v>
      </c>
      <c r="F120" s="493" t="s">
        <v>6821</v>
      </c>
      <c r="G120" s="493" t="s">
        <v>7072</v>
      </c>
      <c r="H120" s="493" t="s">
        <v>7073</v>
      </c>
      <c r="I120" s="501" t="s">
        <v>7067</v>
      </c>
    </row>
    <row r="121" spans="1:9" ht="14.45">
      <c r="A121" s="493">
        <v>90675</v>
      </c>
      <c r="B121" s="493" t="s">
        <v>4672</v>
      </c>
      <c r="C121" s="493" t="s">
        <v>3674</v>
      </c>
      <c r="D121" s="493" t="s">
        <v>3711</v>
      </c>
      <c r="E121" s="493" t="s">
        <v>3719</v>
      </c>
      <c r="F121" s="493" t="s">
        <v>6821</v>
      </c>
      <c r="G121" s="493" t="s">
        <v>7074</v>
      </c>
      <c r="H121" s="493" t="s">
        <v>7075</v>
      </c>
      <c r="I121" s="501" t="s">
        <v>7067</v>
      </c>
    </row>
    <row r="122" spans="1:9" ht="14.45">
      <c r="A122" s="493">
        <v>90676</v>
      </c>
      <c r="B122" s="493" t="s">
        <v>4675</v>
      </c>
      <c r="C122" s="493" t="s">
        <v>3674</v>
      </c>
      <c r="D122" s="493" t="s">
        <v>3711</v>
      </c>
      <c r="E122" s="493" t="s">
        <v>3719</v>
      </c>
      <c r="F122" s="493" t="s">
        <v>6821</v>
      </c>
      <c r="G122" s="493" t="s">
        <v>7076</v>
      </c>
      <c r="H122" s="493" t="s">
        <v>7077</v>
      </c>
      <c r="I122" s="501" t="s">
        <v>7067</v>
      </c>
    </row>
    <row r="123" spans="1:9" ht="14.45">
      <c r="A123" s="493">
        <v>90522</v>
      </c>
      <c r="B123" s="493" t="s">
        <v>4684</v>
      </c>
      <c r="C123" s="493" t="s">
        <v>3674</v>
      </c>
      <c r="D123" s="493" t="s">
        <v>3711</v>
      </c>
      <c r="E123" s="493" t="s">
        <v>3719</v>
      </c>
      <c r="F123" s="493" t="s">
        <v>6821</v>
      </c>
      <c r="G123" s="493" t="s">
        <v>7078</v>
      </c>
      <c r="H123" s="493" t="s">
        <v>7079</v>
      </c>
      <c r="I123" s="501" t="s">
        <v>7080</v>
      </c>
    </row>
    <row r="124" spans="1:9" ht="14.45">
      <c r="A124" s="493">
        <v>90677</v>
      </c>
      <c r="B124" s="494" t="s">
        <v>4649</v>
      </c>
      <c r="C124" s="493" t="s">
        <v>3674</v>
      </c>
      <c r="D124" s="493" t="s">
        <v>3711</v>
      </c>
      <c r="E124" s="493" t="s">
        <v>3719</v>
      </c>
      <c r="F124" s="493" t="s">
        <v>6821</v>
      </c>
      <c r="G124" s="493" t="s">
        <v>7081</v>
      </c>
      <c r="H124" s="493" t="s">
        <v>7082</v>
      </c>
      <c r="I124" s="501" t="s">
        <v>7083</v>
      </c>
    </row>
    <row r="125" spans="1:9" ht="14.45">
      <c r="A125" s="493">
        <v>90678</v>
      </c>
      <c r="B125" s="493" t="s">
        <v>4652</v>
      </c>
      <c r="C125" s="493" t="s">
        <v>3674</v>
      </c>
      <c r="D125" s="493" t="s">
        <v>3711</v>
      </c>
      <c r="E125" s="493" t="s">
        <v>3719</v>
      </c>
      <c r="F125" s="493" t="s">
        <v>6821</v>
      </c>
      <c r="G125" s="493" t="s">
        <v>7084</v>
      </c>
      <c r="H125" s="493" t="s">
        <v>7085</v>
      </c>
      <c r="I125" s="501" t="s">
        <v>7083</v>
      </c>
    </row>
    <row r="126" spans="1:9" ht="14.45">
      <c r="A126" s="493">
        <v>90679</v>
      </c>
      <c r="B126" s="493" t="s">
        <v>4655</v>
      </c>
      <c r="C126" s="493" t="s">
        <v>3674</v>
      </c>
      <c r="D126" s="493" t="s">
        <v>3711</v>
      </c>
      <c r="E126" s="493" t="s">
        <v>3719</v>
      </c>
      <c r="F126" s="493" t="s">
        <v>6821</v>
      </c>
      <c r="G126" s="493" t="s">
        <v>7086</v>
      </c>
      <c r="H126" s="493" t="s">
        <v>7087</v>
      </c>
      <c r="I126" s="501" t="s">
        <v>7083</v>
      </c>
    </row>
    <row r="127" spans="1:9" ht="14.45">
      <c r="A127" s="493">
        <v>90680</v>
      </c>
      <c r="B127" s="493" t="s">
        <v>4658</v>
      </c>
      <c r="C127" s="493" t="s">
        <v>3659</v>
      </c>
      <c r="D127" s="493" t="s">
        <v>3711</v>
      </c>
      <c r="E127" s="493" t="s">
        <v>3719</v>
      </c>
      <c r="F127" s="493" t="s">
        <v>6821</v>
      </c>
      <c r="G127" s="493" t="s">
        <v>7088</v>
      </c>
      <c r="H127" s="493" t="s">
        <v>7087</v>
      </c>
      <c r="I127" s="501" t="s">
        <v>7083</v>
      </c>
    </row>
    <row r="128" spans="1:9" ht="14.45">
      <c r="A128" s="493">
        <v>90576</v>
      </c>
      <c r="B128" s="493" t="s">
        <v>3268</v>
      </c>
      <c r="C128" s="493" t="s">
        <v>3674</v>
      </c>
      <c r="D128" s="493" t="s">
        <v>3711</v>
      </c>
      <c r="E128" s="493" t="s">
        <v>3666</v>
      </c>
      <c r="F128" s="493" t="s">
        <v>6821</v>
      </c>
      <c r="G128" s="493" t="s">
        <v>7089</v>
      </c>
      <c r="H128" s="493" t="s">
        <v>7090</v>
      </c>
      <c r="I128" s="501" t="s">
        <v>7091</v>
      </c>
    </row>
    <row r="129" spans="1:9" ht="14.45">
      <c r="A129" s="493">
        <v>90577</v>
      </c>
      <c r="B129" s="493" t="s">
        <v>3182</v>
      </c>
      <c r="C129" s="493" t="s">
        <v>3674</v>
      </c>
      <c r="D129" s="493" t="s">
        <v>3711</v>
      </c>
      <c r="E129" s="493" t="s">
        <v>3666</v>
      </c>
      <c r="F129" s="493" t="s">
        <v>6821</v>
      </c>
      <c r="G129" s="493" t="s">
        <v>7092</v>
      </c>
      <c r="H129" s="493" t="s">
        <v>7093</v>
      </c>
      <c r="I129" s="501" t="s">
        <v>7094</v>
      </c>
    </row>
    <row r="130" spans="1:9" ht="14.45">
      <c r="A130" s="493">
        <v>90392</v>
      </c>
      <c r="B130" s="493" t="s">
        <v>2719</v>
      </c>
      <c r="C130" s="493" t="s">
        <v>3674</v>
      </c>
      <c r="D130" s="493" t="s">
        <v>3711</v>
      </c>
      <c r="E130" s="493" t="s">
        <v>846</v>
      </c>
      <c r="F130" s="493" t="s">
        <v>6821</v>
      </c>
      <c r="G130" s="493" t="s">
        <v>7095</v>
      </c>
      <c r="H130" s="493" t="s">
        <v>7096</v>
      </c>
      <c r="I130" s="501" t="s">
        <v>7032</v>
      </c>
    </row>
    <row r="131" spans="1:9" ht="14.45">
      <c r="A131" s="493">
        <v>90391</v>
      </c>
      <c r="B131" s="493" t="s">
        <v>7097</v>
      </c>
      <c r="C131" s="493" t="s">
        <v>3674</v>
      </c>
      <c r="D131" s="493" t="s">
        <v>3711</v>
      </c>
      <c r="E131" s="493" t="s">
        <v>846</v>
      </c>
      <c r="F131" s="493" t="s">
        <v>6821</v>
      </c>
      <c r="G131" s="493" t="s">
        <v>7098</v>
      </c>
      <c r="H131" s="493" t="s">
        <v>7099</v>
      </c>
      <c r="I131" s="501" t="s">
        <v>7100</v>
      </c>
    </row>
    <row r="132" spans="1:9" ht="14.45">
      <c r="A132" s="493">
        <v>90390</v>
      </c>
      <c r="B132" s="493" t="s">
        <v>7101</v>
      </c>
      <c r="C132" s="493" t="s">
        <v>3674</v>
      </c>
      <c r="D132" s="493" t="s">
        <v>3711</v>
      </c>
      <c r="E132" s="493" t="s">
        <v>846</v>
      </c>
      <c r="F132" s="493" t="s">
        <v>6821</v>
      </c>
      <c r="G132" s="493" t="s">
        <v>7102</v>
      </c>
      <c r="H132" s="493" t="s">
        <v>7103</v>
      </c>
      <c r="I132" s="501" t="s">
        <v>7100</v>
      </c>
    </row>
    <row r="133" spans="1:9" ht="14.45">
      <c r="A133" s="493">
        <v>90578</v>
      </c>
      <c r="B133" s="493" t="s">
        <v>3286</v>
      </c>
      <c r="C133" s="493" t="s">
        <v>3674</v>
      </c>
      <c r="D133" s="493" t="s">
        <v>3711</v>
      </c>
      <c r="E133" s="493" t="s">
        <v>3666</v>
      </c>
      <c r="F133" s="493" t="s">
        <v>6821</v>
      </c>
      <c r="G133" s="493" t="s">
        <v>7104</v>
      </c>
      <c r="H133" s="493" t="s">
        <v>7105</v>
      </c>
      <c r="I133" s="501" t="s">
        <v>7106</v>
      </c>
    </row>
    <row r="134" spans="1:9" ht="14.45">
      <c r="A134" s="493">
        <v>90389</v>
      </c>
      <c r="B134" s="495" t="s">
        <v>2723</v>
      </c>
      <c r="C134" s="493" t="s">
        <v>3674</v>
      </c>
      <c r="D134" s="493" t="s">
        <v>3711</v>
      </c>
      <c r="E134" s="493" t="s">
        <v>846</v>
      </c>
      <c r="F134" s="493" t="s">
        <v>6821</v>
      </c>
      <c r="G134" s="493" t="s">
        <v>7107</v>
      </c>
      <c r="H134" s="493" t="s">
        <v>7108</v>
      </c>
      <c r="I134" s="501" t="s">
        <v>7109</v>
      </c>
    </row>
    <row r="135" spans="1:9" ht="14.45">
      <c r="A135" s="493">
        <v>90388</v>
      </c>
      <c r="B135" s="493" t="s">
        <v>4713</v>
      </c>
      <c r="C135" s="493" t="s">
        <v>3674</v>
      </c>
      <c r="D135" s="493" t="s">
        <v>3711</v>
      </c>
      <c r="E135" s="493" t="s">
        <v>846</v>
      </c>
      <c r="F135" s="493" t="s">
        <v>6821</v>
      </c>
      <c r="G135" s="493" t="s">
        <v>7110</v>
      </c>
      <c r="H135" s="493" t="s">
        <v>7108</v>
      </c>
      <c r="I135" s="501" t="s">
        <v>7109</v>
      </c>
    </row>
    <row r="136" spans="1:9" ht="14.45">
      <c r="A136" s="493">
        <v>90579</v>
      </c>
      <c r="B136" s="493" t="s">
        <v>3242</v>
      </c>
      <c r="C136" s="493" t="s">
        <v>3674</v>
      </c>
      <c r="D136" s="493" t="s">
        <v>3711</v>
      </c>
      <c r="E136" s="493" t="s">
        <v>3666</v>
      </c>
      <c r="F136" s="493" t="s">
        <v>6821</v>
      </c>
      <c r="G136" s="493" t="s">
        <v>7111</v>
      </c>
      <c r="H136" s="493" t="s">
        <v>7112</v>
      </c>
      <c r="I136" s="501" t="s">
        <v>7113</v>
      </c>
    </row>
    <row r="137" spans="1:9" ht="14.45">
      <c r="A137" s="493">
        <v>90580</v>
      </c>
      <c r="B137" s="493" t="s">
        <v>3244</v>
      </c>
      <c r="C137" s="493" t="s">
        <v>3674</v>
      </c>
      <c r="D137" s="493" t="s">
        <v>3711</v>
      </c>
      <c r="E137" s="493" t="s">
        <v>3666</v>
      </c>
      <c r="F137" s="493" t="s">
        <v>6821</v>
      </c>
      <c r="G137" s="493" t="s">
        <v>7114</v>
      </c>
      <c r="H137" s="493" t="s">
        <v>7115</v>
      </c>
      <c r="I137" s="501" t="s">
        <v>7113</v>
      </c>
    </row>
    <row r="138" spans="1:9" ht="14.45">
      <c r="A138" s="493">
        <v>90581</v>
      </c>
      <c r="B138" s="493" t="s">
        <v>3246</v>
      </c>
      <c r="C138" s="493" t="s">
        <v>3674</v>
      </c>
      <c r="D138" s="493" t="s">
        <v>3711</v>
      </c>
      <c r="E138" s="493" t="s">
        <v>3666</v>
      </c>
      <c r="F138" s="493" t="s">
        <v>6821</v>
      </c>
      <c r="G138" s="493" t="s">
        <v>7116</v>
      </c>
      <c r="H138" s="493" t="s">
        <v>7117</v>
      </c>
      <c r="I138" s="501" t="s">
        <v>7113</v>
      </c>
    </row>
    <row r="139" spans="1:9" ht="14.45">
      <c r="A139" s="493">
        <v>90582</v>
      </c>
      <c r="B139" s="493" t="s">
        <v>3170</v>
      </c>
      <c r="C139" s="493" t="s">
        <v>3674</v>
      </c>
      <c r="D139" s="493" t="s">
        <v>3711</v>
      </c>
      <c r="E139" s="493" t="s">
        <v>3666</v>
      </c>
      <c r="F139" s="493" t="s">
        <v>6821</v>
      </c>
      <c r="G139" s="493" t="s">
        <v>7118</v>
      </c>
      <c r="H139" s="493" t="s">
        <v>7119</v>
      </c>
      <c r="I139" s="501" t="s">
        <v>7049</v>
      </c>
    </row>
    <row r="140" spans="1:9" ht="14.45">
      <c r="A140" s="493">
        <v>90583</v>
      </c>
      <c r="B140" s="495" t="s">
        <v>3256</v>
      </c>
      <c r="C140" s="493" t="s">
        <v>3674</v>
      </c>
      <c r="D140" s="493" t="s">
        <v>3711</v>
      </c>
      <c r="E140" s="493" t="s">
        <v>3666</v>
      </c>
      <c r="F140" s="493" t="s">
        <v>6821</v>
      </c>
      <c r="G140" s="493" t="s">
        <v>7120</v>
      </c>
      <c r="H140" s="493" t="s">
        <v>7121</v>
      </c>
      <c r="I140" s="501" t="s">
        <v>7049</v>
      </c>
    </row>
    <row r="141" spans="1:9" ht="14.45">
      <c r="A141" s="493">
        <v>90584</v>
      </c>
      <c r="B141" s="493" t="s">
        <v>3175</v>
      </c>
      <c r="C141" s="493" t="s">
        <v>3674</v>
      </c>
      <c r="D141" s="493" t="s">
        <v>3711</v>
      </c>
      <c r="E141" s="493" t="s">
        <v>3666</v>
      </c>
      <c r="F141" s="493" t="s">
        <v>6821</v>
      </c>
      <c r="G141" s="493" t="s">
        <v>7122</v>
      </c>
      <c r="H141" s="493" t="s">
        <v>7121</v>
      </c>
      <c r="I141" s="501" t="s">
        <v>7049</v>
      </c>
    </row>
    <row r="142" spans="1:9" ht="14.45">
      <c r="A142" s="493">
        <v>90585</v>
      </c>
      <c r="B142" s="495" t="s">
        <v>3173</v>
      </c>
      <c r="C142" s="493" t="s">
        <v>3674</v>
      </c>
      <c r="D142" s="493" t="s">
        <v>3711</v>
      </c>
      <c r="E142" s="493" t="s">
        <v>3666</v>
      </c>
      <c r="F142" s="493" t="s">
        <v>6821</v>
      </c>
      <c r="G142" s="493" t="s">
        <v>7123</v>
      </c>
      <c r="H142" s="493" t="s">
        <v>7124</v>
      </c>
      <c r="I142" s="501" t="s">
        <v>7049</v>
      </c>
    </row>
    <row r="143" spans="1:9" ht="14.45">
      <c r="A143" s="493">
        <v>90609</v>
      </c>
      <c r="B143" s="493" t="s">
        <v>2583</v>
      </c>
      <c r="C143" s="493" t="s">
        <v>3674</v>
      </c>
      <c r="D143" s="493" t="s">
        <v>3711</v>
      </c>
      <c r="E143" s="493" t="s">
        <v>846</v>
      </c>
      <c r="F143" s="493" t="s">
        <v>6821</v>
      </c>
      <c r="G143" s="493" t="s">
        <v>7125</v>
      </c>
      <c r="H143" s="493" t="s">
        <v>7126</v>
      </c>
      <c r="I143" s="501" t="s">
        <v>6965</v>
      </c>
    </row>
    <row r="144" spans="1:9" ht="14.45">
      <c r="A144" s="493">
        <v>90610</v>
      </c>
      <c r="B144" s="493" t="s">
        <v>2600</v>
      </c>
      <c r="C144" s="493" t="s">
        <v>3674</v>
      </c>
      <c r="D144" s="493" t="s">
        <v>3711</v>
      </c>
      <c r="E144" s="493" t="s">
        <v>846</v>
      </c>
      <c r="F144" s="493" t="s">
        <v>6821</v>
      </c>
      <c r="G144" s="493" t="s">
        <v>7127</v>
      </c>
      <c r="H144" s="493" t="s">
        <v>7128</v>
      </c>
      <c r="I144" s="501" t="s">
        <v>6965</v>
      </c>
    </row>
    <row r="145" spans="1:9" ht="14.45">
      <c r="A145" s="493">
        <v>90586</v>
      </c>
      <c r="B145" s="493" t="s">
        <v>3445</v>
      </c>
      <c r="C145" s="493" t="s">
        <v>3674</v>
      </c>
      <c r="D145" s="493" t="s">
        <v>3711</v>
      </c>
      <c r="E145" s="493" t="s">
        <v>3666</v>
      </c>
      <c r="F145" s="493" t="s">
        <v>6821</v>
      </c>
      <c r="G145" s="493" t="s">
        <v>7129</v>
      </c>
      <c r="H145" s="493" t="s">
        <v>7130</v>
      </c>
      <c r="I145" s="501" t="s">
        <v>7113</v>
      </c>
    </row>
    <row r="146" spans="1:9" ht="14.45">
      <c r="A146" s="493">
        <v>90385</v>
      </c>
      <c r="B146" s="493" t="s">
        <v>2721</v>
      </c>
      <c r="C146" s="493" t="s">
        <v>3674</v>
      </c>
      <c r="D146" s="493" t="s">
        <v>3711</v>
      </c>
      <c r="E146" s="493" t="s">
        <v>846</v>
      </c>
      <c r="F146" s="493" t="s">
        <v>6821</v>
      </c>
      <c r="G146" s="493" t="s">
        <v>7131</v>
      </c>
      <c r="H146" s="493" t="s">
        <v>7132</v>
      </c>
      <c r="I146" s="501" t="s">
        <v>6927</v>
      </c>
    </row>
    <row r="147" spans="1:9" ht="14.45">
      <c r="A147" s="493">
        <v>90440</v>
      </c>
      <c r="B147" s="493" t="s">
        <v>2717</v>
      </c>
      <c r="C147" s="493" t="s">
        <v>3674</v>
      </c>
      <c r="D147" s="493" t="s">
        <v>3711</v>
      </c>
      <c r="E147" s="493" t="s">
        <v>846</v>
      </c>
      <c r="F147" s="493" t="s">
        <v>6821</v>
      </c>
      <c r="G147" s="493" t="s">
        <v>7133</v>
      </c>
      <c r="H147" s="493" t="s">
        <v>7099</v>
      </c>
      <c r="I147" s="501" t="s">
        <v>7100</v>
      </c>
    </row>
    <row r="148" spans="1:9" ht="14.45">
      <c r="A148" s="493">
        <v>90037</v>
      </c>
      <c r="B148" s="493" t="s">
        <v>4629</v>
      </c>
      <c r="C148" s="493" t="s">
        <v>3674</v>
      </c>
      <c r="D148" s="493" t="s">
        <v>3828</v>
      </c>
      <c r="E148" s="493" t="s">
        <v>4444</v>
      </c>
      <c r="F148" s="493" t="s">
        <v>6821</v>
      </c>
      <c r="G148" s="493" t="s">
        <v>7134</v>
      </c>
      <c r="H148" s="493" t="s">
        <v>7135</v>
      </c>
      <c r="I148" s="501" t="s">
        <v>7136</v>
      </c>
    </row>
    <row r="149" spans="1:9" ht="14.45">
      <c r="A149" s="493">
        <v>90036</v>
      </c>
      <c r="B149" s="493" t="s">
        <v>4632</v>
      </c>
      <c r="C149" s="493" t="s">
        <v>3674</v>
      </c>
      <c r="D149" s="493" t="s">
        <v>3828</v>
      </c>
      <c r="E149" s="493" t="s">
        <v>4444</v>
      </c>
      <c r="F149" s="493" t="s">
        <v>6821</v>
      </c>
      <c r="G149" s="493" t="s">
        <v>7137</v>
      </c>
      <c r="H149" s="493" t="s">
        <v>7135</v>
      </c>
      <c r="I149" s="501" t="s">
        <v>7136</v>
      </c>
    </row>
    <row r="150" spans="1:9" ht="14.45">
      <c r="A150" s="493">
        <v>90035</v>
      </c>
      <c r="B150" s="493" t="s">
        <v>4623</v>
      </c>
      <c r="C150" s="493" t="s">
        <v>3674</v>
      </c>
      <c r="D150" s="493" t="s">
        <v>3828</v>
      </c>
      <c r="E150" s="493" t="s">
        <v>4444</v>
      </c>
      <c r="F150" s="493" t="s">
        <v>6821</v>
      </c>
      <c r="G150" s="493" t="s">
        <v>7138</v>
      </c>
      <c r="H150" s="493" t="s">
        <v>7139</v>
      </c>
      <c r="I150" s="501" t="s">
        <v>7136</v>
      </c>
    </row>
    <row r="151" spans="1:9" ht="14.45">
      <c r="A151" s="493">
        <v>90034</v>
      </c>
      <c r="B151" s="493" t="s">
        <v>4626</v>
      </c>
      <c r="C151" s="493" t="s">
        <v>3674</v>
      </c>
      <c r="D151" s="493" t="s">
        <v>3828</v>
      </c>
      <c r="E151" s="493" t="s">
        <v>4444</v>
      </c>
      <c r="F151" s="493" t="s">
        <v>6821</v>
      </c>
      <c r="G151" s="493" t="s">
        <v>7140</v>
      </c>
      <c r="H151" s="493" t="s">
        <v>7141</v>
      </c>
      <c r="I151" s="501" t="s">
        <v>7136</v>
      </c>
    </row>
    <row r="152" spans="1:9" ht="14.45">
      <c r="A152" s="493">
        <v>90520</v>
      </c>
      <c r="B152" s="493" t="s">
        <v>4678</v>
      </c>
      <c r="C152" s="493" t="s">
        <v>3674</v>
      </c>
      <c r="D152" s="493" t="s">
        <v>3711</v>
      </c>
      <c r="E152" s="493" t="s">
        <v>3719</v>
      </c>
      <c r="F152" s="493" t="s">
        <v>6821</v>
      </c>
      <c r="G152" s="493" t="s">
        <v>7142</v>
      </c>
      <c r="H152" s="493" t="s">
        <v>7143</v>
      </c>
      <c r="I152" s="501" t="s">
        <v>7144</v>
      </c>
    </row>
    <row r="153" spans="1:9" ht="14.45">
      <c r="A153" s="493">
        <v>90521</v>
      </c>
      <c r="B153" s="493" t="s">
        <v>4681</v>
      </c>
      <c r="C153" s="493" t="s">
        <v>3674</v>
      </c>
      <c r="D153" s="493" t="s">
        <v>3711</v>
      </c>
      <c r="E153" s="493" t="s">
        <v>3719</v>
      </c>
      <c r="F153" s="493" t="s">
        <v>6821</v>
      </c>
      <c r="G153" s="493" t="s">
        <v>7145</v>
      </c>
      <c r="H153" s="493" t="s">
        <v>7146</v>
      </c>
      <c r="I153" s="501" t="s">
        <v>7144</v>
      </c>
    </row>
    <row r="154" spans="1:9" ht="14.45">
      <c r="A154" s="493">
        <v>90481</v>
      </c>
      <c r="B154" s="494" t="s">
        <v>3100</v>
      </c>
      <c r="C154" s="493" t="s">
        <v>3674</v>
      </c>
      <c r="D154" s="493" t="s">
        <v>3770</v>
      </c>
      <c r="E154" s="493" t="s">
        <v>4309</v>
      </c>
      <c r="F154" s="493" t="s">
        <v>6906</v>
      </c>
      <c r="G154" s="493" t="s">
        <v>7147</v>
      </c>
      <c r="H154" s="493" t="s">
        <v>7148</v>
      </c>
      <c r="I154" s="501" t="s">
        <v>7149</v>
      </c>
    </row>
    <row r="155" spans="1:9" ht="14.45">
      <c r="A155" s="493">
        <v>90484</v>
      </c>
      <c r="B155" s="493" t="s">
        <v>3102</v>
      </c>
      <c r="C155" s="493" t="s">
        <v>3674</v>
      </c>
      <c r="D155" s="493" t="s">
        <v>3770</v>
      </c>
      <c r="E155" s="493" t="s">
        <v>4309</v>
      </c>
      <c r="F155" s="493" t="s">
        <v>6906</v>
      </c>
      <c r="G155" s="493" t="s">
        <v>7150</v>
      </c>
      <c r="H155" s="493" t="s">
        <v>7148</v>
      </c>
      <c r="I155" s="501" t="s">
        <v>7149</v>
      </c>
    </row>
    <row r="156" spans="1:9" ht="14.45">
      <c r="A156" s="493">
        <v>90483</v>
      </c>
      <c r="B156" s="493" t="s">
        <v>3135</v>
      </c>
      <c r="C156" s="493" t="s">
        <v>3674</v>
      </c>
      <c r="D156" s="493" t="s">
        <v>3770</v>
      </c>
      <c r="E156" s="493" t="s">
        <v>4309</v>
      </c>
      <c r="F156" s="493" t="s">
        <v>6906</v>
      </c>
      <c r="G156" s="493" t="s">
        <v>7151</v>
      </c>
      <c r="H156" s="493" t="s">
        <v>7152</v>
      </c>
      <c r="I156" s="501" t="s">
        <v>7149</v>
      </c>
    </row>
    <row r="157" spans="1:9" ht="14.45">
      <c r="A157" s="493">
        <v>90474</v>
      </c>
      <c r="B157" s="493" t="s">
        <v>3138</v>
      </c>
      <c r="C157" s="493" t="s">
        <v>3674</v>
      </c>
      <c r="D157" s="493" t="s">
        <v>3770</v>
      </c>
      <c r="E157" s="493" t="s">
        <v>4309</v>
      </c>
      <c r="F157" s="493" t="s">
        <v>6906</v>
      </c>
      <c r="G157" s="493" t="s">
        <v>7153</v>
      </c>
      <c r="H157" s="493" t="s">
        <v>7154</v>
      </c>
      <c r="I157" s="501" t="s">
        <v>7149</v>
      </c>
    </row>
    <row r="158" spans="1:9" ht="14.45">
      <c r="A158" s="493">
        <v>90473</v>
      </c>
      <c r="B158" s="493" t="s">
        <v>3140</v>
      </c>
      <c r="C158" s="493" t="s">
        <v>3674</v>
      </c>
      <c r="D158" s="493" t="s">
        <v>3770</v>
      </c>
      <c r="E158" s="493" t="s">
        <v>4309</v>
      </c>
      <c r="F158" s="493" t="s">
        <v>6906</v>
      </c>
      <c r="G158" s="493" t="s">
        <v>7155</v>
      </c>
      <c r="H158" s="493" t="s">
        <v>7156</v>
      </c>
      <c r="I158" s="501" t="s">
        <v>7149</v>
      </c>
    </row>
    <row r="159" spans="1:9" ht="14.45">
      <c r="A159" s="493">
        <v>90472</v>
      </c>
      <c r="B159" s="493" t="s">
        <v>3107</v>
      </c>
      <c r="C159" s="493" t="s">
        <v>3674</v>
      </c>
      <c r="D159" s="493" t="s">
        <v>3770</v>
      </c>
      <c r="E159" s="493" t="s">
        <v>4309</v>
      </c>
      <c r="F159" s="493" t="s">
        <v>6906</v>
      </c>
      <c r="G159" s="493" t="s">
        <v>7157</v>
      </c>
      <c r="H159" s="493" t="s">
        <v>7156</v>
      </c>
      <c r="I159" s="501" t="s">
        <v>7149</v>
      </c>
    </row>
    <row r="160" spans="1:9" ht="14.45">
      <c r="A160" s="493">
        <v>90142</v>
      </c>
      <c r="B160" s="493" t="s">
        <v>2685</v>
      </c>
      <c r="C160" s="493" t="s">
        <v>3674</v>
      </c>
      <c r="D160" s="493" t="s">
        <v>3932</v>
      </c>
      <c r="E160" s="493" t="s">
        <v>846</v>
      </c>
      <c r="F160" s="493" t="s">
        <v>6821</v>
      </c>
      <c r="G160" s="493" t="s">
        <v>7158</v>
      </c>
      <c r="H160" s="493" t="s">
        <v>7159</v>
      </c>
      <c r="I160" s="501" t="s">
        <v>7160</v>
      </c>
    </row>
    <row r="161" spans="1:9" ht="14.45">
      <c r="A161" s="493">
        <v>90471</v>
      </c>
      <c r="B161" s="493" t="s">
        <v>3136</v>
      </c>
      <c r="C161" s="493" t="s">
        <v>3674</v>
      </c>
      <c r="D161" s="493" t="s">
        <v>3770</v>
      </c>
      <c r="E161" s="493" t="s">
        <v>4309</v>
      </c>
      <c r="F161" s="493" t="s">
        <v>6906</v>
      </c>
      <c r="G161" s="493" t="s">
        <v>7161</v>
      </c>
      <c r="H161" s="493" t="s">
        <v>7162</v>
      </c>
      <c r="I161" s="501" t="s">
        <v>7149</v>
      </c>
    </row>
    <row r="162" spans="1:9" ht="14.45">
      <c r="A162" s="493">
        <v>90470</v>
      </c>
      <c r="B162" s="493" t="s">
        <v>3103</v>
      </c>
      <c r="C162" s="493" t="s">
        <v>3674</v>
      </c>
      <c r="D162" s="493" t="s">
        <v>3770</v>
      </c>
      <c r="E162" s="493" t="s">
        <v>4309</v>
      </c>
      <c r="F162" s="493" t="s">
        <v>6906</v>
      </c>
      <c r="G162" s="493" t="s">
        <v>7163</v>
      </c>
      <c r="H162" s="493" t="s">
        <v>7162</v>
      </c>
      <c r="I162" s="501" t="s">
        <v>7149</v>
      </c>
    </row>
    <row r="163" spans="1:9" ht="14.45">
      <c r="A163" s="493">
        <v>90802</v>
      </c>
      <c r="B163" s="493" t="s">
        <v>3808</v>
      </c>
      <c r="C163" s="493" t="s">
        <v>3674</v>
      </c>
      <c r="D163" s="493" t="s">
        <v>3770</v>
      </c>
      <c r="E163" s="493" t="s">
        <v>3719</v>
      </c>
      <c r="F163" s="493" t="s">
        <v>6906</v>
      </c>
      <c r="G163" s="493" t="s">
        <v>7164</v>
      </c>
      <c r="H163" s="493" t="s">
        <v>7165</v>
      </c>
      <c r="I163" s="501" t="s">
        <v>7166</v>
      </c>
    </row>
    <row r="164" spans="1:9" ht="14.45">
      <c r="A164" s="493">
        <v>90803</v>
      </c>
      <c r="B164" s="493" t="s">
        <v>3811</v>
      </c>
      <c r="C164" s="493" t="s">
        <v>3674</v>
      </c>
      <c r="D164" s="493" t="s">
        <v>3770</v>
      </c>
      <c r="E164" s="493" t="s">
        <v>3719</v>
      </c>
      <c r="F164" s="493" t="s">
        <v>6906</v>
      </c>
      <c r="G164" s="493" t="s">
        <v>7167</v>
      </c>
      <c r="H164" s="493" t="s">
        <v>7165</v>
      </c>
      <c r="I164" s="501" t="s">
        <v>7166</v>
      </c>
    </row>
    <row r="165" spans="1:9" ht="14.45">
      <c r="A165" s="493">
        <v>90555</v>
      </c>
      <c r="B165" s="493" t="s">
        <v>3820</v>
      </c>
      <c r="C165" s="493" t="s">
        <v>3674</v>
      </c>
      <c r="D165" s="493" t="s">
        <v>3770</v>
      </c>
      <c r="E165" s="493" t="s">
        <v>3719</v>
      </c>
      <c r="F165" s="493" t="s">
        <v>6906</v>
      </c>
      <c r="G165" s="493" t="s">
        <v>7168</v>
      </c>
      <c r="H165" s="493" t="s">
        <v>7169</v>
      </c>
      <c r="I165" s="501" t="s">
        <v>7166</v>
      </c>
    </row>
    <row r="166" spans="1:9" ht="14.45">
      <c r="A166" s="493">
        <v>90556</v>
      </c>
      <c r="B166" s="493" t="s">
        <v>3823</v>
      </c>
      <c r="C166" s="493" t="s">
        <v>3674</v>
      </c>
      <c r="D166" s="493" t="s">
        <v>3770</v>
      </c>
      <c r="E166" s="493" t="s">
        <v>3719</v>
      </c>
      <c r="F166" s="493" t="s">
        <v>6906</v>
      </c>
      <c r="G166" s="493" t="s">
        <v>7170</v>
      </c>
      <c r="H166" s="493" t="s">
        <v>7169</v>
      </c>
      <c r="I166" s="501" t="s">
        <v>7166</v>
      </c>
    </row>
    <row r="167" spans="1:9" ht="14.45">
      <c r="A167" s="493">
        <v>90557</v>
      </c>
      <c r="B167" s="493" t="s">
        <v>4375</v>
      </c>
      <c r="C167" s="493" t="s">
        <v>3674</v>
      </c>
      <c r="D167" s="493" t="s">
        <v>3770</v>
      </c>
      <c r="E167" s="493" t="s">
        <v>3719</v>
      </c>
      <c r="F167" s="493" t="s">
        <v>6906</v>
      </c>
      <c r="G167" s="493" t="s">
        <v>7171</v>
      </c>
      <c r="H167" s="493" t="s">
        <v>7172</v>
      </c>
      <c r="I167" s="501" t="s">
        <v>7166</v>
      </c>
    </row>
    <row r="168" spans="1:9" ht="14.45">
      <c r="A168" s="493">
        <v>90558</v>
      </c>
      <c r="B168" s="493" t="s">
        <v>4378</v>
      </c>
      <c r="C168" s="493" t="s">
        <v>3674</v>
      </c>
      <c r="D168" s="493" t="s">
        <v>3770</v>
      </c>
      <c r="E168" s="493" t="s">
        <v>3719</v>
      </c>
      <c r="F168" s="493" t="s">
        <v>6906</v>
      </c>
      <c r="G168" s="493" t="s">
        <v>7173</v>
      </c>
      <c r="H168" s="493" t="s">
        <v>7172</v>
      </c>
      <c r="I168" s="501" t="s">
        <v>7166</v>
      </c>
    </row>
    <row r="169" spans="1:9" ht="14.45">
      <c r="A169" s="493">
        <v>90559</v>
      </c>
      <c r="B169" s="493" t="s">
        <v>4381</v>
      </c>
      <c r="C169" s="493" t="s">
        <v>3674</v>
      </c>
      <c r="D169" s="493" t="s">
        <v>3770</v>
      </c>
      <c r="E169" s="493" t="s">
        <v>3719</v>
      </c>
      <c r="F169" s="493" t="s">
        <v>6906</v>
      </c>
      <c r="G169" s="493" t="s">
        <v>7174</v>
      </c>
      <c r="H169" s="493" t="s">
        <v>7172</v>
      </c>
      <c r="I169" s="501" t="s">
        <v>7166</v>
      </c>
    </row>
    <row r="170" spans="1:9" ht="14.45">
      <c r="A170" s="493">
        <v>90560</v>
      </c>
      <c r="B170" s="493" t="s">
        <v>4384</v>
      </c>
      <c r="C170" s="493" t="s">
        <v>3674</v>
      </c>
      <c r="D170" s="493" t="s">
        <v>3770</v>
      </c>
      <c r="E170" s="493" t="s">
        <v>3719</v>
      </c>
      <c r="F170" s="493" t="s">
        <v>6906</v>
      </c>
      <c r="G170" s="493" t="s">
        <v>7175</v>
      </c>
      <c r="H170" s="493" t="s">
        <v>7172</v>
      </c>
      <c r="I170" s="501" t="s">
        <v>7166</v>
      </c>
    </row>
    <row r="171" spans="1:9" ht="14.45">
      <c r="A171" s="493">
        <v>90595</v>
      </c>
      <c r="B171" s="493" t="s">
        <v>3013</v>
      </c>
      <c r="C171" s="493" t="s">
        <v>3674</v>
      </c>
      <c r="D171" s="493" t="s">
        <v>3770</v>
      </c>
      <c r="E171" s="493" t="s">
        <v>43</v>
      </c>
      <c r="F171" s="493" t="s">
        <v>6821</v>
      </c>
      <c r="G171" s="493" t="s">
        <v>7176</v>
      </c>
      <c r="H171" s="493" t="s">
        <v>7177</v>
      </c>
      <c r="I171" s="501" t="s">
        <v>7178</v>
      </c>
    </row>
    <row r="172" spans="1:9" ht="14.45">
      <c r="A172" s="493">
        <v>90596</v>
      </c>
      <c r="B172" s="493" t="s">
        <v>3015</v>
      </c>
      <c r="C172" s="493" t="s">
        <v>3674</v>
      </c>
      <c r="D172" s="493" t="s">
        <v>3770</v>
      </c>
      <c r="E172" s="493" t="s">
        <v>43</v>
      </c>
      <c r="F172" s="493" t="s">
        <v>6821</v>
      </c>
      <c r="G172" s="493" t="s">
        <v>7179</v>
      </c>
      <c r="H172" s="493" t="s">
        <v>7177</v>
      </c>
      <c r="I172" s="501" t="s">
        <v>7178</v>
      </c>
    </row>
    <row r="173" spans="1:9" ht="14.45">
      <c r="A173" s="493">
        <v>90469</v>
      </c>
      <c r="B173" s="493" t="s">
        <v>3095</v>
      </c>
      <c r="C173" s="493" t="s">
        <v>3674</v>
      </c>
      <c r="D173" s="493" t="s">
        <v>3770</v>
      </c>
      <c r="E173" s="493" t="s">
        <v>4309</v>
      </c>
      <c r="F173" s="493" t="s">
        <v>6821</v>
      </c>
      <c r="G173" s="493" t="s">
        <v>7180</v>
      </c>
      <c r="H173" s="493" t="s">
        <v>7181</v>
      </c>
      <c r="I173" s="501" t="s">
        <v>7182</v>
      </c>
    </row>
    <row r="174" spans="1:9" ht="14.45">
      <c r="A174" s="493">
        <v>90815</v>
      </c>
      <c r="B174" s="493" t="s">
        <v>3775</v>
      </c>
      <c r="C174" s="493" t="s">
        <v>3674</v>
      </c>
      <c r="D174" s="493" t="s">
        <v>3770</v>
      </c>
      <c r="E174" s="493" t="s">
        <v>3719</v>
      </c>
      <c r="F174" s="493" t="s">
        <v>6906</v>
      </c>
      <c r="G174" s="493" t="s">
        <v>7183</v>
      </c>
      <c r="H174" s="493" t="s">
        <v>7184</v>
      </c>
      <c r="I174" s="501" t="s">
        <v>7185</v>
      </c>
    </row>
    <row r="175" spans="1:9" ht="14.45">
      <c r="A175" s="493">
        <v>90816</v>
      </c>
      <c r="B175" s="493" t="s">
        <v>3778</v>
      </c>
      <c r="C175" s="493" t="s">
        <v>3674</v>
      </c>
      <c r="D175" s="493" t="s">
        <v>3770</v>
      </c>
      <c r="E175" s="493" t="s">
        <v>3719</v>
      </c>
      <c r="F175" s="493" t="s">
        <v>6906</v>
      </c>
      <c r="G175" s="493" t="s">
        <v>7186</v>
      </c>
      <c r="H175" s="493" t="s">
        <v>7184</v>
      </c>
      <c r="I175" s="501" t="s">
        <v>7185</v>
      </c>
    </row>
    <row r="176" spans="1:9" ht="14.45">
      <c r="A176" s="493">
        <v>90807</v>
      </c>
      <c r="B176" s="493" t="s">
        <v>4417</v>
      </c>
      <c r="C176" s="493" t="s">
        <v>3674</v>
      </c>
      <c r="D176" s="493" t="s">
        <v>3770</v>
      </c>
      <c r="E176" s="493" t="s">
        <v>3719</v>
      </c>
      <c r="F176" s="493" t="s">
        <v>6906</v>
      </c>
      <c r="G176" s="493" t="s">
        <v>7187</v>
      </c>
      <c r="H176" s="493" t="s">
        <v>7188</v>
      </c>
      <c r="I176" s="501" t="s">
        <v>6915</v>
      </c>
    </row>
    <row r="177" spans="1:9" ht="14.45">
      <c r="A177" s="493">
        <v>90808</v>
      </c>
      <c r="B177" s="493" t="s">
        <v>4420</v>
      </c>
      <c r="C177" s="493" t="s">
        <v>3674</v>
      </c>
      <c r="D177" s="493" t="s">
        <v>3770</v>
      </c>
      <c r="E177" s="493" t="s">
        <v>3719</v>
      </c>
      <c r="F177" s="493" t="s">
        <v>6906</v>
      </c>
      <c r="G177" s="493" t="s">
        <v>7189</v>
      </c>
      <c r="H177" s="493" t="s">
        <v>7188</v>
      </c>
      <c r="I177" s="501" t="s">
        <v>6915</v>
      </c>
    </row>
    <row r="178" spans="1:9" ht="14.45">
      <c r="A178" s="493">
        <v>90809</v>
      </c>
      <c r="B178" s="493" t="s">
        <v>4423</v>
      </c>
      <c r="C178" s="493" t="s">
        <v>3674</v>
      </c>
      <c r="D178" s="493" t="s">
        <v>3770</v>
      </c>
      <c r="E178" s="493" t="s">
        <v>3719</v>
      </c>
      <c r="F178" s="493" t="s">
        <v>6906</v>
      </c>
      <c r="G178" s="493" t="s">
        <v>7190</v>
      </c>
      <c r="H178" s="493" t="s">
        <v>7188</v>
      </c>
      <c r="I178" s="501" t="s">
        <v>6915</v>
      </c>
    </row>
    <row r="179" spans="1:9" ht="14.45">
      <c r="A179" s="493">
        <v>90412</v>
      </c>
      <c r="B179" s="493" t="s">
        <v>3450</v>
      </c>
      <c r="C179" s="493" t="s">
        <v>3674</v>
      </c>
      <c r="D179" s="493" t="s">
        <v>3918</v>
      </c>
      <c r="E179" s="493" t="s">
        <v>3666</v>
      </c>
      <c r="F179" s="493" t="s">
        <v>6821</v>
      </c>
      <c r="G179" s="493" t="s">
        <v>7191</v>
      </c>
      <c r="H179" s="493" t="s">
        <v>7192</v>
      </c>
      <c r="I179" s="501" t="s">
        <v>7193</v>
      </c>
    </row>
    <row r="180" spans="1:9" ht="14.45">
      <c r="A180" s="493">
        <v>90411</v>
      </c>
      <c r="B180" s="493" t="s">
        <v>3453</v>
      </c>
      <c r="C180" s="493" t="s">
        <v>3659</v>
      </c>
      <c r="D180" s="493" t="s">
        <v>3918</v>
      </c>
      <c r="E180" s="493" t="s">
        <v>3666</v>
      </c>
      <c r="F180" s="493" t="s">
        <v>6821</v>
      </c>
      <c r="G180" s="493" t="s">
        <v>7194</v>
      </c>
      <c r="H180" s="493" t="s">
        <v>7192</v>
      </c>
      <c r="I180" s="501" t="s">
        <v>7193</v>
      </c>
    </row>
    <row r="181" spans="1:9" ht="14.45">
      <c r="A181" s="493">
        <v>90323</v>
      </c>
      <c r="B181" s="496" t="s">
        <v>3455</v>
      </c>
      <c r="C181" s="493" t="s">
        <v>3674</v>
      </c>
      <c r="D181" s="493" t="s">
        <v>3918</v>
      </c>
      <c r="E181" s="493" t="s">
        <v>3666</v>
      </c>
      <c r="F181" s="493" t="s">
        <v>6821</v>
      </c>
      <c r="G181" s="493" t="s">
        <v>7195</v>
      </c>
      <c r="H181" s="493" t="s">
        <v>7196</v>
      </c>
      <c r="I181" s="501" t="s">
        <v>7193</v>
      </c>
    </row>
    <row r="182" spans="1:9" ht="14.45">
      <c r="A182" s="493">
        <v>90322</v>
      </c>
      <c r="B182" s="496" t="s">
        <v>3457</v>
      </c>
      <c r="C182" s="493" t="s">
        <v>3674</v>
      </c>
      <c r="D182" s="493" t="s">
        <v>3918</v>
      </c>
      <c r="E182" s="493" t="s">
        <v>3666</v>
      </c>
      <c r="F182" s="493" t="s">
        <v>6821</v>
      </c>
      <c r="G182" s="493" t="s">
        <v>7197</v>
      </c>
      <c r="H182" s="493" t="s">
        <v>7196</v>
      </c>
      <c r="I182" s="501" t="s">
        <v>7193</v>
      </c>
    </row>
    <row r="183" spans="1:9" ht="14.45">
      <c r="A183" s="493">
        <v>90410</v>
      </c>
      <c r="B183" s="493" t="s">
        <v>3459</v>
      </c>
      <c r="C183" s="493" t="s">
        <v>3674</v>
      </c>
      <c r="D183" s="493" t="s">
        <v>3918</v>
      </c>
      <c r="E183" s="493" t="s">
        <v>3666</v>
      </c>
      <c r="F183" s="493" t="s">
        <v>6821</v>
      </c>
      <c r="G183" s="493" t="s">
        <v>7198</v>
      </c>
      <c r="H183" s="493" t="s">
        <v>7199</v>
      </c>
      <c r="I183" s="501" t="s">
        <v>7193</v>
      </c>
    </row>
    <row r="184" spans="1:9" ht="14.45">
      <c r="A184" s="493">
        <v>90321</v>
      </c>
      <c r="B184" s="493" t="s">
        <v>3461</v>
      </c>
      <c r="C184" s="493" t="s">
        <v>3659</v>
      </c>
      <c r="D184" s="493" t="s">
        <v>3918</v>
      </c>
      <c r="E184" s="493" t="s">
        <v>3666</v>
      </c>
      <c r="F184" s="493" t="s">
        <v>6821</v>
      </c>
      <c r="G184" s="493" t="s">
        <v>7200</v>
      </c>
      <c r="H184" s="493" t="s">
        <v>7201</v>
      </c>
      <c r="I184" s="501" t="s">
        <v>7193</v>
      </c>
    </row>
    <row r="185" spans="1:9" ht="14.45">
      <c r="A185" s="493">
        <v>90602</v>
      </c>
      <c r="B185" s="494" t="s">
        <v>3506</v>
      </c>
      <c r="C185" s="493" t="s">
        <v>3674</v>
      </c>
      <c r="D185" s="493" t="s">
        <v>3918</v>
      </c>
      <c r="E185" s="493" t="s">
        <v>3666</v>
      </c>
      <c r="F185" s="493" t="s">
        <v>6821</v>
      </c>
      <c r="G185" s="493" t="s">
        <v>7202</v>
      </c>
      <c r="H185" s="493" t="s">
        <v>7203</v>
      </c>
      <c r="I185" s="501" t="s">
        <v>7204</v>
      </c>
    </row>
    <row r="186" spans="1:9" ht="14.45">
      <c r="A186" s="493">
        <v>90601</v>
      </c>
      <c r="B186" s="493" t="s">
        <v>3473</v>
      </c>
      <c r="C186" s="493" t="s">
        <v>3659</v>
      </c>
      <c r="D186" s="493" t="s">
        <v>3918</v>
      </c>
      <c r="E186" s="493" t="s">
        <v>3666</v>
      </c>
      <c r="F186" s="493" t="s">
        <v>6821</v>
      </c>
      <c r="G186" s="493" t="s">
        <v>7205</v>
      </c>
      <c r="H186" s="493" t="s">
        <v>7203</v>
      </c>
      <c r="I186" s="501" t="s">
        <v>7204</v>
      </c>
    </row>
    <row r="187" spans="1:9" ht="14.45">
      <c r="A187" s="493">
        <v>90683</v>
      </c>
      <c r="B187" s="493" t="s">
        <v>5692</v>
      </c>
      <c r="C187" s="493" t="s">
        <v>3674</v>
      </c>
      <c r="D187" s="493" t="s">
        <v>3918</v>
      </c>
      <c r="E187" s="493" t="s">
        <v>3919</v>
      </c>
      <c r="F187" s="493" t="s">
        <v>6821</v>
      </c>
      <c r="G187" s="493" t="s">
        <v>7206</v>
      </c>
      <c r="H187" s="493" t="s">
        <v>7207</v>
      </c>
      <c r="I187" s="501" t="s">
        <v>7208</v>
      </c>
    </row>
    <row r="188" spans="1:9" ht="14.45">
      <c r="A188" s="493">
        <v>90684</v>
      </c>
      <c r="B188" s="493" t="s">
        <v>5703</v>
      </c>
      <c r="C188" s="493" t="s">
        <v>3674</v>
      </c>
      <c r="D188" s="493" t="s">
        <v>3918</v>
      </c>
      <c r="E188" s="493" t="s">
        <v>3919</v>
      </c>
      <c r="F188" s="493" t="s">
        <v>6821</v>
      </c>
      <c r="G188" s="493" t="s">
        <v>7209</v>
      </c>
      <c r="H188" s="493" t="s">
        <v>7210</v>
      </c>
      <c r="I188" s="501" t="s">
        <v>7211</v>
      </c>
    </row>
    <row r="189" spans="1:9" ht="14.45">
      <c r="A189" s="493">
        <v>90685</v>
      </c>
      <c r="B189" s="493" t="s">
        <v>5706</v>
      </c>
      <c r="C189" s="493" t="s">
        <v>3659</v>
      </c>
      <c r="D189" s="493" t="s">
        <v>3918</v>
      </c>
      <c r="E189" s="493" t="s">
        <v>3919</v>
      </c>
      <c r="F189" s="493" t="s">
        <v>6821</v>
      </c>
      <c r="G189" s="493" t="s">
        <v>7212</v>
      </c>
      <c r="H189" s="493" t="s">
        <v>7210</v>
      </c>
      <c r="I189" s="501" t="s">
        <v>7211</v>
      </c>
    </row>
    <row r="190" spans="1:9" ht="14.45">
      <c r="A190" s="493">
        <v>90686</v>
      </c>
      <c r="B190" s="493" t="s">
        <v>5697</v>
      </c>
      <c r="C190" s="493" t="s">
        <v>3674</v>
      </c>
      <c r="D190" s="493" t="s">
        <v>3918</v>
      </c>
      <c r="E190" s="493" t="s">
        <v>3919</v>
      </c>
      <c r="F190" s="493" t="s">
        <v>6821</v>
      </c>
      <c r="G190" s="493" t="s">
        <v>7213</v>
      </c>
      <c r="H190" s="493" t="s">
        <v>7214</v>
      </c>
      <c r="I190" s="501" t="s">
        <v>7215</v>
      </c>
    </row>
    <row r="191" spans="1:9" ht="14.45">
      <c r="A191" s="493">
        <v>90687</v>
      </c>
      <c r="B191" s="493" t="s">
        <v>5678</v>
      </c>
      <c r="C191" s="493" t="s">
        <v>3674</v>
      </c>
      <c r="D191" s="493" t="s">
        <v>3918</v>
      </c>
      <c r="E191" s="493" t="s">
        <v>3919</v>
      </c>
      <c r="F191" s="493" t="s">
        <v>6821</v>
      </c>
      <c r="G191" s="493" t="s">
        <v>7216</v>
      </c>
      <c r="H191" s="493" t="s">
        <v>7217</v>
      </c>
      <c r="I191" s="501" t="s">
        <v>7215</v>
      </c>
    </row>
    <row r="192" spans="1:9" ht="14.45">
      <c r="A192" s="493">
        <v>90688</v>
      </c>
      <c r="B192" s="493" t="s">
        <v>5681</v>
      </c>
      <c r="C192" s="493" t="s">
        <v>3659</v>
      </c>
      <c r="D192" s="493" t="s">
        <v>3918</v>
      </c>
      <c r="E192" s="493" t="s">
        <v>3919</v>
      </c>
      <c r="F192" s="493" t="s">
        <v>6821</v>
      </c>
      <c r="G192" s="493" t="s">
        <v>7218</v>
      </c>
      <c r="H192" s="493" t="s">
        <v>7217</v>
      </c>
      <c r="I192" s="501" t="s">
        <v>7215</v>
      </c>
    </row>
    <row r="193" spans="1:9" ht="14.45">
      <c r="A193" s="493">
        <v>90689</v>
      </c>
      <c r="B193" s="493" t="s">
        <v>5687</v>
      </c>
      <c r="C193" s="493" t="s">
        <v>3674</v>
      </c>
      <c r="D193" s="493" t="s">
        <v>3918</v>
      </c>
      <c r="E193" s="493" t="s">
        <v>3919</v>
      </c>
      <c r="F193" s="493" t="s">
        <v>6821</v>
      </c>
      <c r="G193" s="493" t="s">
        <v>7219</v>
      </c>
      <c r="H193" s="493" t="s">
        <v>7220</v>
      </c>
      <c r="I193" s="501" t="s">
        <v>7215</v>
      </c>
    </row>
    <row r="194" spans="1:9" ht="14.45">
      <c r="A194" s="493">
        <v>90690</v>
      </c>
      <c r="B194" s="493" t="s">
        <v>5670</v>
      </c>
      <c r="C194" s="493" t="s">
        <v>3674</v>
      </c>
      <c r="D194" s="493" t="s">
        <v>3918</v>
      </c>
      <c r="E194" s="493" t="s">
        <v>3919</v>
      </c>
      <c r="F194" s="493" t="s">
        <v>6821</v>
      </c>
      <c r="G194" s="493" t="s">
        <v>7221</v>
      </c>
      <c r="H194" s="493" t="s">
        <v>7222</v>
      </c>
      <c r="I194" s="501" t="s">
        <v>7215</v>
      </c>
    </row>
    <row r="195" spans="1:9" ht="14.45">
      <c r="A195" s="493">
        <v>90691</v>
      </c>
      <c r="B195" s="493" t="s">
        <v>5675</v>
      </c>
      <c r="C195" s="493" t="s">
        <v>3674</v>
      </c>
      <c r="D195" s="493" t="s">
        <v>3918</v>
      </c>
      <c r="E195" s="493" t="s">
        <v>3919</v>
      </c>
      <c r="F195" s="493" t="s">
        <v>6821</v>
      </c>
      <c r="G195" s="493" t="s">
        <v>7223</v>
      </c>
      <c r="H195" s="493" t="s">
        <v>7224</v>
      </c>
      <c r="I195" s="501" t="s">
        <v>7215</v>
      </c>
    </row>
    <row r="196" spans="1:9" ht="14.45">
      <c r="A196" s="493">
        <v>90692</v>
      </c>
      <c r="B196" s="493" t="s">
        <v>5666</v>
      </c>
      <c r="C196" s="493" t="s">
        <v>3674</v>
      </c>
      <c r="D196" s="493" t="s">
        <v>3918</v>
      </c>
      <c r="E196" s="493" t="s">
        <v>3919</v>
      </c>
      <c r="F196" s="493" t="s">
        <v>6821</v>
      </c>
      <c r="G196" s="493" t="s">
        <v>7225</v>
      </c>
      <c r="H196" s="493" t="s">
        <v>7226</v>
      </c>
      <c r="I196" s="501" t="s">
        <v>7227</v>
      </c>
    </row>
    <row r="197" spans="1:9" ht="14.45">
      <c r="A197" s="493">
        <v>90693</v>
      </c>
      <c r="B197" s="493" t="s">
        <v>5708</v>
      </c>
      <c r="C197" s="493" t="s">
        <v>3674</v>
      </c>
      <c r="D197" s="493" t="s">
        <v>3918</v>
      </c>
      <c r="E197" s="493" t="s">
        <v>3919</v>
      </c>
      <c r="F197" s="493" t="s">
        <v>6821</v>
      </c>
      <c r="G197" s="493" t="s">
        <v>7228</v>
      </c>
      <c r="H197" s="493" t="s">
        <v>7229</v>
      </c>
      <c r="I197" s="501" t="s">
        <v>7211</v>
      </c>
    </row>
    <row r="198" spans="1:9" ht="14.45">
      <c r="A198" s="493">
        <v>90694</v>
      </c>
      <c r="B198" s="493" t="s">
        <v>5712</v>
      </c>
      <c r="C198" s="493" t="s">
        <v>3659</v>
      </c>
      <c r="D198" s="493" t="s">
        <v>3918</v>
      </c>
      <c r="E198" s="493" t="s">
        <v>3919</v>
      </c>
      <c r="F198" s="493" t="s">
        <v>6821</v>
      </c>
      <c r="G198" s="493" t="s">
        <v>7230</v>
      </c>
      <c r="H198" s="493" t="s">
        <v>7229</v>
      </c>
      <c r="I198" s="501" t="s">
        <v>7211</v>
      </c>
    </row>
    <row r="199" spans="1:9" ht="14.45">
      <c r="A199" s="493">
        <v>90695</v>
      </c>
      <c r="B199" s="493" t="s">
        <v>5813</v>
      </c>
      <c r="C199" s="493" t="s">
        <v>3674</v>
      </c>
      <c r="D199" s="493" t="s">
        <v>3918</v>
      </c>
      <c r="E199" s="493" t="s">
        <v>3919</v>
      </c>
      <c r="F199" s="493" t="s">
        <v>6821</v>
      </c>
      <c r="G199" s="493" t="s">
        <v>7231</v>
      </c>
      <c r="H199" s="493" t="s">
        <v>7232</v>
      </c>
      <c r="I199" s="501" t="s">
        <v>7233</v>
      </c>
    </row>
    <row r="200" spans="1:9" ht="14.45">
      <c r="A200" s="493">
        <v>90696</v>
      </c>
      <c r="B200" s="493" t="s">
        <v>5816</v>
      </c>
      <c r="C200" s="493" t="s">
        <v>3659</v>
      </c>
      <c r="D200" s="493" t="s">
        <v>3918</v>
      </c>
      <c r="E200" s="493" t="s">
        <v>3919</v>
      </c>
      <c r="F200" s="493" t="s">
        <v>6821</v>
      </c>
      <c r="G200" s="493" t="s">
        <v>7234</v>
      </c>
      <c r="H200" s="493" t="s">
        <v>7232</v>
      </c>
      <c r="I200" s="501" t="s">
        <v>7233</v>
      </c>
    </row>
    <row r="201" spans="1:9" ht="14.45">
      <c r="A201" s="493">
        <v>90697</v>
      </c>
      <c r="B201" s="493" t="s">
        <v>5821</v>
      </c>
      <c r="C201" s="493" t="s">
        <v>3674</v>
      </c>
      <c r="D201" s="493" t="s">
        <v>3918</v>
      </c>
      <c r="E201" s="493" t="s">
        <v>3919</v>
      </c>
      <c r="F201" s="493" t="s">
        <v>6821</v>
      </c>
      <c r="G201" s="493" t="s">
        <v>7235</v>
      </c>
      <c r="H201" s="493" t="s">
        <v>7236</v>
      </c>
      <c r="I201" s="501" t="s">
        <v>7233</v>
      </c>
    </row>
    <row r="202" spans="1:9" ht="14.45">
      <c r="A202" s="493">
        <v>90698</v>
      </c>
      <c r="B202" s="493" t="s">
        <v>5824</v>
      </c>
      <c r="C202" s="493" t="s">
        <v>3659</v>
      </c>
      <c r="D202" s="493" t="s">
        <v>3918</v>
      </c>
      <c r="E202" s="493" t="s">
        <v>3919</v>
      </c>
      <c r="F202" s="493" t="s">
        <v>6821</v>
      </c>
      <c r="G202" s="493" t="s">
        <v>7237</v>
      </c>
      <c r="H202" s="493" t="s">
        <v>7236</v>
      </c>
      <c r="I202" s="501" t="s">
        <v>7233</v>
      </c>
    </row>
    <row r="203" spans="1:9" ht="14.45">
      <c r="A203" s="493">
        <v>90699</v>
      </c>
      <c r="B203" s="493" t="s">
        <v>5806</v>
      </c>
      <c r="C203" s="493" t="s">
        <v>3674</v>
      </c>
      <c r="D203" s="493" t="s">
        <v>3918</v>
      </c>
      <c r="E203" s="493" t="s">
        <v>3919</v>
      </c>
      <c r="F203" s="493" t="s">
        <v>6821</v>
      </c>
      <c r="G203" s="493" t="s">
        <v>7238</v>
      </c>
      <c r="H203" s="493" t="s">
        <v>7239</v>
      </c>
      <c r="I203" s="501" t="s">
        <v>7233</v>
      </c>
    </row>
    <row r="204" spans="1:9" ht="14.45">
      <c r="A204" s="493">
        <v>90700</v>
      </c>
      <c r="B204" s="493" t="s">
        <v>5809</v>
      </c>
      <c r="C204" s="493" t="s">
        <v>3659</v>
      </c>
      <c r="D204" s="493" t="s">
        <v>3918</v>
      </c>
      <c r="E204" s="493" t="s">
        <v>3919</v>
      </c>
      <c r="F204" s="493" t="s">
        <v>6821</v>
      </c>
      <c r="G204" s="493" t="s">
        <v>7240</v>
      </c>
      <c r="H204" s="493" t="s">
        <v>7239</v>
      </c>
      <c r="I204" s="501" t="s">
        <v>7233</v>
      </c>
    </row>
    <row r="205" spans="1:9" ht="14.45">
      <c r="A205" s="495">
        <v>90701</v>
      </c>
      <c r="B205" s="493" t="s">
        <v>5757</v>
      </c>
      <c r="C205" s="493" t="s">
        <v>3674</v>
      </c>
      <c r="D205" s="493" t="s">
        <v>3918</v>
      </c>
      <c r="E205" s="493" t="s">
        <v>3919</v>
      </c>
      <c r="F205" s="493" t="s">
        <v>6821</v>
      </c>
      <c r="G205" s="493" t="s">
        <v>7241</v>
      </c>
      <c r="H205" s="493" t="s">
        <v>7242</v>
      </c>
      <c r="I205" s="501" t="s">
        <v>7233</v>
      </c>
    </row>
    <row r="206" spans="1:9" ht="14.45">
      <c r="A206" s="495">
        <v>90702</v>
      </c>
      <c r="B206" s="493" t="s">
        <v>5743</v>
      </c>
      <c r="C206" s="493" t="s">
        <v>3674</v>
      </c>
      <c r="D206" s="493" t="s">
        <v>3918</v>
      </c>
      <c r="E206" s="493" t="s">
        <v>3919</v>
      </c>
      <c r="F206" s="493" t="s">
        <v>6821</v>
      </c>
      <c r="G206" s="493" t="s">
        <v>7243</v>
      </c>
      <c r="H206" s="493" t="s">
        <v>7244</v>
      </c>
      <c r="I206" s="501" t="s">
        <v>7233</v>
      </c>
    </row>
    <row r="207" spans="1:9" ht="14.45">
      <c r="A207" s="493">
        <v>90703</v>
      </c>
      <c r="B207" s="493" t="s">
        <v>5746</v>
      </c>
      <c r="C207" s="493" t="s">
        <v>3674</v>
      </c>
      <c r="D207" s="493" t="s">
        <v>3918</v>
      </c>
      <c r="E207" s="493" t="s">
        <v>3919</v>
      </c>
      <c r="F207" s="493" t="s">
        <v>6821</v>
      </c>
      <c r="G207" s="493" t="s">
        <v>7245</v>
      </c>
      <c r="H207" s="493" t="s">
        <v>7246</v>
      </c>
      <c r="I207" s="501" t="s">
        <v>7233</v>
      </c>
    </row>
    <row r="208" spans="1:9" ht="14.45">
      <c r="A208" s="493">
        <v>90704</v>
      </c>
      <c r="B208" s="493" t="s">
        <v>5749</v>
      </c>
      <c r="C208" s="493" t="s">
        <v>3659</v>
      </c>
      <c r="D208" s="493" t="s">
        <v>3918</v>
      </c>
      <c r="E208" s="493" t="s">
        <v>3919</v>
      </c>
      <c r="F208" s="493" t="s">
        <v>6821</v>
      </c>
      <c r="G208" s="493" t="s">
        <v>7247</v>
      </c>
      <c r="H208" s="493" t="s">
        <v>7246</v>
      </c>
      <c r="I208" s="501" t="s">
        <v>7233</v>
      </c>
    </row>
    <row r="209" spans="1:9" ht="14.45">
      <c r="A209" s="493">
        <v>90705</v>
      </c>
      <c r="B209" s="493" t="s">
        <v>5751</v>
      </c>
      <c r="C209" s="493" t="s">
        <v>3674</v>
      </c>
      <c r="D209" s="493" t="s">
        <v>3918</v>
      </c>
      <c r="E209" s="493" t="s">
        <v>3919</v>
      </c>
      <c r="F209" s="493" t="s">
        <v>6821</v>
      </c>
      <c r="G209" s="493" t="s">
        <v>7248</v>
      </c>
      <c r="H209" s="493" t="s">
        <v>7249</v>
      </c>
      <c r="I209" s="501" t="s">
        <v>7233</v>
      </c>
    </row>
    <row r="210" spans="1:9" ht="14.45">
      <c r="A210" s="493">
        <v>90706</v>
      </c>
      <c r="B210" s="493" t="s">
        <v>5754</v>
      </c>
      <c r="C210" s="493" t="s">
        <v>3659</v>
      </c>
      <c r="D210" s="493" t="s">
        <v>3918</v>
      </c>
      <c r="E210" s="493" t="s">
        <v>3919</v>
      </c>
      <c r="F210" s="493" t="s">
        <v>6821</v>
      </c>
      <c r="G210" s="493" t="s">
        <v>7250</v>
      </c>
      <c r="H210" s="493" t="s">
        <v>7249</v>
      </c>
      <c r="I210" s="501" t="s">
        <v>7233</v>
      </c>
    </row>
    <row r="211" spans="1:9" ht="14.45">
      <c r="A211" s="493">
        <v>90600</v>
      </c>
      <c r="B211" s="493" t="s">
        <v>5300</v>
      </c>
      <c r="C211" s="493" t="s">
        <v>3674</v>
      </c>
      <c r="D211" s="493" t="s">
        <v>3918</v>
      </c>
      <c r="E211" s="493" t="s">
        <v>3719</v>
      </c>
      <c r="F211" s="493" t="s">
        <v>6821</v>
      </c>
      <c r="G211" s="493" t="s">
        <v>7251</v>
      </c>
      <c r="H211" s="493" t="s">
        <v>7252</v>
      </c>
      <c r="I211" s="501" t="s">
        <v>7253</v>
      </c>
    </row>
    <row r="212" spans="1:9" ht="14.45">
      <c r="A212" s="493">
        <v>90599</v>
      </c>
      <c r="B212" s="494" t="s">
        <v>5291</v>
      </c>
      <c r="C212" s="493" t="s">
        <v>3674</v>
      </c>
      <c r="D212" s="493" t="s">
        <v>3918</v>
      </c>
      <c r="E212" s="493" t="s">
        <v>3719</v>
      </c>
      <c r="F212" s="493" t="s">
        <v>6821</v>
      </c>
      <c r="G212" s="493" t="s">
        <v>7254</v>
      </c>
      <c r="H212" s="493" t="s">
        <v>7255</v>
      </c>
      <c r="I212" s="501" t="s">
        <v>7256</v>
      </c>
    </row>
    <row r="213" spans="1:9" ht="14.45">
      <c r="A213" s="493">
        <v>90598</v>
      </c>
      <c r="B213" s="494" t="s">
        <v>5287</v>
      </c>
      <c r="C213" s="493" t="s">
        <v>3674</v>
      </c>
      <c r="D213" s="493" t="s">
        <v>3918</v>
      </c>
      <c r="E213" s="493" t="s">
        <v>3719</v>
      </c>
      <c r="F213" s="493" t="s">
        <v>6821</v>
      </c>
      <c r="G213" s="493" t="s">
        <v>7257</v>
      </c>
      <c r="H213" s="493" t="s">
        <v>7258</v>
      </c>
      <c r="I213" s="501" t="s">
        <v>7256</v>
      </c>
    </row>
    <row r="214" spans="1:9" ht="14.45">
      <c r="A214" s="493">
        <v>90593</v>
      </c>
      <c r="B214" s="493" t="s">
        <v>5312</v>
      </c>
      <c r="C214" s="493" t="s">
        <v>3674</v>
      </c>
      <c r="D214" s="493" t="s">
        <v>3918</v>
      </c>
      <c r="E214" s="493" t="s">
        <v>3719</v>
      </c>
      <c r="F214" s="493" t="s">
        <v>6821</v>
      </c>
      <c r="G214" s="493" t="s">
        <v>7259</v>
      </c>
      <c r="H214" s="493" t="s">
        <v>7260</v>
      </c>
      <c r="I214" s="501" t="s">
        <v>7261</v>
      </c>
    </row>
    <row r="215" spans="1:9" ht="14.45">
      <c r="A215" s="493">
        <v>90592</v>
      </c>
      <c r="B215" s="493" t="s">
        <v>5315</v>
      </c>
      <c r="C215" s="493" t="s">
        <v>3659</v>
      </c>
      <c r="D215" s="493" t="s">
        <v>3918</v>
      </c>
      <c r="E215" s="493" t="s">
        <v>3719</v>
      </c>
      <c r="F215" s="493" t="s">
        <v>6821</v>
      </c>
      <c r="G215" s="493" t="s">
        <v>7262</v>
      </c>
      <c r="H215" s="493" t="s">
        <v>7260</v>
      </c>
      <c r="I215" s="501" t="s">
        <v>7261</v>
      </c>
    </row>
    <row r="216" spans="1:9" ht="14.45">
      <c r="A216" s="493">
        <v>90316</v>
      </c>
      <c r="B216" s="493" t="s">
        <v>5317</v>
      </c>
      <c r="C216" s="493" t="s">
        <v>3674</v>
      </c>
      <c r="D216" s="493" t="s">
        <v>3918</v>
      </c>
      <c r="E216" s="493" t="s">
        <v>3719</v>
      </c>
      <c r="F216" s="493" t="s">
        <v>6821</v>
      </c>
      <c r="G216" s="493" t="s">
        <v>7263</v>
      </c>
      <c r="H216" s="493" t="s">
        <v>7260</v>
      </c>
      <c r="I216" s="501" t="s">
        <v>7264</v>
      </c>
    </row>
    <row r="217" spans="1:9" ht="14.45">
      <c r="A217" s="493">
        <v>90597</v>
      </c>
      <c r="B217" s="494" t="s">
        <v>5307</v>
      </c>
      <c r="C217" s="493" t="s">
        <v>3674</v>
      </c>
      <c r="D217" s="493" t="s">
        <v>3918</v>
      </c>
      <c r="E217" s="493" t="s">
        <v>3719</v>
      </c>
      <c r="F217" s="493" t="s">
        <v>6821</v>
      </c>
      <c r="G217" s="493" t="s">
        <v>7265</v>
      </c>
      <c r="H217" s="493" t="s">
        <v>7266</v>
      </c>
      <c r="I217" s="501" t="s">
        <v>7261</v>
      </c>
    </row>
    <row r="218" spans="1:9" ht="14.45">
      <c r="A218" s="493">
        <v>90707</v>
      </c>
      <c r="B218" s="493" t="s">
        <v>5769</v>
      </c>
      <c r="C218" s="493" t="s">
        <v>3674</v>
      </c>
      <c r="D218" s="493" t="s">
        <v>3918</v>
      </c>
      <c r="E218" s="493" t="s">
        <v>3919</v>
      </c>
      <c r="F218" s="493" t="s">
        <v>6821</v>
      </c>
      <c r="G218" s="493" t="s">
        <v>7267</v>
      </c>
      <c r="H218" s="493" t="s">
        <v>7268</v>
      </c>
      <c r="I218" s="501" t="s">
        <v>7233</v>
      </c>
    </row>
    <row r="219" spans="1:9" ht="14.45">
      <c r="A219" s="493">
        <v>90708</v>
      </c>
      <c r="B219" s="493" t="s">
        <v>5733</v>
      </c>
      <c r="C219" s="493" t="s">
        <v>3674</v>
      </c>
      <c r="D219" s="493" t="s">
        <v>3918</v>
      </c>
      <c r="E219" s="493" t="s">
        <v>3919</v>
      </c>
      <c r="F219" s="493" t="s">
        <v>6821</v>
      </c>
      <c r="G219" s="493" t="s">
        <v>7269</v>
      </c>
      <c r="H219" s="493" t="s">
        <v>7270</v>
      </c>
      <c r="I219" s="501" t="s">
        <v>7233</v>
      </c>
    </row>
    <row r="220" spans="1:9" ht="14.45">
      <c r="A220" s="493">
        <v>90709</v>
      </c>
      <c r="B220" s="493" t="s">
        <v>5717</v>
      </c>
      <c r="C220" s="493" t="s">
        <v>3674</v>
      </c>
      <c r="D220" s="493" t="s">
        <v>3918</v>
      </c>
      <c r="E220" s="493" t="s">
        <v>3919</v>
      </c>
      <c r="F220" s="493" t="s">
        <v>6821</v>
      </c>
      <c r="G220" s="493" t="s">
        <v>7271</v>
      </c>
      <c r="H220" s="493" t="s">
        <v>7272</v>
      </c>
      <c r="I220" s="501" t="s">
        <v>7273</v>
      </c>
    </row>
    <row r="221" spans="1:9" ht="14.45">
      <c r="A221" s="493">
        <v>90811</v>
      </c>
      <c r="B221" s="493" t="s">
        <v>5723</v>
      </c>
      <c r="C221" s="493" t="s">
        <v>3674</v>
      </c>
      <c r="D221" s="493" t="s">
        <v>3918</v>
      </c>
      <c r="E221" s="493" t="s">
        <v>3919</v>
      </c>
      <c r="F221" s="493" t="s">
        <v>6821</v>
      </c>
      <c r="G221" s="493" t="s">
        <v>7274</v>
      </c>
      <c r="H221" s="493" t="s">
        <v>7275</v>
      </c>
      <c r="I221" s="501" t="s">
        <v>7276</v>
      </c>
    </row>
    <row r="222" spans="1:9" ht="14.45">
      <c r="A222" s="493">
        <v>90812</v>
      </c>
      <c r="B222" s="493" t="s">
        <v>5726</v>
      </c>
      <c r="C222" s="493" t="s">
        <v>3674</v>
      </c>
      <c r="D222" s="493" t="s">
        <v>3918</v>
      </c>
      <c r="E222" s="493" t="s">
        <v>3919</v>
      </c>
      <c r="F222" s="493" t="s">
        <v>6821</v>
      </c>
      <c r="G222" s="493" t="s">
        <v>7277</v>
      </c>
      <c r="H222" s="493" t="s">
        <v>7275</v>
      </c>
      <c r="I222" s="501" t="s">
        <v>7276</v>
      </c>
    </row>
    <row r="223" spans="1:9" ht="14.45">
      <c r="A223" s="493">
        <v>90712</v>
      </c>
      <c r="B223" s="493" t="s">
        <v>5740</v>
      </c>
      <c r="C223" s="493" t="s">
        <v>3674</v>
      </c>
      <c r="D223" s="493" t="s">
        <v>3918</v>
      </c>
      <c r="E223" s="493" t="s">
        <v>3919</v>
      </c>
      <c r="F223" s="493" t="s">
        <v>6821</v>
      </c>
      <c r="G223" s="493" t="s">
        <v>7278</v>
      </c>
      <c r="H223" s="493" t="s">
        <v>7279</v>
      </c>
      <c r="I223" s="501" t="s">
        <v>7233</v>
      </c>
    </row>
    <row r="224" spans="1:9" ht="14.45">
      <c r="A224" s="493">
        <v>90713</v>
      </c>
      <c r="B224" s="493" t="s">
        <v>5607</v>
      </c>
      <c r="C224" s="493" t="s">
        <v>3674</v>
      </c>
      <c r="D224" s="493" t="s">
        <v>3918</v>
      </c>
      <c r="E224" s="493" t="s">
        <v>3919</v>
      </c>
      <c r="F224" s="493" t="s">
        <v>6821</v>
      </c>
      <c r="G224" s="493" t="s">
        <v>7280</v>
      </c>
      <c r="H224" s="493" t="s">
        <v>7281</v>
      </c>
      <c r="I224" s="501" t="s">
        <v>7282</v>
      </c>
    </row>
    <row r="225" spans="1:9" ht="14.45">
      <c r="A225" s="493">
        <v>90714</v>
      </c>
      <c r="B225" s="493" t="s">
        <v>3917</v>
      </c>
      <c r="C225" s="493" t="s">
        <v>3674</v>
      </c>
      <c r="D225" s="493" t="s">
        <v>3918</v>
      </c>
      <c r="E225" s="493" t="s">
        <v>3919</v>
      </c>
      <c r="F225" s="493" t="s">
        <v>6821</v>
      </c>
      <c r="G225" s="493" t="s">
        <v>7283</v>
      </c>
      <c r="H225" s="493" t="s">
        <v>7284</v>
      </c>
      <c r="I225" s="501" t="s">
        <v>7285</v>
      </c>
    </row>
    <row r="226" spans="1:9" ht="14.45">
      <c r="A226" s="493">
        <v>90409</v>
      </c>
      <c r="B226" s="494" t="s">
        <v>3502</v>
      </c>
      <c r="C226" s="493" t="s">
        <v>3674</v>
      </c>
      <c r="D226" s="493" t="s">
        <v>3918</v>
      </c>
      <c r="E226" s="493" t="s">
        <v>3666</v>
      </c>
      <c r="F226" s="493" t="s">
        <v>6821</v>
      </c>
      <c r="G226" s="493" t="s">
        <v>7286</v>
      </c>
      <c r="H226" s="493" t="s">
        <v>7287</v>
      </c>
      <c r="I226" s="501" t="s">
        <v>7288</v>
      </c>
    </row>
    <row r="227" spans="1:9" ht="14.45">
      <c r="A227" s="493">
        <v>90407</v>
      </c>
      <c r="B227" s="493" t="s">
        <v>3504</v>
      </c>
      <c r="C227" s="493" t="s">
        <v>3674</v>
      </c>
      <c r="D227" s="493" t="s">
        <v>3918</v>
      </c>
      <c r="E227" s="493" t="s">
        <v>3666</v>
      </c>
      <c r="F227" s="493" t="s">
        <v>6821</v>
      </c>
      <c r="G227" s="493" t="s">
        <v>7289</v>
      </c>
      <c r="H227" s="493" t="s">
        <v>7290</v>
      </c>
      <c r="I227" s="501" t="s">
        <v>7291</v>
      </c>
    </row>
    <row r="228" spans="1:9" ht="14.45">
      <c r="A228" s="493">
        <v>90384</v>
      </c>
      <c r="B228" s="493" t="s">
        <v>3447</v>
      </c>
      <c r="C228" s="493" t="s">
        <v>3659</v>
      </c>
      <c r="D228" s="493" t="s">
        <v>3918</v>
      </c>
      <c r="E228" s="493" t="s">
        <v>3666</v>
      </c>
      <c r="F228" s="493" t="s">
        <v>6821</v>
      </c>
      <c r="G228" s="493" t="s">
        <v>7292</v>
      </c>
      <c r="H228" s="493" t="s">
        <v>7290</v>
      </c>
      <c r="I228" s="501" t="s">
        <v>7291</v>
      </c>
    </row>
    <row r="229" spans="1:9" ht="14.45">
      <c r="A229" s="493">
        <v>90757</v>
      </c>
      <c r="B229" s="494" t="s">
        <v>3550</v>
      </c>
      <c r="C229" s="493" t="s">
        <v>3674</v>
      </c>
      <c r="D229" s="493" t="s">
        <v>3918</v>
      </c>
      <c r="E229" s="493" t="s">
        <v>6009</v>
      </c>
      <c r="F229" s="493" t="s">
        <v>6821</v>
      </c>
      <c r="G229" s="493" t="s">
        <v>7293</v>
      </c>
      <c r="H229" s="493" t="s">
        <v>7294</v>
      </c>
      <c r="I229" s="501" t="s">
        <v>7295</v>
      </c>
    </row>
    <row r="230" spans="1:9" ht="14.45">
      <c r="A230" s="493">
        <v>90715</v>
      </c>
      <c r="B230" s="493" t="s">
        <v>3555</v>
      </c>
      <c r="C230" s="493" t="s">
        <v>3674</v>
      </c>
      <c r="D230" s="493" t="s">
        <v>3918</v>
      </c>
      <c r="E230" s="493" t="s">
        <v>6009</v>
      </c>
      <c r="F230" s="493" t="s">
        <v>6821</v>
      </c>
      <c r="G230" s="493" t="s">
        <v>7296</v>
      </c>
      <c r="H230" s="493" t="s">
        <v>7297</v>
      </c>
      <c r="I230" s="501" t="s">
        <v>7298</v>
      </c>
    </row>
    <row r="231" spans="1:9" ht="14.45">
      <c r="A231" s="493">
        <v>90759</v>
      </c>
      <c r="B231" s="493" t="s">
        <v>5843</v>
      </c>
      <c r="C231" s="493" t="s">
        <v>3674</v>
      </c>
      <c r="D231" s="493" t="s">
        <v>3681</v>
      </c>
      <c r="E231" s="493" t="s">
        <v>3919</v>
      </c>
      <c r="F231" s="493" t="s">
        <v>6906</v>
      </c>
      <c r="G231" s="493" t="s">
        <v>7299</v>
      </c>
      <c r="H231" s="493" t="s">
        <v>7300</v>
      </c>
      <c r="I231" s="501" t="s">
        <v>7301</v>
      </c>
    </row>
    <row r="232" spans="1:9" ht="14.45">
      <c r="A232" s="493">
        <v>90604</v>
      </c>
      <c r="B232" s="493" t="s">
        <v>2729</v>
      </c>
      <c r="C232" s="493" t="s">
        <v>3674</v>
      </c>
      <c r="D232" s="493" t="s">
        <v>3681</v>
      </c>
      <c r="E232" s="493" t="s">
        <v>846</v>
      </c>
      <c r="F232" s="493" t="s">
        <v>6906</v>
      </c>
      <c r="G232" s="493" t="s">
        <v>7302</v>
      </c>
      <c r="H232" s="493" t="s">
        <v>7303</v>
      </c>
      <c r="I232" s="501" t="s">
        <v>7304</v>
      </c>
    </row>
    <row r="233" spans="1:9" ht="14.45">
      <c r="A233" s="493">
        <v>90462</v>
      </c>
      <c r="B233" s="493" t="s">
        <v>3703</v>
      </c>
      <c r="C233" s="493" t="s">
        <v>3674</v>
      </c>
      <c r="D233" s="493" t="s">
        <v>3681</v>
      </c>
      <c r="E233" s="493" t="s">
        <v>3699</v>
      </c>
      <c r="F233" s="493" t="s">
        <v>6821</v>
      </c>
      <c r="G233" s="493" t="s">
        <v>7305</v>
      </c>
      <c r="H233" s="493" t="s">
        <v>7306</v>
      </c>
      <c r="I233" s="501" t="s">
        <v>7307</v>
      </c>
    </row>
    <row r="234" spans="1:9" ht="14.45">
      <c r="A234" s="493">
        <v>90461</v>
      </c>
      <c r="B234" s="493" t="s">
        <v>3698</v>
      </c>
      <c r="C234" s="493" t="s">
        <v>3659</v>
      </c>
      <c r="D234" s="493" t="s">
        <v>3681</v>
      </c>
      <c r="E234" s="493" t="s">
        <v>3699</v>
      </c>
      <c r="F234" s="493" t="s">
        <v>6821</v>
      </c>
      <c r="G234" s="493" t="s">
        <v>7308</v>
      </c>
      <c r="H234" s="493" t="s">
        <v>7306</v>
      </c>
      <c r="I234" s="501" t="s">
        <v>7307</v>
      </c>
    </row>
    <row r="235" spans="1:9" ht="14.45">
      <c r="A235" s="493">
        <v>90232</v>
      </c>
      <c r="B235" s="493" t="s">
        <v>2634</v>
      </c>
      <c r="C235" s="493" t="s">
        <v>3674</v>
      </c>
      <c r="D235" s="493" t="s">
        <v>3681</v>
      </c>
      <c r="E235" s="493" t="s">
        <v>846</v>
      </c>
      <c r="F235" s="493" t="s">
        <v>6906</v>
      </c>
      <c r="G235" s="493" t="s">
        <v>7309</v>
      </c>
      <c r="H235" s="493" t="s">
        <v>7310</v>
      </c>
      <c r="I235" s="501" t="s">
        <v>7311</v>
      </c>
    </row>
    <row r="236" spans="1:9" ht="14.45">
      <c r="A236" s="493">
        <v>90233</v>
      </c>
      <c r="B236" s="493" t="s">
        <v>4456</v>
      </c>
      <c r="C236" s="493" t="s">
        <v>3659</v>
      </c>
      <c r="D236" s="493" t="s">
        <v>3681</v>
      </c>
      <c r="E236" s="493" t="s">
        <v>846</v>
      </c>
      <c r="F236" s="493" t="s">
        <v>6906</v>
      </c>
      <c r="G236" s="493" t="s">
        <v>7312</v>
      </c>
      <c r="H236" s="493" t="s">
        <v>7310</v>
      </c>
      <c r="I236" s="501" t="s">
        <v>7311</v>
      </c>
    </row>
    <row r="237" spans="1:9" ht="14.45">
      <c r="A237" s="493">
        <v>90234</v>
      </c>
      <c r="B237" s="493" t="s">
        <v>2763</v>
      </c>
      <c r="C237" s="493" t="s">
        <v>3674</v>
      </c>
      <c r="D237" s="493" t="s">
        <v>3681</v>
      </c>
      <c r="E237" s="493" t="s">
        <v>846</v>
      </c>
      <c r="F237" s="493" t="s">
        <v>6906</v>
      </c>
      <c r="G237" s="493" t="s">
        <v>7313</v>
      </c>
      <c r="H237" s="493" t="s">
        <v>7314</v>
      </c>
      <c r="I237" s="501" t="s">
        <v>7315</v>
      </c>
    </row>
    <row r="238" spans="1:9" ht="14.45">
      <c r="A238" s="493">
        <v>90235</v>
      </c>
      <c r="B238" s="493" t="s">
        <v>2737</v>
      </c>
      <c r="C238" s="493" t="s">
        <v>3674</v>
      </c>
      <c r="D238" s="493" t="s">
        <v>3681</v>
      </c>
      <c r="E238" s="493" t="s">
        <v>846</v>
      </c>
      <c r="F238" s="493" t="s">
        <v>6906</v>
      </c>
      <c r="G238" s="493" t="s">
        <v>7316</v>
      </c>
      <c r="H238" s="493" t="s">
        <v>7317</v>
      </c>
      <c r="I238" s="501" t="s">
        <v>7315</v>
      </c>
    </row>
    <row r="239" spans="1:9" ht="14.45">
      <c r="A239" s="493">
        <v>90231</v>
      </c>
      <c r="B239" s="493" t="s">
        <v>2585</v>
      </c>
      <c r="C239" s="493" t="s">
        <v>3674</v>
      </c>
      <c r="D239" s="493" t="s">
        <v>3681</v>
      </c>
      <c r="E239" s="493" t="s">
        <v>846</v>
      </c>
      <c r="F239" s="493" t="s">
        <v>6906</v>
      </c>
      <c r="G239" s="493" t="s">
        <v>7318</v>
      </c>
      <c r="H239" s="493" t="s">
        <v>7319</v>
      </c>
      <c r="I239" s="501" t="s">
        <v>7315</v>
      </c>
    </row>
    <row r="240" spans="1:9" ht="14.45">
      <c r="A240" s="493">
        <v>90594</v>
      </c>
      <c r="B240" s="493" t="s">
        <v>7320</v>
      </c>
      <c r="C240" s="493" t="s">
        <v>3674</v>
      </c>
      <c r="D240" s="493" t="s">
        <v>3681</v>
      </c>
      <c r="E240" s="493" t="s">
        <v>7321</v>
      </c>
      <c r="F240" s="493" t="s">
        <v>6821</v>
      </c>
      <c r="G240" s="493" t="s">
        <v>7322</v>
      </c>
      <c r="H240" s="493" t="s">
        <v>7323</v>
      </c>
      <c r="I240" s="501" t="s">
        <v>7324</v>
      </c>
    </row>
    <row r="241" spans="1:9" ht="14.45">
      <c r="A241" s="493">
        <v>90765</v>
      </c>
      <c r="B241" s="493" t="s">
        <v>7325</v>
      </c>
      <c r="C241" s="493" t="s">
        <v>3674</v>
      </c>
      <c r="D241" s="493" t="s">
        <v>3681</v>
      </c>
      <c r="E241" s="493" t="s">
        <v>846</v>
      </c>
      <c r="F241" s="493" t="s">
        <v>6821</v>
      </c>
      <c r="G241" s="493" t="s">
        <v>7326</v>
      </c>
      <c r="H241" s="493" t="s">
        <v>7327</v>
      </c>
      <c r="I241" s="501" t="s">
        <v>7328</v>
      </c>
    </row>
    <row r="242" spans="1:9" ht="14.45">
      <c r="A242" s="493">
        <v>90760</v>
      </c>
      <c r="B242" s="493" t="s">
        <v>2664</v>
      </c>
      <c r="C242" s="493" t="s">
        <v>3674</v>
      </c>
      <c r="D242" s="493" t="s">
        <v>3681</v>
      </c>
      <c r="E242" s="493" t="s">
        <v>846</v>
      </c>
      <c r="F242" s="493" t="s">
        <v>6821</v>
      </c>
      <c r="G242" s="493" t="s">
        <v>7329</v>
      </c>
      <c r="H242" s="493" t="s">
        <v>7330</v>
      </c>
      <c r="I242" s="501" t="s">
        <v>7331</v>
      </c>
    </row>
    <row r="243" spans="1:9" ht="14.45">
      <c r="A243" s="493">
        <v>90761</v>
      </c>
      <c r="B243" s="493" t="s">
        <v>7332</v>
      </c>
      <c r="C243" s="493" t="s">
        <v>3659</v>
      </c>
      <c r="D243" s="493" t="s">
        <v>3681</v>
      </c>
      <c r="E243" s="493" t="s">
        <v>846</v>
      </c>
      <c r="F243" s="493" t="s">
        <v>6821</v>
      </c>
      <c r="G243" s="493" t="s">
        <v>7333</v>
      </c>
      <c r="H243" s="493" t="s">
        <v>7330</v>
      </c>
      <c r="I243" s="501" t="s">
        <v>7331</v>
      </c>
    </row>
    <row r="244" spans="1:9" ht="14.45">
      <c r="A244" s="493">
        <v>90766</v>
      </c>
      <c r="B244" s="493" t="s">
        <v>7334</v>
      </c>
      <c r="C244" s="493" t="s">
        <v>3674</v>
      </c>
      <c r="D244" s="493" t="s">
        <v>3681</v>
      </c>
      <c r="E244" s="493" t="s">
        <v>846</v>
      </c>
      <c r="F244" s="493" t="s">
        <v>6821</v>
      </c>
      <c r="G244" s="493" t="s">
        <v>7335</v>
      </c>
      <c r="H244" s="493" t="s">
        <v>7336</v>
      </c>
      <c r="I244" s="501" t="s">
        <v>7337</v>
      </c>
    </row>
    <row r="245" spans="1:9" ht="14.45">
      <c r="A245" s="493">
        <v>90764</v>
      </c>
      <c r="B245" s="493" t="s">
        <v>7338</v>
      </c>
      <c r="C245" s="493" t="s">
        <v>3674</v>
      </c>
      <c r="D245" s="493" t="s">
        <v>3681</v>
      </c>
      <c r="E245" s="493" t="s">
        <v>846</v>
      </c>
      <c r="F245" s="493" t="s">
        <v>6821</v>
      </c>
      <c r="G245" s="493" t="s">
        <v>7339</v>
      </c>
      <c r="H245" s="493" t="s">
        <v>7340</v>
      </c>
      <c r="I245" s="501" t="s">
        <v>7331</v>
      </c>
    </row>
    <row r="246" spans="1:9" ht="14.45">
      <c r="A246" s="493">
        <v>90762</v>
      </c>
      <c r="B246" s="494" t="s">
        <v>7341</v>
      </c>
      <c r="C246" s="493" t="s">
        <v>3674</v>
      </c>
      <c r="D246" s="493" t="s">
        <v>3681</v>
      </c>
      <c r="E246" s="493" t="s">
        <v>846</v>
      </c>
      <c r="F246" s="493" t="s">
        <v>6821</v>
      </c>
      <c r="G246" s="493" t="s">
        <v>7342</v>
      </c>
      <c r="H246" s="493" t="s">
        <v>7343</v>
      </c>
      <c r="I246" s="501" t="s">
        <v>7331</v>
      </c>
    </row>
    <row r="247" spans="1:9" ht="14.45">
      <c r="A247" s="493">
        <v>90763</v>
      </c>
      <c r="B247" s="493" t="s">
        <v>7344</v>
      </c>
      <c r="C247" s="493" t="s">
        <v>3659</v>
      </c>
      <c r="D247" s="493" t="s">
        <v>3681</v>
      </c>
      <c r="E247" s="493" t="s">
        <v>846</v>
      </c>
      <c r="F247" s="493" t="s">
        <v>6821</v>
      </c>
      <c r="G247" s="493" t="s">
        <v>7345</v>
      </c>
      <c r="H247" s="493" t="s">
        <v>7343</v>
      </c>
      <c r="I247" s="501" t="s">
        <v>7331</v>
      </c>
    </row>
    <row r="248" spans="1:9" ht="14.45">
      <c r="A248" s="493">
        <v>90767</v>
      </c>
      <c r="B248" s="493" t="s">
        <v>3680</v>
      </c>
      <c r="C248" s="493" t="s">
        <v>3674</v>
      </c>
      <c r="D248" s="493" t="s">
        <v>3681</v>
      </c>
      <c r="E248" s="493" t="s">
        <v>3682</v>
      </c>
      <c r="F248" s="493" t="s">
        <v>6821</v>
      </c>
      <c r="G248" s="493" t="s">
        <v>7346</v>
      </c>
      <c r="H248" s="493" t="s">
        <v>7347</v>
      </c>
      <c r="I248" s="501" t="s">
        <v>7348</v>
      </c>
    </row>
    <row r="249" spans="1:9" ht="14.45">
      <c r="A249" s="493">
        <v>90768</v>
      </c>
      <c r="B249" s="493" t="s">
        <v>3685</v>
      </c>
      <c r="C249" s="493" t="s">
        <v>3659</v>
      </c>
      <c r="D249" s="493" t="s">
        <v>3681</v>
      </c>
      <c r="E249" s="493" t="s">
        <v>3682</v>
      </c>
      <c r="F249" s="493" t="s">
        <v>6821</v>
      </c>
      <c r="G249" s="493" t="s">
        <v>7349</v>
      </c>
      <c r="H249" s="493" t="s">
        <v>7347</v>
      </c>
      <c r="I249" s="501" t="s">
        <v>7348</v>
      </c>
    </row>
    <row r="250" spans="1:9" ht="14.45">
      <c r="A250" s="493">
        <v>90769</v>
      </c>
      <c r="B250" s="493" t="s">
        <v>3687</v>
      </c>
      <c r="C250" s="493" t="s">
        <v>3674</v>
      </c>
      <c r="D250" s="493" t="s">
        <v>3681</v>
      </c>
      <c r="E250" s="493" t="s">
        <v>3682</v>
      </c>
      <c r="F250" s="493" t="s">
        <v>6821</v>
      </c>
      <c r="G250" s="493" t="s">
        <v>7350</v>
      </c>
      <c r="H250" s="493" t="s">
        <v>7351</v>
      </c>
      <c r="I250" s="501" t="s">
        <v>7348</v>
      </c>
    </row>
    <row r="251" spans="1:9" ht="14.45">
      <c r="A251" s="493">
        <v>90242</v>
      </c>
      <c r="B251" s="493" t="s">
        <v>3533</v>
      </c>
      <c r="C251" s="493" t="s">
        <v>3674</v>
      </c>
      <c r="D251" s="493" t="s">
        <v>3681</v>
      </c>
      <c r="E251" s="493" t="s">
        <v>4444</v>
      </c>
      <c r="F251" s="493" t="s">
        <v>6906</v>
      </c>
      <c r="G251" s="493" t="s">
        <v>7352</v>
      </c>
      <c r="H251" s="493" t="s">
        <v>7353</v>
      </c>
      <c r="I251" s="501" t="s">
        <v>7354</v>
      </c>
    </row>
    <row r="252" spans="1:9" ht="14.45">
      <c r="A252" s="493">
        <v>90240</v>
      </c>
      <c r="B252" s="493" t="s">
        <v>4447</v>
      </c>
      <c r="C252" s="493" t="s">
        <v>3659</v>
      </c>
      <c r="D252" s="493" t="s">
        <v>3681</v>
      </c>
      <c r="E252" s="493" t="s">
        <v>4444</v>
      </c>
      <c r="F252" s="493" t="s">
        <v>6906</v>
      </c>
      <c r="G252" s="493" t="s">
        <v>7355</v>
      </c>
      <c r="H252" s="493" t="s">
        <v>7353</v>
      </c>
      <c r="I252" s="501" t="s">
        <v>7354</v>
      </c>
    </row>
    <row r="253" spans="1:9" ht="14.45">
      <c r="A253" s="493">
        <v>90241</v>
      </c>
      <c r="B253" s="493" t="s">
        <v>3515</v>
      </c>
      <c r="C253" s="493" t="s">
        <v>3674</v>
      </c>
      <c r="D253" s="493" t="s">
        <v>3681</v>
      </c>
      <c r="E253" s="493" t="s">
        <v>4444</v>
      </c>
      <c r="F253" s="493" t="s">
        <v>6906</v>
      </c>
      <c r="G253" s="493" t="s">
        <v>7356</v>
      </c>
      <c r="H253" s="493" t="s">
        <v>7357</v>
      </c>
      <c r="I253" s="501" t="s">
        <v>7354</v>
      </c>
    </row>
    <row r="254" spans="1:9" ht="14.45">
      <c r="A254" s="493">
        <v>90833</v>
      </c>
      <c r="B254" s="494" t="s">
        <v>4438</v>
      </c>
      <c r="C254" s="493" t="s">
        <v>3674</v>
      </c>
      <c r="D254" s="493" t="s">
        <v>3681</v>
      </c>
      <c r="E254" s="493" t="s">
        <v>846</v>
      </c>
      <c r="F254" s="493" t="s">
        <v>6906</v>
      </c>
      <c r="G254" s="493" t="s">
        <v>7358</v>
      </c>
      <c r="H254" s="493" t="s">
        <v>7359</v>
      </c>
      <c r="I254" s="501" t="s">
        <v>7360</v>
      </c>
    </row>
    <row r="255" spans="1:9" ht="14.45">
      <c r="A255" s="493">
        <v>90787</v>
      </c>
      <c r="B255" s="493" t="s">
        <v>4451</v>
      </c>
      <c r="C255" s="493" t="s">
        <v>3674</v>
      </c>
      <c r="D255" s="493" t="s">
        <v>3681</v>
      </c>
      <c r="E255" s="493" t="s">
        <v>846</v>
      </c>
      <c r="F255" s="493" t="s">
        <v>6906</v>
      </c>
      <c r="G255" s="493" t="s">
        <v>7361</v>
      </c>
      <c r="H255" s="493" t="s">
        <v>7362</v>
      </c>
      <c r="I255" s="501" t="s">
        <v>7360</v>
      </c>
    </row>
    <row r="256" spans="1:9" ht="14.45">
      <c r="A256" s="493">
        <v>90776</v>
      </c>
      <c r="B256" s="493" t="s">
        <v>2602</v>
      </c>
      <c r="C256" s="493" t="s">
        <v>3674</v>
      </c>
      <c r="D256" s="493" t="s">
        <v>3681</v>
      </c>
      <c r="E256" s="493" t="s">
        <v>846</v>
      </c>
      <c r="F256" s="493" t="s">
        <v>6906</v>
      </c>
      <c r="G256" s="493" t="s">
        <v>7363</v>
      </c>
      <c r="H256" s="493" t="s">
        <v>7364</v>
      </c>
      <c r="I256" s="501" t="s">
        <v>7365</v>
      </c>
    </row>
    <row r="257" spans="1:9" ht="14.45">
      <c r="A257" s="493">
        <v>90777</v>
      </c>
      <c r="B257" s="493" t="s">
        <v>4466</v>
      </c>
      <c r="C257" s="493" t="s">
        <v>3659</v>
      </c>
      <c r="D257" s="493" t="s">
        <v>3681</v>
      </c>
      <c r="E257" s="493" t="s">
        <v>846</v>
      </c>
      <c r="F257" s="493" t="s">
        <v>6906</v>
      </c>
      <c r="G257" s="493" t="s">
        <v>7366</v>
      </c>
      <c r="H257" s="493" t="s">
        <v>7364</v>
      </c>
      <c r="I257" s="501" t="s">
        <v>7365</v>
      </c>
    </row>
    <row r="258" spans="1:9" ht="14.45">
      <c r="A258" s="493">
        <v>90152</v>
      </c>
      <c r="B258" s="493" t="s">
        <v>2604</v>
      </c>
      <c r="C258" s="493" t="s">
        <v>3674</v>
      </c>
      <c r="D258" s="493" t="s">
        <v>3932</v>
      </c>
      <c r="E258" s="493" t="s">
        <v>846</v>
      </c>
      <c r="F258" s="493" t="s">
        <v>6821</v>
      </c>
      <c r="G258" s="493" t="s">
        <v>7367</v>
      </c>
      <c r="H258" s="493" t="s">
        <v>7368</v>
      </c>
      <c r="I258" s="501" t="s">
        <v>7369</v>
      </c>
    </row>
    <row r="259" spans="1:9" ht="14.45">
      <c r="A259" s="493">
        <v>90151</v>
      </c>
      <c r="B259" s="493" t="s">
        <v>2621</v>
      </c>
      <c r="C259" s="493" t="s">
        <v>3674</v>
      </c>
      <c r="D259" s="493" t="s">
        <v>3932</v>
      </c>
      <c r="E259" s="493" t="s">
        <v>846</v>
      </c>
      <c r="F259" s="493" t="s">
        <v>6821</v>
      </c>
      <c r="G259" s="493" t="s">
        <v>7370</v>
      </c>
      <c r="H259" s="493" t="s">
        <v>7371</v>
      </c>
      <c r="I259" s="501" t="s">
        <v>7160</v>
      </c>
    </row>
    <row r="260" spans="1:9" ht="14.45">
      <c r="A260" s="493">
        <v>90138</v>
      </c>
      <c r="B260" s="493" t="s">
        <v>2683</v>
      </c>
      <c r="C260" s="493" t="s">
        <v>3674</v>
      </c>
      <c r="D260" s="493" t="s">
        <v>3932</v>
      </c>
      <c r="E260" s="493" t="s">
        <v>846</v>
      </c>
      <c r="F260" s="493" t="s">
        <v>6821</v>
      </c>
      <c r="G260" s="493" t="s">
        <v>7372</v>
      </c>
      <c r="H260" s="493" t="s">
        <v>7373</v>
      </c>
      <c r="I260" s="501" t="s">
        <v>7160</v>
      </c>
    </row>
    <row r="261" spans="1:9" ht="14.45">
      <c r="A261" s="493">
        <v>90140</v>
      </c>
      <c r="B261" s="493" t="s">
        <v>2669</v>
      </c>
      <c r="C261" s="493" t="s">
        <v>3674</v>
      </c>
      <c r="D261" s="493" t="s">
        <v>3932</v>
      </c>
      <c r="E261" s="493" t="s">
        <v>846</v>
      </c>
      <c r="F261" s="493" t="s">
        <v>6821</v>
      </c>
      <c r="G261" s="493" t="s">
        <v>7374</v>
      </c>
      <c r="H261" s="493" t="s">
        <v>7375</v>
      </c>
      <c r="I261" s="501" t="s">
        <v>7160</v>
      </c>
    </row>
    <row r="262" spans="1:9" ht="14.45">
      <c r="A262" s="493">
        <v>90139</v>
      </c>
      <c r="B262" s="493" t="s">
        <v>7376</v>
      </c>
      <c r="C262" s="493" t="s">
        <v>3674</v>
      </c>
      <c r="D262" s="493" t="s">
        <v>3932</v>
      </c>
      <c r="E262" s="493" t="s">
        <v>846</v>
      </c>
      <c r="F262" s="493" t="s">
        <v>6821</v>
      </c>
      <c r="G262" s="493" t="s">
        <v>7377</v>
      </c>
      <c r="H262" s="493" t="s">
        <v>7375</v>
      </c>
      <c r="I262" s="501" t="s">
        <v>7160</v>
      </c>
    </row>
    <row r="263" spans="1:9" ht="14.45">
      <c r="A263" s="493">
        <v>90230</v>
      </c>
      <c r="B263" s="493" t="s">
        <v>7378</v>
      </c>
      <c r="C263" s="493" t="s">
        <v>3674</v>
      </c>
      <c r="D263" s="493" t="s">
        <v>3932</v>
      </c>
      <c r="E263" s="493" t="s">
        <v>846</v>
      </c>
      <c r="F263" s="493" t="s">
        <v>6821</v>
      </c>
      <c r="G263" s="493" t="s">
        <v>7379</v>
      </c>
      <c r="H263" s="493" t="s">
        <v>7380</v>
      </c>
      <c r="I263" s="501" t="s">
        <v>7381</v>
      </c>
    </row>
    <row r="264" spans="1:9" ht="14.45">
      <c r="A264" s="493">
        <v>90137</v>
      </c>
      <c r="B264" s="493" t="s">
        <v>7382</v>
      </c>
      <c r="C264" s="493" t="s">
        <v>3674</v>
      </c>
      <c r="D264" s="493" t="s">
        <v>3932</v>
      </c>
      <c r="E264" s="493" t="s">
        <v>846</v>
      </c>
      <c r="F264" s="493" t="s">
        <v>6821</v>
      </c>
      <c r="G264" s="493" t="s">
        <v>7383</v>
      </c>
      <c r="H264" s="493" t="s">
        <v>7384</v>
      </c>
      <c r="I264" s="501" t="s">
        <v>7381</v>
      </c>
    </row>
    <row r="265" spans="1:9" ht="14.45">
      <c r="A265" s="493">
        <v>90136</v>
      </c>
      <c r="B265" s="493" t="s">
        <v>2617</v>
      </c>
      <c r="C265" s="493" t="s">
        <v>3674</v>
      </c>
      <c r="D265" s="493" t="s">
        <v>3932</v>
      </c>
      <c r="E265" s="493" t="s">
        <v>846</v>
      </c>
      <c r="F265" s="493" t="s">
        <v>6821</v>
      </c>
      <c r="G265" s="493" t="s">
        <v>7385</v>
      </c>
      <c r="H265" s="493" t="s">
        <v>7386</v>
      </c>
      <c r="I265" s="501" t="s">
        <v>7381</v>
      </c>
    </row>
    <row r="266" spans="1:9" ht="14.45">
      <c r="A266" s="493">
        <v>90164</v>
      </c>
      <c r="B266" s="493" t="s">
        <v>7387</v>
      </c>
      <c r="C266" s="493" t="s">
        <v>3659</v>
      </c>
      <c r="D266" s="493" t="s">
        <v>3932</v>
      </c>
      <c r="E266" s="493" t="s">
        <v>846</v>
      </c>
      <c r="F266" s="493" t="s">
        <v>6821</v>
      </c>
      <c r="G266" s="493" t="s">
        <v>7388</v>
      </c>
      <c r="H266" s="493" t="s">
        <v>7386</v>
      </c>
      <c r="I266" s="501" t="s">
        <v>7381</v>
      </c>
    </row>
    <row r="267" spans="1:9" ht="14.45">
      <c r="A267" s="493">
        <v>90163</v>
      </c>
      <c r="B267" s="493" t="s">
        <v>2689</v>
      </c>
      <c r="C267" s="493" t="s">
        <v>3674</v>
      </c>
      <c r="D267" s="493" t="s">
        <v>3932</v>
      </c>
      <c r="E267" s="493" t="s">
        <v>846</v>
      </c>
      <c r="F267" s="493" t="s">
        <v>6821</v>
      </c>
      <c r="G267" s="493" t="s">
        <v>7389</v>
      </c>
      <c r="H267" s="493" t="s">
        <v>7390</v>
      </c>
      <c r="I267" s="501" t="s">
        <v>7381</v>
      </c>
    </row>
    <row r="268" spans="1:9" ht="14.45">
      <c r="A268" s="493">
        <v>90095</v>
      </c>
      <c r="B268" s="493" t="s">
        <v>2687</v>
      </c>
      <c r="C268" s="493" t="s">
        <v>3674</v>
      </c>
      <c r="D268" s="493" t="s">
        <v>3932</v>
      </c>
      <c r="E268" s="493" t="s">
        <v>846</v>
      </c>
      <c r="F268" s="493" t="s">
        <v>6821</v>
      </c>
      <c r="G268" s="493" t="s">
        <v>7391</v>
      </c>
      <c r="H268" s="493" t="s">
        <v>7392</v>
      </c>
      <c r="I268" s="501" t="s">
        <v>7381</v>
      </c>
    </row>
    <row r="269" spans="1:9" ht="14.45">
      <c r="A269" s="493">
        <v>90681</v>
      </c>
      <c r="B269" s="493" t="s">
        <v>2691</v>
      </c>
      <c r="C269" s="493" t="s">
        <v>3674</v>
      </c>
      <c r="D269" s="493" t="s">
        <v>3932</v>
      </c>
      <c r="E269" s="493" t="s">
        <v>846</v>
      </c>
      <c r="F269" s="493" t="s">
        <v>6821</v>
      </c>
      <c r="G269" s="493" t="s">
        <v>7393</v>
      </c>
      <c r="H269" s="493" t="s">
        <v>7394</v>
      </c>
      <c r="I269" s="501" t="s">
        <v>7395</v>
      </c>
    </row>
    <row r="270" spans="1:9" ht="14.45">
      <c r="A270" s="495">
        <v>90094</v>
      </c>
      <c r="B270" s="493" t="s">
        <v>2624</v>
      </c>
      <c r="C270" s="493" t="s">
        <v>3674</v>
      </c>
      <c r="D270" s="493" t="s">
        <v>3932</v>
      </c>
      <c r="E270" s="493" t="s">
        <v>846</v>
      </c>
      <c r="F270" s="493" t="s">
        <v>6821</v>
      </c>
      <c r="G270" s="493" t="s">
        <v>7396</v>
      </c>
      <c r="H270" s="493" t="s">
        <v>7397</v>
      </c>
      <c r="I270" s="501" t="s">
        <v>7398</v>
      </c>
    </row>
    <row r="271" spans="1:9" ht="14.45">
      <c r="A271" s="493">
        <v>90925</v>
      </c>
      <c r="B271" s="493" t="s">
        <v>4287</v>
      </c>
      <c r="C271" s="493" t="s">
        <v>3659</v>
      </c>
      <c r="D271" s="493" t="s">
        <v>3932</v>
      </c>
      <c r="E271" s="493" t="s">
        <v>846</v>
      </c>
      <c r="F271" s="493" t="s">
        <v>6821</v>
      </c>
      <c r="G271" s="493" t="s">
        <v>7399</v>
      </c>
      <c r="H271" s="493" t="s">
        <v>7397</v>
      </c>
      <c r="I271" s="501" t="s">
        <v>7398</v>
      </c>
    </row>
    <row r="272" spans="1:9" ht="14.45">
      <c r="A272" s="493">
        <v>90093</v>
      </c>
      <c r="B272" s="493" t="s">
        <v>2673</v>
      </c>
      <c r="C272" s="493" t="s">
        <v>3674</v>
      </c>
      <c r="D272" s="493" t="s">
        <v>3932</v>
      </c>
      <c r="E272" s="493" t="s">
        <v>846</v>
      </c>
      <c r="F272" s="493" t="s">
        <v>6821</v>
      </c>
      <c r="G272" s="493" t="s">
        <v>7400</v>
      </c>
      <c r="H272" s="493" t="s">
        <v>7401</v>
      </c>
      <c r="I272" s="501" t="s">
        <v>7402</v>
      </c>
    </row>
    <row r="273" spans="1:9" ht="14.45">
      <c r="A273" s="493">
        <v>90092</v>
      </c>
      <c r="B273" s="493" t="s">
        <v>2693</v>
      </c>
      <c r="C273" s="493" t="s">
        <v>3674</v>
      </c>
      <c r="D273" s="493" t="s">
        <v>3932</v>
      </c>
      <c r="E273" s="493" t="s">
        <v>846</v>
      </c>
      <c r="F273" s="493" t="s">
        <v>6821</v>
      </c>
      <c r="G273" s="493" t="s">
        <v>7403</v>
      </c>
      <c r="H273" s="493" t="s">
        <v>7404</v>
      </c>
      <c r="I273" s="501" t="s">
        <v>7405</v>
      </c>
    </row>
    <row r="274" spans="1:9" ht="14.45">
      <c r="A274" s="493">
        <v>90305</v>
      </c>
      <c r="B274" s="494" t="s">
        <v>2815</v>
      </c>
      <c r="C274" s="493" t="s">
        <v>3674</v>
      </c>
      <c r="D274" s="493" t="s">
        <v>4109</v>
      </c>
      <c r="E274" s="493" t="s">
        <v>5977</v>
      </c>
      <c r="F274" s="493" t="s">
        <v>6821</v>
      </c>
      <c r="G274" s="493" t="s">
        <v>7406</v>
      </c>
      <c r="H274" s="493" t="s">
        <v>7407</v>
      </c>
      <c r="I274" s="501" t="s">
        <v>7408</v>
      </c>
    </row>
    <row r="275" spans="1:9" ht="14.45">
      <c r="A275" s="493">
        <v>90030</v>
      </c>
      <c r="B275" s="493" t="s">
        <v>2830</v>
      </c>
      <c r="C275" s="493" t="s">
        <v>3674</v>
      </c>
      <c r="D275" s="493" t="s">
        <v>4109</v>
      </c>
      <c r="E275" s="493" t="s">
        <v>5977</v>
      </c>
      <c r="F275" s="493" t="s">
        <v>6821</v>
      </c>
      <c r="G275" s="493" t="s">
        <v>7409</v>
      </c>
      <c r="H275" s="493" t="s">
        <v>7410</v>
      </c>
      <c r="I275" s="501" t="s">
        <v>7411</v>
      </c>
    </row>
    <row r="276" spans="1:9" ht="14.45">
      <c r="A276" s="493">
        <v>90031</v>
      </c>
      <c r="B276" s="493" t="s">
        <v>2848</v>
      </c>
      <c r="C276" s="493" t="s">
        <v>3674</v>
      </c>
      <c r="D276" s="493" t="s">
        <v>4109</v>
      </c>
      <c r="E276" s="493" t="s">
        <v>5977</v>
      </c>
      <c r="F276" s="493" t="s">
        <v>6821</v>
      </c>
      <c r="G276" s="493" t="s">
        <v>7412</v>
      </c>
      <c r="H276" s="493" t="s">
        <v>7410</v>
      </c>
      <c r="I276" s="501" t="s">
        <v>7411</v>
      </c>
    </row>
    <row r="277" spans="1:9" ht="14.45">
      <c r="A277" s="493">
        <v>90043</v>
      </c>
      <c r="B277" s="494" t="s">
        <v>2813</v>
      </c>
      <c r="C277" s="493" t="s">
        <v>3674</v>
      </c>
      <c r="D277" s="493" t="s">
        <v>4109</v>
      </c>
      <c r="E277" s="493" t="s">
        <v>5977</v>
      </c>
      <c r="F277" s="493" t="s">
        <v>6821</v>
      </c>
      <c r="G277" s="493" t="s">
        <v>7413</v>
      </c>
      <c r="H277" s="493" t="s">
        <v>7414</v>
      </c>
      <c r="I277" s="501" t="s">
        <v>7415</v>
      </c>
    </row>
    <row r="278" spans="1:9" ht="14.45">
      <c r="A278" s="493">
        <v>90044</v>
      </c>
      <c r="B278" s="493" t="s">
        <v>2846</v>
      </c>
      <c r="C278" s="493" t="s">
        <v>3674</v>
      </c>
      <c r="D278" s="493" t="s">
        <v>4109</v>
      </c>
      <c r="E278" s="493" t="s">
        <v>5977</v>
      </c>
      <c r="F278" s="493" t="s">
        <v>6821</v>
      </c>
      <c r="G278" s="493" t="s">
        <v>7416</v>
      </c>
      <c r="H278" s="493" t="s">
        <v>7417</v>
      </c>
      <c r="I278" s="501" t="s">
        <v>7415</v>
      </c>
    </row>
    <row r="279" spans="1:9" ht="14.45">
      <c r="A279" s="493">
        <v>90045</v>
      </c>
      <c r="B279" s="493" t="s">
        <v>2842</v>
      </c>
      <c r="C279" s="493" t="s">
        <v>3674</v>
      </c>
      <c r="D279" s="493" t="s">
        <v>4109</v>
      </c>
      <c r="E279" s="493" t="s">
        <v>5977</v>
      </c>
      <c r="F279" s="493" t="s">
        <v>6821</v>
      </c>
      <c r="G279" s="493" t="s">
        <v>7418</v>
      </c>
      <c r="H279" s="493" t="s">
        <v>7419</v>
      </c>
      <c r="I279" s="501" t="s">
        <v>7415</v>
      </c>
    </row>
    <row r="280" spans="1:9" ht="14.45">
      <c r="A280" s="493">
        <v>90046</v>
      </c>
      <c r="B280" s="493" t="s">
        <v>2811</v>
      </c>
      <c r="C280" s="493" t="s">
        <v>3674</v>
      </c>
      <c r="D280" s="493" t="s">
        <v>4109</v>
      </c>
      <c r="E280" s="493" t="s">
        <v>5977</v>
      </c>
      <c r="F280" s="493" t="s">
        <v>6821</v>
      </c>
      <c r="G280" s="493" t="s">
        <v>7420</v>
      </c>
      <c r="H280" s="493" t="s">
        <v>7421</v>
      </c>
      <c r="I280" s="501" t="s">
        <v>7415</v>
      </c>
    </row>
    <row r="281" spans="1:9" ht="14.45">
      <c r="A281" s="493">
        <v>90047</v>
      </c>
      <c r="B281" s="493" t="s">
        <v>2844</v>
      </c>
      <c r="C281" s="493" t="s">
        <v>3674</v>
      </c>
      <c r="D281" s="493" t="s">
        <v>4109</v>
      </c>
      <c r="E281" s="493" t="s">
        <v>5977</v>
      </c>
      <c r="F281" s="493" t="s">
        <v>6821</v>
      </c>
      <c r="G281" s="493" t="s">
        <v>7422</v>
      </c>
      <c r="H281" s="493" t="s">
        <v>7423</v>
      </c>
      <c r="I281" s="501" t="s">
        <v>7415</v>
      </c>
    </row>
    <row r="282" spans="1:9" ht="14.45">
      <c r="A282" s="493">
        <v>90340</v>
      </c>
      <c r="B282" s="493" t="s">
        <v>3498</v>
      </c>
      <c r="C282" s="493" t="s">
        <v>3674</v>
      </c>
      <c r="D282" s="493" t="s">
        <v>4109</v>
      </c>
      <c r="E282" s="493" t="s">
        <v>3666</v>
      </c>
      <c r="F282" s="493" t="s">
        <v>6821</v>
      </c>
      <c r="G282" s="493" t="s">
        <v>7424</v>
      </c>
      <c r="H282" s="493" t="s">
        <v>7425</v>
      </c>
      <c r="I282" s="501" t="s">
        <v>7426</v>
      </c>
    </row>
    <row r="283" spans="1:9" ht="14.45">
      <c r="A283" s="493">
        <v>90341</v>
      </c>
      <c r="B283" s="493" t="s">
        <v>3374</v>
      </c>
      <c r="C283" s="493" t="s">
        <v>3674</v>
      </c>
      <c r="D283" s="493" t="s">
        <v>4109</v>
      </c>
      <c r="E283" s="493" t="s">
        <v>3666</v>
      </c>
      <c r="F283" s="493" t="s">
        <v>6821</v>
      </c>
      <c r="G283" s="493" t="s">
        <v>7427</v>
      </c>
      <c r="H283" s="493" t="s">
        <v>7425</v>
      </c>
      <c r="I283" s="501" t="s">
        <v>7426</v>
      </c>
    </row>
    <row r="284" spans="1:9" ht="14.45">
      <c r="A284" s="493">
        <v>90516</v>
      </c>
      <c r="B284" s="493" t="s">
        <v>3500</v>
      </c>
      <c r="C284" s="493" t="s">
        <v>3674</v>
      </c>
      <c r="D284" s="493" t="s">
        <v>4109</v>
      </c>
      <c r="E284" s="493" t="s">
        <v>3666</v>
      </c>
      <c r="F284" s="493" t="s">
        <v>6821</v>
      </c>
      <c r="G284" s="493" t="s">
        <v>7428</v>
      </c>
      <c r="H284" s="493" t="s">
        <v>7429</v>
      </c>
      <c r="I284" s="501" t="s">
        <v>7430</v>
      </c>
    </row>
    <row r="285" spans="1:9" ht="14.45">
      <c r="A285" s="493">
        <v>90091</v>
      </c>
      <c r="B285" s="493" t="s">
        <v>2591</v>
      </c>
      <c r="C285" s="493" t="s">
        <v>3674</v>
      </c>
      <c r="D285" s="493" t="s">
        <v>3932</v>
      </c>
      <c r="E285" s="493" t="s">
        <v>846</v>
      </c>
      <c r="F285" s="493" t="s">
        <v>6821</v>
      </c>
      <c r="G285" s="493" t="s">
        <v>7431</v>
      </c>
      <c r="H285" s="493" t="s">
        <v>7432</v>
      </c>
      <c r="I285" s="501" t="s">
        <v>7433</v>
      </c>
    </row>
    <row r="286" spans="1:9" ht="14.45">
      <c r="A286" s="493">
        <v>90090</v>
      </c>
      <c r="B286" s="493" t="s">
        <v>2696</v>
      </c>
      <c r="C286" s="493" t="s">
        <v>3674</v>
      </c>
      <c r="D286" s="493" t="s">
        <v>3932</v>
      </c>
      <c r="E286" s="493" t="s">
        <v>846</v>
      </c>
      <c r="F286" s="493" t="s">
        <v>6821</v>
      </c>
      <c r="G286" s="493" t="s">
        <v>7434</v>
      </c>
      <c r="H286" s="493" t="s">
        <v>7435</v>
      </c>
      <c r="I286" s="501" t="s">
        <v>7433</v>
      </c>
    </row>
    <row r="287" spans="1:9" ht="14.45">
      <c r="A287" s="493">
        <v>90141</v>
      </c>
      <c r="B287" s="493" t="s">
        <v>7436</v>
      </c>
      <c r="C287" s="493" t="s">
        <v>3674</v>
      </c>
      <c r="D287" s="493" t="s">
        <v>3932</v>
      </c>
      <c r="E287" s="493" t="s">
        <v>846</v>
      </c>
      <c r="F287" s="493" t="s">
        <v>6821</v>
      </c>
      <c r="G287" s="493" t="s">
        <v>7437</v>
      </c>
      <c r="H287" s="493" t="s">
        <v>7435</v>
      </c>
      <c r="I287" s="501" t="s">
        <v>7433</v>
      </c>
    </row>
    <row r="288" spans="1:9" ht="14.45">
      <c r="A288" s="493">
        <v>90143</v>
      </c>
      <c r="B288" s="493" t="s">
        <v>7438</v>
      </c>
      <c r="C288" s="493" t="s">
        <v>3674</v>
      </c>
      <c r="D288" s="493" t="s">
        <v>3932</v>
      </c>
      <c r="E288" s="493" t="s">
        <v>846</v>
      </c>
      <c r="F288" s="493" t="s">
        <v>6821</v>
      </c>
      <c r="G288" s="493" t="s">
        <v>7439</v>
      </c>
      <c r="H288" s="493" t="s">
        <v>7440</v>
      </c>
      <c r="I288" s="501" t="s">
        <v>7433</v>
      </c>
    </row>
    <row r="289" spans="1:9" ht="14.45">
      <c r="A289" s="493">
        <v>90144</v>
      </c>
      <c r="B289" s="493" t="s">
        <v>2557</v>
      </c>
      <c r="C289" s="493" t="s">
        <v>3674</v>
      </c>
      <c r="D289" s="493" t="s">
        <v>3932</v>
      </c>
      <c r="E289" s="493" t="s">
        <v>846</v>
      </c>
      <c r="F289" s="493" t="s">
        <v>6821</v>
      </c>
      <c r="G289" s="493" t="s">
        <v>7441</v>
      </c>
      <c r="H289" s="493" t="s">
        <v>7442</v>
      </c>
      <c r="I289" s="501" t="s">
        <v>7433</v>
      </c>
    </row>
    <row r="290" spans="1:9" ht="14.45">
      <c r="A290" s="493">
        <v>90145</v>
      </c>
      <c r="B290" s="493" t="s">
        <v>2739</v>
      </c>
      <c r="C290" s="493" t="s">
        <v>3674</v>
      </c>
      <c r="D290" s="493" t="s">
        <v>3932</v>
      </c>
      <c r="E290" s="493" t="s">
        <v>846</v>
      </c>
      <c r="F290" s="493" t="s">
        <v>6821</v>
      </c>
      <c r="G290" s="493" t="s">
        <v>7443</v>
      </c>
      <c r="H290" s="493" t="s">
        <v>7442</v>
      </c>
      <c r="I290" s="501" t="s">
        <v>7433</v>
      </c>
    </row>
    <row r="291" spans="1:9" ht="14.45">
      <c r="A291" s="493">
        <v>90146</v>
      </c>
      <c r="B291" s="493" t="s">
        <v>2615</v>
      </c>
      <c r="C291" s="493" t="s">
        <v>3674</v>
      </c>
      <c r="D291" s="493" t="s">
        <v>3932</v>
      </c>
      <c r="E291" s="493" t="s">
        <v>846</v>
      </c>
      <c r="F291" s="493" t="s">
        <v>6821</v>
      </c>
      <c r="G291" s="493" t="s">
        <v>7444</v>
      </c>
      <c r="H291" s="493" t="s">
        <v>7445</v>
      </c>
      <c r="I291" s="501" t="s">
        <v>7446</v>
      </c>
    </row>
    <row r="292" spans="1:9" ht="14.45">
      <c r="A292" s="493">
        <v>90147</v>
      </c>
      <c r="B292" s="493" t="s">
        <v>4303</v>
      </c>
      <c r="C292" s="493" t="s">
        <v>3674</v>
      </c>
      <c r="D292" s="493" t="s">
        <v>3932</v>
      </c>
      <c r="E292" s="493" t="s">
        <v>846</v>
      </c>
      <c r="F292" s="493" t="s">
        <v>6821</v>
      </c>
      <c r="G292" s="493" t="s">
        <v>7447</v>
      </c>
      <c r="H292" s="493" t="s">
        <v>7445</v>
      </c>
      <c r="I292" s="501" t="s">
        <v>7446</v>
      </c>
    </row>
    <row r="293" spans="1:9" ht="14.45">
      <c r="A293" s="493">
        <v>90148</v>
      </c>
      <c r="B293" s="493" t="s">
        <v>2606</v>
      </c>
      <c r="C293" s="493" t="s">
        <v>3674</v>
      </c>
      <c r="D293" s="493" t="s">
        <v>3932</v>
      </c>
      <c r="E293" s="493" t="s">
        <v>846</v>
      </c>
      <c r="F293" s="493" t="s">
        <v>6821</v>
      </c>
      <c r="G293" s="493" t="s">
        <v>7448</v>
      </c>
      <c r="H293" s="493" t="s">
        <v>7445</v>
      </c>
      <c r="I293" s="501" t="s">
        <v>7446</v>
      </c>
    </row>
    <row r="294" spans="1:9" ht="14.45">
      <c r="A294" s="493">
        <v>90149</v>
      </c>
      <c r="B294" s="493" t="s">
        <v>2667</v>
      </c>
      <c r="C294" s="493" t="s">
        <v>3674</v>
      </c>
      <c r="D294" s="493" t="s">
        <v>3932</v>
      </c>
      <c r="E294" s="493" t="s">
        <v>846</v>
      </c>
      <c r="F294" s="493" t="s">
        <v>6821</v>
      </c>
      <c r="G294" s="493" t="s">
        <v>7449</v>
      </c>
      <c r="H294" s="493" t="s">
        <v>7450</v>
      </c>
      <c r="I294" s="501" t="s">
        <v>7451</v>
      </c>
    </row>
    <row r="295" spans="1:9" ht="14.45">
      <c r="A295" s="493">
        <v>90150</v>
      </c>
      <c r="B295" s="493" t="s">
        <v>7452</v>
      </c>
      <c r="C295" s="493" t="s">
        <v>3659</v>
      </c>
      <c r="D295" s="493" t="s">
        <v>3932</v>
      </c>
      <c r="E295" s="493" t="s">
        <v>846</v>
      </c>
      <c r="F295" s="493" t="s">
        <v>6821</v>
      </c>
      <c r="G295" s="493" t="s">
        <v>7453</v>
      </c>
      <c r="H295" s="493" t="s">
        <v>7450</v>
      </c>
      <c r="I295" s="501" t="s">
        <v>7451</v>
      </c>
    </row>
    <row r="296" spans="1:9" ht="14.45">
      <c r="A296" s="493">
        <v>90515</v>
      </c>
      <c r="B296" s="493" t="s">
        <v>3341</v>
      </c>
      <c r="C296" s="493" t="s">
        <v>3674</v>
      </c>
      <c r="D296" s="493" t="s">
        <v>4109</v>
      </c>
      <c r="E296" s="493" t="s">
        <v>3666</v>
      </c>
      <c r="F296" s="493" t="s">
        <v>6821</v>
      </c>
      <c r="G296" s="493" t="s">
        <v>7454</v>
      </c>
      <c r="H296" s="493" t="s">
        <v>7455</v>
      </c>
      <c r="I296" s="501" t="s">
        <v>7456</v>
      </c>
    </row>
    <row r="297" spans="1:9" ht="14.45">
      <c r="A297" s="493">
        <v>90513</v>
      </c>
      <c r="B297" s="493" t="s">
        <v>3344</v>
      </c>
      <c r="C297" s="493" t="s">
        <v>3659</v>
      </c>
      <c r="D297" s="493" t="s">
        <v>4109</v>
      </c>
      <c r="E297" s="493" t="s">
        <v>3666</v>
      </c>
      <c r="F297" s="493" t="s">
        <v>6821</v>
      </c>
      <c r="G297" s="493" t="s">
        <v>7457</v>
      </c>
      <c r="H297" s="493" t="s">
        <v>7455</v>
      </c>
      <c r="I297" s="501" t="s">
        <v>7456</v>
      </c>
    </row>
    <row r="298" spans="1:9" ht="14.45">
      <c r="A298" s="493">
        <v>90512</v>
      </c>
      <c r="B298" s="493" t="s">
        <v>3346</v>
      </c>
      <c r="C298" s="493" t="s">
        <v>3674</v>
      </c>
      <c r="D298" s="493" t="s">
        <v>4109</v>
      </c>
      <c r="E298" s="493" t="s">
        <v>3666</v>
      </c>
      <c r="F298" s="493" t="s">
        <v>6821</v>
      </c>
      <c r="G298" s="493" t="s">
        <v>7458</v>
      </c>
      <c r="H298" s="493" t="s">
        <v>7459</v>
      </c>
      <c r="I298" s="501" t="s">
        <v>7456</v>
      </c>
    </row>
    <row r="299" spans="1:9" ht="14.45">
      <c r="A299" s="493">
        <v>90510</v>
      </c>
      <c r="B299" s="493" t="s">
        <v>3348</v>
      </c>
      <c r="C299" s="493" t="s">
        <v>3674</v>
      </c>
      <c r="D299" s="493" t="s">
        <v>4109</v>
      </c>
      <c r="E299" s="493" t="s">
        <v>3666</v>
      </c>
      <c r="F299" s="493" t="s">
        <v>6821</v>
      </c>
      <c r="G299" s="493" t="s">
        <v>7460</v>
      </c>
      <c r="H299" s="493" t="s">
        <v>7461</v>
      </c>
      <c r="I299" s="501" t="s">
        <v>7456</v>
      </c>
    </row>
    <row r="300" spans="1:9" ht="14.45">
      <c r="A300" s="493">
        <v>90499</v>
      </c>
      <c r="B300" s="494" t="s">
        <v>3496</v>
      </c>
      <c r="C300" s="493" t="s">
        <v>3674</v>
      </c>
      <c r="D300" s="493" t="s">
        <v>4109</v>
      </c>
      <c r="E300" s="493" t="s">
        <v>3666</v>
      </c>
      <c r="F300" s="493" t="s">
        <v>6821</v>
      </c>
      <c r="G300" s="493" t="s">
        <v>7462</v>
      </c>
      <c r="H300" s="493" t="s">
        <v>7463</v>
      </c>
      <c r="I300" s="501" t="s">
        <v>7426</v>
      </c>
    </row>
    <row r="301" spans="1:9" ht="14.45">
      <c r="A301" s="493">
        <v>90500</v>
      </c>
      <c r="B301" s="493" t="s">
        <v>3372</v>
      </c>
      <c r="C301" s="493" t="s">
        <v>3674</v>
      </c>
      <c r="D301" s="493" t="s">
        <v>4109</v>
      </c>
      <c r="E301" s="493" t="s">
        <v>3666</v>
      </c>
      <c r="F301" s="493" t="s">
        <v>6821</v>
      </c>
      <c r="G301" s="493" t="s">
        <v>7464</v>
      </c>
      <c r="H301" s="493" t="s">
        <v>7463</v>
      </c>
      <c r="I301" s="501" t="s">
        <v>7426</v>
      </c>
    </row>
    <row r="302" spans="1:9" ht="14.45">
      <c r="A302" s="493">
        <v>90509</v>
      </c>
      <c r="B302" s="493" t="s">
        <v>3367</v>
      </c>
      <c r="C302" s="493" t="s">
        <v>3674</v>
      </c>
      <c r="D302" s="493" t="s">
        <v>4109</v>
      </c>
      <c r="E302" s="493" t="s">
        <v>3666</v>
      </c>
      <c r="F302" s="493" t="s">
        <v>6821</v>
      </c>
      <c r="G302" s="493" t="s">
        <v>7465</v>
      </c>
      <c r="H302" s="493" t="s">
        <v>7466</v>
      </c>
      <c r="I302" s="501" t="s">
        <v>7426</v>
      </c>
    </row>
    <row r="303" spans="1:9" ht="14.45">
      <c r="A303" s="493">
        <v>90508</v>
      </c>
      <c r="B303" s="493" t="s">
        <v>3396</v>
      </c>
      <c r="C303" s="493" t="s">
        <v>3674</v>
      </c>
      <c r="D303" s="493" t="s">
        <v>4109</v>
      </c>
      <c r="E303" s="493" t="s">
        <v>3666</v>
      </c>
      <c r="F303" s="493" t="s">
        <v>6821</v>
      </c>
      <c r="G303" s="493" t="s">
        <v>7467</v>
      </c>
      <c r="H303" s="493" t="s">
        <v>7468</v>
      </c>
      <c r="I303" s="501" t="s">
        <v>7426</v>
      </c>
    </row>
    <row r="304" spans="1:9" ht="14.45">
      <c r="A304" s="493">
        <v>90507</v>
      </c>
      <c r="B304" s="493" t="s">
        <v>3399</v>
      </c>
      <c r="C304" s="493" t="s">
        <v>3674</v>
      </c>
      <c r="D304" s="493" t="s">
        <v>4109</v>
      </c>
      <c r="E304" s="493" t="s">
        <v>3666</v>
      </c>
      <c r="F304" s="493" t="s">
        <v>6821</v>
      </c>
      <c r="G304" s="493" t="s">
        <v>7469</v>
      </c>
      <c r="H304" s="493" t="s">
        <v>7468</v>
      </c>
      <c r="I304" s="501" t="s">
        <v>7426</v>
      </c>
    </row>
    <row r="305" spans="1:9" ht="14.45">
      <c r="A305" s="493">
        <v>90506</v>
      </c>
      <c r="B305" s="493" t="s">
        <v>3370</v>
      </c>
      <c r="C305" s="493" t="s">
        <v>3674</v>
      </c>
      <c r="D305" s="493" t="s">
        <v>4109</v>
      </c>
      <c r="E305" s="493" t="s">
        <v>3666</v>
      </c>
      <c r="F305" s="493" t="s">
        <v>6821</v>
      </c>
      <c r="G305" s="493" t="s">
        <v>7470</v>
      </c>
      <c r="H305" s="493" t="s">
        <v>7471</v>
      </c>
      <c r="I305" s="501" t="s">
        <v>7426</v>
      </c>
    </row>
    <row r="306" spans="1:9" ht="14.45">
      <c r="A306" s="493">
        <v>90505</v>
      </c>
      <c r="B306" s="493" t="s">
        <v>3164</v>
      </c>
      <c r="C306" s="493" t="s">
        <v>3674</v>
      </c>
      <c r="D306" s="493" t="s">
        <v>4109</v>
      </c>
      <c r="E306" s="493" t="s">
        <v>3666</v>
      </c>
      <c r="F306" s="493" t="s">
        <v>6821</v>
      </c>
      <c r="G306" s="493" t="s">
        <v>7472</v>
      </c>
      <c r="H306" s="493" t="s">
        <v>7473</v>
      </c>
      <c r="I306" s="501" t="s">
        <v>7474</v>
      </c>
    </row>
    <row r="307" spans="1:9" ht="14.45">
      <c r="A307" s="493">
        <v>90504</v>
      </c>
      <c r="B307" s="493" t="s">
        <v>3492</v>
      </c>
      <c r="C307" s="493" t="s">
        <v>3674</v>
      </c>
      <c r="D307" s="493" t="s">
        <v>4109</v>
      </c>
      <c r="E307" s="493" t="s">
        <v>3666</v>
      </c>
      <c r="F307" s="493" t="s">
        <v>6821</v>
      </c>
      <c r="G307" s="493" t="s">
        <v>7475</v>
      </c>
      <c r="H307" s="493" t="s">
        <v>7473</v>
      </c>
      <c r="I307" s="501" t="s">
        <v>7474</v>
      </c>
    </row>
    <row r="308" spans="1:9" ht="14.45">
      <c r="A308" s="493">
        <v>90501</v>
      </c>
      <c r="B308" s="493" t="s">
        <v>3328</v>
      </c>
      <c r="C308" s="493" t="s">
        <v>3674</v>
      </c>
      <c r="D308" s="493" t="s">
        <v>4109</v>
      </c>
      <c r="E308" s="493" t="s">
        <v>3666</v>
      </c>
      <c r="F308" s="493" t="s">
        <v>6821</v>
      </c>
      <c r="G308" s="493" t="s">
        <v>7476</v>
      </c>
      <c r="H308" s="493" t="s">
        <v>7477</v>
      </c>
      <c r="I308" s="501" t="s">
        <v>7478</v>
      </c>
    </row>
    <row r="309" spans="1:9" ht="14.45">
      <c r="A309" s="493">
        <v>90502</v>
      </c>
      <c r="B309" s="493" t="s">
        <v>3331</v>
      </c>
      <c r="C309" s="493" t="s">
        <v>3674</v>
      </c>
      <c r="D309" s="493" t="s">
        <v>4109</v>
      </c>
      <c r="E309" s="493" t="s">
        <v>3666</v>
      </c>
      <c r="F309" s="493" t="s">
        <v>6821</v>
      </c>
      <c r="G309" s="493" t="s">
        <v>7479</v>
      </c>
      <c r="H309" s="493" t="s">
        <v>7477</v>
      </c>
      <c r="I309" s="501" t="s">
        <v>7478</v>
      </c>
    </row>
    <row r="310" spans="1:9" ht="14.45">
      <c r="A310" s="493">
        <v>90503</v>
      </c>
      <c r="B310" s="493" t="s">
        <v>3494</v>
      </c>
      <c r="C310" s="493" t="s">
        <v>3674</v>
      </c>
      <c r="D310" s="493" t="s">
        <v>4109</v>
      </c>
      <c r="E310" s="493" t="s">
        <v>3666</v>
      </c>
      <c r="F310" s="493" t="s">
        <v>6821</v>
      </c>
      <c r="G310" s="493" t="s">
        <v>7480</v>
      </c>
      <c r="H310" s="493" t="s">
        <v>7477</v>
      </c>
      <c r="I310" s="501" t="s">
        <v>7478</v>
      </c>
    </row>
    <row r="311" spans="1:9" ht="14.45">
      <c r="A311" s="493">
        <v>90517</v>
      </c>
      <c r="B311" s="494" t="s">
        <v>3201</v>
      </c>
      <c r="C311" s="493" t="s">
        <v>3674</v>
      </c>
      <c r="D311" s="493" t="s">
        <v>4109</v>
      </c>
      <c r="E311" s="493" t="s">
        <v>3666</v>
      </c>
      <c r="F311" s="493" t="s">
        <v>6821</v>
      </c>
      <c r="G311" s="493" t="s">
        <v>7481</v>
      </c>
      <c r="H311" s="493" t="s">
        <v>7482</v>
      </c>
      <c r="I311" s="501" t="s">
        <v>7483</v>
      </c>
    </row>
    <row r="312" spans="1:9" ht="14.45">
      <c r="A312" s="493">
        <v>90518</v>
      </c>
      <c r="B312" s="493" t="s">
        <v>3356</v>
      </c>
      <c r="C312" s="493" t="s">
        <v>3674</v>
      </c>
      <c r="D312" s="493" t="s">
        <v>4109</v>
      </c>
      <c r="E312" s="493" t="s">
        <v>3666</v>
      </c>
      <c r="F312" s="493" t="s">
        <v>6821</v>
      </c>
      <c r="G312" s="493" t="s">
        <v>7484</v>
      </c>
      <c r="H312" s="493" t="s">
        <v>7485</v>
      </c>
      <c r="I312" s="501" t="s">
        <v>7486</v>
      </c>
    </row>
    <row r="313" spans="1:9" ht="14.45">
      <c r="A313" s="493">
        <v>90519</v>
      </c>
      <c r="B313" s="493" t="s">
        <v>3359</v>
      </c>
      <c r="C313" s="493" t="s">
        <v>3674</v>
      </c>
      <c r="D313" s="493" t="s">
        <v>4109</v>
      </c>
      <c r="E313" s="493" t="s">
        <v>3666</v>
      </c>
      <c r="F313" s="493" t="s">
        <v>6821</v>
      </c>
      <c r="G313" s="493" t="s">
        <v>7487</v>
      </c>
      <c r="H313" s="493" t="s">
        <v>7485</v>
      </c>
      <c r="I313" s="501" t="s">
        <v>7486</v>
      </c>
    </row>
    <row r="314" spans="1:9" ht="14.45">
      <c r="A314" s="493">
        <v>90496</v>
      </c>
      <c r="B314" s="493" t="s">
        <v>2727</v>
      </c>
      <c r="C314" s="493" t="s">
        <v>3674</v>
      </c>
      <c r="D314" s="493" t="s">
        <v>3911</v>
      </c>
      <c r="E314" s="493" t="s">
        <v>846</v>
      </c>
      <c r="F314" s="493" t="s">
        <v>6821</v>
      </c>
      <c r="G314" s="493" t="s">
        <v>7488</v>
      </c>
      <c r="H314" s="493" t="s">
        <v>7489</v>
      </c>
      <c r="I314" s="501" t="s">
        <v>7490</v>
      </c>
    </row>
    <row r="315" spans="1:9" ht="14.45">
      <c r="A315" s="493">
        <v>90782</v>
      </c>
      <c r="B315" s="493" t="s">
        <v>4808</v>
      </c>
      <c r="C315" s="493" t="s">
        <v>3674</v>
      </c>
      <c r="D315" s="493" t="s">
        <v>4784</v>
      </c>
      <c r="E315" s="493" t="s">
        <v>3719</v>
      </c>
      <c r="F315" s="493" t="s">
        <v>6821</v>
      </c>
      <c r="G315" s="493" t="s">
        <v>7491</v>
      </c>
      <c r="H315" s="493" t="s">
        <v>7492</v>
      </c>
      <c r="I315" s="501" t="s">
        <v>7493</v>
      </c>
    </row>
    <row r="316" spans="1:9" ht="14.45">
      <c r="A316" s="493">
        <v>90783</v>
      </c>
      <c r="B316" s="493" t="s">
        <v>4810</v>
      </c>
      <c r="C316" s="493" t="s">
        <v>3659</v>
      </c>
      <c r="D316" s="493" t="s">
        <v>4784</v>
      </c>
      <c r="E316" s="493" t="s">
        <v>3719</v>
      </c>
      <c r="F316" s="493" t="s">
        <v>6821</v>
      </c>
      <c r="G316" s="493" t="s">
        <v>7494</v>
      </c>
      <c r="H316" s="493" t="s">
        <v>7492</v>
      </c>
      <c r="I316" s="501" t="s">
        <v>7493</v>
      </c>
    </row>
    <row r="317" spans="1:9" ht="14.45">
      <c r="A317" s="493">
        <v>90048</v>
      </c>
      <c r="B317" s="493" t="s">
        <v>2870</v>
      </c>
      <c r="C317" s="493" t="s">
        <v>3674</v>
      </c>
      <c r="D317" s="493" t="s">
        <v>3681</v>
      </c>
      <c r="E317" s="493" t="s">
        <v>6886</v>
      </c>
      <c r="F317" s="493" t="s">
        <v>6906</v>
      </c>
      <c r="G317" s="493" t="s">
        <v>7495</v>
      </c>
      <c r="H317" s="493" t="s">
        <v>7496</v>
      </c>
      <c r="I317" s="501" t="s">
        <v>7497</v>
      </c>
    </row>
    <row r="318" spans="1:9" ht="14.45">
      <c r="A318" s="493">
        <v>90049</v>
      </c>
      <c r="B318" s="493" t="s">
        <v>2874</v>
      </c>
      <c r="C318" s="493" t="s">
        <v>3659</v>
      </c>
      <c r="D318" s="493" t="s">
        <v>3681</v>
      </c>
      <c r="E318" s="493" t="s">
        <v>6886</v>
      </c>
      <c r="F318" s="493" t="s">
        <v>6906</v>
      </c>
      <c r="G318" s="493" t="s">
        <v>7498</v>
      </c>
      <c r="H318" s="493" t="s">
        <v>7496</v>
      </c>
      <c r="I318" s="501" t="s">
        <v>7497</v>
      </c>
    </row>
    <row r="319" spans="1:9" ht="14.45">
      <c r="A319" s="493">
        <v>90050</v>
      </c>
      <c r="B319" s="493" t="s">
        <v>2820</v>
      </c>
      <c r="C319" s="493" t="s">
        <v>3674</v>
      </c>
      <c r="D319" s="493" t="s">
        <v>3681</v>
      </c>
      <c r="E319" s="493" t="s">
        <v>6886</v>
      </c>
      <c r="F319" s="493" t="s">
        <v>6906</v>
      </c>
      <c r="G319" s="493" t="s">
        <v>7499</v>
      </c>
      <c r="H319" s="493" t="s">
        <v>7500</v>
      </c>
      <c r="I319" s="501" t="s">
        <v>7497</v>
      </c>
    </row>
    <row r="320" spans="1:9" ht="14.45">
      <c r="A320" s="493">
        <v>90051</v>
      </c>
      <c r="B320" s="493" t="s">
        <v>2876</v>
      </c>
      <c r="C320" s="493" t="s">
        <v>3659</v>
      </c>
      <c r="D320" s="493" t="s">
        <v>3681</v>
      </c>
      <c r="E320" s="493" t="s">
        <v>6886</v>
      </c>
      <c r="F320" s="493" t="s">
        <v>6906</v>
      </c>
      <c r="G320" s="493" t="s">
        <v>7501</v>
      </c>
      <c r="H320" s="493" t="s">
        <v>7500</v>
      </c>
      <c r="I320" s="501" t="s">
        <v>7497</v>
      </c>
    </row>
    <row r="321" spans="1:9" ht="14.45">
      <c r="A321" s="493">
        <v>90052</v>
      </c>
      <c r="B321" s="493" t="s">
        <v>2817</v>
      </c>
      <c r="C321" s="493" t="s">
        <v>3674</v>
      </c>
      <c r="D321" s="493" t="s">
        <v>3681</v>
      </c>
      <c r="E321" s="493" t="s">
        <v>6886</v>
      </c>
      <c r="F321" s="493" t="s">
        <v>6821</v>
      </c>
      <c r="G321" s="493" t="s">
        <v>7502</v>
      </c>
      <c r="H321" s="493" t="s">
        <v>7503</v>
      </c>
      <c r="I321" s="501" t="s">
        <v>7504</v>
      </c>
    </row>
    <row r="322" spans="1:9" ht="14.45">
      <c r="A322" s="493">
        <v>90053</v>
      </c>
      <c r="B322" s="493" t="s">
        <v>2806</v>
      </c>
      <c r="C322" s="493" t="s">
        <v>3674</v>
      </c>
      <c r="D322" s="493" t="s">
        <v>4109</v>
      </c>
      <c r="E322" s="493" t="s">
        <v>6886</v>
      </c>
      <c r="F322" s="493" t="s">
        <v>6821</v>
      </c>
      <c r="G322" s="493" t="s">
        <v>7505</v>
      </c>
      <c r="H322" s="493" t="s">
        <v>7506</v>
      </c>
      <c r="I322" s="501" t="s">
        <v>7504</v>
      </c>
    </row>
    <row r="323" spans="1:9" ht="14.45">
      <c r="A323" s="493">
        <v>91247</v>
      </c>
      <c r="B323" s="493" t="s">
        <v>2834</v>
      </c>
      <c r="C323" s="493" t="s">
        <v>3659</v>
      </c>
      <c r="D323" s="493" t="s">
        <v>4109</v>
      </c>
      <c r="E323" s="493" t="s">
        <v>6886</v>
      </c>
      <c r="F323" s="493" t="s">
        <v>6821</v>
      </c>
      <c r="G323" s="493" t="s">
        <v>7507</v>
      </c>
      <c r="H323" s="493" t="s">
        <v>7506</v>
      </c>
      <c r="I323" s="501" t="s">
        <v>7504</v>
      </c>
    </row>
    <row r="324" spans="1:9" ht="14.45">
      <c r="A324" s="493">
        <v>90111</v>
      </c>
      <c r="B324" s="493" t="s">
        <v>2824</v>
      </c>
      <c r="C324" s="493" t="s">
        <v>3674</v>
      </c>
      <c r="D324" s="493" t="s">
        <v>4784</v>
      </c>
      <c r="E324" s="493" t="s">
        <v>6886</v>
      </c>
      <c r="F324" s="493" t="s">
        <v>6821</v>
      </c>
      <c r="G324" s="493" t="s">
        <v>7508</v>
      </c>
      <c r="H324" s="493" t="s">
        <v>7509</v>
      </c>
      <c r="I324" s="501" t="s">
        <v>7510</v>
      </c>
    </row>
    <row r="325" spans="1:9" ht="14.45">
      <c r="A325" s="493">
        <v>90112</v>
      </c>
      <c r="B325" s="493" t="s">
        <v>4770</v>
      </c>
      <c r="C325" s="493" t="s">
        <v>3674</v>
      </c>
      <c r="D325" s="493" t="s">
        <v>3911</v>
      </c>
      <c r="E325" s="493" t="s">
        <v>846</v>
      </c>
      <c r="F325" s="493" t="s">
        <v>6821</v>
      </c>
      <c r="G325" s="493" t="s">
        <v>7511</v>
      </c>
      <c r="H325" s="493" t="s">
        <v>7512</v>
      </c>
      <c r="I325" s="501" t="s">
        <v>7513</v>
      </c>
    </row>
    <row r="326" spans="1:9" ht="14.45">
      <c r="A326" s="493">
        <v>90113</v>
      </c>
      <c r="B326" s="493" t="s">
        <v>2698</v>
      </c>
      <c r="C326" s="493" t="s">
        <v>3674</v>
      </c>
      <c r="D326" s="493" t="s">
        <v>4784</v>
      </c>
      <c r="E326" s="493" t="s">
        <v>846</v>
      </c>
      <c r="F326" s="493" t="s">
        <v>6821</v>
      </c>
      <c r="G326" s="493" t="s">
        <v>7514</v>
      </c>
      <c r="H326" s="493" t="s">
        <v>7515</v>
      </c>
      <c r="I326" s="501" t="s">
        <v>7516</v>
      </c>
    </row>
    <row r="327" spans="1:9" ht="14.45">
      <c r="A327" s="493">
        <v>90114</v>
      </c>
      <c r="B327" s="493" t="s">
        <v>1045</v>
      </c>
      <c r="C327" s="493" t="s">
        <v>3674</v>
      </c>
      <c r="D327" s="493" t="s">
        <v>4784</v>
      </c>
      <c r="E327" s="493" t="s">
        <v>846</v>
      </c>
      <c r="F327" s="493" t="s">
        <v>6821</v>
      </c>
      <c r="G327" s="493" t="s">
        <v>7517</v>
      </c>
      <c r="H327" s="493" t="s">
        <v>7518</v>
      </c>
      <c r="I327" s="501" t="s">
        <v>7519</v>
      </c>
    </row>
    <row r="328" spans="1:9" ht="14.45">
      <c r="A328" s="493">
        <v>90115</v>
      </c>
      <c r="B328" s="493" t="s">
        <v>4805</v>
      </c>
      <c r="C328" s="493" t="s">
        <v>3659</v>
      </c>
      <c r="D328" s="493" t="s">
        <v>4784</v>
      </c>
      <c r="E328" s="493" t="s">
        <v>846</v>
      </c>
      <c r="F328" s="493" t="s">
        <v>6821</v>
      </c>
      <c r="G328" s="493" t="s">
        <v>7520</v>
      </c>
      <c r="H328" s="493" t="s">
        <v>7518</v>
      </c>
      <c r="I328" s="501" t="s">
        <v>7519</v>
      </c>
    </row>
    <row r="329" spans="1:9" ht="14.45">
      <c r="A329" s="493">
        <v>90337</v>
      </c>
      <c r="B329" s="494" t="s">
        <v>2645</v>
      </c>
      <c r="C329" s="493" t="s">
        <v>3674</v>
      </c>
      <c r="D329" s="493" t="s">
        <v>4784</v>
      </c>
      <c r="E329" s="493" t="s">
        <v>846</v>
      </c>
      <c r="F329" s="493" t="s">
        <v>6821</v>
      </c>
      <c r="G329" s="493" t="s">
        <v>7521</v>
      </c>
      <c r="H329" s="493" t="s">
        <v>7522</v>
      </c>
      <c r="I329" s="501" t="s">
        <v>7523</v>
      </c>
    </row>
    <row r="330" spans="1:9" ht="14.45">
      <c r="A330" s="493">
        <v>90839</v>
      </c>
      <c r="B330" s="493" t="s">
        <v>4772</v>
      </c>
      <c r="C330" s="493" t="s">
        <v>3674</v>
      </c>
      <c r="D330" s="493" t="s">
        <v>3911</v>
      </c>
      <c r="E330" s="493" t="s">
        <v>846</v>
      </c>
      <c r="F330" s="493" t="s">
        <v>6821</v>
      </c>
      <c r="G330" s="493" t="s">
        <v>7524</v>
      </c>
      <c r="H330" s="493" t="s">
        <v>7525</v>
      </c>
      <c r="I330" s="501" t="s">
        <v>7526</v>
      </c>
    </row>
    <row r="331" spans="1:9" ht="14.45">
      <c r="A331" s="493">
        <v>90116</v>
      </c>
      <c r="B331" s="493" t="s">
        <v>2725</v>
      </c>
      <c r="C331" s="493" t="s">
        <v>3674</v>
      </c>
      <c r="D331" s="493" t="s">
        <v>4784</v>
      </c>
      <c r="E331" s="493" t="s">
        <v>846</v>
      </c>
      <c r="F331" s="493" t="s">
        <v>6821</v>
      </c>
      <c r="G331" s="493" t="s">
        <v>7527</v>
      </c>
      <c r="H331" s="493" t="s">
        <v>7528</v>
      </c>
      <c r="I331" s="501" t="s">
        <v>7529</v>
      </c>
    </row>
    <row r="332" spans="1:9" ht="14.45">
      <c r="A332" s="493">
        <v>90085</v>
      </c>
      <c r="B332" s="493" t="s">
        <v>4819</v>
      </c>
      <c r="C332" s="493" t="s">
        <v>3674</v>
      </c>
      <c r="D332" s="493" t="s">
        <v>4784</v>
      </c>
      <c r="E332" s="493" t="s">
        <v>846</v>
      </c>
      <c r="F332" s="493" t="s">
        <v>6821</v>
      </c>
      <c r="G332" s="493" t="s">
        <v>7530</v>
      </c>
      <c r="H332" s="493" t="s">
        <v>7531</v>
      </c>
      <c r="I332" s="501" t="s">
        <v>7532</v>
      </c>
    </row>
    <row r="333" spans="1:9" ht="14.45">
      <c r="A333" s="493">
        <v>90317</v>
      </c>
      <c r="B333" s="493" t="s">
        <v>2714</v>
      </c>
      <c r="C333" s="493" t="s">
        <v>3674</v>
      </c>
      <c r="D333" s="493" t="s">
        <v>3932</v>
      </c>
      <c r="E333" s="493" t="s">
        <v>846</v>
      </c>
      <c r="F333" s="493" t="s">
        <v>6821</v>
      </c>
      <c r="G333" s="493" t="s">
        <v>7533</v>
      </c>
      <c r="H333" s="493" t="s">
        <v>7534</v>
      </c>
      <c r="I333" s="501" t="s">
        <v>7535</v>
      </c>
    </row>
    <row r="334" spans="1:9" ht="14.45">
      <c r="A334" s="493">
        <v>90087</v>
      </c>
      <c r="B334" s="493" t="s">
        <v>2702</v>
      </c>
      <c r="C334" s="493" t="s">
        <v>3674</v>
      </c>
      <c r="D334" s="493" t="s">
        <v>3932</v>
      </c>
      <c r="E334" s="493" t="s">
        <v>846</v>
      </c>
      <c r="F334" s="493" t="s">
        <v>6821</v>
      </c>
      <c r="G334" s="493" t="s">
        <v>7536</v>
      </c>
      <c r="H334" s="493" t="s">
        <v>7537</v>
      </c>
      <c r="I334" s="501" t="s">
        <v>7535</v>
      </c>
    </row>
    <row r="335" spans="1:9" ht="14.45">
      <c r="A335" s="493">
        <v>90088</v>
      </c>
      <c r="B335" s="493" t="s">
        <v>7538</v>
      </c>
      <c r="C335" s="493" t="s">
        <v>3659</v>
      </c>
      <c r="D335" s="493" t="s">
        <v>3932</v>
      </c>
      <c r="E335" s="493" t="s">
        <v>846</v>
      </c>
      <c r="F335" s="493" t="s">
        <v>6821</v>
      </c>
      <c r="G335" s="493" t="s">
        <v>7539</v>
      </c>
      <c r="H335" s="493" t="s">
        <v>7537</v>
      </c>
      <c r="I335" s="501" t="s">
        <v>7535</v>
      </c>
    </row>
    <row r="336" spans="1:9" ht="14.45">
      <c r="A336" s="493">
        <v>90336</v>
      </c>
      <c r="B336" s="493" t="s">
        <v>1043</v>
      </c>
      <c r="C336" s="493" t="s">
        <v>3674</v>
      </c>
      <c r="D336" s="493" t="s">
        <v>4784</v>
      </c>
      <c r="E336" s="493" t="s">
        <v>846</v>
      </c>
      <c r="F336" s="493" t="s">
        <v>6821</v>
      </c>
      <c r="G336" s="493" t="s">
        <v>7540</v>
      </c>
      <c r="H336" s="493" t="s">
        <v>7541</v>
      </c>
      <c r="I336" s="501" t="s">
        <v>7542</v>
      </c>
    </row>
    <row r="337" spans="1:9" ht="14.45">
      <c r="A337" s="493">
        <v>90335</v>
      </c>
      <c r="B337" s="493" t="s">
        <v>4813</v>
      </c>
      <c r="C337" s="493" t="s">
        <v>3659</v>
      </c>
      <c r="D337" s="493" t="s">
        <v>4784</v>
      </c>
      <c r="E337" s="493" t="s">
        <v>846</v>
      </c>
      <c r="F337" s="493" t="s">
        <v>6821</v>
      </c>
      <c r="G337" s="493" t="s">
        <v>7543</v>
      </c>
      <c r="H337" s="493" t="s">
        <v>7541</v>
      </c>
      <c r="I337" s="501" t="s">
        <v>7542</v>
      </c>
    </row>
    <row r="338" spans="1:9" ht="14.45">
      <c r="A338" s="493">
        <v>90212</v>
      </c>
      <c r="B338" s="493" t="s">
        <v>2708</v>
      </c>
      <c r="C338" s="493" t="s">
        <v>3674</v>
      </c>
      <c r="D338" s="493" t="s">
        <v>3911</v>
      </c>
      <c r="E338" s="493" t="s">
        <v>846</v>
      </c>
      <c r="F338" s="493" t="s">
        <v>6821</v>
      </c>
      <c r="G338" s="493" t="s">
        <v>7544</v>
      </c>
      <c r="H338" s="493" t="s">
        <v>7545</v>
      </c>
      <c r="I338" s="501" t="s">
        <v>7546</v>
      </c>
    </row>
    <row r="339" spans="1:9" ht="14.45">
      <c r="A339" s="493">
        <v>90211</v>
      </c>
      <c r="B339" s="493" t="s">
        <v>4781</v>
      </c>
      <c r="C339" s="493" t="s">
        <v>3674</v>
      </c>
      <c r="D339" s="493" t="s">
        <v>3911</v>
      </c>
      <c r="E339" s="493" t="s">
        <v>846</v>
      </c>
      <c r="F339" s="493" t="s">
        <v>6821</v>
      </c>
      <c r="G339" s="493" t="s">
        <v>7547</v>
      </c>
      <c r="H339" s="493" t="s">
        <v>7545</v>
      </c>
      <c r="I339" s="501" t="s">
        <v>7546</v>
      </c>
    </row>
    <row r="340" spans="1:9" ht="14.45">
      <c r="A340" s="493">
        <v>90495</v>
      </c>
      <c r="B340" s="493" t="s">
        <v>2710</v>
      </c>
      <c r="C340" s="493" t="s">
        <v>3674</v>
      </c>
      <c r="D340" s="493" t="s">
        <v>3911</v>
      </c>
      <c r="E340" s="493" t="s">
        <v>846</v>
      </c>
      <c r="F340" s="493" t="s">
        <v>6821</v>
      </c>
      <c r="G340" s="493" t="s">
        <v>7548</v>
      </c>
      <c r="H340" s="493" t="s">
        <v>7549</v>
      </c>
      <c r="I340" s="501" t="s">
        <v>7550</v>
      </c>
    </row>
    <row r="341" spans="1:9" ht="14.45">
      <c r="A341" s="493">
        <v>90210</v>
      </c>
      <c r="B341" s="493" t="s">
        <v>2677</v>
      </c>
      <c r="C341" s="493" t="s">
        <v>3674</v>
      </c>
      <c r="D341" s="493" t="s">
        <v>3911</v>
      </c>
      <c r="E341" s="493" t="s">
        <v>846</v>
      </c>
      <c r="F341" s="493" t="s">
        <v>6821</v>
      </c>
      <c r="G341" s="493" t="s">
        <v>7551</v>
      </c>
      <c r="H341" s="493" t="s">
        <v>7552</v>
      </c>
      <c r="I341" s="501" t="s">
        <v>7553</v>
      </c>
    </row>
    <row r="342" spans="1:9" ht="14.45">
      <c r="A342" s="493">
        <v>90209</v>
      </c>
      <c r="B342" s="493" t="s">
        <v>4759</v>
      </c>
      <c r="C342" s="493" t="s">
        <v>3674</v>
      </c>
      <c r="D342" s="493" t="s">
        <v>3911</v>
      </c>
      <c r="E342" s="493" t="s">
        <v>846</v>
      </c>
      <c r="F342" s="493" t="s">
        <v>6821</v>
      </c>
      <c r="G342" s="493" t="s">
        <v>7554</v>
      </c>
      <c r="H342" s="493" t="s">
        <v>7552</v>
      </c>
      <c r="I342" s="501" t="s">
        <v>7553</v>
      </c>
    </row>
    <row r="343" spans="1:9" ht="14.45">
      <c r="A343" s="493">
        <v>90208</v>
      </c>
      <c r="B343" s="493" t="s">
        <v>4761</v>
      </c>
      <c r="C343" s="493" t="s">
        <v>3674</v>
      </c>
      <c r="D343" s="493" t="s">
        <v>3911</v>
      </c>
      <c r="E343" s="493" t="s">
        <v>846</v>
      </c>
      <c r="F343" s="493" t="s">
        <v>6821</v>
      </c>
      <c r="G343" s="493" t="s">
        <v>7555</v>
      </c>
      <c r="H343" s="493" t="s">
        <v>7552</v>
      </c>
      <c r="I343" s="501" t="s">
        <v>7553</v>
      </c>
    </row>
    <row r="344" spans="1:9" ht="14.45">
      <c r="A344" s="493">
        <v>90572</v>
      </c>
      <c r="B344" s="493" t="s">
        <v>2555</v>
      </c>
      <c r="C344" s="493" t="s">
        <v>3674</v>
      </c>
      <c r="D344" s="493" t="s">
        <v>3911</v>
      </c>
      <c r="E344" s="493" t="s">
        <v>846</v>
      </c>
      <c r="F344" s="493" t="s">
        <v>6821</v>
      </c>
      <c r="G344" s="497" t="s">
        <v>7556</v>
      </c>
      <c r="H344" s="493" t="s">
        <v>7557</v>
      </c>
      <c r="I344" s="501" t="s">
        <v>7558</v>
      </c>
    </row>
    <row r="345" spans="1:9" ht="14.45">
      <c r="A345" s="493">
        <v>90207</v>
      </c>
      <c r="B345" s="493" t="s">
        <v>2643</v>
      </c>
      <c r="C345" s="493" t="s">
        <v>3674</v>
      </c>
      <c r="D345" s="493" t="s">
        <v>3911</v>
      </c>
      <c r="E345" s="493" t="s">
        <v>846</v>
      </c>
      <c r="F345" s="493" t="s">
        <v>6821</v>
      </c>
      <c r="G345" s="493" t="s">
        <v>7559</v>
      </c>
      <c r="H345" s="493" t="s">
        <v>7560</v>
      </c>
      <c r="I345" s="501" t="s">
        <v>7561</v>
      </c>
    </row>
    <row r="346" spans="1:9" ht="14.45">
      <c r="A346" s="493">
        <v>90238</v>
      </c>
      <c r="B346" s="493" t="s">
        <v>4753</v>
      </c>
      <c r="C346" s="493" t="s">
        <v>3659</v>
      </c>
      <c r="D346" s="493" t="s">
        <v>3911</v>
      </c>
      <c r="E346" s="493" t="s">
        <v>846</v>
      </c>
      <c r="F346" s="493" t="s">
        <v>6821</v>
      </c>
      <c r="G346" s="493" t="s">
        <v>7562</v>
      </c>
      <c r="H346" s="493" t="s">
        <v>7560</v>
      </c>
      <c r="I346" s="501" t="s">
        <v>7561</v>
      </c>
    </row>
    <row r="347" spans="1:9" ht="14.45">
      <c r="A347" s="493">
        <v>90494</v>
      </c>
      <c r="B347" s="493" t="s">
        <v>2641</v>
      </c>
      <c r="C347" s="493" t="s">
        <v>3674</v>
      </c>
      <c r="D347" s="493" t="s">
        <v>3911</v>
      </c>
      <c r="E347" s="493" t="s">
        <v>846</v>
      </c>
      <c r="F347" s="493" t="s">
        <v>6821</v>
      </c>
      <c r="G347" s="493" t="s">
        <v>7563</v>
      </c>
      <c r="H347" s="493" t="s">
        <v>7564</v>
      </c>
      <c r="I347" s="501" t="s">
        <v>7565</v>
      </c>
    </row>
    <row r="348" spans="1:9" ht="14.45">
      <c r="A348" s="493">
        <v>90493</v>
      </c>
      <c r="B348" s="493" t="s">
        <v>4778</v>
      </c>
      <c r="C348" s="493" t="s">
        <v>3659</v>
      </c>
      <c r="D348" s="493" t="s">
        <v>3911</v>
      </c>
      <c r="E348" s="493" t="s">
        <v>846</v>
      </c>
      <c r="F348" s="493" t="s">
        <v>6821</v>
      </c>
      <c r="G348" s="493" t="s">
        <v>7566</v>
      </c>
      <c r="H348" s="493" t="s">
        <v>7564</v>
      </c>
      <c r="I348" s="501" t="s">
        <v>7565</v>
      </c>
    </row>
    <row r="349" spans="1:9" ht="14.45">
      <c r="A349" s="493">
        <v>90237</v>
      </c>
      <c r="B349" s="493" t="s">
        <v>2704</v>
      </c>
      <c r="C349" s="493" t="s">
        <v>3674</v>
      </c>
      <c r="D349" s="493" t="s">
        <v>3911</v>
      </c>
      <c r="E349" s="493" t="s">
        <v>846</v>
      </c>
      <c r="F349" s="493" t="s">
        <v>6821</v>
      </c>
      <c r="G349" s="493" t="s">
        <v>7567</v>
      </c>
      <c r="H349" s="493" t="s">
        <v>7568</v>
      </c>
      <c r="I349" s="501" t="s">
        <v>7569</v>
      </c>
    </row>
    <row r="350" spans="1:9" ht="14.45">
      <c r="A350" s="493">
        <v>90492</v>
      </c>
      <c r="B350" s="493" t="s">
        <v>2706</v>
      </c>
      <c r="C350" s="493" t="s">
        <v>3674</v>
      </c>
      <c r="D350" s="493" t="s">
        <v>3911</v>
      </c>
      <c r="E350" s="493" t="s">
        <v>846</v>
      </c>
      <c r="F350" s="493" t="s">
        <v>6821</v>
      </c>
      <c r="G350" s="493" t="s">
        <v>7570</v>
      </c>
      <c r="H350" s="493" t="s">
        <v>7571</v>
      </c>
      <c r="I350" s="501" t="s">
        <v>7572</v>
      </c>
    </row>
    <row r="351" spans="1:9" ht="14.45">
      <c r="A351" s="493">
        <v>90491</v>
      </c>
      <c r="B351" s="493" t="s">
        <v>4765</v>
      </c>
      <c r="C351" s="493" t="s">
        <v>3674</v>
      </c>
      <c r="D351" s="493" t="s">
        <v>3911</v>
      </c>
      <c r="E351" s="493" t="s">
        <v>846</v>
      </c>
      <c r="F351" s="493" t="s">
        <v>6821</v>
      </c>
      <c r="G351" s="493" t="s">
        <v>7573</v>
      </c>
      <c r="H351" s="493" t="s">
        <v>7571</v>
      </c>
      <c r="I351" s="501" t="s">
        <v>7572</v>
      </c>
    </row>
    <row r="352" spans="1:9" ht="14.45">
      <c r="A352" s="493">
        <v>90466</v>
      </c>
      <c r="B352" s="493" t="s">
        <v>3143</v>
      </c>
      <c r="C352" s="493" t="s">
        <v>3674</v>
      </c>
      <c r="D352" s="493" t="s">
        <v>4784</v>
      </c>
      <c r="E352" s="493" t="s">
        <v>4309</v>
      </c>
      <c r="F352" s="493" t="s">
        <v>6821</v>
      </c>
      <c r="G352" s="493" t="s">
        <v>7574</v>
      </c>
      <c r="H352" s="493" t="s">
        <v>7575</v>
      </c>
      <c r="I352" s="501" t="s">
        <v>7576</v>
      </c>
    </row>
    <row r="353" spans="1:9" ht="14.45">
      <c r="A353" s="493">
        <v>90645</v>
      </c>
      <c r="B353" s="493" t="s">
        <v>3141</v>
      </c>
      <c r="C353" s="493" t="s">
        <v>3674</v>
      </c>
      <c r="D353" s="493" t="s">
        <v>4784</v>
      </c>
      <c r="E353" s="493" t="s">
        <v>4309</v>
      </c>
      <c r="F353" s="493" t="s">
        <v>6821</v>
      </c>
      <c r="G353" s="493" t="s">
        <v>7577</v>
      </c>
      <c r="H353" s="493" t="s">
        <v>7578</v>
      </c>
      <c r="I353" s="501" t="s">
        <v>7579</v>
      </c>
    </row>
    <row r="354" spans="1:9" ht="14.45">
      <c r="A354" s="493">
        <v>90646</v>
      </c>
      <c r="B354" s="493" t="s">
        <v>3118</v>
      </c>
      <c r="C354" s="493" t="s">
        <v>3674</v>
      </c>
      <c r="D354" s="493" t="s">
        <v>4784</v>
      </c>
      <c r="E354" s="493" t="s">
        <v>4309</v>
      </c>
      <c r="F354" s="493" t="s">
        <v>6821</v>
      </c>
      <c r="G354" s="493" t="s">
        <v>7580</v>
      </c>
      <c r="H354" s="493" t="s">
        <v>7578</v>
      </c>
      <c r="I354" s="501" t="s">
        <v>7579</v>
      </c>
    </row>
    <row r="355" spans="1:9" ht="14.45">
      <c r="A355" s="493">
        <v>90647</v>
      </c>
      <c r="B355" s="493" t="s">
        <v>3119</v>
      </c>
      <c r="C355" s="493" t="s">
        <v>3674</v>
      </c>
      <c r="D355" s="493" t="s">
        <v>4784</v>
      </c>
      <c r="E355" s="493" t="s">
        <v>4309</v>
      </c>
      <c r="F355" s="493" t="s">
        <v>6821</v>
      </c>
      <c r="G355" s="493" t="s">
        <v>7581</v>
      </c>
      <c r="H355" s="493" t="s">
        <v>7578</v>
      </c>
      <c r="I355" s="501" t="s">
        <v>7579</v>
      </c>
    </row>
    <row r="356" spans="1:9" ht="14.45">
      <c r="A356" s="493">
        <v>90648</v>
      </c>
      <c r="B356" s="493" t="s">
        <v>3120</v>
      </c>
      <c r="C356" s="493" t="s">
        <v>3674</v>
      </c>
      <c r="D356" s="493" t="s">
        <v>4784</v>
      </c>
      <c r="E356" s="493" t="s">
        <v>4309</v>
      </c>
      <c r="F356" s="493" t="s">
        <v>6821</v>
      </c>
      <c r="G356" s="493" t="s">
        <v>7582</v>
      </c>
      <c r="H356" s="493" t="s">
        <v>7578</v>
      </c>
      <c r="I356" s="501" t="s">
        <v>7579</v>
      </c>
    </row>
    <row r="357" spans="1:9" ht="14.45">
      <c r="A357" s="493">
        <v>90649</v>
      </c>
      <c r="B357" s="493" t="s">
        <v>3121</v>
      </c>
      <c r="C357" s="493" t="s">
        <v>3674</v>
      </c>
      <c r="D357" s="493" t="s">
        <v>4784</v>
      </c>
      <c r="E357" s="493" t="s">
        <v>4309</v>
      </c>
      <c r="F357" s="493" t="s">
        <v>6821</v>
      </c>
      <c r="G357" s="493" t="s">
        <v>7583</v>
      </c>
      <c r="H357" s="493" t="s">
        <v>7578</v>
      </c>
      <c r="I357" s="501" t="s">
        <v>7579</v>
      </c>
    </row>
    <row r="358" spans="1:9" ht="14.45">
      <c r="A358" s="493">
        <v>90465</v>
      </c>
      <c r="B358" s="493" t="s">
        <v>3142</v>
      </c>
      <c r="C358" s="493" t="s">
        <v>3674</v>
      </c>
      <c r="D358" s="493" t="s">
        <v>4784</v>
      </c>
      <c r="E358" s="493" t="s">
        <v>4309</v>
      </c>
      <c r="F358" s="493" t="s">
        <v>6821</v>
      </c>
      <c r="G358" s="493" t="s">
        <v>7584</v>
      </c>
      <c r="H358" s="493" t="s">
        <v>7585</v>
      </c>
      <c r="I358" s="501" t="s">
        <v>7576</v>
      </c>
    </row>
    <row r="359" spans="1:9" ht="14.45">
      <c r="A359" s="493">
        <v>90464</v>
      </c>
      <c r="B359" s="493" t="s">
        <v>3144</v>
      </c>
      <c r="C359" s="493" t="s">
        <v>3674</v>
      </c>
      <c r="D359" s="493" t="s">
        <v>4784</v>
      </c>
      <c r="E359" s="493" t="s">
        <v>4309</v>
      </c>
      <c r="F359" s="493" t="s">
        <v>6821</v>
      </c>
      <c r="G359" s="493" t="s">
        <v>7586</v>
      </c>
      <c r="H359" s="493" t="s">
        <v>7585</v>
      </c>
      <c r="I359" s="501" t="s">
        <v>7576</v>
      </c>
    </row>
    <row r="360" spans="1:9" ht="14.45">
      <c r="A360" s="493">
        <v>90334</v>
      </c>
      <c r="B360" s="493" t="s">
        <v>2700</v>
      </c>
      <c r="C360" s="493" t="s">
        <v>3674</v>
      </c>
      <c r="D360" s="493" t="s">
        <v>3911</v>
      </c>
      <c r="E360" s="493" t="s">
        <v>846</v>
      </c>
      <c r="F360" s="493" t="s">
        <v>6821</v>
      </c>
      <c r="G360" s="493" t="s">
        <v>7587</v>
      </c>
      <c r="H360" s="493" t="s">
        <v>7588</v>
      </c>
      <c r="I360" s="501" t="s">
        <v>7589</v>
      </c>
    </row>
    <row r="361" spans="1:9" ht="14.45">
      <c r="A361" s="493">
        <v>90529</v>
      </c>
      <c r="B361" s="493" t="s">
        <v>2712</v>
      </c>
      <c r="C361" s="493" t="s">
        <v>3674</v>
      </c>
      <c r="D361" s="493" t="s">
        <v>3911</v>
      </c>
      <c r="E361" s="493" t="s">
        <v>846</v>
      </c>
      <c r="F361" s="493" t="s">
        <v>6821</v>
      </c>
      <c r="G361" s="493" t="s">
        <v>7590</v>
      </c>
      <c r="H361" s="493" t="s">
        <v>7591</v>
      </c>
      <c r="I361" s="501" t="s">
        <v>7592</v>
      </c>
    </row>
    <row r="362" spans="1:9" ht="14.45">
      <c r="A362" s="493">
        <v>90528</v>
      </c>
      <c r="B362" s="493" t="s">
        <v>4775</v>
      </c>
      <c r="C362" s="493" t="s">
        <v>3659</v>
      </c>
      <c r="D362" s="493" t="s">
        <v>3911</v>
      </c>
      <c r="E362" s="493" t="s">
        <v>846</v>
      </c>
      <c r="F362" s="493" t="s">
        <v>6821</v>
      </c>
      <c r="G362" s="493" t="s">
        <v>7593</v>
      </c>
      <c r="H362" s="493" t="s">
        <v>7591</v>
      </c>
      <c r="I362" s="501" t="s">
        <v>7592</v>
      </c>
    </row>
    <row r="363" spans="1:9" ht="14.45">
      <c r="A363" s="493">
        <v>90937</v>
      </c>
      <c r="B363" s="493" t="s">
        <v>3568</v>
      </c>
      <c r="C363" s="493" t="s">
        <v>3674</v>
      </c>
      <c r="D363" s="493" t="s">
        <v>3911</v>
      </c>
      <c r="E363" s="493" t="s">
        <v>56</v>
      </c>
      <c r="F363" s="493" t="s">
        <v>6821</v>
      </c>
      <c r="G363" s="493" t="s">
        <v>7594</v>
      </c>
      <c r="H363" s="493" t="s">
        <v>7595</v>
      </c>
      <c r="I363" s="501" t="s">
        <v>7596</v>
      </c>
    </row>
    <row r="364" spans="1:9" ht="14.45">
      <c r="A364" s="493">
        <v>90236</v>
      </c>
      <c r="B364" s="493" t="s">
        <v>4768</v>
      </c>
      <c r="C364" s="493" t="s">
        <v>3674</v>
      </c>
      <c r="D364" s="493" t="s">
        <v>3911</v>
      </c>
      <c r="E364" s="493" t="s">
        <v>846</v>
      </c>
      <c r="F364" s="493" t="s">
        <v>6821</v>
      </c>
      <c r="G364" s="493" t="s">
        <v>7597</v>
      </c>
      <c r="H364" s="493" t="s">
        <v>7598</v>
      </c>
      <c r="I364" s="501" t="s">
        <v>7599</v>
      </c>
    </row>
    <row r="365" spans="1:9" ht="14.45">
      <c r="A365" s="493">
        <v>91002</v>
      </c>
      <c r="B365" s="493" t="s">
        <v>3433</v>
      </c>
      <c r="C365" s="493" t="s">
        <v>3674</v>
      </c>
      <c r="D365" s="493" t="s">
        <v>3911</v>
      </c>
      <c r="E365" s="493" t="s">
        <v>3666</v>
      </c>
      <c r="F365" s="493" t="s">
        <v>6821</v>
      </c>
      <c r="G365" s="493" t="s">
        <v>7600</v>
      </c>
      <c r="H365" s="493" t="s">
        <v>7601</v>
      </c>
      <c r="I365" s="501" t="s">
        <v>7602</v>
      </c>
    </row>
    <row r="366" spans="1:9" ht="14.45">
      <c r="A366" s="493">
        <v>90457</v>
      </c>
      <c r="B366" s="493" t="s">
        <v>3417</v>
      </c>
      <c r="C366" s="493" t="s">
        <v>3674</v>
      </c>
      <c r="D366" s="493" t="s">
        <v>3911</v>
      </c>
      <c r="E366" s="493" t="s">
        <v>3666</v>
      </c>
      <c r="F366" s="493" t="s">
        <v>6821</v>
      </c>
      <c r="G366" s="493" t="s">
        <v>7603</v>
      </c>
      <c r="H366" s="493" t="s">
        <v>7604</v>
      </c>
      <c r="I366" s="501" t="s">
        <v>7605</v>
      </c>
    </row>
    <row r="367" spans="1:9" ht="14.45">
      <c r="A367" s="493">
        <v>90612</v>
      </c>
      <c r="B367" s="493" t="s">
        <v>3413</v>
      </c>
      <c r="C367" s="493" t="s">
        <v>3674</v>
      </c>
      <c r="D367" s="493" t="s">
        <v>3911</v>
      </c>
      <c r="E367" s="493" t="s">
        <v>3666</v>
      </c>
      <c r="F367" s="493" t="s">
        <v>6821</v>
      </c>
      <c r="G367" s="493" t="s">
        <v>7606</v>
      </c>
      <c r="H367" s="493" t="s">
        <v>7607</v>
      </c>
      <c r="I367" s="501" t="s">
        <v>7608</v>
      </c>
    </row>
    <row r="368" spans="1:9" ht="14.45">
      <c r="A368" s="493">
        <v>90613</v>
      </c>
      <c r="B368" s="493" t="s">
        <v>3419</v>
      </c>
      <c r="C368" s="493" t="s">
        <v>3674</v>
      </c>
      <c r="D368" s="493" t="s">
        <v>3911</v>
      </c>
      <c r="E368" s="493" t="s">
        <v>3666</v>
      </c>
      <c r="F368" s="493" t="s">
        <v>6821</v>
      </c>
      <c r="G368" s="493" t="s">
        <v>7609</v>
      </c>
      <c r="H368" s="493" t="s">
        <v>7607</v>
      </c>
      <c r="I368" s="501" t="s">
        <v>7608</v>
      </c>
    </row>
    <row r="369" spans="1:9" ht="14.45">
      <c r="A369" s="493">
        <v>90456</v>
      </c>
      <c r="B369" s="493" t="s">
        <v>3415</v>
      </c>
      <c r="C369" s="493" t="s">
        <v>3674</v>
      </c>
      <c r="D369" s="493" t="s">
        <v>3911</v>
      </c>
      <c r="E369" s="493" t="s">
        <v>3666</v>
      </c>
      <c r="F369" s="493" t="s">
        <v>6821</v>
      </c>
      <c r="G369" s="493" t="s">
        <v>7610</v>
      </c>
      <c r="H369" s="493" t="s">
        <v>7611</v>
      </c>
      <c r="I369" s="501" t="s">
        <v>7608</v>
      </c>
    </row>
    <row r="370" spans="1:9" ht="14.45">
      <c r="A370" s="493">
        <v>90243</v>
      </c>
      <c r="B370" s="493" t="s">
        <v>2680</v>
      </c>
      <c r="C370" s="493" t="s">
        <v>3674</v>
      </c>
      <c r="D370" s="493" t="s">
        <v>4215</v>
      </c>
      <c r="E370" s="493" t="s">
        <v>846</v>
      </c>
      <c r="F370" s="493" t="s">
        <v>6821</v>
      </c>
      <c r="G370" s="493" t="s">
        <v>7612</v>
      </c>
      <c r="H370" s="493" t="s">
        <v>7613</v>
      </c>
      <c r="I370" s="501" t="s">
        <v>7614</v>
      </c>
    </row>
    <row r="371" spans="1:9" ht="14.45">
      <c r="A371" s="493">
        <v>90190</v>
      </c>
      <c r="B371" s="493" t="s">
        <v>7615</v>
      </c>
      <c r="C371" s="493" t="s">
        <v>3674</v>
      </c>
      <c r="D371" s="493" t="s">
        <v>4215</v>
      </c>
      <c r="E371" s="493" t="s">
        <v>52</v>
      </c>
      <c r="F371" s="493" t="s">
        <v>6821</v>
      </c>
      <c r="G371" s="493" t="s">
        <v>7616</v>
      </c>
      <c r="H371" s="493" t="s">
        <v>7613</v>
      </c>
      <c r="I371" s="501" t="s">
        <v>7617</v>
      </c>
    </row>
    <row r="372" spans="1:9" ht="14.45">
      <c r="A372" s="493">
        <v>90191</v>
      </c>
      <c r="B372" s="493" t="s">
        <v>7618</v>
      </c>
      <c r="C372" s="493" t="s">
        <v>3674</v>
      </c>
      <c r="D372" s="493" t="s">
        <v>4215</v>
      </c>
      <c r="E372" s="493" t="s">
        <v>846</v>
      </c>
      <c r="F372" s="493" t="s">
        <v>6821</v>
      </c>
      <c r="G372" s="493" t="s">
        <v>7619</v>
      </c>
      <c r="H372" s="493" t="s">
        <v>7620</v>
      </c>
      <c r="I372" s="501" t="s">
        <v>7614</v>
      </c>
    </row>
    <row r="373" spans="1:9" ht="14.45">
      <c r="A373" s="493">
        <v>90192</v>
      </c>
      <c r="B373" s="493" t="s">
        <v>7621</v>
      </c>
      <c r="C373" s="493" t="s">
        <v>3674</v>
      </c>
      <c r="D373" s="493" t="s">
        <v>4215</v>
      </c>
      <c r="E373" s="493" t="s">
        <v>52</v>
      </c>
      <c r="F373" s="493" t="s">
        <v>6821</v>
      </c>
      <c r="G373" s="493" t="s">
        <v>7622</v>
      </c>
      <c r="H373" s="493" t="s">
        <v>7620</v>
      </c>
      <c r="I373" s="501" t="s">
        <v>7617</v>
      </c>
    </row>
    <row r="374" spans="1:9" ht="14.45">
      <c r="A374" s="493">
        <v>90193</v>
      </c>
      <c r="B374" s="493" t="s">
        <v>7623</v>
      </c>
      <c r="C374" s="493" t="s">
        <v>3674</v>
      </c>
      <c r="D374" s="493" t="s">
        <v>4215</v>
      </c>
      <c r="E374" s="493" t="s">
        <v>846</v>
      </c>
      <c r="F374" s="493" t="s">
        <v>6821</v>
      </c>
      <c r="G374" s="493" t="s">
        <v>7624</v>
      </c>
      <c r="H374" s="493" t="s">
        <v>7625</v>
      </c>
      <c r="I374" s="501" t="s">
        <v>7614</v>
      </c>
    </row>
    <row r="375" spans="1:9" ht="14.45">
      <c r="A375" s="493">
        <v>90194</v>
      </c>
      <c r="B375" s="493" t="s">
        <v>7626</v>
      </c>
      <c r="C375" s="493" t="s">
        <v>3674</v>
      </c>
      <c r="D375" s="493" t="s">
        <v>4215</v>
      </c>
      <c r="E375" s="493" t="s">
        <v>52</v>
      </c>
      <c r="F375" s="493" t="s">
        <v>6821</v>
      </c>
      <c r="G375" s="493" t="s">
        <v>7627</v>
      </c>
      <c r="H375" s="493" t="s">
        <v>7625</v>
      </c>
      <c r="I375" s="501" t="s">
        <v>7617</v>
      </c>
    </row>
    <row r="376" spans="1:9" ht="14.45">
      <c r="A376" s="493">
        <v>90195</v>
      </c>
      <c r="B376" s="493" t="s">
        <v>7628</v>
      </c>
      <c r="C376" s="493" t="s">
        <v>3674</v>
      </c>
      <c r="D376" s="493" t="s">
        <v>4215</v>
      </c>
      <c r="E376" s="493" t="s">
        <v>846</v>
      </c>
      <c r="F376" s="493" t="s">
        <v>6821</v>
      </c>
      <c r="G376" s="493" t="s">
        <v>7629</v>
      </c>
      <c r="H376" s="493" t="s">
        <v>7630</v>
      </c>
      <c r="I376" s="501" t="s">
        <v>7614</v>
      </c>
    </row>
    <row r="377" spans="1:9" ht="14.45">
      <c r="A377" s="493">
        <v>90196</v>
      </c>
      <c r="B377" s="493" t="s">
        <v>7631</v>
      </c>
      <c r="C377" s="493" t="s">
        <v>3674</v>
      </c>
      <c r="D377" s="493" t="s">
        <v>4215</v>
      </c>
      <c r="E377" s="493" t="s">
        <v>52</v>
      </c>
      <c r="F377" s="493" t="s">
        <v>6821</v>
      </c>
      <c r="G377" s="493" t="s">
        <v>7632</v>
      </c>
      <c r="H377" s="493" t="s">
        <v>7630</v>
      </c>
      <c r="I377" s="501" t="s">
        <v>7617</v>
      </c>
    </row>
    <row r="378" spans="1:9" ht="14.45">
      <c r="A378" s="493">
        <v>90197</v>
      </c>
      <c r="B378" s="493" t="s">
        <v>4214</v>
      </c>
      <c r="C378" s="493" t="s">
        <v>3674</v>
      </c>
      <c r="D378" s="493" t="s">
        <v>4215</v>
      </c>
      <c r="E378" s="493" t="s">
        <v>846</v>
      </c>
      <c r="F378" s="493" t="s">
        <v>6821</v>
      </c>
      <c r="G378" s="493" t="s">
        <v>7633</v>
      </c>
      <c r="H378" s="493" t="s">
        <v>7634</v>
      </c>
      <c r="I378" s="501" t="s">
        <v>7614</v>
      </c>
    </row>
    <row r="379" spans="1:9" ht="14.45">
      <c r="A379" s="493">
        <v>90198</v>
      </c>
      <c r="B379" s="493" t="s">
        <v>7635</v>
      </c>
      <c r="C379" s="493" t="s">
        <v>3674</v>
      </c>
      <c r="D379" s="493" t="s">
        <v>4215</v>
      </c>
      <c r="E379" s="493" t="s">
        <v>52</v>
      </c>
      <c r="F379" s="493" t="s">
        <v>6821</v>
      </c>
      <c r="G379" s="493" t="s">
        <v>7636</v>
      </c>
      <c r="H379" s="493" t="s">
        <v>7634</v>
      </c>
      <c r="I379" s="501" t="s">
        <v>7617</v>
      </c>
    </row>
    <row r="380" spans="1:9" ht="14.45">
      <c r="A380" s="493">
        <v>90199</v>
      </c>
      <c r="B380" s="493" t="s">
        <v>4240</v>
      </c>
      <c r="C380" s="493" t="s">
        <v>3674</v>
      </c>
      <c r="D380" s="493" t="s">
        <v>4215</v>
      </c>
      <c r="E380" s="493" t="s">
        <v>7637</v>
      </c>
      <c r="F380" s="493" t="s">
        <v>6821</v>
      </c>
      <c r="G380" s="493" t="s">
        <v>7638</v>
      </c>
      <c r="H380" s="493" t="s">
        <v>7639</v>
      </c>
      <c r="I380" s="501" t="s">
        <v>7640</v>
      </c>
    </row>
    <row r="381" spans="1:9" ht="14.45">
      <c r="A381" s="493">
        <v>90229</v>
      </c>
      <c r="B381" s="493" t="s">
        <v>7641</v>
      </c>
      <c r="C381" s="493" t="s">
        <v>3674</v>
      </c>
      <c r="D381" s="493" t="s">
        <v>4215</v>
      </c>
      <c r="E381" s="493" t="s">
        <v>52</v>
      </c>
      <c r="F381" s="493" t="s">
        <v>6821</v>
      </c>
      <c r="G381" s="493" t="s">
        <v>7642</v>
      </c>
      <c r="H381" s="493" t="s">
        <v>7639</v>
      </c>
      <c r="I381" s="501" t="s">
        <v>7617</v>
      </c>
    </row>
    <row r="382" spans="1:9" ht="14.45">
      <c r="A382" s="493">
        <v>90200</v>
      </c>
      <c r="B382" s="493" t="s">
        <v>4244</v>
      </c>
      <c r="C382" s="493" t="s">
        <v>3674</v>
      </c>
      <c r="D382" s="493" t="s">
        <v>4215</v>
      </c>
      <c r="E382" s="493" t="s">
        <v>7637</v>
      </c>
      <c r="F382" s="493" t="s">
        <v>6821</v>
      </c>
      <c r="G382" s="493" t="s">
        <v>7643</v>
      </c>
      <c r="H382" s="493" t="s">
        <v>7644</v>
      </c>
      <c r="I382" s="501" t="s">
        <v>7640</v>
      </c>
    </row>
    <row r="383" spans="1:9" ht="14.45">
      <c r="A383" s="493">
        <v>90201</v>
      </c>
      <c r="B383" s="493" t="s">
        <v>7645</v>
      </c>
      <c r="C383" s="493" t="s">
        <v>3674</v>
      </c>
      <c r="D383" s="493" t="s">
        <v>4215</v>
      </c>
      <c r="E383" s="493" t="s">
        <v>52</v>
      </c>
      <c r="F383" s="493" t="s">
        <v>6821</v>
      </c>
      <c r="G383" s="493" t="s">
        <v>7646</v>
      </c>
      <c r="H383" s="493" t="s">
        <v>7644</v>
      </c>
      <c r="I383" s="501" t="s">
        <v>7617</v>
      </c>
    </row>
    <row r="384" spans="1:9" ht="14.45">
      <c r="A384" s="493">
        <v>90202</v>
      </c>
      <c r="B384" s="493" t="s">
        <v>4248</v>
      </c>
      <c r="C384" s="493" t="s">
        <v>3674</v>
      </c>
      <c r="D384" s="493" t="s">
        <v>4215</v>
      </c>
      <c r="E384" s="493" t="s">
        <v>7637</v>
      </c>
      <c r="F384" s="493" t="s">
        <v>6821</v>
      </c>
      <c r="G384" s="493" t="s">
        <v>7647</v>
      </c>
      <c r="H384" s="493" t="s">
        <v>7648</v>
      </c>
      <c r="I384" s="501" t="s">
        <v>7640</v>
      </c>
    </row>
    <row r="385" spans="1:9" ht="14.45">
      <c r="A385" s="493">
        <v>90203</v>
      </c>
      <c r="B385" s="493" t="s">
        <v>7649</v>
      </c>
      <c r="C385" s="493" t="s">
        <v>3674</v>
      </c>
      <c r="D385" s="493" t="s">
        <v>4215</v>
      </c>
      <c r="E385" s="493" t="s">
        <v>52</v>
      </c>
      <c r="F385" s="493" t="s">
        <v>6821</v>
      </c>
      <c r="G385" s="493" t="s">
        <v>7650</v>
      </c>
      <c r="H385" s="493" t="s">
        <v>7648</v>
      </c>
      <c r="I385" s="501" t="s">
        <v>7617</v>
      </c>
    </row>
    <row r="386" spans="1:9" ht="14.45">
      <c r="A386" s="493">
        <v>90381</v>
      </c>
      <c r="B386" s="493" t="s">
        <v>4251</v>
      </c>
      <c r="C386" s="493" t="s">
        <v>3674</v>
      </c>
      <c r="D386" s="493" t="s">
        <v>4215</v>
      </c>
      <c r="E386" s="493" t="s">
        <v>7637</v>
      </c>
      <c r="F386" s="493" t="s">
        <v>6821</v>
      </c>
      <c r="G386" s="493" t="s">
        <v>7651</v>
      </c>
      <c r="H386" s="493" t="s">
        <v>7652</v>
      </c>
      <c r="I386" s="501" t="s">
        <v>7640</v>
      </c>
    </row>
    <row r="387" spans="1:9" ht="14.45">
      <c r="A387" s="493">
        <v>90204</v>
      </c>
      <c r="B387" s="493" t="s">
        <v>7653</v>
      </c>
      <c r="C387" s="493" t="s">
        <v>3674</v>
      </c>
      <c r="D387" s="493" t="s">
        <v>4215</v>
      </c>
      <c r="E387" s="493" t="s">
        <v>52</v>
      </c>
      <c r="F387" s="493" t="s">
        <v>6821</v>
      </c>
      <c r="G387" s="493" t="s">
        <v>7654</v>
      </c>
      <c r="H387" s="493" t="s">
        <v>7652</v>
      </c>
      <c r="I387" s="501" t="s">
        <v>7655</v>
      </c>
    </row>
    <row r="388" spans="1:9" ht="14.45">
      <c r="A388" s="493">
        <v>90380</v>
      </c>
      <c r="B388" s="493" t="s">
        <v>4232</v>
      </c>
      <c r="C388" s="493" t="s">
        <v>3674</v>
      </c>
      <c r="D388" s="493" t="s">
        <v>4215</v>
      </c>
      <c r="E388" s="493" t="s">
        <v>7637</v>
      </c>
      <c r="F388" s="493" t="s">
        <v>6821</v>
      </c>
      <c r="G388" s="493" t="s">
        <v>7656</v>
      </c>
      <c r="H388" s="493" t="s">
        <v>7657</v>
      </c>
      <c r="I388" s="501" t="s">
        <v>7640</v>
      </c>
    </row>
    <row r="389" spans="1:9" ht="14.45">
      <c r="A389" s="493">
        <v>90379</v>
      </c>
      <c r="B389" s="493" t="s">
        <v>4237</v>
      </c>
      <c r="C389" s="493" t="s">
        <v>3659</v>
      </c>
      <c r="D389" s="493" t="s">
        <v>4215</v>
      </c>
      <c r="E389" s="493" t="s">
        <v>7637</v>
      </c>
      <c r="F389" s="493" t="s">
        <v>6821</v>
      </c>
      <c r="G389" s="493" t="s">
        <v>7658</v>
      </c>
      <c r="H389" s="493" t="s">
        <v>7659</v>
      </c>
      <c r="I389" s="501" t="s">
        <v>7640</v>
      </c>
    </row>
    <row r="390" spans="1:9" ht="14.45">
      <c r="A390" s="493">
        <v>90205</v>
      </c>
      <c r="B390" s="493" t="s">
        <v>7660</v>
      </c>
      <c r="C390" s="493" t="s">
        <v>3674</v>
      </c>
      <c r="D390" s="493" t="s">
        <v>4215</v>
      </c>
      <c r="E390" s="493" t="s">
        <v>52</v>
      </c>
      <c r="F390" s="493" t="s">
        <v>6821</v>
      </c>
      <c r="G390" s="493" t="s">
        <v>7661</v>
      </c>
      <c r="H390" s="493" t="s">
        <v>7657</v>
      </c>
      <c r="I390" s="501" t="s">
        <v>7655</v>
      </c>
    </row>
    <row r="391" spans="1:9" ht="14.45">
      <c r="A391" s="493">
        <v>90206</v>
      </c>
      <c r="B391" s="493" t="s">
        <v>7662</v>
      </c>
      <c r="C391" s="493" t="s">
        <v>3659</v>
      </c>
      <c r="D391" s="493" t="s">
        <v>4215</v>
      </c>
      <c r="E391" s="493" t="s">
        <v>52</v>
      </c>
      <c r="F391" s="493" t="s">
        <v>6821</v>
      </c>
      <c r="G391" s="493" t="s">
        <v>7663</v>
      </c>
      <c r="H391" s="493" t="s">
        <v>7659</v>
      </c>
      <c r="I391" s="501" t="s">
        <v>7655</v>
      </c>
    </row>
    <row r="392" spans="1:9" ht="14.45">
      <c r="A392" s="493">
        <v>90378</v>
      </c>
      <c r="B392" s="493" t="s">
        <v>4254</v>
      </c>
      <c r="C392" s="493" t="s">
        <v>3674</v>
      </c>
      <c r="D392" s="493" t="s">
        <v>4215</v>
      </c>
      <c r="E392" s="493" t="s">
        <v>7637</v>
      </c>
      <c r="F392" s="493" t="s">
        <v>6821</v>
      </c>
      <c r="G392" s="493" t="s">
        <v>7664</v>
      </c>
      <c r="H392" s="493" t="s">
        <v>7665</v>
      </c>
      <c r="I392" s="501" t="s">
        <v>7640</v>
      </c>
    </row>
    <row r="393" spans="1:9" ht="14.45">
      <c r="A393" s="493">
        <v>90284</v>
      </c>
      <c r="B393" s="493" t="s">
        <v>7666</v>
      </c>
      <c r="C393" s="493" t="s">
        <v>3674</v>
      </c>
      <c r="D393" s="493" t="s">
        <v>4215</v>
      </c>
      <c r="E393" s="493" t="s">
        <v>52</v>
      </c>
      <c r="F393" s="493" t="s">
        <v>6821</v>
      </c>
      <c r="G393" s="493" t="s">
        <v>7667</v>
      </c>
      <c r="H393" s="493" t="s">
        <v>7665</v>
      </c>
      <c r="I393" s="501" t="s">
        <v>7655</v>
      </c>
    </row>
    <row r="394" spans="1:9" ht="14.45">
      <c r="A394" s="493">
        <v>90377</v>
      </c>
      <c r="B394" s="493" t="s">
        <v>4257</v>
      </c>
      <c r="C394" s="493" t="s">
        <v>3674</v>
      </c>
      <c r="D394" s="493" t="s">
        <v>4215</v>
      </c>
      <c r="E394" s="493" t="s">
        <v>7637</v>
      </c>
      <c r="F394" s="493" t="s">
        <v>6821</v>
      </c>
      <c r="G394" s="493" t="s">
        <v>7668</v>
      </c>
      <c r="H394" s="493" t="s">
        <v>7669</v>
      </c>
      <c r="I394" s="501" t="s">
        <v>7670</v>
      </c>
    </row>
    <row r="395" spans="1:9" ht="14.45">
      <c r="A395" s="493">
        <v>90376</v>
      </c>
      <c r="B395" s="493" t="s">
        <v>4261</v>
      </c>
      <c r="C395" s="493" t="s">
        <v>3674</v>
      </c>
      <c r="D395" s="493" t="s">
        <v>4215</v>
      </c>
      <c r="E395" s="493" t="s">
        <v>7637</v>
      </c>
      <c r="F395" s="493" t="s">
        <v>6821</v>
      </c>
      <c r="G395" s="493" t="s">
        <v>7671</v>
      </c>
      <c r="H395" s="493" t="s">
        <v>7669</v>
      </c>
      <c r="I395" s="501" t="s">
        <v>7670</v>
      </c>
    </row>
    <row r="396" spans="1:9" ht="14.45">
      <c r="A396" s="493">
        <v>90285</v>
      </c>
      <c r="B396" s="493" t="s">
        <v>7672</v>
      </c>
      <c r="C396" s="493" t="s">
        <v>3674</v>
      </c>
      <c r="D396" s="493" t="s">
        <v>4215</v>
      </c>
      <c r="E396" s="493" t="s">
        <v>52</v>
      </c>
      <c r="F396" s="493" t="s">
        <v>6821</v>
      </c>
      <c r="G396" s="493" t="s">
        <v>7673</v>
      </c>
      <c r="H396" s="493" t="s">
        <v>7669</v>
      </c>
      <c r="I396" s="501" t="s">
        <v>7655</v>
      </c>
    </row>
    <row r="397" spans="1:9" ht="14.45">
      <c r="A397" s="493">
        <v>90286</v>
      </c>
      <c r="B397" s="493" t="s">
        <v>7674</v>
      </c>
      <c r="C397" s="493" t="s">
        <v>3674</v>
      </c>
      <c r="D397" s="493" t="s">
        <v>4215</v>
      </c>
      <c r="E397" s="493" t="s">
        <v>52</v>
      </c>
      <c r="F397" s="493" t="s">
        <v>6821</v>
      </c>
      <c r="G397" s="493" t="s">
        <v>7675</v>
      </c>
      <c r="H397" s="493" t="s">
        <v>7669</v>
      </c>
      <c r="I397" s="501" t="s">
        <v>7655</v>
      </c>
    </row>
    <row r="398" spans="1:9" ht="14.45">
      <c r="A398" s="493">
        <v>90375</v>
      </c>
      <c r="B398" s="493" t="s">
        <v>4265</v>
      </c>
      <c r="C398" s="493" t="s">
        <v>3674</v>
      </c>
      <c r="D398" s="493" t="s">
        <v>4215</v>
      </c>
      <c r="E398" s="493" t="s">
        <v>7637</v>
      </c>
      <c r="F398" s="493" t="s">
        <v>6821</v>
      </c>
      <c r="G398" s="493" t="s">
        <v>7676</v>
      </c>
      <c r="H398" s="493" t="s">
        <v>7677</v>
      </c>
      <c r="I398" s="501" t="s">
        <v>7640</v>
      </c>
    </row>
    <row r="399" spans="1:9" ht="14.45">
      <c r="A399" s="493">
        <v>90287</v>
      </c>
      <c r="B399" s="493" t="s">
        <v>7678</v>
      </c>
      <c r="C399" s="493" t="s">
        <v>3674</v>
      </c>
      <c r="D399" s="493" t="s">
        <v>4215</v>
      </c>
      <c r="E399" s="493" t="s">
        <v>52</v>
      </c>
      <c r="F399" s="493" t="s">
        <v>6821</v>
      </c>
      <c r="G399" s="493" t="s">
        <v>7679</v>
      </c>
      <c r="H399" s="493" t="s">
        <v>7677</v>
      </c>
      <c r="I399" s="501" t="s">
        <v>7655</v>
      </c>
    </row>
    <row r="400" spans="1:9" ht="14.45">
      <c r="A400" s="493">
        <v>90716</v>
      </c>
      <c r="B400" s="493" t="s">
        <v>5656</v>
      </c>
      <c r="C400" s="493" t="s">
        <v>3674</v>
      </c>
      <c r="D400" s="493" t="s">
        <v>3918</v>
      </c>
      <c r="E400" s="493" t="s">
        <v>3919</v>
      </c>
      <c r="F400" s="493" t="s">
        <v>6821</v>
      </c>
      <c r="G400" s="493" t="s">
        <v>7680</v>
      </c>
      <c r="H400" s="493" t="s">
        <v>7681</v>
      </c>
      <c r="I400" s="501" t="s">
        <v>7682</v>
      </c>
    </row>
    <row r="401" spans="1:9" ht="14.45">
      <c r="A401" s="493">
        <v>90239</v>
      </c>
      <c r="B401" s="493" t="s">
        <v>7683</v>
      </c>
      <c r="C401" s="493" t="s">
        <v>3674</v>
      </c>
      <c r="D401" s="493" t="s">
        <v>3681</v>
      </c>
      <c r="E401" s="493" t="s">
        <v>7684</v>
      </c>
      <c r="F401" s="493" t="s">
        <v>6906</v>
      </c>
      <c r="G401" s="493" t="s">
        <v>7685</v>
      </c>
      <c r="H401" s="493" t="s">
        <v>7686</v>
      </c>
      <c r="I401" s="501" t="s">
        <v>7687</v>
      </c>
    </row>
    <row r="402" spans="1:9" ht="14.45">
      <c r="A402" s="493">
        <v>90924</v>
      </c>
      <c r="B402" s="493" t="s">
        <v>7688</v>
      </c>
      <c r="C402" s="493" t="s">
        <v>3659</v>
      </c>
      <c r="D402" s="493" t="s">
        <v>3681</v>
      </c>
      <c r="E402" s="493" t="s">
        <v>7684</v>
      </c>
      <c r="F402" s="493" t="s">
        <v>6906</v>
      </c>
      <c r="G402" s="493" t="s">
        <v>7689</v>
      </c>
      <c r="H402" s="493" t="s">
        <v>7686</v>
      </c>
      <c r="I402" s="501" t="s">
        <v>7687</v>
      </c>
    </row>
    <row r="403" spans="1:9" ht="14.45">
      <c r="A403" s="493">
        <v>90717</v>
      </c>
      <c r="B403" s="493" t="s">
        <v>5774</v>
      </c>
      <c r="C403" s="493" t="s">
        <v>3674</v>
      </c>
      <c r="D403" s="493" t="s">
        <v>3918</v>
      </c>
      <c r="E403" s="493" t="s">
        <v>3919</v>
      </c>
      <c r="F403" s="493" t="s">
        <v>6821</v>
      </c>
      <c r="G403" s="493" t="s">
        <v>7690</v>
      </c>
      <c r="H403" s="493" t="s">
        <v>7691</v>
      </c>
      <c r="I403" s="501" t="s">
        <v>7233</v>
      </c>
    </row>
    <row r="404" spans="1:9" ht="14.45">
      <c r="A404" s="493">
        <v>90718</v>
      </c>
      <c r="B404" s="493" t="s">
        <v>5777</v>
      </c>
      <c r="C404" s="493" t="s">
        <v>3659</v>
      </c>
      <c r="D404" s="493" t="s">
        <v>3918</v>
      </c>
      <c r="E404" s="493" t="s">
        <v>3919</v>
      </c>
      <c r="F404" s="493" t="s">
        <v>6821</v>
      </c>
      <c r="G404" s="493" t="s">
        <v>7692</v>
      </c>
      <c r="H404" s="493" t="s">
        <v>7691</v>
      </c>
      <c r="I404" s="501" t="s">
        <v>7233</v>
      </c>
    </row>
    <row r="405" spans="1:9" ht="14.45">
      <c r="A405" s="493">
        <v>90719</v>
      </c>
      <c r="B405" s="493" t="s">
        <v>5779</v>
      </c>
      <c r="C405" s="493" t="s">
        <v>3674</v>
      </c>
      <c r="D405" s="493" t="s">
        <v>3918</v>
      </c>
      <c r="E405" s="493" t="s">
        <v>3919</v>
      </c>
      <c r="F405" s="493" t="s">
        <v>6821</v>
      </c>
      <c r="G405" s="493" t="s">
        <v>7693</v>
      </c>
      <c r="H405" s="493" t="s">
        <v>7694</v>
      </c>
      <c r="I405" s="501" t="s">
        <v>7233</v>
      </c>
    </row>
    <row r="406" spans="1:9" ht="14.45">
      <c r="A406" s="493">
        <v>90720</v>
      </c>
      <c r="B406" s="493" t="s">
        <v>5784</v>
      </c>
      <c r="C406" s="493" t="s">
        <v>3674</v>
      </c>
      <c r="D406" s="493" t="s">
        <v>3918</v>
      </c>
      <c r="E406" s="493" t="s">
        <v>3919</v>
      </c>
      <c r="F406" s="493" t="s">
        <v>6821</v>
      </c>
      <c r="G406" s="493" t="s">
        <v>7695</v>
      </c>
      <c r="H406" s="493" t="s">
        <v>7696</v>
      </c>
      <c r="I406" s="501" t="s">
        <v>7233</v>
      </c>
    </row>
    <row r="407" spans="1:9" ht="14.45">
      <c r="A407" s="493">
        <v>90721</v>
      </c>
      <c r="B407" s="493" t="s">
        <v>5787</v>
      </c>
      <c r="C407" s="493" t="s">
        <v>3659</v>
      </c>
      <c r="D407" s="493" t="s">
        <v>3918</v>
      </c>
      <c r="E407" s="493" t="s">
        <v>3919</v>
      </c>
      <c r="F407" s="493" t="s">
        <v>6821</v>
      </c>
      <c r="G407" s="493" t="s">
        <v>7697</v>
      </c>
      <c r="H407" s="493" t="s">
        <v>7696</v>
      </c>
      <c r="I407" s="501" t="s">
        <v>7233</v>
      </c>
    </row>
    <row r="408" spans="1:9" ht="14.45">
      <c r="A408" s="495">
        <v>90722</v>
      </c>
      <c r="B408" s="493" t="s">
        <v>5763</v>
      </c>
      <c r="C408" s="493" t="s">
        <v>3674</v>
      </c>
      <c r="D408" s="493" t="s">
        <v>3918</v>
      </c>
      <c r="E408" s="493" t="s">
        <v>3919</v>
      </c>
      <c r="F408" s="493" t="s">
        <v>6821</v>
      </c>
      <c r="G408" s="493" t="s">
        <v>7698</v>
      </c>
      <c r="H408" s="493" t="s">
        <v>7699</v>
      </c>
      <c r="I408" s="501" t="s">
        <v>7233</v>
      </c>
    </row>
    <row r="409" spans="1:9" ht="14.45">
      <c r="A409" s="493">
        <v>90723</v>
      </c>
      <c r="B409" s="493" t="s">
        <v>5766</v>
      </c>
      <c r="C409" s="493" t="s">
        <v>3659</v>
      </c>
      <c r="D409" s="493" t="s">
        <v>3918</v>
      </c>
      <c r="E409" s="493" t="s">
        <v>3919</v>
      </c>
      <c r="F409" s="493" t="s">
        <v>6821</v>
      </c>
      <c r="G409" s="493" t="s">
        <v>7700</v>
      </c>
      <c r="H409" s="493" t="s">
        <v>7699</v>
      </c>
      <c r="I409" s="501" t="s">
        <v>7233</v>
      </c>
    </row>
    <row r="410" spans="1:9" ht="14.45">
      <c r="A410" s="493">
        <v>90498</v>
      </c>
      <c r="B410" s="493" t="s">
        <v>2632</v>
      </c>
      <c r="C410" s="493" t="s">
        <v>3674</v>
      </c>
      <c r="D410" s="493" t="s">
        <v>3681</v>
      </c>
      <c r="E410" s="493" t="s">
        <v>846</v>
      </c>
      <c r="F410" s="493" t="s">
        <v>6821</v>
      </c>
      <c r="G410" s="493" t="s">
        <v>7701</v>
      </c>
      <c r="H410" s="493" t="s">
        <v>7702</v>
      </c>
      <c r="I410" s="501" t="s">
        <v>7703</v>
      </c>
    </row>
    <row r="411" spans="1:9" ht="14.45">
      <c r="A411" s="493">
        <v>90514</v>
      </c>
      <c r="B411" s="493" t="s">
        <v>3167</v>
      </c>
      <c r="C411" s="493" t="s">
        <v>3674</v>
      </c>
      <c r="D411" s="493" t="s">
        <v>4109</v>
      </c>
      <c r="E411" s="493" t="s">
        <v>3666</v>
      </c>
      <c r="F411" s="493" t="s">
        <v>6821</v>
      </c>
      <c r="G411" s="493" t="s">
        <v>7704</v>
      </c>
      <c r="H411" s="493" t="s">
        <v>7705</v>
      </c>
      <c r="I411" s="501" t="s">
        <v>7706</v>
      </c>
    </row>
    <row r="412" spans="1:9" ht="14.45">
      <c r="A412" s="493">
        <v>90511</v>
      </c>
      <c r="B412" s="493" t="s">
        <v>3322</v>
      </c>
      <c r="C412" s="493" t="s">
        <v>3659</v>
      </c>
      <c r="D412" s="493" t="s">
        <v>4109</v>
      </c>
      <c r="E412" s="493" t="s">
        <v>3666</v>
      </c>
      <c r="F412" s="493" t="s">
        <v>6821</v>
      </c>
      <c r="G412" s="493" t="s">
        <v>7707</v>
      </c>
      <c r="H412" s="493" t="s">
        <v>7705</v>
      </c>
      <c r="I412" s="501" t="s">
        <v>7706</v>
      </c>
    </row>
    <row r="413" spans="1:9" ht="14.45">
      <c r="A413" s="493">
        <v>90425</v>
      </c>
      <c r="B413" s="493" t="s">
        <v>3839</v>
      </c>
      <c r="C413" s="493" t="s">
        <v>3674</v>
      </c>
      <c r="D413" s="493" t="s">
        <v>3718</v>
      </c>
      <c r="E413" s="493" t="s">
        <v>3719</v>
      </c>
      <c r="F413" s="493" t="s">
        <v>6821</v>
      </c>
      <c r="G413" s="493" t="s">
        <v>7708</v>
      </c>
      <c r="H413" s="493" t="s">
        <v>7709</v>
      </c>
      <c r="I413" s="501" t="s">
        <v>7710</v>
      </c>
    </row>
    <row r="414" spans="1:9" ht="14.45">
      <c r="A414" s="493">
        <v>90132</v>
      </c>
      <c r="B414" s="493" t="s">
        <v>3827</v>
      </c>
      <c r="C414" s="493" t="s">
        <v>3674</v>
      </c>
      <c r="D414" s="493" t="s">
        <v>3828</v>
      </c>
      <c r="E414" s="493" t="s">
        <v>3719</v>
      </c>
      <c r="F414" s="493" t="s">
        <v>6821</v>
      </c>
      <c r="G414" s="493" t="s">
        <v>7711</v>
      </c>
      <c r="H414" s="493" t="s">
        <v>7712</v>
      </c>
      <c r="I414" s="501" t="s">
        <v>7713</v>
      </c>
    </row>
    <row r="415" spans="1:9" ht="14.45">
      <c r="A415" s="493">
        <v>90438</v>
      </c>
      <c r="B415" s="495" t="s">
        <v>2578</v>
      </c>
      <c r="C415" s="493" t="s">
        <v>3674</v>
      </c>
      <c r="D415" s="493" t="s">
        <v>3711</v>
      </c>
      <c r="E415" s="493" t="s">
        <v>846</v>
      </c>
      <c r="F415" s="493" t="s">
        <v>6821</v>
      </c>
      <c r="G415" s="493" t="s">
        <v>7714</v>
      </c>
      <c r="H415" s="493" t="s">
        <v>7715</v>
      </c>
      <c r="I415" s="501" t="s">
        <v>7109</v>
      </c>
    </row>
    <row r="416" spans="1:9" ht="14.45">
      <c r="A416" s="493">
        <v>90439</v>
      </c>
      <c r="B416" s="493" t="s">
        <v>4719</v>
      </c>
      <c r="C416" s="493" t="s">
        <v>3674</v>
      </c>
      <c r="D416" s="493" t="s">
        <v>3711</v>
      </c>
      <c r="E416" s="493" t="s">
        <v>846</v>
      </c>
      <c r="F416" s="493" t="s">
        <v>6821</v>
      </c>
      <c r="G416" s="493" t="s">
        <v>7716</v>
      </c>
      <c r="H416" s="493" t="s">
        <v>7717</v>
      </c>
      <c r="I416" s="501" t="s">
        <v>6927</v>
      </c>
    </row>
    <row r="417" spans="1:9" ht="14.45">
      <c r="A417" s="493">
        <v>90643</v>
      </c>
      <c r="B417" s="493" t="s">
        <v>3440</v>
      </c>
      <c r="C417" s="493" t="s">
        <v>3674</v>
      </c>
      <c r="D417" s="493" t="s">
        <v>3665</v>
      </c>
      <c r="E417" s="493" t="s">
        <v>3666</v>
      </c>
      <c r="F417" s="493" t="s">
        <v>6821</v>
      </c>
      <c r="G417" s="493" t="s">
        <v>7718</v>
      </c>
      <c r="H417" s="493" t="s">
        <v>7719</v>
      </c>
      <c r="I417" s="501" t="s">
        <v>6971</v>
      </c>
    </row>
    <row r="418" spans="1:9" ht="14.45">
      <c r="A418" s="493">
        <v>90724</v>
      </c>
      <c r="B418" s="493" t="s">
        <v>5736</v>
      </c>
      <c r="C418" s="493" t="s">
        <v>3659</v>
      </c>
      <c r="D418" s="493" t="s">
        <v>3918</v>
      </c>
      <c r="E418" s="493" t="s">
        <v>3919</v>
      </c>
      <c r="F418" s="493" t="s">
        <v>6821</v>
      </c>
      <c r="G418" s="493" t="s">
        <v>7720</v>
      </c>
      <c r="H418" s="493" t="s">
        <v>7270</v>
      </c>
      <c r="I418" s="501" t="s">
        <v>7233</v>
      </c>
    </row>
    <row r="419" spans="1:9" ht="14.45">
      <c r="A419" s="493">
        <v>90320</v>
      </c>
      <c r="B419" s="494" t="s">
        <v>3463</v>
      </c>
      <c r="C419" s="493" t="s">
        <v>3674</v>
      </c>
      <c r="D419" s="493" t="s">
        <v>3918</v>
      </c>
      <c r="E419" s="493" t="s">
        <v>3666</v>
      </c>
      <c r="F419" s="493" t="s">
        <v>6821</v>
      </c>
      <c r="G419" s="493" t="s">
        <v>7721</v>
      </c>
      <c r="H419" s="493" t="s">
        <v>7201</v>
      </c>
      <c r="I419" s="501" t="s">
        <v>7193</v>
      </c>
    </row>
    <row r="420" spans="1:9" ht="14.45">
      <c r="A420" s="493">
        <v>90054</v>
      </c>
      <c r="B420" s="493" t="s">
        <v>2838</v>
      </c>
      <c r="C420" s="493" t="s">
        <v>3674</v>
      </c>
      <c r="D420" s="493" t="s">
        <v>4109</v>
      </c>
      <c r="E420" s="493" t="s">
        <v>5977</v>
      </c>
      <c r="F420" s="493" t="s">
        <v>6821</v>
      </c>
      <c r="G420" s="493" t="s">
        <v>7722</v>
      </c>
      <c r="H420" s="493" t="s">
        <v>7723</v>
      </c>
      <c r="I420" s="501" t="s">
        <v>7415</v>
      </c>
    </row>
    <row r="421" spans="1:9" ht="14.45">
      <c r="A421" s="493">
        <v>90055</v>
      </c>
      <c r="B421" s="493" t="s">
        <v>2872</v>
      </c>
      <c r="C421" s="493" t="s">
        <v>3674</v>
      </c>
      <c r="D421" s="493" t="s">
        <v>3681</v>
      </c>
      <c r="E421" s="493" t="s">
        <v>6886</v>
      </c>
      <c r="F421" s="493" t="s">
        <v>6906</v>
      </c>
      <c r="G421" s="493" t="s">
        <v>7724</v>
      </c>
      <c r="H421" s="493" t="s">
        <v>7725</v>
      </c>
      <c r="I421" s="501" t="s">
        <v>7497</v>
      </c>
    </row>
    <row r="422" spans="1:9" ht="14.45">
      <c r="A422" s="493">
        <v>90056</v>
      </c>
      <c r="B422" s="493" t="s">
        <v>2878</v>
      </c>
      <c r="C422" s="493" t="s">
        <v>3659</v>
      </c>
      <c r="D422" s="493" t="s">
        <v>3681</v>
      </c>
      <c r="E422" s="493" t="s">
        <v>6886</v>
      </c>
      <c r="F422" s="493" t="s">
        <v>6906</v>
      </c>
      <c r="G422" s="493" t="s">
        <v>7726</v>
      </c>
      <c r="H422" s="493" t="s">
        <v>7725</v>
      </c>
      <c r="I422" s="501" t="s">
        <v>7497</v>
      </c>
    </row>
    <row r="423" spans="1:9" ht="14.45">
      <c r="A423" s="493">
        <v>90497</v>
      </c>
      <c r="B423" s="493" t="s">
        <v>2637</v>
      </c>
      <c r="C423" s="493" t="s">
        <v>3674</v>
      </c>
      <c r="D423" s="493" t="s">
        <v>3681</v>
      </c>
      <c r="E423" s="493" t="s">
        <v>846</v>
      </c>
      <c r="F423" s="493" t="s">
        <v>6821</v>
      </c>
      <c r="G423" s="493" t="s">
        <v>7727</v>
      </c>
      <c r="H423" s="493" t="s">
        <v>7728</v>
      </c>
      <c r="I423" s="501" t="s">
        <v>7729</v>
      </c>
    </row>
    <row r="424" spans="1:9" ht="14.45">
      <c r="A424" s="493">
        <v>90566</v>
      </c>
      <c r="B424" s="493" t="s">
        <v>3783</v>
      </c>
      <c r="C424" s="493" t="s">
        <v>3674</v>
      </c>
      <c r="D424" s="493" t="s">
        <v>3770</v>
      </c>
      <c r="E424" s="493" t="s">
        <v>3719</v>
      </c>
      <c r="F424" s="493" t="s">
        <v>6906</v>
      </c>
      <c r="G424" s="493" t="s">
        <v>7730</v>
      </c>
      <c r="H424" s="493" t="s">
        <v>7731</v>
      </c>
      <c r="I424" s="501" t="s">
        <v>7185</v>
      </c>
    </row>
    <row r="425" spans="1:9" ht="14.45">
      <c r="A425" s="493">
        <v>90475</v>
      </c>
      <c r="B425" s="493" t="s">
        <v>3086</v>
      </c>
      <c r="C425" s="493" t="s">
        <v>3674</v>
      </c>
      <c r="D425" s="493" t="s">
        <v>3770</v>
      </c>
      <c r="E425" s="493" t="s">
        <v>4309</v>
      </c>
      <c r="F425" s="493" t="s">
        <v>6906</v>
      </c>
      <c r="G425" s="493" t="s">
        <v>7732</v>
      </c>
      <c r="H425" s="493" t="s">
        <v>7733</v>
      </c>
      <c r="I425" s="501" t="s">
        <v>6909</v>
      </c>
    </row>
    <row r="426" spans="1:9" ht="14.45">
      <c r="A426" s="493">
        <v>90476</v>
      </c>
      <c r="B426" s="493" t="s">
        <v>3087</v>
      </c>
      <c r="C426" s="493" t="s">
        <v>3674</v>
      </c>
      <c r="D426" s="493" t="s">
        <v>3770</v>
      </c>
      <c r="E426" s="493" t="s">
        <v>4309</v>
      </c>
      <c r="F426" s="493" t="s">
        <v>6906</v>
      </c>
      <c r="G426" s="493" t="s">
        <v>7734</v>
      </c>
      <c r="H426" s="493" t="s">
        <v>7733</v>
      </c>
      <c r="I426" s="501" t="s">
        <v>6909</v>
      </c>
    </row>
    <row r="427" spans="1:9" ht="14.45">
      <c r="A427" s="493">
        <v>90726</v>
      </c>
      <c r="B427" s="496" t="s">
        <v>5797</v>
      </c>
      <c r="C427" s="493" t="s">
        <v>3674</v>
      </c>
      <c r="D427" s="493" t="s">
        <v>3918</v>
      </c>
      <c r="E427" s="493" t="s">
        <v>3919</v>
      </c>
      <c r="F427" s="493" t="s">
        <v>6906</v>
      </c>
      <c r="G427" s="493" t="s">
        <v>7735</v>
      </c>
      <c r="H427" s="493" t="s">
        <v>7736</v>
      </c>
      <c r="I427" s="501" t="s">
        <v>7233</v>
      </c>
    </row>
    <row r="428" spans="1:9" ht="14.45">
      <c r="A428" s="493">
        <v>90725</v>
      </c>
      <c r="B428" s="496" t="s">
        <v>5794</v>
      </c>
      <c r="C428" s="493" t="s">
        <v>3674</v>
      </c>
      <c r="D428" s="493" t="s">
        <v>3918</v>
      </c>
      <c r="E428" s="493" t="s">
        <v>3919</v>
      </c>
      <c r="F428" s="493" t="s">
        <v>6821</v>
      </c>
      <c r="G428" s="493" t="s">
        <v>7737</v>
      </c>
      <c r="H428" s="493" t="s">
        <v>7736</v>
      </c>
      <c r="I428" s="501" t="s">
        <v>7233</v>
      </c>
    </row>
    <row r="429" spans="1:9" ht="14.45">
      <c r="A429" s="493">
        <v>90727</v>
      </c>
      <c r="B429" s="493" t="s">
        <v>3923</v>
      </c>
      <c r="C429" s="493" t="s">
        <v>3674</v>
      </c>
      <c r="D429" s="493" t="s">
        <v>3918</v>
      </c>
      <c r="E429" s="493" t="s">
        <v>3919</v>
      </c>
      <c r="F429" s="493" t="s">
        <v>6821</v>
      </c>
      <c r="G429" s="493" t="s">
        <v>7738</v>
      </c>
      <c r="H429" s="493" t="s">
        <v>7739</v>
      </c>
      <c r="I429" s="501" t="s">
        <v>7285</v>
      </c>
    </row>
    <row r="430" spans="1:9" ht="14.45">
      <c r="A430" s="493">
        <v>90728</v>
      </c>
      <c r="B430" s="493" t="s">
        <v>5615</v>
      </c>
      <c r="C430" s="493" t="s">
        <v>3674</v>
      </c>
      <c r="D430" s="493" t="s">
        <v>3918</v>
      </c>
      <c r="E430" s="493" t="s">
        <v>3919</v>
      </c>
      <c r="F430" s="493" t="s">
        <v>6906</v>
      </c>
      <c r="G430" s="493" t="s">
        <v>7740</v>
      </c>
      <c r="H430" s="493" t="s">
        <v>7741</v>
      </c>
      <c r="I430" s="501" t="s">
        <v>7285</v>
      </c>
    </row>
    <row r="431" spans="1:9" ht="14.45">
      <c r="A431" s="493">
        <v>90567</v>
      </c>
      <c r="B431" s="493" t="s">
        <v>3792</v>
      </c>
      <c r="C431" s="493" t="s">
        <v>3674</v>
      </c>
      <c r="D431" s="493" t="s">
        <v>3770</v>
      </c>
      <c r="E431" s="493" t="s">
        <v>3719</v>
      </c>
      <c r="F431" s="493" t="s">
        <v>6906</v>
      </c>
      <c r="G431" s="493" t="s">
        <v>7742</v>
      </c>
      <c r="H431" s="493" t="s">
        <v>7743</v>
      </c>
      <c r="I431" s="501" t="s">
        <v>7185</v>
      </c>
    </row>
    <row r="432" spans="1:9" ht="14.45">
      <c r="A432" s="493">
        <v>90568</v>
      </c>
      <c r="B432" s="493" t="s">
        <v>3795</v>
      </c>
      <c r="C432" s="493" t="s">
        <v>3674</v>
      </c>
      <c r="D432" s="493" t="s">
        <v>3770</v>
      </c>
      <c r="E432" s="493" t="s">
        <v>3719</v>
      </c>
      <c r="F432" s="493" t="s">
        <v>6906</v>
      </c>
      <c r="G432" s="493" t="s">
        <v>7744</v>
      </c>
      <c r="H432" s="493" t="s">
        <v>7743</v>
      </c>
      <c r="I432" s="501" t="s">
        <v>7185</v>
      </c>
    </row>
    <row r="433" spans="1:9" ht="14.45">
      <c r="A433" s="493">
        <v>90477</v>
      </c>
      <c r="B433" s="493" t="s">
        <v>3088</v>
      </c>
      <c r="C433" s="493" t="s">
        <v>3674</v>
      </c>
      <c r="D433" s="493" t="s">
        <v>3770</v>
      </c>
      <c r="E433" s="493" t="s">
        <v>4309</v>
      </c>
      <c r="F433" s="493" t="s">
        <v>6906</v>
      </c>
      <c r="G433" s="493" t="s">
        <v>7745</v>
      </c>
      <c r="H433" s="493" t="s">
        <v>7746</v>
      </c>
      <c r="I433" s="501" t="s">
        <v>6909</v>
      </c>
    </row>
    <row r="434" spans="1:9" ht="14.45">
      <c r="A434" s="493">
        <v>90478</v>
      </c>
      <c r="B434" s="493" t="s">
        <v>3089</v>
      </c>
      <c r="C434" s="493" t="s">
        <v>3674</v>
      </c>
      <c r="D434" s="493" t="s">
        <v>3770</v>
      </c>
      <c r="E434" s="493" t="s">
        <v>4309</v>
      </c>
      <c r="F434" s="493" t="s">
        <v>6906</v>
      </c>
      <c r="G434" s="493" t="s">
        <v>7747</v>
      </c>
      <c r="H434" s="493" t="s">
        <v>7748</v>
      </c>
      <c r="I434" s="501" t="s">
        <v>6909</v>
      </c>
    </row>
    <row r="435" spans="1:9" ht="14.45">
      <c r="A435" s="493">
        <v>90480</v>
      </c>
      <c r="B435" s="493" t="s">
        <v>3090</v>
      </c>
      <c r="C435" s="493" t="s">
        <v>3659</v>
      </c>
      <c r="D435" s="493" t="s">
        <v>3770</v>
      </c>
      <c r="E435" s="493" t="s">
        <v>4309</v>
      </c>
      <c r="F435" s="493" t="s">
        <v>6906</v>
      </c>
      <c r="G435" s="493" t="s">
        <v>7749</v>
      </c>
      <c r="H435" s="493" t="s">
        <v>7750</v>
      </c>
      <c r="I435" s="501" t="s">
        <v>6909</v>
      </c>
    </row>
    <row r="436" spans="1:9" ht="14.45">
      <c r="A436" s="493">
        <v>90482</v>
      </c>
      <c r="B436" s="493" t="s">
        <v>3091</v>
      </c>
      <c r="C436" s="493" t="s">
        <v>3659</v>
      </c>
      <c r="D436" s="493" t="s">
        <v>3770</v>
      </c>
      <c r="E436" s="493" t="s">
        <v>4309</v>
      </c>
      <c r="F436" s="493" t="s">
        <v>6906</v>
      </c>
      <c r="G436" s="493" t="s">
        <v>7751</v>
      </c>
      <c r="H436" s="493" t="s">
        <v>7752</v>
      </c>
      <c r="I436" s="501" t="s">
        <v>6909</v>
      </c>
    </row>
    <row r="437" spans="1:9" ht="14.45">
      <c r="A437" s="493">
        <v>90038</v>
      </c>
      <c r="B437" s="494" t="s">
        <v>4635</v>
      </c>
      <c r="C437" s="493" t="s">
        <v>3674</v>
      </c>
      <c r="D437" s="493" t="s">
        <v>3828</v>
      </c>
      <c r="E437" s="493" t="s">
        <v>4444</v>
      </c>
      <c r="F437" s="493" t="s">
        <v>6821</v>
      </c>
      <c r="G437" s="493" t="s">
        <v>7753</v>
      </c>
      <c r="H437" s="493" t="s">
        <v>7754</v>
      </c>
      <c r="I437" s="501" t="s">
        <v>7755</v>
      </c>
    </row>
    <row r="438" spans="1:9" ht="14.45">
      <c r="A438" s="493">
        <v>90729</v>
      </c>
      <c r="B438" s="493" t="s">
        <v>4191</v>
      </c>
      <c r="C438" s="493" t="s">
        <v>3674</v>
      </c>
      <c r="D438" s="493" t="s">
        <v>3918</v>
      </c>
      <c r="E438" s="493" t="s">
        <v>3919</v>
      </c>
      <c r="F438" s="493" t="s">
        <v>6821</v>
      </c>
      <c r="G438" s="493" t="s">
        <v>7756</v>
      </c>
      <c r="H438" s="493" t="s">
        <v>7757</v>
      </c>
      <c r="I438" s="501" t="s">
        <v>7227</v>
      </c>
    </row>
    <row r="439" spans="1:9" ht="14.45">
      <c r="A439" s="493">
        <v>90730</v>
      </c>
      <c r="B439" s="493" t="s">
        <v>4187</v>
      </c>
      <c r="C439" s="493" t="s">
        <v>3674</v>
      </c>
      <c r="D439" s="493" t="s">
        <v>3918</v>
      </c>
      <c r="E439" s="493" t="s">
        <v>3919</v>
      </c>
      <c r="F439" s="493" t="s">
        <v>6821</v>
      </c>
      <c r="G439" s="493" t="s">
        <v>7758</v>
      </c>
      <c r="H439" s="493" t="s">
        <v>7759</v>
      </c>
      <c r="I439" s="501" t="s">
        <v>7227</v>
      </c>
    </row>
    <row r="440" spans="1:9" ht="14.45">
      <c r="A440" s="493">
        <v>90731</v>
      </c>
      <c r="B440" s="493" t="s">
        <v>5789</v>
      </c>
      <c r="C440" s="493" t="s">
        <v>3674</v>
      </c>
      <c r="D440" s="493" t="s">
        <v>3918</v>
      </c>
      <c r="E440" s="493" t="s">
        <v>3919</v>
      </c>
      <c r="F440" s="493" t="s">
        <v>6906</v>
      </c>
      <c r="G440" s="493" t="s">
        <v>7760</v>
      </c>
      <c r="H440" s="493" t="s">
        <v>7761</v>
      </c>
      <c r="I440" s="501" t="s">
        <v>7233</v>
      </c>
    </row>
    <row r="441" spans="1:9" ht="14.45">
      <c r="A441" s="493">
        <v>90732</v>
      </c>
      <c r="B441" s="493" t="s">
        <v>5792</v>
      </c>
      <c r="C441" s="493" t="s">
        <v>3659</v>
      </c>
      <c r="D441" s="493" t="s">
        <v>3918</v>
      </c>
      <c r="E441" s="493" t="s">
        <v>3919</v>
      </c>
      <c r="F441" s="493" t="s">
        <v>6906</v>
      </c>
      <c r="G441" s="493" t="s">
        <v>7762</v>
      </c>
      <c r="H441" s="493" t="s">
        <v>7761</v>
      </c>
      <c r="I441" s="501" t="s">
        <v>7233</v>
      </c>
    </row>
    <row r="442" spans="1:9" ht="14.45">
      <c r="A442" s="493">
        <v>90733</v>
      </c>
      <c r="B442" s="493" t="s">
        <v>5803</v>
      </c>
      <c r="C442" s="493" t="s">
        <v>3674</v>
      </c>
      <c r="D442" s="493" t="s">
        <v>3918</v>
      </c>
      <c r="E442" s="493" t="s">
        <v>3919</v>
      </c>
      <c r="F442" s="493" t="s">
        <v>6821</v>
      </c>
      <c r="G442" s="493" t="s">
        <v>7763</v>
      </c>
      <c r="H442" s="493" t="s">
        <v>7764</v>
      </c>
      <c r="I442" s="501" t="s">
        <v>7233</v>
      </c>
    </row>
    <row r="443" spans="1:9" ht="14.45">
      <c r="A443" s="493">
        <v>90569</v>
      </c>
      <c r="B443" s="493" t="s">
        <v>4391</v>
      </c>
      <c r="C443" s="493" t="s">
        <v>3674</v>
      </c>
      <c r="D443" s="493" t="s">
        <v>3770</v>
      </c>
      <c r="E443" s="493" t="s">
        <v>3719</v>
      </c>
      <c r="F443" s="493" t="s">
        <v>6906</v>
      </c>
      <c r="G443" s="493" t="s">
        <v>7765</v>
      </c>
      <c r="H443" s="493" t="s">
        <v>7766</v>
      </c>
      <c r="I443" s="501" t="s">
        <v>7166</v>
      </c>
    </row>
    <row r="444" spans="1:9" ht="14.45">
      <c r="A444" s="493">
        <v>90644</v>
      </c>
      <c r="B444" s="493" t="s">
        <v>3158</v>
      </c>
      <c r="C444" s="493" t="s">
        <v>3674</v>
      </c>
      <c r="D444" s="493" t="s">
        <v>3828</v>
      </c>
      <c r="E444" s="493" t="s">
        <v>3666</v>
      </c>
      <c r="F444" s="493" t="s">
        <v>6821</v>
      </c>
      <c r="G444" s="493" t="s">
        <v>7767</v>
      </c>
      <c r="H444" s="493" t="s">
        <v>7768</v>
      </c>
      <c r="I444" s="501" t="s">
        <v>7054</v>
      </c>
    </row>
    <row r="445" spans="1:9" ht="14.45">
      <c r="A445" s="493">
        <v>90570</v>
      </c>
      <c r="B445" s="493" t="s">
        <v>3798</v>
      </c>
      <c r="C445" s="493" t="s">
        <v>3674</v>
      </c>
      <c r="D445" s="493" t="s">
        <v>3770</v>
      </c>
      <c r="E445" s="493" t="s">
        <v>3719</v>
      </c>
      <c r="F445" s="493" t="s">
        <v>6906</v>
      </c>
      <c r="G445" s="493" t="s">
        <v>7769</v>
      </c>
      <c r="H445" s="493" t="s">
        <v>7770</v>
      </c>
      <c r="I445" s="501" t="s">
        <v>7185</v>
      </c>
    </row>
    <row r="446" spans="1:9" ht="14.45">
      <c r="A446" s="493">
        <v>90817</v>
      </c>
      <c r="B446" s="493" t="s">
        <v>3769</v>
      </c>
      <c r="C446" s="493" t="s">
        <v>3674</v>
      </c>
      <c r="D446" s="493" t="s">
        <v>3770</v>
      </c>
      <c r="E446" s="493" t="s">
        <v>3719</v>
      </c>
      <c r="F446" s="493" t="s">
        <v>6906</v>
      </c>
      <c r="G446" s="493" t="s">
        <v>7771</v>
      </c>
      <c r="H446" s="493" t="s">
        <v>7772</v>
      </c>
      <c r="I446" s="501" t="s">
        <v>7773</v>
      </c>
    </row>
    <row r="447" spans="1:9" ht="14.45">
      <c r="A447" s="493">
        <v>90213</v>
      </c>
      <c r="B447" s="494" t="s">
        <v>1041</v>
      </c>
      <c r="C447" s="493" t="s">
        <v>3674</v>
      </c>
      <c r="D447" s="493" t="s">
        <v>4784</v>
      </c>
      <c r="E447" s="493" t="s">
        <v>846</v>
      </c>
      <c r="F447" s="493" t="s">
        <v>6821</v>
      </c>
      <c r="G447" s="493" t="s">
        <v>7774</v>
      </c>
      <c r="H447" s="493" t="s">
        <v>7775</v>
      </c>
      <c r="I447" s="501" t="s">
        <v>7776</v>
      </c>
    </row>
    <row r="448" spans="1:9" ht="14.45">
      <c r="A448" s="493">
        <v>90734</v>
      </c>
      <c r="B448" s="493" t="s">
        <v>5715</v>
      </c>
      <c r="C448" s="493" t="s">
        <v>3659</v>
      </c>
      <c r="D448" s="493" t="s">
        <v>3918</v>
      </c>
      <c r="E448" s="493" t="s">
        <v>3919</v>
      </c>
      <c r="F448" s="493" t="s">
        <v>6821</v>
      </c>
      <c r="G448" s="493" t="s">
        <v>7777</v>
      </c>
      <c r="H448" s="493" t="s">
        <v>7778</v>
      </c>
      <c r="I448" s="501" t="s">
        <v>7273</v>
      </c>
    </row>
    <row r="449" spans="1:9" ht="14.45">
      <c r="A449" s="493">
        <v>90374</v>
      </c>
      <c r="B449" s="493" t="s">
        <v>4219</v>
      </c>
      <c r="C449" s="493" t="s">
        <v>3674</v>
      </c>
      <c r="D449" s="493" t="s">
        <v>4215</v>
      </c>
      <c r="E449" s="493" t="s">
        <v>7637</v>
      </c>
      <c r="F449" s="493" t="s">
        <v>6821</v>
      </c>
      <c r="G449" s="493" t="s">
        <v>7779</v>
      </c>
      <c r="H449" s="493" t="s">
        <v>7780</v>
      </c>
      <c r="I449" s="501" t="s">
        <v>7781</v>
      </c>
    </row>
    <row r="450" spans="1:9" ht="14.45">
      <c r="A450" s="493">
        <v>90373</v>
      </c>
      <c r="B450" s="493" t="s">
        <v>4223</v>
      </c>
      <c r="C450" s="493" t="s">
        <v>3674</v>
      </c>
      <c r="D450" s="493" t="s">
        <v>4215</v>
      </c>
      <c r="E450" s="493" t="s">
        <v>7637</v>
      </c>
      <c r="F450" s="493" t="s">
        <v>6821</v>
      </c>
      <c r="G450" s="493" t="s">
        <v>7782</v>
      </c>
      <c r="H450" s="493" t="s">
        <v>7780</v>
      </c>
      <c r="I450" s="501" t="s">
        <v>7781</v>
      </c>
    </row>
    <row r="451" spans="1:9" ht="14.45">
      <c r="A451" s="493">
        <v>90454</v>
      </c>
      <c r="B451" s="493" t="s">
        <v>4226</v>
      </c>
      <c r="C451" s="493" t="s">
        <v>3674</v>
      </c>
      <c r="D451" s="493" t="s">
        <v>4215</v>
      </c>
      <c r="E451" s="493" t="s">
        <v>7637</v>
      </c>
      <c r="F451" s="493" t="s">
        <v>6821</v>
      </c>
      <c r="G451" s="493" t="s">
        <v>7783</v>
      </c>
      <c r="H451" s="493" t="s">
        <v>7780</v>
      </c>
      <c r="I451" s="501" t="s">
        <v>7781</v>
      </c>
    </row>
    <row r="452" spans="1:9" ht="14.45">
      <c r="A452" s="493">
        <v>90455</v>
      </c>
      <c r="B452" s="493" t="s">
        <v>4229</v>
      </c>
      <c r="C452" s="493" t="s">
        <v>3659</v>
      </c>
      <c r="D452" s="493" t="s">
        <v>4215</v>
      </c>
      <c r="E452" s="493" t="s">
        <v>7637</v>
      </c>
      <c r="F452" s="493" t="s">
        <v>6821</v>
      </c>
      <c r="G452" s="493" t="s">
        <v>7784</v>
      </c>
      <c r="H452" s="493" t="s">
        <v>7780</v>
      </c>
      <c r="I452" s="501" t="s">
        <v>7781</v>
      </c>
    </row>
    <row r="453" spans="1:9" ht="14.45">
      <c r="A453" s="493">
        <v>90421</v>
      </c>
      <c r="B453" s="493" t="s">
        <v>3832</v>
      </c>
      <c r="C453" s="493" t="s">
        <v>3674</v>
      </c>
      <c r="D453" s="493" t="s">
        <v>3718</v>
      </c>
      <c r="E453" s="493" t="s">
        <v>3719</v>
      </c>
      <c r="F453" s="493" t="s">
        <v>6821</v>
      </c>
      <c r="G453" s="493" t="s">
        <v>7785</v>
      </c>
      <c r="H453" s="493" t="s">
        <v>7786</v>
      </c>
      <c r="I453" s="501" t="s">
        <v>7787</v>
      </c>
    </row>
    <row r="454" spans="1:9" ht="14.45">
      <c r="A454" s="493">
        <v>90479</v>
      </c>
      <c r="B454" s="493" t="s">
        <v>3137</v>
      </c>
      <c r="C454" s="493" t="s">
        <v>3674</v>
      </c>
      <c r="D454" s="493" t="s">
        <v>3770</v>
      </c>
      <c r="E454" s="493" t="s">
        <v>4309</v>
      </c>
      <c r="F454" s="493" t="s">
        <v>6906</v>
      </c>
      <c r="G454" s="493" t="s">
        <v>7788</v>
      </c>
      <c r="H454" s="493" t="s">
        <v>7152</v>
      </c>
      <c r="I454" s="501" t="s">
        <v>7149</v>
      </c>
    </row>
    <row r="455" spans="1:9" ht="14.45">
      <c r="A455" s="493">
        <v>90682</v>
      </c>
      <c r="B455" s="493" t="s">
        <v>4294</v>
      </c>
      <c r="C455" s="493" t="s">
        <v>3674</v>
      </c>
      <c r="D455" s="493" t="s">
        <v>3932</v>
      </c>
      <c r="E455" s="493" t="s">
        <v>846</v>
      </c>
      <c r="F455" s="493" t="s">
        <v>6821</v>
      </c>
      <c r="G455" s="493" t="s">
        <v>7789</v>
      </c>
      <c r="H455" s="493" t="s">
        <v>7394</v>
      </c>
      <c r="I455" s="501" t="s">
        <v>7395</v>
      </c>
    </row>
    <row r="456" spans="1:9" ht="14.45">
      <c r="A456" s="493">
        <v>90089</v>
      </c>
      <c r="B456" s="493" t="s">
        <v>5170</v>
      </c>
      <c r="C456" s="493" t="s">
        <v>3659</v>
      </c>
      <c r="D456" s="493" t="s">
        <v>4784</v>
      </c>
      <c r="E456" s="493" t="s">
        <v>846</v>
      </c>
      <c r="F456" s="493" t="s">
        <v>6821</v>
      </c>
      <c r="G456" s="493" t="s">
        <v>7790</v>
      </c>
      <c r="H456" s="493" t="s">
        <v>7515</v>
      </c>
      <c r="I456" s="501" t="s">
        <v>7516</v>
      </c>
    </row>
    <row r="457" spans="1:9" ht="14.45">
      <c r="A457" s="493">
        <v>90523</v>
      </c>
      <c r="B457" s="493" t="s">
        <v>3047</v>
      </c>
      <c r="C457" s="493" t="s">
        <v>3674</v>
      </c>
      <c r="D457" s="493" t="s">
        <v>2369</v>
      </c>
      <c r="E457" s="493" t="s">
        <v>47</v>
      </c>
      <c r="F457" s="493" t="s">
        <v>6821</v>
      </c>
      <c r="G457" s="493" t="s">
        <v>7791</v>
      </c>
      <c r="H457" s="493" t="s">
        <v>7792</v>
      </c>
      <c r="I457" s="501">
        <v>3935</v>
      </c>
    </row>
    <row r="458" spans="1:9" ht="14.45">
      <c r="A458" s="493">
        <v>90524</v>
      </c>
      <c r="B458" s="493" t="s">
        <v>3045</v>
      </c>
      <c r="C458" s="493" t="s">
        <v>3674</v>
      </c>
      <c r="D458" s="493" t="s">
        <v>2369</v>
      </c>
      <c r="E458" s="493" t="s">
        <v>47</v>
      </c>
      <c r="F458" s="493" t="s">
        <v>6821</v>
      </c>
      <c r="G458" s="493" t="s">
        <v>7793</v>
      </c>
      <c r="H458" s="493" t="s">
        <v>7792</v>
      </c>
      <c r="I458" s="501">
        <v>3935</v>
      </c>
    </row>
    <row r="459" spans="1:9" ht="14.45">
      <c r="A459" s="493">
        <v>90525</v>
      </c>
      <c r="B459" s="493" t="s">
        <v>3042</v>
      </c>
      <c r="C459" s="493" t="s">
        <v>3674</v>
      </c>
      <c r="D459" s="493" t="s">
        <v>2369</v>
      </c>
      <c r="E459" s="493" t="s">
        <v>47</v>
      </c>
      <c r="F459" s="493" t="s">
        <v>6821</v>
      </c>
      <c r="G459" s="493" t="s">
        <v>7794</v>
      </c>
      <c r="H459" s="493" t="s">
        <v>7795</v>
      </c>
      <c r="I459" s="501">
        <v>2965</v>
      </c>
    </row>
    <row r="460" spans="1:9" ht="14.45">
      <c r="A460" s="493">
        <v>90526</v>
      </c>
      <c r="B460" s="493" t="s">
        <v>3044</v>
      </c>
      <c r="C460" s="493" t="s">
        <v>3674</v>
      </c>
      <c r="D460" s="493" t="s">
        <v>2369</v>
      </c>
      <c r="E460" s="493" t="s">
        <v>47</v>
      </c>
      <c r="F460" s="493" t="s">
        <v>6821</v>
      </c>
      <c r="G460" s="493" t="s">
        <v>7796</v>
      </c>
      <c r="H460" s="493" t="s">
        <v>7795</v>
      </c>
      <c r="I460" s="501">
        <v>2965</v>
      </c>
    </row>
    <row r="461" spans="1:9" ht="14.45">
      <c r="A461" s="493">
        <v>90826</v>
      </c>
      <c r="B461" s="493" t="s">
        <v>2630</v>
      </c>
      <c r="C461" s="493" t="s">
        <v>3674</v>
      </c>
      <c r="D461" s="493" t="s">
        <v>2369</v>
      </c>
      <c r="E461" s="493" t="s">
        <v>846</v>
      </c>
      <c r="F461" s="493" t="s">
        <v>6821</v>
      </c>
      <c r="G461" s="493" t="s">
        <v>7797</v>
      </c>
      <c r="H461" s="493" t="s">
        <v>7798</v>
      </c>
      <c r="I461" s="501" t="s">
        <v>7799</v>
      </c>
    </row>
    <row r="462" spans="1:9" ht="14.45">
      <c r="A462" s="493">
        <v>90827</v>
      </c>
      <c r="B462" s="493" t="s">
        <v>7800</v>
      </c>
      <c r="C462" s="493" t="s">
        <v>3674</v>
      </c>
      <c r="D462" s="493" t="s">
        <v>2369</v>
      </c>
      <c r="E462" s="493" t="s">
        <v>846</v>
      </c>
      <c r="F462" s="493" t="s">
        <v>6821</v>
      </c>
      <c r="G462" s="493" t="s">
        <v>7801</v>
      </c>
      <c r="H462" s="493" t="s">
        <v>7798</v>
      </c>
      <c r="I462" s="501" t="s">
        <v>7799</v>
      </c>
    </row>
    <row r="463" spans="1:9" ht="14.45">
      <c r="A463" s="493">
        <v>90444</v>
      </c>
      <c r="B463" s="493" t="s">
        <v>3069</v>
      </c>
      <c r="C463" s="493" t="s">
        <v>3674</v>
      </c>
      <c r="D463" s="493" t="s">
        <v>2369</v>
      </c>
      <c r="E463" s="493" t="s">
        <v>47</v>
      </c>
      <c r="F463" s="493" t="s">
        <v>6821</v>
      </c>
      <c r="G463" s="493" t="s">
        <v>7802</v>
      </c>
      <c r="H463" s="493" t="s">
        <v>7803</v>
      </c>
      <c r="I463" s="501" t="s">
        <v>7804</v>
      </c>
    </row>
    <row r="464" spans="1:9" ht="14.45">
      <c r="A464" s="493">
        <v>90445</v>
      </c>
      <c r="B464" s="493" t="s">
        <v>7805</v>
      </c>
      <c r="C464" s="493" t="s">
        <v>3659</v>
      </c>
      <c r="D464" s="493" t="s">
        <v>2369</v>
      </c>
      <c r="E464" s="493" t="s">
        <v>47</v>
      </c>
      <c r="F464" s="493" t="s">
        <v>6821</v>
      </c>
      <c r="G464" s="493" t="s">
        <v>7806</v>
      </c>
      <c r="H464" s="493" t="s">
        <v>7803</v>
      </c>
      <c r="I464" s="501" t="s">
        <v>7804</v>
      </c>
    </row>
    <row r="465" spans="1:9" ht="14.45">
      <c r="A465" s="493">
        <v>90828</v>
      </c>
      <c r="B465" s="493" t="s">
        <v>3071</v>
      </c>
      <c r="C465" s="493" t="s">
        <v>3674</v>
      </c>
      <c r="D465" s="493" t="s">
        <v>2369</v>
      </c>
      <c r="E465" s="493" t="s">
        <v>846</v>
      </c>
      <c r="F465" s="493" t="s">
        <v>6821</v>
      </c>
      <c r="G465" s="493" t="s">
        <v>7807</v>
      </c>
      <c r="H465" s="493" t="s">
        <v>7808</v>
      </c>
      <c r="I465" s="501" t="s">
        <v>7809</v>
      </c>
    </row>
    <row r="466" spans="1:9" ht="14.45">
      <c r="A466" s="493">
        <v>90829</v>
      </c>
      <c r="B466" s="493" t="s">
        <v>7810</v>
      </c>
      <c r="C466" s="493" t="s">
        <v>3674</v>
      </c>
      <c r="D466" s="493" t="s">
        <v>2369</v>
      </c>
      <c r="E466" s="493" t="s">
        <v>846</v>
      </c>
      <c r="F466" s="493" t="s">
        <v>6821</v>
      </c>
      <c r="G466" s="493" t="s">
        <v>7811</v>
      </c>
      <c r="H466" s="493" t="s">
        <v>7808</v>
      </c>
      <c r="I466" s="501" t="s">
        <v>7809</v>
      </c>
    </row>
    <row r="467" spans="1:9" ht="14.45">
      <c r="A467" s="493">
        <v>90224</v>
      </c>
      <c r="B467" s="493" t="s">
        <v>2887</v>
      </c>
      <c r="C467" s="493" t="s">
        <v>3674</v>
      </c>
      <c r="D467" s="493" t="s">
        <v>2369</v>
      </c>
      <c r="E467" s="493" t="s">
        <v>3875</v>
      </c>
      <c r="F467" s="493" t="s">
        <v>6821</v>
      </c>
      <c r="G467" s="493" t="s">
        <v>7812</v>
      </c>
      <c r="H467" s="493" t="s">
        <v>7813</v>
      </c>
      <c r="I467" s="501" t="s">
        <v>7814</v>
      </c>
    </row>
    <row r="468" spans="1:9" ht="14.45">
      <c r="A468" s="493">
        <v>90223</v>
      </c>
      <c r="B468" s="493" t="s">
        <v>7815</v>
      </c>
      <c r="C468" s="493" t="s">
        <v>3674</v>
      </c>
      <c r="D468" s="493" t="s">
        <v>2369</v>
      </c>
      <c r="E468" s="493" t="s">
        <v>846</v>
      </c>
      <c r="F468" s="493" t="s">
        <v>6821</v>
      </c>
      <c r="G468" s="493" t="s">
        <v>7816</v>
      </c>
      <c r="H468" s="493" t="s">
        <v>7813</v>
      </c>
      <c r="I468" s="501" t="s">
        <v>7817</v>
      </c>
    </row>
    <row r="469" spans="1:9" ht="14.45">
      <c r="A469" s="493">
        <v>90222</v>
      </c>
      <c r="B469" s="493" t="s">
        <v>2885</v>
      </c>
      <c r="C469" s="493" t="s">
        <v>3674</v>
      </c>
      <c r="D469" s="493" t="s">
        <v>2369</v>
      </c>
      <c r="E469" s="493" t="s">
        <v>3875</v>
      </c>
      <c r="F469" s="493" t="s">
        <v>6821</v>
      </c>
      <c r="G469" s="493" t="s">
        <v>7818</v>
      </c>
      <c r="H469" s="493" t="s">
        <v>7813</v>
      </c>
      <c r="I469" s="501" t="s">
        <v>7819</v>
      </c>
    </row>
    <row r="470" spans="1:9" ht="14.45">
      <c r="A470" s="493">
        <v>90824</v>
      </c>
      <c r="B470" s="493" t="s">
        <v>7820</v>
      </c>
      <c r="C470" s="493" t="s">
        <v>3674</v>
      </c>
      <c r="D470" s="493" t="s">
        <v>2369</v>
      </c>
      <c r="E470" s="493" t="s">
        <v>846</v>
      </c>
      <c r="F470" s="493" t="s">
        <v>6821</v>
      </c>
      <c r="G470" s="493" t="s">
        <v>7821</v>
      </c>
      <c r="H470" s="493" t="s">
        <v>7813</v>
      </c>
      <c r="I470" s="501" t="s">
        <v>7822</v>
      </c>
    </row>
    <row r="471" spans="1:9" ht="14.45">
      <c r="A471" s="493">
        <v>90825</v>
      </c>
      <c r="B471" s="493" t="s">
        <v>7823</v>
      </c>
      <c r="C471" s="493" t="s">
        <v>3659</v>
      </c>
      <c r="D471" s="493" t="s">
        <v>2369</v>
      </c>
      <c r="E471" s="493" t="s">
        <v>846</v>
      </c>
      <c r="F471" s="493" t="s">
        <v>6821</v>
      </c>
      <c r="G471" s="493" t="s">
        <v>7824</v>
      </c>
      <c r="H471" s="493" t="s">
        <v>7813</v>
      </c>
      <c r="I471" s="501" t="s">
        <v>7825</v>
      </c>
    </row>
    <row r="472" spans="1:9" ht="14.45">
      <c r="A472" s="493">
        <v>90650</v>
      </c>
      <c r="B472" s="493" t="s">
        <v>3066</v>
      </c>
      <c r="C472" s="493" t="s">
        <v>3674</v>
      </c>
      <c r="D472" s="493" t="s">
        <v>2369</v>
      </c>
      <c r="E472" s="493" t="s">
        <v>47</v>
      </c>
      <c r="F472" s="493" t="s">
        <v>6821</v>
      </c>
      <c r="G472" s="493" t="s">
        <v>7826</v>
      </c>
      <c r="H472" s="493" t="s">
        <v>7827</v>
      </c>
      <c r="I472" s="501" t="s">
        <v>7828</v>
      </c>
    </row>
    <row r="473" spans="1:9" ht="14.45">
      <c r="A473" s="493">
        <v>90221</v>
      </c>
      <c r="B473" s="493" t="s">
        <v>7829</v>
      </c>
      <c r="C473" s="493" t="s">
        <v>3674</v>
      </c>
      <c r="D473" s="493" t="s">
        <v>2369</v>
      </c>
      <c r="E473" s="493" t="s">
        <v>846</v>
      </c>
      <c r="F473" s="493" t="s">
        <v>6821</v>
      </c>
      <c r="G473" s="493" t="s">
        <v>7830</v>
      </c>
      <c r="H473" s="493" t="s">
        <v>7831</v>
      </c>
      <c r="I473" s="501" t="s">
        <v>7832</v>
      </c>
    </row>
    <row r="474" spans="1:9" ht="14.45">
      <c r="A474" s="493">
        <v>90220</v>
      </c>
      <c r="B474" s="493" t="s">
        <v>2654</v>
      </c>
      <c r="C474" s="493" t="s">
        <v>3674</v>
      </c>
      <c r="D474" s="493" t="s">
        <v>2369</v>
      </c>
      <c r="E474" s="493" t="s">
        <v>846</v>
      </c>
      <c r="F474" s="493" t="s">
        <v>6821</v>
      </c>
      <c r="G474" s="493" t="s">
        <v>7833</v>
      </c>
      <c r="H474" s="493" t="s">
        <v>7831</v>
      </c>
      <c r="I474" s="501" t="s">
        <v>7832</v>
      </c>
    </row>
    <row r="475" spans="1:9" ht="14.45">
      <c r="A475" s="493">
        <v>90219</v>
      </c>
      <c r="B475" s="493" t="s">
        <v>7834</v>
      </c>
      <c r="C475" s="493" t="s">
        <v>3674</v>
      </c>
      <c r="D475" s="493" t="s">
        <v>2369</v>
      </c>
      <c r="E475" s="493" t="s">
        <v>846</v>
      </c>
      <c r="F475" s="493" t="s">
        <v>6821</v>
      </c>
      <c r="G475" s="493" t="s">
        <v>7835</v>
      </c>
      <c r="H475" s="493" t="s">
        <v>7831</v>
      </c>
      <c r="I475" s="501" t="s">
        <v>7832</v>
      </c>
    </row>
    <row r="476" spans="1:9" ht="14.45">
      <c r="A476" s="493">
        <v>90447</v>
      </c>
      <c r="B476" s="493" t="s">
        <v>3025</v>
      </c>
      <c r="C476" s="493" t="s">
        <v>3674</v>
      </c>
      <c r="D476" s="493" t="s">
        <v>2369</v>
      </c>
      <c r="E476" s="493" t="s">
        <v>47</v>
      </c>
      <c r="F476" s="493" t="s">
        <v>6821</v>
      </c>
      <c r="G476" s="493" t="s">
        <v>7836</v>
      </c>
      <c r="H476" s="493" t="s">
        <v>7831</v>
      </c>
      <c r="I476" s="501" t="s">
        <v>7837</v>
      </c>
    </row>
    <row r="477" spans="1:9" ht="14.45">
      <c r="A477" s="493">
        <v>90448</v>
      </c>
      <c r="B477" s="493" t="s">
        <v>3027</v>
      </c>
      <c r="C477" s="493" t="s">
        <v>3659</v>
      </c>
      <c r="D477" s="493" t="s">
        <v>2369</v>
      </c>
      <c r="E477" s="493" t="s">
        <v>47</v>
      </c>
      <c r="F477" s="493" t="s">
        <v>6821</v>
      </c>
      <c r="G477" s="493" t="s">
        <v>7838</v>
      </c>
      <c r="H477" s="493" t="s">
        <v>7831</v>
      </c>
      <c r="I477" s="501" t="s">
        <v>7837</v>
      </c>
    </row>
    <row r="478" spans="1:9" ht="14.45">
      <c r="A478" s="493">
        <v>90218</v>
      </c>
      <c r="B478" s="493" t="s">
        <v>2573</v>
      </c>
      <c r="C478" s="493" t="s">
        <v>3674</v>
      </c>
      <c r="D478" s="493" t="s">
        <v>2369</v>
      </c>
      <c r="E478" s="493" t="s">
        <v>846</v>
      </c>
      <c r="F478" s="493" t="s">
        <v>6821</v>
      </c>
      <c r="G478" s="493" t="s">
        <v>7839</v>
      </c>
      <c r="H478" s="493" t="s">
        <v>7831</v>
      </c>
      <c r="I478" s="501" t="s">
        <v>7840</v>
      </c>
    </row>
    <row r="479" spans="1:9" ht="14.45">
      <c r="A479" s="493">
        <v>90217</v>
      </c>
      <c r="B479" s="493" t="s">
        <v>7841</v>
      </c>
      <c r="C479" s="493" t="s">
        <v>3659</v>
      </c>
      <c r="D479" s="493" t="s">
        <v>2369</v>
      </c>
      <c r="E479" s="493" t="s">
        <v>846</v>
      </c>
      <c r="F479" s="493" t="s">
        <v>6821</v>
      </c>
      <c r="G479" s="493" t="s">
        <v>7842</v>
      </c>
      <c r="H479" s="493" t="s">
        <v>7831</v>
      </c>
      <c r="I479" s="501" t="s">
        <v>7840</v>
      </c>
    </row>
    <row r="480" spans="1:9" ht="14.45">
      <c r="A480" s="493">
        <v>90104</v>
      </c>
      <c r="B480" s="493" t="s">
        <v>3030</v>
      </c>
      <c r="C480" s="493" t="s">
        <v>3674</v>
      </c>
      <c r="D480" s="493" t="s">
        <v>2369</v>
      </c>
      <c r="E480" s="493" t="s">
        <v>7843</v>
      </c>
      <c r="F480" s="493" t="s">
        <v>6821</v>
      </c>
      <c r="G480" s="493" t="s">
        <v>7844</v>
      </c>
      <c r="H480" s="493" t="s">
        <v>7845</v>
      </c>
      <c r="I480" s="501" t="s">
        <v>7846</v>
      </c>
    </row>
    <row r="481" spans="1:9" ht="14.45">
      <c r="A481" s="493">
        <v>90103</v>
      </c>
      <c r="B481" s="494" t="s">
        <v>6151</v>
      </c>
      <c r="C481" s="493" t="s">
        <v>3674</v>
      </c>
      <c r="D481" s="493" t="s">
        <v>2369</v>
      </c>
      <c r="E481" s="493" t="s">
        <v>7843</v>
      </c>
      <c r="F481" s="493" t="s">
        <v>6821</v>
      </c>
      <c r="G481" s="493" t="s">
        <v>7847</v>
      </c>
      <c r="H481" s="493" t="s">
        <v>7845</v>
      </c>
      <c r="I481" s="501" t="s">
        <v>7848</v>
      </c>
    </row>
    <row r="482" spans="1:9" ht="14.45">
      <c r="A482" s="493">
        <v>90102</v>
      </c>
      <c r="B482" s="493" t="s">
        <v>7849</v>
      </c>
      <c r="C482" s="493" t="s">
        <v>3674</v>
      </c>
      <c r="D482" s="493" t="s">
        <v>2369</v>
      </c>
      <c r="E482" s="493" t="s">
        <v>7843</v>
      </c>
      <c r="F482" s="493" t="s">
        <v>6821</v>
      </c>
      <c r="G482" s="493" t="s">
        <v>7850</v>
      </c>
      <c r="H482" s="493" t="s">
        <v>7845</v>
      </c>
      <c r="I482" s="501" t="s">
        <v>7848</v>
      </c>
    </row>
    <row r="483" spans="1:9" ht="14.45">
      <c r="A483" s="493">
        <v>91131</v>
      </c>
      <c r="B483" s="493" t="s">
        <v>3597</v>
      </c>
      <c r="C483" s="493" t="s">
        <v>3659</v>
      </c>
      <c r="D483" s="493" t="s">
        <v>2369</v>
      </c>
      <c r="E483" s="493" t="s">
        <v>7843</v>
      </c>
      <c r="F483" s="493" t="s">
        <v>6821</v>
      </c>
      <c r="G483" s="493" t="s">
        <v>7851</v>
      </c>
      <c r="H483" s="493" t="s">
        <v>7845</v>
      </c>
      <c r="I483" s="501" t="s">
        <v>7848</v>
      </c>
    </row>
    <row r="484" spans="1:9" ht="14.45">
      <c r="A484" s="493">
        <v>90101</v>
      </c>
      <c r="B484" s="493" t="s">
        <v>7852</v>
      </c>
      <c r="C484" s="493" t="s">
        <v>3659</v>
      </c>
      <c r="D484" s="493" t="s">
        <v>2369</v>
      </c>
      <c r="E484" s="493" t="s">
        <v>47</v>
      </c>
      <c r="F484" s="493" t="s">
        <v>6821</v>
      </c>
      <c r="G484" s="493" t="s">
        <v>7853</v>
      </c>
      <c r="H484" s="493" t="s">
        <v>7845</v>
      </c>
      <c r="I484" s="501" t="s">
        <v>7854</v>
      </c>
    </row>
    <row r="485" spans="1:9" ht="14.45">
      <c r="A485" s="493">
        <v>90100</v>
      </c>
      <c r="B485" s="493" t="s">
        <v>6145</v>
      </c>
      <c r="C485" s="493" t="s">
        <v>3674</v>
      </c>
      <c r="D485" s="493" t="s">
        <v>2369</v>
      </c>
      <c r="E485" s="493" t="s">
        <v>47</v>
      </c>
      <c r="F485" s="493" t="s">
        <v>6821</v>
      </c>
      <c r="G485" s="493" t="s">
        <v>7855</v>
      </c>
      <c r="H485" s="493" t="s">
        <v>7845</v>
      </c>
      <c r="I485" s="501" t="s">
        <v>7854</v>
      </c>
    </row>
    <row r="486" spans="1:9" ht="14.45">
      <c r="A486" s="493">
        <v>90402</v>
      </c>
      <c r="B486" s="493" t="s">
        <v>7856</v>
      </c>
      <c r="C486" s="493" t="s">
        <v>3674</v>
      </c>
      <c r="D486" s="493" t="s">
        <v>2369</v>
      </c>
      <c r="E486" s="493" t="s">
        <v>47</v>
      </c>
      <c r="F486" s="493" t="s">
        <v>6821</v>
      </c>
      <c r="G486" s="493" t="s">
        <v>7857</v>
      </c>
      <c r="H486" s="493" t="s">
        <v>7858</v>
      </c>
      <c r="I486" s="501" t="s">
        <v>7859</v>
      </c>
    </row>
    <row r="487" spans="1:9" ht="14.45">
      <c r="A487" s="493">
        <v>90403</v>
      </c>
      <c r="B487" s="493" t="s">
        <v>7860</v>
      </c>
      <c r="C487" s="493" t="s">
        <v>3674</v>
      </c>
      <c r="D487" s="493" t="s">
        <v>2369</v>
      </c>
      <c r="E487" s="493" t="s">
        <v>47</v>
      </c>
      <c r="F487" s="493" t="s">
        <v>6821</v>
      </c>
      <c r="G487" s="493" t="s">
        <v>7861</v>
      </c>
      <c r="H487" s="493" t="s">
        <v>7862</v>
      </c>
      <c r="I487" s="501" t="s">
        <v>7863</v>
      </c>
    </row>
    <row r="488" spans="1:9" ht="14.45">
      <c r="A488" s="493">
        <v>90399</v>
      </c>
      <c r="B488" s="493" t="s">
        <v>3074</v>
      </c>
      <c r="C488" s="493" t="s">
        <v>3674</v>
      </c>
      <c r="D488" s="493" t="s">
        <v>2369</v>
      </c>
      <c r="E488" s="493" t="s">
        <v>47</v>
      </c>
      <c r="F488" s="493" t="s">
        <v>6821</v>
      </c>
      <c r="G488" s="493" t="s">
        <v>7864</v>
      </c>
      <c r="H488" s="493" t="s">
        <v>7862</v>
      </c>
      <c r="I488" s="501" t="s">
        <v>3075</v>
      </c>
    </row>
    <row r="489" spans="1:9" ht="14.45">
      <c r="A489" s="493">
        <v>90397</v>
      </c>
      <c r="B489" s="493" t="s">
        <v>3041</v>
      </c>
      <c r="C489" s="493" t="s">
        <v>3674</v>
      </c>
      <c r="D489" s="493" t="s">
        <v>2369</v>
      </c>
      <c r="E489" s="493" t="s">
        <v>47</v>
      </c>
      <c r="F489" s="493" t="s">
        <v>6821</v>
      </c>
      <c r="G489" s="493" t="s">
        <v>7865</v>
      </c>
      <c r="H489" s="493" t="s">
        <v>7862</v>
      </c>
      <c r="I489" s="501" t="s">
        <v>3075</v>
      </c>
    </row>
    <row r="490" spans="1:9" ht="14.45">
      <c r="A490" s="493">
        <v>90400</v>
      </c>
      <c r="B490" s="493" t="s">
        <v>3034</v>
      </c>
      <c r="C490" s="493" t="s">
        <v>3674</v>
      </c>
      <c r="D490" s="493" t="s">
        <v>2369</v>
      </c>
      <c r="E490" s="493" t="s">
        <v>47</v>
      </c>
      <c r="F490" s="493" t="s">
        <v>6821</v>
      </c>
      <c r="G490" s="493" t="s">
        <v>7866</v>
      </c>
      <c r="H490" s="493" t="s">
        <v>7862</v>
      </c>
      <c r="I490" s="501" t="s">
        <v>3075</v>
      </c>
    </row>
    <row r="491" spans="1:9" ht="14.45">
      <c r="A491" s="493">
        <v>90398</v>
      </c>
      <c r="B491" s="493" t="s">
        <v>3036</v>
      </c>
      <c r="C491" s="493" t="s">
        <v>3674</v>
      </c>
      <c r="D491" s="493" t="s">
        <v>2369</v>
      </c>
      <c r="E491" s="493" t="s">
        <v>47</v>
      </c>
      <c r="F491" s="493" t="s">
        <v>6821</v>
      </c>
      <c r="G491" s="493" t="s">
        <v>7867</v>
      </c>
      <c r="H491" s="493" t="s">
        <v>7862</v>
      </c>
      <c r="I491" s="501" t="s">
        <v>3075</v>
      </c>
    </row>
    <row r="492" spans="1:9" ht="14.45">
      <c r="A492" s="493">
        <v>90065</v>
      </c>
      <c r="B492" s="493" t="s">
        <v>5371</v>
      </c>
      <c r="C492" s="493" t="s">
        <v>3674</v>
      </c>
      <c r="D492" s="493" t="s">
        <v>3900</v>
      </c>
      <c r="E492" s="493" t="s">
        <v>3875</v>
      </c>
      <c r="F492" s="493" t="s">
        <v>6821</v>
      </c>
      <c r="G492" s="493" t="s">
        <v>7868</v>
      </c>
      <c r="H492" s="493" t="s">
        <v>7869</v>
      </c>
      <c r="I492" s="501" t="s">
        <v>5370</v>
      </c>
    </row>
    <row r="493" spans="1:9" ht="14.45">
      <c r="A493" s="493">
        <v>90066</v>
      </c>
      <c r="B493" s="493" t="s">
        <v>5375</v>
      </c>
      <c r="C493" s="493" t="s">
        <v>3674</v>
      </c>
      <c r="D493" s="493" t="s">
        <v>3900</v>
      </c>
      <c r="E493" s="493" t="s">
        <v>3875</v>
      </c>
      <c r="F493" s="493" t="s">
        <v>6821</v>
      </c>
      <c r="G493" s="493" t="s">
        <v>7870</v>
      </c>
      <c r="H493" s="493" t="s">
        <v>7869</v>
      </c>
      <c r="I493" s="501" t="s">
        <v>5370</v>
      </c>
    </row>
    <row r="494" spans="1:9" ht="14.45">
      <c r="A494" s="493">
        <v>90067</v>
      </c>
      <c r="B494" s="493" t="s">
        <v>5378</v>
      </c>
      <c r="C494" s="493" t="s">
        <v>3674</v>
      </c>
      <c r="D494" s="493" t="s">
        <v>3900</v>
      </c>
      <c r="E494" s="493" t="s">
        <v>3875</v>
      </c>
      <c r="F494" s="493" t="s">
        <v>6821</v>
      </c>
      <c r="G494" s="493" t="s">
        <v>7871</v>
      </c>
      <c r="H494" s="493" t="s">
        <v>7869</v>
      </c>
      <c r="I494" s="501" t="s">
        <v>5370</v>
      </c>
    </row>
    <row r="495" spans="1:9" ht="14.45">
      <c r="A495" s="493">
        <v>90068</v>
      </c>
      <c r="B495" s="493" t="s">
        <v>5381</v>
      </c>
      <c r="C495" s="493" t="s">
        <v>3674</v>
      </c>
      <c r="D495" s="493" t="s">
        <v>3900</v>
      </c>
      <c r="E495" s="493" t="s">
        <v>3875</v>
      </c>
      <c r="F495" s="493" t="s">
        <v>6821</v>
      </c>
      <c r="G495" s="493" t="s">
        <v>7872</v>
      </c>
      <c r="H495" s="493" t="s">
        <v>7869</v>
      </c>
      <c r="I495" s="501" t="s">
        <v>5370</v>
      </c>
    </row>
    <row r="496" spans="1:9" ht="14.45">
      <c r="A496" s="493">
        <v>90069</v>
      </c>
      <c r="B496" s="493" t="s">
        <v>5384</v>
      </c>
      <c r="C496" s="493" t="s">
        <v>3674</v>
      </c>
      <c r="D496" s="493" t="s">
        <v>3900</v>
      </c>
      <c r="E496" s="493" t="s">
        <v>3875</v>
      </c>
      <c r="F496" s="493" t="s">
        <v>6821</v>
      </c>
      <c r="G496" s="493" t="s">
        <v>7873</v>
      </c>
      <c r="H496" s="493" t="s">
        <v>7869</v>
      </c>
      <c r="I496" s="501" t="s">
        <v>5370</v>
      </c>
    </row>
    <row r="497" spans="1:9" ht="14.45">
      <c r="A497" s="493">
        <v>90070</v>
      </c>
      <c r="B497" s="493" t="s">
        <v>5387</v>
      </c>
      <c r="C497" s="493" t="s">
        <v>3674</v>
      </c>
      <c r="D497" s="493" t="s">
        <v>3900</v>
      </c>
      <c r="E497" s="493" t="s">
        <v>3875</v>
      </c>
      <c r="F497" s="493" t="s">
        <v>6821</v>
      </c>
      <c r="G497" s="493" t="s">
        <v>7874</v>
      </c>
      <c r="H497" s="493" t="s">
        <v>7869</v>
      </c>
      <c r="I497" s="501" t="s">
        <v>5370</v>
      </c>
    </row>
    <row r="498" spans="1:9" ht="14.45">
      <c r="A498" s="493">
        <v>90071</v>
      </c>
      <c r="B498" s="493" t="s">
        <v>5390</v>
      </c>
      <c r="C498" s="493" t="s">
        <v>3674</v>
      </c>
      <c r="D498" s="493" t="s">
        <v>3900</v>
      </c>
      <c r="E498" s="493" t="s">
        <v>3875</v>
      </c>
      <c r="F498" s="493" t="s">
        <v>6821</v>
      </c>
      <c r="G498" s="493" t="s">
        <v>7875</v>
      </c>
      <c r="H498" s="493" t="s">
        <v>7869</v>
      </c>
      <c r="I498" s="501" t="s">
        <v>5370</v>
      </c>
    </row>
    <row r="499" spans="1:9" ht="14.45">
      <c r="A499" s="493">
        <v>90072</v>
      </c>
      <c r="B499" s="493" t="s">
        <v>5393</v>
      </c>
      <c r="C499" s="493" t="s">
        <v>3674</v>
      </c>
      <c r="D499" s="493" t="s">
        <v>3900</v>
      </c>
      <c r="E499" s="493" t="s">
        <v>3875</v>
      </c>
      <c r="F499" s="493" t="s">
        <v>6821</v>
      </c>
      <c r="G499" s="493" t="s">
        <v>7876</v>
      </c>
      <c r="H499" s="493" t="s">
        <v>7869</v>
      </c>
      <c r="I499" s="501" t="s">
        <v>5370</v>
      </c>
    </row>
    <row r="500" spans="1:9" ht="14.45">
      <c r="A500" s="493">
        <v>90073</v>
      </c>
      <c r="B500" s="493" t="s">
        <v>5396</v>
      </c>
      <c r="C500" s="493" t="s">
        <v>3674</v>
      </c>
      <c r="D500" s="493" t="s">
        <v>3900</v>
      </c>
      <c r="E500" s="493" t="s">
        <v>3875</v>
      </c>
      <c r="F500" s="493" t="s">
        <v>6821</v>
      </c>
      <c r="G500" s="493" t="s">
        <v>7877</v>
      </c>
      <c r="H500" s="493" t="s">
        <v>7869</v>
      </c>
      <c r="I500" s="501" t="s">
        <v>5370</v>
      </c>
    </row>
    <row r="501" spans="1:9" ht="14.45">
      <c r="A501" s="493">
        <v>90074</v>
      </c>
      <c r="B501" s="493" t="s">
        <v>5399</v>
      </c>
      <c r="C501" s="493" t="s">
        <v>3659</v>
      </c>
      <c r="D501" s="493" t="s">
        <v>3900</v>
      </c>
      <c r="E501" s="493" t="s">
        <v>3875</v>
      </c>
      <c r="F501" s="493" t="s">
        <v>6821</v>
      </c>
      <c r="G501" s="493" t="s">
        <v>7878</v>
      </c>
      <c r="H501" s="493" t="s">
        <v>7869</v>
      </c>
      <c r="I501" s="501" t="s">
        <v>5370</v>
      </c>
    </row>
    <row r="502" spans="1:9" ht="14.45">
      <c r="A502" s="493">
        <v>90075</v>
      </c>
      <c r="B502" s="493" t="s">
        <v>5401</v>
      </c>
      <c r="C502" s="493" t="s">
        <v>3659</v>
      </c>
      <c r="D502" s="493" t="s">
        <v>3900</v>
      </c>
      <c r="E502" s="493" t="s">
        <v>3875</v>
      </c>
      <c r="F502" s="493" t="s">
        <v>6821</v>
      </c>
      <c r="G502" s="493" t="s">
        <v>7879</v>
      </c>
      <c r="H502" s="493" t="s">
        <v>7869</v>
      </c>
      <c r="I502" s="501" t="s">
        <v>5370</v>
      </c>
    </row>
    <row r="503" spans="1:9" ht="14.45">
      <c r="A503" s="493">
        <v>90840</v>
      </c>
      <c r="B503" s="493" t="s">
        <v>7880</v>
      </c>
      <c r="C503" s="493" t="s">
        <v>3674</v>
      </c>
      <c r="D503" s="493" t="s">
        <v>2369</v>
      </c>
      <c r="E503" s="493" t="s">
        <v>7881</v>
      </c>
      <c r="F503" s="493" t="s">
        <v>6821</v>
      </c>
      <c r="G503" s="493" t="s">
        <v>7882</v>
      </c>
      <c r="H503" s="493" t="s">
        <v>7883</v>
      </c>
      <c r="I503" s="501" t="s">
        <v>7884</v>
      </c>
    </row>
    <row r="504" spans="1:9" ht="14.45">
      <c r="A504" s="493">
        <v>90905</v>
      </c>
      <c r="B504" s="493" t="s">
        <v>2929</v>
      </c>
      <c r="C504" s="493" t="s">
        <v>3674</v>
      </c>
      <c r="D504" s="493" t="s">
        <v>2369</v>
      </c>
      <c r="E504" s="493" t="s">
        <v>6120</v>
      </c>
      <c r="F504" s="493" t="s">
        <v>6821</v>
      </c>
      <c r="G504" s="493" t="s">
        <v>7885</v>
      </c>
      <c r="H504" s="493" t="s">
        <v>7886</v>
      </c>
      <c r="I504" s="501" t="s">
        <v>7887</v>
      </c>
    </row>
    <row r="505" spans="1:9" ht="14.45">
      <c r="A505" s="493">
        <v>90903</v>
      </c>
      <c r="B505" s="493" t="s">
        <v>2925</v>
      </c>
      <c r="C505" s="493" t="s">
        <v>3674</v>
      </c>
      <c r="D505" s="493" t="s">
        <v>2369</v>
      </c>
      <c r="E505" s="493" t="s">
        <v>6120</v>
      </c>
      <c r="F505" s="493" t="s">
        <v>6821</v>
      </c>
      <c r="G505" s="493" t="s">
        <v>7888</v>
      </c>
      <c r="H505" s="493" t="s">
        <v>7886</v>
      </c>
      <c r="I505" s="501" t="s">
        <v>7887</v>
      </c>
    </row>
    <row r="506" spans="1:9" ht="14.45">
      <c r="A506" s="493">
        <v>90289</v>
      </c>
      <c r="B506" s="493" t="s">
        <v>2937</v>
      </c>
      <c r="C506" s="493" t="s">
        <v>3674</v>
      </c>
      <c r="D506" s="493" t="s">
        <v>2369</v>
      </c>
      <c r="E506" s="493" t="s">
        <v>6120</v>
      </c>
      <c r="F506" s="493" t="s">
        <v>6821</v>
      </c>
      <c r="G506" s="493" t="s">
        <v>7889</v>
      </c>
      <c r="H506" s="493" t="s">
        <v>7890</v>
      </c>
      <c r="I506" s="501" t="s">
        <v>7891</v>
      </c>
    </row>
    <row r="507" spans="1:9" ht="14.45">
      <c r="A507" s="493">
        <v>90290</v>
      </c>
      <c r="B507" s="493" t="s">
        <v>2939</v>
      </c>
      <c r="C507" s="493" t="s">
        <v>3674</v>
      </c>
      <c r="D507" s="493" t="s">
        <v>2369</v>
      </c>
      <c r="E507" s="493" t="s">
        <v>6120</v>
      </c>
      <c r="F507" s="493" t="s">
        <v>6821</v>
      </c>
      <c r="G507" s="493" t="s">
        <v>7892</v>
      </c>
      <c r="H507" s="493" t="s">
        <v>7890</v>
      </c>
      <c r="I507" s="501" t="s">
        <v>7891</v>
      </c>
    </row>
    <row r="508" spans="1:9" ht="14.45">
      <c r="A508" s="493">
        <v>90291</v>
      </c>
      <c r="B508" s="493" t="s">
        <v>2947</v>
      </c>
      <c r="C508" s="493" t="s">
        <v>3674</v>
      </c>
      <c r="D508" s="493" t="s">
        <v>2369</v>
      </c>
      <c r="E508" s="493" t="s">
        <v>6120</v>
      </c>
      <c r="F508" s="493" t="s">
        <v>6821</v>
      </c>
      <c r="G508" s="493" t="s">
        <v>7893</v>
      </c>
      <c r="H508" s="493" t="s">
        <v>7890</v>
      </c>
      <c r="I508" s="501" t="s">
        <v>7891</v>
      </c>
    </row>
    <row r="509" spans="1:9" ht="14.45">
      <c r="A509" s="493">
        <v>90292</v>
      </c>
      <c r="B509" s="493" t="s">
        <v>2935</v>
      </c>
      <c r="C509" s="493" t="s">
        <v>3674</v>
      </c>
      <c r="D509" s="493" t="s">
        <v>2369</v>
      </c>
      <c r="E509" s="493" t="s">
        <v>6120</v>
      </c>
      <c r="F509" s="493" t="s">
        <v>6821</v>
      </c>
      <c r="G509" s="493" t="s">
        <v>7894</v>
      </c>
      <c r="H509" s="493" t="s">
        <v>7890</v>
      </c>
      <c r="I509" s="501" t="s">
        <v>7895</v>
      </c>
    </row>
    <row r="510" spans="1:9" ht="14.45">
      <c r="A510" s="493">
        <v>90293</v>
      </c>
      <c r="B510" s="493" t="s">
        <v>2943</v>
      </c>
      <c r="C510" s="493" t="s">
        <v>3674</v>
      </c>
      <c r="D510" s="493" t="s">
        <v>2369</v>
      </c>
      <c r="E510" s="493" t="s">
        <v>6120</v>
      </c>
      <c r="F510" s="493" t="s">
        <v>6821</v>
      </c>
      <c r="G510" s="493" t="s">
        <v>7896</v>
      </c>
      <c r="H510" s="493" t="s">
        <v>7890</v>
      </c>
      <c r="I510" s="501" t="s">
        <v>7895</v>
      </c>
    </row>
    <row r="511" spans="1:9" ht="14.45">
      <c r="A511" s="493">
        <v>90904</v>
      </c>
      <c r="B511" s="493" t="s">
        <v>2927</v>
      </c>
      <c r="C511" s="493" t="s">
        <v>3674</v>
      </c>
      <c r="D511" s="493" t="s">
        <v>2369</v>
      </c>
      <c r="E511" s="493" t="s">
        <v>6120</v>
      </c>
      <c r="F511" s="493" t="s">
        <v>6821</v>
      </c>
      <c r="G511" s="493" t="s">
        <v>7897</v>
      </c>
      <c r="H511" s="493" t="s">
        <v>7898</v>
      </c>
      <c r="I511" s="501" t="s">
        <v>7887</v>
      </c>
    </row>
    <row r="512" spans="1:9" ht="14.45">
      <c r="A512" s="493">
        <v>90906</v>
      </c>
      <c r="B512" s="493" t="s">
        <v>2931</v>
      </c>
      <c r="C512" s="493" t="s">
        <v>3674</v>
      </c>
      <c r="D512" s="493" t="s">
        <v>2369</v>
      </c>
      <c r="E512" s="493" t="s">
        <v>6120</v>
      </c>
      <c r="F512" s="493" t="s">
        <v>6821</v>
      </c>
      <c r="G512" s="493" t="s">
        <v>7899</v>
      </c>
      <c r="H512" s="493" t="s">
        <v>7898</v>
      </c>
      <c r="I512" s="501" t="s">
        <v>7887</v>
      </c>
    </row>
    <row r="513" spans="1:9" ht="14.45">
      <c r="A513" s="493">
        <v>90907</v>
      </c>
      <c r="B513" s="493" t="s">
        <v>2933</v>
      </c>
      <c r="C513" s="493" t="s">
        <v>3659</v>
      </c>
      <c r="D513" s="493" t="s">
        <v>2369</v>
      </c>
      <c r="E513" s="493" t="s">
        <v>6120</v>
      </c>
      <c r="F513" s="493" t="s">
        <v>6821</v>
      </c>
      <c r="G513" s="493" t="s">
        <v>7900</v>
      </c>
      <c r="H513" s="493" t="s">
        <v>7898</v>
      </c>
      <c r="I513" s="501" t="s">
        <v>7887</v>
      </c>
    </row>
    <row r="514" spans="1:9" ht="14.45">
      <c r="A514" s="493">
        <v>90294</v>
      </c>
      <c r="B514" s="493" t="s">
        <v>2941</v>
      </c>
      <c r="C514" s="493" t="s">
        <v>3674</v>
      </c>
      <c r="D514" s="493" t="s">
        <v>2369</v>
      </c>
      <c r="E514" s="493" t="s">
        <v>6120</v>
      </c>
      <c r="F514" s="493" t="s">
        <v>6821</v>
      </c>
      <c r="G514" s="493" t="s">
        <v>7901</v>
      </c>
      <c r="H514" s="493" t="s">
        <v>7902</v>
      </c>
      <c r="I514" s="501" t="s">
        <v>7891</v>
      </c>
    </row>
    <row r="515" spans="1:9" ht="14.45">
      <c r="A515" s="493">
        <v>90295</v>
      </c>
      <c r="B515" s="493" t="s">
        <v>2945</v>
      </c>
      <c r="C515" s="493" t="s">
        <v>3674</v>
      </c>
      <c r="D515" s="493" t="s">
        <v>2369</v>
      </c>
      <c r="E515" s="493" t="s">
        <v>6120</v>
      </c>
      <c r="F515" s="493" t="s">
        <v>6821</v>
      </c>
      <c r="G515" s="493" t="s">
        <v>7903</v>
      </c>
      <c r="H515" s="493" t="s">
        <v>7902</v>
      </c>
      <c r="I515" s="501" t="s">
        <v>7891</v>
      </c>
    </row>
    <row r="516" spans="1:9" ht="14.45">
      <c r="A516" s="493">
        <v>90296</v>
      </c>
      <c r="B516" s="493" t="s">
        <v>2949</v>
      </c>
      <c r="C516" s="493" t="s">
        <v>3674</v>
      </c>
      <c r="D516" s="493" t="s">
        <v>2369</v>
      </c>
      <c r="E516" s="493" t="s">
        <v>6120</v>
      </c>
      <c r="F516" s="493" t="s">
        <v>6821</v>
      </c>
      <c r="G516" s="493" t="s">
        <v>7904</v>
      </c>
      <c r="H516" s="493" t="s">
        <v>7902</v>
      </c>
      <c r="I516" s="501" t="s">
        <v>7891</v>
      </c>
    </row>
    <row r="517" spans="1:9" ht="14.45">
      <c r="A517" s="493">
        <v>90297</v>
      </c>
      <c r="B517" s="493" t="s">
        <v>2951</v>
      </c>
      <c r="C517" s="493" t="s">
        <v>3674</v>
      </c>
      <c r="D517" s="493" t="s">
        <v>2369</v>
      </c>
      <c r="E517" s="493" t="s">
        <v>6120</v>
      </c>
      <c r="F517" s="493" t="s">
        <v>6821</v>
      </c>
      <c r="G517" s="493" t="s">
        <v>7905</v>
      </c>
      <c r="H517" s="493" t="s">
        <v>7902</v>
      </c>
      <c r="I517" s="501" t="s">
        <v>7891</v>
      </c>
    </row>
    <row r="518" spans="1:9" ht="14.45">
      <c r="A518" s="493">
        <v>90244</v>
      </c>
      <c r="B518" s="493" t="s">
        <v>2957</v>
      </c>
      <c r="C518" s="493" t="s">
        <v>3674</v>
      </c>
      <c r="D518" s="493" t="s">
        <v>2369</v>
      </c>
      <c r="E518" s="493" t="s">
        <v>6120</v>
      </c>
      <c r="F518" s="493" t="s">
        <v>6821</v>
      </c>
      <c r="G518" s="493" t="s">
        <v>7906</v>
      </c>
      <c r="H518" s="493" t="s">
        <v>7902</v>
      </c>
      <c r="I518" s="501" t="s">
        <v>7891</v>
      </c>
    </row>
    <row r="519" spans="1:9" ht="14.45">
      <c r="A519" s="493">
        <v>90245</v>
      </c>
      <c r="B519" s="493" t="s">
        <v>2959</v>
      </c>
      <c r="C519" s="493" t="s">
        <v>3674</v>
      </c>
      <c r="D519" s="493" t="s">
        <v>2369</v>
      </c>
      <c r="E519" s="493" t="s">
        <v>6120</v>
      </c>
      <c r="F519" s="493" t="s">
        <v>6821</v>
      </c>
      <c r="G519" s="493" t="s">
        <v>7907</v>
      </c>
      <c r="H519" s="493" t="s">
        <v>7902</v>
      </c>
      <c r="I519" s="501" t="s">
        <v>7891</v>
      </c>
    </row>
    <row r="520" spans="1:9" ht="14.45">
      <c r="A520" s="493">
        <v>90246</v>
      </c>
      <c r="B520" s="493" t="s">
        <v>2971</v>
      </c>
      <c r="C520" s="493" t="s">
        <v>3659</v>
      </c>
      <c r="D520" s="493" t="s">
        <v>2369</v>
      </c>
      <c r="E520" s="493" t="s">
        <v>6120</v>
      </c>
      <c r="F520" s="493" t="s">
        <v>6821</v>
      </c>
      <c r="G520" s="493" t="s">
        <v>7908</v>
      </c>
      <c r="H520" s="493" t="s">
        <v>7902</v>
      </c>
      <c r="I520" s="501" t="s">
        <v>7891</v>
      </c>
    </row>
    <row r="521" spans="1:9" ht="14.45">
      <c r="A521" s="493">
        <v>90247</v>
      </c>
      <c r="B521" s="493" t="s">
        <v>2973</v>
      </c>
      <c r="C521" s="493" t="s">
        <v>3659</v>
      </c>
      <c r="D521" s="493" t="s">
        <v>2369</v>
      </c>
      <c r="E521" s="493" t="s">
        <v>6120</v>
      </c>
      <c r="F521" s="493" t="s">
        <v>6821</v>
      </c>
      <c r="G521" s="493" t="s">
        <v>7909</v>
      </c>
      <c r="H521" s="493" t="s">
        <v>7902</v>
      </c>
      <c r="I521" s="501" t="s">
        <v>7891</v>
      </c>
    </row>
    <row r="522" spans="1:9" ht="14.45">
      <c r="A522" s="493">
        <v>90288</v>
      </c>
      <c r="B522" s="493" t="s">
        <v>2967</v>
      </c>
      <c r="C522" s="493" t="s">
        <v>3659</v>
      </c>
      <c r="D522" s="493" t="s">
        <v>2369</v>
      </c>
      <c r="E522" s="493" t="s">
        <v>6120</v>
      </c>
      <c r="F522" s="493" t="s">
        <v>6821</v>
      </c>
      <c r="G522" s="493" t="s">
        <v>7910</v>
      </c>
      <c r="H522" s="493" t="s">
        <v>7902</v>
      </c>
      <c r="I522" s="501" t="s">
        <v>7891</v>
      </c>
    </row>
    <row r="523" spans="1:9" ht="14.45">
      <c r="A523" s="493">
        <v>90248</v>
      </c>
      <c r="B523" s="493" t="s">
        <v>2953</v>
      </c>
      <c r="C523" s="493" t="s">
        <v>3659</v>
      </c>
      <c r="D523" s="493" t="s">
        <v>2369</v>
      </c>
      <c r="E523" s="493" t="s">
        <v>6120</v>
      </c>
      <c r="F523" s="493" t="s">
        <v>6821</v>
      </c>
      <c r="G523" s="493" t="s">
        <v>7911</v>
      </c>
      <c r="H523" s="493" t="s">
        <v>7890</v>
      </c>
      <c r="I523" s="501" t="s">
        <v>7895</v>
      </c>
    </row>
    <row r="524" spans="1:9" ht="14.45">
      <c r="A524" s="493">
        <v>90249</v>
      </c>
      <c r="B524" s="493" t="s">
        <v>2955</v>
      </c>
      <c r="C524" s="493" t="s">
        <v>3674</v>
      </c>
      <c r="D524" s="493" t="s">
        <v>2369</v>
      </c>
      <c r="E524" s="493" t="s">
        <v>6120</v>
      </c>
      <c r="F524" s="493" t="s">
        <v>6821</v>
      </c>
      <c r="G524" s="493" t="s">
        <v>7912</v>
      </c>
      <c r="H524" s="493" t="s">
        <v>7890</v>
      </c>
      <c r="I524" s="501" t="s">
        <v>7895</v>
      </c>
    </row>
    <row r="525" spans="1:9" ht="14.45">
      <c r="A525" s="493">
        <v>90250</v>
      </c>
      <c r="B525" s="493" t="s">
        <v>2963</v>
      </c>
      <c r="C525" s="493" t="s">
        <v>3674</v>
      </c>
      <c r="D525" s="493" t="s">
        <v>2369</v>
      </c>
      <c r="E525" s="493" t="s">
        <v>6120</v>
      </c>
      <c r="F525" s="493" t="s">
        <v>6821</v>
      </c>
      <c r="G525" s="493" t="s">
        <v>7913</v>
      </c>
      <c r="H525" s="493" t="s">
        <v>7902</v>
      </c>
      <c r="I525" s="501" t="s">
        <v>7895</v>
      </c>
    </row>
    <row r="526" spans="1:9" ht="14.45">
      <c r="A526" s="493">
        <v>90251</v>
      </c>
      <c r="B526" s="493" t="s">
        <v>2961</v>
      </c>
      <c r="C526" s="493" t="s">
        <v>3674</v>
      </c>
      <c r="D526" s="493" t="s">
        <v>2369</v>
      </c>
      <c r="E526" s="493" t="s">
        <v>6120</v>
      </c>
      <c r="F526" s="493" t="s">
        <v>6821</v>
      </c>
      <c r="G526" s="493" t="s">
        <v>7914</v>
      </c>
      <c r="H526" s="493" t="s">
        <v>7902</v>
      </c>
      <c r="I526" s="501" t="s">
        <v>7895</v>
      </c>
    </row>
    <row r="527" spans="1:9" ht="14.45">
      <c r="A527" s="493">
        <v>90252</v>
      </c>
      <c r="B527" s="493" t="s">
        <v>2969</v>
      </c>
      <c r="C527" s="493" t="s">
        <v>3659</v>
      </c>
      <c r="D527" s="493" t="s">
        <v>2369</v>
      </c>
      <c r="E527" s="493" t="s">
        <v>6120</v>
      </c>
      <c r="F527" s="493" t="s">
        <v>6821</v>
      </c>
      <c r="G527" s="493" t="s">
        <v>7915</v>
      </c>
      <c r="H527" s="493" t="s">
        <v>7902</v>
      </c>
      <c r="I527" s="501" t="s">
        <v>7895</v>
      </c>
    </row>
    <row r="528" spans="1:9" ht="14.45">
      <c r="A528" s="493">
        <v>90915</v>
      </c>
      <c r="B528" s="493" t="s">
        <v>2923</v>
      </c>
      <c r="C528" s="493" t="s">
        <v>3674</v>
      </c>
      <c r="D528" s="493" t="s">
        <v>2369</v>
      </c>
      <c r="E528" s="493" t="s">
        <v>6120</v>
      </c>
      <c r="F528" s="493" t="s">
        <v>6821</v>
      </c>
      <c r="G528" s="493" t="s">
        <v>7916</v>
      </c>
      <c r="H528" s="493" t="s">
        <v>7917</v>
      </c>
      <c r="I528" s="501" t="s">
        <v>7918</v>
      </c>
    </row>
    <row r="529" spans="1:9" ht="14.45">
      <c r="A529" s="493">
        <v>90356</v>
      </c>
      <c r="B529" s="493" t="s">
        <v>2610</v>
      </c>
      <c r="C529" s="493" t="s">
        <v>3674</v>
      </c>
      <c r="D529" s="493" t="s">
        <v>2369</v>
      </c>
      <c r="E529" s="493" t="s">
        <v>846</v>
      </c>
      <c r="F529" s="493" t="s">
        <v>6821</v>
      </c>
      <c r="G529" s="493" t="s">
        <v>7919</v>
      </c>
      <c r="H529" s="493" t="s">
        <v>7920</v>
      </c>
      <c r="I529" s="501" t="s">
        <v>7921</v>
      </c>
    </row>
    <row r="530" spans="1:9" ht="14.45">
      <c r="A530" s="493">
        <v>90357</v>
      </c>
      <c r="B530" s="493" t="s">
        <v>7922</v>
      </c>
      <c r="C530" s="493" t="s">
        <v>3674</v>
      </c>
      <c r="D530" s="493" t="s">
        <v>2369</v>
      </c>
      <c r="E530" s="493" t="s">
        <v>846</v>
      </c>
      <c r="F530" s="493" t="s">
        <v>6821</v>
      </c>
      <c r="G530" s="493" t="s">
        <v>7923</v>
      </c>
      <c r="H530" s="493" t="s">
        <v>7920</v>
      </c>
      <c r="I530" s="501" t="s">
        <v>7921</v>
      </c>
    </row>
    <row r="531" spans="1:9" ht="14.45">
      <c r="A531" s="493">
        <v>90755</v>
      </c>
      <c r="B531" s="493" t="s">
        <v>7924</v>
      </c>
      <c r="C531" s="493" t="s">
        <v>3674</v>
      </c>
      <c r="D531" s="493" t="s">
        <v>2369</v>
      </c>
      <c r="E531" s="493" t="s">
        <v>846</v>
      </c>
      <c r="F531" s="493" t="s">
        <v>6821</v>
      </c>
      <c r="G531" s="493" t="s">
        <v>7925</v>
      </c>
      <c r="H531" s="493" t="s">
        <v>7920</v>
      </c>
      <c r="I531" s="501" t="s">
        <v>7926</v>
      </c>
    </row>
    <row r="532" spans="1:9" ht="14.45">
      <c r="A532" s="493">
        <v>91221</v>
      </c>
      <c r="B532" s="493" t="s">
        <v>7927</v>
      </c>
      <c r="C532" s="493" t="s">
        <v>3659</v>
      </c>
      <c r="D532" s="493" t="s">
        <v>2369</v>
      </c>
      <c r="E532" s="493" t="s">
        <v>846</v>
      </c>
      <c r="F532" s="493" t="s">
        <v>6821</v>
      </c>
      <c r="G532" s="493" t="s">
        <v>7928</v>
      </c>
      <c r="H532" s="493" t="s">
        <v>7920</v>
      </c>
      <c r="I532" s="501" t="s">
        <v>7926</v>
      </c>
    </row>
    <row r="533" spans="1:9" ht="14.45">
      <c r="A533" s="493">
        <v>90348</v>
      </c>
      <c r="B533" s="493" t="s">
        <v>7929</v>
      </c>
      <c r="C533" s="493" t="s">
        <v>3674</v>
      </c>
      <c r="D533" s="493" t="s">
        <v>2369</v>
      </c>
      <c r="E533" s="493" t="s">
        <v>47</v>
      </c>
      <c r="F533" s="493" t="s">
        <v>6821</v>
      </c>
      <c r="G533" s="493" t="s">
        <v>7930</v>
      </c>
      <c r="H533" s="493" t="s">
        <v>7931</v>
      </c>
      <c r="I533" s="501" t="s">
        <v>7932</v>
      </c>
    </row>
    <row r="534" spans="1:9" ht="14.45">
      <c r="A534" s="493">
        <v>90347</v>
      </c>
      <c r="B534" s="493" t="s">
        <v>7933</v>
      </c>
      <c r="C534" s="493" t="s">
        <v>3674</v>
      </c>
      <c r="D534" s="493" t="s">
        <v>2369</v>
      </c>
      <c r="E534" s="493" t="s">
        <v>47</v>
      </c>
      <c r="F534" s="493" t="s">
        <v>6821</v>
      </c>
      <c r="G534" s="493" t="s">
        <v>7934</v>
      </c>
      <c r="H534" s="493" t="s">
        <v>7931</v>
      </c>
      <c r="I534" s="501" t="s">
        <v>7932</v>
      </c>
    </row>
    <row r="535" spans="1:9" ht="14.45">
      <c r="A535" s="493">
        <v>90346</v>
      </c>
      <c r="B535" s="493" t="s">
        <v>7935</v>
      </c>
      <c r="C535" s="493" t="s">
        <v>3674</v>
      </c>
      <c r="D535" s="493" t="s">
        <v>2369</v>
      </c>
      <c r="E535" s="493" t="s">
        <v>47</v>
      </c>
      <c r="F535" s="493" t="s">
        <v>6821</v>
      </c>
      <c r="G535" s="493" t="s">
        <v>7936</v>
      </c>
      <c r="H535" s="493" t="s">
        <v>7931</v>
      </c>
      <c r="I535" s="501" t="s">
        <v>7932</v>
      </c>
    </row>
    <row r="536" spans="1:9" ht="14.45">
      <c r="A536" s="493">
        <v>90345</v>
      </c>
      <c r="B536" s="493" t="s">
        <v>7937</v>
      </c>
      <c r="C536" s="493" t="s">
        <v>3674</v>
      </c>
      <c r="D536" s="493" t="s">
        <v>2369</v>
      </c>
      <c r="E536" s="493" t="s">
        <v>47</v>
      </c>
      <c r="F536" s="493" t="s">
        <v>6821</v>
      </c>
      <c r="G536" s="493" t="s">
        <v>7938</v>
      </c>
      <c r="H536" s="493" t="s">
        <v>7931</v>
      </c>
      <c r="I536" s="501" t="s">
        <v>7932</v>
      </c>
    </row>
    <row r="537" spans="1:9" ht="14.45">
      <c r="A537" s="493">
        <v>90344</v>
      </c>
      <c r="B537" s="493" t="s">
        <v>7939</v>
      </c>
      <c r="C537" s="493" t="s">
        <v>3674</v>
      </c>
      <c r="D537" s="493" t="s">
        <v>2369</v>
      </c>
      <c r="E537" s="493" t="s">
        <v>47</v>
      </c>
      <c r="F537" s="493" t="s">
        <v>6821</v>
      </c>
      <c r="G537" s="493" t="s">
        <v>7940</v>
      </c>
      <c r="H537" s="493" t="s">
        <v>7931</v>
      </c>
      <c r="I537" s="501" t="s">
        <v>7932</v>
      </c>
    </row>
    <row r="538" spans="1:9" ht="14.45">
      <c r="A538" s="493">
        <v>90343</v>
      </c>
      <c r="B538" s="493" t="s">
        <v>7941</v>
      </c>
      <c r="C538" s="493" t="s">
        <v>3674</v>
      </c>
      <c r="D538" s="493" t="s">
        <v>2369</v>
      </c>
      <c r="E538" s="493" t="s">
        <v>47</v>
      </c>
      <c r="F538" s="493" t="s">
        <v>6821</v>
      </c>
      <c r="G538" s="493" t="s">
        <v>7942</v>
      </c>
      <c r="H538" s="493" t="s">
        <v>7943</v>
      </c>
      <c r="I538" s="501" t="s">
        <v>7944</v>
      </c>
    </row>
    <row r="539" spans="1:9" ht="14.45">
      <c r="A539" s="493">
        <v>90342</v>
      </c>
      <c r="B539" s="493" t="s">
        <v>7945</v>
      </c>
      <c r="C539" s="493" t="s">
        <v>3674</v>
      </c>
      <c r="D539" s="493" t="s">
        <v>2369</v>
      </c>
      <c r="E539" s="493" t="s">
        <v>47</v>
      </c>
      <c r="F539" s="493" t="s">
        <v>6821</v>
      </c>
      <c r="G539" s="493" t="s">
        <v>7946</v>
      </c>
      <c r="H539" s="493" t="s">
        <v>7943</v>
      </c>
      <c r="I539" s="501" t="s">
        <v>7944</v>
      </c>
    </row>
    <row r="540" spans="1:9" ht="14.45">
      <c r="A540" s="493">
        <v>90919</v>
      </c>
      <c r="B540" s="493" t="s">
        <v>7947</v>
      </c>
      <c r="C540" s="493" t="s">
        <v>3674</v>
      </c>
      <c r="D540" s="493" t="s">
        <v>2369</v>
      </c>
      <c r="E540" s="493" t="s">
        <v>7948</v>
      </c>
      <c r="F540" s="493" t="s">
        <v>6821</v>
      </c>
      <c r="G540" s="493" t="s">
        <v>7949</v>
      </c>
      <c r="H540" s="493" t="s">
        <v>7950</v>
      </c>
      <c r="I540" s="501" t="s">
        <v>7951</v>
      </c>
    </row>
    <row r="541" spans="1:9" ht="14.45">
      <c r="A541" s="493">
        <v>91444</v>
      </c>
      <c r="B541" s="493" t="s">
        <v>7952</v>
      </c>
      <c r="C541" s="493" t="s">
        <v>3674</v>
      </c>
      <c r="D541" s="493" t="s">
        <v>2369</v>
      </c>
      <c r="E541" s="493" t="s">
        <v>7948</v>
      </c>
      <c r="F541" s="493" t="s">
        <v>6821</v>
      </c>
      <c r="G541" s="493" t="s">
        <v>7953</v>
      </c>
      <c r="H541" s="493" t="s">
        <v>7950</v>
      </c>
      <c r="I541" s="501" t="s">
        <v>7951</v>
      </c>
    </row>
    <row r="542" spans="1:9" ht="14.45">
      <c r="A542" s="493">
        <v>90169</v>
      </c>
      <c r="B542" s="493" t="s">
        <v>7954</v>
      </c>
      <c r="C542" s="493" t="s">
        <v>3674</v>
      </c>
      <c r="D542" s="493" t="s">
        <v>2369</v>
      </c>
      <c r="E542" s="493" t="s">
        <v>7955</v>
      </c>
      <c r="F542" s="493" t="s">
        <v>6821</v>
      </c>
      <c r="G542" s="493" t="s">
        <v>7956</v>
      </c>
      <c r="H542" s="493" t="s">
        <v>7957</v>
      </c>
      <c r="I542" s="501" t="s">
        <v>7958</v>
      </c>
    </row>
    <row r="543" spans="1:9" ht="14.45">
      <c r="A543" s="493">
        <v>91216</v>
      </c>
      <c r="B543" s="493" t="s">
        <v>7959</v>
      </c>
      <c r="C543" s="493" t="s">
        <v>3659</v>
      </c>
      <c r="D543" s="493" t="s">
        <v>2369</v>
      </c>
      <c r="E543" s="493" t="s">
        <v>7955</v>
      </c>
      <c r="F543" s="493" t="s">
        <v>6821</v>
      </c>
      <c r="G543" s="493" t="s">
        <v>7960</v>
      </c>
      <c r="H543" s="493" t="s">
        <v>7957</v>
      </c>
      <c r="I543" s="501" t="s">
        <v>7958</v>
      </c>
    </row>
    <row r="544" spans="1:9" ht="14.45">
      <c r="A544" s="493">
        <v>90162</v>
      </c>
      <c r="B544" s="493" t="s">
        <v>7961</v>
      </c>
      <c r="C544" s="493" t="s">
        <v>3674</v>
      </c>
      <c r="D544" s="493" t="s">
        <v>2369</v>
      </c>
      <c r="E544" s="493" t="s">
        <v>52</v>
      </c>
      <c r="F544" s="493" t="s">
        <v>6821</v>
      </c>
      <c r="G544" s="493" t="s">
        <v>7962</v>
      </c>
      <c r="H544" s="493" t="s">
        <v>7963</v>
      </c>
      <c r="I544" s="501" t="s">
        <v>7964</v>
      </c>
    </row>
    <row r="545" spans="1:9" ht="14.45">
      <c r="A545" s="493">
        <v>91217</v>
      </c>
      <c r="B545" s="493" t="s">
        <v>7965</v>
      </c>
      <c r="C545" s="493" t="s">
        <v>3659</v>
      </c>
      <c r="D545" s="493" t="s">
        <v>2369</v>
      </c>
      <c r="E545" s="493" t="s">
        <v>52</v>
      </c>
      <c r="F545" s="493" t="s">
        <v>6821</v>
      </c>
      <c r="G545" s="493" t="s">
        <v>7966</v>
      </c>
      <c r="H545" s="493" t="s">
        <v>7963</v>
      </c>
      <c r="I545" s="501" t="s">
        <v>7964</v>
      </c>
    </row>
    <row r="546" spans="1:9" ht="14.45">
      <c r="A546" s="493">
        <v>90920</v>
      </c>
      <c r="B546" s="493" t="s">
        <v>3072</v>
      </c>
      <c r="C546" s="493" t="s">
        <v>3674</v>
      </c>
      <c r="D546" s="493" t="s">
        <v>2369</v>
      </c>
      <c r="E546" s="493" t="s">
        <v>47</v>
      </c>
      <c r="F546" s="493" t="s">
        <v>6821</v>
      </c>
      <c r="G546" s="493" t="s">
        <v>7967</v>
      </c>
      <c r="H546" s="493" t="s">
        <v>7968</v>
      </c>
      <c r="I546" s="501" t="s">
        <v>7969</v>
      </c>
    </row>
    <row r="547" spans="1:9" ht="14.45">
      <c r="A547" s="493">
        <v>90353</v>
      </c>
      <c r="B547" s="493" t="s">
        <v>3055</v>
      </c>
      <c r="C547" s="493" t="s">
        <v>3674</v>
      </c>
      <c r="D547" s="493" t="s">
        <v>2369</v>
      </c>
      <c r="E547" s="493" t="s">
        <v>47</v>
      </c>
      <c r="F547" s="493" t="s">
        <v>6906</v>
      </c>
      <c r="G547" s="493" t="s">
        <v>7970</v>
      </c>
      <c r="H547" s="493" t="s">
        <v>7968</v>
      </c>
      <c r="I547" s="501" t="s">
        <v>7971</v>
      </c>
    </row>
    <row r="548" spans="1:9" ht="14.45">
      <c r="A548" s="493">
        <v>90326</v>
      </c>
      <c r="B548" s="493" t="s">
        <v>3053</v>
      </c>
      <c r="C548" s="493" t="s">
        <v>3674</v>
      </c>
      <c r="D548" s="493" t="s">
        <v>2369</v>
      </c>
      <c r="E548" s="493" t="s">
        <v>47</v>
      </c>
      <c r="F548" s="493" t="s">
        <v>6821</v>
      </c>
      <c r="G548" s="493" t="s">
        <v>7972</v>
      </c>
      <c r="H548" s="493" t="s">
        <v>7968</v>
      </c>
      <c r="I548" s="501" t="s">
        <v>7971</v>
      </c>
    </row>
    <row r="549" spans="1:9" ht="14.45">
      <c r="A549" s="493">
        <v>90325</v>
      </c>
      <c r="B549" s="493" t="s">
        <v>3057</v>
      </c>
      <c r="C549" s="493" t="s">
        <v>3674</v>
      </c>
      <c r="D549" s="493" t="s">
        <v>2369</v>
      </c>
      <c r="E549" s="493" t="s">
        <v>47</v>
      </c>
      <c r="F549" s="493" t="s">
        <v>6821</v>
      </c>
      <c r="G549" s="493" t="s">
        <v>7973</v>
      </c>
      <c r="H549" s="493" t="s">
        <v>7968</v>
      </c>
      <c r="I549" s="501" t="s">
        <v>7971</v>
      </c>
    </row>
    <row r="550" spans="1:9" ht="14.45">
      <c r="A550" s="493">
        <v>90324</v>
      </c>
      <c r="B550" s="493" t="s">
        <v>3056</v>
      </c>
      <c r="C550" s="493" t="s">
        <v>3674</v>
      </c>
      <c r="D550" s="493" t="s">
        <v>2369</v>
      </c>
      <c r="E550" s="493" t="s">
        <v>47</v>
      </c>
      <c r="F550" s="493" t="s">
        <v>6821</v>
      </c>
      <c r="G550" s="493" t="s">
        <v>7974</v>
      </c>
      <c r="H550" s="493" t="s">
        <v>7968</v>
      </c>
      <c r="I550" s="501" t="s">
        <v>7971</v>
      </c>
    </row>
    <row r="551" spans="1:9" ht="14.45">
      <c r="A551" s="493">
        <v>90414</v>
      </c>
      <c r="B551" s="493" t="s">
        <v>3050</v>
      </c>
      <c r="C551" s="493" t="s">
        <v>3674</v>
      </c>
      <c r="D551" s="493" t="s">
        <v>2369</v>
      </c>
      <c r="E551" s="493" t="s">
        <v>47</v>
      </c>
      <c r="F551" s="493" t="s">
        <v>6821</v>
      </c>
      <c r="G551" s="493" t="s">
        <v>7975</v>
      </c>
      <c r="H551" s="493" t="s">
        <v>7968</v>
      </c>
      <c r="I551" s="501" t="s">
        <v>7976</v>
      </c>
    </row>
    <row r="552" spans="1:9" ht="14.45">
      <c r="A552" s="493">
        <v>90383</v>
      </c>
      <c r="B552" s="493" t="s">
        <v>3064</v>
      </c>
      <c r="C552" s="493" t="s">
        <v>3674</v>
      </c>
      <c r="D552" s="493" t="s">
        <v>2369</v>
      </c>
      <c r="E552" s="493" t="s">
        <v>47</v>
      </c>
      <c r="F552" s="493" t="s">
        <v>6821</v>
      </c>
      <c r="G552" s="493" t="s">
        <v>7977</v>
      </c>
      <c r="H552" s="493" t="s">
        <v>7968</v>
      </c>
      <c r="I552" s="501" t="s">
        <v>7976</v>
      </c>
    </row>
    <row r="553" spans="1:9" ht="14.45">
      <c r="A553" s="493">
        <v>90382</v>
      </c>
      <c r="B553" s="493" t="s">
        <v>3058</v>
      </c>
      <c r="C553" s="493" t="s">
        <v>3674</v>
      </c>
      <c r="D553" s="493" t="s">
        <v>2369</v>
      </c>
      <c r="E553" s="493" t="s">
        <v>47</v>
      </c>
      <c r="F553" s="493" t="s">
        <v>6821</v>
      </c>
      <c r="G553" s="493" t="s">
        <v>7978</v>
      </c>
      <c r="H553" s="493" t="s">
        <v>7968</v>
      </c>
      <c r="I553" s="501" t="s">
        <v>7979</v>
      </c>
    </row>
    <row r="554" spans="1:9" ht="14.45">
      <c r="A554" s="493">
        <v>90351</v>
      </c>
      <c r="B554" s="493" t="s">
        <v>3060</v>
      </c>
      <c r="C554" s="493" t="s">
        <v>3674</v>
      </c>
      <c r="D554" s="493" t="s">
        <v>2369</v>
      </c>
      <c r="E554" s="493" t="s">
        <v>47</v>
      </c>
      <c r="F554" s="493" t="s">
        <v>6906</v>
      </c>
      <c r="G554" s="493" t="s">
        <v>7980</v>
      </c>
      <c r="H554" s="493" t="s">
        <v>7968</v>
      </c>
      <c r="I554" s="501" t="s">
        <v>7981</v>
      </c>
    </row>
    <row r="555" spans="1:9" ht="14.45">
      <c r="A555" s="493">
        <v>90352</v>
      </c>
      <c r="B555" s="493" t="s">
        <v>3048</v>
      </c>
      <c r="C555" s="493" t="s">
        <v>3674</v>
      </c>
      <c r="D555" s="493" t="s">
        <v>2369</v>
      </c>
      <c r="E555" s="493" t="s">
        <v>47</v>
      </c>
      <c r="F555" s="493" t="s">
        <v>6821</v>
      </c>
      <c r="G555" s="493" t="s">
        <v>7982</v>
      </c>
      <c r="H555" s="493" t="s">
        <v>7968</v>
      </c>
      <c r="I555" s="501" t="s">
        <v>7981</v>
      </c>
    </row>
    <row r="556" spans="1:9" ht="14.45">
      <c r="A556" s="493">
        <v>90272</v>
      </c>
      <c r="B556" s="493" t="s">
        <v>2996</v>
      </c>
      <c r="C556" s="493" t="s">
        <v>3674</v>
      </c>
      <c r="D556" s="493" t="s">
        <v>2369</v>
      </c>
      <c r="E556" s="493" t="s">
        <v>6120</v>
      </c>
      <c r="F556" s="493" t="s">
        <v>6821</v>
      </c>
      <c r="G556" s="493" t="s">
        <v>7983</v>
      </c>
      <c r="H556" s="493" t="s">
        <v>7968</v>
      </c>
      <c r="I556" s="501" t="s">
        <v>7984</v>
      </c>
    </row>
    <row r="557" spans="1:9" ht="14.45">
      <c r="A557" s="493">
        <v>90359</v>
      </c>
      <c r="B557" s="493" t="s">
        <v>7985</v>
      </c>
      <c r="C557" s="493" t="s">
        <v>3674</v>
      </c>
      <c r="D557" s="493" t="s">
        <v>2369</v>
      </c>
      <c r="E557" s="493" t="s">
        <v>47</v>
      </c>
      <c r="F557" s="493" t="s">
        <v>6906</v>
      </c>
      <c r="G557" s="493" t="s">
        <v>7986</v>
      </c>
      <c r="H557" s="493" t="s">
        <v>7987</v>
      </c>
      <c r="I557" s="501" t="s">
        <v>7988</v>
      </c>
    </row>
    <row r="558" spans="1:9" ht="14.45">
      <c r="A558" s="493">
        <v>90360</v>
      </c>
      <c r="B558" s="493" t="s">
        <v>7989</v>
      </c>
      <c r="C558" s="493" t="s">
        <v>3674</v>
      </c>
      <c r="D558" s="493" t="s">
        <v>2369</v>
      </c>
      <c r="E558" s="493" t="s">
        <v>47</v>
      </c>
      <c r="F558" s="493" t="s">
        <v>6821</v>
      </c>
      <c r="G558" s="493" t="s">
        <v>7990</v>
      </c>
      <c r="H558" s="493" t="s">
        <v>7987</v>
      </c>
      <c r="I558" s="501" t="s">
        <v>7988</v>
      </c>
    </row>
    <row r="559" spans="1:9" ht="14.45">
      <c r="A559" s="493">
        <v>90361</v>
      </c>
      <c r="B559" s="493" t="s">
        <v>7991</v>
      </c>
      <c r="C559" s="493" t="s">
        <v>3674</v>
      </c>
      <c r="D559" s="493" t="s">
        <v>2369</v>
      </c>
      <c r="E559" s="493" t="s">
        <v>47</v>
      </c>
      <c r="F559" s="493" t="s">
        <v>6821</v>
      </c>
      <c r="G559" s="493" t="s">
        <v>7992</v>
      </c>
      <c r="H559" s="493" t="s">
        <v>7987</v>
      </c>
      <c r="I559" s="501" t="s">
        <v>7988</v>
      </c>
    </row>
    <row r="560" spans="1:9" ht="14.45">
      <c r="A560" s="493">
        <v>90362</v>
      </c>
      <c r="B560" s="493" t="s">
        <v>7993</v>
      </c>
      <c r="C560" s="493" t="s">
        <v>3674</v>
      </c>
      <c r="D560" s="493" t="s">
        <v>2369</v>
      </c>
      <c r="E560" s="493" t="s">
        <v>47</v>
      </c>
      <c r="F560" s="493" t="s">
        <v>6821</v>
      </c>
      <c r="G560" s="493" t="s">
        <v>7994</v>
      </c>
      <c r="H560" s="493" t="s">
        <v>7995</v>
      </c>
      <c r="I560" s="501" t="s">
        <v>7988</v>
      </c>
    </row>
    <row r="561" spans="1:9" ht="14.45">
      <c r="A561" s="493">
        <v>90363</v>
      </c>
      <c r="B561" s="493" t="s">
        <v>7996</v>
      </c>
      <c r="C561" s="493" t="s">
        <v>3674</v>
      </c>
      <c r="D561" s="493" t="s">
        <v>2369</v>
      </c>
      <c r="E561" s="493" t="s">
        <v>47</v>
      </c>
      <c r="F561" s="493" t="s">
        <v>6821</v>
      </c>
      <c r="G561" s="493" t="s">
        <v>7997</v>
      </c>
      <c r="H561" s="493" t="s">
        <v>7995</v>
      </c>
      <c r="I561" s="501" t="s">
        <v>7988</v>
      </c>
    </row>
    <row r="562" spans="1:9" ht="14.45">
      <c r="A562" s="493">
        <v>90364</v>
      </c>
      <c r="B562" s="493" t="s">
        <v>7998</v>
      </c>
      <c r="C562" s="493" t="s">
        <v>3674</v>
      </c>
      <c r="D562" s="493" t="s">
        <v>2369</v>
      </c>
      <c r="E562" s="493" t="s">
        <v>47</v>
      </c>
      <c r="F562" s="493" t="s">
        <v>6906</v>
      </c>
      <c r="G562" s="493" t="s">
        <v>7999</v>
      </c>
      <c r="H562" s="493" t="s">
        <v>8000</v>
      </c>
      <c r="I562" s="501" t="s">
        <v>7988</v>
      </c>
    </row>
    <row r="563" spans="1:9" ht="14.45">
      <c r="A563" s="493">
        <v>90365</v>
      </c>
      <c r="B563" s="493" t="s">
        <v>8001</v>
      </c>
      <c r="C563" s="493" t="s">
        <v>3674</v>
      </c>
      <c r="D563" s="493" t="s">
        <v>2369</v>
      </c>
      <c r="E563" s="493" t="s">
        <v>47</v>
      </c>
      <c r="F563" s="493" t="s">
        <v>6821</v>
      </c>
      <c r="G563" s="493" t="s">
        <v>8002</v>
      </c>
      <c r="H563" s="493" t="s">
        <v>8000</v>
      </c>
      <c r="I563" s="501" t="s">
        <v>7988</v>
      </c>
    </row>
    <row r="564" spans="1:9" ht="14.45">
      <c r="A564" s="493">
        <v>90366</v>
      </c>
      <c r="B564" s="493" t="s">
        <v>8003</v>
      </c>
      <c r="C564" s="493" t="s">
        <v>3659</v>
      </c>
      <c r="D564" s="493" t="s">
        <v>2369</v>
      </c>
      <c r="E564" s="493" t="s">
        <v>47</v>
      </c>
      <c r="F564" s="493" t="s">
        <v>6821</v>
      </c>
      <c r="G564" s="493" t="s">
        <v>8004</v>
      </c>
      <c r="H564" s="493" t="s">
        <v>8000</v>
      </c>
      <c r="I564" s="501" t="s">
        <v>7988</v>
      </c>
    </row>
    <row r="565" spans="1:9" ht="14.45">
      <c r="A565" s="493">
        <v>90367</v>
      </c>
      <c r="B565" s="493" t="s">
        <v>8005</v>
      </c>
      <c r="C565" s="493" t="s">
        <v>3674</v>
      </c>
      <c r="D565" s="493" t="s">
        <v>2369</v>
      </c>
      <c r="E565" s="493" t="s">
        <v>47</v>
      </c>
      <c r="F565" s="493" t="s">
        <v>6906</v>
      </c>
      <c r="G565" s="493" t="s">
        <v>8006</v>
      </c>
      <c r="H565" s="493" t="s">
        <v>8007</v>
      </c>
      <c r="I565" s="501" t="s">
        <v>8008</v>
      </c>
    </row>
    <row r="566" spans="1:9" ht="14.45">
      <c r="A566" s="493">
        <v>90368</v>
      </c>
      <c r="B566" s="493" t="s">
        <v>8009</v>
      </c>
      <c r="C566" s="493" t="s">
        <v>3674</v>
      </c>
      <c r="D566" s="493" t="s">
        <v>2369</v>
      </c>
      <c r="E566" s="493" t="s">
        <v>47</v>
      </c>
      <c r="F566" s="493" t="s">
        <v>6821</v>
      </c>
      <c r="G566" s="493" t="s">
        <v>8010</v>
      </c>
      <c r="H566" s="493" t="s">
        <v>8007</v>
      </c>
      <c r="I566" s="501" t="s">
        <v>8008</v>
      </c>
    </row>
    <row r="567" spans="1:9" ht="14.45">
      <c r="A567" s="493">
        <v>90369</v>
      </c>
      <c r="B567" s="493" t="s">
        <v>8011</v>
      </c>
      <c r="C567" s="493" t="s">
        <v>3674</v>
      </c>
      <c r="D567" s="493" t="s">
        <v>2369</v>
      </c>
      <c r="E567" s="493" t="s">
        <v>47</v>
      </c>
      <c r="F567" s="493" t="s">
        <v>6821</v>
      </c>
      <c r="G567" s="493" t="s">
        <v>8012</v>
      </c>
      <c r="H567" s="493" t="s">
        <v>8007</v>
      </c>
      <c r="I567" s="501" t="s">
        <v>8008</v>
      </c>
    </row>
    <row r="568" spans="1:9" ht="14.45">
      <c r="A568" s="493">
        <v>90370</v>
      </c>
      <c r="B568" s="493" t="s">
        <v>8013</v>
      </c>
      <c r="C568" s="493" t="s">
        <v>3674</v>
      </c>
      <c r="D568" s="493" t="s">
        <v>2369</v>
      </c>
      <c r="E568" s="493" t="s">
        <v>47</v>
      </c>
      <c r="F568" s="493" t="s">
        <v>6821</v>
      </c>
      <c r="G568" s="493" t="s">
        <v>8014</v>
      </c>
      <c r="H568" s="493" t="s">
        <v>8007</v>
      </c>
      <c r="I568" s="501" t="s">
        <v>8008</v>
      </c>
    </row>
    <row r="569" spans="1:9" ht="14.45">
      <c r="A569" s="493">
        <v>90371</v>
      </c>
      <c r="B569" s="493" t="s">
        <v>8015</v>
      </c>
      <c r="C569" s="493" t="s">
        <v>3674</v>
      </c>
      <c r="D569" s="493" t="s">
        <v>2369</v>
      </c>
      <c r="E569" s="493" t="s">
        <v>47</v>
      </c>
      <c r="F569" s="493" t="s">
        <v>6821</v>
      </c>
      <c r="G569" s="493" t="s">
        <v>8016</v>
      </c>
      <c r="H569" s="493" t="s">
        <v>8007</v>
      </c>
      <c r="I569" s="501" t="s">
        <v>8008</v>
      </c>
    </row>
    <row r="570" spans="1:9" ht="14.45">
      <c r="A570" s="493">
        <v>91452</v>
      </c>
      <c r="B570" s="493" t="s">
        <v>8017</v>
      </c>
      <c r="C570" s="493" t="s">
        <v>3674</v>
      </c>
      <c r="D570" s="493" t="s">
        <v>2369</v>
      </c>
      <c r="E570" s="493" t="s">
        <v>47</v>
      </c>
      <c r="F570" s="493" t="s">
        <v>6821</v>
      </c>
      <c r="G570" s="493" t="s">
        <v>8018</v>
      </c>
      <c r="H570" s="493" t="s">
        <v>8019</v>
      </c>
      <c r="I570" s="501" t="s">
        <v>8020</v>
      </c>
    </row>
    <row r="571" spans="1:9" ht="14.45">
      <c r="A571" s="493">
        <v>91453</v>
      </c>
      <c r="B571" s="493" t="s">
        <v>8021</v>
      </c>
      <c r="C571" s="493" t="s">
        <v>3674</v>
      </c>
      <c r="D571" s="493" t="s">
        <v>2369</v>
      </c>
      <c r="E571" s="493" t="s">
        <v>47</v>
      </c>
      <c r="F571" s="493" t="s">
        <v>6821</v>
      </c>
      <c r="G571" s="493" t="s">
        <v>8022</v>
      </c>
      <c r="H571" s="493" t="s">
        <v>8019</v>
      </c>
      <c r="I571" s="501" t="s">
        <v>8020</v>
      </c>
    </row>
    <row r="572" spans="1:9" ht="14.45">
      <c r="A572" s="493">
        <v>91454</v>
      </c>
      <c r="B572" s="493" t="s">
        <v>8023</v>
      </c>
      <c r="C572" s="493" t="s">
        <v>3674</v>
      </c>
      <c r="D572" s="493" t="s">
        <v>2369</v>
      </c>
      <c r="E572" s="493" t="s">
        <v>47</v>
      </c>
      <c r="F572" s="493" t="s">
        <v>6821</v>
      </c>
      <c r="G572" s="493" t="s">
        <v>8024</v>
      </c>
      <c r="H572" s="493" t="s">
        <v>8019</v>
      </c>
      <c r="I572" s="501" t="s">
        <v>8020</v>
      </c>
    </row>
    <row r="573" spans="1:9" ht="14.45">
      <c r="A573" s="493">
        <v>90170</v>
      </c>
      <c r="B573" s="493" t="s">
        <v>8025</v>
      </c>
      <c r="C573" s="493" t="s">
        <v>3674</v>
      </c>
      <c r="D573" s="493" t="s">
        <v>2369</v>
      </c>
      <c r="E573" s="493" t="s">
        <v>7955</v>
      </c>
      <c r="F573" s="493" t="s">
        <v>6821</v>
      </c>
      <c r="G573" s="493" t="s">
        <v>8026</v>
      </c>
      <c r="H573" s="493" t="s">
        <v>8019</v>
      </c>
      <c r="I573" s="501" t="s">
        <v>7958</v>
      </c>
    </row>
    <row r="574" spans="1:9" ht="14.45">
      <c r="A574" s="493">
        <v>90441</v>
      </c>
      <c r="B574" s="493" t="s">
        <v>8027</v>
      </c>
      <c r="C574" s="493" t="s">
        <v>3674</v>
      </c>
      <c r="D574" s="493" t="s">
        <v>2369</v>
      </c>
      <c r="E574" s="493" t="s">
        <v>47</v>
      </c>
      <c r="F574" s="493" t="s">
        <v>6906</v>
      </c>
      <c r="G574" s="493" t="s">
        <v>8028</v>
      </c>
      <c r="H574" s="493" t="s">
        <v>8019</v>
      </c>
      <c r="I574" s="501" t="s">
        <v>7932</v>
      </c>
    </row>
    <row r="575" spans="1:9" ht="14.45">
      <c r="A575" s="493">
        <v>90350</v>
      </c>
      <c r="B575" s="493" t="s">
        <v>8029</v>
      </c>
      <c r="C575" s="493" t="s">
        <v>3674</v>
      </c>
      <c r="D575" s="493" t="s">
        <v>2369</v>
      </c>
      <c r="E575" s="493" t="s">
        <v>47</v>
      </c>
      <c r="F575" s="493" t="s">
        <v>6821</v>
      </c>
      <c r="G575" s="493" t="s">
        <v>8030</v>
      </c>
      <c r="H575" s="493" t="s">
        <v>8019</v>
      </c>
      <c r="I575" s="501" t="s">
        <v>7932</v>
      </c>
    </row>
    <row r="576" spans="1:9" ht="14.45">
      <c r="A576" s="493">
        <v>90349</v>
      </c>
      <c r="B576" s="493" t="s">
        <v>8031</v>
      </c>
      <c r="C576" s="493" t="s">
        <v>3659</v>
      </c>
      <c r="D576" s="493" t="s">
        <v>2369</v>
      </c>
      <c r="E576" s="493" t="s">
        <v>47</v>
      </c>
      <c r="F576" s="493" t="s">
        <v>6821</v>
      </c>
      <c r="G576" s="493" t="s">
        <v>8032</v>
      </c>
      <c r="H576" s="493" t="s">
        <v>8019</v>
      </c>
      <c r="I576" s="501" t="s">
        <v>7932</v>
      </c>
    </row>
    <row r="577" spans="1:9" ht="14.45">
      <c r="A577" s="493">
        <v>90449</v>
      </c>
      <c r="B577" s="493" t="s">
        <v>8033</v>
      </c>
      <c r="C577" s="493" t="s">
        <v>3674</v>
      </c>
      <c r="D577" s="493" t="s">
        <v>2369</v>
      </c>
      <c r="E577" s="493" t="s">
        <v>47</v>
      </c>
      <c r="F577" s="493" t="s">
        <v>6821</v>
      </c>
      <c r="G577" s="493" t="s">
        <v>8034</v>
      </c>
      <c r="H577" s="493" t="s">
        <v>8035</v>
      </c>
      <c r="I577" s="501" t="s">
        <v>8036</v>
      </c>
    </row>
    <row r="578" spans="1:9" ht="14.45">
      <c r="A578" s="493">
        <v>90108</v>
      </c>
      <c r="B578" s="493" t="s">
        <v>8037</v>
      </c>
      <c r="C578" s="493" t="s">
        <v>3674</v>
      </c>
      <c r="D578" s="493" t="s">
        <v>4215</v>
      </c>
      <c r="E578" s="493" t="s">
        <v>52</v>
      </c>
      <c r="F578" s="493" t="s">
        <v>6821</v>
      </c>
      <c r="G578" s="493" t="s">
        <v>8038</v>
      </c>
      <c r="H578" s="493" t="s">
        <v>8039</v>
      </c>
      <c r="I578" s="501" t="s">
        <v>8040</v>
      </c>
    </row>
    <row r="579" spans="1:9" ht="14.45">
      <c r="A579" s="493">
        <v>90107</v>
      </c>
      <c r="B579" s="493" t="s">
        <v>8041</v>
      </c>
      <c r="C579" s="493" t="s">
        <v>3674</v>
      </c>
      <c r="D579" s="493" t="s">
        <v>4215</v>
      </c>
      <c r="E579" s="493" t="s">
        <v>52</v>
      </c>
      <c r="F579" s="493" t="s">
        <v>6821</v>
      </c>
      <c r="G579" s="493" t="s">
        <v>8042</v>
      </c>
      <c r="H579" s="493" t="s">
        <v>8039</v>
      </c>
      <c r="I579" s="501" t="s">
        <v>8043</v>
      </c>
    </row>
    <row r="580" spans="1:9" ht="14.45">
      <c r="A580" s="493">
        <v>91128</v>
      </c>
      <c r="B580" s="493" t="s">
        <v>8044</v>
      </c>
      <c r="C580" s="493" t="s">
        <v>3659</v>
      </c>
      <c r="D580" s="493" t="s">
        <v>4215</v>
      </c>
      <c r="E580" s="493" t="s">
        <v>52</v>
      </c>
      <c r="F580" s="493" t="s">
        <v>6821</v>
      </c>
      <c r="G580" s="493" t="s">
        <v>8045</v>
      </c>
      <c r="H580" s="493" t="s">
        <v>8039</v>
      </c>
      <c r="I580" s="501" t="s">
        <v>8043</v>
      </c>
    </row>
    <row r="581" spans="1:9" ht="14.45">
      <c r="A581" s="493">
        <v>90935</v>
      </c>
      <c r="B581" s="494" t="s">
        <v>8046</v>
      </c>
      <c r="C581" s="493" t="s">
        <v>3674</v>
      </c>
      <c r="D581" s="493" t="s">
        <v>3911</v>
      </c>
      <c r="E581" s="493" t="s">
        <v>47</v>
      </c>
      <c r="F581" s="493" t="s">
        <v>6821</v>
      </c>
      <c r="G581" s="493" t="s">
        <v>8047</v>
      </c>
      <c r="H581" s="493" t="s">
        <v>8048</v>
      </c>
      <c r="I581" s="501" t="s">
        <v>8049</v>
      </c>
    </row>
    <row r="582" spans="1:9" ht="14.45">
      <c r="A582" s="493">
        <v>90934</v>
      </c>
      <c r="B582" s="493" t="s">
        <v>8050</v>
      </c>
      <c r="C582" s="493" t="s">
        <v>3674</v>
      </c>
      <c r="D582" s="493" t="s">
        <v>3911</v>
      </c>
      <c r="E582" s="493" t="s">
        <v>47</v>
      </c>
      <c r="F582" s="493" t="s">
        <v>6821</v>
      </c>
      <c r="G582" s="493" t="s">
        <v>8051</v>
      </c>
      <c r="H582" s="493" t="s">
        <v>8052</v>
      </c>
      <c r="I582" s="501" t="s">
        <v>8049</v>
      </c>
    </row>
    <row r="583" spans="1:9" ht="14.45">
      <c r="A583" s="493">
        <v>90931</v>
      </c>
      <c r="B583" s="493" t="s">
        <v>8053</v>
      </c>
      <c r="C583" s="493" t="s">
        <v>3674</v>
      </c>
      <c r="D583" s="493" t="s">
        <v>3911</v>
      </c>
      <c r="E583" s="493" t="s">
        <v>47</v>
      </c>
      <c r="F583" s="493" t="s">
        <v>6821</v>
      </c>
      <c r="G583" s="493" t="s">
        <v>8054</v>
      </c>
      <c r="H583" s="493" t="s">
        <v>8055</v>
      </c>
      <c r="I583" s="501" t="s">
        <v>8049</v>
      </c>
    </row>
    <row r="584" spans="1:9" ht="14.45">
      <c r="A584" s="493">
        <v>90932</v>
      </c>
      <c r="B584" s="493" t="s">
        <v>8056</v>
      </c>
      <c r="C584" s="493" t="s">
        <v>3659</v>
      </c>
      <c r="D584" s="493" t="s">
        <v>3911</v>
      </c>
      <c r="E584" s="493" t="s">
        <v>47</v>
      </c>
      <c r="F584" s="493" t="s">
        <v>6821</v>
      </c>
      <c r="G584" s="493" t="s">
        <v>8057</v>
      </c>
      <c r="H584" s="493" t="s">
        <v>8055</v>
      </c>
      <c r="I584" s="501" t="s">
        <v>8049</v>
      </c>
    </row>
    <row r="585" spans="1:9" ht="14.45">
      <c r="A585" s="493">
        <v>90327</v>
      </c>
      <c r="B585" s="494" t="s">
        <v>8058</v>
      </c>
      <c r="C585" s="493" t="s">
        <v>3674</v>
      </c>
      <c r="D585" s="493" t="s">
        <v>4784</v>
      </c>
      <c r="E585" s="493" t="s">
        <v>52</v>
      </c>
      <c r="F585" s="493" t="s">
        <v>6821</v>
      </c>
      <c r="G585" s="493" t="s">
        <v>8059</v>
      </c>
      <c r="H585" s="493" t="s">
        <v>8060</v>
      </c>
      <c r="I585" s="501" t="s">
        <v>8061</v>
      </c>
    </row>
    <row r="586" spans="1:9" ht="14.45">
      <c r="A586" s="493">
        <v>90328</v>
      </c>
      <c r="B586" s="494" t="s">
        <v>5877</v>
      </c>
      <c r="C586" s="493" t="s">
        <v>3674</v>
      </c>
      <c r="D586" s="493" t="s">
        <v>4102</v>
      </c>
      <c r="E586" s="493" t="s">
        <v>5878</v>
      </c>
      <c r="F586" s="493" t="s">
        <v>6821</v>
      </c>
      <c r="G586" s="493" t="s">
        <v>8062</v>
      </c>
      <c r="H586" s="493" t="s">
        <v>8063</v>
      </c>
      <c r="I586" s="501" t="s">
        <v>8064</v>
      </c>
    </row>
    <row r="587" spans="1:9" ht="14.45">
      <c r="A587" s="493">
        <v>91230</v>
      </c>
      <c r="B587" s="493" t="s">
        <v>5880</v>
      </c>
      <c r="C587" s="493" t="s">
        <v>3659</v>
      </c>
      <c r="D587" s="493" t="s">
        <v>4102</v>
      </c>
      <c r="E587" s="493" t="s">
        <v>5878</v>
      </c>
      <c r="F587" s="493" t="s">
        <v>6821</v>
      </c>
      <c r="G587" s="493" t="s">
        <v>8065</v>
      </c>
      <c r="H587" s="493" t="s">
        <v>8063</v>
      </c>
      <c r="I587" s="501" t="s">
        <v>8064</v>
      </c>
    </row>
    <row r="588" spans="1:9" ht="14.45">
      <c r="A588" s="493">
        <v>90106</v>
      </c>
      <c r="B588" s="493" t="s">
        <v>8066</v>
      </c>
      <c r="C588" s="493" t="s">
        <v>3674</v>
      </c>
      <c r="D588" s="493" t="s">
        <v>2369</v>
      </c>
      <c r="E588" s="493" t="s">
        <v>7843</v>
      </c>
      <c r="F588" s="493" t="s">
        <v>6821</v>
      </c>
      <c r="G588" s="493" t="s">
        <v>8067</v>
      </c>
      <c r="H588" s="493" t="s">
        <v>8068</v>
      </c>
      <c r="I588" s="501" t="s">
        <v>8069</v>
      </c>
    </row>
    <row r="589" spans="1:9" ht="14.45">
      <c r="A589" s="493">
        <v>90404</v>
      </c>
      <c r="B589" s="493" t="s">
        <v>8070</v>
      </c>
      <c r="C589" s="493" t="s">
        <v>3674</v>
      </c>
      <c r="D589" s="493" t="s">
        <v>3918</v>
      </c>
      <c r="E589" s="493" t="s">
        <v>8071</v>
      </c>
      <c r="F589" s="493" t="s">
        <v>6821</v>
      </c>
      <c r="G589" s="493" t="s">
        <v>8072</v>
      </c>
      <c r="H589" s="493" t="s">
        <v>8073</v>
      </c>
      <c r="I589" s="501" t="s">
        <v>8074</v>
      </c>
    </row>
    <row r="590" spans="1:9" ht="14.45">
      <c r="A590" s="493">
        <v>90105</v>
      </c>
      <c r="B590" s="493" t="s">
        <v>8075</v>
      </c>
      <c r="C590" s="493" t="s">
        <v>3674</v>
      </c>
      <c r="D590" s="493" t="s">
        <v>2250</v>
      </c>
      <c r="E590" s="493" t="s">
        <v>7843</v>
      </c>
      <c r="F590" s="493" t="s">
        <v>6821</v>
      </c>
      <c r="G590" s="493" t="s">
        <v>8076</v>
      </c>
      <c r="H590" s="493" t="s">
        <v>8077</v>
      </c>
      <c r="I590" s="501" t="s">
        <v>8078</v>
      </c>
    </row>
    <row r="591" spans="1:9" ht="14.45">
      <c r="A591" s="493">
        <v>90846</v>
      </c>
      <c r="B591" s="493" t="s">
        <v>3068</v>
      </c>
      <c r="C591" s="493" t="s">
        <v>3674</v>
      </c>
      <c r="D591" s="493" t="s">
        <v>2369</v>
      </c>
      <c r="E591" s="493" t="s">
        <v>8079</v>
      </c>
      <c r="F591" s="493" t="s">
        <v>6821</v>
      </c>
      <c r="G591" s="493" t="s">
        <v>8080</v>
      </c>
      <c r="H591" s="493" t="s">
        <v>8081</v>
      </c>
      <c r="I591" s="501" t="s">
        <v>8082</v>
      </c>
    </row>
    <row r="592" spans="1:9" ht="14.45">
      <c r="A592" s="493">
        <v>90847</v>
      </c>
      <c r="B592" s="493" t="s">
        <v>8083</v>
      </c>
      <c r="C592" s="493" t="s">
        <v>3659</v>
      </c>
      <c r="D592" s="493" t="s">
        <v>2369</v>
      </c>
      <c r="E592" s="493" t="s">
        <v>8079</v>
      </c>
      <c r="F592" s="493" t="s">
        <v>6821</v>
      </c>
      <c r="G592" s="493" t="s">
        <v>8084</v>
      </c>
      <c r="H592" s="493" t="s">
        <v>8081</v>
      </c>
      <c r="I592" s="501" t="s">
        <v>8082</v>
      </c>
    </row>
    <row r="593" spans="1:9" ht="14.45">
      <c r="A593" s="493">
        <v>90603</v>
      </c>
      <c r="B593" s="493" t="s">
        <v>8085</v>
      </c>
      <c r="C593" s="493" t="s">
        <v>3674</v>
      </c>
      <c r="D593" s="493" t="s">
        <v>2369</v>
      </c>
      <c r="E593" s="493" t="s">
        <v>8086</v>
      </c>
      <c r="F593" s="493" t="s">
        <v>6821</v>
      </c>
      <c r="G593" s="493" t="s">
        <v>8087</v>
      </c>
      <c r="H593" s="493" t="s">
        <v>8088</v>
      </c>
      <c r="I593" s="501" t="s">
        <v>8089</v>
      </c>
    </row>
    <row r="594" spans="1:9" ht="14.45">
      <c r="A594" s="493">
        <v>90319</v>
      </c>
      <c r="B594" s="493" t="s">
        <v>8090</v>
      </c>
      <c r="C594" s="493" t="s">
        <v>3674</v>
      </c>
      <c r="D594" s="493" t="s">
        <v>2369</v>
      </c>
      <c r="E594" s="493" t="s">
        <v>8091</v>
      </c>
      <c r="F594" s="493" t="s">
        <v>6821</v>
      </c>
      <c r="G594" s="493" t="s">
        <v>8092</v>
      </c>
      <c r="H594" s="493" t="s">
        <v>8093</v>
      </c>
      <c r="I594" s="501" t="s">
        <v>8094</v>
      </c>
    </row>
    <row r="595" spans="1:9" ht="14.45">
      <c r="A595" s="493">
        <v>90332</v>
      </c>
      <c r="B595" s="493" t="s">
        <v>8095</v>
      </c>
      <c r="C595" s="493" t="s">
        <v>3674</v>
      </c>
      <c r="D595" s="493" t="s">
        <v>3681</v>
      </c>
      <c r="E595" s="493" t="s">
        <v>47</v>
      </c>
      <c r="F595" s="493" t="s">
        <v>6821</v>
      </c>
      <c r="G595" s="493" t="s">
        <v>8096</v>
      </c>
      <c r="H595" s="493" t="s">
        <v>8097</v>
      </c>
      <c r="I595" s="501" t="s">
        <v>8098</v>
      </c>
    </row>
    <row r="596" spans="1:9" ht="14.45">
      <c r="A596" s="493">
        <v>90354</v>
      </c>
      <c r="B596" s="493" t="s">
        <v>8099</v>
      </c>
      <c r="C596" s="493" t="s">
        <v>3674</v>
      </c>
      <c r="D596" s="493" t="s">
        <v>3681</v>
      </c>
      <c r="E596" s="493" t="s">
        <v>8100</v>
      </c>
      <c r="F596" s="493" t="s">
        <v>6821</v>
      </c>
      <c r="G596" s="493" t="s">
        <v>8101</v>
      </c>
      <c r="H596" s="493" t="s">
        <v>8102</v>
      </c>
      <c r="I596" s="501" t="s">
        <v>8103</v>
      </c>
    </row>
    <row r="597" spans="1:9" ht="14.45">
      <c r="A597" s="493">
        <v>90109</v>
      </c>
      <c r="B597" s="493" t="s">
        <v>8104</v>
      </c>
      <c r="C597" s="493" t="s">
        <v>3674</v>
      </c>
      <c r="D597" s="493" t="s">
        <v>3918</v>
      </c>
      <c r="E597" s="493" t="s">
        <v>8100</v>
      </c>
      <c r="F597" s="493" t="s">
        <v>6821</v>
      </c>
      <c r="G597" s="493" t="s">
        <v>8105</v>
      </c>
      <c r="H597" s="493" t="s">
        <v>8106</v>
      </c>
      <c r="I597" s="501" t="s">
        <v>8107</v>
      </c>
    </row>
    <row r="598" spans="1:9" ht="14.45">
      <c r="A598" s="493">
        <v>90779</v>
      </c>
      <c r="B598" s="493" t="s">
        <v>8108</v>
      </c>
      <c r="C598" s="493" t="s">
        <v>3659</v>
      </c>
      <c r="D598" s="493" t="s">
        <v>3918</v>
      </c>
      <c r="E598" s="493" t="s">
        <v>6009</v>
      </c>
      <c r="F598" s="493" t="s">
        <v>6821</v>
      </c>
      <c r="G598" s="493" t="s">
        <v>8109</v>
      </c>
      <c r="H598" s="493" t="s">
        <v>8110</v>
      </c>
      <c r="I598" s="501" t="s">
        <v>8111</v>
      </c>
    </row>
    <row r="599" spans="1:9" ht="14.45">
      <c r="A599" s="493">
        <v>90042</v>
      </c>
      <c r="B599" s="493" t="s">
        <v>8112</v>
      </c>
      <c r="C599" s="493" t="s">
        <v>3674</v>
      </c>
      <c r="D599" s="493" t="s">
        <v>4215</v>
      </c>
      <c r="E599" s="493" t="s">
        <v>8113</v>
      </c>
      <c r="F599" s="493" t="s">
        <v>6821</v>
      </c>
      <c r="G599" s="493" t="s">
        <v>8114</v>
      </c>
      <c r="H599" s="493" t="s">
        <v>8115</v>
      </c>
      <c r="I599" s="501" t="s">
        <v>8116</v>
      </c>
    </row>
    <row r="600" spans="1:9" ht="14.45">
      <c r="A600" s="493">
        <v>90110</v>
      </c>
      <c r="B600" s="493" t="s">
        <v>8117</v>
      </c>
      <c r="C600" s="493" t="s">
        <v>3674</v>
      </c>
      <c r="D600" s="493" t="s">
        <v>3911</v>
      </c>
      <c r="E600" s="493" t="s">
        <v>8079</v>
      </c>
      <c r="F600" s="493" t="s">
        <v>6821</v>
      </c>
      <c r="G600" s="493" t="s">
        <v>8118</v>
      </c>
      <c r="H600" s="493" t="s">
        <v>8119</v>
      </c>
      <c r="I600" s="501" t="s">
        <v>8120</v>
      </c>
    </row>
    <row r="601" spans="1:9" ht="14.45">
      <c r="A601" s="493">
        <v>90587</v>
      </c>
      <c r="B601" s="494" t="s">
        <v>8121</v>
      </c>
      <c r="C601" s="493" t="s">
        <v>3674</v>
      </c>
      <c r="D601" s="493" t="s">
        <v>3932</v>
      </c>
      <c r="E601" s="493" t="s">
        <v>8122</v>
      </c>
      <c r="F601" s="493" t="s">
        <v>6821</v>
      </c>
      <c r="G601" s="493" t="s">
        <v>8123</v>
      </c>
      <c r="H601" s="493" t="s">
        <v>8124</v>
      </c>
      <c r="I601" s="501" t="s">
        <v>8125</v>
      </c>
    </row>
    <row r="602" spans="1:9" ht="14.45">
      <c r="A602" s="493">
        <v>90033</v>
      </c>
      <c r="B602" s="493" t="s">
        <v>8126</v>
      </c>
      <c r="C602" s="493" t="s">
        <v>3674</v>
      </c>
      <c r="D602" s="493" t="s">
        <v>3918</v>
      </c>
      <c r="E602" s="493" t="s">
        <v>8127</v>
      </c>
      <c r="F602" s="493" t="s">
        <v>6821</v>
      </c>
      <c r="G602" s="493" t="s">
        <v>8128</v>
      </c>
      <c r="H602" s="493" t="s">
        <v>8129</v>
      </c>
      <c r="I602" s="501" t="s">
        <v>8130</v>
      </c>
    </row>
    <row r="603" spans="1:9" ht="14.45">
      <c r="A603" s="493">
        <v>90897</v>
      </c>
      <c r="B603" s="493" t="s">
        <v>8131</v>
      </c>
      <c r="C603" s="493" t="s">
        <v>3674</v>
      </c>
      <c r="D603" s="493" t="s">
        <v>3932</v>
      </c>
      <c r="E603" s="493" t="s">
        <v>8132</v>
      </c>
      <c r="F603" s="493" t="s">
        <v>6821</v>
      </c>
      <c r="G603" s="493" t="s">
        <v>8133</v>
      </c>
      <c r="H603" s="493" t="s">
        <v>8134</v>
      </c>
      <c r="I603" s="501" t="s">
        <v>8135</v>
      </c>
    </row>
    <row r="604" spans="1:9" ht="14.45">
      <c r="A604" s="493">
        <v>90405</v>
      </c>
      <c r="B604" s="493" t="s">
        <v>8136</v>
      </c>
      <c r="C604" s="493" t="s">
        <v>3674</v>
      </c>
      <c r="D604" s="493" t="s">
        <v>3918</v>
      </c>
      <c r="E604" s="493" t="s">
        <v>8071</v>
      </c>
      <c r="F604" s="493" t="s">
        <v>6821</v>
      </c>
      <c r="G604" s="493" t="s">
        <v>8137</v>
      </c>
      <c r="H604" s="493" t="s">
        <v>8138</v>
      </c>
      <c r="I604" s="501" t="s">
        <v>8139</v>
      </c>
    </row>
    <row r="605" spans="1:9" ht="14.45">
      <c r="A605" s="493">
        <v>90872</v>
      </c>
      <c r="B605" s="493" t="s">
        <v>8140</v>
      </c>
      <c r="C605" s="493" t="s">
        <v>3674</v>
      </c>
      <c r="D605" s="493" t="s">
        <v>8141</v>
      </c>
      <c r="E605" s="493" t="s">
        <v>8142</v>
      </c>
      <c r="F605" s="493" t="s">
        <v>8143</v>
      </c>
      <c r="G605" s="497" t="s">
        <v>8144</v>
      </c>
      <c r="H605" s="493" t="s">
        <v>8145</v>
      </c>
      <c r="I605" s="501" t="s">
        <v>8146</v>
      </c>
    </row>
    <row r="606" spans="1:9" ht="14.45">
      <c r="A606" s="493">
        <v>91214</v>
      </c>
      <c r="B606" s="493" t="s">
        <v>8147</v>
      </c>
      <c r="C606" s="493" t="s">
        <v>3659</v>
      </c>
      <c r="D606" s="493" t="s">
        <v>8141</v>
      </c>
      <c r="E606" s="493" t="s">
        <v>8142</v>
      </c>
      <c r="F606" s="493" t="s">
        <v>8143</v>
      </c>
      <c r="G606" s="497" t="s">
        <v>8144</v>
      </c>
      <c r="H606" s="493" t="s">
        <v>8145</v>
      </c>
      <c r="I606" s="501" t="s">
        <v>8146</v>
      </c>
    </row>
    <row r="607" spans="1:9" ht="14.45">
      <c r="A607" s="493">
        <v>90080</v>
      </c>
      <c r="B607" s="493" t="s">
        <v>8148</v>
      </c>
      <c r="C607" s="493" t="s">
        <v>3674</v>
      </c>
      <c r="D607" s="493" t="s">
        <v>3681</v>
      </c>
      <c r="E607" s="493" t="s">
        <v>8132</v>
      </c>
      <c r="F607" s="493" t="s">
        <v>6821</v>
      </c>
      <c r="G607" s="493" t="s">
        <v>8149</v>
      </c>
      <c r="H607" s="493" t="s">
        <v>8150</v>
      </c>
      <c r="I607" s="501" t="s">
        <v>8151</v>
      </c>
    </row>
    <row r="608" spans="1:9" ht="14.45">
      <c r="A608" s="493">
        <v>90735</v>
      </c>
      <c r="B608" s="493" t="s">
        <v>5628</v>
      </c>
      <c r="C608" s="493" t="s">
        <v>3674</v>
      </c>
      <c r="D608" s="493" t="s">
        <v>3918</v>
      </c>
      <c r="E608" s="493" t="s">
        <v>3919</v>
      </c>
      <c r="F608" s="493" t="s">
        <v>6906</v>
      </c>
      <c r="G608" s="493" t="s">
        <v>8152</v>
      </c>
      <c r="H608" s="493" t="s">
        <v>8153</v>
      </c>
      <c r="I608" s="501" t="s">
        <v>7285</v>
      </c>
    </row>
    <row r="609" spans="1:9" ht="14.45">
      <c r="A609" s="493">
        <v>90736</v>
      </c>
      <c r="B609" s="493" t="s">
        <v>5632</v>
      </c>
      <c r="C609" s="493" t="s">
        <v>3674</v>
      </c>
      <c r="D609" s="493" t="s">
        <v>3918</v>
      </c>
      <c r="E609" s="493" t="s">
        <v>3919</v>
      </c>
      <c r="F609" s="493" t="s">
        <v>6906</v>
      </c>
      <c r="G609" s="493" t="s">
        <v>8154</v>
      </c>
      <c r="H609" s="493" t="s">
        <v>8155</v>
      </c>
      <c r="I609" s="501" t="s">
        <v>7285</v>
      </c>
    </row>
    <row r="610" spans="1:9" ht="14.45">
      <c r="A610" s="493">
        <v>90737</v>
      </c>
      <c r="B610" s="493" t="s">
        <v>5635</v>
      </c>
      <c r="C610" s="493" t="s">
        <v>3674</v>
      </c>
      <c r="D610" s="493" t="s">
        <v>3918</v>
      </c>
      <c r="E610" s="493" t="s">
        <v>3919</v>
      </c>
      <c r="F610" s="493" t="s">
        <v>6906</v>
      </c>
      <c r="G610" s="493" t="s">
        <v>8156</v>
      </c>
      <c r="H610" s="493" t="s">
        <v>8157</v>
      </c>
      <c r="I610" s="501" t="s">
        <v>7285</v>
      </c>
    </row>
    <row r="611" spans="1:9" ht="14.45">
      <c r="A611" s="493">
        <v>90738</v>
      </c>
      <c r="B611" s="493" t="s">
        <v>5644</v>
      </c>
      <c r="C611" s="493" t="s">
        <v>3674</v>
      </c>
      <c r="D611" s="493" t="s">
        <v>3918</v>
      </c>
      <c r="E611" s="493" t="s">
        <v>3919</v>
      </c>
      <c r="F611" s="493" t="s">
        <v>6906</v>
      </c>
      <c r="G611" s="493" t="s">
        <v>8158</v>
      </c>
      <c r="H611" s="493" t="s">
        <v>8159</v>
      </c>
      <c r="I611" s="501" t="s">
        <v>7285</v>
      </c>
    </row>
    <row r="612" spans="1:9" ht="14.45">
      <c r="A612" s="493">
        <v>90739</v>
      </c>
      <c r="B612" s="493" t="s">
        <v>5650</v>
      </c>
      <c r="C612" s="493" t="s">
        <v>3674</v>
      </c>
      <c r="D612" s="493" t="s">
        <v>3918</v>
      </c>
      <c r="E612" s="493" t="s">
        <v>3919</v>
      </c>
      <c r="F612" s="493" t="s">
        <v>6906</v>
      </c>
      <c r="G612" s="493" t="s">
        <v>8160</v>
      </c>
      <c r="H612" s="493" t="s">
        <v>8161</v>
      </c>
      <c r="I612" s="501" t="s">
        <v>7285</v>
      </c>
    </row>
    <row r="613" spans="1:9" ht="14.45">
      <c r="A613" s="493">
        <v>90740</v>
      </c>
      <c r="B613" s="493" t="s">
        <v>5622</v>
      </c>
      <c r="C613" s="493" t="s">
        <v>3674</v>
      </c>
      <c r="D613" s="493" t="s">
        <v>3918</v>
      </c>
      <c r="E613" s="493" t="s">
        <v>3919</v>
      </c>
      <c r="F613" s="493" t="s">
        <v>6906</v>
      </c>
      <c r="G613" s="493" t="s">
        <v>8162</v>
      </c>
      <c r="H613" s="493" t="s">
        <v>8163</v>
      </c>
      <c r="I613" s="501" t="s">
        <v>7285</v>
      </c>
    </row>
    <row r="614" spans="1:9" ht="14.45">
      <c r="A614" s="493">
        <v>90741</v>
      </c>
      <c r="B614" s="493" t="s">
        <v>5619</v>
      </c>
      <c r="C614" s="493" t="s">
        <v>3674</v>
      </c>
      <c r="D614" s="493" t="s">
        <v>3918</v>
      </c>
      <c r="E614" s="493" t="s">
        <v>3919</v>
      </c>
      <c r="F614" s="493" t="s">
        <v>6906</v>
      </c>
      <c r="G614" s="493" t="s">
        <v>8164</v>
      </c>
      <c r="H614" s="493" t="s">
        <v>8165</v>
      </c>
      <c r="I614" s="501" t="s">
        <v>7285</v>
      </c>
    </row>
    <row r="615" spans="1:9" ht="14.45">
      <c r="A615" s="493">
        <v>90742</v>
      </c>
      <c r="B615" s="493" t="s">
        <v>5641</v>
      </c>
      <c r="C615" s="493" t="s">
        <v>3659</v>
      </c>
      <c r="D615" s="493" t="s">
        <v>3918</v>
      </c>
      <c r="E615" s="493" t="s">
        <v>3919</v>
      </c>
      <c r="F615" s="493" t="s">
        <v>6906</v>
      </c>
      <c r="G615" s="493" t="s">
        <v>8166</v>
      </c>
      <c r="H615" s="493" t="s">
        <v>8167</v>
      </c>
      <c r="I615" s="501" t="s">
        <v>7285</v>
      </c>
    </row>
    <row r="616" spans="1:9" ht="14.45">
      <c r="A616" s="493">
        <v>90743</v>
      </c>
      <c r="B616" s="493" t="s">
        <v>5653</v>
      </c>
      <c r="C616" s="493" t="s">
        <v>3659</v>
      </c>
      <c r="D616" s="493" t="s">
        <v>3918</v>
      </c>
      <c r="E616" s="493" t="s">
        <v>3919</v>
      </c>
      <c r="F616" s="493" t="s">
        <v>6906</v>
      </c>
      <c r="G616" s="493" t="s">
        <v>8168</v>
      </c>
      <c r="H616" s="493" t="s">
        <v>8169</v>
      </c>
      <c r="I616" s="501" t="s">
        <v>7285</v>
      </c>
    </row>
    <row r="617" spans="1:9" ht="14.45">
      <c r="A617" s="493">
        <v>90667</v>
      </c>
      <c r="B617" s="493" t="s">
        <v>8170</v>
      </c>
      <c r="C617" s="493" t="s">
        <v>3674</v>
      </c>
      <c r="D617" s="493" t="s">
        <v>3918</v>
      </c>
      <c r="E617" s="493" t="s">
        <v>8071</v>
      </c>
      <c r="F617" s="493" t="s">
        <v>6821</v>
      </c>
      <c r="G617" s="493" t="s">
        <v>8171</v>
      </c>
      <c r="H617" s="493" t="s">
        <v>8172</v>
      </c>
      <c r="I617" s="501" t="s">
        <v>8173</v>
      </c>
    </row>
    <row r="618" spans="1:9" ht="14.45">
      <c r="A618" s="493">
        <v>90098</v>
      </c>
      <c r="B618" s="493" t="s">
        <v>8174</v>
      </c>
      <c r="C618" s="493" t="s">
        <v>3674</v>
      </c>
      <c r="D618" s="493" t="s">
        <v>3918</v>
      </c>
      <c r="E618" s="493" t="s">
        <v>8071</v>
      </c>
      <c r="F618" s="493" t="s">
        <v>6821</v>
      </c>
      <c r="G618" s="493" t="s">
        <v>8175</v>
      </c>
      <c r="H618" s="493" t="s">
        <v>8172</v>
      </c>
      <c r="I618" s="501" t="s">
        <v>8176</v>
      </c>
    </row>
    <row r="619" spans="1:9" ht="14.45">
      <c r="A619" s="493">
        <v>90097</v>
      </c>
      <c r="B619" s="493" t="s">
        <v>8177</v>
      </c>
      <c r="C619" s="493" t="s">
        <v>3674</v>
      </c>
      <c r="D619" s="493" t="s">
        <v>3918</v>
      </c>
      <c r="E619" s="493" t="s">
        <v>8071</v>
      </c>
      <c r="F619" s="493" t="s">
        <v>6821</v>
      </c>
      <c r="G619" s="493" t="s">
        <v>8178</v>
      </c>
      <c r="H619" s="493" t="s">
        <v>8172</v>
      </c>
      <c r="I619" s="501" t="s">
        <v>8176</v>
      </c>
    </row>
    <row r="620" spans="1:9" ht="14.45">
      <c r="A620" s="493">
        <v>90668</v>
      </c>
      <c r="B620" s="493" t="s">
        <v>8179</v>
      </c>
      <c r="C620" s="493" t="s">
        <v>3674</v>
      </c>
      <c r="D620" s="493" t="s">
        <v>3918</v>
      </c>
      <c r="E620" s="493" t="s">
        <v>8071</v>
      </c>
      <c r="F620" s="493" t="s">
        <v>6821</v>
      </c>
      <c r="G620" s="493" t="s">
        <v>8180</v>
      </c>
      <c r="H620" s="493" t="s">
        <v>8181</v>
      </c>
      <c r="I620" s="501" t="s">
        <v>8173</v>
      </c>
    </row>
    <row r="621" spans="1:9" ht="14.45">
      <c r="A621" s="493">
        <v>90096</v>
      </c>
      <c r="B621" s="493" t="s">
        <v>8182</v>
      </c>
      <c r="C621" s="493" t="s">
        <v>3674</v>
      </c>
      <c r="D621" s="493" t="s">
        <v>3918</v>
      </c>
      <c r="E621" s="493" t="s">
        <v>8071</v>
      </c>
      <c r="F621" s="493" t="s">
        <v>6821</v>
      </c>
      <c r="G621" s="493" t="s">
        <v>8183</v>
      </c>
      <c r="H621" s="493" t="s">
        <v>8181</v>
      </c>
      <c r="I621" s="501" t="s">
        <v>8176</v>
      </c>
    </row>
    <row r="622" spans="1:9" ht="14.45">
      <c r="A622" s="493">
        <v>90669</v>
      </c>
      <c r="B622" s="493" t="s">
        <v>8184</v>
      </c>
      <c r="C622" s="493" t="s">
        <v>3674</v>
      </c>
      <c r="D622" s="493" t="s">
        <v>3918</v>
      </c>
      <c r="E622" s="493" t="s">
        <v>8071</v>
      </c>
      <c r="F622" s="493" t="s">
        <v>6821</v>
      </c>
      <c r="G622" s="493" t="s">
        <v>8185</v>
      </c>
      <c r="H622" s="493" t="s">
        <v>8186</v>
      </c>
      <c r="I622" s="501" t="s">
        <v>8173</v>
      </c>
    </row>
    <row r="623" spans="1:9" ht="14.45">
      <c r="A623" s="493">
        <v>90120</v>
      </c>
      <c r="B623" s="493" t="s">
        <v>8187</v>
      </c>
      <c r="C623" s="493" t="s">
        <v>3674</v>
      </c>
      <c r="D623" s="493" t="s">
        <v>3918</v>
      </c>
      <c r="E623" s="493" t="s">
        <v>8071</v>
      </c>
      <c r="F623" s="493" t="s">
        <v>6821</v>
      </c>
      <c r="G623" s="493" t="s">
        <v>8188</v>
      </c>
      <c r="H623" s="493" t="s">
        <v>8186</v>
      </c>
      <c r="I623" s="501" t="s">
        <v>8176</v>
      </c>
    </row>
    <row r="624" spans="1:9" ht="14.45">
      <c r="A624" s="493">
        <v>90119</v>
      </c>
      <c r="B624" s="493" t="s">
        <v>8189</v>
      </c>
      <c r="C624" s="493" t="s">
        <v>3674</v>
      </c>
      <c r="D624" s="493" t="s">
        <v>3918</v>
      </c>
      <c r="E624" s="493" t="s">
        <v>8071</v>
      </c>
      <c r="F624" s="493" t="s">
        <v>6821</v>
      </c>
      <c r="G624" s="493" t="s">
        <v>8190</v>
      </c>
      <c r="H624" s="493" t="s">
        <v>8186</v>
      </c>
      <c r="I624" s="501" t="s">
        <v>8176</v>
      </c>
    </row>
    <row r="625" spans="1:9" ht="14.45">
      <c r="A625" s="493">
        <v>90118</v>
      </c>
      <c r="B625" s="493" t="s">
        <v>8191</v>
      </c>
      <c r="C625" s="493" t="s">
        <v>3659</v>
      </c>
      <c r="D625" s="493" t="s">
        <v>3918</v>
      </c>
      <c r="E625" s="493" t="s">
        <v>8071</v>
      </c>
      <c r="F625" s="493" t="s">
        <v>6821</v>
      </c>
      <c r="G625" s="493" t="s">
        <v>8192</v>
      </c>
      <c r="H625" s="493" t="s">
        <v>8186</v>
      </c>
      <c r="I625" s="501" t="s">
        <v>8176</v>
      </c>
    </row>
    <row r="626" spans="1:9" ht="14.45">
      <c r="A626" s="493">
        <v>90117</v>
      </c>
      <c r="B626" s="493" t="s">
        <v>8193</v>
      </c>
      <c r="C626" s="493" t="s">
        <v>3659</v>
      </c>
      <c r="D626" s="493" t="s">
        <v>3918</v>
      </c>
      <c r="E626" s="493" t="s">
        <v>8071</v>
      </c>
      <c r="F626" s="493" t="s">
        <v>6821</v>
      </c>
      <c r="G626" s="493" t="s">
        <v>8194</v>
      </c>
      <c r="H626" s="493" t="s">
        <v>8186</v>
      </c>
      <c r="I626" s="501" t="s">
        <v>8176</v>
      </c>
    </row>
    <row r="627" spans="1:9" ht="14.45">
      <c r="A627" s="493">
        <v>90670</v>
      </c>
      <c r="B627" s="493" t="s">
        <v>8195</v>
      </c>
      <c r="C627" s="493" t="s">
        <v>3674</v>
      </c>
      <c r="D627" s="493" t="s">
        <v>3918</v>
      </c>
      <c r="E627" s="493" t="s">
        <v>8071</v>
      </c>
      <c r="F627" s="493" t="s">
        <v>6821</v>
      </c>
      <c r="G627" s="493" t="s">
        <v>8196</v>
      </c>
      <c r="H627" s="493" t="s">
        <v>8197</v>
      </c>
      <c r="I627" s="501" t="s">
        <v>8173</v>
      </c>
    </row>
    <row r="628" spans="1:9" ht="14.45">
      <c r="A628" s="493">
        <v>90772</v>
      </c>
      <c r="B628" s="493" t="s">
        <v>8198</v>
      </c>
      <c r="C628" s="493" t="s">
        <v>3674</v>
      </c>
      <c r="D628" s="493" t="s">
        <v>3770</v>
      </c>
      <c r="E628" s="493" t="s">
        <v>8199</v>
      </c>
      <c r="F628" s="493" t="s">
        <v>6821</v>
      </c>
      <c r="G628" s="493" t="s">
        <v>8200</v>
      </c>
      <c r="H628" s="493" t="s">
        <v>8201</v>
      </c>
      <c r="I628" s="501" t="s">
        <v>8202</v>
      </c>
    </row>
    <row r="629" spans="1:9" ht="14.45">
      <c r="A629" s="493">
        <v>90774</v>
      </c>
      <c r="B629" s="493" t="s">
        <v>8203</v>
      </c>
      <c r="C629" s="493" t="s">
        <v>3674</v>
      </c>
      <c r="D629" s="493" t="s">
        <v>3770</v>
      </c>
      <c r="E629" s="493" t="s">
        <v>8199</v>
      </c>
      <c r="F629" s="493" t="s">
        <v>6821</v>
      </c>
      <c r="G629" s="493" t="s">
        <v>8204</v>
      </c>
      <c r="H629" s="493" t="s">
        <v>8201</v>
      </c>
      <c r="I629" s="501" t="s">
        <v>8202</v>
      </c>
    </row>
    <row r="630" spans="1:9" ht="14.45">
      <c r="A630" s="493">
        <v>90773</v>
      </c>
      <c r="B630" s="493" t="s">
        <v>8205</v>
      </c>
      <c r="C630" s="493" t="s">
        <v>3674</v>
      </c>
      <c r="D630" s="493" t="s">
        <v>3770</v>
      </c>
      <c r="E630" s="493" t="s">
        <v>8199</v>
      </c>
      <c r="F630" s="493" t="s">
        <v>6821</v>
      </c>
      <c r="G630" s="493" t="s">
        <v>8206</v>
      </c>
      <c r="H630" s="493" t="s">
        <v>8207</v>
      </c>
      <c r="I630" s="501" t="s">
        <v>8208</v>
      </c>
    </row>
    <row r="631" spans="1:9" ht="14.45">
      <c r="A631" s="493">
        <v>90775</v>
      </c>
      <c r="B631" s="493" t="s">
        <v>8209</v>
      </c>
      <c r="C631" s="493" t="s">
        <v>3674</v>
      </c>
      <c r="D631" s="493" t="s">
        <v>3770</v>
      </c>
      <c r="E631" s="493" t="s">
        <v>8199</v>
      </c>
      <c r="F631" s="493" t="s">
        <v>6821</v>
      </c>
      <c r="G631" s="493" t="s">
        <v>8210</v>
      </c>
      <c r="H631" s="493" t="s">
        <v>8207</v>
      </c>
      <c r="I631" s="501" t="s">
        <v>8208</v>
      </c>
    </row>
    <row r="632" spans="1:9" ht="14.45">
      <c r="A632" s="493">
        <v>90283</v>
      </c>
      <c r="B632" s="493" t="s">
        <v>8211</v>
      </c>
      <c r="C632" s="493" t="s">
        <v>3674</v>
      </c>
      <c r="D632" s="493" t="s">
        <v>3911</v>
      </c>
      <c r="E632" s="493" t="s">
        <v>3719</v>
      </c>
      <c r="F632" s="493" t="s">
        <v>6821</v>
      </c>
      <c r="G632" s="493" t="s">
        <v>8212</v>
      </c>
      <c r="H632" s="493" t="s">
        <v>8213</v>
      </c>
      <c r="I632" s="501" t="s">
        <v>8214</v>
      </c>
    </row>
    <row r="633" spans="1:9" ht="14.45">
      <c r="A633" s="493">
        <v>90253</v>
      </c>
      <c r="B633" s="493" t="s">
        <v>8215</v>
      </c>
      <c r="C633" s="493" t="s">
        <v>3674</v>
      </c>
      <c r="D633" s="493" t="s">
        <v>3911</v>
      </c>
      <c r="E633" s="493" t="s">
        <v>3719</v>
      </c>
      <c r="F633" s="493" t="s">
        <v>6821</v>
      </c>
      <c r="G633" s="493" t="s">
        <v>8216</v>
      </c>
      <c r="H633" s="493" t="s">
        <v>8213</v>
      </c>
      <c r="I633" s="501" t="s">
        <v>8214</v>
      </c>
    </row>
    <row r="634" spans="1:9" ht="14.45">
      <c r="A634" s="493">
        <v>90254</v>
      </c>
      <c r="B634" s="493" t="s">
        <v>8217</v>
      </c>
      <c r="C634" s="493" t="s">
        <v>3674</v>
      </c>
      <c r="D634" s="493" t="s">
        <v>3911</v>
      </c>
      <c r="E634" s="493" t="s">
        <v>3719</v>
      </c>
      <c r="F634" s="493" t="s">
        <v>6821</v>
      </c>
      <c r="G634" s="493" t="s">
        <v>8218</v>
      </c>
      <c r="H634" s="493" t="s">
        <v>8213</v>
      </c>
      <c r="I634" s="501" t="s">
        <v>8214</v>
      </c>
    </row>
    <row r="635" spans="1:9" ht="14.45">
      <c r="A635" s="493">
        <v>90255</v>
      </c>
      <c r="B635" s="493" t="s">
        <v>8219</v>
      </c>
      <c r="C635" s="493" t="s">
        <v>3674</v>
      </c>
      <c r="D635" s="493" t="s">
        <v>3911</v>
      </c>
      <c r="E635" s="493" t="s">
        <v>3719</v>
      </c>
      <c r="F635" s="493" t="s">
        <v>6821</v>
      </c>
      <c r="G635" s="493" t="s">
        <v>8220</v>
      </c>
      <c r="H635" s="493" t="s">
        <v>8213</v>
      </c>
      <c r="I635" s="501" t="s">
        <v>8214</v>
      </c>
    </row>
    <row r="636" spans="1:9" ht="14.45">
      <c r="A636" s="493">
        <v>90256</v>
      </c>
      <c r="B636" s="493" t="s">
        <v>8221</v>
      </c>
      <c r="C636" s="493" t="s">
        <v>3674</v>
      </c>
      <c r="D636" s="493" t="s">
        <v>3911</v>
      </c>
      <c r="E636" s="493" t="s">
        <v>3719</v>
      </c>
      <c r="F636" s="493" t="s">
        <v>6821</v>
      </c>
      <c r="G636" s="493" t="s">
        <v>8222</v>
      </c>
      <c r="H636" s="493" t="s">
        <v>8213</v>
      </c>
      <c r="I636" s="501" t="s">
        <v>8214</v>
      </c>
    </row>
    <row r="637" spans="1:9" ht="14.45">
      <c r="A637" s="493">
        <v>90257</v>
      </c>
      <c r="B637" s="493" t="s">
        <v>8223</v>
      </c>
      <c r="C637" s="493" t="s">
        <v>3674</v>
      </c>
      <c r="D637" s="493" t="s">
        <v>3911</v>
      </c>
      <c r="E637" s="493" t="s">
        <v>3719</v>
      </c>
      <c r="F637" s="493" t="s">
        <v>6821</v>
      </c>
      <c r="G637" s="493" t="s">
        <v>8224</v>
      </c>
      <c r="H637" s="493" t="s">
        <v>8213</v>
      </c>
      <c r="I637" s="501" t="s">
        <v>8214</v>
      </c>
    </row>
    <row r="638" spans="1:9" ht="14.45">
      <c r="A638" s="493">
        <v>90258</v>
      </c>
      <c r="B638" s="493" t="s">
        <v>8225</v>
      </c>
      <c r="C638" s="493" t="s">
        <v>3674</v>
      </c>
      <c r="D638" s="493" t="s">
        <v>3911</v>
      </c>
      <c r="E638" s="493" t="s">
        <v>3719</v>
      </c>
      <c r="F638" s="493" t="s">
        <v>6821</v>
      </c>
      <c r="G638" s="493" t="s">
        <v>8226</v>
      </c>
      <c r="H638" s="493" t="s">
        <v>8213</v>
      </c>
      <c r="I638" s="501" t="s">
        <v>8214</v>
      </c>
    </row>
    <row r="639" spans="1:9" ht="14.45">
      <c r="A639" s="493">
        <v>90259</v>
      </c>
      <c r="B639" s="493" t="s">
        <v>8227</v>
      </c>
      <c r="C639" s="493" t="s">
        <v>3674</v>
      </c>
      <c r="D639" s="493" t="s">
        <v>3911</v>
      </c>
      <c r="E639" s="493" t="s">
        <v>3719</v>
      </c>
      <c r="F639" s="493" t="s">
        <v>6821</v>
      </c>
      <c r="G639" s="493" t="s">
        <v>8228</v>
      </c>
      <c r="H639" s="493" t="s">
        <v>8213</v>
      </c>
      <c r="I639" s="501" t="s">
        <v>8214</v>
      </c>
    </row>
    <row r="640" spans="1:9" ht="14.45">
      <c r="A640" s="493">
        <v>90260</v>
      </c>
      <c r="B640" s="493" t="s">
        <v>8229</v>
      </c>
      <c r="C640" s="493" t="s">
        <v>3674</v>
      </c>
      <c r="D640" s="493" t="s">
        <v>3911</v>
      </c>
      <c r="E640" s="493" t="s">
        <v>3719</v>
      </c>
      <c r="F640" s="493" t="s">
        <v>6821</v>
      </c>
      <c r="G640" s="493" t="s">
        <v>8230</v>
      </c>
      <c r="H640" s="493" t="s">
        <v>8213</v>
      </c>
      <c r="I640" s="501" t="s">
        <v>8214</v>
      </c>
    </row>
    <row r="641" spans="1:9" ht="14.45">
      <c r="A641" s="493">
        <v>90261</v>
      </c>
      <c r="B641" s="493" t="s">
        <v>8231</v>
      </c>
      <c r="C641" s="493" t="s">
        <v>3674</v>
      </c>
      <c r="D641" s="493" t="s">
        <v>3911</v>
      </c>
      <c r="E641" s="493" t="s">
        <v>3719</v>
      </c>
      <c r="F641" s="493" t="s">
        <v>6821</v>
      </c>
      <c r="G641" s="493" t="s">
        <v>8232</v>
      </c>
      <c r="H641" s="493" t="s">
        <v>8213</v>
      </c>
      <c r="I641" s="501" t="s">
        <v>8214</v>
      </c>
    </row>
    <row r="642" spans="1:9" ht="14.45">
      <c r="A642" s="493">
        <v>90262</v>
      </c>
      <c r="B642" s="493" t="s">
        <v>8233</v>
      </c>
      <c r="C642" s="493" t="s">
        <v>3674</v>
      </c>
      <c r="D642" s="493" t="s">
        <v>3911</v>
      </c>
      <c r="E642" s="493" t="s">
        <v>3719</v>
      </c>
      <c r="F642" s="493" t="s">
        <v>6821</v>
      </c>
      <c r="G642" s="493" t="s">
        <v>8234</v>
      </c>
      <c r="H642" s="493" t="s">
        <v>8213</v>
      </c>
      <c r="I642" s="501" t="s">
        <v>8214</v>
      </c>
    </row>
    <row r="643" spans="1:9" ht="14.45">
      <c r="A643" s="493">
        <v>90263</v>
      </c>
      <c r="B643" s="493" t="s">
        <v>8235</v>
      </c>
      <c r="C643" s="493" t="s">
        <v>3674</v>
      </c>
      <c r="D643" s="493" t="s">
        <v>3911</v>
      </c>
      <c r="E643" s="493" t="s">
        <v>3719</v>
      </c>
      <c r="F643" s="493" t="s">
        <v>6821</v>
      </c>
      <c r="G643" s="493" t="s">
        <v>8236</v>
      </c>
      <c r="H643" s="493" t="s">
        <v>8213</v>
      </c>
      <c r="I643" s="501" t="s">
        <v>8214</v>
      </c>
    </row>
    <row r="644" spans="1:9" ht="14.45">
      <c r="A644" s="493">
        <v>90264</v>
      </c>
      <c r="B644" s="493" t="s">
        <v>8237</v>
      </c>
      <c r="C644" s="493" t="s">
        <v>3674</v>
      </c>
      <c r="D644" s="493" t="s">
        <v>3911</v>
      </c>
      <c r="E644" s="493" t="s">
        <v>3719</v>
      </c>
      <c r="F644" s="493" t="s">
        <v>6821</v>
      </c>
      <c r="G644" s="493" t="s">
        <v>8238</v>
      </c>
      <c r="H644" s="493" t="s">
        <v>8213</v>
      </c>
      <c r="I644" s="501" t="s">
        <v>8214</v>
      </c>
    </row>
    <row r="645" spans="1:9" ht="14.45">
      <c r="A645" s="493">
        <v>90265</v>
      </c>
      <c r="B645" s="493" t="s">
        <v>8239</v>
      </c>
      <c r="C645" s="493" t="s">
        <v>3674</v>
      </c>
      <c r="D645" s="493" t="s">
        <v>3911</v>
      </c>
      <c r="E645" s="493" t="s">
        <v>3719</v>
      </c>
      <c r="F645" s="493" t="s">
        <v>6821</v>
      </c>
      <c r="G645" s="493" t="s">
        <v>8240</v>
      </c>
      <c r="H645" s="493" t="s">
        <v>8213</v>
      </c>
      <c r="I645" s="501" t="s">
        <v>8214</v>
      </c>
    </row>
    <row r="646" spans="1:9" ht="14.45">
      <c r="A646" s="493">
        <v>90266</v>
      </c>
      <c r="B646" s="493" t="s">
        <v>8241</v>
      </c>
      <c r="C646" s="493" t="s">
        <v>3674</v>
      </c>
      <c r="D646" s="493" t="s">
        <v>3911</v>
      </c>
      <c r="E646" s="493" t="s">
        <v>3719</v>
      </c>
      <c r="F646" s="493" t="s">
        <v>6821</v>
      </c>
      <c r="G646" s="493" t="s">
        <v>8242</v>
      </c>
      <c r="H646" s="493" t="s">
        <v>8213</v>
      </c>
      <c r="I646" s="501" t="s">
        <v>8214</v>
      </c>
    </row>
    <row r="647" spans="1:9" ht="14.45">
      <c r="A647" s="493">
        <v>90267</v>
      </c>
      <c r="B647" s="493" t="s">
        <v>8243</v>
      </c>
      <c r="C647" s="493" t="s">
        <v>3674</v>
      </c>
      <c r="D647" s="493" t="s">
        <v>3911</v>
      </c>
      <c r="E647" s="493" t="s">
        <v>3719</v>
      </c>
      <c r="F647" s="493" t="s">
        <v>6821</v>
      </c>
      <c r="G647" s="493" t="s">
        <v>8244</v>
      </c>
      <c r="H647" s="493" t="s">
        <v>8213</v>
      </c>
      <c r="I647" s="501" t="s">
        <v>8214</v>
      </c>
    </row>
    <row r="648" spans="1:9" ht="14.45">
      <c r="A648" s="493">
        <v>90282</v>
      </c>
      <c r="B648" s="493" t="s">
        <v>8245</v>
      </c>
      <c r="C648" s="493" t="s">
        <v>3674</v>
      </c>
      <c r="D648" s="493" t="s">
        <v>3911</v>
      </c>
      <c r="E648" s="493" t="s">
        <v>3719</v>
      </c>
      <c r="F648" s="493" t="s">
        <v>6821</v>
      </c>
      <c r="G648" s="493" t="s">
        <v>8246</v>
      </c>
      <c r="H648" s="493" t="s">
        <v>8213</v>
      </c>
      <c r="I648" s="501" t="s">
        <v>8214</v>
      </c>
    </row>
    <row r="649" spans="1:9" ht="14.45">
      <c r="A649" s="493">
        <v>90216</v>
      </c>
      <c r="B649" s="493" t="s">
        <v>8247</v>
      </c>
      <c r="C649" s="493" t="s">
        <v>3674</v>
      </c>
      <c r="D649" s="493" t="s">
        <v>3911</v>
      </c>
      <c r="E649" s="493" t="s">
        <v>3719</v>
      </c>
      <c r="F649" s="493" t="s">
        <v>6821</v>
      </c>
      <c r="G649" s="493" t="s">
        <v>8248</v>
      </c>
      <c r="H649" s="493" t="s">
        <v>8213</v>
      </c>
      <c r="I649" s="501" t="s">
        <v>8214</v>
      </c>
    </row>
    <row r="650" spans="1:9" ht="14.45">
      <c r="A650" s="493">
        <v>91328</v>
      </c>
      <c r="B650" s="493" t="s">
        <v>8249</v>
      </c>
      <c r="C650" s="493" t="s">
        <v>3659</v>
      </c>
      <c r="D650" s="493" t="s">
        <v>3911</v>
      </c>
      <c r="E650" s="493" t="s">
        <v>3719</v>
      </c>
      <c r="F650" s="493" t="s">
        <v>6821</v>
      </c>
      <c r="G650" s="493" t="s">
        <v>8250</v>
      </c>
      <c r="H650" s="493" t="s">
        <v>8213</v>
      </c>
      <c r="I650" s="501" t="s">
        <v>8214</v>
      </c>
    </row>
    <row r="651" spans="1:9" ht="14.45">
      <c r="A651" s="493">
        <v>91329</v>
      </c>
      <c r="B651" s="493" t="s">
        <v>8251</v>
      </c>
      <c r="C651" s="493" t="s">
        <v>3659</v>
      </c>
      <c r="D651" s="493" t="s">
        <v>3911</v>
      </c>
      <c r="E651" s="493" t="s">
        <v>3719</v>
      </c>
      <c r="F651" s="493" t="s">
        <v>6821</v>
      </c>
      <c r="G651" s="493" t="s">
        <v>8252</v>
      </c>
      <c r="H651" s="493" t="s">
        <v>8213</v>
      </c>
      <c r="I651" s="501" t="s">
        <v>8214</v>
      </c>
    </row>
    <row r="652" spans="1:9" ht="14.45">
      <c r="A652" s="493">
        <v>91330</v>
      </c>
      <c r="B652" s="493" t="s">
        <v>8253</v>
      </c>
      <c r="C652" s="493" t="s">
        <v>3659</v>
      </c>
      <c r="D652" s="493" t="s">
        <v>3911</v>
      </c>
      <c r="E652" s="493" t="s">
        <v>3719</v>
      </c>
      <c r="F652" s="493" t="s">
        <v>6821</v>
      </c>
      <c r="G652" s="493" t="s">
        <v>8254</v>
      </c>
      <c r="H652" s="493" t="s">
        <v>8213</v>
      </c>
      <c r="I652" s="501" t="s">
        <v>8214</v>
      </c>
    </row>
    <row r="653" spans="1:9" ht="14.45">
      <c r="A653" s="493">
        <v>91331</v>
      </c>
      <c r="B653" s="493" t="s">
        <v>8255</v>
      </c>
      <c r="C653" s="493" t="s">
        <v>3659</v>
      </c>
      <c r="D653" s="493" t="s">
        <v>3911</v>
      </c>
      <c r="E653" s="493" t="s">
        <v>3719</v>
      </c>
      <c r="F653" s="493" t="s">
        <v>6821</v>
      </c>
      <c r="G653" s="493" t="s">
        <v>8256</v>
      </c>
      <c r="H653" s="493" t="s">
        <v>8213</v>
      </c>
      <c r="I653" s="501" t="s">
        <v>8214</v>
      </c>
    </row>
    <row r="654" spans="1:9" ht="14.45">
      <c r="A654" s="493">
        <v>90215</v>
      </c>
      <c r="B654" s="493" t="s">
        <v>8257</v>
      </c>
      <c r="C654" s="493" t="s">
        <v>3674</v>
      </c>
      <c r="D654" s="493" t="s">
        <v>3911</v>
      </c>
      <c r="E654" s="493" t="s">
        <v>3719</v>
      </c>
      <c r="F654" s="493" t="s">
        <v>6821</v>
      </c>
      <c r="G654" s="493" t="s">
        <v>8258</v>
      </c>
      <c r="H654" s="493" t="s">
        <v>8213</v>
      </c>
      <c r="I654" s="501" t="s">
        <v>8259</v>
      </c>
    </row>
    <row r="655" spans="1:9" ht="14.45">
      <c r="A655" s="493">
        <v>90281</v>
      </c>
      <c r="B655" s="493" t="s">
        <v>8260</v>
      </c>
      <c r="C655" s="493" t="s">
        <v>3674</v>
      </c>
      <c r="D655" s="493" t="s">
        <v>3911</v>
      </c>
      <c r="E655" s="493" t="s">
        <v>8261</v>
      </c>
      <c r="F655" s="493" t="s">
        <v>6821</v>
      </c>
      <c r="G655" s="493" t="s">
        <v>8262</v>
      </c>
      <c r="H655" s="493" t="s">
        <v>8263</v>
      </c>
      <c r="I655" s="501" t="s">
        <v>8264</v>
      </c>
    </row>
    <row r="656" spans="1:9" ht="14.45">
      <c r="A656" s="493">
        <v>90121</v>
      </c>
      <c r="B656" s="493" t="s">
        <v>8265</v>
      </c>
      <c r="C656" s="493" t="s">
        <v>3674</v>
      </c>
      <c r="D656" s="493" t="s">
        <v>3911</v>
      </c>
      <c r="E656" s="493" t="s">
        <v>8261</v>
      </c>
      <c r="F656" s="493" t="s">
        <v>6821</v>
      </c>
      <c r="G656" s="493" t="s">
        <v>8266</v>
      </c>
      <c r="H656" s="493" t="s">
        <v>8263</v>
      </c>
      <c r="I656" s="501" t="s">
        <v>8264</v>
      </c>
    </row>
    <row r="657" spans="1:9" ht="14.45">
      <c r="A657" s="493">
        <v>90126</v>
      </c>
      <c r="B657" s="493" t="s">
        <v>8267</v>
      </c>
      <c r="C657" s="493" t="s">
        <v>3674</v>
      </c>
      <c r="D657" s="493" t="s">
        <v>3911</v>
      </c>
      <c r="E657" s="493" t="s">
        <v>8261</v>
      </c>
      <c r="F657" s="493" t="s">
        <v>6821</v>
      </c>
      <c r="G657" s="493" t="s">
        <v>8268</v>
      </c>
      <c r="H657" s="493" t="s">
        <v>8263</v>
      </c>
      <c r="I657" s="501" t="s">
        <v>8264</v>
      </c>
    </row>
    <row r="658" spans="1:9" ht="14.45">
      <c r="A658" s="493">
        <v>90127</v>
      </c>
      <c r="B658" s="493" t="s">
        <v>8269</v>
      </c>
      <c r="C658" s="493" t="s">
        <v>3674</v>
      </c>
      <c r="D658" s="493" t="s">
        <v>3911</v>
      </c>
      <c r="E658" s="493" t="s">
        <v>8261</v>
      </c>
      <c r="F658" s="493" t="s">
        <v>6821</v>
      </c>
      <c r="G658" s="493" t="s">
        <v>8270</v>
      </c>
      <c r="H658" s="493" t="s">
        <v>8263</v>
      </c>
      <c r="I658" s="501" t="s">
        <v>8264</v>
      </c>
    </row>
    <row r="659" spans="1:9" ht="14.45">
      <c r="A659" s="493">
        <v>90128</v>
      </c>
      <c r="B659" s="493" t="s">
        <v>8271</v>
      </c>
      <c r="C659" s="493" t="s">
        <v>3674</v>
      </c>
      <c r="D659" s="493" t="s">
        <v>3911</v>
      </c>
      <c r="E659" s="493" t="s">
        <v>8261</v>
      </c>
      <c r="F659" s="493" t="s">
        <v>6821</v>
      </c>
      <c r="G659" s="493" t="s">
        <v>8272</v>
      </c>
      <c r="H659" s="493" t="s">
        <v>8263</v>
      </c>
      <c r="I659" s="501" t="s">
        <v>8264</v>
      </c>
    </row>
    <row r="660" spans="1:9" ht="14.45">
      <c r="A660" s="493">
        <v>90129</v>
      </c>
      <c r="B660" s="493" t="s">
        <v>8273</v>
      </c>
      <c r="C660" s="493" t="s">
        <v>3674</v>
      </c>
      <c r="D660" s="493" t="s">
        <v>3911</v>
      </c>
      <c r="E660" s="493" t="s">
        <v>8261</v>
      </c>
      <c r="F660" s="493" t="s">
        <v>6821</v>
      </c>
      <c r="G660" s="493" t="s">
        <v>8274</v>
      </c>
      <c r="H660" s="493" t="s">
        <v>8263</v>
      </c>
      <c r="I660" s="501" t="s">
        <v>8264</v>
      </c>
    </row>
    <row r="661" spans="1:9" ht="14.45">
      <c r="A661" s="493">
        <v>90122</v>
      </c>
      <c r="B661" s="493" t="s">
        <v>8275</v>
      </c>
      <c r="C661" s="493" t="s">
        <v>3674</v>
      </c>
      <c r="D661" s="493" t="s">
        <v>3911</v>
      </c>
      <c r="E661" s="493" t="s">
        <v>8261</v>
      </c>
      <c r="F661" s="493" t="s">
        <v>6821</v>
      </c>
      <c r="G661" s="493" t="s">
        <v>8276</v>
      </c>
      <c r="H661" s="493" t="s">
        <v>8263</v>
      </c>
      <c r="I661" s="501" t="s">
        <v>8264</v>
      </c>
    </row>
    <row r="662" spans="1:9" ht="14.45">
      <c r="A662" s="493">
        <v>90278</v>
      </c>
      <c r="B662" s="493" t="s">
        <v>8277</v>
      </c>
      <c r="C662" s="493" t="s">
        <v>3674</v>
      </c>
      <c r="D662" s="493" t="s">
        <v>3911</v>
      </c>
      <c r="E662" s="493" t="s">
        <v>8261</v>
      </c>
      <c r="F662" s="493" t="s">
        <v>6821</v>
      </c>
      <c r="G662" s="493" t="s">
        <v>8278</v>
      </c>
      <c r="H662" s="493" t="s">
        <v>8263</v>
      </c>
      <c r="I662" s="501" t="s">
        <v>8264</v>
      </c>
    </row>
    <row r="663" spans="1:9" ht="14.45">
      <c r="A663" s="493">
        <v>90125</v>
      </c>
      <c r="B663" s="493" t="s">
        <v>8279</v>
      </c>
      <c r="C663" s="493" t="s">
        <v>3674</v>
      </c>
      <c r="D663" s="493" t="s">
        <v>3911</v>
      </c>
      <c r="E663" s="493" t="s">
        <v>8261</v>
      </c>
      <c r="F663" s="493" t="s">
        <v>6821</v>
      </c>
      <c r="G663" s="493" t="s">
        <v>8280</v>
      </c>
      <c r="H663" s="493" t="s">
        <v>8263</v>
      </c>
      <c r="I663" s="501" t="s">
        <v>8264</v>
      </c>
    </row>
    <row r="664" spans="1:9" ht="14.45">
      <c r="A664" s="493">
        <v>90124</v>
      </c>
      <c r="B664" s="493" t="s">
        <v>8281</v>
      </c>
      <c r="C664" s="493" t="s">
        <v>3674</v>
      </c>
      <c r="D664" s="493" t="s">
        <v>3911</v>
      </c>
      <c r="E664" s="493" t="s">
        <v>8261</v>
      </c>
      <c r="F664" s="493" t="s">
        <v>6821</v>
      </c>
      <c r="G664" s="493" t="s">
        <v>8282</v>
      </c>
      <c r="H664" s="493" t="s">
        <v>8263</v>
      </c>
      <c r="I664" s="501" t="s">
        <v>8264</v>
      </c>
    </row>
    <row r="665" spans="1:9" ht="14.45">
      <c r="A665" s="493">
        <v>90123</v>
      </c>
      <c r="B665" s="493" t="s">
        <v>8283</v>
      </c>
      <c r="C665" s="493" t="s">
        <v>3674</v>
      </c>
      <c r="D665" s="493" t="s">
        <v>3911</v>
      </c>
      <c r="E665" s="493" t="s">
        <v>8261</v>
      </c>
      <c r="F665" s="493" t="s">
        <v>6821</v>
      </c>
      <c r="G665" s="493" t="s">
        <v>8284</v>
      </c>
      <c r="H665" s="493" t="s">
        <v>8263</v>
      </c>
      <c r="I665" s="501" t="s">
        <v>8264</v>
      </c>
    </row>
    <row r="666" spans="1:9" ht="14.45">
      <c r="A666" s="493">
        <v>90280</v>
      </c>
      <c r="B666" s="493" t="s">
        <v>8285</v>
      </c>
      <c r="C666" s="493" t="s">
        <v>3674</v>
      </c>
      <c r="D666" s="493" t="s">
        <v>3911</v>
      </c>
      <c r="E666" s="493" t="s">
        <v>8261</v>
      </c>
      <c r="F666" s="493" t="s">
        <v>6821</v>
      </c>
      <c r="G666" s="493" t="s">
        <v>8286</v>
      </c>
      <c r="H666" s="493" t="s">
        <v>8263</v>
      </c>
      <c r="I666" s="501" t="s">
        <v>8264</v>
      </c>
    </row>
    <row r="667" spans="1:9" ht="14.45">
      <c r="A667" s="493">
        <v>90279</v>
      </c>
      <c r="B667" s="493" t="s">
        <v>8287</v>
      </c>
      <c r="C667" s="493" t="s">
        <v>3674</v>
      </c>
      <c r="D667" s="493" t="s">
        <v>3911</v>
      </c>
      <c r="E667" s="493" t="s">
        <v>8261</v>
      </c>
      <c r="F667" s="493" t="s">
        <v>6821</v>
      </c>
      <c r="G667" s="493" t="s">
        <v>8288</v>
      </c>
      <c r="H667" s="493" t="s">
        <v>8263</v>
      </c>
      <c r="I667" s="501" t="s">
        <v>8264</v>
      </c>
    </row>
    <row r="668" spans="1:9" ht="14.45">
      <c r="A668" s="493">
        <v>90277</v>
      </c>
      <c r="B668" s="493" t="s">
        <v>8289</v>
      </c>
      <c r="C668" s="493" t="s">
        <v>3674</v>
      </c>
      <c r="D668" s="493" t="s">
        <v>3911</v>
      </c>
      <c r="E668" s="493" t="s">
        <v>8261</v>
      </c>
      <c r="F668" s="493" t="s">
        <v>6821</v>
      </c>
      <c r="G668" s="493" t="s">
        <v>8290</v>
      </c>
      <c r="H668" s="493" t="s">
        <v>8263</v>
      </c>
      <c r="I668" s="501" t="s">
        <v>8264</v>
      </c>
    </row>
    <row r="669" spans="1:9" ht="14.45">
      <c r="A669" s="493">
        <v>90274</v>
      </c>
      <c r="B669" s="493" t="s">
        <v>8291</v>
      </c>
      <c r="C669" s="493" t="s">
        <v>3674</v>
      </c>
      <c r="D669" s="493" t="s">
        <v>3911</v>
      </c>
      <c r="E669" s="493" t="s">
        <v>8261</v>
      </c>
      <c r="F669" s="493" t="s">
        <v>6821</v>
      </c>
      <c r="G669" s="493" t="s">
        <v>8292</v>
      </c>
      <c r="H669" s="493" t="s">
        <v>8263</v>
      </c>
      <c r="I669" s="501" t="s">
        <v>8264</v>
      </c>
    </row>
    <row r="670" spans="1:9" ht="14.45">
      <c r="A670" s="493">
        <v>90273</v>
      </c>
      <c r="B670" s="493" t="s">
        <v>8293</v>
      </c>
      <c r="C670" s="493" t="s">
        <v>3674</v>
      </c>
      <c r="D670" s="493" t="s">
        <v>3911</v>
      </c>
      <c r="E670" s="493" t="s">
        <v>8261</v>
      </c>
      <c r="F670" s="493" t="s">
        <v>6821</v>
      </c>
      <c r="G670" s="493" t="s">
        <v>8294</v>
      </c>
      <c r="H670" s="493" t="s">
        <v>8263</v>
      </c>
      <c r="I670" s="501" t="s">
        <v>8264</v>
      </c>
    </row>
    <row r="671" spans="1:9" ht="14.45">
      <c r="A671" s="493">
        <v>90275</v>
      </c>
      <c r="B671" s="493" t="s">
        <v>8295</v>
      </c>
      <c r="C671" s="493" t="s">
        <v>3674</v>
      </c>
      <c r="D671" s="493" t="s">
        <v>3911</v>
      </c>
      <c r="E671" s="493" t="s">
        <v>8261</v>
      </c>
      <c r="F671" s="493" t="s">
        <v>6821</v>
      </c>
      <c r="G671" s="493" t="s">
        <v>8296</v>
      </c>
      <c r="H671" s="493" t="s">
        <v>8263</v>
      </c>
      <c r="I671" s="501" t="s">
        <v>8264</v>
      </c>
    </row>
    <row r="672" spans="1:9" ht="14.45">
      <c r="A672" s="493">
        <v>90276</v>
      </c>
      <c r="B672" s="493" t="s">
        <v>8297</v>
      </c>
      <c r="C672" s="493" t="s">
        <v>3674</v>
      </c>
      <c r="D672" s="493" t="s">
        <v>3911</v>
      </c>
      <c r="E672" s="493" t="s">
        <v>8261</v>
      </c>
      <c r="F672" s="493" t="s">
        <v>6821</v>
      </c>
      <c r="G672" s="493" t="s">
        <v>8298</v>
      </c>
      <c r="H672" s="493" t="s">
        <v>8263</v>
      </c>
      <c r="I672" s="501" t="s">
        <v>8264</v>
      </c>
    </row>
    <row r="673" spans="1:9" ht="14.45">
      <c r="A673" s="493">
        <v>91114</v>
      </c>
      <c r="B673" s="493" t="s">
        <v>8299</v>
      </c>
      <c r="C673" s="493" t="s">
        <v>3659</v>
      </c>
      <c r="D673" s="493" t="s">
        <v>3911</v>
      </c>
      <c r="E673" s="493" t="s">
        <v>8261</v>
      </c>
      <c r="F673" s="493" t="s">
        <v>6821</v>
      </c>
      <c r="G673" s="493" t="s">
        <v>8300</v>
      </c>
      <c r="H673" s="493" t="s">
        <v>8263</v>
      </c>
      <c r="I673" s="501" t="s">
        <v>8264</v>
      </c>
    </row>
    <row r="674" spans="1:9" ht="14.45">
      <c r="A674" s="493">
        <v>91117</v>
      </c>
      <c r="B674" s="493" t="s">
        <v>8301</v>
      </c>
      <c r="C674" s="493" t="s">
        <v>3659</v>
      </c>
      <c r="D674" s="493" t="s">
        <v>3911</v>
      </c>
      <c r="E674" s="493" t="s">
        <v>8261</v>
      </c>
      <c r="F674" s="493" t="s">
        <v>6821</v>
      </c>
      <c r="G674" s="493" t="s">
        <v>8302</v>
      </c>
      <c r="H674" s="493" t="s">
        <v>8263</v>
      </c>
      <c r="I674" s="501" t="s">
        <v>8264</v>
      </c>
    </row>
    <row r="675" spans="1:9" ht="14.45">
      <c r="A675" s="493">
        <v>91116</v>
      </c>
      <c r="B675" s="493" t="s">
        <v>8303</v>
      </c>
      <c r="C675" s="493" t="s">
        <v>3659</v>
      </c>
      <c r="D675" s="493" t="s">
        <v>3911</v>
      </c>
      <c r="E675" s="493" t="s">
        <v>8261</v>
      </c>
      <c r="F675" s="493" t="s">
        <v>6821</v>
      </c>
      <c r="G675" s="493" t="s">
        <v>8304</v>
      </c>
      <c r="H675" s="493" t="s">
        <v>8263</v>
      </c>
      <c r="I675" s="501" t="s">
        <v>8264</v>
      </c>
    </row>
    <row r="676" spans="1:9" ht="14.45">
      <c r="A676" s="493">
        <v>91115</v>
      </c>
      <c r="B676" s="493" t="s">
        <v>8305</v>
      </c>
      <c r="C676" s="493" t="s">
        <v>3659</v>
      </c>
      <c r="D676" s="493" t="s">
        <v>3911</v>
      </c>
      <c r="E676" s="493" t="s">
        <v>8261</v>
      </c>
      <c r="F676" s="493" t="s">
        <v>6821</v>
      </c>
      <c r="G676" s="493" t="s">
        <v>8306</v>
      </c>
      <c r="H676" s="493" t="s">
        <v>8263</v>
      </c>
      <c r="I676" s="501" t="s">
        <v>8264</v>
      </c>
    </row>
    <row r="677" spans="1:9" ht="14.45">
      <c r="A677" s="493">
        <v>90460</v>
      </c>
      <c r="B677" s="493" t="s">
        <v>8307</v>
      </c>
      <c r="C677" s="493" t="s">
        <v>3674</v>
      </c>
      <c r="D677" s="493" t="s">
        <v>3911</v>
      </c>
      <c r="E677" s="493" t="s">
        <v>8261</v>
      </c>
      <c r="F677" s="493" t="s">
        <v>6821</v>
      </c>
      <c r="G677" s="493" t="s">
        <v>8308</v>
      </c>
      <c r="H677" s="493" t="s">
        <v>8263</v>
      </c>
      <c r="I677" s="501" t="s">
        <v>8309</v>
      </c>
    </row>
    <row r="678" spans="1:9" ht="14.45">
      <c r="A678" s="493">
        <v>90318</v>
      </c>
      <c r="B678" s="493" t="s">
        <v>8310</v>
      </c>
      <c r="C678" s="493" t="s">
        <v>3674</v>
      </c>
      <c r="D678" s="493" t="s">
        <v>2369</v>
      </c>
      <c r="E678" s="493" t="s">
        <v>8311</v>
      </c>
      <c r="F678" s="493" t="s">
        <v>6821</v>
      </c>
      <c r="G678" s="493" t="s">
        <v>8312</v>
      </c>
      <c r="H678" s="493" t="s">
        <v>8313</v>
      </c>
      <c r="I678" s="501" t="s">
        <v>8314</v>
      </c>
    </row>
    <row r="679" spans="1:9" ht="14.45">
      <c r="A679" s="493">
        <v>90406</v>
      </c>
      <c r="B679" s="493" t="s">
        <v>8315</v>
      </c>
      <c r="C679" s="493" t="s">
        <v>3674</v>
      </c>
      <c r="D679" s="493" t="s">
        <v>2369</v>
      </c>
      <c r="E679" s="493" t="s">
        <v>8311</v>
      </c>
      <c r="F679" s="493" t="s">
        <v>6821</v>
      </c>
      <c r="G679" s="493" t="s">
        <v>8316</v>
      </c>
      <c r="H679" s="493" t="s">
        <v>8317</v>
      </c>
      <c r="I679" s="501" t="s">
        <v>8318</v>
      </c>
    </row>
    <row r="680" spans="1:9" ht="14.45">
      <c r="A680" s="493">
        <v>90401</v>
      </c>
      <c r="B680" s="493" t="s">
        <v>8319</v>
      </c>
      <c r="C680" s="493" t="s">
        <v>3674</v>
      </c>
      <c r="D680" s="493" t="s">
        <v>2369</v>
      </c>
      <c r="E680" s="493" t="s">
        <v>47</v>
      </c>
      <c r="F680" s="493" t="s">
        <v>6821</v>
      </c>
      <c r="G680" s="493" t="s">
        <v>8320</v>
      </c>
      <c r="H680" s="493" t="s">
        <v>7862</v>
      </c>
      <c r="I680" s="501" t="s">
        <v>7863</v>
      </c>
    </row>
    <row r="681" spans="1:9" ht="14.45">
      <c r="A681" s="493">
        <v>90459</v>
      </c>
      <c r="B681" s="493" t="s">
        <v>8321</v>
      </c>
      <c r="C681" s="493" t="s">
        <v>3674</v>
      </c>
      <c r="D681" s="493" t="s">
        <v>3911</v>
      </c>
      <c r="E681" s="493" t="s">
        <v>8261</v>
      </c>
      <c r="F681" s="493" t="s">
        <v>6821</v>
      </c>
      <c r="G681" s="493" t="s">
        <v>8322</v>
      </c>
      <c r="H681" s="493" t="s">
        <v>8263</v>
      </c>
      <c r="I681" s="501" t="s">
        <v>8309</v>
      </c>
    </row>
    <row r="682" spans="1:9" ht="14.45">
      <c r="A682" s="493">
        <v>90214</v>
      </c>
      <c r="B682" s="493" t="s">
        <v>8323</v>
      </c>
      <c r="C682" s="493" t="s">
        <v>3674</v>
      </c>
      <c r="D682" s="493" t="s">
        <v>3911</v>
      </c>
      <c r="E682" s="493" t="s">
        <v>3719</v>
      </c>
      <c r="F682" s="493" t="s">
        <v>6821</v>
      </c>
      <c r="G682" s="493" t="s">
        <v>8324</v>
      </c>
      <c r="H682" s="493" t="s">
        <v>8213</v>
      </c>
      <c r="I682" s="501" t="s">
        <v>8259</v>
      </c>
    </row>
    <row r="683" spans="1:9" ht="14.45">
      <c r="A683" s="493">
        <v>90875</v>
      </c>
      <c r="B683" s="493" t="s">
        <v>3874</v>
      </c>
      <c r="C683" s="493" t="s">
        <v>3674</v>
      </c>
      <c r="D683" s="493" t="s">
        <v>2250</v>
      </c>
      <c r="E683" s="493" t="s">
        <v>3875</v>
      </c>
      <c r="F683" s="493" t="s">
        <v>6821</v>
      </c>
      <c r="G683" s="493" t="s">
        <v>8325</v>
      </c>
      <c r="H683" s="493" t="s">
        <v>6823</v>
      </c>
      <c r="I683" s="501" t="s">
        <v>6824</v>
      </c>
    </row>
    <row r="684" spans="1:9" ht="14.45">
      <c r="A684" s="493">
        <v>90876</v>
      </c>
      <c r="B684" s="493" t="s">
        <v>3878</v>
      </c>
      <c r="C684" s="493" t="s">
        <v>3674</v>
      </c>
      <c r="D684" s="493" t="s">
        <v>2250</v>
      </c>
      <c r="E684" s="493" t="s">
        <v>3875</v>
      </c>
      <c r="F684" s="493" t="s">
        <v>6821</v>
      </c>
      <c r="G684" s="493" t="s">
        <v>8326</v>
      </c>
      <c r="H684" s="493" t="s">
        <v>6823</v>
      </c>
      <c r="I684" s="501" t="s">
        <v>6824</v>
      </c>
    </row>
    <row r="685" spans="1:9" ht="14.45">
      <c r="A685" s="493">
        <v>90877</v>
      </c>
      <c r="B685" s="493" t="s">
        <v>3881</v>
      </c>
      <c r="C685" s="493" t="s">
        <v>3674</v>
      </c>
      <c r="D685" s="493" t="s">
        <v>2250</v>
      </c>
      <c r="E685" s="493" t="s">
        <v>3875</v>
      </c>
      <c r="F685" s="493" t="s">
        <v>6821</v>
      </c>
      <c r="G685" s="493" t="s">
        <v>8327</v>
      </c>
      <c r="H685" s="493" t="s">
        <v>6823</v>
      </c>
      <c r="I685" s="501" t="s">
        <v>6824</v>
      </c>
    </row>
    <row r="686" spans="1:9" ht="14.45">
      <c r="A686" s="493">
        <v>91017</v>
      </c>
      <c r="B686" s="493" t="s">
        <v>3895</v>
      </c>
      <c r="C686" s="493" t="s">
        <v>3674</v>
      </c>
      <c r="D686" s="493" t="s">
        <v>2250</v>
      </c>
      <c r="E686" s="493" t="s">
        <v>3875</v>
      </c>
      <c r="F686" s="493" t="s">
        <v>6821</v>
      </c>
      <c r="G686" s="493" t="s">
        <v>8328</v>
      </c>
      <c r="H686" s="493" t="s">
        <v>6823</v>
      </c>
      <c r="I686" s="501" t="s">
        <v>6824</v>
      </c>
    </row>
    <row r="687" spans="1:9" ht="14.45">
      <c r="A687" s="493">
        <v>90886</v>
      </c>
      <c r="B687" s="493" t="s">
        <v>3736</v>
      </c>
      <c r="C687" s="493" t="s">
        <v>3674</v>
      </c>
      <c r="D687" s="493" t="s">
        <v>3718</v>
      </c>
      <c r="E687" s="493" t="s">
        <v>3719</v>
      </c>
      <c r="F687" s="493" t="s">
        <v>6821</v>
      </c>
      <c r="G687" s="493" t="s">
        <v>8329</v>
      </c>
      <c r="H687" s="493" t="s">
        <v>6823</v>
      </c>
      <c r="I687" s="501" t="s">
        <v>6827</v>
      </c>
    </row>
    <row r="688" spans="1:9" ht="14.45">
      <c r="A688" s="493">
        <v>90887</v>
      </c>
      <c r="B688" s="493" t="s">
        <v>3739</v>
      </c>
      <c r="C688" s="493" t="s">
        <v>3674</v>
      </c>
      <c r="D688" s="493" t="s">
        <v>3718</v>
      </c>
      <c r="E688" s="493" t="s">
        <v>3719</v>
      </c>
      <c r="F688" s="493" t="s">
        <v>6821</v>
      </c>
      <c r="G688" s="493" t="s">
        <v>8330</v>
      </c>
      <c r="H688" s="493" t="s">
        <v>6823</v>
      </c>
      <c r="I688" s="501" t="s">
        <v>6827</v>
      </c>
    </row>
    <row r="689" spans="1:9" ht="14.45">
      <c r="A689" s="493">
        <v>90888</v>
      </c>
      <c r="B689" s="493" t="s">
        <v>3742</v>
      </c>
      <c r="C689" s="493" t="s">
        <v>3674</v>
      </c>
      <c r="D689" s="493" t="s">
        <v>3718</v>
      </c>
      <c r="E689" s="493" t="s">
        <v>3719</v>
      </c>
      <c r="F689" s="493" t="s">
        <v>6821</v>
      </c>
      <c r="G689" s="493" t="s">
        <v>8331</v>
      </c>
      <c r="H689" s="493" t="s">
        <v>6823</v>
      </c>
      <c r="I689" s="501" t="s">
        <v>6827</v>
      </c>
    </row>
    <row r="690" spans="1:9" ht="14.45">
      <c r="A690" s="493">
        <v>91342</v>
      </c>
      <c r="B690" s="493" t="s">
        <v>3745</v>
      </c>
      <c r="C690" s="493" t="s">
        <v>3674</v>
      </c>
      <c r="D690" s="493" t="s">
        <v>3718</v>
      </c>
      <c r="E690" s="493" t="s">
        <v>3719</v>
      </c>
      <c r="F690" s="493" t="s">
        <v>6821</v>
      </c>
      <c r="G690" s="493" t="s">
        <v>8332</v>
      </c>
      <c r="H690" s="493" t="s">
        <v>6823</v>
      </c>
      <c r="I690" s="501" t="s">
        <v>6827</v>
      </c>
    </row>
    <row r="691" spans="1:9" ht="14.45">
      <c r="A691" s="493">
        <v>90880</v>
      </c>
      <c r="B691" s="493" t="s">
        <v>3899</v>
      </c>
      <c r="C691" s="493" t="s">
        <v>3659</v>
      </c>
      <c r="D691" s="493" t="s">
        <v>3900</v>
      </c>
      <c r="E691" s="493" t="s">
        <v>3875</v>
      </c>
      <c r="F691" s="493" t="s">
        <v>6821</v>
      </c>
      <c r="G691" s="493" t="s">
        <v>8333</v>
      </c>
      <c r="H691" s="493" t="s">
        <v>6830</v>
      </c>
      <c r="I691" s="501" t="s">
        <v>6831</v>
      </c>
    </row>
    <row r="692" spans="1:9" ht="14.45">
      <c r="A692" s="493">
        <v>90889</v>
      </c>
      <c r="B692" s="493" t="s">
        <v>3717</v>
      </c>
      <c r="C692" s="493" t="s">
        <v>3659</v>
      </c>
      <c r="D692" s="493" t="s">
        <v>3718</v>
      </c>
      <c r="E692" s="493" t="s">
        <v>3719</v>
      </c>
      <c r="F692" s="493" t="s">
        <v>6821</v>
      </c>
      <c r="G692" s="493" t="s">
        <v>8334</v>
      </c>
      <c r="H692" s="493" t="s">
        <v>6830</v>
      </c>
      <c r="I692" s="501" t="s">
        <v>6827</v>
      </c>
    </row>
    <row r="693" spans="1:9" ht="14.45">
      <c r="A693" s="493">
        <v>90881</v>
      </c>
      <c r="B693" s="493" t="s">
        <v>3950</v>
      </c>
      <c r="C693" s="493" t="s">
        <v>3674</v>
      </c>
      <c r="D693" s="493" t="s">
        <v>3900</v>
      </c>
      <c r="E693" s="493" t="s">
        <v>3875</v>
      </c>
      <c r="F693" s="493" t="s">
        <v>6821</v>
      </c>
      <c r="G693" s="493" t="s">
        <v>8335</v>
      </c>
      <c r="H693" s="493" t="s">
        <v>6836</v>
      </c>
      <c r="I693" s="501" t="s">
        <v>6837</v>
      </c>
    </row>
    <row r="694" spans="1:9" ht="14.45">
      <c r="A694" s="493">
        <v>90882</v>
      </c>
      <c r="B694" s="493" t="s">
        <v>3945</v>
      </c>
      <c r="C694" s="493" t="s">
        <v>3659</v>
      </c>
      <c r="D694" s="493" t="s">
        <v>3900</v>
      </c>
      <c r="E694" s="493" t="s">
        <v>3875</v>
      </c>
      <c r="F694" s="493" t="s">
        <v>6821</v>
      </c>
      <c r="G694" s="493" t="s">
        <v>8336</v>
      </c>
      <c r="H694" s="493" t="s">
        <v>6836</v>
      </c>
      <c r="I694" s="501" t="s">
        <v>6837</v>
      </c>
    </row>
    <row r="695" spans="1:9" ht="14.45">
      <c r="A695" s="493">
        <v>90883</v>
      </c>
      <c r="B695" s="493" t="s">
        <v>3954</v>
      </c>
      <c r="C695" s="493" t="s">
        <v>3659</v>
      </c>
      <c r="D695" s="493" t="s">
        <v>3900</v>
      </c>
      <c r="E695" s="493" t="s">
        <v>3875</v>
      </c>
      <c r="F695" s="493" t="s">
        <v>6821</v>
      </c>
      <c r="G695" s="493" t="s">
        <v>8337</v>
      </c>
      <c r="H695" s="493" t="s">
        <v>6836</v>
      </c>
      <c r="I695" s="501" t="s">
        <v>6837</v>
      </c>
    </row>
    <row r="696" spans="1:9" ht="14.45">
      <c r="A696" s="493">
        <v>90890</v>
      </c>
      <c r="B696" s="493" t="s">
        <v>5499</v>
      </c>
      <c r="C696" s="493" t="s">
        <v>3674</v>
      </c>
      <c r="D696" s="493" t="s">
        <v>3718</v>
      </c>
      <c r="E696" s="493" t="s">
        <v>3719</v>
      </c>
      <c r="F696" s="493" t="s">
        <v>6821</v>
      </c>
      <c r="G696" s="493" t="s">
        <v>8338</v>
      </c>
      <c r="H696" s="493" t="s">
        <v>6836</v>
      </c>
      <c r="I696" s="501" t="s">
        <v>6827</v>
      </c>
    </row>
    <row r="697" spans="1:9" ht="14.45">
      <c r="A697" s="493">
        <v>90891</v>
      </c>
      <c r="B697" s="493" t="s">
        <v>5507</v>
      </c>
      <c r="C697" s="493" t="s">
        <v>3659</v>
      </c>
      <c r="D697" s="493" t="s">
        <v>3718</v>
      </c>
      <c r="E697" s="493" t="s">
        <v>3719</v>
      </c>
      <c r="F697" s="493" t="s">
        <v>6821</v>
      </c>
      <c r="G697" s="493" t="s">
        <v>8339</v>
      </c>
      <c r="H697" s="493" t="s">
        <v>6836</v>
      </c>
      <c r="I697" s="501" t="s">
        <v>6827</v>
      </c>
    </row>
    <row r="698" spans="1:9" ht="14.45">
      <c r="A698" s="493">
        <v>90892</v>
      </c>
      <c r="B698" s="493" t="s">
        <v>5510</v>
      </c>
      <c r="C698" s="493" t="s">
        <v>3659</v>
      </c>
      <c r="D698" s="493" t="s">
        <v>3718</v>
      </c>
      <c r="E698" s="493" t="s">
        <v>3719</v>
      </c>
      <c r="F698" s="493" t="s">
        <v>6821</v>
      </c>
      <c r="G698" s="493" t="s">
        <v>8340</v>
      </c>
      <c r="H698" s="493" t="s">
        <v>6836</v>
      </c>
      <c r="I698" s="501" t="s">
        <v>6827</v>
      </c>
    </row>
    <row r="699" spans="1:9" ht="14.45">
      <c r="A699" s="493">
        <v>90884</v>
      </c>
      <c r="B699" s="493" t="s">
        <v>3975</v>
      </c>
      <c r="C699" s="493" t="s">
        <v>3659</v>
      </c>
      <c r="D699" s="493" t="s">
        <v>3900</v>
      </c>
      <c r="E699" s="493" t="s">
        <v>3875</v>
      </c>
      <c r="F699" s="493" t="s">
        <v>6821</v>
      </c>
      <c r="G699" s="493" t="s">
        <v>8341</v>
      </c>
      <c r="H699" s="493" t="s">
        <v>6842</v>
      </c>
      <c r="I699" s="501" t="s">
        <v>6843</v>
      </c>
    </row>
    <row r="700" spans="1:9" ht="14.45">
      <c r="A700" s="493">
        <v>90893</v>
      </c>
      <c r="B700" s="493" t="s">
        <v>3750</v>
      </c>
      <c r="C700" s="493" t="s">
        <v>3659</v>
      </c>
      <c r="D700" s="493" t="s">
        <v>3718</v>
      </c>
      <c r="E700" s="493" t="s">
        <v>3719</v>
      </c>
      <c r="F700" s="493" t="s">
        <v>6821</v>
      </c>
      <c r="G700" s="493" t="s">
        <v>8342</v>
      </c>
      <c r="H700" s="493" t="s">
        <v>6842</v>
      </c>
      <c r="I700" s="501" t="s">
        <v>6845</v>
      </c>
    </row>
    <row r="701" spans="1:9" ht="14.45">
      <c r="A701" s="493">
        <v>90885</v>
      </c>
      <c r="B701" s="493" t="s">
        <v>3980</v>
      </c>
      <c r="C701" s="493" t="s">
        <v>3659</v>
      </c>
      <c r="D701" s="493" t="s">
        <v>3900</v>
      </c>
      <c r="E701" s="493" t="s">
        <v>3875</v>
      </c>
      <c r="F701" s="493" t="s">
        <v>6821</v>
      </c>
      <c r="G701" s="493" t="s">
        <v>8343</v>
      </c>
      <c r="H701" s="493" t="s">
        <v>6847</v>
      </c>
      <c r="I701" s="501" t="s">
        <v>6848</v>
      </c>
    </row>
    <row r="702" spans="1:9" ht="14.45">
      <c r="A702" s="493">
        <v>90894</v>
      </c>
      <c r="B702" s="493" t="s">
        <v>3760</v>
      </c>
      <c r="C702" s="493" t="s">
        <v>3659</v>
      </c>
      <c r="D702" s="493" t="s">
        <v>3718</v>
      </c>
      <c r="E702" s="493" t="s">
        <v>3719</v>
      </c>
      <c r="F702" s="493" t="s">
        <v>6821</v>
      </c>
      <c r="G702" s="493" t="s">
        <v>8344</v>
      </c>
      <c r="H702" s="493" t="s">
        <v>6847</v>
      </c>
      <c r="I702" s="501" t="s">
        <v>8345</v>
      </c>
    </row>
    <row r="703" spans="1:9" ht="14.45">
      <c r="A703" s="493">
        <v>91278</v>
      </c>
      <c r="B703" s="493" t="s">
        <v>3855</v>
      </c>
      <c r="C703" s="493" t="s">
        <v>3659</v>
      </c>
      <c r="D703" s="493" t="s">
        <v>3718</v>
      </c>
      <c r="E703" s="493" t="s">
        <v>3719</v>
      </c>
      <c r="F703" s="493" t="s">
        <v>6821</v>
      </c>
      <c r="G703" s="493" t="s">
        <v>8346</v>
      </c>
      <c r="H703" s="493" t="s">
        <v>8347</v>
      </c>
      <c r="I703" s="501" t="s">
        <v>6863</v>
      </c>
    </row>
    <row r="704" spans="1:9" ht="14.45">
      <c r="A704" s="493">
        <v>91277</v>
      </c>
      <c r="B704" s="493" t="s">
        <v>3853</v>
      </c>
      <c r="C704" s="493" t="s">
        <v>3659</v>
      </c>
      <c r="D704" s="493" t="s">
        <v>3718</v>
      </c>
      <c r="E704" s="493" t="s">
        <v>3719</v>
      </c>
      <c r="F704" s="493" t="s">
        <v>6821</v>
      </c>
      <c r="G704" s="493" t="s">
        <v>8348</v>
      </c>
      <c r="H704" s="493" t="s">
        <v>8347</v>
      </c>
      <c r="I704" s="501" t="s">
        <v>6863</v>
      </c>
    </row>
    <row r="705" spans="1:9" ht="14.45">
      <c r="A705" s="493">
        <v>91276</v>
      </c>
      <c r="B705" s="493" t="s">
        <v>3851</v>
      </c>
      <c r="C705" s="493" t="s">
        <v>3659</v>
      </c>
      <c r="D705" s="493" t="s">
        <v>3718</v>
      </c>
      <c r="E705" s="493" t="s">
        <v>3719</v>
      </c>
      <c r="F705" s="493" t="s">
        <v>6821</v>
      </c>
      <c r="G705" s="493" t="s">
        <v>8349</v>
      </c>
      <c r="H705" s="493" t="s">
        <v>8347</v>
      </c>
      <c r="I705" s="501" t="s">
        <v>6863</v>
      </c>
    </row>
    <row r="706" spans="1:9" ht="14.45">
      <c r="A706" s="493">
        <v>91284</v>
      </c>
      <c r="B706" s="493" t="s">
        <v>3862</v>
      </c>
      <c r="C706" s="493" t="s">
        <v>3659</v>
      </c>
      <c r="D706" s="493" t="s">
        <v>3718</v>
      </c>
      <c r="E706" s="493" t="s">
        <v>3719</v>
      </c>
      <c r="F706" s="493" t="s">
        <v>6821</v>
      </c>
      <c r="G706" s="493" t="s">
        <v>8350</v>
      </c>
      <c r="H706" s="493" t="s">
        <v>8347</v>
      </c>
      <c r="I706" s="501" t="s">
        <v>6863</v>
      </c>
    </row>
    <row r="707" spans="1:9" ht="14.45">
      <c r="A707" s="493">
        <v>91282</v>
      </c>
      <c r="B707" s="493" t="s">
        <v>3859</v>
      </c>
      <c r="C707" s="493" t="s">
        <v>3659</v>
      </c>
      <c r="D707" s="493" t="s">
        <v>3718</v>
      </c>
      <c r="E707" s="493" t="s">
        <v>3719</v>
      </c>
      <c r="F707" s="493" t="s">
        <v>6821</v>
      </c>
      <c r="G707" s="493" t="s">
        <v>8351</v>
      </c>
      <c r="H707" s="493" t="s">
        <v>8347</v>
      </c>
      <c r="I707" s="501" t="s">
        <v>6863</v>
      </c>
    </row>
    <row r="708" spans="1:9" ht="14.45">
      <c r="A708" s="493">
        <v>91290</v>
      </c>
      <c r="B708" s="493" t="s">
        <v>5273</v>
      </c>
      <c r="C708" s="493" t="s">
        <v>3659</v>
      </c>
      <c r="D708" s="493" t="s">
        <v>3718</v>
      </c>
      <c r="E708" s="493" t="s">
        <v>3719</v>
      </c>
      <c r="F708" s="493" t="s">
        <v>6821</v>
      </c>
      <c r="G708" s="493" t="s">
        <v>8352</v>
      </c>
      <c r="H708" s="493" t="s">
        <v>6875</v>
      </c>
      <c r="I708" s="501" t="s">
        <v>6876</v>
      </c>
    </row>
    <row r="709" spans="1:9" ht="14.45">
      <c r="A709" s="493">
        <v>91285</v>
      </c>
      <c r="B709" s="493" t="s">
        <v>5106</v>
      </c>
      <c r="C709" s="493" t="s">
        <v>3659</v>
      </c>
      <c r="D709" s="493" t="s">
        <v>3718</v>
      </c>
      <c r="E709" s="493" t="s">
        <v>3919</v>
      </c>
      <c r="F709" s="493" t="s">
        <v>6821</v>
      </c>
      <c r="G709" s="493" t="s">
        <v>8353</v>
      </c>
      <c r="H709" s="493" t="s">
        <v>6878</v>
      </c>
      <c r="I709" s="501" t="s">
        <v>6879</v>
      </c>
    </row>
    <row r="710" spans="1:9" ht="14.45">
      <c r="A710" s="493">
        <v>91286</v>
      </c>
      <c r="B710" s="493" t="s">
        <v>5109</v>
      </c>
      <c r="C710" s="493" t="s">
        <v>3659</v>
      </c>
      <c r="D710" s="493" t="s">
        <v>3718</v>
      </c>
      <c r="E710" s="493" t="s">
        <v>3719</v>
      </c>
      <c r="F710" s="493" t="s">
        <v>6821</v>
      </c>
      <c r="G710" s="493" t="s">
        <v>8354</v>
      </c>
      <c r="H710" s="493" t="s">
        <v>6881</v>
      </c>
      <c r="I710" s="501" t="s">
        <v>6882</v>
      </c>
    </row>
    <row r="711" spans="1:9" ht="14.45">
      <c r="A711" s="493">
        <v>91289</v>
      </c>
      <c r="B711" s="493" t="s">
        <v>5112</v>
      </c>
      <c r="C711" s="493" t="s">
        <v>3659</v>
      </c>
      <c r="D711" s="493" t="s">
        <v>3718</v>
      </c>
      <c r="E711" s="493" t="s">
        <v>3719</v>
      </c>
      <c r="F711" s="493" t="s">
        <v>6821</v>
      </c>
      <c r="G711" s="493" t="s">
        <v>8355</v>
      </c>
      <c r="H711" s="493" t="s">
        <v>6884</v>
      </c>
      <c r="I711" s="501" t="s">
        <v>6885</v>
      </c>
    </row>
    <row r="712" spans="1:9" ht="14.45">
      <c r="A712" s="493">
        <v>91246</v>
      </c>
      <c r="B712" s="493" t="s">
        <v>8356</v>
      </c>
      <c r="C712" s="493" t="s">
        <v>3659</v>
      </c>
      <c r="D712" s="493" t="s">
        <v>4102</v>
      </c>
      <c r="E712" s="493" t="s">
        <v>6886</v>
      </c>
      <c r="F712" s="493" t="s">
        <v>6821</v>
      </c>
      <c r="G712" s="493" t="s">
        <v>8357</v>
      </c>
      <c r="H712" s="493" t="s">
        <v>6888</v>
      </c>
      <c r="I712" s="501" t="s">
        <v>6889</v>
      </c>
    </row>
    <row r="713" spans="1:9" ht="14.45">
      <c r="A713" s="493">
        <v>91245</v>
      </c>
      <c r="B713" s="493" t="s">
        <v>2840</v>
      </c>
      <c r="C713" s="493" t="s">
        <v>3659</v>
      </c>
      <c r="D713" s="493" t="s">
        <v>4102</v>
      </c>
      <c r="E713" s="493" t="s">
        <v>6886</v>
      </c>
      <c r="F713" s="493" t="s">
        <v>6821</v>
      </c>
      <c r="G713" s="493" t="s">
        <v>8358</v>
      </c>
      <c r="H713" s="493" t="s">
        <v>6891</v>
      </c>
      <c r="I713" s="501" t="s">
        <v>6892</v>
      </c>
    </row>
    <row r="714" spans="1:9" ht="14.45">
      <c r="A714" s="493">
        <v>90057</v>
      </c>
      <c r="B714" s="493" t="s">
        <v>4479</v>
      </c>
      <c r="C714" s="493" t="s">
        <v>3674</v>
      </c>
      <c r="D714" s="493" t="s">
        <v>4102</v>
      </c>
      <c r="E714" s="493" t="s">
        <v>846</v>
      </c>
      <c r="F714" s="493" t="s">
        <v>6821</v>
      </c>
      <c r="G714" s="493" t="s">
        <v>8359</v>
      </c>
      <c r="H714" s="493" t="s">
        <v>6895</v>
      </c>
      <c r="I714" s="501" t="s">
        <v>6896</v>
      </c>
    </row>
    <row r="715" spans="1:9" ht="14.45">
      <c r="A715" s="493">
        <v>91244</v>
      </c>
      <c r="B715" s="493" t="s">
        <v>5011</v>
      </c>
      <c r="C715" s="493" t="s">
        <v>3674</v>
      </c>
      <c r="D715" s="493" t="s">
        <v>4102</v>
      </c>
      <c r="E715" s="493" t="s">
        <v>846</v>
      </c>
      <c r="F715" s="493" t="s">
        <v>6821</v>
      </c>
      <c r="G715" s="493" t="s">
        <v>8360</v>
      </c>
      <c r="H715" s="493" t="s">
        <v>6895</v>
      </c>
      <c r="I715" s="501" t="s">
        <v>6896</v>
      </c>
    </row>
    <row r="716" spans="1:9" ht="14.45">
      <c r="A716" s="493">
        <v>91243</v>
      </c>
      <c r="B716" s="493" t="s">
        <v>5009</v>
      </c>
      <c r="C716" s="493" t="s">
        <v>3659</v>
      </c>
      <c r="D716" s="493" t="s">
        <v>4102</v>
      </c>
      <c r="E716" s="493" t="s">
        <v>846</v>
      </c>
      <c r="F716" s="493" t="s">
        <v>6821</v>
      </c>
      <c r="G716" s="493" t="s">
        <v>8361</v>
      </c>
      <c r="H716" s="493" t="s">
        <v>6895</v>
      </c>
      <c r="I716" s="501" t="s">
        <v>6896</v>
      </c>
    </row>
    <row r="717" spans="1:9" ht="14.45">
      <c r="A717" s="493">
        <v>91241</v>
      </c>
      <c r="B717" s="493" t="s">
        <v>5004</v>
      </c>
      <c r="C717" s="493" t="s">
        <v>3674</v>
      </c>
      <c r="D717" s="493" t="s">
        <v>4102</v>
      </c>
      <c r="E717" s="493" t="s">
        <v>846</v>
      </c>
      <c r="F717" s="493" t="s">
        <v>6821</v>
      </c>
      <c r="G717" s="493" t="s">
        <v>8362</v>
      </c>
      <c r="H717" s="493" t="s">
        <v>6899</v>
      </c>
      <c r="I717" s="501" t="s">
        <v>6900</v>
      </c>
    </row>
    <row r="718" spans="1:9" ht="14.45">
      <c r="A718" s="493">
        <v>91238</v>
      </c>
      <c r="B718" s="493" t="s">
        <v>5000</v>
      </c>
      <c r="C718" s="493" t="s">
        <v>3659</v>
      </c>
      <c r="D718" s="493" t="s">
        <v>4102</v>
      </c>
      <c r="E718" s="493" t="s">
        <v>846</v>
      </c>
      <c r="F718" s="493" t="s">
        <v>6821</v>
      </c>
      <c r="G718" s="493" t="s">
        <v>8363</v>
      </c>
      <c r="H718" s="493" t="s">
        <v>6899</v>
      </c>
      <c r="I718" s="501" t="s">
        <v>6900</v>
      </c>
    </row>
    <row r="719" spans="1:9" ht="14.45">
      <c r="A719" s="493">
        <v>91239</v>
      </c>
      <c r="B719" s="493" t="s">
        <v>4998</v>
      </c>
      <c r="C719" s="493" t="s">
        <v>3659</v>
      </c>
      <c r="D719" s="493" t="s">
        <v>4102</v>
      </c>
      <c r="E719" s="493" t="s">
        <v>846</v>
      </c>
      <c r="F719" s="493" t="s">
        <v>6821</v>
      </c>
      <c r="G719" s="493" t="s">
        <v>8364</v>
      </c>
      <c r="H719" s="493" t="s">
        <v>6899</v>
      </c>
      <c r="I719" s="501" t="s">
        <v>6900</v>
      </c>
    </row>
    <row r="720" spans="1:9" ht="14.45">
      <c r="A720" s="493">
        <v>91275</v>
      </c>
      <c r="B720" s="493" t="s">
        <v>3092</v>
      </c>
      <c r="C720" s="493" t="s">
        <v>3659</v>
      </c>
      <c r="D720" s="493" t="s">
        <v>3770</v>
      </c>
      <c r="E720" s="493" t="s">
        <v>4309</v>
      </c>
      <c r="F720" s="493" t="s">
        <v>6906</v>
      </c>
      <c r="G720" s="493" t="s">
        <v>8365</v>
      </c>
      <c r="H720" s="493" t="s">
        <v>6908</v>
      </c>
      <c r="I720" s="501" t="s">
        <v>6909</v>
      </c>
    </row>
    <row r="721" spans="1:9" ht="14.45">
      <c r="A721" s="493">
        <v>91274</v>
      </c>
      <c r="B721" s="493" t="s">
        <v>3093</v>
      </c>
      <c r="C721" s="493" t="s">
        <v>3659</v>
      </c>
      <c r="D721" s="493" t="s">
        <v>3770</v>
      </c>
      <c r="E721" s="493" t="s">
        <v>4309</v>
      </c>
      <c r="F721" s="493" t="s">
        <v>6906</v>
      </c>
      <c r="G721" s="493" t="s">
        <v>8366</v>
      </c>
      <c r="H721" s="493" t="s">
        <v>6908</v>
      </c>
      <c r="I721" s="501" t="s">
        <v>6909</v>
      </c>
    </row>
    <row r="722" spans="1:9" ht="14.45">
      <c r="A722" s="493">
        <v>91271</v>
      </c>
      <c r="B722" s="493" t="s">
        <v>3094</v>
      </c>
      <c r="C722" s="493" t="s">
        <v>3659</v>
      </c>
      <c r="D722" s="493" t="s">
        <v>3770</v>
      </c>
      <c r="E722" s="493" t="s">
        <v>4309</v>
      </c>
      <c r="F722" s="493" t="s">
        <v>6906</v>
      </c>
      <c r="G722" s="493" t="s">
        <v>8367</v>
      </c>
      <c r="H722" s="493" t="s">
        <v>6908</v>
      </c>
      <c r="I722" s="501" t="s">
        <v>6909</v>
      </c>
    </row>
    <row r="723" spans="1:9" ht="14.45">
      <c r="A723" s="493">
        <v>91083</v>
      </c>
      <c r="B723" s="493" t="s">
        <v>3129</v>
      </c>
      <c r="C723" s="493" t="s">
        <v>3659</v>
      </c>
      <c r="D723" s="493" t="s">
        <v>3770</v>
      </c>
      <c r="E723" s="493" t="s">
        <v>4309</v>
      </c>
      <c r="F723" s="493" t="s">
        <v>6906</v>
      </c>
      <c r="G723" s="493" t="s">
        <v>8368</v>
      </c>
      <c r="H723" s="493" t="s">
        <v>6908</v>
      </c>
      <c r="I723" s="501" t="s">
        <v>6909</v>
      </c>
    </row>
    <row r="724" spans="1:9" ht="14.45">
      <c r="A724" s="493">
        <v>91270</v>
      </c>
      <c r="B724" s="493" t="s">
        <v>3130</v>
      </c>
      <c r="C724" s="493" t="s">
        <v>3659</v>
      </c>
      <c r="D724" s="493" t="s">
        <v>3770</v>
      </c>
      <c r="E724" s="493" t="s">
        <v>4309</v>
      </c>
      <c r="F724" s="493" t="s">
        <v>6906</v>
      </c>
      <c r="G724" s="493" t="s">
        <v>8369</v>
      </c>
      <c r="H724" s="493" t="s">
        <v>6912</v>
      </c>
      <c r="I724" s="501" t="s">
        <v>6909</v>
      </c>
    </row>
    <row r="725" spans="1:9" ht="14.45">
      <c r="A725" s="493">
        <v>91269</v>
      </c>
      <c r="B725" s="493" t="s">
        <v>3131</v>
      </c>
      <c r="C725" s="493" t="s">
        <v>3659</v>
      </c>
      <c r="D725" s="493" t="s">
        <v>3770</v>
      </c>
      <c r="E725" s="493" t="s">
        <v>4309</v>
      </c>
      <c r="F725" s="493" t="s">
        <v>6906</v>
      </c>
      <c r="G725" s="493" t="s">
        <v>8370</v>
      </c>
      <c r="H725" s="493" t="s">
        <v>6912</v>
      </c>
      <c r="I725" s="501" t="s">
        <v>6909</v>
      </c>
    </row>
    <row r="726" spans="1:9" ht="14.45">
      <c r="A726" s="493">
        <v>91120</v>
      </c>
      <c r="B726" s="493" t="s">
        <v>4954</v>
      </c>
      <c r="C726" s="493" t="s">
        <v>3659</v>
      </c>
      <c r="D726" s="493" t="s">
        <v>3770</v>
      </c>
      <c r="E726" s="493" t="s">
        <v>3719</v>
      </c>
      <c r="F726" s="493" t="s">
        <v>6906</v>
      </c>
      <c r="G726" s="493" t="s">
        <v>8371</v>
      </c>
      <c r="H726" s="493" t="s">
        <v>6914</v>
      </c>
      <c r="I726" s="501" t="s">
        <v>6915</v>
      </c>
    </row>
    <row r="727" spans="1:9" ht="14.45">
      <c r="A727" s="493">
        <v>91132</v>
      </c>
      <c r="B727" s="493" t="s">
        <v>4956</v>
      </c>
      <c r="C727" s="493" t="s">
        <v>3659</v>
      </c>
      <c r="D727" s="493" t="s">
        <v>3770</v>
      </c>
      <c r="E727" s="493" t="s">
        <v>3719</v>
      </c>
      <c r="F727" s="493" t="s">
        <v>6906</v>
      </c>
      <c r="G727" s="493" t="s">
        <v>8372</v>
      </c>
      <c r="H727" s="493" t="s">
        <v>6914</v>
      </c>
      <c r="I727" s="501" t="s">
        <v>6915</v>
      </c>
    </row>
    <row r="728" spans="1:9" ht="14.45">
      <c r="A728" s="493">
        <v>91133</v>
      </c>
      <c r="B728" s="493" t="s">
        <v>4958</v>
      </c>
      <c r="C728" s="493" t="s">
        <v>3659</v>
      </c>
      <c r="D728" s="493" t="s">
        <v>3770</v>
      </c>
      <c r="E728" s="493" t="s">
        <v>3719</v>
      </c>
      <c r="F728" s="493" t="s">
        <v>6906</v>
      </c>
      <c r="G728" s="493" t="s">
        <v>8373</v>
      </c>
      <c r="H728" s="493" t="s">
        <v>6914</v>
      </c>
      <c r="I728" s="501" t="s">
        <v>6915</v>
      </c>
    </row>
    <row r="729" spans="1:9" ht="14.45">
      <c r="A729" s="493">
        <v>91134</v>
      </c>
      <c r="B729" s="493" t="s">
        <v>4960</v>
      </c>
      <c r="C729" s="493" t="s">
        <v>3659</v>
      </c>
      <c r="D729" s="493" t="s">
        <v>3770</v>
      </c>
      <c r="E729" s="493" t="s">
        <v>3719</v>
      </c>
      <c r="F729" s="493" t="s">
        <v>6906</v>
      </c>
      <c r="G729" s="493" t="s">
        <v>8374</v>
      </c>
      <c r="H729" s="493" t="s">
        <v>6920</v>
      </c>
      <c r="I729" s="501" t="s">
        <v>6915</v>
      </c>
    </row>
    <row r="730" spans="1:9" ht="14.45">
      <c r="A730" s="493">
        <v>91135</v>
      </c>
      <c r="B730" s="493" t="s">
        <v>4962</v>
      </c>
      <c r="C730" s="493" t="s">
        <v>3659</v>
      </c>
      <c r="D730" s="493" t="s">
        <v>3770</v>
      </c>
      <c r="E730" s="493" t="s">
        <v>3719</v>
      </c>
      <c r="F730" s="493" t="s">
        <v>6906</v>
      </c>
      <c r="G730" s="493" t="s">
        <v>8375</v>
      </c>
      <c r="H730" s="493" t="s">
        <v>6920</v>
      </c>
      <c r="I730" s="501" t="s">
        <v>6915</v>
      </c>
    </row>
    <row r="731" spans="1:9" ht="14.45">
      <c r="A731" s="493">
        <v>91332</v>
      </c>
      <c r="B731" s="493" t="s">
        <v>6388</v>
      </c>
      <c r="C731" s="493" t="s">
        <v>3659</v>
      </c>
      <c r="D731" s="493" t="s">
        <v>3828</v>
      </c>
      <c r="E731" s="493" t="s">
        <v>4599</v>
      </c>
      <c r="F731" s="493" t="s">
        <v>6821</v>
      </c>
      <c r="G731" s="493" t="s">
        <v>8376</v>
      </c>
      <c r="H731" s="493" t="s">
        <v>6923</v>
      </c>
      <c r="I731" s="501" t="s">
        <v>6924</v>
      </c>
    </row>
    <row r="732" spans="1:9" ht="14.45">
      <c r="A732" s="493">
        <v>91423</v>
      </c>
      <c r="B732" s="493" t="s">
        <v>6433</v>
      </c>
      <c r="C732" s="493" t="s">
        <v>3659</v>
      </c>
      <c r="D732" s="493" t="s">
        <v>3828</v>
      </c>
      <c r="E732" s="493" t="s">
        <v>846</v>
      </c>
      <c r="F732" s="493" t="s">
        <v>6821</v>
      </c>
      <c r="G732" s="493" t="s">
        <v>8377</v>
      </c>
      <c r="H732" s="493" t="s">
        <v>6926</v>
      </c>
      <c r="I732" s="501" t="s">
        <v>6927</v>
      </c>
    </row>
    <row r="733" spans="1:9" ht="14.45">
      <c r="A733" s="493">
        <v>91303</v>
      </c>
      <c r="B733" s="493" t="s">
        <v>3277</v>
      </c>
      <c r="C733" s="493" t="s">
        <v>3659</v>
      </c>
      <c r="D733" s="493" t="s">
        <v>3828</v>
      </c>
      <c r="E733" s="493" t="s">
        <v>3666</v>
      </c>
      <c r="F733" s="493" t="s">
        <v>6821</v>
      </c>
      <c r="G733" s="493" t="s">
        <v>8378</v>
      </c>
      <c r="H733" s="493" t="s">
        <v>6933</v>
      </c>
      <c r="I733" s="501" t="s">
        <v>6934</v>
      </c>
    </row>
    <row r="734" spans="1:9" ht="14.45">
      <c r="A734" s="493">
        <v>91304</v>
      </c>
      <c r="B734" s="493" t="s">
        <v>3279</v>
      </c>
      <c r="C734" s="493" t="s">
        <v>3659</v>
      </c>
      <c r="D734" s="493" t="s">
        <v>3828</v>
      </c>
      <c r="E734" s="493" t="s">
        <v>3666</v>
      </c>
      <c r="F734" s="493" t="s">
        <v>6821</v>
      </c>
      <c r="G734" s="493" t="s">
        <v>8379</v>
      </c>
      <c r="H734" s="493" t="s">
        <v>6938</v>
      </c>
      <c r="I734" s="501" t="s">
        <v>6939</v>
      </c>
    </row>
    <row r="735" spans="1:9" ht="14.45">
      <c r="A735" s="493">
        <v>91093</v>
      </c>
      <c r="B735" s="493" t="s">
        <v>5839</v>
      </c>
      <c r="C735" s="493" t="s">
        <v>3659</v>
      </c>
      <c r="D735" s="493" t="s">
        <v>3828</v>
      </c>
      <c r="E735" s="493" t="s">
        <v>3719</v>
      </c>
      <c r="F735" s="493" t="s">
        <v>6821</v>
      </c>
      <c r="G735" s="493" t="s">
        <v>8380</v>
      </c>
      <c r="H735" s="493" t="s">
        <v>6944</v>
      </c>
      <c r="I735" s="501" t="s">
        <v>8381</v>
      </c>
    </row>
    <row r="736" spans="1:9" ht="14.45">
      <c r="A736" s="493">
        <v>91381</v>
      </c>
      <c r="B736" s="493" t="s">
        <v>2987</v>
      </c>
      <c r="C736" s="493" t="s">
        <v>3659</v>
      </c>
      <c r="D736" s="493" t="s">
        <v>3828</v>
      </c>
      <c r="E736" s="493" t="s">
        <v>6120</v>
      </c>
      <c r="F736" s="493" t="s">
        <v>6821</v>
      </c>
      <c r="G736" s="493" t="s">
        <v>8382</v>
      </c>
      <c r="H736" s="493" t="s">
        <v>6948</v>
      </c>
      <c r="I736" s="501" t="s">
        <v>6949</v>
      </c>
    </row>
    <row r="737" spans="1:9" ht="14.45">
      <c r="A737" s="493">
        <v>91382</v>
      </c>
      <c r="B737" s="493" t="s">
        <v>2989</v>
      </c>
      <c r="C737" s="493" t="s">
        <v>3659</v>
      </c>
      <c r="D737" s="493" t="s">
        <v>3828</v>
      </c>
      <c r="E737" s="493" t="s">
        <v>6120</v>
      </c>
      <c r="F737" s="493" t="s">
        <v>6821</v>
      </c>
      <c r="G737" s="493" t="s">
        <v>8383</v>
      </c>
      <c r="H737" s="493" t="s">
        <v>6948</v>
      </c>
      <c r="I737" s="501" t="s">
        <v>6949</v>
      </c>
    </row>
    <row r="738" spans="1:9" ht="14.45">
      <c r="A738" s="493">
        <v>91383</v>
      </c>
      <c r="B738" s="493" t="s">
        <v>2991</v>
      </c>
      <c r="C738" s="493" t="s">
        <v>3659</v>
      </c>
      <c r="D738" s="493" t="s">
        <v>3828</v>
      </c>
      <c r="E738" s="493" t="s">
        <v>6120</v>
      </c>
      <c r="F738" s="493" t="s">
        <v>6821</v>
      </c>
      <c r="G738" s="493" t="s">
        <v>8384</v>
      </c>
      <c r="H738" s="493" t="s">
        <v>6948</v>
      </c>
      <c r="I738" s="501" t="s">
        <v>6949</v>
      </c>
    </row>
    <row r="739" spans="1:9" ht="14.45">
      <c r="A739" s="493">
        <v>91384</v>
      </c>
      <c r="B739" s="493" t="s">
        <v>2981</v>
      </c>
      <c r="C739" s="493" t="s">
        <v>3659</v>
      </c>
      <c r="D739" s="493" t="s">
        <v>3828</v>
      </c>
      <c r="E739" s="493" t="s">
        <v>6120</v>
      </c>
      <c r="F739" s="493" t="s">
        <v>6821</v>
      </c>
      <c r="G739" s="493" t="s">
        <v>8385</v>
      </c>
      <c r="H739" s="493" t="s">
        <v>6952</v>
      </c>
      <c r="I739" s="501" t="s">
        <v>6953</v>
      </c>
    </row>
    <row r="740" spans="1:9" ht="14.45">
      <c r="A740" s="493">
        <v>91305</v>
      </c>
      <c r="B740" s="493" t="s">
        <v>3313</v>
      </c>
      <c r="C740" s="493" t="s">
        <v>3659</v>
      </c>
      <c r="D740" s="493" t="s">
        <v>3828</v>
      </c>
      <c r="E740" s="493" t="s">
        <v>3666</v>
      </c>
      <c r="F740" s="493" t="s">
        <v>6821</v>
      </c>
      <c r="G740" s="493" t="s">
        <v>8386</v>
      </c>
      <c r="H740" s="493" t="s">
        <v>6959</v>
      </c>
      <c r="I740" s="501" t="s">
        <v>8387</v>
      </c>
    </row>
    <row r="741" spans="1:9" ht="14.45">
      <c r="A741" s="493">
        <v>91236</v>
      </c>
      <c r="B741" s="493" t="s">
        <v>5037</v>
      </c>
      <c r="C741" s="493" t="s">
        <v>3659</v>
      </c>
      <c r="D741" s="493" t="s">
        <v>3665</v>
      </c>
      <c r="E741" s="493" t="s">
        <v>846</v>
      </c>
      <c r="F741" s="493" t="s">
        <v>6821</v>
      </c>
      <c r="G741" s="493" t="s">
        <v>8388</v>
      </c>
      <c r="H741" s="493" t="s">
        <v>6961</v>
      </c>
      <c r="I741" s="501" t="s">
        <v>6962</v>
      </c>
    </row>
    <row r="742" spans="1:9" ht="14.45">
      <c r="A742" s="493">
        <v>91234</v>
      </c>
      <c r="B742" s="493" t="s">
        <v>5035</v>
      </c>
      <c r="C742" s="493" t="s">
        <v>3659</v>
      </c>
      <c r="D742" s="493" t="s">
        <v>3665</v>
      </c>
      <c r="E742" s="493" t="s">
        <v>846</v>
      </c>
      <c r="F742" s="493" t="s">
        <v>6821</v>
      </c>
      <c r="G742" s="493" t="s">
        <v>8389</v>
      </c>
      <c r="H742" s="493" t="s">
        <v>6961</v>
      </c>
      <c r="I742" s="501" t="s">
        <v>6962</v>
      </c>
    </row>
    <row r="743" spans="1:9" ht="14.45">
      <c r="A743" s="493">
        <v>91416</v>
      </c>
      <c r="B743" s="493" t="s">
        <v>5013</v>
      </c>
      <c r="C743" s="493" t="s">
        <v>3659</v>
      </c>
      <c r="D743" s="493" t="s">
        <v>3665</v>
      </c>
      <c r="E743" s="493" t="s">
        <v>846</v>
      </c>
      <c r="F743" s="493" t="s">
        <v>6821</v>
      </c>
      <c r="G743" s="493" t="s">
        <v>8390</v>
      </c>
      <c r="H743" s="493" t="s">
        <v>6967</v>
      </c>
      <c r="I743" s="501" t="s">
        <v>6968</v>
      </c>
    </row>
    <row r="744" spans="1:9" ht="14.45">
      <c r="A744" s="493">
        <v>91306</v>
      </c>
      <c r="B744" s="493" t="s">
        <v>3232</v>
      </c>
      <c r="C744" s="493" t="s">
        <v>3659</v>
      </c>
      <c r="D744" s="493" t="s">
        <v>3665</v>
      </c>
      <c r="E744" s="493" t="s">
        <v>3666</v>
      </c>
      <c r="F744" s="493" t="s">
        <v>6821</v>
      </c>
      <c r="G744" s="493" t="s">
        <v>8391</v>
      </c>
      <c r="H744" s="493" t="s">
        <v>6970</v>
      </c>
      <c r="I744" s="501" t="s">
        <v>8392</v>
      </c>
    </row>
    <row r="745" spans="1:9" ht="14.45">
      <c r="A745" s="493">
        <v>91307</v>
      </c>
      <c r="B745" s="493" t="s">
        <v>3208</v>
      </c>
      <c r="C745" s="493" t="s">
        <v>3659</v>
      </c>
      <c r="D745" s="493" t="s">
        <v>3665</v>
      </c>
      <c r="E745" s="493" t="s">
        <v>3666</v>
      </c>
      <c r="F745" s="493" t="s">
        <v>6821</v>
      </c>
      <c r="G745" s="493" t="s">
        <v>8393</v>
      </c>
      <c r="H745" s="493" t="s">
        <v>6978</v>
      </c>
      <c r="I745" s="501" t="s">
        <v>6976</v>
      </c>
    </row>
    <row r="746" spans="1:9" ht="14.45">
      <c r="A746" s="493">
        <v>90949</v>
      </c>
      <c r="B746" s="493" t="s">
        <v>3210</v>
      </c>
      <c r="C746" s="493" t="s">
        <v>3659</v>
      </c>
      <c r="D746" s="493" t="s">
        <v>3665</v>
      </c>
      <c r="E746" s="493" t="s">
        <v>3666</v>
      </c>
      <c r="F746" s="493" t="s">
        <v>6821</v>
      </c>
      <c r="G746" s="493" t="s">
        <v>8394</v>
      </c>
      <c r="H746" s="493" t="s">
        <v>6980</v>
      </c>
      <c r="I746" s="501" t="s">
        <v>6976</v>
      </c>
    </row>
    <row r="747" spans="1:9" ht="14.45">
      <c r="A747" s="493">
        <v>90951</v>
      </c>
      <c r="B747" s="493" t="s">
        <v>3212</v>
      </c>
      <c r="C747" s="493" t="s">
        <v>3659</v>
      </c>
      <c r="D747" s="493" t="s">
        <v>3665</v>
      </c>
      <c r="E747" s="493" t="s">
        <v>3666</v>
      </c>
      <c r="F747" s="493" t="s">
        <v>6821</v>
      </c>
      <c r="G747" s="493" t="s">
        <v>8395</v>
      </c>
      <c r="H747" s="493" t="s">
        <v>6986</v>
      </c>
      <c r="I747" s="501" t="s">
        <v>6976</v>
      </c>
    </row>
    <row r="748" spans="1:9" ht="14.45">
      <c r="A748" s="493">
        <v>91308</v>
      </c>
      <c r="B748" s="493" t="s">
        <v>3235</v>
      </c>
      <c r="C748" s="493" t="s">
        <v>3659</v>
      </c>
      <c r="D748" s="493" t="s">
        <v>3665</v>
      </c>
      <c r="E748" s="493" t="s">
        <v>3666</v>
      </c>
      <c r="F748" s="493" t="s">
        <v>6821</v>
      </c>
      <c r="G748" s="493" t="s">
        <v>8396</v>
      </c>
      <c r="H748" s="493" t="s">
        <v>6989</v>
      </c>
      <c r="I748" s="501" t="s">
        <v>8397</v>
      </c>
    </row>
    <row r="749" spans="1:9" ht="14.45">
      <c r="A749" s="493">
        <v>91333</v>
      </c>
      <c r="B749" s="493" t="s">
        <v>3214</v>
      </c>
      <c r="C749" s="493" t="s">
        <v>3659</v>
      </c>
      <c r="D749" s="493" t="s">
        <v>3665</v>
      </c>
      <c r="E749" s="493" t="s">
        <v>3666</v>
      </c>
      <c r="F749" s="493" t="s">
        <v>6821</v>
      </c>
      <c r="G749" s="493" t="s">
        <v>8398</v>
      </c>
      <c r="H749" s="493" t="s">
        <v>6994</v>
      </c>
      <c r="I749" s="501" t="s">
        <v>6976</v>
      </c>
    </row>
    <row r="750" spans="1:9" ht="14.45">
      <c r="A750" s="493">
        <v>91309</v>
      </c>
      <c r="B750" s="493" t="s">
        <v>3237</v>
      </c>
      <c r="C750" s="493" t="s">
        <v>3659</v>
      </c>
      <c r="D750" s="493" t="s">
        <v>3665</v>
      </c>
      <c r="E750" s="493" t="s">
        <v>3666</v>
      </c>
      <c r="F750" s="493" t="s">
        <v>6821</v>
      </c>
      <c r="G750" s="493" t="s">
        <v>8399</v>
      </c>
      <c r="H750" s="493" t="s">
        <v>6996</v>
      </c>
      <c r="I750" s="501" t="s">
        <v>8397</v>
      </c>
    </row>
    <row r="751" spans="1:9" ht="14.45">
      <c r="A751" s="493">
        <v>91312</v>
      </c>
      <c r="B751" s="493" t="s">
        <v>3216</v>
      </c>
      <c r="C751" s="493" t="s">
        <v>3659</v>
      </c>
      <c r="D751" s="493" t="s">
        <v>3665</v>
      </c>
      <c r="E751" s="493" t="s">
        <v>3666</v>
      </c>
      <c r="F751" s="493" t="s">
        <v>6821</v>
      </c>
      <c r="G751" s="493" t="s">
        <v>8400</v>
      </c>
      <c r="H751" s="493" t="s">
        <v>6998</v>
      </c>
      <c r="I751" s="501" t="s">
        <v>6976</v>
      </c>
    </row>
    <row r="752" spans="1:9" ht="14.45">
      <c r="A752" s="493">
        <v>91313</v>
      </c>
      <c r="B752" s="493" t="s">
        <v>3260</v>
      </c>
      <c r="C752" s="493" t="s">
        <v>3659</v>
      </c>
      <c r="D752" s="493" t="s">
        <v>3828</v>
      </c>
      <c r="E752" s="493" t="s">
        <v>3666</v>
      </c>
      <c r="F752" s="493" t="s">
        <v>6821</v>
      </c>
      <c r="G752" s="493" t="s">
        <v>8401</v>
      </c>
      <c r="H752" s="493" t="s">
        <v>7003</v>
      </c>
      <c r="I752" s="501" t="s">
        <v>7004</v>
      </c>
    </row>
    <row r="753" spans="1:9" ht="14.45">
      <c r="A753" s="493">
        <v>91316</v>
      </c>
      <c r="B753" s="493" t="s">
        <v>3262</v>
      </c>
      <c r="C753" s="493" t="s">
        <v>3659</v>
      </c>
      <c r="D753" s="493" t="s">
        <v>3828</v>
      </c>
      <c r="E753" s="493" t="s">
        <v>3666</v>
      </c>
      <c r="F753" s="493" t="s">
        <v>6821</v>
      </c>
      <c r="G753" s="493" t="s">
        <v>8402</v>
      </c>
      <c r="H753" s="493" t="s">
        <v>7003</v>
      </c>
      <c r="I753" s="501" t="s">
        <v>7004</v>
      </c>
    </row>
    <row r="754" spans="1:9" ht="14.45">
      <c r="A754" s="493">
        <v>91318</v>
      </c>
      <c r="B754" s="493" t="s">
        <v>3264</v>
      </c>
      <c r="C754" s="493" t="s">
        <v>3659</v>
      </c>
      <c r="D754" s="493" t="s">
        <v>3828</v>
      </c>
      <c r="E754" s="493" t="s">
        <v>3666</v>
      </c>
      <c r="F754" s="493" t="s">
        <v>6821</v>
      </c>
      <c r="G754" s="493" t="s">
        <v>8403</v>
      </c>
      <c r="H754" s="493" t="s">
        <v>7003</v>
      </c>
      <c r="I754" s="501" t="s">
        <v>7004</v>
      </c>
    </row>
    <row r="755" spans="1:9" ht="14.45">
      <c r="A755" s="493">
        <v>91334</v>
      </c>
      <c r="B755" s="493" t="s">
        <v>3218</v>
      </c>
      <c r="C755" s="493" t="s">
        <v>3659</v>
      </c>
      <c r="D755" s="493" t="s">
        <v>3665</v>
      </c>
      <c r="E755" s="493" t="s">
        <v>3666</v>
      </c>
      <c r="F755" s="493" t="s">
        <v>6821</v>
      </c>
      <c r="G755" s="493" t="s">
        <v>8404</v>
      </c>
      <c r="H755" s="493" t="s">
        <v>7007</v>
      </c>
      <c r="I755" s="501" t="s">
        <v>7008</v>
      </c>
    </row>
    <row r="756" spans="1:9" ht="14.45">
      <c r="A756" s="493">
        <v>91320</v>
      </c>
      <c r="B756" s="493" t="s">
        <v>3220</v>
      </c>
      <c r="C756" s="493" t="s">
        <v>3659</v>
      </c>
      <c r="D756" s="493" t="s">
        <v>3665</v>
      </c>
      <c r="E756" s="493" t="s">
        <v>3666</v>
      </c>
      <c r="F756" s="493" t="s">
        <v>6821</v>
      </c>
      <c r="G756" s="493" t="s">
        <v>8405</v>
      </c>
      <c r="H756" s="493" t="s">
        <v>7010</v>
      </c>
      <c r="I756" s="501" t="s">
        <v>7008</v>
      </c>
    </row>
    <row r="757" spans="1:9" ht="14.45">
      <c r="A757" s="493">
        <v>91321</v>
      </c>
      <c r="B757" s="493" t="s">
        <v>3222</v>
      </c>
      <c r="C757" s="493" t="s">
        <v>3659</v>
      </c>
      <c r="D757" s="493" t="s">
        <v>3665</v>
      </c>
      <c r="E757" s="493" t="s">
        <v>3666</v>
      </c>
      <c r="F757" s="493" t="s">
        <v>6821</v>
      </c>
      <c r="G757" s="493" t="s">
        <v>8406</v>
      </c>
      <c r="H757" s="493" t="s">
        <v>7010</v>
      </c>
      <c r="I757" s="501" t="s">
        <v>7008</v>
      </c>
    </row>
    <row r="758" spans="1:9" ht="14.45">
      <c r="A758" s="493">
        <v>91417</v>
      </c>
      <c r="B758" s="493" t="s">
        <v>5015</v>
      </c>
      <c r="C758" s="493" t="s">
        <v>3659</v>
      </c>
      <c r="D758" s="493" t="s">
        <v>3665</v>
      </c>
      <c r="E758" s="493" t="s">
        <v>3719</v>
      </c>
      <c r="F758" s="493" t="s">
        <v>6821</v>
      </c>
      <c r="G758" s="493" t="s">
        <v>8407</v>
      </c>
      <c r="H758" s="493" t="s">
        <v>7012</v>
      </c>
      <c r="I758" s="501" t="s">
        <v>7013</v>
      </c>
    </row>
    <row r="759" spans="1:9" ht="14.45">
      <c r="A759" s="493">
        <v>91385</v>
      </c>
      <c r="B759" s="493" t="s">
        <v>2983</v>
      </c>
      <c r="C759" s="493" t="s">
        <v>3659</v>
      </c>
      <c r="D759" s="493" t="s">
        <v>3828</v>
      </c>
      <c r="E759" s="493" t="s">
        <v>6120</v>
      </c>
      <c r="F759" s="493" t="s">
        <v>6821</v>
      </c>
      <c r="G759" s="493" t="s">
        <v>8408</v>
      </c>
      <c r="H759" s="493" t="s">
        <v>7016</v>
      </c>
      <c r="I759" s="501" t="s">
        <v>6953</v>
      </c>
    </row>
    <row r="760" spans="1:9" ht="14.45">
      <c r="A760" s="493">
        <v>91418</v>
      </c>
      <c r="B760" s="493" t="s">
        <v>5017</v>
      </c>
      <c r="C760" s="493" t="s">
        <v>3659</v>
      </c>
      <c r="D760" s="493" t="s">
        <v>3665</v>
      </c>
      <c r="E760" s="493" t="s">
        <v>3719</v>
      </c>
      <c r="F760" s="493" t="s">
        <v>6821</v>
      </c>
      <c r="G760" s="493" t="s">
        <v>8409</v>
      </c>
      <c r="H760" s="493" t="s">
        <v>7018</v>
      </c>
      <c r="I760" s="501" t="s">
        <v>7019</v>
      </c>
    </row>
    <row r="761" spans="1:9" ht="14.45">
      <c r="A761" s="493">
        <v>91419</v>
      </c>
      <c r="B761" s="493" t="s">
        <v>5019</v>
      </c>
      <c r="C761" s="493" t="s">
        <v>3659</v>
      </c>
      <c r="D761" s="493" t="s">
        <v>3665</v>
      </c>
      <c r="E761" s="493" t="s">
        <v>3719</v>
      </c>
      <c r="F761" s="493" t="s">
        <v>6821</v>
      </c>
      <c r="G761" s="493" t="s">
        <v>8410</v>
      </c>
      <c r="H761" s="493" t="s">
        <v>7018</v>
      </c>
      <c r="I761" s="501" t="s">
        <v>7019</v>
      </c>
    </row>
    <row r="762" spans="1:9" ht="14.45">
      <c r="A762" s="493">
        <v>91322</v>
      </c>
      <c r="B762" s="493" t="s">
        <v>3524</v>
      </c>
      <c r="C762" s="493" t="s">
        <v>3659</v>
      </c>
      <c r="D762" s="493" t="s">
        <v>3828</v>
      </c>
      <c r="E762" s="493" t="s">
        <v>4444</v>
      </c>
      <c r="F762" s="493" t="s">
        <v>6821</v>
      </c>
      <c r="G762" s="493" t="s">
        <v>8411</v>
      </c>
      <c r="H762" s="493" t="s">
        <v>7026</v>
      </c>
      <c r="I762" s="501" t="s">
        <v>7027</v>
      </c>
    </row>
    <row r="763" spans="1:9" ht="14.45">
      <c r="A763" s="493">
        <v>91323</v>
      </c>
      <c r="B763" s="493" t="s">
        <v>3526</v>
      </c>
      <c r="C763" s="493" t="s">
        <v>3659</v>
      </c>
      <c r="D763" s="493" t="s">
        <v>3828</v>
      </c>
      <c r="E763" s="493" t="s">
        <v>4444</v>
      </c>
      <c r="F763" s="493" t="s">
        <v>6821</v>
      </c>
      <c r="G763" s="493" t="s">
        <v>8412</v>
      </c>
      <c r="H763" s="493" t="s">
        <v>7026</v>
      </c>
      <c r="I763" s="501" t="s">
        <v>7027</v>
      </c>
    </row>
    <row r="764" spans="1:9" ht="14.45">
      <c r="A764" s="493">
        <v>91324</v>
      </c>
      <c r="B764" s="493" t="s">
        <v>3528</v>
      </c>
      <c r="C764" s="493" t="s">
        <v>3659</v>
      </c>
      <c r="D764" s="493" t="s">
        <v>3828</v>
      </c>
      <c r="E764" s="493" t="s">
        <v>4444</v>
      </c>
      <c r="F764" s="493" t="s">
        <v>6821</v>
      </c>
      <c r="G764" s="493" t="s">
        <v>8413</v>
      </c>
      <c r="H764" s="493" t="s">
        <v>7026</v>
      </c>
      <c r="I764" s="501" t="s">
        <v>7027</v>
      </c>
    </row>
    <row r="765" spans="1:9" ht="14.45">
      <c r="A765" s="493">
        <v>91237</v>
      </c>
      <c r="B765" s="493" t="s">
        <v>6428</v>
      </c>
      <c r="C765" s="493" t="s">
        <v>3659</v>
      </c>
      <c r="D765" s="493" t="s">
        <v>3828</v>
      </c>
      <c r="E765" s="493" t="s">
        <v>846</v>
      </c>
      <c r="F765" s="493" t="s">
        <v>6821</v>
      </c>
      <c r="G765" s="493" t="s">
        <v>8414</v>
      </c>
      <c r="H765" s="493" t="s">
        <v>7031</v>
      </c>
      <c r="I765" s="501" t="s">
        <v>7032</v>
      </c>
    </row>
    <row r="766" spans="1:9" ht="14.45">
      <c r="A766" s="493">
        <v>91366</v>
      </c>
      <c r="B766" s="493" t="s">
        <v>5050</v>
      </c>
      <c r="C766" s="493" t="s">
        <v>3659</v>
      </c>
      <c r="D766" s="493" t="s">
        <v>3665</v>
      </c>
      <c r="E766" s="493" t="s">
        <v>3719</v>
      </c>
      <c r="F766" s="493" t="s">
        <v>6821</v>
      </c>
      <c r="G766" s="493" t="s">
        <v>8415</v>
      </c>
      <c r="H766" s="493" t="s">
        <v>7034</v>
      </c>
      <c r="I766" s="501" t="s">
        <v>8416</v>
      </c>
    </row>
    <row r="767" spans="1:9" ht="14.45">
      <c r="A767" s="493">
        <v>91367</v>
      </c>
      <c r="B767" s="493" t="s">
        <v>5052</v>
      </c>
      <c r="C767" s="493" t="s">
        <v>3659</v>
      </c>
      <c r="D767" s="493" t="s">
        <v>3665</v>
      </c>
      <c r="E767" s="493" t="s">
        <v>3719</v>
      </c>
      <c r="F767" s="493" t="s">
        <v>6821</v>
      </c>
      <c r="G767" s="493" t="s">
        <v>8417</v>
      </c>
      <c r="H767" s="493" t="s">
        <v>7041</v>
      </c>
      <c r="I767" s="501" t="s">
        <v>7044</v>
      </c>
    </row>
    <row r="768" spans="1:9" ht="14.45">
      <c r="A768" s="493">
        <v>91412</v>
      </c>
      <c r="B768" s="493" t="s">
        <v>5055</v>
      </c>
      <c r="C768" s="493" t="s">
        <v>3659</v>
      </c>
      <c r="D768" s="493" t="s">
        <v>3665</v>
      </c>
      <c r="E768" s="493" t="s">
        <v>3719</v>
      </c>
      <c r="F768" s="493" t="s">
        <v>6821</v>
      </c>
      <c r="G768" s="493" t="s">
        <v>8418</v>
      </c>
      <c r="H768" s="493" t="s">
        <v>7043</v>
      </c>
      <c r="I768" s="501" t="s">
        <v>8419</v>
      </c>
    </row>
    <row r="769" spans="1:9" ht="14.45">
      <c r="A769" s="493">
        <v>91325</v>
      </c>
      <c r="B769" s="493" t="s">
        <v>3299</v>
      </c>
      <c r="C769" s="493" t="s">
        <v>3659</v>
      </c>
      <c r="D769" s="493" t="s">
        <v>3828</v>
      </c>
      <c r="E769" s="493" t="s">
        <v>3666</v>
      </c>
      <c r="F769" s="493" t="s">
        <v>6821</v>
      </c>
      <c r="G769" s="493" t="s">
        <v>8420</v>
      </c>
      <c r="H769" s="493" t="s">
        <v>7053</v>
      </c>
      <c r="I769" s="501" t="s">
        <v>7054</v>
      </c>
    </row>
    <row r="770" spans="1:9" ht="14.45">
      <c r="A770" s="493">
        <v>91106</v>
      </c>
      <c r="B770" s="493" t="s">
        <v>5488</v>
      </c>
      <c r="C770" s="493" t="s">
        <v>3659</v>
      </c>
      <c r="D770" s="493" t="s">
        <v>3711</v>
      </c>
      <c r="E770" s="493" t="s">
        <v>3719</v>
      </c>
      <c r="F770" s="493" t="s">
        <v>6821</v>
      </c>
      <c r="G770" s="493" t="s">
        <v>8421</v>
      </c>
      <c r="H770" s="493" t="s">
        <v>7063</v>
      </c>
      <c r="I770" s="501" t="s">
        <v>7064</v>
      </c>
    </row>
    <row r="771" spans="1:9" ht="14.45">
      <c r="A771" s="493">
        <v>91095</v>
      </c>
      <c r="B771" s="493" t="s">
        <v>5069</v>
      </c>
      <c r="C771" s="493" t="s">
        <v>3659</v>
      </c>
      <c r="D771" s="493" t="s">
        <v>3711</v>
      </c>
      <c r="E771" s="493" t="s">
        <v>3719</v>
      </c>
      <c r="F771" s="493" t="s">
        <v>6821</v>
      </c>
      <c r="G771" s="493" t="s">
        <v>8422</v>
      </c>
      <c r="H771" s="493" t="s">
        <v>7069</v>
      </c>
      <c r="I771" s="501" t="s">
        <v>7067</v>
      </c>
    </row>
    <row r="772" spans="1:9" ht="14.45">
      <c r="A772" s="493">
        <v>91094</v>
      </c>
      <c r="B772" s="493" t="s">
        <v>5067</v>
      </c>
      <c r="C772" s="493" t="s">
        <v>3659</v>
      </c>
      <c r="D772" s="493" t="s">
        <v>3711</v>
      </c>
      <c r="E772" s="493" t="s">
        <v>3719</v>
      </c>
      <c r="F772" s="493" t="s">
        <v>6821</v>
      </c>
      <c r="G772" s="493" t="s">
        <v>8423</v>
      </c>
      <c r="H772" s="493" t="s">
        <v>7071</v>
      </c>
      <c r="I772" s="501" t="s">
        <v>7067</v>
      </c>
    </row>
    <row r="773" spans="1:9" ht="14.45">
      <c r="A773" s="493">
        <v>91092</v>
      </c>
      <c r="B773" s="493" t="s">
        <v>5065</v>
      </c>
      <c r="C773" s="493" t="s">
        <v>3659</v>
      </c>
      <c r="D773" s="493" t="s">
        <v>3711</v>
      </c>
      <c r="E773" s="493" t="s">
        <v>3719</v>
      </c>
      <c r="F773" s="493" t="s">
        <v>6821</v>
      </c>
      <c r="G773" s="493" t="s">
        <v>8424</v>
      </c>
      <c r="H773" s="493" t="s">
        <v>7079</v>
      </c>
      <c r="I773" s="501" t="s">
        <v>7080</v>
      </c>
    </row>
    <row r="774" spans="1:9" ht="14.45">
      <c r="A774" s="493">
        <v>91091</v>
      </c>
      <c r="B774" s="493" t="s">
        <v>5063</v>
      </c>
      <c r="C774" s="493" t="s">
        <v>3659</v>
      </c>
      <c r="D774" s="493" t="s">
        <v>3711</v>
      </c>
      <c r="E774" s="493" t="s">
        <v>3719</v>
      </c>
      <c r="F774" s="493" t="s">
        <v>6821</v>
      </c>
      <c r="G774" s="493" t="s">
        <v>8425</v>
      </c>
      <c r="H774" s="493" t="s">
        <v>7079</v>
      </c>
      <c r="I774" s="501" t="s">
        <v>7080</v>
      </c>
    </row>
    <row r="775" spans="1:9" ht="14.45">
      <c r="A775" s="493">
        <v>91415</v>
      </c>
      <c r="B775" s="493" t="s">
        <v>5093</v>
      </c>
      <c r="C775" s="493" t="s">
        <v>3659</v>
      </c>
      <c r="D775" s="493" t="s">
        <v>3711</v>
      </c>
      <c r="E775" s="493" t="s">
        <v>3719</v>
      </c>
      <c r="F775" s="493" t="s">
        <v>6821</v>
      </c>
      <c r="G775" s="493" t="s">
        <v>8426</v>
      </c>
      <c r="H775" s="493" t="s">
        <v>7085</v>
      </c>
      <c r="I775" s="501" t="s">
        <v>8427</v>
      </c>
    </row>
    <row r="776" spans="1:9" ht="14.45">
      <c r="A776" s="493">
        <v>91097</v>
      </c>
      <c r="B776" s="493" t="s">
        <v>5073</v>
      </c>
      <c r="C776" s="493" t="s">
        <v>3659</v>
      </c>
      <c r="D776" s="493" t="s">
        <v>3711</v>
      </c>
      <c r="E776" s="493" t="s">
        <v>3719</v>
      </c>
      <c r="F776" s="493" t="s">
        <v>6821</v>
      </c>
      <c r="G776" s="493" t="s">
        <v>8428</v>
      </c>
      <c r="H776" s="493" t="s">
        <v>7087</v>
      </c>
      <c r="I776" s="501" t="s">
        <v>7083</v>
      </c>
    </row>
    <row r="777" spans="1:9" ht="14.45">
      <c r="A777" s="493">
        <v>91310</v>
      </c>
      <c r="B777" s="493" t="s">
        <v>3190</v>
      </c>
      <c r="C777" s="493" t="s">
        <v>3659</v>
      </c>
      <c r="D777" s="493" t="s">
        <v>3711</v>
      </c>
      <c r="E777" s="493" t="s">
        <v>3666</v>
      </c>
      <c r="F777" s="493" t="s">
        <v>6821</v>
      </c>
      <c r="G777" s="493" t="s">
        <v>8429</v>
      </c>
      <c r="H777" s="493" t="s">
        <v>7093</v>
      </c>
      <c r="I777" s="501" t="s">
        <v>8430</v>
      </c>
    </row>
    <row r="778" spans="1:9" ht="14.45">
      <c r="A778" s="493">
        <v>91420</v>
      </c>
      <c r="B778" s="493" t="s">
        <v>5095</v>
      </c>
      <c r="C778" s="493" t="s">
        <v>3659</v>
      </c>
      <c r="D778" s="493" t="s">
        <v>3711</v>
      </c>
      <c r="E778" s="493" t="s">
        <v>846</v>
      </c>
      <c r="F778" s="493" t="s">
        <v>6821</v>
      </c>
      <c r="G778" s="493" t="s">
        <v>8431</v>
      </c>
      <c r="H778" s="493" t="s">
        <v>7096</v>
      </c>
      <c r="I778" s="501" t="s">
        <v>7032</v>
      </c>
    </row>
    <row r="779" spans="1:9" ht="14.45">
      <c r="A779" s="493">
        <v>91311</v>
      </c>
      <c r="B779" s="493" t="s">
        <v>3289</v>
      </c>
      <c r="C779" s="493" t="s">
        <v>3659</v>
      </c>
      <c r="D779" s="493" t="s">
        <v>3711</v>
      </c>
      <c r="E779" s="493" t="s">
        <v>3666</v>
      </c>
      <c r="F779" s="493" t="s">
        <v>6821</v>
      </c>
      <c r="G779" s="493" t="s">
        <v>8432</v>
      </c>
      <c r="H779" s="493" t="s">
        <v>7105</v>
      </c>
      <c r="I779" s="501" t="s">
        <v>7106</v>
      </c>
    </row>
    <row r="780" spans="1:9" ht="14.45">
      <c r="A780" s="493">
        <v>91232</v>
      </c>
      <c r="B780" s="493" t="s">
        <v>5081</v>
      </c>
      <c r="C780" s="493" t="s">
        <v>3659</v>
      </c>
      <c r="D780" s="493" t="s">
        <v>3711</v>
      </c>
      <c r="E780" s="493" t="s">
        <v>846</v>
      </c>
      <c r="F780" s="493" t="s">
        <v>6821</v>
      </c>
      <c r="G780" s="493" t="s">
        <v>8433</v>
      </c>
      <c r="H780" s="493" t="s">
        <v>7108</v>
      </c>
      <c r="I780" s="501" t="s">
        <v>7109</v>
      </c>
    </row>
    <row r="781" spans="1:9" ht="14.45">
      <c r="A781" s="493">
        <v>91314</v>
      </c>
      <c r="B781" s="493" t="s">
        <v>3248</v>
      </c>
      <c r="C781" s="493" t="s">
        <v>3659</v>
      </c>
      <c r="D781" s="493" t="s">
        <v>3711</v>
      </c>
      <c r="E781" s="493" t="s">
        <v>3666</v>
      </c>
      <c r="F781" s="493" t="s">
        <v>6821</v>
      </c>
      <c r="G781" s="493" t="s">
        <v>8434</v>
      </c>
      <c r="H781" s="493" t="s">
        <v>7115</v>
      </c>
      <c r="I781" s="501" t="s">
        <v>7113</v>
      </c>
    </row>
    <row r="782" spans="1:9" ht="14.45">
      <c r="A782" s="493">
        <v>91315</v>
      </c>
      <c r="B782" s="493" t="s">
        <v>3250</v>
      </c>
      <c r="C782" s="493" t="s">
        <v>3659</v>
      </c>
      <c r="D782" s="493" t="s">
        <v>3711</v>
      </c>
      <c r="E782" s="493" t="s">
        <v>3666</v>
      </c>
      <c r="F782" s="493" t="s">
        <v>6821</v>
      </c>
      <c r="G782" s="493" t="s">
        <v>8435</v>
      </c>
      <c r="H782" s="493" t="s">
        <v>7117</v>
      </c>
      <c r="I782" s="501" t="s">
        <v>7113</v>
      </c>
    </row>
    <row r="783" spans="1:9" ht="14.45">
      <c r="A783" s="493">
        <v>91317</v>
      </c>
      <c r="B783" s="493" t="s">
        <v>3177</v>
      </c>
      <c r="C783" s="493" t="s">
        <v>3659</v>
      </c>
      <c r="D783" s="493" t="s">
        <v>3711</v>
      </c>
      <c r="E783" s="493" t="s">
        <v>3666</v>
      </c>
      <c r="F783" s="493" t="s">
        <v>6821</v>
      </c>
      <c r="G783" s="493" t="s">
        <v>8436</v>
      </c>
      <c r="H783" s="493" t="s">
        <v>7119</v>
      </c>
      <c r="I783" s="501" t="s">
        <v>7049</v>
      </c>
    </row>
    <row r="784" spans="1:9" ht="14.45">
      <c r="A784" s="493">
        <v>91424</v>
      </c>
      <c r="B784" s="493" t="s">
        <v>3179</v>
      </c>
      <c r="C784" s="493" t="s">
        <v>3659</v>
      </c>
      <c r="D784" s="493" t="s">
        <v>3711</v>
      </c>
      <c r="E784" s="493" t="s">
        <v>3666</v>
      </c>
      <c r="F784" s="493" t="s">
        <v>6821</v>
      </c>
      <c r="G784" s="493" t="s">
        <v>8437</v>
      </c>
      <c r="H784" s="493" t="s">
        <v>7124</v>
      </c>
      <c r="I784" s="501" t="s">
        <v>8438</v>
      </c>
    </row>
    <row r="785" spans="1:9" ht="14.45">
      <c r="A785" s="493">
        <v>91421</v>
      </c>
      <c r="B785" s="493" t="s">
        <v>5097</v>
      </c>
      <c r="C785" s="493" t="s">
        <v>3659</v>
      </c>
      <c r="D785" s="493" t="s">
        <v>3711</v>
      </c>
      <c r="E785" s="493" t="s">
        <v>846</v>
      </c>
      <c r="F785" s="493" t="s">
        <v>6821</v>
      </c>
      <c r="G785" s="493" t="s">
        <v>8439</v>
      </c>
      <c r="H785" s="493" t="s">
        <v>7128</v>
      </c>
      <c r="I785" s="501" t="s">
        <v>6965</v>
      </c>
    </row>
    <row r="786" spans="1:9" ht="14.45">
      <c r="A786" s="493">
        <v>91319</v>
      </c>
      <c r="B786" s="493" t="s">
        <v>3252</v>
      </c>
      <c r="C786" s="493" t="s">
        <v>3659</v>
      </c>
      <c r="D786" s="493" t="s">
        <v>3711</v>
      </c>
      <c r="E786" s="493" t="s">
        <v>3666</v>
      </c>
      <c r="F786" s="493" t="s">
        <v>6821</v>
      </c>
      <c r="G786" s="493" t="s">
        <v>8440</v>
      </c>
      <c r="H786" s="493" t="s">
        <v>7130</v>
      </c>
      <c r="I786" s="501" t="s">
        <v>7113</v>
      </c>
    </row>
    <row r="787" spans="1:9" ht="14.45">
      <c r="A787" s="493">
        <v>91439</v>
      </c>
      <c r="B787" s="493" t="s">
        <v>5848</v>
      </c>
      <c r="C787" s="493" t="s">
        <v>3659</v>
      </c>
      <c r="D787" s="493" t="s">
        <v>3828</v>
      </c>
      <c r="E787" s="493" t="s">
        <v>4444</v>
      </c>
      <c r="F787" s="493" t="s">
        <v>6821</v>
      </c>
      <c r="G787" s="493" t="s">
        <v>8441</v>
      </c>
      <c r="H787" s="493" t="s">
        <v>7135</v>
      </c>
      <c r="I787" s="501" t="s">
        <v>7136</v>
      </c>
    </row>
    <row r="788" spans="1:9" ht="14.45">
      <c r="A788" s="493">
        <v>91440</v>
      </c>
      <c r="B788" s="493" t="s">
        <v>5850</v>
      </c>
      <c r="C788" s="493" t="s">
        <v>3659</v>
      </c>
      <c r="D788" s="493" t="s">
        <v>3828</v>
      </c>
      <c r="E788" s="493" t="s">
        <v>4444</v>
      </c>
      <c r="F788" s="493" t="s">
        <v>6821</v>
      </c>
      <c r="G788" s="493" t="s">
        <v>8442</v>
      </c>
      <c r="H788" s="493" t="s">
        <v>7135</v>
      </c>
      <c r="I788" s="501" t="s">
        <v>7136</v>
      </c>
    </row>
    <row r="789" spans="1:9" ht="14.45">
      <c r="A789" s="493">
        <v>91101</v>
      </c>
      <c r="B789" s="493" t="s">
        <v>5079</v>
      </c>
      <c r="C789" s="493" t="s">
        <v>3659</v>
      </c>
      <c r="D789" s="493" t="s">
        <v>3711</v>
      </c>
      <c r="E789" s="493" t="s">
        <v>3719</v>
      </c>
      <c r="F789" s="493" t="s">
        <v>6821</v>
      </c>
      <c r="G789" s="493" t="s">
        <v>8443</v>
      </c>
      <c r="H789" s="493" t="s">
        <v>7143</v>
      </c>
      <c r="I789" s="501" t="s">
        <v>7144</v>
      </c>
    </row>
    <row r="790" spans="1:9" ht="14.45">
      <c r="A790" s="493">
        <v>91098</v>
      </c>
      <c r="B790" s="493" t="s">
        <v>5075</v>
      </c>
      <c r="C790" s="493" t="s">
        <v>3659</v>
      </c>
      <c r="D790" s="493" t="s">
        <v>3711</v>
      </c>
      <c r="E790" s="493" t="s">
        <v>3719</v>
      </c>
      <c r="F790" s="493" t="s">
        <v>6821</v>
      </c>
      <c r="G790" s="493" t="s">
        <v>8444</v>
      </c>
      <c r="H790" s="493" t="s">
        <v>7146</v>
      </c>
      <c r="I790" s="501" t="s">
        <v>7144</v>
      </c>
    </row>
    <row r="791" spans="1:9" ht="14.45">
      <c r="A791" s="493">
        <v>91024</v>
      </c>
      <c r="B791" s="493" t="s">
        <v>4911</v>
      </c>
      <c r="C791" s="493" t="s">
        <v>3659</v>
      </c>
      <c r="D791" s="493" t="s">
        <v>3770</v>
      </c>
      <c r="E791" s="493" t="s">
        <v>4309</v>
      </c>
      <c r="F791" s="493" t="s">
        <v>6906</v>
      </c>
      <c r="G791" s="493" t="s">
        <v>8445</v>
      </c>
      <c r="H791" s="493" t="s">
        <v>7148</v>
      </c>
      <c r="I791" s="501" t="s">
        <v>7149</v>
      </c>
    </row>
    <row r="792" spans="1:9" ht="14.45">
      <c r="A792" s="493">
        <v>91294</v>
      </c>
      <c r="B792" s="493" t="s">
        <v>4909</v>
      </c>
      <c r="C792" s="493" t="s">
        <v>3659</v>
      </c>
      <c r="D792" s="493" t="s">
        <v>3770</v>
      </c>
      <c r="E792" s="493" t="s">
        <v>4309</v>
      </c>
      <c r="F792" s="493" t="s">
        <v>6906</v>
      </c>
      <c r="G792" s="493" t="s">
        <v>8446</v>
      </c>
      <c r="H792" s="493" t="s">
        <v>7152</v>
      </c>
      <c r="I792" s="501" t="s">
        <v>7149</v>
      </c>
    </row>
    <row r="793" spans="1:9" ht="14.45">
      <c r="A793" s="493">
        <v>91071</v>
      </c>
      <c r="B793" s="493" t="s">
        <v>4893</v>
      </c>
      <c r="C793" s="493" t="s">
        <v>3659</v>
      </c>
      <c r="D793" s="493" t="s">
        <v>3770</v>
      </c>
      <c r="E793" s="493" t="s">
        <v>4309</v>
      </c>
      <c r="F793" s="493" t="s">
        <v>6906</v>
      </c>
      <c r="G793" s="493" t="s">
        <v>8447</v>
      </c>
      <c r="H793" s="493" t="s">
        <v>7152</v>
      </c>
      <c r="I793" s="501" t="s">
        <v>7149</v>
      </c>
    </row>
    <row r="794" spans="1:9" ht="14.45">
      <c r="A794" s="493">
        <v>91072</v>
      </c>
      <c r="B794" s="493" t="s">
        <v>4896</v>
      </c>
      <c r="C794" s="493" t="s">
        <v>3659</v>
      </c>
      <c r="D794" s="493" t="s">
        <v>3770</v>
      </c>
      <c r="E794" s="493" t="s">
        <v>4309</v>
      </c>
      <c r="F794" s="493" t="s">
        <v>6906</v>
      </c>
      <c r="G794" s="493" t="s">
        <v>8448</v>
      </c>
      <c r="H794" s="493" t="s">
        <v>7152</v>
      </c>
      <c r="I794" s="501" t="s">
        <v>7149</v>
      </c>
    </row>
    <row r="795" spans="1:9" ht="14.45">
      <c r="A795" s="493">
        <v>91073</v>
      </c>
      <c r="B795" s="493" t="s">
        <v>3106</v>
      </c>
      <c r="C795" s="493" t="s">
        <v>3659</v>
      </c>
      <c r="D795" s="493" t="s">
        <v>3770</v>
      </c>
      <c r="E795" s="493" t="s">
        <v>4309</v>
      </c>
      <c r="F795" s="493" t="s">
        <v>6906</v>
      </c>
      <c r="G795" s="493" t="s">
        <v>8449</v>
      </c>
      <c r="H795" s="493" t="s">
        <v>7154</v>
      </c>
      <c r="I795" s="501" t="s">
        <v>7149</v>
      </c>
    </row>
    <row r="796" spans="1:9" ht="14.45">
      <c r="A796" s="493">
        <v>91085</v>
      </c>
      <c r="B796" s="493" t="s">
        <v>3104</v>
      </c>
      <c r="C796" s="493" t="s">
        <v>3659</v>
      </c>
      <c r="D796" s="493" t="s">
        <v>3770</v>
      </c>
      <c r="E796" s="493" t="s">
        <v>4309</v>
      </c>
      <c r="F796" s="493" t="s">
        <v>6906</v>
      </c>
      <c r="G796" s="493" t="s">
        <v>8450</v>
      </c>
      <c r="H796" s="493" t="s">
        <v>7154</v>
      </c>
      <c r="I796" s="501" t="s">
        <v>7149</v>
      </c>
    </row>
    <row r="797" spans="1:9" ht="14.45">
      <c r="A797" s="493">
        <v>91074</v>
      </c>
      <c r="B797" s="493" t="s">
        <v>3109</v>
      </c>
      <c r="C797" s="493" t="s">
        <v>3659</v>
      </c>
      <c r="D797" s="493" t="s">
        <v>3770</v>
      </c>
      <c r="E797" s="493" t="s">
        <v>4309</v>
      </c>
      <c r="F797" s="493" t="s">
        <v>6906</v>
      </c>
      <c r="G797" s="493" t="s">
        <v>8451</v>
      </c>
      <c r="H797" s="493" t="s">
        <v>7156</v>
      </c>
      <c r="I797" s="501" t="s">
        <v>7149</v>
      </c>
    </row>
    <row r="798" spans="1:9" ht="14.45">
      <c r="A798" s="493">
        <v>91075</v>
      </c>
      <c r="B798" s="493" t="s">
        <v>3110</v>
      </c>
      <c r="C798" s="493" t="s">
        <v>3659</v>
      </c>
      <c r="D798" s="493" t="s">
        <v>3770</v>
      </c>
      <c r="E798" s="493" t="s">
        <v>4309</v>
      </c>
      <c r="F798" s="493" t="s">
        <v>6906</v>
      </c>
      <c r="G798" s="493" t="s">
        <v>8452</v>
      </c>
      <c r="H798" s="493" t="s">
        <v>7156</v>
      </c>
      <c r="I798" s="501" t="s">
        <v>7149</v>
      </c>
    </row>
    <row r="799" spans="1:9" ht="14.45">
      <c r="A799" s="493">
        <v>91035</v>
      </c>
      <c r="B799" s="493" t="s">
        <v>8453</v>
      </c>
      <c r="C799" s="493" t="s">
        <v>3659</v>
      </c>
      <c r="D799" s="493" t="s">
        <v>3932</v>
      </c>
      <c r="E799" s="493" t="s">
        <v>846</v>
      </c>
      <c r="F799" s="493" t="s">
        <v>6821</v>
      </c>
      <c r="G799" s="493" t="s">
        <v>8454</v>
      </c>
      <c r="H799" s="493" t="s">
        <v>7159</v>
      </c>
      <c r="I799" s="501" t="s">
        <v>7160</v>
      </c>
    </row>
    <row r="800" spans="1:9" ht="14.45">
      <c r="A800" s="493">
        <v>91025</v>
      </c>
      <c r="B800" s="493" t="s">
        <v>4914</v>
      </c>
      <c r="C800" s="493" t="s">
        <v>3659</v>
      </c>
      <c r="D800" s="493" t="s">
        <v>3770</v>
      </c>
      <c r="E800" s="493" t="s">
        <v>4309</v>
      </c>
      <c r="F800" s="493" t="s">
        <v>6906</v>
      </c>
      <c r="G800" s="493" t="s">
        <v>8455</v>
      </c>
      <c r="H800" s="493" t="s">
        <v>7162</v>
      </c>
      <c r="I800" s="501" t="s">
        <v>7149</v>
      </c>
    </row>
    <row r="801" spans="1:9" ht="14.45">
      <c r="A801" s="493">
        <v>91345</v>
      </c>
      <c r="B801" s="493" t="s">
        <v>3814</v>
      </c>
      <c r="C801" s="493" t="s">
        <v>3659</v>
      </c>
      <c r="D801" s="493" t="s">
        <v>3770</v>
      </c>
      <c r="E801" s="493" t="s">
        <v>3719</v>
      </c>
      <c r="F801" s="493" t="s">
        <v>6906</v>
      </c>
      <c r="G801" s="493" t="s">
        <v>8456</v>
      </c>
      <c r="H801" s="493" t="s">
        <v>7165</v>
      </c>
      <c r="I801" s="501" t="s">
        <v>7166</v>
      </c>
    </row>
    <row r="802" spans="1:9" ht="14.45">
      <c r="A802" s="493">
        <v>91346</v>
      </c>
      <c r="B802" s="493" t="s">
        <v>3816</v>
      </c>
      <c r="C802" s="493" t="s">
        <v>3659</v>
      </c>
      <c r="D802" s="493" t="s">
        <v>3770</v>
      </c>
      <c r="E802" s="493" t="s">
        <v>3719</v>
      </c>
      <c r="F802" s="493" t="s">
        <v>6906</v>
      </c>
      <c r="G802" s="493" t="s">
        <v>8457</v>
      </c>
      <c r="H802" s="493" t="s">
        <v>7165</v>
      </c>
      <c r="I802" s="501" t="s">
        <v>7166</v>
      </c>
    </row>
    <row r="803" spans="1:9" ht="14.45">
      <c r="A803" s="493">
        <v>91347</v>
      </c>
      <c r="B803" s="493" t="s">
        <v>3818</v>
      </c>
      <c r="C803" s="493" t="s">
        <v>3659</v>
      </c>
      <c r="D803" s="493" t="s">
        <v>3770</v>
      </c>
      <c r="E803" s="493" t="s">
        <v>3719</v>
      </c>
      <c r="F803" s="493" t="s">
        <v>6906</v>
      </c>
      <c r="G803" s="493" t="s">
        <v>8458</v>
      </c>
      <c r="H803" s="493" t="s">
        <v>7165</v>
      </c>
      <c r="I803" s="501" t="s">
        <v>7166</v>
      </c>
    </row>
    <row r="804" spans="1:9" ht="14.45">
      <c r="A804" s="493">
        <v>91348</v>
      </c>
      <c r="B804" s="493" t="s">
        <v>4924</v>
      </c>
      <c r="C804" s="493" t="s">
        <v>3659</v>
      </c>
      <c r="D804" s="493" t="s">
        <v>3770</v>
      </c>
      <c r="E804" s="493" t="s">
        <v>3719</v>
      </c>
      <c r="F804" s="493" t="s">
        <v>6906</v>
      </c>
      <c r="G804" s="493" t="s">
        <v>8459</v>
      </c>
      <c r="H804" s="493" t="s">
        <v>7169</v>
      </c>
      <c r="I804" s="501" t="s">
        <v>7166</v>
      </c>
    </row>
    <row r="805" spans="1:9" ht="14.45">
      <c r="A805" s="493">
        <v>91349</v>
      </c>
      <c r="B805" s="493" t="s">
        <v>4926</v>
      </c>
      <c r="C805" s="493" t="s">
        <v>3659</v>
      </c>
      <c r="D805" s="493" t="s">
        <v>3770</v>
      </c>
      <c r="E805" s="493" t="s">
        <v>3719</v>
      </c>
      <c r="F805" s="493" t="s">
        <v>6906</v>
      </c>
      <c r="G805" s="493" t="s">
        <v>8460</v>
      </c>
      <c r="H805" s="493" t="s">
        <v>7169</v>
      </c>
      <c r="I805" s="501" t="s">
        <v>7166</v>
      </c>
    </row>
    <row r="806" spans="1:9" ht="14.45">
      <c r="A806" s="493">
        <v>91368</v>
      </c>
      <c r="B806" s="493" t="s">
        <v>4936</v>
      </c>
      <c r="C806" s="493" t="s">
        <v>3659</v>
      </c>
      <c r="D806" s="493" t="s">
        <v>3770</v>
      </c>
      <c r="E806" s="493" t="s">
        <v>3719</v>
      </c>
      <c r="F806" s="493" t="s">
        <v>6906</v>
      </c>
      <c r="G806" s="493" t="s">
        <v>8461</v>
      </c>
      <c r="H806" s="493" t="s">
        <v>7172</v>
      </c>
      <c r="I806" s="501" t="s">
        <v>7166</v>
      </c>
    </row>
    <row r="807" spans="1:9" ht="14.45">
      <c r="A807" s="493">
        <v>91369</v>
      </c>
      <c r="B807" s="493" t="s">
        <v>3867</v>
      </c>
      <c r="C807" s="493" t="s">
        <v>3659</v>
      </c>
      <c r="D807" s="493" t="s">
        <v>3770</v>
      </c>
      <c r="E807" s="493" t="s">
        <v>3719</v>
      </c>
      <c r="F807" s="493" t="s">
        <v>6906</v>
      </c>
      <c r="G807" s="493" t="s">
        <v>8462</v>
      </c>
      <c r="H807" s="493" t="s">
        <v>7172</v>
      </c>
      <c r="I807" s="501" t="s">
        <v>7166</v>
      </c>
    </row>
    <row r="808" spans="1:9" ht="14.45">
      <c r="A808" s="493">
        <v>91370</v>
      </c>
      <c r="B808" s="493" t="s">
        <v>4938</v>
      </c>
      <c r="C808" s="493" t="s">
        <v>3659</v>
      </c>
      <c r="D808" s="493" t="s">
        <v>3770</v>
      </c>
      <c r="E808" s="493" t="s">
        <v>3719</v>
      </c>
      <c r="F808" s="493" t="s">
        <v>6906</v>
      </c>
      <c r="G808" s="493" t="s">
        <v>8463</v>
      </c>
      <c r="H808" s="493" t="s">
        <v>7172</v>
      </c>
      <c r="I808" s="501" t="s">
        <v>7166</v>
      </c>
    </row>
    <row r="809" spans="1:9" ht="14.45">
      <c r="A809" s="493">
        <v>91371</v>
      </c>
      <c r="B809" s="493" t="s">
        <v>4940</v>
      </c>
      <c r="C809" s="493" t="s">
        <v>3659</v>
      </c>
      <c r="D809" s="493" t="s">
        <v>3770</v>
      </c>
      <c r="E809" s="493" t="s">
        <v>3719</v>
      </c>
      <c r="F809" s="493" t="s">
        <v>6906</v>
      </c>
      <c r="G809" s="493" t="s">
        <v>8464</v>
      </c>
      <c r="H809" s="493" t="s">
        <v>7172</v>
      </c>
      <c r="I809" s="501" t="s">
        <v>7166</v>
      </c>
    </row>
    <row r="810" spans="1:9" ht="14.45">
      <c r="A810" s="493">
        <v>91372</v>
      </c>
      <c r="B810" s="493" t="s">
        <v>4942</v>
      </c>
      <c r="C810" s="493" t="s">
        <v>3659</v>
      </c>
      <c r="D810" s="493" t="s">
        <v>3770</v>
      </c>
      <c r="E810" s="493" t="s">
        <v>3719</v>
      </c>
      <c r="F810" s="493" t="s">
        <v>6906</v>
      </c>
      <c r="G810" s="493" t="s">
        <v>8465</v>
      </c>
      <c r="H810" s="493" t="s">
        <v>7172</v>
      </c>
      <c r="I810" s="501" t="s">
        <v>7166</v>
      </c>
    </row>
    <row r="811" spans="1:9" ht="14.45">
      <c r="A811" s="493">
        <v>91375</v>
      </c>
      <c r="B811" s="493" t="s">
        <v>4944</v>
      </c>
      <c r="C811" s="493" t="s">
        <v>3659</v>
      </c>
      <c r="D811" s="493" t="s">
        <v>3770</v>
      </c>
      <c r="E811" s="493" t="s">
        <v>3719</v>
      </c>
      <c r="F811" s="493" t="s">
        <v>6906</v>
      </c>
      <c r="G811" s="493" t="s">
        <v>8466</v>
      </c>
      <c r="H811" s="493" t="s">
        <v>7172</v>
      </c>
      <c r="I811" s="501" t="s">
        <v>7166</v>
      </c>
    </row>
    <row r="812" spans="1:9" ht="14.45">
      <c r="A812" s="493">
        <v>91136</v>
      </c>
      <c r="B812" s="493" t="s">
        <v>4905</v>
      </c>
      <c r="C812" s="493" t="s">
        <v>3659</v>
      </c>
      <c r="D812" s="493" t="s">
        <v>3770</v>
      </c>
      <c r="E812" s="493" t="s">
        <v>43</v>
      </c>
      <c r="F812" s="493" t="s">
        <v>6821</v>
      </c>
      <c r="G812" s="493" t="s">
        <v>8467</v>
      </c>
      <c r="H812" s="493" t="s">
        <v>7177</v>
      </c>
      <c r="I812" s="501" t="s">
        <v>7178</v>
      </c>
    </row>
    <row r="813" spans="1:9" ht="14.45">
      <c r="A813" s="493">
        <v>91077</v>
      </c>
      <c r="B813" s="493" t="s">
        <v>3097</v>
      </c>
      <c r="C813" s="493" t="s">
        <v>3674</v>
      </c>
      <c r="D813" s="493" t="s">
        <v>3770</v>
      </c>
      <c r="E813" s="493" t="s">
        <v>4309</v>
      </c>
      <c r="F813" s="493" t="s">
        <v>6821</v>
      </c>
      <c r="G813" s="493" t="s">
        <v>8468</v>
      </c>
      <c r="H813" s="493" t="s">
        <v>7181</v>
      </c>
      <c r="I813" s="501" t="s">
        <v>7182</v>
      </c>
    </row>
    <row r="814" spans="1:9" ht="14.45">
      <c r="A814" s="493">
        <v>91076</v>
      </c>
      <c r="B814" s="493" t="s">
        <v>3098</v>
      </c>
      <c r="C814" s="493" t="s">
        <v>3674</v>
      </c>
      <c r="D814" s="493" t="s">
        <v>3770</v>
      </c>
      <c r="E814" s="493" t="s">
        <v>4309</v>
      </c>
      <c r="F814" s="493" t="s">
        <v>6821</v>
      </c>
      <c r="G814" s="493" t="s">
        <v>8469</v>
      </c>
      <c r="H814" s="493" t="s">
        <v>7181</v>
      </c>
      <c r="I814" s="501" t="s">
        <v>7182</v>
      </c>
    </row>
    <row r="815" spans="1:9" ht="14.45">
      <c r="A815" s="493">
        <v>91137</v>
      </c>
      <c r="B815" s="493" t="s">
        <v>3781</v>
      </c>
      <c r="C815" s="493" t="s">
        <v>3659</v>
      </c>
      <c r="D815" s="493" t="s">
        <v>3770</v>
      </c>
      <c r="E815" s="493" t="s">
        <v>3719</v>
      </c>
      <c r="F815" s="493" t="s">
        <v>6906</v>
      </c>
      <c r="G815" s="493" t="s">
        <v>8470</v>
      </c>
      <c r="H815" s="493" t="s">
        <v>7184</v>
      </c>
      <c r="I815" s="501" t="s">
        <v>7185</v>
      </c>
    </row>
    <row r="816" spans="1:9" ht="14.45">
      <c r="A816" s="493">
        <v>91350</v>
      </c>
      <c r="B816" s="493" t="s">
        <v>4971</v>
      </c>
      <c r="C816" s="493" t="s">
        <v>3659</v>
      </c>
      <c r="D816" s="493" t="s">
        <v>3770</v>
      </c>
      <c r="E816" s="493" t="s">
        <v>3719</v>
      </c>
      <c r="F816" s="493" t="s">
        <v>6906</v>
      </c>
      <c r="G816" s="493" t="s">
        <v>8471</v>
      </c>
      <c r="H816" s="493" t="s">
        <v>7188</v>
      </c>
      <c r="I816" s="501" t="s">
        <v>6915</v>
      </c>
    </row>
    <row r="817" spans="1:9" ht="14.45">
      <c r="A817" s="493">
        <v>91351</v>
      </c>
      <c r="B817" s="493" t="s">
        <v>4973</v>
      </c>
      <c r="C817" s="493" t="s">
        <v>3659</v>
      </c>
      <c r="D817" s="493" t="s">
        <v>3770</v>
      </c>
      <c r="E817" s="493" t="s">
        <v>3719</v>
      </c>
      <c r="F817" s="493" t="s">
        <v>6906</v>
      </c>
      <c r="G817" s="493" t="s">
        <v>8472</v>
      </c>
      <c r="H817" s="493" t="s">
        <v>7188</v>
      </c>
      <c r="I817" s="501" t="s">
        <v>6915</v>
      </c>
    </row>
    <row r="818" spans="1:9" ht="14.45">
      <c r="A818" s="493">
        <v>91352</v>
      </c>
      <c r="B818" s="493" t="s">
        <v>4975</v>
      </c>
      <c r="C818" s="493" t="s">
        <v>3659</v>
      </c>
      <c r="D818" s="493" t="s">
        <v>3770</v>
      </c>
      <c r="E818" s="493" t="s">
        <v>3719</v>
      </c>
      <c r="F818" s="493" t="s">
        <v>6906</v>
      </c>
      <c r="G818" s="493" t="s">
        <v>8473</v>
      </c>
      <c r="H818" s="493" t="s">
        <v>7188</v>
      </c>
      <c r="I818" s="501" t="s">
        <v>6915</v>
      </c>
    </row>
    <row r="819" spans="1:9" ht="14.45">
      <c r="A819" s="493">
        <v>91353</v>
      </c>
      <c r="B819" s="493" t="s">
        <v>4979</v>
      </c>
      <c r="C819" s="493" t="s">
        <v>3659</v>
      </c>
      <c r="D819" s="493" t="s">
        <v>3770</v>
      </c>
      <c r="E819" s="493" t="s">
        <v>3719</v>
      </c>
      <c r="F819" s="493" t="s">
        <v>6906</v>
      </c>
      <c r="G819" s="493" t="s">
        <v>8474</v>
      </c>
      <c r="H819" s="493" t="s">
        <v>7188</v>
      </c>
      <c r="I819" s="501" t="s">
        <v>6915</v>
      </c>
    </row>
    <row r="820" spans="1:9" ht="14.45">
      <c r="A820" s="493">
        <v>91354</v>
      </c>
      <c r="B820" s="493" t="s">
        <v>4981</v>
      </c>
      <c r="C820" s="493" t="s">
        <v>3659</v>
      </c>
      <c r="D820" s="493" t="s">
        <v>3770</v>
      </c>
      <c r="E820" s="493" t="s">
        <v>3719</v>
      </c>
      <c r="F820" s="493" t="s">
        <v>6906</v>
      </c>
      <c r="G820" s="493" t="s">
        <v>8475</v>
      </c>
      <c r="H820" s="493" t="s">
        <v>7188</v>
      </c>
      <c r="I820" s="501" t="s">
        <v>6915</v>
      </c>
    </row>
    <row r="821" spans="1:9" ht="14.45">
      <c r="A821" s="493">
        <v>91207</v>
      </c>
      <c r="B821" s="493" t="s">
        <v>3465</v>
      </c>
      <c r="C821" s="493" t="s">
        <v>3659</v>
      </c>
      <c r="D821" s="493" t="s">
        <v>3918</v>
      </c>
      <c r="E821" s="493" t="s">
        <v>3666</v>
      </c>
      <c r="F821" s="493" t="s">
        <v>6821</v>
      </c>
      <c r="G821" s="493" t="s">
        <v>8476</v>
      </c>
      <c r="H821" s="493" t="s">
        <v>7196</v>
      </c>
      <c r="I821" s="501" t="s">
        <v>7193</v>
      </c>
    </row>
    <row r="822" spans="1:9" ht="14.45">
      <c r="A822" s="493">
        <v>91018</v>
      </c>
      <c r="B822" s="493" t="s">
        <v>3467</v>
      </c>
      <c r="C822" s="493" t="s">
        <v>3659</v>
      </c>
      <c r="D822" s="493" t="s">
        <v>3918</v>
      </c>
      <c r="E822" s="493" t="s">
        <v>3666</v>
      </c>
      <c r="F822" s="493" t="s">
        <v>6821</v>
      </c>
      <c r="G822" s="493" t="s">
        <v>8477</v>
      </c>
      <c r="H822" s="493" t="s">
        <v>7199</v>
      </c>
      <c r="I822" s="501" t="s">
        <v>7193</v>
      </c>
    </row>
    <row r="823" spans="1:9" ht="14.45">
      <c r="A823" s="493">
        <v>91206</v>
      </c>
      <c r="B823" s="493" t="s">
        <v>5695</v>
      </c>
      <c r="C823" s="493" t="s">
        <v>3659</v>
      </c>
      <c r="D823" s="493" t="s">
        <v>3918</v>
      </c>
      <c r="E823" s="493" t="s">
        <v>3919</v>
      </c>
      <c r="F823" s="493" t="s">
        <v>6821</v>
      </c>
      <c r="G823" s="493" t="s">
        <v>8478</v>
      </c>
      <c r="H823" s="493" t="s">
        <v>7207</v>
      </c>
      <c r="I823" s="501" t="s">
        <v>7208</v>
      </c>
    </row>
    <row r="824" spans="1:9" ht="14.45">
      <c r="A824" s="493">
        <v>91205</v>
      </c>
      <c r="B824" s="493" t="s">
        <v>5700</v>
      </c>
      <c r="C824" s="493" t="s">
        <v>3659</v>
      </c>
      <c r="D824" s="493" t="s">
        <v>3918</v>
      </c>
      <c r="E824" s="493" t="s">
        <v>3919</v>
      </c>
      <c r="F824" s="493" t="s">
        <v>6821</v>
      </c>
      <c r="G824" s="493" t="s">
        <v>8479</v>
      </c>
      <c r="H824" s="493" t="s">
        <v>7214</v>
      </c>
      <c r="I824" s="501" t="s">
        <v>7215</v>
      </c>
    </row>
    <row r="825" spans="1:9" ht="14.45">
      <c r="A825" s="493">
        <v>91204</v>
      </c>
      <c r="B825" s="493" t="s">
        <v>5683</v>
      </c>
      <c r="C825" s="493" t="s">
        <v>3659</v>
      </c>
      <c r="D825" s="493" t="s">
        <v>3918</v>
      </c>
      <c r="E825" s="493" t="s">
        <v>3919</v>
      </c>
      <c r="F825" s="493" t="s">
        <v>6821</v>
      </c>
      <c r="G825" s="493" t="s">
        <v>8480</v>
      </c>
      <c r="H825" s="493" t="s">
        <v>7217</v>
      </c>
      <c r="I825" s="501" t="s">
        <v>7215</v>
      </c>
    </row>
    <row r="826" spans="1:9" ht="14.45">
      <c r="A826" s="493">
        <v>91203</v>
      </c>
      <c r="B826" s="493" t="s">
        <v>5685</v>
      </c>
      <c r="C826" s="493" t="s">
        <v>3659</v>
      </c>
      <c r="D826" s="493" t="s">
        <v>3918</v>
      </c>
      <c r="E826" s="493" t="s">
        <v>3919</v>
      </c>
      <c r="F826" s="493" t="s">
        <v>6821</v>
      </c>
      <c r="G826" s="493" t="s">
        <v>8481</v>
      </c>
      <c r="H826" s="493" t="s">
        <v>7217</v>
      </c>
      <c r="I826" s="501" t="s">
        <v>7215</v>
      </c>
    </row>
    <row r="827" spans="1:9" ht="14.45">
      <c r="A827" s="493">
        <v>91202</v>
      </c>
      <c r="B827" s="493" t="s">
        <v>5673</v>
      </c>
      <c r="C827" s="493" t="s">
        <v>3659</v>
      </c>
      <c r="D827" s="493" t="s">
        <v>3918</v>
      </c>
      <c r="E827" s="493" t="s">
        <v>3919</v>
      </c>
      <c r="F827" s="493" t="s">
        <v>6821</v>
      </c>
      <c r="G827" s="493" t="s">
        <v>8482</v>
      </c>
      <c r="H827" s="493" t="s">
        <v>7222</v>
      </c>
      <c r="I827" s="501" t="s">
        <v>7215</v>
      </c>
    </row>
    <row r="828" spans="1:9" ht="14.45">
      <c r="A828" s="493">
        <v>91196</v>
      </c>
      <c r="B828" s="493" t="s">
        <v>5818</v>
      </c>
      <c r="C828" s="493" t="s">
        <v>3659</v>
      </c>
      <c r="D828" s="493" t="s">
        <v>3918</v>
      </c>
      <c r="E828" s="493" t="s">
        <v>3919</v>
      </c>
      <c r="F828" s="493" t="s">
        <v>6821</v>
      </c>
      <c r="G828" s="493" t="s">
        <v>8483</v>
      </c>
      <c r="H828" s="493" t="s">
        <v>7232</v>
      </c>
      <c r="I828" s="501" t="s">
        <v>7233</v>
      </c>
    </row>
    <row r="829" spans="1:9" ht="14.45">
      <c r="A829" s="493">
        <v>90955</v>
      </c>
      <c r="B829" s="493" t="s">
        <v>5826</v>
      </c>
      <c r="C829" s="493" t="s">
        <v>3659</v>
      </c>
      <c r="D829" s="493" t="s">
        <v>3918</v>
      </c>
      <c r="E829" s="493" t="s">
        <v>3919</v>
      </c>
      <c r="F829" s="493" t="s">
        <v>6821</v>
      </c>
      <c r="G829" s="493" t="s">
        <v>8484</v>
      </c>
      <c r="H829" s="493" t="s">
        <v>7236</v>
      </c>
      <c r="I829" s="501" t="s">
        <v>7233</v>
      </c>
    </row>
    <row r="830" spans="1:9" ht="14.45">
      <c r="A830" s="493">
        <v>90744</v>
      </c>
      <c r="B830" s="493" t="s">
        <v>5760</v>
      </c>
      <c r="C830" s="493" t="s">
        <v>3659</v>
      </c>
      <c r="D830" s="493" t="s">
        <v>3918</v>
      </c>
      <c r="E830" s="493" t="s">
        <v>3919</v>
      </c>
      <c r="F830" s="493" t="s">
        <v>6821</v>
      </c>
      <c r="G830" s="493" t="s">
        <v>8485</v>
      </c>
      <c r="H830" s="493" t="s">
        <v>7242</v>
      </c>
      <c r="I830" s="501" t="s">
        <v>7233</v>
      </c>
    </row>
    <row r="831" spans="1:9" ht="14.45">
      <c r="A831" s="493">
        <v>90961</v>
      </c>
      <c r="B831" s="493" t="s">
        <v>5304</v>
      </c>
      <c r="C831" s="493" t="s">
        <v>3659</v>
      </c>
      <c r="D831" s="493" t="s">
        <v>3918</v>
      </c>
      <c r="E831" s="493" t="s">
        <v>3719</v>
      </c>
      <c r="F831" s="493" t="s">
        <v>6821</v>
      </c>
      <c r="G831" s="493" t="s">
        <v>8486</v>
      </c>
      <c r="H831" s="493" t="s">
        <v>7252</v>
      </c>
      <c r="I831" s="501" t="s">
        <v>7253</v>
      </c>
    </row>
    <row r="832" spans="1:9" ht="14.45">
      <c r="A832" s="493">
        <v>91019</v>
      </c>
      <c r="B832" s="493" t="s">
        <v>5284</v>
      </c>
      <c r="C832" s="493" t="s">
        <v>3659</v>
      </c>
      <c r="D832" s="493" t="s">
        <v>3918</v>
      </c>
      <c r="E832" s="493" t="s">
        <v>3719</v>
      </c>
      <c r="F832" s="493" t="s">
        <v>6821</v>
      </c>
      <c r="G832" s="493" t="s">
        <v>8487</v>
      </c>
      <c r="H832" s="493" t="s">
        <v>7258</v>
      </c>
      <c r="I832" s="501" t="s">
        <v>7256</v>
      </c>
    </row>
    <row r="833" spans="1:9" ht="14.45">
      <c r="A833" s="493">
        <v>91020</v>
      </c>
      <c r="B833" s="493" t="s">
        <v>5321</v>
      </c>
      <c r="C833" s="493" t="s">
        <v>3659</v>
      </c>
      <c r="D833" s="493" t="s">
        <v>3918</v>
      </c>
      <c r="E833" s="493" t="s">
        <v>3719</v>
      </c>
      <c r="F833" s="493" t="s">
        <v>6821</v>
      </c>
      <c r="G833" s="493" t="s">
        <v>8488</v>
      </c>
      <c r="H833" s="493" t="s">
        <v>7260</v>
      </c>
      <c r="I833" s="501" t="s">
        <v>7264</v>
      </c>
    </row>
    <row r="834" spans="1:9" ht="14.45">
      <c r="A834" s="493">
        <v>90745</v>
      </c>
      <c r="B834" s="493" t="s">
        <v>5738</v>
      </c>
      <c r="C834" s="493" t="s">
        <v>3659</v>
      </c>
      <c r="D834" s="493" t="s">
        <v>3918</v>
      </c>
      <c r="E834" s="493" t="s">
        <v>3919</v>
      </c>
      <c r="F834" s="493" t="s">
        <v>6821</v>
      </c>
      <c r="G834" s="493" t="s">
        <v>8489</v>
      </c>
      <c r="H834" s="493" t="s">
        <v>7279</v>
      </c>
      <c r="I834" s="501" t="s">
        <v>7233</v>
      </c>
    </row>
    <row r="835" spans="1:9" ht="14.45">
      <c r="A835" s="493">
        <v>90746</v>
      </c>
      <c r="B835" s="493" t="s">
        <v>5720</v>
      </c>
      <c r="C835" s="493" t="s">
        <v>3659</v>
      </c>
      <c r="D835" s="493" t="s">
        <v>3918</v>
      </c>
      <c r="E835" s="493" t="s">
        <v>3919</v>
      </c>
      <c r="F835" s="493" t="s">
        <v>6821</v>
      </c>
      <c r="G835" s="493" t="s">
        <v>8490</v>
      </c>
      <c r="H835" s="493" t="s">
        <v>7272</v>
      </c>
      <c r="I835" s="501" t="s">
        <v>7273</v>
      </c>
    </row>
    <row r="836" spans="1:9" ht="14.45">
      <c r="A836" s="493">
        <v>90962</v>
      </c>
      <c r="B836" s="493" t="s">
        <v>5729</v>
      </c>
      <c r="C836" s="493" t="s">
        <v>3659</v>
      </c>
      <c r="D836" s="493" t="s">
        <v>3918</v>
      </c>
      <c r="E836" s="493" t="s">
        <v>3919</v>
      </c>
      <c r="F836" s="493" t="s">
        <v>6821</v>
      </c>
      <c r="G836" s="493" t="s">
        <v>8491</v>
      </c>
      <c r="H836" s="493" t="s">
        <v>7275</v>
      </c>
      <c r="I836" s="501" t="s">
        <v>7276</v>
      </c>
    </row>
    <row r="837" spans="1:9" ht="14.45">
      <c r="A837" s="493">
        <v>90991</v>
      </c>
      <c r="B837" s="493" t="s">
        <v>5731</v>
      </c>
      <c r="C837" s="493" t="s">
        <v>3659</v>
      </c>
      <c r="D837" s="493" t="s">
        <v>3918</v>
      </c>
      <c r="E837" s="493" t="s">
        <v>3919</v>
      </c>
      <c r="F837" s="493" t="s">
        <v>6821</v>
      </c>
      <c r="G837" s="493" t="s">
        <v>8492</v>
      </c>
      <c r="H837" s="493" t="s">
        <v>7275</v>
      </c>
      <c r="I837" s="501" t="s">
        <v>7276</v>
      </c>
    </row>
    <row r="838" spans="1:9" ht="14.45">
      <c r="A838" s="493">
        <v>91195</v>
      </c>
      <c r="B838" s="493" t="s">
        <v>5611</v>
      </c>
      <c r="C838" s="493" t="s">
        <v>3659</v>
      </c>
      <c r="D838" s="493" t="s">
        <v>3918</v>
      </c>
      <c r="E838" s="493" t="s">
        <v>3919</v>
      </c>
      <c r="F838" s="493" t="s">
        <v>6821</v>
      </c>
      <c r="G838" s="493" t="s">
        <v>8493</v>
      </c>
      <c r="H838" s="493" t="s">
        <v>7281</v>
      </c>
      <c r="I838" s="501" t="s">
        <v>7282</v>
      </c>
    </row>
    <row r="839" spans="1:9" ht="14.45">
      <c r="A839" s="493">
        <v>91213</v>
      </c>
      <c r="B839" s="493" t="s">
        <v>3442</v>
      </c>
      <c r="C839" s="493" t="s">
        <v>3659</v>
      </c>
      <c r="D839" s="493" t="s">
        <v>3918</v>
      </c>
      <c r="E839" s="493" t="s">
        <v>3666</v>
      </c>
      <c r="F839" s="493" t="s">
        <v>6821</v>
      </c>
      <c r="G839" s="493" t="s">
        <v>8494</v>
      </c>
      <c r="H839" s="493" t="s">
        <v>7287</v>
      </c>
      <c r="I839" s="501" t="s">
        <v>7288</v>
      </c>
    </row>
    <row r="840" spans="1:9" ht="14.45">
      <c r="A840" s="493">
        <v>91194</v>
      </c>
      <c r="B840" s="493" t="s">
        <v>3553</v>
      </c>
      <c r="C840" s="493" t="s">
        <v>3659</v>
      </c>
      <c r="D840" s="493" t="s">
        <v>3918</v>
      </c>
      <c r="E840" s="493" t="s">
        <v>6009</v>
      </c>
      <c r="F840" s="493" t="s">
        <v>6821</v>
      </c>
      <c r="G840" s="493" t="s">
        <v>8495</v>
      </c>
      <c r="H840" s="493" t="s">
        <v>7294</v>
      </c>
      <c r="I840" s="501" t="s">
        <v>7295</v>
      </c>
    </row>
    <row r="841" spans="1:9" ht="14.45">
      <c r="A841" s="493">
        <v>91193</v>
      </c>
      <c r="B841" s="493" t="s">
        <v>3558</v>
      </c>
      <c r="C841" s="493" t="s">
        <v>3659</v>
      </c>
      <c r="D841" s="493" t="s">
        <v>3918</v>
      </c>
      <c r="E841" s="493" t="s">
        <v>6009</v>
      </c>
      <c r="F841" s="493" t="s">
        <v>6821</v>
      </c>
      <c r="G841" s="493" t="s">
        <v>8496</v>
      </c>
      <c r="H841" s="493" t="s">
        <v>7297</v>
      </c>
      <c r="I841" s="501" t="s">
        <v>7298</v>
      </c>
    </row>
    <row r="842" spans="1:9" ht="14.45">
      <c r="A842" s="493">
        <v>91295</v>
      </c>
      <c r="B842" s="493" t="s">
        <v>5846</v>
      </c>
      <c r="C842" s="493" t="s">
        <v>3659</v>
      </c>
      <c r="D842" s="493" t="s">
        <v>3681</v>
      </c>
      <c r="E842" s="493" t="s">
        <v>3919</v>
      </c>
      <c r="F842" s="493" t="s">
        <v>6906</v>
      </c>
      <c r="G842" s="493" t="s">
        <v>8497</v>
      </c>
      <c r="H842" s="493" t="s">
        <v>7300</v>
      </c>
      <c r="I842" s="501" t="s">
        <v>7301</v>
      </c>
    </row>
    <row r="843" spans="1:9" ht="14.45">
      <c r="A843" s="493">
        <v>91200</v>
      </c>
      <c r="B843" s="493" t="s">
        <v>8498</v>
      </c>
      <c r="C843" s="493" t="s">
        <v>3659</v>
      </c>
      <c r="D843" s="493" t="s">
        <v>3681</v>
      </c>
      <c r="E843" s="493" t="s">
        <v>846</v>
      </c>
      <c r="F843" s="493" t="s">
        <v>6906</v>
      </c>
      <c r="G843" s="493" t="s">
        <v>8499</v>
      </c>
      <c r="H843" s="493" t="s">
        <v>7303</v>
      </c>
      <c r="I843" s="501" t="s">
        <v>7304</v>
      </c>
    </row>
    <row r="844" spans="1:9" ht="14.45">
      <c r="A844" s="493">
        <v>91199</v>
      </c>
      <c r="B844" s="493" t="s">
        <v>4993</v>
      </c>
      <c r="C844" s="493" t="s">
        <v>3659</v>
      </c>
      <c r="D844" s="493" t="s">
        <v>3681</v>
      </c>
      <c r="E844" s="493" t="s">
        <v>846</v>
      </c>
      <c r="F844" s="493" t="s">
        <v>6906</v>
      </c>
      <c r="G844" s="493" t="s">
        <v>8500</v>
      </c>
      <c r="H844" s="493" t="s">
        <v>7310</v>
      </c>
      <c r="I844" s="501" t="s">
        <v>7311</v>
      </c>
    </row>
    <row r="845" spans="1:9" ht="14.45">
      <c r="A845" s="493">
        <v>91337</v>
      </c>
      <c r="B845" s="493" t="s">
        <v>4995</v>
      </c>
      <c r="C845" s="493" t="s">
        <v>3659</v>
      </c>
      <c r="D845" s="493" t="s">
        <v>3681</v>
      </c>
      <c r="E845" s="493" t="s">
        <v>846</v>
      </c>
      <c r="F845" s="493" t="s">
        <v>6906</v>
      </c>
      <c r="G845" s="493" t="s">
        <v>8501</v>
      </c>
      <c r="H845" s="493" t="s">
        <v>7314</v>
      </c>
      <c r="I845" s="501" t="s">
        <v>7315</v>
      </c>
    </row>
    <row r="846" spans="1:9" ht="14.45">
      <c r="A846" s="493">
        <v>91198</v>
      </c>
      <c r="B846" s="493" t="s">
        <v>4991</v>
      </c>
      <c r="C846" s="493" t="s">
        <v>3659</v>
      </c>
      <c r="D846" s="493" t="s">
        <v>3681</v>
      </c>
      <c r="E846" s="493" t="s">
        <v>846</v>
      </c>
      <c r="F846" s="493" t="s">
        <v>6906</v>
      </c>
      <c r="G846" s="493" t="s">
        <v>8502</v>
      </c>
      <c r="H846" s="493" t="s">
        <v>7317</v>
      </c>
      <c r="I846" s="501" t="s">
        <v>7315</v>
      </c>
    </row>
    <row r="847" spans="1:9" ht="14.45">
      <c r="A847" s="493">
        <v>91264</v>
      </c>
      <c r="B847" s="493" t="s">
        <v>8503</v>
      </c>
      <c r="C847" s="493" t="s">
        <v>3659</v>
      </c>
      <c r="D847" s="493" t="s">
        <v>3681</v>
      </c>
      <c r="E847" s="493" t="s">
        <v>846</v>
      </c>
      <c r="F847" s="493" t="s">
        <v>6821</v>
      </c>
      <c r="G847" s="493" t="s">
        <v>8504</v>
      </c>
      <c r="H847" s="493" t="s">
        <v>7327</v>
      </c>
      <c r="I847" s="501" t="s">
        <v>7328</v>
      </c>
    </row>
    <row r="848" spans="1:9" ht="14.45">
      <c r="A848" s="493">
        <v>91263</v>
      </c>
      <c r="B848" s="493" t="s">
        <v>8505</v>
      </c>
      <c r="C848" s="493" t="s">
        <v>3659</v>
      </c>
      <c r="D848" s="493" t="s">
        <v>3681</v>
      </c>
      <c r="E848" s="493" t="s">
        <v>846</v>
      </c>
      <c r="F848" s="493" t="s">
        <v>6821</v>
      </c>
      <c r="G848" s="493" t="s">
        <v>8506</v>
      </c>
      <c r="H848" s="493" t="s">
        <v>7336</v>
      </c>
      <c r="I848" s="501" t="s">
        <v>7337</v>
      </c>
    </row>
    <row r="849" spans="1:9" ht="14.45">
      <c r="A849" s="493">
        <v>91262</v>
      </c>
      <c r="B849" s="493" t="s">
        <v>8507</v>
      </c>
      <c r="C849" s="493" t="s">
        <v>3659</v>
      </c>
      <c r="D849" s="493" t="s">
        <v>3681</v>
      </c>
      <c r="E849" s="493" t="s">
        <v>846</v>
      </c>
      <c r="F849" s="493" t="s">
        <v>6821</v>
      </c>
      <c r="G849" s="493" t="s">
        <v>8508</v>
      </c>
      <c r="H849" s="493" t="s">
        <v>7340</v>
      </c>
      <c r="I849" s="501" t="s">
        <v>7331</v>
      </c>
    </row>
    <row r="850" spans="1:9" ht="14.45">
      <c r="A850" s="493">
        <v>91259</v>
      </c>
      <c r="B850" s="493" t="s">
        <v>8509</v>
      </c>
      <c r="C850" s="493" t="s">
        <v>3659</v>
      </c>
      <c r="D850" s="493" t="s">
        <v>3681</v>
      </c>
      <c r="E850" s="493" t="s">
        <v>846</v>
      </c>
      <c r="F850" s="493" t="s">
        <v>6821</v>
      </c>
      <c r="G850" s="493" t="s">
        <v>8510</v>
      </c>
      <c r="H850" s="493" t="s">
        <v>7343</v>
      </c>
      <c r="I850" s="501" t="s">
        <v>7331</v>
      </c>
    </row>
    <row r="851" spans="1:9" ht="14.45">
      <c r="A851" s="493">
        <v>91258</v>
      </c>
      <c r="B851" s="493" t="s">
        <v>3690</v>
      </c>
      <c r="C851" s="493" t="s">
        <v>3659</v>
      </c>
      <c r="D851" s="493" t="s">
        <v>3681</v>
      </c>
      <c r="E851" s="493" t="s">
        <v>3682</v>
      </c>
      <c r="F851" s="493" t="s">
        <v>6821</v>
      </c>
      <c r="G851" s="493" t="s">
        <v>8511</v>
      </c>
      <c r="H851" s="493" t="s">
        <v>7347</v>
      </c>
      <c r="I851" s="501" t="s">
        <v>7348</v>
      </c>
    </row>
    <row r="852" spans="1:9" ht="14.45">
      <c r="A852" s="493">
        <v>91260</v>
      </c>
      <c r="B852" s="493" t="s">
        <v>3692</v>
      </c>
      <c r="C852" s="493" t="s">
        <v>3659</v>
      </c>
      <c r="D852" s="493" t="s">
        <v>3681</v>
      </c>
      <c r="E852" s="493" t="s">
        <v>3682</v>
      </c>
      <c r="F852" s="493" t="s">
        <v>6821</v>
      </c>
      <c r="G852" s="493" t="s">
        <v>8512</v>
      </c>
      <c r="H852" s="493" t="s">
        <v>7347</v>
      </c>
      <c r="I852" s="501" t="s">
        <v>7348</v>
      </c>
    </row>
    <row r="853" spans="1:9" ht="14.45">
      <c r="A853" s="493">
        <v>91261</v>
      </c>
      <c r="B853" s="493" t="s">
        <v>3694</v>
      </c>
      <c r="C853" s="493" t="s">
        <v>3659</v>
      </c>
      <c r="D853" s="493" t="s">
        <v>3681</v>
      </c>
      <c r="E853" s="493" t="s">
        <v>3682</v>
      </c>
      <c r="F853" s="493" t="s">
        <v>6821</v>
      </c>
      <c r="G853" s="493" t="s">
        <v>8513</v>
      </c>
      <c r="H853" s="493" t="s">
        <v>7351</v>
      </c>
      <c r="I853" s="501" t="s">
        <v>7348</v>
      </c>
    </row>
    <row r="854" spans="1:9" ht="14.45">
      <c r="A854" s="493">
        <v>91033</v>
      </c>
      <c r="B854" s="493" t="s">
        <v>8514</v>
      </c>
      <c r="C854" s="493" t="s">
        <v>3659</v>
      </c>
      <c r="D854" s="493" t="s">
        <v>3932</v>
      </c>
      <c r="E854" s="493" t="s">
        <v>846</v>
      </c>
      <c r="F854" s="493" t="s">
        <v>6821</v>
      </c>
      <c r="G854" s="493" t="s">
        <v>8515</v>
      </c>
      <c r="H854" s="493" t="s">
        <v>7368</v>
      </c>
      <c r="I854" s="501" t="s">
        <v>8516</v>
      </c>
    </row>
    <row r="855" spans="1:9" ht="14.45">
      <c r="A855" s="493">
        <v>91338</v>
      </c>
      <c r="B855" s="493" t="s">
        <v>8517</v>
      </c>
      <c r="C855" s="493" t="s">
        <v>3659</v>
      </c>
      <c r="D855" s="493" t="s">
        <v>3932</v>
      </c>
      <c r="E855" s="493" t="s">
        <v>846</v>
      </c>
      <c r="F855" s="493" t="s">
        <v>6821</v>
      </c>
      <c r="G855" s="493" t="s">
        <v>8518</v>
      </c>
      <c r="H855" s="493" t="s">
        <v>7371</v>
      </c>
      <c r="I855" s="501" t="s">
        <v>7160</v>
      </c>
    </row>
    <row r="856" spans="1:9" ht="14.45">
      <c r="A856" s="493">
        <v>91034</v>
      </c>
      <c r="B856" s="493" t="s">
        <v>8519</v>
      </c>
      <c r="C856" s="493" t="s">
        <v>3659</v>
      </c>
      <c r="D856" s="493" t="s">
        <v>3932</v>
      </c>
      <c r="E856" s="493" t="s">
        <v>846</v>
      </c>
      <c r="F856" s="493" t="s">
        <v>6821</v>
      </c>
      <c r="G856" s="493" t="s">
        <v>8520</v>
      </c>
      <c r="H856" s="493" t="s">
        <v>7373</v>
      </c>
      <c r="I856" s="501" t="s">
        <v>7160</v>
      </c>
    </row>
    <row r="857" spans="1:9" ht="14.45">
      <c r="A857" s="493">
        <v>91037</v>
      </c>
      <c r="B857" s="493" t="s">
        <v>8521</v>
      </c>
      <c r="C857" s="493" t="s">
        <v>3659</v>
      </c>
      <c r="D857" s="493" t="s">
        <v>3932</v>
      </c>
      <c r="E857" s="493" t="s">
        <v>846</v>
      </c>
      <c r="F857" s="493" t="s">
        <v>6821</v>
      </c>
      <c r="G857" s="493" t="s">
        <v>8522</v>
      </c>
      <c r="H857" s="493" t="s">
        <v>7375</v>
      </c>
      <c r="I857" s="501" t="s">
        <v>7160</v>
      </c>
    </row>
    <row r="858" spans="1:9" ht="14.45">
      <c r="A858" s="493">
        <v>91061</v>
      </c>
      <c r="B858" s="493" t="s">
        <v>8523</v>
      </c>
      <c r="C858" s="493" t="s">
        <v>3659</v>
      </c>
      <c r="D858" s="493" t="s">
        <v>3932</v>
      </c>
      <c r="E858" s="493" t="s">
        <v>846</v>
      </c>
      <c r="F858" s="493" t="s">
        <v>6821</v>
      </c>
      <c r="G858" s="493" t="s">
        <v>8524</v>
      </c>
      <c r="H858" s="493" t="s">
        <v>7375</v>
      </c>
      <c r="I858" s="501" t="s">
        <v>7160</v>
      </c>
    </row>
    <row r="859" spans="1:9" ht="14.45">
      <c r="A859" s="493">
        <v>91038</v>
      </c>
      <c r="B859" s="493" t="s">
        <v>8525</v>
      </c>
      <c r="C859" s="493" t="s">
        <v>3659</v>
      </c>
      <c r="D859" s="493" t="s">
        <v>3932</v>
      </c>
      <c r="E859" s="493" t="s">
        <v>846</v>
      </c>
      <c r="F859" s="493" t="s">
        <v>6821</v>
      </c>
      <c r="G859" s="493" t="s">
        <v>8526</v>
      </c>
      <c r="H859" s="493" t="s">
        <v>7384</v>
      </c>
      <c r="I859" s="501" t="s">
        <v>8527</v>
      </c>
    </row>
    <row r="860" spans="1:9" ht="14.45">
      <c r="A860" s="493">
        <v>91039</v>
      </c>
      <c r="B860" s="493" t="s">
        <v>8528</v>
      </c>
      <c r="C860" s="493" t="s">
        <v>3659</v>
      </c>
      <c r="D860" s="493" t="s">
        <v>3932</v>
      </c>
      <c r="E860" s="493" t="s">
        <v>846</v>
      </c>
      <c r="F860" s="493" t="s">
        <v>6821</v>
      </c>
      <c r="G860" s="493" t="s">
        <v>8529</v>
      </c>
      <c r="H860" s="493" t="s">
        <v>7386</v>
      </c>
      <c r="I860" s="501" t="s">
        <v>7381</v>
      </c>
    </row>
    <row r="861" spans="1:9" ht="14.45">
      <c r="A861" s="493">
        <v>91040</v>
      </c>
      <c r="B861" s="493" t="s">
        <v>8530</v>
      </c>
      <c r="C861" s="493" t="s">
        <v>3659</v>
      </c>
      <c r="D861" s="493" t="s">
        <v>3932</v>
      </c>
      <c r="E861" s="493" t="s">
        <v>846</v>
      </c>
      <c r="F861" s="493" t="s">
        <v>6821</v>
      </c>
      <c r="G861" s="493" t="s">
        <v>8531</v>
      </c>
      <c r="H861" s="493" t="s">
        <v>8532</v>
      </c>
      <c r="I861" s="501" t="s">
        <v>7381</v>
      </c>
    </row>
    <row r="862" spans="1:9" ht="14.45">
      <c r="A862" s="493">
        <v>90926</v>
      </c>
      <c r="B862" s="493" t="s">
        <v>4281</v>
      </c>
      <c r="C862" s="493" t="s">
        <v>3659</v>
      </c>
      <c r="D862" s="493" t="s">
        <v>3932</v>
      </c>
      <c r="E862" s="493" t="s">
        <v>846</v>
      </c>
      <c r="F862" s="493" t="s">
        <v>6821</v>
      </c>
      <c r="G862" s="493" t="s">
        <v>8533</v>
      </c>
      <c r="H862" s="493" t="s">
        <v>7401</v>
      </c>
      <c r="I862" s="501" t="s">
        <v>7402</v>
      </c>
    </row>
    <row r="863" spans="1:9" ht="14.45">
      <c r="A863" s="493">
        <v>91041</v>
      </c>
      <c r="B863" s="493" t="s">
        <v>2862</v>
      </c>
      <c r="C863" s="493" t="s">
        <v>3659</v>
      </c>
      <c r="D863" s="493" t="s">
        <v>4109</v>
      </c>
      <c r="E863" s="493" t="s">
        <v>5977</v>
      </c>
      <c r="F863" s="493" t="s">
        <v>6821</v>
      </c>
      <c r="G863" s="493" t="s">
        <v>8534</v>
      </c>
      <c r="H863" s="493" t="s">
        <v>7407</v>
      </c>
      <c r="I863" s="501" t="s">
        <v>7408</v>
      </c>
    </row>
    <row r="864" spans="1:9" ht="14.45">
      <c r="A864" s="493">
        <v>91051</v>
      </c>
      <c r="B864" s="493" t="s">
        <v>2868</v>
      </c>
      <c r="C864" s="493" t="s">
        <v>3659</v>
      </c>
      <c r="D864" s="493" t="s">
        <v>4109</v>
      </c>
      <c r="E864" s="493" t="s">
        <v>5977</v>
      </c>
      <c r="F864" s="493" t="s">
        <v>6821</v>
      </c>
      <c r="G864" s="493" t="s">
        <v>8535</v>
      </c>
      <c r="H864" s="493" t="s">
        <v>7407</v>
      </c>
      <c r="I864" s="501" t="s">
        <v>7408</v>
      </c>
    </row>
    <row r="865" spans="1:9" ht="14.45">
      <c r="A865" s="493">
        <v>91249</v>
      </c>
      <c r="B865" s="493" t="s">
        <v>2858</v>
      </c>
      <c r="C865" s="493" t="s">
        <v>3659</v>
      </c>
      <c r="D865" s="493" t="s">
        <v>4109</v>
      </c>
      <c r="E865" s="493" t="s">
        <v>5977</v>
      </c>
      <c r="F865" s="493" t="s">
        <v>6821</v>
      </c>
      <c r="G865" s="493" t="s">
        <v>8536</v>
      </c>
      <c r="H865" s="493" t="s">
        <v>7410</v>
      </c>
      <c r="I865" s="501" t="s">
        <v>7411</v>
      </c>
    </row>
    <row r="866" spans="1:9" ht="14.45">
      <c r="A866" s="493">
        <v>91252</v>
      </c>
      <c r="B866" s="493" t="s">
        <v>2860</v>
      </c>
      <c r="C866" s="493" t="s">
        <v>3659</v>
      </c>
      <c r="D866" s="493" t="s">
        <v>4109</v>
      </c>
      <c r="E866" s="493" t="s">
        <v>5977</v>
      </c>
      <c r="F866" s="493" t="s">
        <v>6821</v>
      </c>
      <c r="G866" s="493" t="s">
        <v>8537</v>
      </c>
      <c r="H866" s="493" t="s">
        <v>7410</v>
      </c>
      <c r="I866" s="501" t="s">
        <v>7411</v>
      </c>
    </row>
    <row r="867" spans="1:9" ht="14.45">
      <c r="A867" s="493">
        <v>91111</v>
      </c>
      <c r="B867" s="493" t="s">
        <v>3382</v>
      </c>
      <c r="C867" s="493" t="s">
        <v>3659</v>
      </c>
      <c r="D867" s="493" t="s">
        <v>4109</v>
      </c>
      <c r="E867" s="493" t="s">
        <v>3666</v>
      </c>
      <c r="F867" s="493" t="s">
        <v>6821</v>
      </c>
      <c r="G867" s="493" t="s">
        <v>8538</v>
      </c>
      <c r="H867" s="493" t="s">
        <v>7425</v>
      </c>
      <c r="I867" s="501" t="s">
        <v>7426</v>
      </c>
    </row>
    <row r="868" spans="1:9" ht="14.45">
      <c r="A868" s="493">
        <v>91112</v>
      </c>
      <c r="B868" s="493" t="s">
        <v>3386</v>
      </c>
      <c r="C868" s="493" t="s">
        <v>3659</v>
      </c>
      <c r="D868" s="493" t="s">
        <v>4109</v>
      </c>
      <c r="E868" s="493" t="s">
        <v>3666</v>
      </c>
      <c r="F868" s="493" t="s">
        <v>6821</v>
      </c>
      <c r="G868" s="493" t="s">
        <v>8539</v>
      </c>
      <c r="H868" s="493" t="s">
        <v>7425</v>
      </c>
      <c r="I868" s="501" t="s">
        <v>7426</v>
      </c>
    </row>
    <row r="869" spans="1:9" ht="14.45">
      <c r="A869" s="493">
        <v>91113</v>
      </c>
      <c r="B869" s="493" t="s">
        <v>3376</v>
      </c>
      <c r="C869" s="493" t="s">
        <v>3659</v>
      </c>
      <c r="D869" s="493" t="s">
        <v>4109</v>
      </c>
      <c r="E869" s="493" t="s">
        <v>3666</v>
      </c>
      <c r="F869" s="493" t="s">
        <v>6821</v>
      </c>
      <c r="G869" s="493" t="s">
        <v>8540</v>
      </c>
      <c r="H869" s="493" t="s">
        <v>7425</v>
      </c>
      <c r="I869" s="501" t="s">
        <v>7426</v>
      </c>
    </row>
    <row r="870" spans="1:9" ht="14.45">
      <c r="A870" s="493">
        <v>91110</v>
      </c>
      <c r="B870" s="493" t="s">
        <v>3390</v>
      </c>
      <c r="C870" s="493" t="s">
        <v>3659</v>
      </c>
      <c r="D870" s="493" t="s">
        <v>4109</v>
      </c>
      <c r="E870" s="493" t="s">
        <v>3666</v>
      </c>
      <c r="F870" s="493" t="s">
        <v>6821</v>
      </c>
      <c r="G870" s="493" t="s">
        <v>8541</v>
      </c>
      <c r="H870" s="493" t="s">
        <v>7425</v>
      </c>
      <c r="I870" s="501" t="s">
        <v>7426</v>
      </c>
    </row>
    <row r="871" spans="1:9" ht="14.45">
      <c r="A871" s="493">
        <v>91253</v>
      </c>
      <c r="B871" s="493" t="s">
        <v>3407</v>
      </c>
      <c r="C871" s="493" t="s">
        <v>3659</v>
      </c>
      <c r="D871" s="493" t="s">
        <v>4109</v>
      </c>
      <c r="E871" s="493" t="s">
        <v>3666</v>
      </c>
      <c r="F871" s="493" t="s">
        <v>6821</v>
      </c>
      <c r="G871" s="493" t="s">
        <v>8542</v>
      </c>
      <c r="H871" s="493" t="s">
        <v>7429</v>
      </c>
      <c r="I871" s="501" t="s">
        <v>7430</v>
      </c>
    </row>
    <row r="872" spans="1:9" ht="14.45">
      <c r="A872" s="493">
        <v>91339</v>
      </c>
      <c r="B872" s="493" t="s">
        <v>8543</v>
      </c>
      <c r="C872" s="493" t="s">
        <v>3659</v>
      </c>
      <c r="D872" s="493" t="s">
        <v>3932</v>
      </c>
      <c r="E872" s="493" t="s">
        <v>846</v>
      </c>
      <c r="F872" s="493" t="s">
        <v>6821</v>
      </c>
      <c r="G872" s="493" t="s">
        <v>8544</v>
      </c>
      <c r="H872" s="493" t="s">
        <v>7432</v>
      </c>
      <c r="I872" s="501" t="s">
        <v>7433</v>
      </c>
    </row>
    <row r="873" spans="1:9" ht="14.45">
      <c r="A873" s="493">
        <v>91052</v>
      </c>
      <c r="B873" s="493" t="s">
        <v>8545</v>
      </c>
      <c r="C873" s="493" t="s">
        <v>3659</v>
      </c>
      <c r="D873" s="493" t="s">
        <v>3932</v>
      </c>
      <c r="E873" s="493" t="s">
        <v>846</v>
      </c>
      <c r="F873" s="493" t="s">
        <v>6821</v>
      </c>
      <c r="G873" s="493" t="s">
        <v>8546</v>
      </c>
      <c r="H873" s="493" t="s">
        <v>7435</v>
      </c>
      <c r="I873" s="501" t="s">
        <v>7433</v>
      </c>
    </row>
    <row r="874" spans="1:9" ht="14.45">
      <c r="A874" s="493">
        <v>91053</v>
      </c>
      <c r="B874" s="493" t="s">
        <v>8547</v>
      </c>
      <c r="C874" s="493" t="s">
        <v>3659</v>
      </c>
      <c r="D874" s="493" t="s">
        <v>3932</v>
      </c>
      <c r="E874" s="493" t="s">
        <v>846</v>
      </c>
      <c r="F874" s="493" t="s">
        <v>6821</v>
      </c>
      <c r="G874" s="493" t="s">
        <v>8548</v>
      </c>
      <c r="H874" s="493" t="s">
        <v>7435</v>
      </c>
      <c r="I874" s="501" t="s">
        <v>7433</v>
      </c>
    </row>
    <row r="875" spans="1:9" ht="14.45">
      <c r="A875" s="493">
        <v>91386</v>
      </c>
      <c r="B875" s="493" t="s">
        <v>8549</v>
      </c>
      <c r="C875" s="493" t="s">
        <v>3659</v>
      </c>
      <c r="D875" s="493" t="s">
        <v>3932</v>
      </c>
      <c r="E875" s="493" t="s">
        <v>846</v>
      </c>
      <c r="F875" s="493" t="s">
        <v>6821</v>
      </c>
      <c r="G875" s="493" t="s">
        <v>8550</v>
      </c>
      <c r="H875" s="493" t="s">
        <v>7442</v>
      </c>
      <c r="I875" s="501" t="s">
        <v>7433</v>
      </c>
    </row>
    <row r="876" spans="1:9" ht="14.45">
      <c r="A876" s="493">
        <v>91054</v>
      </c>
      <c r="B876" s="493" t="s">
        <v>5344</v>
      </c>
      <c r="C876" s="493" t="s">
        <v>3659</v>
      </c>
      <c r="D876" s="493" t="s">
        <v>3932</v>
      </c>
      <c r="E876" s="493" t="s">
        <v>846</v>
      </c>
      <c r="F876" s="493" t="s">
        <v>6821</v>
      </c>
      <c r="G876" s="493" t="s">
        <v>8551</v>
      </c>
      <c r="H876" s="493" t="s">
        <v>7445</v>
      </c>
      <c r="I876" s="501" t="s">
        <v>7446</v>
      </c>
    </row>
    <row r="877" spans="1:9" ht="14.45">
      <c r="A877" s="493">
        <v>91055</v>
      </c>
      <c r="B877" s="493" t="s">
        <v>5346</v>
      </c>
      <c r="C877" s="493" t="s">
        <v>3659</v>
      </c>
      <c r="D877" s="493" t="s">
        <v>3932</v>
      </c>
      <c r="E877" s="493" t="s">
        <v>846</v>
      </c>
      <c r="F877" s="493" t="s">
        <v>6821</v>
      </c>
      <c r="G877" s="493" t="s">
        <v>8552</v>
      </c>
      <c r="H877" s="493" t="s">
        <v>7445</v>
      </c>
      <c r="I877" s="501" t="s">
        <v>7446</v>
      </c>
    </row>
    <row r="878" spans="1:9" ht="14.45">
      <c r="A878" s="493">
        <v>91056</v>
      </c>
      <c r="B878" s="493" t="s">
        <v>5348</v>
      </c>
      <c r="C878" s="493" t="s">
        <v>3659</v>
      </c>
      <c r="D878" s="493" t="s">
        <v>3932</v>
      </c>
      <c r="E878" s="493" t="s">
        <v>846</v>
      </c>
      <c r="F878" s="493" t="s">
        <v>6821</v>
      </c>
      <c r="G878" s="493" t="s">
        <v>8553</v>
      </c>
      <c r="H878" s="493" t="s">
        <v>7445</v>
      </c>
      <c r="I878" s="501" t="s">
        <v>7446</v>
      </c>
    </row>
    <row r="879" spans="1:9" ht="14.45">
      <c r="A879" s="493">
        <v>91057</v>
      </c>
      <c r="B879" s="493" t="s">
        <v>8554</v>
      </c>
      <c r="C879" s="493" t="s">
        <v>3659</v>
      </c>
      <c r="D879" s="493" t="s">
        <v>3932</v>
      </c>
      <c r="E879" s="493" t="s">
        <v>846</v>
      </c>
      <c r="F879" s="493" t="s">
        <v>6821</v>
      </c>
      <c r="G879" s="493" t="s">
        <v>8555</v>
      </c>
      <c r="H879" s="493" t="s">
        <v>7450</v>
      </c>
      <c r="I879" s="501" t="s">
        <v>7451</v>
      </c>
    </row>
    <row r="880" spans="1:9" ht="14.45">
      <c r="A880" s="493">
        <v>91257</v>
      </c>
      <c r="B880" s="493" t="s">
        <v>3350</v>
      </c>
      <c r="C880" s="493" t="s">
        <v>3659</v>
      </c>
      <c r="D880" s="493" t="s">
        <v>4109</v>
      </c>
      <c r="E880" s="493" t="s">
        <v>3666</v>
      </c>
      <c r="F880" s="493" t="s">
        <v>6821</v>
      </c>
      <c r="G880" s="493" t="s">
        <v>8556</v>
      </c>
      <c r="H880" s="493" t="s">
        <v>7459</v>
      </c>
      <c r="I880" s="501" t="s">
        <v>7456</v>
      </c>
    </row>
    <row r="881" spans="1:9" ht="14.45">
      <c r="A881" s="493">
        <v>91355</v>
      </c>
      <c r="B881" s="493" t="s">
        <v>3352</v>
      </c>
      <c r="C881" s="493" t="s">
        <v>3659</v>
      </c>
      <c r="D881" s="493" t="s">
        <v>4109</v>
      </c>
      <c r="E881" s="493" t="s">
        <v>3666</v>
      </c>
      <c r="F881" s="493" t="s">
        <v>6821</v>
      </c>
      <c r="G881" s="493" t="s">
        <v>8557</v>
      </c>
      <c r="H881" s="493" t="s">
        <v>7461</v>
      </c>
      <c r="I881" s="501" t="s">
        <v>7456</v>
      </c>
    </row>
    <row r="882" spans="1:9" ht="14.45">
      <c r="A882" s="493">
        <v>91183</v>
      </c>
      <c r="B882" s="493" t="s">
        <v>3388</v>
      </c>
      <c r="C882" s="493" t="s">
        <v>3659</v>
      </c>
      <c r="D882" s="493" t="s">
        <v>4109</v>
      </c>
      <c r="E882" s="493" t="s">
        <v>3666</v>
      </c>
      <c r="F882" s="493" t="s">
        <v>6821</v>
      </c>
      <c r="G882" s="493" t="s">
        <v>8558</v>
      </c>
      <c r="H882" s="493" t="s">
        <v>7463</v>
      </c>
      <c r="I882" s="501" t="s">
        <v>7426</v>
      </c>
    </row>
    <row r="883" spans="1:9" ht="14.45">
      <c r="A883" s="493">
        <v>91184</v>
      </c>
      <c r="B883" s="493" t="s">
        <v>3384</v>
      </c>
      <c r="C883" s="493" t="s">
        <v>3659</v>
      </c>
      <c r="D883" s="493" t="s">
        <v>4109</v>
      </c>
      <c r="E883" s="493" t="s">
        <v>3666</v>
      </c>
      <c r="F883" s="493" t="s">
        <v>6821</v>
      </c>
      <c r="G883" s="493" t="s">
        <v>8559</v>
      </c>
      <c r="H883" s="493" t="s">
        <v>7463</v>
      </c>
      <c r="I883" s="501" t="s">
        <v>7426</v>
      </c>
    </row>
    <row r="884" spans="1:9" ht="14.45">
      <c r="A884" s="493">
        <v>91186</v>
      </c>
      <c r="B884" s="493" t="s">
        <v>3378</v>
      </c>
      <c r="C884" s="493" t="s">
        <v>3659</v>
      </c>
      <c r="D884" s="493" t="s">
        <v>4109</v>
      </c>
      <c r="E884" s="493" t="s">
        <v>3666</v>
      </c>
      <c r="F884" s="493" t="s">
        <v>6821</v>
      </c>
      <c r="G884" s="493" t="s">
        <v>8560</v>
      </c>
      <c r="H884" s="493" t="s">
        <v>7466</v>
      </c>
      <c r="I884" s="501" t="s">
        <v>7426</v>
      </c>
    </row>
    <row r="885" spans="1:9" ht="14.45">
      <c r="A885" s="493">
        <v>91188</v>
      </c>
      <c r="B885" s="493" t="s">
        <v>3401</v>
      </c>
      <c r="C885" s="493" t="s">
        <v>3659</v>
      </c>
      <c r="D885" s="493" t="s">
        <v>4109</v>
      </c>
      <c r="E885" s="493" t="s">
        <v>3666</v>
      </c>
      <c r="F885" s="493" t="s">
        <v>6821</v>
      </c>
      <c r="G885" s="493" t="s">
        <v>8561</v>
      </c>
      <c r="H885" s="493" t="s">
        <v>7468</v>
      </c>
      <c r="I885" s="501" t="s">
        <v>7426</v>
      </c>
    </row>
    <row r="886" spans="1:9" ht="14.45">
      <c r="A886" s="493">
        <v>91189</v>
      </c>
      <c r="B886" s="493" t="s">
        <v>3380</v>
      </c>
      <c r="C886" s="493" t="s">
        <v>3659</v>
      </c>
      <c r="D886" s="493" t="s">
        <v>4109</v>
      </c>
      <c r="E886" s="493" t="s">
        <v>3666</v>
      </c>
      <c r="F886" s="493" t="s">
        <v>6821</v>
      </c>
      <c r="G886" s="493" t="s">
        <v>8562</v>
      </c>
      <c r="H886" s="493" t="s">
        <v>7471</v>
      </c>
      <c r="I886" s="501" t="s">
        <v>7426</v>
      </c>
    </row>
    <row r="887" spans="1:9" ht="14.45">
      <c r="A887" s="493">
        <v>91190</v>
      </c>
      <c r="B887" s="493" t="s">
        <v>3318</v>
      </c>
      <c r="C887" s="493" t="s">
        <v>3659</v>
      </c>
      <c r="D887" s="493" t="s">
        <v>4109</v>
      </c>
      <c r="E887" s="493" t="s">
        <v>3666</v>
      </c>
      <c r="F887" s="493" t="s">
        <v>6821</v>
      </c>
      <c r="G887" s="493" t="s">
        <v>8563</v>
      </c>
      <c r="H887" s="493" t="s">
        <v>7473</v>
      </c>
      <c r="I887" s="501" t="s">
        <v>7474</v>
      </c>
    </row>
    <row r="888" spans="1:9" ht="14.45">
      <c r="A888" s="493">
        <v>91191</v>
      </c>
      <c r="B888" s="493" t="s">
        <v>3333</v>
      </c>
      <c r="C888" s="493" t="s">
        <v>3659</v>
      </c>
      <c r="D888" s="493" t="s">
        <v>4109</v>
      </c>
      <c r="E888" s="493" t="s">
        <v>3666</v>
      </c>
      <c r="F888" s="493" t="s">
        <v>6821</v>
      </c>
      <c r="G888" s="493" t="s">
        <v>8564</v>
      </c>
      <c r="H888" s="493" t="s">
        <v>7477</v>
      </c>
      <c r="I888" s="501" t="s">
        <v>7478</v>
      </c>
    </row>
    <row r="889" spans="1:9" ht="14.45">
      <c r="A889" s="493">
        <v>91192</v>
      </c>
      <c r="B889" s="493" t="s">
        <v>3337</v>
      </c>
      <c r="C889" s="493" t="s">
        <v>3659</v>
      </c>
      <c r="D889" s="493" t="s">
        <v>4109</v>
      </c>
      <c r="E889" s="493" t="s">
        <v>3666</v>
      </c>
      <c r="F889" s="493" t="s">
        <v>6821</v>
      </c>
      <c r="G889" s="493" t="s">
        <v>8565</v>
      </c>
      <c r="H889" s="493" t="s">
        <v>7477</v>
      </c>
      <c r="I889" s="501" t="s">
        <v>7478</v>
      </c>
    </row>
    <row r="890" spans="1:9" ht="14.45">
      <c r="A890" s="493">
        <v>91387</v>
      </c>
      <c r="B890" s="493" t="s">
        <v>3361</v>
      </c>
      <c r="C890" s="493" t="s">
        <v>3659</v>
      </c>
      <c r="D890" s="493" t="s">
        <v>4109</v>
      </c>
      <c r="E890" s="493" t="s">
        <v>3666</v>
      </c>
      <c r="F890" s="493" t="s">
        <v>6821</v>
      </c>
      <c r="G890" s="493" t="s">
        <v>8566</v>
      </c>
      <c r="H890" s="493" t="s">
        <v>7485</v>
      </c>
      <c r="I890" s="501" t="s">
        <v>7486</v>
      </c>
    </row>
    <row r="891" spans="1:9" ht="14.45">
      <c r="A891" s="493">
        <v>91222</v>
      </c>
      <c r="B891" s="493" t="s">
        <v>5158</v>
      </c>
      <c r="C891" s="493" t="s">
        <v>3674</v>
      </c>
      <c r="D891" s="493" t="s">
        <v>3911</v>
      </c>
      <c r="E891" s="493" t="s">
        <v>846</v>
      </c>
      <c r="F891" s="493" t="s">
        <v>6821</v>
      </c>
      <c r="G891" s="493" t="s">
        <v>8567</v>
      </c>
      <c r="H891" s="493" t="s">
        <v>7489</v>
      </c>
      <c r="I891" s="501" t="s">
        <v>8568</v>
      </c>
    </row>
    <row r="892" spans="1:9" ht="14.45">
      <c r="A892" s="493">
        <v>91413</v>
      </c>
      <c r="B892" s="493" t="s">
        <v>5195</v>
      </c>
      <c r="C892" s="493" t="s">
        <v>3659</v>
      </c>
      <c r="D892" s="493" t="s">
        <v>4784</v>
      </c>
      <c r="E892" s="493" t="s">
        <v>3719</v>
      </c>
      <c r="F892" s="493" t="s">
        <v>6821</v>
      </c>
      <c r="G892" s="493" t="s">
        <v>8569</v>
      </c>
      <c r="H892" s="493" t="s">
        <v>7492</v>
      </c>
      <c r="I892" s="501" t="s">
        <v>7493</v>
      </c>
    </row>
    <row r="893" spans="1:9" ht="14.45">
      <c r="A893" s="493">
        <v>91021</v>
      </c>
      <c r="B893" s="493" t="s">
        <v>2836</v>
      </c>
      <c r="C893" s="493" t="s">
        <v>3659</v>
      </c>
      <c r="D893" s="493" t="s">
        <v>3681</v>
      </c>
      <c r="E893" s="493" t="s">
        <v>6886</v>
      </c>
      <c r="F893" s="493" t="s">
        <v>6821</v>
      </c>
      <c r="G893" s="493" t="s">
        <v>8570</v>
      </c>
      <c r="H893" s="493" t="s">
        <v>7503</v>
      </c>
      <c r="I893" s="501" t="s">
        <v>7504</v>
      </c>
    </row>
    <row r="894" spans="1:9" ht="14.45">
      <c r="A894" s="493">
        <v>91022</v>
      </c>
      <c r="B894" s="493" t="s">
        <v>2832</v>
      </c>
      <c r="C894" s="493" t="s">
        <v>3659</v>
      </c>
      <c r="D894" s="493" t="s">
        <v>4784</v>
      </c>
      <c r="E894" s="493" t="s">
        <v>6886</v>
      </c>
      <c r="F894" s="493" t="s">
        <v>6821</v>
      </c>
      <c r="G894" s="493" t="s">
        <v>8571</v>
      </c>
      <c r="H894" s="493" t="s">
        <v>7509</v>
      </c>
      <c r="I894" s="501" t="s">
        <v>7510</v>
      </c>
    </row>
    <row r="895" spans="1:9" ht="14.45">
      <c r="A895" s="493">
        <v>91151</v>
      </c>
      <c r="B895" s="493" t="s">
        <v>2864</v>
      </c>
      <c r="C895" s="493" t="s">
        <v>3659</v>
      </c>
      <c r="D895" s="493" t="s">
        <v>4784</v>
      </c>
      <c r="E895" s="493" t="s">
        <v>6886</v>
      </c>
      <c r="F895" s="493" t="s">
        <v>6821</v>
      </c>
      <c r="G895" s="493" t="s">
        <v>8572</v>
      </c>
      <c r="H895" s="493" t="s">
        <v>7509</v>
      </c>
      <c r="I895" s="501" t="s">
        <v>7510</v>
      </c>
    </row>
    <row r="896" spans="1:9" ht="14.45">
      <c r="A896" s="493">
        <v>30012948</v>
      </c>
      <c r="B896" s="493" t="s">
        <v>8573</v>
      </c>
      <c r="C896" s="493" t="s">
        <v>3659</v>
      </c>
      <c r="D896" s="493" t="s">
        <v>3911</v>
      </c>
      <c r="E896" s="493" t="s">
        <v>846</v>
      </c>
      <c r="F896" s="493" t="s">
        <v>6821</v>
      </c>
      <c r="G896" s="497" t="s">
        <v>8574</v>
      </c>
      <c r="H896" s="493" t="s">
        <v>7512</v>
      </c>
      <c r="I896" s="501" t="s">
        <v>8575</v>
      </c>
    </row>
    <row r="897" spans="1:9" ht="14.45">
      <c r="A897" s="493">
        <v>91152</v>
      </c>
      <c r="B897" s="493" t="s">
        <v>5184</v>
      </c>
      <c r="C897" s="493" t="s">
        <v>3659</v>
      </c>
      <c r="D897" s="493" t="s">
        <v>4784</v>
      </c>
      <c r="E897" s="493" t="s">
        <v>846</v>
      </c>
      <c r="F897" s="493" t="s">
        <v>6821</v>
      </c>
      <c r="G897" s="493" t="s">
        <v>8576</v>
      </c>
      <c r="H897" s="493" t="s">
        <v>7515</v>
      </c>
      <c r="I897" s="501" t="s">
        <v>7516</v>
      </c>
    </row>
    <row r="898" spans="1:9" ht="14.45">
      <c r="A898" s="493">
        <v>91397</v>
      </c>
      <c r="B898" s="493" t="s">
        <v>5189</v>
      </c>
      <c r="C898" s="493" t="s">
        <v>3659</v>
      </c>
      <c r="D898" s="493" t="s">
        <v>4784</v>
      </c>
      <c r="E898" s="493" t="s">
        <v>846</v>
      </c>
      <c r="F898" s="493" t="s">
        <v>6821</v>
      </c>
      <c r="G898" s="493" t="s">
        <v>8577</v>
      </c>
      <c r="H898" s="493" t="s">
        <v>7522</v>
      </c>
      <c r="I898" s="501" t="s">
        <v>7523</v>
      </c>
    </row>
    <row r="899" spans="1:9" ht="14.45">
      <c r="A899" s="493">
        <v>91405</v>
      </c>
      <c r="B899" s="493" t="s">
        <v>5193</v>
      </c>
      <c r="C899" s="493" t="s">
        <v>3659</v>
      </c>
      <c r="D899" s="493" t="s">
        <v>4784</v>
      </c>
      <c r="E899" s="493" t="s">
        <v>846</v>
      </c>
      <c r="F899" s="493" t="s">
        <v>6821</v>
      </c>
      <c r="G899" s="493" t="s">
        <v>8578</v>
      </c>
      <c r="H899" s="493" t="s">
        <v>7522</v>
      </c>
      <c r="I899" s="501" t="s">
        <v>7523</v>
      </c>
    </row>
    <row r="900" spans="1:9" ht="14.45">
      <c r="A900" s="493">
        <v>91373</v>
      </c>
      <c r="B900" s="493" t="s">
        <v>5145</v>
      </c>
      <c r="C900" s="493" t="s">
        <v>3659</v>
      </c>
      <c r="D900" s="493" t="s">
        <v>3911</v>
      </c>
      <c r="E900" s="493" t="s">
        <v>846</v>
      </c>
      <c r="F900" s="493" t="s">
        <v>6821</v>
      </c>
      <c r="G900" s="493" t="s">
        <v>8579</v>
      </c>
      <c r="H900" s="493" t="s">
        <v>7525</v>
      </c>
      <c r="I900" s="501" t="s">
        <v>7526</v>
      </c>
    </row>
    <row r="901" spans="1:9" ht="14.45">
      <c r="A901" s="493">
        <v>91398</v>
      </c>
      <c r="B901" s="493" t="s">
        <v>5191</v>
      </c>
      <c r="C901" s="493" t="s">
        <v>3659</v>
      </c>
      <c r="D901" s="493" t="s">
        <v>4784</v>
      </c>
      <c r="E901" s="493" t="s">
        <v>846</v>
      </c>
      <c r="F901" s="493" t="s">
        <v>6821</v>
      </c>
      <c r="G901" s="493" t="s">
        <v>8580</v>
      </c>
      <c r="H901" s="493" t="s">
        <v>7528</v>
      </c>
      <c r="I901" s="501" t="s">
        <v>8581</v>
      </c>
    </row>
    <row r="902" spans="1:9" ht="14.45">
      <c r="A902" s="493">
        <v>91153</v>
      </c>
      <c r="B902" s="493" t="s">
        <v>5199</v>
      </c>
      <c r="C902" s="493" t="s">
        <v>3659</v>
      </c>
      <c r="D902" s="493" t="s">
        <v>4784</v>
      </c>
      <c r="E902" s="493" t="s">
        <v>846</v>
      </c>
      <c r="F902" s="493" t="s">
        <v>6821</v>
      </c>
      <c r="G902" s="493" t="s">
        <v>8582</v>
      </c>
      <c r="H902" s="493" t="s">
        <v>7531</v>
      </c>
      <c r="I902" s="501" t="s">
        <v>8583</v>
      </c>
    </row>
    <row r="903" spans="1:9" ht="14.45">
      <c r="A903" s="493">
        <v>91154</v>
      </c>
      <c r="B903" s="493" t="s">
        <v>8584</v>
      </c>
      <c r="C903" s="493" t="s">
        <v>3659</v>
      </c>
      <c r="D903" s="493" t="s">
        <v>3932</v>
      </c>
      <c r="E903" s="493" t="s">
        <v>846</v>
      </c>
      <c r="F903" s="493" t="s">
        <v>6821</v>
      </c>
      <c r="G903" s="493" t="s">
        <v>8585</v>
      </c>
      <c r="H903" s="493" t="s">
        <v>7534</v>
      </c>
      <c r="I903" s="501" t="s">
        <v>7535</v>
      </c>
    </row>
    <row r="904" spans="1:9" ht="14.45">
      <c r="A904" s="493">
        <v>91109</v>
      </c>
      <c r="B904" s="493" t="s">
        <v>8586</v>
      </c>
      <c r="C904" s="493" t="s">
        <v>3659</v>
      </c>
      <c r="D904" s="493" t="s">
        <v>3932</v>
      </c>
      <c r="E904" s="493" t="s">
        <v>846</v>
      </c>
      <c r="F904" s="493" t="s">
        <v>6821</v>
      </c>
      <c r="G904" s="493" t="s">
        <v>8587</v>
      </c>
      <c r="H904" s="493" t="s">
        <v>7537</v>
      </c>
      <c r="I904" s="501" t="s">
        <v>7535</v>
      </c>
    </row>
    <row r="905" spans="1:9" ht="14.45">
      <c r="A905" s="493">
        <v>91223</v>
      </c>
      <c r="B905" s="493" t="s">
        <v>5160</v>
      </c>
      <c r="C905" s="493" t="s">
        <v>3659</v>
      </c>
      <c r="D905" s="493" t="s">
        <v>3911</v>
      </c>
      <c r="E905" s="493" t="s">
        <v>846</v>
      </c>
      <c r="F905" s="493" t="s">
        <v>6821</v>
      </c>
      <c r="G905" s="493" t="s">
        <v>8588</v>
      </c>
      <c r="H905" s="493" t="s">
        <v>7545</v>
      </c>
      <c r="I905" s="501" t="s">
        <v>7550</v>
      </c>
    </row>
    <row r="906" spans="1:9" ht="14.45">
      <c r="A906" s="493">
        <v>91224</v>
      </c>
      <c r="B906" s="493" t="s">
        <v>5123</v>
      </c>
      <c r="C906" s="493" t="s">
        <v>3659</v>
      </c>
      <c r="D906" s="493" t="s">
        <v>3911</v>
      </c>
      <c r="E906" s="493" t="s">
        <v>846</v>
      </c>
      <c r="F906" s="493" t="s">
        <v>6821</v>
      </c>
      <c r="G906" s="493" t="s">
        <v>8589</v>
      </c>
      <c r="H906" s="493" t="s">
        <v>7549</v>
      </c>
      <c r="I906" s="501" t="s">
        <v>7550</v>
      </c>
    </row>
    <row r="907" spans="1:9" ht="14.45">
      <c r="A907" s="493">
        <v>91399</v>
      </c>
      <c r="B907" s="493" t="s">
        <v>5133</v>
      </c>
      <c r="C907" s="493" t="s">
        <v>3659</v>
      </c>
      <c r="D907" s="493" t="s">
        <v>3911</v>
      </c>
      <c r="E907" s="493" t="s">
        <v>846</v>
      </c>
      <c r="F907" s="493" t="s">
        <v>6821</v>
      </c>
      <c r="G907" s="493" t="s">
        <v>8590</v>
      </c>
      <c r="H907" s="493" t="s">
        <v>7552</v>
      </c>
      <c r="I907" s="501" t="s">
        <v>7553</v>
      </c>
    </row>
    <row r="908" spans="1:9" ht="14.45">
      <c r="A908" s="493">
        <v>91400</v>
      </c>
      <c r="B908" s="493" t="s">
        <v>5135</v>
      </c>
      <c r="C908" s="493" t="s">
        <v>3659</v>
      </c>
      <c r="D908" s="493" t="s">
        <v>3911</v>
      </c>
      <c r="E908" s="493" t="s">
        <v>846</v>
      </c>
      <c r="F908" s="493" t="s">
        <v>6821</v>
      </c>
      <c r="G908" s="493" t="s">
        <v>8591</v>
      </c>
      <c r="H908" s="493" t="s">
        <v>7552</v>
      </c>
      <c r="I908" s="501" t="s">
        <v>7553</v>
      </c>
    </row>
    <row r="909" spans="1:9" ht="14.45">
      <c r="A909" s="493">
        <v>91401</v>
      </c>
      <c r="B909" s="493" t="s">
        <v>5137</v>
      </c>
      <c r="C909" s="493" t="s">
        <v>3659</v>
      </c>
      <c r="D909" s="493" t="s">
        <v>3911</v>
      </c>
      <c r="E909" s="493" t="s">
        <v>846</v>
      </c>
      <c r="F909" s="493" t="s">
        <v>6821</v>
      </c>
      <c r="G909" s="493" t="s">
        <v>8592</v>
      </c>
      <c r="H909" s="493" t="s">
        <v>7552</v>
      </c>
      <c r="I909" s="501" t="s">
        <v>7553</v>
      </c>
    </row>
    <row r="910" spans="1:9" ht="14.45">
      <c r="A910" s="493">
        <v>91402</v>
      </c>
      <c r="B910" s="493" t="s">
        <v>5139</v>
      </c>
      <c r="C910" s="493" t="s">
        <v>3659</v>
      </c>
      <c r="D910" s="493" t="s">
        <v>3911</v>
      </c>
      <c r="E910" s="493" t="s">
        <v>846</v>
      </c>
      <c r="F910" s="493" t="s">
        <v>6821</v>
      </c>
      <c r="G910" s="493" t="s">
        <v>8593</v>
      </c>
      <c r="H910" s="493" t="s">
        <v>7552</v>
      </c>
      <c r="I910" s="501" t="s">
        <v>7553</v>
      </c>
    </row>
    <row r="911" spans="1:9" ht="14.45">
      <c r="A911" s="493">
        <v>91406</v>
      </c>
      <c r="B911" s="493" t="s">
        <v>5141</v>
      </c>
      <c r="C911" s="493" t="s">
        <v>3659</v>
      </c>
      <c r="D911" s="493" t="s">
        <v>3911</v>
      </c>
      <c r="E911" s="493" t="s">
        <v>846</v>
      </c>
      <c r="F911" s="493" t="s">
        <v>6821</v>
      </c>
      <c r="G911" s="493" t="s">
        <v>8594</v>
      </c>
      <c r="H911" s="493" t="s">
        <v>7552</v>
      </c>
      <c r="I911" s="501" t="s">
        <v>7553</v>
      </c>
    </row>
    <row r="912" spans="1:9" ht="14.45">
      <c r="A912" s="493">
        <v>91403</v>
      </c>
      <c r="B912" s="493" t="s">
        <v>5166</v>
      </c>
      <c r="C912" s="493" t="s">
        <v>3659</v>
      </c>
      <c r="D912" s="493" t="s">
        <v>3911</v>
      </c>
      <c r="E912" s="493" t="s">
        <v>846</v>
      </c>
      <c r="F912" s="493" t="s">
        <v>6821</v>
      </c>
      <c r="G912" s="497" t="s">
        <v>8574</v>
      </c>
      <c r="H912" s="493" t="s">
        <v>7557</v>
      </c>
      <c r="I912" s="501" t="s">
        <v>7558</v>
      </c>
    </row>
    <row r="913" spans="1:9" ht="14.45">
      <c r="A913" s="493">
        <v>30001747</v>
      </c>
      <c r="B913" s="493" t="s">
        <v>8573</v>
      </c>
      <c r="C913" s="493" t="s">
        <v>3674</v>
      </c>
      <c r="D913" s="493" t="s">
        <v>3911</v>
      </c>
      <c r="E913" s="493" t="s">
        <v>846</v>
      </c>
      <c r="F913" s="493" t="s">
        <v>6821</v>
      </c>
      <c r="G913" s="497" t="s">
        <v>7556</v>
      </c>
      <c r="H913" s="493" t="s">
        <v>7557</v>
      </c>
      <c r="I913" s="501" t="s">
        <v>8595</v>
      </c>
    </row>
    <row r="914" spans="1:9" ht="14.45">
      <c r="A914" s="493">
        <v>91411</v>
      </c>
      <c r="B914" s="493" t="s">
        <v>5153</v>
      </c>
      <c r="C914" s="493" t="s">
        <v>3659</v>
      </c>
      <c r="D914" s="493" t="s">
        <v>3911</v>
      </c>
      <c r="E914" s="493" t="s">
        <v>846</v>
      </c>
      <c r="F914" s="493" t="s">
        <v>6821</v>
      </c>
      <c r="G914" s="493" t="s">
        <v>8596</v>
      </c>
      <c r="H914" s="493" t="s">
        <v>7564</v>
      </c>
      <c r="I914" s="501" t="s">
        <v>7565</v>
      </c>
    </row>
    <row r="915" spans="1:9" ht="14.45">
      <c r="A915" s="493">
        <v>91225</v>
      </c>
      <c r="B915" s="493" t="s">
        <v>5125</v>
      </c>
      <c r="C915" s="493" t="s">
        <v>3659</v>
      </c>
      <c r="D915" s="493" t="s">
        <v>3911</v>
      </c>
      <c r="E915" s="493" t="s">
        <v>846</v>
      </c>
      <c r="F915" s="493" t="s">
        <v>6821</v>
      </c>
      <c r="G915" s="493" t="s">
        <v>8597</v>
      </c>
      <c r="H915" s="493" t="s">
        <v>7568</v>
      </c>
      <c r="I915" s="501" t="s">
        <v>7569</v>
      </c>
    </row>
    <row r="916" spans="1:9" ht="14.45">
      <c r="A916" s="493">
        <v>91335</v>
      </c>
      <c r="B916" s="493" t="s">
        <v>5129</v>
      </c>
      <c r="C916" s="493" t="s">
        <v>3659</v>
      </c>
      <c r="D916" s="493" t="s">
        <v>3911</v>
      </c>
      <c r="E916" s="493" t="s">
        <v>846</v>
      </c>
      <c r="F916" s="493" t="s">
        <v>6821</v>
      </c>
      <c r="G916" s="493" t="s">
        <v>8598</v>
      </c>
      <c r="H916" s="493" t="s">
        <v>7571</v>
      </c>
      <c r="I916" s="501" t="s">
        <v>7572</v>
      </c>
    </row>
    <row r="917" spans="1:9" ht="14.45">
      <c r="A917" s="493">
        <v>91336</v>
      </c>
      <c r="B917" s="493" t="s">
        <v>5131</v>
      </c>
      <c r="C917" s="493" t="s">
        <v>3659</v>
      </c>
      <c r="D917" s="493" t="s">
        <v>3911</v>
      </c>
      <c r="E917" s="493" t="s">
        <v>846</v>
      </c>
      <c r="F917" s="493" t="s">
        <v>6821</v>
      </c>
      <c r="G917" s="493" t="s">
        <v>8599</v>
      </c>
      <c r="H917" s="493" t="s">
        <v>7571</v>
      </c>
      <c r="I917" s="501" t="s">
        <v>7572</v>
      </c>
    </row>
    <row r="918" spans="1:9" ht="14.45">
      <c r="A918" s="493">
        <v>91026</v>
      </c>
      <c r="B918" s="493" t="s">
        <v>3127</v>
      </c>
      <c r="C918" s="493" t="s">
        <v>3659</v>
      </c>
      <c r="D918" s="493" t="s">
        <v>4784</v>
      </c>
      <c r="E918" s="493" t="s">
        <v>4309</v>
      </c>
      <c r="F918" s="493" t="s">
        <v>6821</v>
      </c>
      <c r="G918" s="493" t="s">
        <v>8600</v>
      </c>
      <c r="H918" s="493" t="s">
        <v>7575</v>
      </c>
      <c r="I918" s="501" t="s">
        <v>7576</v>
      </c>
    </row>
    <row r="919" spans="1:9" ht="14.45">
      <c r="A919" s="493">
        <v>91086</v>
      </c>
      <c r="B919" s="493" t="s">
        <v>3122</v>
      </c>
      <c r="C919" s="493" t="s">
        <v>3659</v>
      </c>
      <c r="D919" s="493" t="s">
        <v>4784</v>
      </c>
      <c r="E919" s="493" t="s">
        <v>4309</v>
      </c>
      <c r="F919" s="493" t="s">
        <v>6821</v>
      </c>
      <c r="G919" s="493" t="s">
        <v>8601</v>
      </c>
      <c r="H919" s="493" t="s">
        <v>7578</v>
      </c>
      <c r="I919" s="501" t="s">
        <v>7579</v>
      </c>
    </row>
    <row r="920" spans="1:9" ht="14.45">
      <c r="A920" s="493">
        <v>91087</v>
      </c>
      <c r="B920" s="493" t="s">
        <v>3123</v>
      </c>
      <c r="C920" s="493" t="s">
        <v>3659</v>
      </c>
      <c r="D920" s="493" t="s">
        <v>4784</v>
      </c>
      <c r="E920" s="493" t="s">
        <v>4309</v>
      </c>
      <c r="F920" s="493" t="s">
        <v>6821</v>
      </c>
      <c r="G920" s="493" t="s">
        <v>8602</v>
      </c>
      <c r="H920" s="493" t="s">
        <v>7578</v>
      </c>
      <c r="I920" s="501" t="s">
        <v>7579</v>
      </c>
    </row>
    <row r="921" spans="1:9" ht="14.45">
      <c r="A921" s="493">
        <v>91088</v>
      </c>
      <c r="B921" s="493" t="s">
        <v>3112</v>
      </c>
      <c r="C921" s="493" t="s">
        <v>3659</v>
      </c>
      <c r="D921" s="493" t="s">
        <v>4784</v>
      </c>
      <c r="E921" s="493" t="s">
        <v>4309</v>
      </c>
      <c r="F921" s="493" t="s">
        <v>6821</v>
      </c>
      <c r="G921" s="493" t="s">
        <v>8603</v>
      </c>
      <c r="H921" s="493" t="s">
        <v>7578</v>
      </c>
      <c r="I921" s="501" t="s">
        <v>7579</v>
      </c>
    </row>
    <row r="922" spans="1:9" ht="14.45">
      <c r="A922" s="493">
        <v>91293</v>
      </c>
      <c r="B922" s="493" t="s">
        <v>3114</v>
      </c>
      <c r="C922" s="493" t="s">
        <v>3659</v>
      </c>
      <c r="D922" s="493" t="s">
        <v>4784</v>
      </c>
      <c r="E922" s="493" t="s">
        <v>4309</v>
      </c>
      <c r="F922" s="493" t="s">
        <v>6821</v>
      </c>
      <c r="G922" s="493" t="s">
        <v>8604</v>
      </c>
      <c r="H922" s="493" t="s">
        <v>7578</v>
      </c>
      <c r="I922" s="501" t="s">
        <v>7579</v>
      </c>
    </row>
    <row r="923" spans="1:9" ht="14.45">
      <c r="A923" s="493">
        <v>91292</v>
      </c>
      <c r="B923" s="493" t="s">
        <v>3115</v>
      </c>
      <c r="C923" s="493" t="s">
        <v>3659</v>
      </c>
      <c r="D923" s="493" t="s">
        <v>4784</v>
      </c>
      <c r="E923" s="493" t="s">
        <v>4309</v>
      </c>
      <c r="F923" s="493" t="s">
        <v>6821</v>
      </c>
      <c r="G923" s="493" t="s">
        <v>8605</v>
      </c>
      <c r="H923" s="493" t="s">
        <v>7578</v>
      </c>
      <c r="I923" s="501" t="s">
        <v>7579</v>
      </c>
    </row>
    <row r="924" spans="1:9" ht="14.45">
      <c r="A924" s="493">
        <v>91027</v>
      </c>
      <c r="B924" s="493" t="s">
        <v>3128</v>
      </c>
      <c r="C924" s="493" t="s">
        <v>3659</v>
      </c>
      <c r="D924" s="493" t="s">
        <v>4784</v>
      </c>
      <c r="E924" s="493" t="s">
        <v>4309</v>
      </c>
      <c r="F924" s="493" t="s">
        <v>6821</v>
      </c>
      <c r="G924" s="493" t="s">
        <v>8606</v>
      </c>
      <c r="H924" s="493" t="s">
        <v>7585</v>
      </c>
      <c r="I924" s="501" t="s">
        <v>7576</v>
      </c>
    </row>
    <row r="925" spans="1:9" ht="14.45">
      <c r="A925" s="493">
        <v>91032</v>
      </c>
      <c r="B925" s="493" t="s">
        <v>3124</v>
      </c>
      <c r="C925" s="493" t="s">
        <v>3659</v>
      </c>
      <c r="D925" s="493" t="s">
        <v>4784</v>
      </c>
      <c r="E925" s="493" t="s">
        <v>4309</v>
      </c>
      <c r="F925" s="493" t="s">
        <v>6821</v>
      </c>
      <c r="G925" s="493" t="s">
        <v>8607</v>
      </c>
      <c r="H925" s="493" t="s">
        <v>7585</v>
      </c>
      <c r="I925" s="501" t="s">
        <v>7576</v>
      </c>
    </row>
    <row r="926" spans="1:9" ht="14.45">
      <c r="A926" s="493">
        <v>91388</v>
      </c>
      <c r="B926" s="493" t="s">
        <v>8608</v>
      </c>
      <c r="C926" s="493" t="s">
        <v>3659</v>
      </c>
      <c r="D926" s="493" t="s">
        <v>3911</v>
      </c>
      <c r="E926" s="493" t="s">
        <v>846</v>
      </c>
      <c r="F926" s="493" t="s">
        <v>6821</v>
      </c>
      <c r="G926" s="493" t="s">
        <v>8609</v>
      </c>
      <c r="H926" s="493" t="s">
        <v>7588</v>
      </c>
      <c r="I926" s="501" t="s">
        <v>7589</v>
      </c>
    </row>
    <row r="927" spans="1:9" ht="14.45">
      <c r="A927" s="493">
        <v>91389</v>
      </c>
      <c r="B927" s="493" t="s">
        <v>5162</v>
      </c>
      <c r="C927" s="493" t="s">
        <v>3659</v>
      </c>
      <c r="D927" s="493" t="s">
        <v>3911</v>
      </c>
      <c r="E927" s="493" t="s">
        <v>846</v>
      </c>
      <c r="F927" s="493" t="s">
        <v>6821</v>
      </c>
      <c r="G927" s="493" t="s">
        <v>8610</v>
      </c>
      <c r="H927" s="493" t="s">
        <v>7591</v>
      </c>
      <c r="I927" s="501" t="s">
        <v>7592</v>
      </c>
    </row>
    <row r="928" spans="1:9" ht="14.45">
      <c r="A928" s="493">
        <v>90963</v>
      </c>
      <c r="B928" s="493" t="s">
        <v>3571</v>
      </c>
      <c r="C928" s="493" t="s">
        <v>3659</v>
      </c>
      <c r="D928" s="493" t="s">
        <v>3911</v>
      </c>
      <c r="E928" s="493" t="s">
        <v>56</v>
      </c>
      <c r="F928" s="493" t="s">
        <v>6821</v>
      </c>
      <c r="G928" s="493" t="s">
        <v>8611</v>
      </c>
      <c r="H928" s="493" t="s">
        <v>7595</v>
      </c>
      <c r="I928" s="501" t="s">
        <v>7596</v>
      </c>
    </row>
    <row r="929" spans="1:9" ht="14.45">
      <c r="A929" s="493">
        <v>90964</v>
      </c>
      <c r="B929" s="493" t="s">
        <v>3574</v>
      </c>
      <c r="C929" s="493" t="s">
        <v>3659</v>
      </c>
      <c r="D929" s="493" t="s">
        <v>3911</v>
      </c>
      <c r="E929" s="493" t="s">
        <v>56</v>
      </c>
      <c r="F929" s="493" t="s">
        <v>6821</v>
      </c>
      <c r="G929" s="493" t="s">
        <v>8612</v>
      </c>
      <c r="H929" s="493" t="s">
        <v>7595</v>
      </c>
      <c r="I929" s="501" t="s">
        <v>8613</v>
      </c>
    </row>
    <row r="930" spans="1:9" ht="14.45">
      <c r="A930" s="493">
        <v>91226</v>
      </c>
      <c r="B930" s="493" t="s">
        <v>5127</v>
      </c>
      <c r="C930" s="493" t="s">
        <v>3659</v>
      </c>
      <c r="D930" s="493" t="s">
        <v>3911</v>
      </c>
      <c r="E930" s="493" t="s">
        <v>846</v>
      </c>
      <c r="F930" s="493" t="s">
        <v>6821</v>
      </c>
      <c r="G930" s="493" t="s">
        <v>8614</v>
      </c>
      <c r="H930" s="493" t="s">
        <v>7598</v>
      </c>
      <c r="I930" s="501" t="s">
        <v>7599</v>
      </c>
    </row>
    <row r="931" spans="1:9" ht="14.45">
      <c r="A931" s="493">
        <v>90965</v>
      </c>
      <c r="B931" s="493" t="s">
        <v>3436</v>
      </c>
      <c r="C931" s="493" t="s">
        <v>3674</v>
      </c>
      <c r="D931" s="493" t="s">
        <v>3911</v>
      </c>
      <c r="E931" s="493" t="s">
        <v>3666</v>
      </c>
      <c r="F931" s="493" t="s">
        <v>6821</v>
      </c>
      <c r="G931" s="493" t="s">
        <v>8615</v>
      </c>
      <c r="H931" s="493" t="s">
        <v>7601</v>
      </c>
      <c r="I931" s="501" t="s">
        <v>7602</v>
      </c>
    </row>
    <row r="932" spans="1:9" ht="14.45">
      <c r="A932" s="493">
        <v>90966</v>
      </c>
      <c r="B932" s="493" t="s">
        <v>3423</v>
      </c>
      <c r="C932" s="493" t="s">
        <v>3674</v>
      </c>
      <c r="D932" s="493" t="s">
        <v>3911</v>
      </c>
      <c r="E932" s="493" t="s">
        <v>3666</v>
      </c>
      <c r="F932" s="493" t="s">
        <v>6821</v>
      </c>
      <c r="G932" s="493" t="s">
        <v>8616</v>
      </c>
      <c r="H932" s="493" t="s">
        <v>7604</v>
      </c>
      <c r="I932" s="501" t="s">
        <v>7605</v>
      </c>
    </row>
    <row r="933" spans="1:9" ht="14.45">
      <c r="A933" s="493">
        <v>90967</v>
      </c>
      <c r="B933" s="493" t="s">
        <v>3425</v>
      </c>
      <c r="C933" s="493" t="s">
        <v>3674</v>
      </c>
      <c r="D933" s="493" t="s">
        <v>3911</v>
      </c>
      <c r="E933" s="493" t="s">
        <v>3666</v>
      </c>
      <c r="F933" s="493" t="s">
        <v>6821</v>
      </c>
      <c r="G933" s="493" t="s">
        <v>8617</v>
      </c>
      <c r="H933" s="493" t="s">
        <v>7607</v>
      </c>
      <c r="I933" s="501" t="s">
        <v>7608</v>
      </c>
    </row>
    <row r="934" spans="1:9" ht="14.45">
      <c r="A934" s="493">
        <v>90968</v>
      </c>
      <c r="B934" s="493" t="s">
        <v>3427</v>
      </c>
      <c r="C934" s="493" t="s">
        <v>3659</v>
      </c>
      <c r="D934" s="493" t="s">
        <v>3911</v>
      </c>
      <c r="E934" s="493" t="s">
        <v>3666</v>
      </c>
      <c r="F934" s="493" t="s">
        <v>6821</v>
      </c>
      <c r="G934" s="493" t="s">
        <v>8618</v>
      </c>
      <c r="H934" s="493" t="s">
        <v>7607</v>
      </c>
      <c r="I934" s="501" t="s">
        <v>7608</v>
      </c>
    </row>
    <row r="935" spans="1:9" ht="14.45">
      <c r="A935" s="493">
        <v>90969</v>
      </c>
      <c r="B935" s="493" t="s">
        <v>3431</v>
      </c>
      <c r="C935" s="493" t="s">
        <v>3659</v>
      </c>
      <c r="D935" s="493" t="s">
        <v>3911</v>
      </c>
      <c r="E935" s="493" t="s">
        <v>3666</v>
      </c>
      <c r="F935" s="493" t="s">
        <v>6821</v>
      </c>
      <c r="G935" s="493" t="s">
        <v>8619</v>
      </c>
      <c r="H935" s="493" t="s">
        <v>7607</v>
      </c>
      <c r="I935" s="501" t="s">
        <v>7608</v>
      </c>
    </row>
    <row r="936" spans="1:9" ht="14.45">
      <c r="A936" s="493">
        <v>90970</v>
      </c>
      <c r="B936" s="493" t="s">
        <v>3429</v>
      </c>
      <c r="C936" s="493" t="s">
        <v>3659</v>
      </c>
      <c r="D936" s="493" t="s">
        <v>3911</v>
      </c>
      <c r="E936" s="493" t="s">
        <v>3666</v>
      </c>
      <c r="F936" s="493" t="s">
        <v>6821</v>
      </c>
      <c r="G936" s="493" t="s">
        <v>8620</v>
      </c>
      <c r="H936" s="493" t="s">
        <v>7607</v>
      </c>
      <c r="I936" s="501" t="s">
        <v>7608</v>
      </c>
    </row>
    <row r="937" spans="1:9" ht="14.45">
      <c r="A937" s="493">
        <v>90971</v>
      </c>
      <c r="B937" s="493" t="s">
        <v>3421</v>
      </c>
      <c r="C937" s="493" t="s">
        <v>3674</v>
      </c>
      <c r="D937" s="493" t="s">
        <v>3911</v>
      </c>
      <c r="E937" s="493" t="s">
        <v>3666</v>
      </c>
      <c r="F937" s="493" t="s">
        <v>6821</v>
      </c>
      <c r="G937" s="493" t="s">
        <v>8621</v>
      </c>
      <c r="H937" s="493" t="s">
        <v>7611</v>
      </c>
      <c r="I937" s="501" t="s">
        <v>7608</v>
      </c>
    </row>
    <row r="938" spans="1:9" ht="14.45">
      <c r="A938" s="493">
        <v>91171</v>
      </c>
      <c r="B938" s="493" t="s">
        <v>8622</v>
      </c>
      <c r="C938" s="493" t="s">
        <v>3674</v>
      </c>
      <c r="D938" s="493" t="s">
        <v>4215</v>
      </c>
      <c r="E938" s="493" t="s">
        <v>846</v>
      </c>
      <c r="F938" s="493" t="s">
        <v>6821</v>
      </c>
      <c r="G938" s="493" t="s">
        <v>8623</v>
      </c>
      <c r="H938" s="493" t="s">
        <v>7613</v>
      </c>
      <c r="I938" s="501" t="s">
        <v>7614</v>
      </c>
    </row>
    <row r="939" spans="1:9" ht="14.45">
      <c r="A939" s="493">
        <v>91170</v>
      </c>
      <c r="B939" s="493" t="s">
        <v>8624</v>
      </c>
      <c r="C939" s="493" t="s">
        <v>3674</v>
      </c>
      <c r="D939" s="493" t="s">
        <v>4215</v>
      </c>
      <c r="E939" s="493" t="s">
        <v>52</v>
      </c>
      <c r="F939" s="493" t="s">
        <v>6821</v>
      </c>
      <c r="G939" s="493" t="s">
        <v>8625</v>
      </c>
      <c r="H939" s="493" t="s">
        <v>7613</v>
      </c>
      <c r="I939" s="501" t="s">
        <v>7617</v>
      </c>
    </row>
    <row r="940" spans="1:9" ht="14.45">
      <c r="A940" s="493">
        <v>91169</v>
      </c>
      <c r="B940" s="493" t="s">
        <v>8626</v>
      </c>
      <c r="C940" s="493" t="s">
        <v>3674</v>
      </c>
      <c r="D940" s="493" t="s">
        <v>4215</v>
      </c>
      <c r="E940" s="493" t="s">
        <v>846</v>
      </c>
      <c r="F940" s="493" t="s">
        <v>6821</v>
      </c>
      <c r="G940" s="493" t="s">
        <v>8627</v>
      </c>
      <c r="H940" s="493" t="s">
        <v>7620</v>
      </c>
      <c r="I940" s="501" t="s">
        <v>7614</v>
      </c>
    </row>
    <row r="941" spans="1:9" ht="14.45">
      <c r="A941" s="493">
        <v>91168</v>
      </c>
      <c r="B941" s="493" t="s">
        <v>8628</v>
      </c>
      <c r="C941" s="493" t="s">
        <v>3674</v>
      </c>
      <c r="D941" s="493" t="s">
        <v>4215</v>
      </c>
      <c r="E941" s="493" t="s">
        <v>52</v>
      </c>
      <c r="F941" s="493" t="s">
        <v>6821</v>
      </c>
      <c r="G941" s="493" t="s">
        <v>8629</v>
      </c>
      <c r="H941" s="493" t="s">
        <v>7620</v>
      </c>
      <c r="I941" s="501" t="s">
        <v>7617</v>
      </c>
    </row>
    <row r="942" spans="1:9" ht="14.45">
      <c r="A942" s="493">
        <v>91179</v>
      </c>
      <c r="B942" s="493" t="s">
        <v>8630</v>
      </c>
      <c r="C942" s="493" t="s">
        <v>3674</v>
      </c>
      <c r="D942" s="493" t="s">
        <v>4215</v>
      </c>
      <c r="E942" s="493" t="s">
        <v>846</v>
      </c>
      <c r="F942" s="493" t="s">
        <v>6821</v>
      </c>
      <c r="G942" s="493" t="s">
        <v>8631</v>
      </c>
      <c r="H942" s="493" t="s">
        <v>8632</v>
      </c>
      <c r="I942" s="501" t="s">
        <v>7614</v>
      </c>
    </row>
    <row r="943" spans="1:9" ht="14.45">
      <c r="A943" s="493">
        <v>91167</v>
      </c>
      <c r="B943" s="493" t="s">
        <v>8633</v>
      </c>
      <c r="C943" s="493" t="s">
        <v>3659</v>
      </c>
      <c r="D943" s="493" t="s">
        <v>4215</v>
      </c>
      <c r="E943" s="493" t="s">
        <v>846</v>
      </c>
      <c r="F943" s="493" t="s">
        <v>6821</v>
      </c>
      <c r="G943" s="493" t="s">
        <v>8634</v>
      </c>
      <c r="H943" s="493" t="s">
        <v>8635</v>
      </c>
      <c r="I943" s="501" t="s">
        <v>7614</v>
      </c>
    </row>
    <row r="944" spans="1:9" ht="14.45">
      <c r="A944" s="493">
        <v>91176</v>
      </c>
      <c r="B944" s="493" t="s">
        <v>8636</v>
      </c>
      <c r="C944" s="493" t="s">
        <v>3674</v>
      </c>
      <c r="D944" s="493" t="s">
        <v>4215</v>
      </c>
      <c r="E944" s="493" t="s">
        <v>52</v>
      </c>
      <c r="F944" s="493" t="s">
        <v>6821</v>
      </c>
      <c r="G944" s="493" t="s">
        <v>8637</v>
      </c>
      <c r="H944" s="493" t="s">
        <v>8632</v>
      </c>
      <c r="I944" s="501" t="s">
        <v>7617</v>
      </c>
    </row>
    <row r="945" spans="1:9" ht="14.45">
      <c r="A945" s="493">
        <v>91165</v>
      </c>
      <c r="B945" s="493" t="s">
        <v>8638</v>
      </c>
      <c r="C945" s="493" t="s">
        <v>3659</v>
      </c>
      <c r="D945" s="493" t="s">
        <v>4215</v>
      </c>
      <c r="E945" s="493" t="s">
        <v>52</v>
      </c>
      <c r="F945" s="493" t="s">
        <v>6821</v>
      </c>
      <c r="G945" s="493" t="s">
        <v>8639</v>
      </c>
      <c r="H945" s="493" t="s">
        <v>8635</v>
      </c>
      <c r="I945" s="501" t="s">
        <v>7617</v>
      </c>
    </row>
    <row r="946" spans="1:9" ht="14.45">
      <c r="A946" s="493">
        <v>91163</v>
      </c>
      <c r="B946" s="493" t="s">
        <v>8640</v>
      </c>
      <c r="C946" s="493" t="s">
        <v>3674</v>
      </c>
      <c r="D946" s="493" t="s">
        <v>4215</v>
      </c>
      <c r="E946" s="493" t="s">
        <v>846</v>
      </c>
      <c r="F946" s="493" t="s">
        <v>6821</v>
      </c>
      <c r="G946" s="493" t="s">
        <v>8641</v>
      </c>
      <c r="H946" s="493" t="s">
        <v>7630</v>
      </c>
      <c r="I946" s="501" t="s">
        <v>7614</v>
      </c>
    </row>
    <row r="947" spans="1:9" ht="14.45">
      <c r="A947" s="493">
        <v>91162</v>
      </c>
      <c r="B947" s="493" t="s">
        <v>8642</v>
      </c>
      <c r="C947" s="493" t="s">
        <v>3674</v>
      </c>
      <c r="D947" s="493" t="s">
        <v>4215</v>
      </c>
      <c r="E947" s="493" t="s">
        <v>52</v>
      </c>
      <c r="F947" s="493" t="s">
        <v>6821</v>
      </c>
      <c r="G947" s="493" t="s">
        <v>8643</v>
      </c>
      <c r="H947" s="493" t="s">
        <v>7630</v>
      </c>
      <c r="I947" s="501" t="s">
        <v>7617</v>
      </c>
    </row>
    <row r="948" spans="1:9" ht="14.45">
      <c r="A948" s="493">
        <v>91161</v>
      </c>
      <c r="B948" s="493" t="s">
        <v>4842</v>
      </c>
      <c r="C948" s="493" t="s">
        <v>3674</v>
      </c>
      <c r="D948" s="493" t="s">
        <v>4215</v>
      </c>
      <c r="E948" s="493" t="s">
        <v>846</v>
      </c>
      <c r="F948" s="493" t="s">
        <v>6821</v>
      </c>
      <c r="G948" s="493" t="s">
        <v>8644</v>
      </c>
      <c r="H948" s="493" t="s">
        <v>7634</v>
      </c>
      <c r="I948" s="501" t="s">
        <v>7614</v>
      </c>
    </row>
    <row r="949" spans="1:9" ht="14.45">
      <c r="A949" s="493">
        <v>91160</v>
      </c>
      <c r="B949" s="493" t="s">
        <v>8645</v>
      </c>
      <c r="C949" s="493" t="s">
        <v>3674</v>
      </c>
      <c r="D949" s="493" t="s">
        <v>4215</v>
      </c>
      <c r="E949" s="493" t="s">
        <v>52</v>
      </c>
      <c r="F949" s="493" t="s">
        <v>6821</v>
      </c>
      <c r="G949" s="493" t="s">
        <v>8646</v>
      </c>
      <c r="H949" s="493" t="s">
        <v>7634</v>
      </c>
      <c r="I949" s="501" t="s">
        <v>7617</v>
      </c>
    </row>
    <row r="950" spans="1:9" ht="14.45">
      <c r="A950" s="493">
        <v>91159</v>
      </c>
      <c r="B950" s="493" t="s">
        <v>4858</v>
      </c>
      <c r="C950" s="493" t="s">
        <v>3674</v>
      </c>
      <c r="D950" s="493" t="s">
        <v>4215</v>
      </c>
      <c r="E950" s="493" t="s">
        <v>7637</v>
      </c>
      <c r="F950" s="493" t="s">
        <v>6821</v>
      </c>
      <c r="G950" s="493" t="s">
        <v>8647</v>
      </c>
      <c r="H950" s="493" t="s">
        <v>7639</v>
      </c>
      <c r="I950" s="501" t="s">
        <v>7640</v>
      </c>
    </row>
    <row r="951" spans="1:9" ht="14.45">
      <c r="A951" s="493">
        <v>91102</v>
      </c>
      <c r="B951" s="493" t="s">
        <v>8648</v>
      </c>
      <c r="C951" s="493" t="s">
        <v>3674</v>
      </c>
      <c r="D951" s="493" t="s">
        <v>4215</v>
      </c>
      <c r="E951" s="493" t="s">
        <v>52</v>
      </c>
      <c r="F951" s="493" t="s">
        <v>6821</v>
      </c>
      <c r="G951" s="493" t="s">
        <v>8649</v>
      </c>
      <c r="H951" s="493" t="s">
        <v>7639</v>
      </c>
      <c r="I951" s="501" t="s">
        <v>7617</v>
      </c>
    </row>
    <row r="952" spans="1:9" ht="14.45">
      <c r="A952" s="493">
        <v>91103</v>
      </c>
      <c r="B952" s="493" t="s">
        <v>4846</v>
      </c>
      <c r="C952" s="493" t="s">
        <v>3674</v>
      </c>
      <c r="D952" s="493" t="s">
        <v>4215</v>
      </c>
      <c r="E952" s="493" t="s">
        <v>7637</v>
      </c>
      <c r="F952" s="493" t="s">
        <v>6821</v>
      </c>
      <c r="G952" s="493" t="s">
        <v>8650</v>
      </c>
      <c r="H952" s="493" t="s">
        <v>7644</v>
      </c>
      <c r="I952" s="501" t="s">
        <v>7640</v>
      </c>
    </row>
    <row r="953" spans="1:9" ht="14.45">
      <c r="A953" s="493">
        <v>91104</v>
      </c>
      <c r="B953" s="493" t="s">
        <v>8651</v>
      </c>
      <c r="C953" s="493" t="s">
        <v>3674</v>
      </c>
      <c r="D953" s="493" t="s">
        <v>4215</v>
      </c>
      <c r="E953" s="493" t="s">
        <v>52</v>
      </c>
      <c r="F953" s="493" t="s">
        <v>6821</v>
      </c>
      <c r="G953" s="493" t="s">
        <v>8652</v>
      </c>
      <c r="H953" s="493" t="s">
        <v>7644</v>
      </c>
      <c r="I953" s="501" t="s">
        <v>7617</v>
      </c>
    </row>
    <row r="954" spans="1:9" ht="14.45">
      <c r="A954" s="493">
        <v>91105</v>
      </c>
      <c r="B954" s="493" t="s">
        <v>4840</v>
      </c>
      <c r="C954" s="493" t="s">
        <v>3674</v>
      </c>
      <c r="D954" s="493" t="s">
        <v>4215</v>
      </c>
      <c r="E954" s="493" t="s">
        <v>7637</v>
      </c>
      <c r="F954" s="493" t="s">
        <v>6821</v>
      </c>
      <c r="G954" s="493" t="s">
        <v>8653</v>
      </c>
      <c r="H954" s="493" t="s">
        <v>7648</v>
      </c>
      <c r="I954" s="501" t="s">
        <v>7640</v>
      </c>
    </row>
    <row r="955" spans="1:9" ht="14.45">
      <c r="A955" s="493">
        <v>91046</v>
      </c>
      <c r="B955" s="493" t="s">
        <v>8654</v>
      </c>
      <c r="C955" s="493" t="s">
        <v>3674</v>
      </c>
      <c r="D955" s="493" t="s">
        <v>4215</v>
      </c>
      <c r="E955" s="493" t="s">
        <v>52</v>
      </c>
      <c r="F955" s="493" t="s">
        <v>6821</v>
      </c>
      <c r="G955" s="493" t="s">
        <v>8655</v>
      </c>
      <c r="H955" s="493" t="s">
        <v>7648</v>
      </c>
      <c r="I955" s="501" t="s">
        <v>7617</v>
      </c>
    </row>
    <row r="956" spans="1:9" ht="14.45">
      <c r="A956" s="493">
        <v>91045</v>
      </c>
      <c r="B956" s="493" t="s">
        <v>4838</v>
      </c>
      <c r="C956" s="493" t="s">
        <v>3659</v>
      </c>
      <c r="D956" s="493" t="s">
        <v>4215</v>
      </c>
      <c r="E956" s="493" t="s">
        <v>7637</v>
      </c>
      <c r="F956" s="493" t="s">
        <v>6821</v>
      </c>
      <c r="G956" s="493" t="s">
        <v>8656</v>
      </c>
      <c r="H956" s="493" t="s">
        <v>7657</v>
      </c>
      <c r="I956" s="501" t="s">
        <v>7640</v>
      </c>
    </row>
    <row r="957" spans="1:9" ht="14.45">
      <c r="A957" s="493">
        <v>91044</v>
      </c>
      <c r="B957" s="493" t="s">
        <v>4836</v>
      </c>
      <c r="C957" s="493" t="s">
        <v>3659</v>
      </c>
      <c r="D957" s="493" t="s">
        <v>4215</v>
      </c>
      <c r="E957" s="493" t="s">
        <v>7637</v>
      </c>
      <c r="F957" s="493" t="s">
        <v>6821</v>
      </c>
      <c r="G957" s="493" t="s">
        <v>8657</v>
      </c>
      <c r="H957" s="493" t="s">
        <v>7659</v>
      </c>
      <c r="I957" s="501" t="s">
        <v>7640</v>
      </c>
    </row>
    <row r="958" spans="1:9" ht="14.45">
      <c r="A958" s="493">
        <v>91043</v>
      </c>
      <c r="B958" s="493" t="s">
        <v>4834</v>
      </c>
      <c r="C958" s="493" t="s">
        <v>3659</v>
      </c>
      <c r="D958" s="493" t="s">
        <v>4215</v>
      </c>
      <c r="E958" s="493" t="s">
        <v>7637</v>
      </c>
      <c r="F958" s="493" t="s">
        <v>6821</v>
      </c>
      <c r="G958" s="493" t="s">
        <v>8658</v>
      </c>
      <c r="H958" s="493" t="s">
        <v>7659</v>
      </c>
      <c r="I958" s="501" t="s">
        <v>7640</v>
      </c>
    </row>
    <row r="959" spans="1:9" ht="14.45">
      <c r="A959" s="493">
        <v>91158</v>
      </c>
      <c r="B959" s="493" t="s">
        <v>8659</v>
      </c>
      <c r="C959" s="493" t="s">
        <v>3659</v>
      </c>
      <c r="D959" s="493" t="s">
        <v>4215</v>
      </c>
      <c r="E959" s="493" t="s">
        <v>52</v>
      </c>
      <c r="F959" s="493" t="s">
        <v>6821</v>
      </c>
      <c r="G959" s="493" t="s">
        <v>8660</v>
      </c>
      <c r="H959" s="493" t="s">
        <v>7657</v>
      </c>
      <c r="I959" s="501" t="s">
        <v>7655</v>
      </c>
    </row>
    <row r="960" spans="1:9" ht="14.45">
      <c r="A960" s="493">
        <v>91174</v>
      </c>
      <c r="B960" s="493" t="s">
        <v>8661</v>
      </c>
      <c r="C960" s="493" t="s">
        <v>3659</v>
      </c>
      <c r="D960" s="493" t="s">
        <v>4215</v>
      </c>
      <c r="E960" s="493" t="s">
        <v>52</v>
      </c>
      <c r="F960" s="493" t="s">
        <v>6821</v>
      </c>
      <c r="G960" s="493" t="s">
        <v>8662</v>
      </c>
      <c r="H960" s="493" t="s">
        <v>7659</v>
      </c>
      <c r="I960" s="501" t="s">
        <v>7655</v>
      </c>
    </row>
    <row r="961" spans="1:9" ht="14.45">
      <c r="A961" s="493">
        <v>91125</v>
      </c>
      <c r="B961" s="493" t="s">
        <v>8663</v>
      </c>
      <c r="C961" s="493" t="s">
        <v>3659</v>
      </c>
      <c r="D961" s="493" t="s">
        <v>4215</v>
      </c>
      <c r="E961" s="493" t="s">
        <v>52</v>
      </c>
      <c r="F961" s="493" t="s">
        <v>6821</v>
      </c>
      <c r="G961" s="493" t="s">
        <v>8664</v>
      </c>
      <c r="H961" s="493" t="s">
        <v>7659</v>
      </c>
      <c r="I961" s="501" t="s">
        <v>7655</v>
      </c>
    </row>
    <row r="962" spans="1:9" ht="14.45">
      <c r="A962" s="493">
        <v>91126</v>
      </c>
      <c r="B962" s="493" t="s">
        <v>4852</v>
      </c>
      <c r="C962" s="493" t="s">
        <v>3659</v>
      </c>
      <c r="D962" s="493" t="s">
        <v>4215</v>
      </c>
      <c r="E962" s="493" t="s">
        <v>7637</v>
      </c>
      <c r="F962" s="493" t="s">
        <v>6821</v>
      </c>
      <c r="G962" s="493" t="s">
        <v>8665</v>
      </c>
      <c r="H962" s="493" t="s">
        <v>7669</v>
      </c>
      <c r="I962" s="501" t="s">
        <v>7670</v>
      </c>
    </row>
    <row r="963" spans="1:9" ht="14.45">
      <c r="A963" s="493">
        <v>91127</v>
      </c>
      <c r="B963" s="493" t="s">
        <v>4854</v>
      </c>
      <c r="C963" s="493" t="s">
        <v>3659</v>
      </c>
      <c r="D963" s="493" t="s">
        <v>4215</v>
      </c>
      <c r="E963" s="493" t="s">
        <v>7637</v>
      </c>
      <c r="F963" s="493" t="s">
        <v>6821</v>
      </c>
      <c r="G963" s="493" t="s">
        <v>8666</v>
      </c>
      <c r="H963" s="493" t="s">
        <v>7669</v>
      </c>
      <c r="I963" s="501" t="s">
        <v>7670</v>
      </c>
    </row>
    <row r="964" spans="1:9" ht="14.45">
      <c r="A964" s="493">
        <v>91124</v>
      </c>
      <c r="B964" s="493" t="s">
        <v>4850</v>
      </c>
      <c r="C964" s="493" t="s">
        <v>3659</v>
      </c>
      <c r="D964" s="493" t="s">
        <v>4215</v>
      </c>
      <c r="E964" s="493" t="s">
        <v>7637</v>
      </c>
      <c r="F964" s="493" t="s">
        <v>6821</v>
      </c>
      <c r="G964" s="493" t="s">
        <v>8667</v>
      </c>
      <c r="H964" s="493" t="s">
        <v>7669</v>
      </c>
      <c r="I964" s="501" t="s">
        <v>7670</v>
      </c>
    </row>
    <row r="965" spans="1:9" ht="14.45">
      <c r="A965" s="493">
        <v>91123</v>
      </c>
      <c r="B965" s="493" t="s">
        <v>4848</v>
      </c>
      <c r="C965" s="493" t="s">
        <v>3659</v>
      </c>
      <c r="D965" s="493" t="s">
        <v>4215</v>
      </c>
      <c r="E965" s="493" t="s">
        <v>7637</v>
      </c>
      <c r="F965" s="493" t="s">
        <v>6821</v>
      </c>
      <c r="G965" s="493" t="s">
        <v>8668</v>
      </c>
      <c r="H965" s="493" t="s">
        <v>7669</v>
      </c>
      <c r="I965" s="501" t="s">
        <v>7670</v>
      </c>
    </row>
    <row r="966" spans="1:9" ht="14.45">
      <c r="A966" s="493">
        <v>91122</v>
      </c>
      <c r="B966" s="493" t="s">
        <v>8669</v>
      </c>
      <c r="C966" s="493" t="s">
        <v>3659</v>
      </c>
      <c r="D966" s="493" t="s">
        <v>4215</v>
      </c>
      <c r="E966" s="493" t="s">
        <v>52</v>
      </c>
      <c r="F966" s="493" t="s">
        <v>6821</v>
      </c>
      <c r="G966" s="493" t="s">
        <v>8670</v>
      </c>
      <c r="H966" s="493" t="s">
        <v>7669</v>
      </c>
      <c r="I966" s="501" t="s">
        <v>7655</v>
      </c>
    </row>
    <row r="967" spans="1:9" ht="14.45">
      <c r="A967" s="493">
        <v>91121</v>
      </c>
      <c r="B967" s="493" t="s">
        <v>8671</v>
      </c>
      <c r="C967" s="493" t="s">
        <v>3659</v>
      </c>
      <c r="D967" s="493" t="s">
        <v>4215</v>
      </c>
      <c r="E967" s="493" t="s">
        <v>52</v>
      </c>
      <c r="F967" s="493" t="s">
        <v>6821</v>
      </c>
      <c r="G967" s="493" t="s">
        <v>8672</v>
      </c>
      <c r="H967" s="493" t="s">
        <v>7669</v>
      </c>
      <c r="I967" s="501" t="s">
        <v>7655</v>
      </c>
    </row>
    <row r="968" spans="1:9" ht="14.45">
      <c r="A968" s="493">
        <v>91108</v>
      </c>
      <c r="B968" s="493" t="s">
        <v>8673</v>
      </c>
      <c r="C968" s="493" t="s">
        <v>3659</v>
      </c>
      <c r="D968" s="493" t="s">
        <v>4215</v>
      </c>
      <c r="E968" s="493" t="s">
        <v>52</v>
      </c>
      <c r="F968" s="493" t="s">
        <v>6821</v>
      </c>
      <c r="G968" s="493" t="s">
        <v>8674</v>
      </c>
      <c r="H968" s="493" t="s">
        <v>7669</v>
      </c>
      <c r="I968" s="501" t="s">
        <v>7655</v>
      </c>
    </row>
    <row r="969" spans="1:9" ht="14.45">
      <c r="A969" s="493">
        <v>91145</v>
      </c>
      <c r="B969" s="493" t="s">
        <v>8675</v>
      </c>
      <c r="C969" s="493" t="s">
        <v>3659</v>
      </c>
      <c r="D969" s="493" t="s">
        <v>4215</v>
      </c>
      <c r="E969" s="493" t="s">
        <v>52</v>
      </c>
      <c r="F969" s="493" t="s">
        <v>6821</v>
      </c>
      <c r="G969" s="493" t="s">
        <v>8676</v>
      </c>
      <c r="H969" s="493" t="s">
        <v>7669</v>
      </c>
      <c r="I969" s="501" t="s">
        <v>7655</v>
      </c>
    </row>
    <row r="970" spans="1:9" ht="14.45">
      <c r="A970" s="493">
        <v>91182</v>
      </c>
      <c r="B970" s="493" t="s">
        <v>4863</v>
      </c>
      <c r="C970" s="493" t="s">
        <v>3659</v>
      </c>
      <c r="D970" s="493" t="s">
        <v>4215</v>
      </c>
      <c r="E970" s="493" t="s">
        <v>7637</v>
      </c>
      <c r="F970" s="493" t="s">
        <v>6821</v>
      </c>
      <c r="G970" s="493" t="s">
        <v>8677</v>
      </c>
      <c r="H970" s="493" t="s">
        <v>7677</v>
      </c>
      <c r="I970" s="501" t="s">
        <v>7640</v>
      </c>
    </row>
    <row r="971" spans="1:9" ht="14.45">
      <c r="A971" s="493">
        <v>91180</v>
      </c>
      <c r="B971" s="493" t="s">
        <v>4861</v>
      </c>
      <c r="C971" s="493" t="s">
        <v>3659</v>
      </c>
      <c r="D971" s="493" t="s">
        <v>4215</v>
      </c>
      <c r="E971" s="493" t="s">
        <v>7637</v>
      </c>
      <c r="F971" s="493" t="s">
        <v>6821</v>
      </c>
      <c r="G971" s="493" t="s">
        <v>8678</v>
      </c>
      <c r="H971" s="493" t="s">
        <v>7677</v>
      </c>
      <c r="I971" s="501" t="s">
        <v>7640</v>
      </c>
    </row>
    <row r="972" spans="1:9" ht="14.45">
      <c r="A972" s="493">
        <v>91178</v>
      </c>
      <c r="B972" s="493" t="s">
        <v>8679</v>
      </c>
      <c r="C972" s="493" t="s">
        <v>3659</v>
      </c>
      <c r="D972" s="493" t="s">
        <v>4215</v>
      </c>
      <c r="E972" s="493" t="s">
        <v>52</v>
      </c>
      <c r="F972" s="493" t="s">
        <v>6821</v>
      </c>
      <c r="G972" s="493" t="s">
        <v>8680</v>
      </c>
      <c r="H972" s="493" t="s">
        <v>7677</v>
      </c>
      <c r="I972" s="501" t="s">
        <v>7655</v>
      </c>
    </row>
    <row r="973" spans="1:9" ht="14.45">
      <c r="A973" s="493">
        <v>91177</v>
      </c>
      <c r="B973" s="493" t="s">
        <v>8681</v>
      </c>
      <c r="C973" s="493" t="s">
        <v>3659</v>
      </c>
      <c r="D973" s="493" t="s">
        <v>4215</v>
      </c>
      <c r="E973" s="493" t="s">
        <v>52</v>
      </c>
      <c r="F973" s="493" t="s">
        <v>6821</v>
      </c>
      <c r="G973" s="493" t="s">
        <v>8682</v>
      </c>
      <c r="H973" s="493" t="s">
        <v>7677</v>
      </c>
      <c r="I973" s="501" t="s">
        <v>7655</v>
      </c>
    </row>
    <row r="974" spans="1:9" ht="14.45">
      <c r="A974" s="493">
        <v>91208</v>
      </c>
      <c r="B974" s="493" t="s">
        <v>5782</v>
      </c>
      <c r="C974" s="493" t="s">
        <v>3659</v>
      </c>
      <c r="D974" s="493" t="s">
        <v>3918</v>
      </c>
      <c r="E974" s="493" t="s">
        <v>3919</v>
      </c>
      <c r="F974" s="493" t="s">
        <v>6821</v>
      </c>
      <c r="G974" s="493" t="s">
        <v>8683</v>
      </c>
      <c r="H974" s="493" t="s">
        <v>7694</v>
      </c>
      <c r="I974" s="501" t="s">
        <v>7233</v>
      </c>
    </row>
    <row r="975" spans="1:9" ht="14.45">
      <c r="A975" s="493">
        <v>91201</v>
      </c>
      <c r="B975" s="493" t="s">
        <v>8684</v>
      </c>
      <c r="C975" s="493" t="s">
        <v>3659</v>
      </c>
      <c r="D975" s="493" t="s">
        <v>3681</v>
      </c>
      <c r="E975" s="493" t="s">
        <v>846</v>
      </c>
      <c r="F975" s="493" t="s">
        <v>6821</v>
      </c>
      <c r="G975" s="493" t="s">
        <v>8685</v>
      </c>
      <c r="H975" s="493" t="s">
        <v>7702</v>
      </c>
      <c r="I975" s="501" t="s">
        <v>7703</v>
      </c>
    </row>
    <row r="976" spans="1:9" ht="14.45">
      <c r="A976" s="493">
        <v>91283</v>
      </c>
      <c r="B976" s="493" t="s">
        <v>3836</v>
      </c>
      <c r="C976" s="493" t="s">
        <v>3659</v>
      </c>
      <c r="D976" s="493" t="s">
        <v>3718</v>
      </c>
      <c r="E976" s="493" t="s">
        <v>3719</v>
      </c>
      <c r="F976" s="493" t="s">
        <v>6821</v>
      </c>
      <c r="G976" s="493" t="s">
        <v>8686</v>
      </c>
      <c r="H976" s="493" t="s">
        <v>7709</v>
      </c>
      <c r="I976" s="501" t="s">
        <v>8687</v>
      </c>
    </row>
    <row r="977" spans="1:9" ht="14.45">
      <c r="A977" s="493">
        <v>91100</v>
      </c>
      <c r="B977" s="493" t="s">
        <v>5828</v>
      </c>
      <c r="C977" s="493" t="s">
        <v>3659</v>
      </c>
      <c r="D977" s="493" t="s">
        <v>3828</v>
      </c>
      <c r="E977" s="493" t="s">
        <v>3719</v>
      </c>
      <c r="F977" s="493" t="s">
        <v>6821</v>
      </c>
      <c r="G977" s="493" t="s">
        <v>8688</v>
      </c>
      <c r="H977" s="493" t="s">
        <v>7712</v>
      </c>
      <c r="I977" s="501" t="s">
        <v>8689</v>
      </c>
    </row>
    <row r="978" spans="1:9" ht="14.45">
      <c r="A978" s="493">
        <v>91250</v>
      </c>
      <c r="B978" s="493" t="s">
        <v>2850</v>
      </c>
      <c r="C978" s="493" t="s">
        <v>3659</v>
      </c>
      <c r="D978" s="493" t="s">
        <v>4109</v>
      </c>
      <c r="E978" s="493" t="s">
        <v>5977</v>
      </c>
      <c r="F978" s="493" t="s">
        <v>6821</v>
      </c>
      <c r="G978" s="493" t="s">
        <v>8690</v>
      </c>
      <c r="H978" s="493" t="s">
        <v>7723</v>
      </c>
      <c r="I978" s="501" t="s">
        <v>7415</v>
      </c>
    </row>
    <row r="979" spans="1:9" ht="14.45">
      <c r="A979" s="493">
        <v>91142</v>
      </c>
      <c r="B979" s="493" t="s">
        <v>3786</v>
      </c>
      <c r="C979" s="493" t="s">
        <v>3659</v>
      </c>
      <c r="D979" s="493" t="s">
        <v>3770</v>
      </c>
      <c r="E979" s="493" t="s">
        <v>3719</v>
      </c>
      <c r="F979" s="493" t="s">
        <v>6906</v>
      </c>
      <c r="G979" s="493" t="s">
        <v>8691</v>
      </c>
      <c r="H979" s="493" t="s">
        <v>7731</v>
      </c>
      <c r="I979" s="501" t="s">
        <v>7185</v>
      </c>
    </row>
    <row r="980" spans="1:9" ht="14.45">
      <c r="A980" s="493">
        <v>91273</v>
      </c>
      <c r="B980" s="493" t="s">
        <v>3132</v>
      </c>
      <c r="C980" s="493" t="s">
        <v>3659</v>
      </c>
      <c r="D980" s="493" t="s">
        <v>3770</v>
      </c>
      <c r="E980" s="493" t="s">
        <v>4309</v>
      </c>
      <c r="F980" s="493" t="s">
        <v>6906</v>
      </c>
      <c r="G980" s="493" t="s">
        <v>8692</v>
      </c>
      <c r="H980" s="493" t="s">
        <v>7746</v>
      </c>
      <c r="I980" s="501" t="s">
        <v>6909</v>
      </c>
    </row>
    <row r="981" spans="1:9" ht="14.45">
      <c r="A981" s="493">
        <v>91272</v>
      </c>
      <c r="B981" s="493" t="s">
        <v>3133</v>
      </c>
      <c r="C981" s="493" t="s">
        <v>3659</v>
      </c>
      <c r="D981" s="493" t="s">
        <v>3770</v>
      </c>
      <c r="E981" s="493" t="s">
        <v>4309</v>
      </c>
      <c r="F981" s="493" t="s">
        <v>6906</v>
      </c>
      <c r="G981" s="493" t="s">
        <v>8693</v>
      </c>
      <c r="H981" s="493" t="s">
        <v>7748</v>
      </c>
      <c r="I981" s="501" t="s">
        <v>6909</v>
      </c>
    </row>
    <row r="982" spans="1:9" ht="14.45">
      <c r="A982" s="493">
        <v>91047</v>
      </c>
      <c r="B982" s="493" t="s">
        <v>8694</v>
      </c>
      <c r="C982" s="493" t="s">
        <v>3659</v>
      </c>
      <c r="D982" s="493" t="s">
        <v>2369</v>
      </c>
      <c r="E982" s="493" t="s">
        <v>47</v>
      </c>
      <c r="F982" s="493" t="s">
        <v>6821</v>
      </c>
      <c r="G982" s="493" t="s">
        <v>8695</v>
      </c>
      <c r="H982" s="493" t="s">
        <v>7827</v>
      </c>
      <c r="I982" s="501" t="s">
        <v>7828</v>
      </c>
    </row>
    <row r="983" spans="1:9" ht="14.45">
      <c r="A983" s="493">
        <v>91143</v>
      </c>
      <c r="B983" s="493" t="s">
        <v>8696</v>
      </c>
      <c r="C983" s="493" t="s">
        <v>3659</v>
      </c>
      <c r="D983" s="493" t="s">
        <v>2369</v>
      </c>
      <c r="E983" s="493" t="s">
        <v>7843</v>
      </c>
      <c r="F983" s="493" t="s">
        <v>6821</v>
      </c>
      <c r="G983" s="493" t="s">
        <v>8697</v>
      </c>
      <c r="H983" s="493" t="s">
        <v>7845</v>
      </c>
      <c r="I983" s="501" t="s">
        <v>7846</v>
      </c>
    </row>
    <row r="984" spans="1:9" ht="14.45">
      <c r="A984" s="493">
        <v>91229</v>
      </c>
      <c r="B984" s="493" t="s">
        <v>8698</v>
      </c>
      <c r="C984" s="493" t="s">
        <v>3659</v>
      </c>
      <c r="D984" s="493" t="s">
        <v>2369</v>
      </c>
      <c r="E984" s="493" t="s">
        <v>47</v>
      </c>
      <c r="F984" s="493" t="s">
        <v>6821</v>
      </c>
      <c r="G984" s="493" t="s">
        <v>8699</v>
      </c>
      <c r="H984" s="493" t="s">
        <v>7858</v>
      </c>
      <c r="I984" s="501" t="s">
        <v>7859</v>
      </c>
    </row>
    <row r="985" spans="1:9" ht="14.45">
      <c r="A985" s="493">
        <v>91228</v>
      </c>
      <c r="B985" s="493" t="s">
        <v>8700</v>
      </c>
      <c r="C985" s="493" t="s">
        <v>3659</v>
      </c>
      <c r="D985" s="493" t="s">
        <v>2369</v>
      </c>
      <c r="E985" s="493" t="s">
        <v>47</v>
      </c>
      <c r="F985" s="493" t="s">
        <v>6821</v>
      </c>
      <c r="G985" s="493" t="s">
        <v>8701</v>
      </c>
      <c r="H985" s="493" t="s">
        <v>7858</v>
      </c>
      <c r="I985" s="501" t="s">
        <v>7859</v>
      </c>
    </row>
    <row r="986" spans="1:9" ht="14.45">
      <c r="A986" s="493">
        <v>91227</v>
      </c>
      <c r="B986" s="493" t="s">
        <v>8702</v>
      </c>
      <c r="C986" s="493" t="s">
        <v>3659</v>
      </c>
      <c r="D986" s="493" t="s">
        <v>2369</v>
      </c>
      <c r="E986" s="493" t="s">
        <v>47</v>
      </c>
      <c r="F986" s="493" t="s">
        <v>6821</v>
      </c>
      <c r="G986" s="493" t="s">
        <v>8703</v>
      </c>
      <c r="H986" s="493" t="s">
        <v>7858</v>
      </c>
      <c r="I986" s="501" t="s">
        <v>7859</v>
      </c>
    </row>
    <row r="987" spans="1:9" ht="14.45">
      <c r="A987" s="493">
        <v>90972</v>
      </c>
      <c r="B987" s="493" t="s">
        <v>3037</v>
      </c>
      <c r="C987" s="493" t="s">
        <v>3659</v>
      </c>
      <c r="D987" s="493" t="s">
        <v>2369</v>
      </c>
      <c r="E987" s="493" t="s">
        <v>47</v>
      </c>
      <c r="F987" s="493" t="s">
        <v>6821</v>
      </c>
      <c r="G987" s="493" t="s">
        <v>8704</v>
      </c>
      <c r="H987" s="493" t="s">
        <v>7862</v>
      </c>
      <c r="I987" s="501" t="s">
        <v>3075</v>
      </c>
    </row>
    <row r="988" spans="1:9" ht="14.45">
      <c r="A988" s="493">
        <v>90973</v>
      </c>
      <c r="B988" s="493" t="s">
        <v>3038</v>
      </c>
      <c r="C988" s="493" t="s">
        <v>3659</v>
      </c>
      <c r="D988" s="493" t="s">
        <v>2369</v>
      </c>
      <c r="E988" s="493" t="s">
        <v>47</v>
      </c>
      <c r="F988" s="493" t="s">
        <v>6821</v>
      </c>
      <c r="G988" s="493" t="s">
        <v>8705</v>
      </c>
      <c r="H988" s="493" t="s">
        <v>7862</v>
      </c>
      <c r="I988" s="501" t="s">
        <v>3075</v>
      </c>
    </row>
    <row r="989" spans="1:9" ht="14.45">
      <c r="A989" s="493">
        <v>90974</v>
      </c>
      <c r="B989" s="493" t="s">
        <v>3039</v>
      </c>
      <c r="C989" s="493" t="s">
        <v>3659</v>
      </c>
      <c r="D989" s="493" t="s">
        <v>2369</v>
      </c>
      <c r="E989" s="493" t="s">
        <v>47</v>
      </c>
      <c r="F989" s="493" t="s">
        <v>6821</v>
      </c>
      <c r="G989" s="493" t="s">
        <v>8706</v>
      </c>
      <c r="H989" s="493" t="s">
        <v>7862</v>
      </c>
      <c r="I989" s="501" t="s">
        <v>3075</v>
      </c>
    </row>
    <row r="990" spans="1:9" ht="14.45">
      <c r="A990" s="493">
        <v>90975</v>
      </c>
      <c r="B990" s="493" t="s">
        <v>5403</v>
      </c>
      <c r="C990" s="493" t="s">
        <v>3659</v>
      </c>
      <c r="D990" s="493" t="s">
        <v>3900</v>
      </c>
      <c r="E990" s="493" t="s">
        <v>3875</v>
      </c>
      <c r="F990" s="493" t="s">
        <v>6821</v>
      </c>
      <c r="G990" s="493" t="s">
        <v>8707</v>
      </c>
      <c r="H990" s="493" t="s">
        <v>7869</v>
      </c>
      <c r="I990" s="501" t="s">
        <v>5370</v>
      </c>
    </row>
    <row r="991" spans="1:9" ht="14.45">
      <c r="A991" s="493">
        <v>90976</v>
      </c>
      <c r="B991" s="493" t="s">
        <v>5405</v>
      </c>
      <c r="C991" s="493" t="s">
        <v>3659</v>
      </c>
      <c r="D991" s="493" t="s">
        <v>3900</v>
      </c>
      <c r="E991" s="493" t="s">
        <v>3875</v>
      </c>
      <c r="F991" s="493" t="s">
        <v>6821</v>
      </c>
      <c r="G991" s="493" t="s">
        <v>8708</v>
      </c>
      <c r="H991" s="493" t="s">
        <v>7869</v>
      </c>
      <c r="I991" s="501" t="s">
        <v>5370</v>
      </c>
    </row>
    <row r="992" spans="1:9" ht="14.45">
      <c r="A992" s="493">
        <v>90977</v>
      </c>
      <c r="B992" s="493" t="s">
        <v>5407</v>
      </c>
      <c r="C992" s="493" t="s">
        <v>3659</v>
      </c>
      <c r="D992" s="493" t="s">
        <v>3900</v>
      </c>
      <c r="E992" s="493" t="s">
        <v>3875</v>
      </c>
      <c r="F992" s="493" t="s">
        <v>6821</v>
      </c>
      <c r="G992" s="493" t="s">
        <v>8709</v>
      </c>
      <c r="H992" s="493" t="s">
        <v>7869</v>
      </c>
      <c r="I992" s="501" t="s">
        <v>5370</v>
      </c>
    </row>
    <row r="993" spans="1:9" ht="14.45">
      <c r="A993" s="493">
        <v>90978</v>
      </c>
      <c r="B993" s="493" t="s">
        <v>5409</v>
      </c>
      <c r="C993" s="493" t="s">
        <v>3659</v>
      </c>
      <c r="D993" s="493" t="s">
        <v>3900</v>
      </c>
      <c r="E993" s="493" t="s">
        <v>3875</v>
      </c>
      <c r="F993" s="493" t="s">
        <v>6821</v>
      </c>
      <c r="G993" s="493" t="s">
        <v>8710</v>
      </c>
      <c r="H993" s="493" t="s">
        <v>7869</v>
      </c>
      <c r="I993" s="501" t="s">
        <v>5370</v>
      </c>
    </row>
    <row r="994" spans="1:9" ht="14.45">
      <c r="A994" s="493">
        <v>90979</v>
      </c>
      <c r="B994" s="493" t="s">
        <v>5411</v>
      </c>
      <c r="C994" s="493" t="s">
        <v>3659</v>
      </c>
      <c r="D994" s="493" t="s">
        <v>3900</v>
      </c>
      <c r="E994" s="493" t="s">
        <v>3875</v>
      </c>
      <c r="F994" s="493" t="s">
        <v>6821</v>
      </c>
      <c r="G994" s="493" t="s">
        <v>8711</v>
      </c>
      <c r="H994" s="493" t="s">
        <v>7869</v>
      </c>
      <c r="I994" s="501" t="s">
        <v>5370</v>
      </c>
    </row>
    <row r="995" spans="1:9" ht="14.45">
      <c r="A995" s="493">
        <v>90980</v>
      </c>
      <c r="B995" s="493" t="s">
        <v>5413</v>
      </c>
      <c r="C995" s="493" t="s">
        <v>3659</v>
      </c>
      <c r="D995" s="493" t="s">
        <v>3900</v>
      </c>
      <c r="E995" s="493" t="s">
        <v>3875</v>
      </c>
      <c r="F995" s="493" t="s">
        <v>6821</v>
      </c>
      <c r="G995" s="493" t="s">
        <v>8712</v>
      </c>
      <c r="H995" s="493" t="s">
        <v>7869</v>
      </c>
      <c r="I995" s="501" t="s">
        <v>5370</v>
      </c>
    </row>
    <row r="996" spans="1:9" ht="14.45">
      <c r="A996" s="493">
        <v>90981</v>
      </c>
      <c r="B996" s="493" t="s">
        <v>5415</v>
      </c>
      <c r="C996" s="493" t="s">
        <v>3659</v>
      </c>
      <c r="D996" s="493" t="s">
        <v>3900</v>
      </c>
      <c r="E996" s="493" t="s">
        <v>3875</v>
      </c>
      <c r="F996" s="493" t="s">
        <v>6821</v>
      </c>
      <c r="G996" s="493" t="s">
        <v>8713</v>
      </c>
      <c r="H996" s="493" t="s">
        <v>7869</v>
      </c>
      <c r="I996" s="501" t="s">
        <v>5370</v>
      </c>
    </row>
    <row r="997" spans="1:9" ht="14.45">
      <c r="A997" s="493">
        <v>90982</v>
      </c>
      <c r="B997" s="493" t="s">
        <v>5417</v>
      </c>
      <c r="C997" s="493" t="s">
        <v>3659</v>
      </c>
      <c r="D997" s="493" t="s">
        <v>3900</v>
      </c>
      <c r="E997" s="493" t="s">
        <v>3875</v>
      </c>
      <c r="F997" s="493" t="s">
        <v>6821</v>
      </c>
      <c r="G997" s="493" t="s">
        <v>8714</v>
      </c>
      <c r="H997" s="493" t="s">
        <v>7869</v>
      </c>
      <c r="I997" s="501" t="s">
        <v>5370</v>
      </c>
    </row>
    <row r="998" spans="1:9" ht="14.45">
      <c r="A998" s="493">
        <v>91048</v>
      </c>
      <c r="B998" s="493" t="s">
        <v>2965</v>
      </c>
      <c r="C998" s="493" t="s">
        <v>3659</v>
      </c>
      <c r="D998" s="493" t="s">
        <v>2369</v>
      </c>
      <c r="E998" s="493" t="s">
        <v>6120</v>
      </c>
      <c r="F998" s="493" t="s">
        <v>6821</v>
      </c>
      <c r="G998" s="493" t="s">
        <v>8715</v>
      </c>
      <c r="H998" s="493" t="s">
        <v>7890</v>
      </c>
      <c r="I998" s="501" t="s">
        <v>7895</v>
      </c>
    </row>
    <row r="999" spans="1:9" ht="14.45">
      <c r="A999" s="493">
        <v>91049</v>
      </c>
      <c r="B999" s="493" t="s">
        <v>2975</v>
      </c>
      <c r="C999" s="493" t="s">
        <v>3659</v>
      </c>
      <c r="D999" s="493" t="s">
        <v>2369</v>
      </c>
      <c r="E999" s="493" t="s">
        <v>6120</v>
      </c>
      <c r="F999" s="493" t="s">
        <v>6821</v>
      </c>
      <c r="G999" s="493" t="s">
        <v>8716</v>
      </c>
      <c r="H999" s="493" t="s">
        <v>7902</v>
      </c>
      <c r="I999" s="501" t="s">
        <v>7895</v>
      </c>
    </row>
    <row r="1000" spans="1:9" ht="14.45">
      <c r="A1000" s="493">
        <v>91296</v>
      </c>
      <c r="B1000" s="493" t="s">
        <v>8717</v>
      </c>
      <c r="C1000" s="493" t="s">
        <v>3659</v>
      </c>
      <c r="D1000" s="493" t="s">
        <v>2369</v>
      </c>
      <c r="E1000" s="493" t="s">
        <v>47</v>
      </c>
      <c r="F1000" s="493" t="s">
        <v>6821</v>
      </c>
      <c r="G1000" s="493" t="s">
        <v>8718</v>
      </c>
      <c r="H1000" s="493" t="s">
        <v>7931</v>
      </c>
      <c r="I1000" s="501" t="s">
        <v>7932</v>
      </c>
    </row>
    <row r="1001" spans="1:9" ht="14.45">
      <c r="A1001" s="493">
        <v>91219</v>
      </c>
      <c r="B1001" s="493" t="s">
        <v>8719</v>
      </c>
      <c r="C1001" s="493" t="s">
        <v>3659</v>
      </c>
      <c r="D1001" s="493" t="s">
        <v>2369</v>
      </c>
      <c r="E1001" s="493" t="s">
        <v>47</v>
      </c>
      <c r="F1001" s="493" t="s">
        <v>6821</v>
      </c>
      <c r="G1001" s="493" t="s">
        <v>8720</v>
      </c>
      <c r="H1001" s="493" t="s">
        <v>7931</v>
      </c>
      <c r="I1001" s="501" t="s">
        <v>7932</v>
      </c>
    </row>
    <row r="1002" spans="1:9" ht="14.45">
      <c r="A1002" s="493">
        <v>91212</v>
      </c>
      <c r="B1002" s="493" t="s">
        <v>8721</v>
      </c>
      <c r="C1002" s="493" t="s">
        <v>3659</v>
      </c>
      <c r="D1002" s="493" t="s">
        <v>2369</v>
      </c>
      <c r="E1002" s="493" t="s">
        <v>7955</v>
      </c>
      <c r="F1002" s="493" t="s">
        <v>6821</v>
      </c>
      <c r="G1002" s="493" t="s">
        <v>8722</v>
      </c>
      <c r="H1002" s="493" t="s">
        <v>7957</v>
      </c>
      <c r="I1002" s="501" t="s">
        <v>7958</v>
      </c>
    </row>
    <row r="1003" spans="1:9" ht="14.45">
      <c r="A1003" s="493">
        <v>90869</v>
      </c>
      <c r="B1003" s="493" t="s">
        <v>3061</v>
      </c>
      <c r="C1003" s="493" t="s">
        <v>3659</v>
      </c>
      <c r="D1003" s="493" t="s">
        <v>2369</v>
      </c>
      <c r="E1003" s="493" t="s">
        <v>47</v>
      </c>
      <c r="F1003" s="493" t="s">
        <v>6821</v>
      </c>
      <c r="G1003" s="493" t="s">
        <v>8723</v>
      </c>
      <c r="H1003" s="493" t="s">
        <v>7968</v>
      </c>
      <c r="I1003" s="501" t="s">
        <v>8724</v>
      </c>
    </row>
    <row r="1004" spans="1:9" ht="14.45">
      <c r="A1004" s="493">
        <v>90870</v>
      </c>
      <c r="B1004" s="493" t="s">
        <v>3063</v>
      </c>
      <c r="C1004" s="493" t="s">
        <v>3659</v>
      </c>
      <c r="D1004" s="493" t="s">
        <v>2369</v>
      </c>
      <c r="E1004" s="493" t="s">
        <v>47</v>
      </c>
      <c r="F1004" s="493" t="s">
        <v>6821</v>
      </c>
      <c r="G1004" s="493" t="s">
        <v>8725</v>
      </c>
      <c r="H1004" s="493" t="s">
        <v>7968</v>
      </c>
      <c r="I1004" s="501" t="s">
        <v>8724</v>
      </c>
    </row>
    <row r="1005" spans="1:9" ht="14.45">
      <c r="A1005" s="493">
        <v>91050</v>
      </c>
      <c r="B1005" s="493" t="s">
        <v>8726</v>
      </c>
      <c r="C1005" s="493" t="s">
        <v>3659</v>
      </c>
      <c r="D1005" s="493" t="s">
        <v>2369</v>
      </c>
      <c r="E1005" s="493" t="s">
        <v>47</v>
      </c>
      <c r="F1005" s="493" t="s">
        <v>6821</v>
      </c>
      <c r="G1005" s="493" t="s">
        <v>8727</v>
      </c>
      <c r="H1005" s="493" t="s">
        <v>7987</v>
      </c>
      <c r="I1005" s="501" t="s">
        <v>7988</v>
      </c>
    </row>
    <row r="1006" spans="1:9" ht="14.45">
      <c r="A1006" s="493">
        <v>90333</v>
      </c>
      <c r="B1006" s="493" t="s">
        <v>8728</v>
      </c>
      <c r="C1006" s="493" t="s">
        <v>3659</v>
      </c>
      <c r="D1006" s="493" t="s">
        <v>2369</v>
      </c>
      <c r="E1006" s="493" t="s">
        <v>47</v>
      </c>
      <c r="F1006" s="493" t="s">
        <v>6821</v>
      </c>
      <c r="G1006" s="493" t="s">
        <v>8729</v>
      </c>
      <c r="H1006" s="493" t="s">
        <v>8007</v>
      </c>
      <c r="I1006" s="501" t="s">
        <v>8008</v>
      </c>
    </row>
    <row r="1007" spans="1:9" ht="14.45">
      <c r="A1007" s="493">
        <v>91218</v>
      </c>
      <c r="B1007" s="493" t="s">
        <v>8730</v>
      </c>
      <c r="C1007" s="493" t="s">
        <v>3659</v>
      </c>
      <c r="D1007" s="493" t="s">
        <v>2369</v>
      </c>
      <c r="E1007" s="493" t="s">
        <v>47</v>
      </c>
      <c r="F1007" s="493" t="s">
        <v>6821</v>
      </c>
      <c r="G1007" s="493" t="s">
        <v>8731</v>
      </c>
      <c r="H1007" s="493" t="s">
        <v>8019</v>
      </c>
      <c r="I1007" s="501" t="s">
        <v>7932</v>
      </c>
    </row>
    <row r="1008" spans="1:9" ht="14.45">
      <c r="A1008" s="493">
        <v>91144</v>
      </c>
      <c r="B1008" s="493" t="s">
        <v>8732</v>
      </c>
      <c r="C1008" s="493" t="s">
        <v>3659</v>
      </c>
      <c r="D1008" s="493" t="s">
        <v>4215</v>
      </c>
      <c r="E1008" s="493" t="s">
        <v>52</v>
      </c>
      <c r="F1008" s="493" t="s">
        <v>6821</v>
      </c>
      <c r="G1008" s="493" t="s">
        <v>8733</v>
      </c>
      <c r="H1008" s="493" t="s">
        <v>8039</v>
      </c>
      <c r="I1008" s="501" t="s">
        <v>8040</v>
      </c>
    </row>
    <row r="1009" spans="1:9" ht="14.45">
      <c r="A1009" s="493">
        <v>91231</v>
      </c>
      <c r="B1009" s="493" t="s">
        <v>8734</v>
      </c>
      <c r="C1009" s="493" t="s">
        <v>3659</v>
      </c>
      <c r="D1009" s="493" t="s">
        <v>4784</v>
      </c>
      <c r="E1009" s="493" t="s">
        <v>52</v>
      </c>
      <c r="F1009" s="493" t="s">
        <v>6821</v>
      </c>
      <c r="G1009" s="493" t="s">
        <v>8735</v>
      </c>
      <c r="H1009" s="493" t="s">
        <v>8060</v>
      </c>
      <c r="I1009" s="501" t="s">
        <v>8061</v>
      </c>
    </row>
    <row r="1010" spans="1:9" ht="14.45">
      <c r="A1010" s="493">
        <v>91175</v>
      </c>
      <c r="B1010" s="493" t="s">
        <v>8736</v>
      </c>
      <c r="C1010" s="493" t="s">
        <v>3659</v>
      </c>
      <c r="D1010" s="493" t="s">
        <v>2250</v>
      </c>
      <c r="E1010" s="493" t="s">
        <v>7843</v>
      </c>
      <c r="F1010" s="493" t="s">
        <v>6821</v>
      </c>
      <c r="G1010" s="493" t="s">
        <v>8737</v>
      </c>
      <c r="H1010" s="493" t="s">
        <v>8077</v>
      </c>
      <c r="I1010" s="501" t="s">
        <v>8078</v>
      </c>
    </row>
    <row r="1011" spans="1:9" ht="14.45">
      <c r="A1011" s="493">
        <v>91211</v>
      </c>
      <c r="B1011" s="493" t="s">
        <v>5639</v>
      </c>
      <c r="C1011" s="493" t="s">
        <v>3659</v>
      </c>
      <c r="D1011" s="493" t="s">
        <v>3918</v>
      </c>
      <c r="E1011" s="493" t="s">
        <v>3919</v>
      </c>
      <c r="F1011" s="493" t="s">
        <v>6906</v>
      </c>
      <c r="G1011" s="493" t="s">
        <v>8738</v>
      </c>
      <c r="H1011" s="493" t="s">
        <v>8157</v>
      </c>
      <c r="I1011" s="501" t="s">
        <v>7285</v>
      </c>
    </row>
    <row r="1012" spans="1:9" ht="14.45">
      <c r="A1012" s="493">
        <v>91210</v>
      </c>
      <c r="B1012" s="493" t="s">
        <v>5647</v>
      </c>
      <c r="C1012" s="493" t="s">
        <v>3659</v>
      </c>
      <c r="D1012" s="493" t="s">
        <v>3918</v>
      </c>
      <c r="E1012" s="493" t="s">
        <v>3919</v>
      </c>
      <c r="F1012" s="493" t="s">
        <v>6906</v>
      </c>
      <c r="G1012" s="493" t="s">
        <v>8739</v>
      </c>
      <c r="H1012" s="493" t="s">
        <v>8159</v>
      </c>
      <c r="I1012" s="501" t="s">
        <v>7285</v>
      </c>
    </row>
    <row r="1013" spans="1:9" ht="14.45">
      <c r="A1013" s="493">
        <v>91209</v>
      </c>
      <c r="B1013" s="493" t="s">
        <v>5626</v>
      </c>
      <c r="C1013" s="493" t="s">
        <v>3659</v>
      </c>
      <c r="D1013" s="493" t="s">
        <v>3918</v>
      </c>
      <c r="E1013" s="493" t="s">
        <v>3919</v>
      </c>
      <c r="F1013" s="493" t="s">
        <v>6906</v>
      </c>
      <c r="G1013" s="493" t="s">
        <v>8740</v>
      </c>
      <c r="H1013" s="493" t="s">
        <v>8163</v>
      </c>
      <c r="I1013" s="501" t="s">
        <v>7285</v>
      </c>
    </row>
    <row r="1014" spans="1:9" ht="14.45">
      <c r="A1014" s="493">
        <v>91062</v>
      </c>
      <c r="B1014" s="493" t="s">
        <v>8741</v>
      </c>
      <c r="C1014" s="493" t="s">
        <v>3659</v>
      </c>
      <c r="D1014" s="493" t="s">
        <v>3918</v>
      </c>
      <c r="E1014" s="493" t="s">
        <v>8071</v>
      </c>
      <c r="F1014" s="493" t="s">
        <v>6821</v>
      </c>
      <c r="G1014" s="493" t="s">
        <v>8742</v>
      </c>
      <c r="H1014" s="493" t="s">
        <v>8172</v>
      </c>
      <c r="I1014" s="501" t="s">
        <v>8176</v>
      </c>
    </row>
    <row r="1015" spans="1:9" ht="14.45">
      <c r="A1015" s="493">
        <v>91065</v>
      </c>
      <c r="B1015" s="493" t="s">
        <v>8743</v>
      </c>
      <c r="C1015" s="493" t="s">
        <v>3659</v>
      </c>
      <c r="D1015" s="493" t="s">
        <v>3918</v>
      </c>
      <c r="E1015" s="493" t="s">
        <v>8071</v>
      </c>
      <c r="F1015" s="493" t="s">
        <v>6821</v>
      </c>
      <c r="G1015" s="493" t="s">
        <v>8744</v>
      </c>
      <c r="H1015" s="493" t="s">
        <v>8172</v>
      </c>
      <c r="I1015" s="501" t="s">
        <v>8176</v>
      </c>
    </row>
    <row r="1016" spans="1:9" ht="14.45">
      <c r="A1016" s="493">
        <v>91066</v>
      </c>
      <c r="B1016" s="493" t="s">
        <v>8745</v>
      </c>
      <c r="C1016" s="493" t="s">
        <v>3659</v>
      </c>
      <c r="D1016" s="493" t="s">
        <v>3918</v>
      </c>
      <c r="E1016" s="493" t="s">
        <v>8071</v>
      </c>
      <c r="F1016" s="493" t="s">
        <v>6821</v>
      </c>
      <c r="G1016" s="493" t="s">
        <v>8746</v>
      </c>
      <c r="H1016" s="493" t="s">
        <v>8172</v>
      </c>
      <c r="I1016" s="501" t="s">
        <v>8176</v>
      </c>
    </row>
    <row r="1017" spans="1:9" ht="14.45">
      <c r="A1017" s="493">
        <v>91067</v>
      </c>
      <c r="B1017" s="493" t="s">
        <v>8747</v>
      </c>
      <c r="C1017" s="493" t="s">
        <v>3659</v>
      </c>
      <c r="D1017" s="493" t="s">
        <v>3918</v>
      </c>
      <c r="E1017" s="493" t="s">
        <v>8071</v>
      </c>
      <c r="F1017" s="493" t="s">
        <v>6821</v>
      </c>
      <c r="G1017" s="493" t="s">
        <v>8748</v>
      </c>
      <c r="H1017" s="493" t="s">
        <v>8172</v>
      </c>
      <c r="I1017" s="501" t="s">
        <v>8176</v>
      </c>
    </row>
    <row r="1018" spans="1:9" ht="14.45">
      <c r="A1018" s="493">
        <v>91148</v>
      </c>
      <c r="B1018" s="493" t="s">
        <v>8749</v>
      </c>
      <c r="C1018" s="493" t="s">
        <v>3659</v>
      </c>
      <c r="D1018" s="493" t="s">
        <v>3918</v>
      </c>
      <c r="E1018" s="493" t="s">
        <v>8071</v>
      </c>
      <c r="F1018" s="493" t="s">
        <v>6821</v>
      </c>
      <c r="G1018" s="493" t="s">
        <v>8750</v>
      </c>
      <c r="H1018" s="493" t="s">
        <v>8181</v>
      </c>
      <c r="I1018" s="501" t="s">
        <v>8176</v>
      </c>
    </row>
    <row r="1019" spans="1:9" ht="14.45">
      <c r="A1019" s="493">
        <v>91147</v>
      </c>
      <c r="B1019" s="493" t="s">
        <v>8751</v>
      </c>
      <c r="C1019" s="493" t="s">
        <v>3659</v>
      </c>
      <c r="D1019" s="493" t="s">
        <v>3918</v>
      </c>
      <c r="E1019" s="493" t="s">
        <v>8071</v>
      </c>
      <c r="F1019" s="493" t="s">
        <v>6821</v>
      </c>
      <c r="G1019" s="493" t="s">
        <v>8752</v>
      </c>
      <c r="H1019" s="493" t="s">
        <v>8181</v>
      </c>
      <c r="I1019" s="501" t="s">
        <v>8176</v>
      </c>
    </row>
    <row r="1020" spans="1:9" ht="14.45">
      <c r="A1020" s="493">
        <v>91064</v>
      </c>
      <c r="B1020" s="493" t="s">
        <v>8753</v>
      </c>
      <c r="C1020" s="493" t="s">
        <v>3659</v>
      </c>
      <c r="D1020" s="493" t="s">
        <v>3918</v>
      </c>
      <c r="E1020" s="493" t="s">
        <v>8071</v>
      </c>
      <c r="F1020" s="493" t="s">
        <v>6821</v>
      </c>
      <c r="G1020" s="493" t="s">
        <v>8754</v>
      </c>
      <c r="H1020" s="493" t="s">
        <v>8181</v>
      </c>
      <c r="I1020" s="501" t="s">
        <v>8176</v>
      </c>
    </row>
    <row r="1021" spans="1:9" ht="14.45">
      <c r="A1021" s="493">
        <v>91068</v>
      </c>
      <c r="B1021" s="493" t="s">
        <v>8755</v>
      </c>
      <c r="C1021" s="493" t="s">
        <v>3659</v>
      </c>
      <c r="D1021" s="493" t="s">
        <v>3918</v>
      </c>
      <c r="E1021" s="493" t="s">
        <v>8071</v>
      </c>
      <c r="F1021" s="493" t="s">
        <v>6821</v>
      </c>
      <c r="G1021" s="493" t="s">
        <v>8756</v>
      </c>
      <c r="H1021" s="493" t="s">
        <v>8186</v>
      </c>
      <c r="I1021" s="501" t="s">
        <v>8176</v>
      </c>
    </row>
    <row r="1022" spans="1:9" ht="14.45">
      <c r="A1022" s="493">
        <v>91449</v>
      </c>
      <c r="B1022" s="493" t="s">
        <v>8757</v>
      </c>
      <c r="C1022" s="493" t="s">
        <v>3674</v>
      </c>
      <c r="D1022" s="493" t="s">
        <v>3770</v>
      </c>
      <c r="E1022" s="493" t="s">
        <v>8199</v>
      </c>
      <c r="F1022" s="493" t="s">
        <v>6821</v>
      </c>
      <c r="G1022" s="493" t="s">
        <v>8758</v>
      </c>
      <c r="H1022" s="493" t="s">
        <v>8207</v>
      </c>
      <c r="I1022" s="501" t="s">
        <v>8208</v>
      </c>
    </row>
    <row r="1023" spans="1:9" ht="14.45">
      <c r="A1023" s="493">
        <v>91450</v>
      </c>
      <c r="B1023" s="493" t="s">
        <v>8759</v>
      </c>
      <c r="C1023" s="493" t="s">
        <v>3674</v>
      </c>
      <c r="D1023" s="493" t="s">
        <v>3770</v>
      </c>
      <c r="E1023" s="493" t="s">
        <v>8199</v>
      </c>
      <c r="F1023" s="493" t="s">
        <v>6821</v>
      </c>
      <c r="G1023" s="493" t="s">
        <v>8760</v>
      </c>
      <c r="H1023" s="493" t="s">
        <v>8207</v>
      </c>
      <c r="I1023" s="501" t="s">
        <v>8208</v>
      </c>
    </row>
    <row r="1024" spans="1:9" ht="14.45">
      <c r="A1024" s="493">
        <v>91327</v>
      </c>
      <c r="B1024" s="493" t="s">
        <v>8761</v>
      </c>
      <c r="C1024" s="493" t="s">
        <v>3659</v>
      </c>
      <c r="D1024" s="493" t="s">
        <v>3911</v>
      </c>
      <c r="E1024" s="493" t="s">
        <v>3719</v>
      </c>
      <c r="F1024" s="493" t="s">
        <v>6821</v>
      </c>
      <c r="G1024" s="493" t="s">
        <v>8762</v>
      </c>
      <c r="H1024" s="493" t="s">
        <v>8213</v>
      </c>
      <c r="I1024" s="501" t="s">
        <v>8214</v>
      </c>
    </row>
    <row r="1025" spans="1:9" ht="14.45">
      <c r="A1025" s="493">
        <v>91297</v>
      </c>
      <c r="B1025" s="493" t="s">
        <v>8763</v>
      </c>
      <c r="C1025" s="493" t="s">
        <v>3659</v>
      </c>
      <c r="D1025" s="493" t="s">
        <v>3911</v>
      </c>
      <c r="E1025" s="493" t="s">
        <v>3719</v>
      </c>
      <c r="F1025" s="493" t="s">
        <v>6821</v>
      </c>
      <c r="G1025" s="493" t="s">
        <v>8764</v>
      </c>
      <c r="H1025" s="493" t="s">
        <v>8213</v>
      </c>
      <c r="I1025" s="501" t="s">
        <v>8214</v>
      </c>
    </row>
    <row r="1026" spans="1:9" ht="14.45">
      <c r="A1026" s="493">
        <v>91119</v>
      </c>
      <c r="B1026" s="493" t="s">
        <v>8765</v>
      </c>
      <c r="C1026" s="493" t="s">
        <v>3659</v>
      </c>
      <c r="D1026" s="493" t="s">
        <v>3911</v>
      </c>
      <c r="E1026" s="493" t="s">
        <v>8261</v>
      </c>
      <c r="F1026" s="493" t="s">
        <v>6821</v>
      </c>
      <c r="G1026" s="493" t="s">
        <v>8766</v>
      </c>
      <c r="H1026" s="493" t="s">
        <v>8263</v>
      </c>
      <c r="I1026" s="501" t="s">
        <v>8264</v>
      </c>
    </row>
    <row r="1027" spans="1:9" ht="14.45">
      <c r="A1027" s="493">
        <v>91118</v>
      </c>
      <c r="B1027" s="493" t="s">
        <v>8767</v>
      </c>
      <c r="C1027" s="493" t="s">
        <v>3659</v>
      </c>
      <c r="D1027" s="493" t="s">
        <v>3911</v>
      </c>
      <c r="E1027" s="493" t="s">
        <v>8261</v>
      </c>
      <c r="F1027" s="493" t="s">
        <v>6821</v>
      </c>
      <c r="G1027" s="493" t="s">
        <v>8768</v>
      </c>
      <c r="H1027" s="493" t="s">
        <v>8263</v>
      </c>
      <c r="I1027" s="501" t="s">
        <v>8264</v>
      </c>
    </row>
    <row r="1028" spans="1:9" ht="14.45">
      <c r="A1028" s="493">
        <v>91029</v>
      </c>
      <c r="B1028" s="493" t="s">
        <v>8769</v>
      </c>
      <c r="C1028" s="493" t="s">
        <v>3659</v>
      </c>
      <c r="D1028" s="493" t="s">
        <v>3911</v>
      </c>
      <c r="E1028" s="493" t="s">
        <v>8770</v>
      </c>
      <c r="F1028" s="493" t="s">
        <v>6821</v>
      </c>
      <c r="G1028" s="493" t="s">
        <v>8771</v>
      </c>
      <c r="H1028" s="493" t="s">
        <v>8772</v>
      </c>
      <c r="I1028" s="501" t="s">
        <v>8773</v>
      </c>
    </row>
    <row r="1029" spans="1:9" ht="14.45">
      <c r="A1029" s="493">
        <v>91326</v>
      </c>
      <c r="B1029" s="493" t="s">
        <v>8774</v>
      </c>
      <c r="C1029" s="493" t="s">
        <v>3659</v>
      </c>
      <c r="D1029" s="493" t="s">
        <v>3911</v>
      </c>
      <c r="E1029" s="493" t="s">
        <v>8775</v>
      </c>
      <c r="F1029" s="493" t="s">
        <v>6821</v>
      </c>
      <c r="G1029" s="493" t="s">
        <v>8776</v>
      </c>
      <c r="H1029" s="493" t="s">
        <v>8213</v>
      </c>
      <c r="I1029" s="501" t="s">
        <v>8777</v>
      </c>
    </row>
    <row r="1030" spans="1:9" ht="14.45">
      <c r="A1030" s="493">
        <v>91016</v>
      </c>
      <c r="B1030" s="493" t="s">
        <v>3885</v>
      </c>
      <c r="C1030" s="493" t="s">
        <v>3674</v>
      </c>
      <c r="D1030" s="493" t="s">
        <v>2250</v>
      </c>
      <c r="E1030" s="493" t="s">
        <v>3875</v>
      </c>
      <c r="F1030" s="493" t="s">
        <v>6821</v>
      </c>
      <c r="G1030" s="493" t="s">
        <v>8778</v>
      </c>
      <c r="H1030" s="493" t="s">
        <v>6823</v>
      </c>
      <c r="I1030" s="501" t="s">
        <v>6824</v>
      </c>
    </row>
    <row r="1031" spans="1:9" ht="14.45">
      <c r="A1031" s="493">
        <v>91356</v>
      </c>
      <c r="B1031" s="493" t="s">
        <v>3747</v>
      </c>
      <c r="C1031" s="493" t="s">
        <v>3674</v>
      </c>
      <c r="D1031" s="493" t="s">
        <v>3718</v>
      </c>
      <c r="E1031" s="493" t="s">
        <v>3719</v>
      </c>
      <c r="F1031" s="493" t="s">
        <v>6821</v>
      </c>
      <c r="G1031" s="493" t="s">
        <v>8779</v>
      </c>
      <c r="H1031" s="493" t="s">
        <v>6823</v>
      </c>
      <c r="I1031" s="501" t="s">
        <v>6827</v>
      </c>
    </row>
    <row r="1032" spans="1:9" ht="14.45">
      <c r="A1032" s="493">
        <v>90984</v>
      </c>
      <c r="B1032" s="493" t="s">
        <v>3935</v>
      </c>
      <c r="C1032" s="493" t="s">
        <v>3659</v>
      </c>
      <c r="D1032" s="493" t="s">
        <v>3900</v>
      </c>
      <c r="E1032" s="493" t="s">
        <v>3875</v>
      </c>
      <c r="F1032" s="493" t="s">
        <v>6821</v>
      </c>
      <c r="G1032" s="493" t="s">
        <v>8780</v>
      </c>
      <c r="H1032" s="493" t="s">
        <v>6830</v>
      </c>
      <c r="I1032" s="501" t="s">
        <v>6831</v>
      </c>
    </row>
    <row r="1033" spans="1:9" ht="14.45">
      <c r="A1033" s="493">
        <v>91357</v>
      </c>
      <c r="B1033" s="493" t="s">
        <v>3728</v>
      </c>
      <c r="C1033" s="493" t="s">
        <v>3659</v>
      </c>
      <c r="D1033" s="493" t="s">
        <v>3718</v>
      </c>
      <c r="E1033" s="493" t="s">
        <v>3719</v>
      </c>
      <c r="F1033" s="493" t="s">
        <v>6821</v>
      </c>
      <c r="G1033" s="493" t="s">
        <v>8781</v>
      </c>
      <c r="H1033" s="493" t="s">
        <v>6830</v>
      </c>
      <c r="I1033" s="501" t="s">
        <v>6827</v>
      </c>
    </row>
    <row r="1034" spans="1:9" ht="14.45">
      <c r="A1034" s="493">
        <v>91390</v>
      </c>
      <c r="B1034" s="493" t="s">
        <v>3968</v>
      </c>
      <c r="C1034" s="493" t="s">
        <v>3659</v>
      </c>
      <c r="D1034" s="493" t="s">
        <v>3900</v>
      </c>
      <c r="E1034" s="493" t="s">
        <v>3875</v>
      </c>
      <c r="F1034" s="493" t="s">
        <v>6821</v>
      </c>
      <c r="G1034" s="493" t="s">
        <v>8782</v>
      </c>
      <c r="H1034" s="493" t="s">
        <v>6836</v>
      </c>
      <c r="I1034" s="501" t="s">
        <v>6837</v>
      </c>
    </row>
    <row r="1035" spans="1:9" ht="14.45">
      <c r="A1035" s="493">
        <v>91358</v>
      </c>
      <c r="B1035" s="493" t="s">
        <v>5514</v>
      </c>
      <c r="C1035" s="493" t="s">
        <v>3659</v>
      </c>
      <c r="D1035" s="493" t="s">
        <v>3718</v>
      </c>
      <c r="E1035" s="493" t="s">
        <v>3719</v>
      </c>
      <c r="F1035" s="493" t="s">
        <v>6821</v>
      </c>
      <c r="G1035" s="493" t="s">
        <v>8783</v>
      </c>
      <c r="H1035" s="493" t="s">
        <v>6836</v>
      </c>
      <c r="I1035" s="501" t="s">
        <v>6827</v>
      </c>
    </row>
    <row r="1036" spans="1:9" ht="14.45">
      <c r="A1036" s="493">
        <v>90985</v>
      </c>
      <c r="B1036" s="493" t="s">
        <v>3959</v>
      </c>
      <c r="C1036" s="493" t="s">
        <v>3659</v>
      </c>
      <c r="D1036" s="493" t="s">
        <v>3900</v>
      </c>
      <c r="E1036" s="493" t="s">
        <v>3875</v>
      </c>
      <c r="F1036" s="493" t="s">
        <v>6821</v>
      </c>
      <c r="G1036" s="493" t="s">
        <v>8784</v>
      </c>
      <c r="H1036" s="493" t="s">
        <v>6842</v>
      </c>
      <c r="I1036" s="501" t="s">
        <v>6843</v>
      </c>
    </row>
    <row r="1037" spans="1:9" ht="14.45">
      <c r="A1037" s="493">
        <v>91280</v>
      </c>
      <c r="B1037" s="493" t="s">
        <v>5512</v>
      </c>
      <c r="C1037" s="493" t="s">
        <v>3659</v>
      </c>
      <c r="D1037" s="493" t="s">
        <v>3718</v>
      </c>
      <c r="E1037" s="493" t="s">
        <v>3719</v>
      </c>
      <c r="F1037" s="493" t="s">
        <v>6821</v>
      </c>
      <c r="G1037" s="493" t="s">
        <v>8785</v>
      </c>
      <c r="H1037" s="493" t="s">
        <v>6842</v>
      </c>
      <c r="I1037" s="501" t="s">
        <v>6845</v>
      </c>
    </row>
    <row r="1038" spans="1:9" ht="14.45">
      <c r="A1038" s="493">
        <v>90986</v>
      </c>
      <c r="B1038" s="493" t="s">
        <v>3961</v>
      </c>
      <c r="C1038" s="493" t="s">
        <v>3659</v>
      </c>
      <c r="D1038" s="493" t="s">
        <v>3900</v>
      </c>
      <c r="E1038" s="493" t="s">
        <v>3875</v>
      </c>
      <c r="F1038" s="493" t="s">
        <v>6821</v>
      </c>
      <c r="G1038" s="493" t="s">
        <v>8786</v>
      </c>
      <c r="H1038" s="493" t="s">
        <v>6847</v>
      </c>
      <c r="I1038" s="501" t="s">
        <v>6848</v>
      </c>
    </row>
    <row r="1039" spans="1:9" ht="14.45">
      <c r="A1039" s="493">
        <v>91287</v>
      </c>
      <c r="B1039" s="493" t="s">
        <v>3764</v>
      </c>
      <c r="C1039" s="493" t="s">
        <v>3659</v>
      </c>
      <c r="D1039" s="493" t="s">
        <v>3718</v>
      </c>
      <c r="E1039" s="493" t="s">
        <v>3719</v>
      </c>
      <c r="F1039" s="493" t="s">
        <v>6821</v>
      </c>
      <c r="G1039" s="493" t="s">
        <v>8787</v>
      </c>
      <c r="H1039" s="493" t="s">
        <v>6847</v>
      </c>
      <c r="I1039" s="501" t="s">
        <v>6851</v>
      </c>
    </row>
    <row r="1040" spans="1:9" ht="14.45">
      <c r="A1040" s="493">
        <v>90987</v>
      </c>
      <c r="B1040" s="493" t="s">
        <v>3963</v>
      </c>
      <c r="C1040" s="493" t="s">
        <v>3659</v>
      </c>
      <c r="D1040" s="493" t="s">
        <v>3900</v>
      </c>
      <c r="E1040" s="493" t="s">
        <v>3875</v>
      </c>
      <c r="F1040" s="493" t="s">
        <v>6821</v>
      </c>
      <c r="G1040" s="493" t="s">
        <v>8788</v>
      </c>
      <c r="H1040" s="493" t="s">
        <v>6854</v>
      </c>
      <c r="I1040" s="501" t="s">
        <v>6855</v>
      </c>
    </row>
    <row r="1041" spans="1:9" ht="14.45">
      <c r="A1041" s="493">
        <v>91288</v>
      </c>
      <c r="B1041" s="493" t="s">
        <v>3758</v>
      </c>
      <c r="C1041" s="493" t="s">
        <v>3659</v>
      </c>
      <c r="D1041" s="493" t="s">
        <v>3718</v>
      </c>
      <c r="E1041" s="493" t="s">
        <v>3719</v>
      </c>
      <c r="F1041" s="493" t="s">
        <v>6821</v>
      </c>
      <c r="G1041" s="493" t="s">
        <v>8789</v>
      </c>
      <c r="H1041" s="493" t="s">
        <v>6854</v>
      </c>
      <c r="I1041" s="501" t="s">
        <v>6857</v>
      </c>
    </row>
    <row r="1042" spans="1:9" ht="14.45">
      <c r="A1042" s="493">
        <v>91281</v>
      </c>
      <c r="B1042" s="493" t="s">
        <v>3857</v>
      </c>
      <c r="C1042" s="493" t="s">
        <v>3659</v>
      </c>
      <c r="D1042" s="493" t="s">
        <v>3718</v>
      </c>
      <c r="E1042" s="493" t="s">
        <v>3719</v>
      </c>
      <c r="F1042" s="493" t="s">
        <v>6821</v>
      </c>
      <c r="G1042" s="493" t="s">
        <v>8790</v>
      </c>
      <c r="H1042" s="493" t="s">
        <v>8347</v>
      </c>
      <c r="I1042" s="501" t="s">
        <v>6863</v>
      </c>
    </row>
    <row r="1043" spans="1:9" ht="14.45">
      <c r="A1043" s="493">
        <v>90988</v>
      </c>
      <c r="B1043" s="493" t="s">
        <v>5115</v>
      </c>
      <c r="C1043" s="493" t="s">
        <v>3659</v>
      </c>
      <c r="D1043" s="493" t="s">
        <v>3718</v>
      </c>
      <c r="E1043" s="493" t="s">
        <v>3919</v>
      </c>
      <c r="F1043" s="493" t="s">
        <v>6821</v>
      </c>
      <c r="G1043" s="493" t="s">
        <v>8791</v>
      </c>
      <c r="H1043" s="493" t="s">
        <v>6867</v>
      </c>
      <c r="I1043" s="501" t="s">
        <v>6868</v>
      </c>
    </row>
    <row r="1044" spans="1:9" ht="14.45">
      <c r="A1044" s="493">
        <v>91279</v>
      </c>
      <c r="B1044" s="493" t="s">
        <v>5118</v>
      </c>
      <c r="C1044" s="493" t="s">
        <v>3659</v>
      </c>
      <c r="D1044" s="493" t="s">
        <v>3718</v>
      </c>
      <c r="E1044" s="493" t="s">
        <v>3719</v>
      </c>
      <c r="F1044" s="493" t="s">
        <v>6821</v>
      </c>
      <c r="G1044" s="493" t="s">
        <v>8792</v>
      </c>
      <c r="H1044" s="493" t="s">
        <v>6884</v>
      </c>
      <c r="I1044" s="501" t="s">
        <v>6885</v>
      </c>
    </row>
    <row r="1045" spans="1:9" ht="14.45">
      <c r="A1045" s="493">
        <v>91242</v>
      </c>
      <c r="B1045" s="493" t="s">
        <v>5007</v>
      </c>
      <c r="C1045" s="493" t="s">
        <v>3674</v>
      </c>
      <c r="D1045" s="493" t="s">
        <v>4102</v>
      </c>
      <c r="E1045" s="493" t="s">
        <v>846</v>
      </c>
      <c r="F1045" s="493" t="s">
        <v>6821</v>
      </c>
      <c r="G1045" s="493" t="s">
        <v>8793</v>
      </c>
      <c r="H1045" s="493" t="s">
        <v>6895</v>
      </c>
      <c r="I1045" s="501" t="s">
        <v>6896</v>
      </c>
    </row>
    <row r="1046" spans="1:9" ht="14.45">
      <c r="A1046" s="493">
        <v>91240</v>
      </c>
      <c r="B1046" s="493" t="s">
        <v>5002</v>
      </c>
      <c r="C1046" s="493" t="s">
        <v>3659</v>
      </c>
      <c r="D1046" s="493" t="s">
        <v>4102</v>
      </c>
      <c r="E1046" s="493" t="s">
        <v>846</v>
      </c>
      <c r="F1046" s="493" t="s">
        <v>6821</v>
      </c>
      <c r="G1046" s="493" t="s">
        <v>8794</v>
      </c>
      <c r="H1046" s="493" t="s">
        <v>6899</v>
      </c>
      <c r="I1046" s="501" t="s">
        <v>6900</v>
      </c>
    </row>
    <row r="1047" spans="1:9" ht="14.45">
      <c r="A1047" s="493">
        <v>90997</v>
      </c>
      <c r="B1047" s="493" t="s">
        <v>5029</v>
      </c>
      <c r="C1047" s="493" t="s">
        <v>3659</v>
      </c>
      <c r="D1047" s="493" t="s">
        <v>3665</v>
      </c>
      <c r="E1047" s="493" t="s">
        <v>846</v>
      </c>
      <c r="F1047" s="493" t="s">
        <v>6821</v>
      </c>
      <c r="G1047" s="493" t="s">
        <v>8795</v>
      </c>
      <c r="H1047" s="493" t="s">
        <v>6903</v>
      </c>
      <c r="I1047" s="501" t="s">
        <v>6904</v>
      </c>
    </row>
    <row r="1048" spans="1:9" ht="14.45">
      <c r="A1048" s="493">
        <v>91082</v>
      </c>
      <c r="B1048" s="493" t="s">
        <v>3134</v>
      </c>
      <c r="C1048" s="493" t="s">
        <v>3659</v>
      </c>
      <c r="D1048" s="493" t="s">
        <v>3770</v>
      </c>
      <c r="E1048" s="493" t="s">
        <v>4309</v>
      </c>
      <c r="F1048" s="493" t="s">
        <v>6906</v>
      </c>
      <c r="G1048" s="493" t="s">
        <v>8796</v>
      </c>
      <c r="H1048" s="493" t="s">
        <v>6908</v>
      </c>
      <c r="I1048" s="501" t="s">
        <v>6909</v>
      </c>
    </row>
    <row r="1049" spans="1:9" ht="14.45">
      <c r="A1049" s="493">
        <v>91139</v>
      </c>
      <c r="B1049" s="493" t="s">
        <v>4966</v>
      </c>
      <c r="C1049" s="493" t="s">
        <v>3659</v>
      </c>
      <c r="D1049" s="493" t="s">
        <v>3770</v>
      </c>
      <c r="E1049" s="493" t="s">
        <v>3719</v>
      </c>
      <c r="F1049" s="493" t="s">
        <v>6906</v>
      </c>
      <c r="G1049" s="493" t="s">
        <v>8797</v>
      </c>
      <c r="H1049" s="493" t="s">
        <v>6914</v>
      </c>
      <c r="I1049" s="501" t="s">
        <v>6915</v>
      </c>
    </row>
    <row r="1050" spans="1:9" ht="14.45">
      <c r="A1050" s="493">
        <v>91140</v>
      </c>
      <c r="B1050" s="493" t="s">
        <v>4968</v>
      </c>
      <c r="C1050" s="493" t="s">
        <v>3659</v>
      </c>
      <c r="D1050" s="493" t="s">
        <v>3770</v>
      </c>
      <c r="E1050" s="493" t="s">
        <v>3719</v>
      </c>
      <c r="F1050" s="493" t="s">
        <v>6906</v>
      </c>
      <c r="G1050" s="493" t="s">
        <v>8798</v>
      </c>
      <c r="H1050" s="493" t="s">
        <v>6920</v>
      </c>
      <c r="I1050" s="501" t="s">
        <v>6915</v>
      </c>
    </row>
    <row r="1051" spans="1:9" ht="14.45">
      <c r="A1051" s="493">
        <v>91425</v>
      </c>
      <c r="B1051" s="493" t="s">
        <v>3283</v>
      </c>
      <c r="C1051" s="493" t="s">
        <v>3659</v>
      </c>
      <c r="D1051" s="493" t="s">
        <v>3828</v>
      </c>
      <c r="E1051" s="493" t="s">
        <v>3666</v>
      </c>
      <c r="F1051" s="493" t="s">
        <v>6821</v>
      </c>
      <c r="G1051" s="493" t="s">
        <v>8799</v>
      </c>
      <c r="H1051" s="493" t="s">
        <v>6938</v>
      </c>
      <c r="I1051" s="501" t="s">
        <v>8800</v>
      </c>
    </row>
    <row r="1052" spans="1:9" ht="14.45">
      <c r="A1052" s="493">
        <v>91395</v>
      </c>
      <c r="B1052" s="493" t="s">
        <v>5362</v>
      </c>
      <c r="C1052" s="493" t="s">
        <v>3659</v>
      </c>
      <c r="D1052" s="493" t="s">
        <v>3828</v>
      </c>
      <c r="E1052" s="493" t="s">
        <v>3719</v>
      </c>
      <c r="F1052" s="493" t="s">
        <v>6821</v>
      </c>
      <c r="G1052" s="493" t="s">
        <v>8801</v>
      </c>
      <c r="H1052" s="493" t="s">
        <v>6941</v>
      </c>
      <c r="I1052" s="501" t="s">
        <v>6942</v>
      </c>
    </row>
    <row r="1053" spans="1:9" ht="14.45">
      <c r="A1053" s="493">
        <v>91391</v>
      </c>
      <c r="B1053" s="493" t="s">
        <v>2993</v>
      </c>
      <c r="C1053" s="493" t="s">
        <v>3659</v>
      </c>
      <c r="D1053" s="493" t="s">
        <v>3828</v>
      </c>
      <c r="E1053" s="493" t="s">
        <v>6120</v>
      </c>
      <c r="F1053" s="493" t="s">
        <v>6821</v>
      </c>
      <c r="G1053" s="493" t="s">
        <v>8802</v>
      </c>
      <c r="H1053" s="493" t="s">
        <v>6948</v>
      </c>
      <c r="I1053" s="501" t="s">
        <v>6949</v>
      </c>
    </row>
    <row r="1054" spans="1:9" ht="14.45">
      <c r="A1054" s="493">
        <v>91300</v>
      </c>
      <c r="B1054" s="493" t="s">
        <v>3311</v>
      </c>
      <c r="C1054" s="493" t="s">
        <v>3659</v>
      </c>
      <c r="D1054" s="493" t="s">
        <v>3828</v>
      </c>
      <c r="E1054" s="493" t="s">
        <v>3666</v>
      </c>
      <c r="F1054" s="493" t="s">
        <v>6821</v>
      </c>
      <c r="G1054" s="493" t="s">
        <v>8803</v>
      </c>
      <c r="H1054" s="493" t="s">
        <v>6955</v>
      </c>
      <c r="I1054" s="501" t="s">
        <v>6956</v>
      </c>
    </row>
    <row r="1055" spans="1:9" ht="14.45">
      <c r="A1055" s="493">
        <v>91233</v>
      </c>
      <c r="B1055" s="493" t="s">
        <v>5033</v>
      </c>
      <c r="C1055" s="493" t="s">
        <v>3659</v>
      </c>
      <c r="D1055" s="493" t="s">
        <v>3665</v>
      </c>
      <c r="E1055" s="493" t="s">
        <v>846</v>
      </c>
      <c r="F1055" s="493" t="s">
        <v>6821</v>
      </c>
      <c r="G1055" s="493" t="s">
        <v>8804</v>
      </c>
      <c r="H1055" s="493" t="s">
        <v>6961</v>
      </c>
      <c r="I1055" s="501" t="s">
        <v>6962</v>
      </c>
    </row>
    <row r="1056" spans="1:9" ht="14.45">
      <c r="A1056" s="493">
        <v>91426</v>
      </c>
      <c r="B1056" s="493" t="s">
        <v>3239</v>
      </c>
      <c r="C1056" s="493" t="s">
        <v>3659</v>
      </c>
      <c r="D1056" s="493" t="s">
        <v>3665</v>
      </c>
      <c r="E1056" s="493" t="s">
        <v>3666</v>
      </c>
      <c r="F1056" s="493" t="s">
        <v>6821</v>
      </c>
      <c r="G1056" s="493" t="s">
        <v>8805</v>
      </c>
      <c r="H1056" s="493" t="s">
        <v>6975</v>
      </c>
      <c r="I1056" s="501" t="s">
        <v>8806</v>
      </c>
    </row>
    <row r="1057" spans="1:9" ht="14.45">
      <c r="A1057" s="493">
        <v>90998</v>
      </c>
      <c r="B1057" s="493" t="s">
        <v>3224</v>
      </c>
      <c r="C1057" s="493" t="s">
        <v>3659</v>
      </c>
      <c r="D1057" s="493" t="s">
        <v>3665</v>
      </c>
      <c r="E1057" s="493" t="s">
        <v>3666</v>
      </c>
      <c r="F1057" s="493" t="s">
        <v>6821</v>
      </c>
      <c r="G1057" s="493" t="s">
        <v>8807</v>
      </c>
      <c r="H1057" s="493" t="s">
        <v>6986</v>
      </c>
      <c r="I1057" s="501" t="s">
        <v>6976</v>
      </c>
    </row>
    <row r="1058" spans="1:9" ht="14.45">
      <c r="A1058" s="493">
        <v>91302</v>
      </c>
      <c r="B1058" s="493" t="s">
        <v>3226</v>
      </c>
      <c r="C1058" s="493" t="s">
        <v>3659</v>
      </c>
      <c r="D1058" s="493" t="s">
        <v>3665</v>
      </c>
      <c r="E1058" s="493" t="s">
        <v>3666</v>
      </c>
      <c r="F1058" s="493" t="s">
        <v>6821</v>
      </c>
      <c r="G1058" s="493" t="s">
        <v>8808</v>
      </c>
      <c r="H1058" s="493" t="s">
        <v>6998</v>
      </c>
      <c r="I1058" s="501" t="s">
        <v>6976</v>
      </c>
    </row>
    <row r="1059" spans="1:9" ht="14.45">
      <c r="A1059" s="493">
        <v>90996</v>
      </c>
      <c r="B1059" s="493" t="s">
        <v>3258</v>
      </c>
      <c r="C1059" s="493" t="s">
        <v>3659</v>
      </c>
      <c r="D1059" s="493" t="s">
        <v>3828</v>
      </c>
      <c r="E1059" s="493" t="s">
        <v>3666</v>
      </c>
      <c r="F1059" s="493" t="s">
        <v>6821</v>
      </c>
      <c r="G1059" s="493" t="s">
        <v>8809</v>
      </c>
      <c r="H1059" s="493" t="s">
        <v>7000</v>
      </c>
      <c r="I1059" s="501" t="s">
        <v>7001</v>
      </c>
    </row>
    <row r="1060" spans="1:9" ht="14.45">
      <c r="A1060" s="493">
        <v>91301</v>
      </c>
      <c r="B1060" s="493" t="s">
        <v>3266</v>
      </c>
      <c r="C1060" s="493" t="s">
        <v>3659</v>
      </c>
      <c r="D1060" s="493" t="s">
        <v>3828</v>
      </c>
      <c r="E1060" s="493" t="s">
        <v>3666</v>
      </c>
      <c r="F1060" s="493" t="s">
        <v>6821</v>
      </c>
      <c r="G1060" s="493" t="s">
        <v>8810</v>
      </c>
      <c r="H1060" s="493" t="s">
        <v>7003</v>
      </c>
      <c r="I1060" s="501" t="s">
        <v>7004</v>
      </c>
    </row>
    <row r="1061" spans="1:9" ht="14.45">
      <c r="A1061" s="493">
        <v>91298</v>
      </c>
      <c r="B1061" s="493" t="s">
        <v>3228</v>
      </c>
      <c r="C1061" s="493" t="s">
        <v>3659</v>
      </c>
      <c r="D1061" s="493" t="s">
        <v>3665</v>
      </c>
      <c r="E1061" s="493" t="s">
        <v>3666</v>
      </c>
      <c r="F1061" s="493" t="s">
        <v>6821</v>
      </c>
      <c r="G1061" s="493" t="s">
        <v>8811</v>
      </c>
      <c r="H1061" s="493" t="s">
        <v>7010</v>
      </c>
      <c r="I1061" s="501" t="s">
        <v>7008</v>
      </c>
    </row>
    <row r="1062" spans="1:9" ht="14.45">
      <c r="A1062" s="493">
        <v>91422</v>
      </c>
      <c r="B1062" s="493" t="s">
        <v>5021</v>
      </c>
      <c r="C1062" s="493" t="s">
        <v>3659</v>
      </c>
      <c r="D1062" s="493" t="s">
        <v>3665</v>
      </c>
      <c r="E1062" s="493" t="s">
        <v>3719</v>
      </c>
      <c r="F1062" s="493" t="s">
        <v>6821</v>
      </c>
      <c r="G1062" s="493" t="s">
        <v>8812</v>
      </c>
      <c r="H1062" s="493" t="s">
        <v>7012</v>
      </c>
      <c r="I1062" s="501" t="s">
        <v>7013</v>
      </c>
    </row>
    <row r="1063" spans="1:9" ht="14.45">
      <c r="A1063" s="493">
        <v>91392</v>
      </c>
      <c r="B1063" s="493" t="s">
        <v>2985</v>
      </c>
      <c r="C1063" s="493" t="s">
        <v>3659</v>
      </c>
      <c r="D1063" s="493" t="s">
        <v>3828</v>
      </c>
      <c r="E1063" s="493" t="s">
        <v>6120</v>
      </c>
      <c r="F1063" s="493" t="s">
        <v>6821</v>
      </c>
      <c r="G1063" s="493" t="s">
        <v>8813</v>
      </c>
      <c r="H1063" s="493" t="s">
        <v>7016</v>
      </c>
      <c r="I1063" s="501" t="s">
        <v>6953</v>
      </c>
    </row>
    <row r="1064" spans="1:9" ht="14.45">
      <c r="A1064" s="493">
        <v>90993</v>
      </c>
      <c r="B1064" s="493" t="s">
        <v>3188</v>
      </c>
      <c r="C1064" s="493" t="s">
        <v>3659</v>
      </c>
      <c r="D1064" s="493" t="s">
        <v>3665</v>
      </c>
      <c r="E1064" s="493" t="s">
        <v>3666</v>
      </c>
      <c r="F1064" s="493" t="s">
        <v>6821</v>
      </c>
      <c r="G1064" s="493" t="s">
        <v>8814</v>
      </c>
      <c r="H1064" s="493" t="s">
        <v>7022</v>
      </c>
      <c r="I1064" s="501" t="s">
        <v>7023</v>
      </c>
    </row>
    <row r="1065" spans="1:9" ht="14.45">
      <c r="A1065" s="493">
        <v>91299</v>
      </c>
      <c r="B1065" s="493" t="s">
        <v>3530</v>
      </c>
      <c r="C1065" s="493" t="s">
        <v>3659</v>
      </c>
      <c r="D1065" s="493" t="s">
        <v>3828</v>
      </c>
      <c r="E1065" s="493" t="s">
        <v>4444</v>
      </c>
      <c r="F1065" s="493" t="s">
        <v>6821</v>
      </c>
      <c r="G1065" s="493" t="s">
        <v>8815</v>
      </c>
      <c r="H1065" s="493" t="s">
        <v>7026</v>
      </c>
      <c r="I1065" s="501" t="s">
        <v>7027</v>
      </c>
    </row>
    <row r="1066" spans="1:9" ht="14.45">
      <c r="A1066" s="493">
        <v>91090</v>
      </c>
      <c r="B1066" s="493" t="s">
        <v>5061</v>
      </c>
      <c r="C1066" s="493" t="s">
        <v>3659</v>
      </c>
      <c r="D1066" s="493" t="s">
        <v>3711</v>
      </c>
      <c r="E1066" s="493" t="s">
        <v>3719</v>
      </c>
      <c r="F1066" s="493" t="s">
        <v>6821</v>
      </c>
      <c r="G1066" s="493" t="s">
        <v>8816</v>
      </c>
      <c r="H1066" s="493" t="s">
        <v>7075</v>
      </c>
      <c r="I1066" s="501" t="s">
        <v>7067</v>
      </c>
    </row>
    <row r="1067" spans="1:9" ht="14.45">
      <c r="A1067" s="493">
        <v>91089</v>
      </c>
      <c r="B1067" s="493" t="s">
        <v>5059</v>
      </c>
      <c r="C1067" s="493" t="s">
        <v>3659</v>
      </c>
      <c r="D1067" s="493" t="s">
        <v>3711</v>
      </c>
      <c r="E1067" s="493" t="s">
        <v>3719</v>
      </c>
      <c r="F1067" s="493" t="s">
        <v>6821</v>
      </c>
      <c r="G1067" s="493" t="s">
        <v>8817</v>
      </c>
      <c r="H1067" s="493" t="s">
        <v>7077</v>
      </c>
      <c r="I1067" s="501" t="s">
        <v>7067</v>
      </c>
    </row>
    <row r="1068" spans="1:9" ht="14.45">
      <c r="A1068" s="493">
        <v>91099</v>
      </c>
      <c r="B1068" s="493" t="s">
        <v>5077</v>
      </c>
      <c r="C1068" s="493" t="s">
        <v>3659</v>
      </c>
      <c r="D1068" s="493" t="s">
        <v>3711</v>
      </c>
      <c r="E1068" s="493" t="s">
        <v>3719</v>
      </c>
      <c r="F1068" s="493" t="s">
        <v>6821</v>
      </c>
      <c r="G1068" s="493" t="s">
        <v>8818</v>
      </c>
      <c r="H1068" s="493" t="s">
        <v>7087</v>
      </c>
      <c r="I1068" s="501" t="s">
        <v>7083</v>
      </c>
    </row>
    <row r="1069" spans="1:9" ht="14.45">
      <c r="A1069" s="493">
        <v>90999</v>
      </c>
      <c r="B1069" s="493" t="s">
        <v>3271</v>
      </c>
      <c r="C1069" s="493" t="s">
        <v>3659</v>
      </c>
      <c r="D1069" s="493" t="s">
        <v>3711</v>
      </c>
      <c r="E1069" s="493" t="s">
        <v>3666</v>
      </c>
      <c r="F1069" s="493" t="s">
        <v>6821</v>
      </c>
      <c r="G1069" s="493" t="s">
        <v>8819</v>
      </c>
      <c r="H1069" s="493" t="s">
        <v>7090</v>
      </c>
      <c r="I1069" s="501" t="s">
        <v>7091</v>
      </c>
    </row>
    <row r="1070" spans="1:9" ht="14.45">
      <c r="A1070" s="493">
        <v>91393</v>
      </c>
      <c r="B1070" s="493" t="s">
        <v>5091</v>
      </c>
      <c r="C1070" s="493" t="s">
        <v>3659</v>
      </c>
      <c r="D1070" s="493" t="s">
        <v>3711</v>
      </c>
      <c r="E1070" s="493" t="s">
        <v>846</v>
      </c>
      <c r="F1070" s="493" t="s">
        <v>6821</v>
      </c>
      <c r="G1070" s="493" t="s">
        <v>8820</v>
      </c>
      <c r="H1070" s="493" t="s">
        <v>7108</v>
      </c>
      <c r="I1070" s="501" t="s">
        <v>7109</v>
      </c>
    </row>
    <row r="1071" spans="1:9" ht="14.45">
      <c r="A1071" s="493">
        <v>90995</v>
      </c>
      <c r="B1071" s="493" t="s">
        <v>3254</v>
      </c>
      <c r="C1071" s="493" t="s">
        <v>3659</v>
      </c>
      <c r="D1071" s="493" t="s">
        <v>3711</v>
      </c>
      <c r="E1071" s="493" t="s">
        <v>3666</v>
      </c>
      <c r="F1071" s="493" t="s">
        <v>6821</v>
      </c>
      <c r="G1071" s="493" t="s">
        <v>8821</v>
      </c>
      <c r="H1071" s="493" t="s">
        <v>7112</v>
      </c>
      <c r="I1071" s="501" t="s">
        <v>7113</v>
      </c>
    </row>
    <row r="1072" spans="1:9" ht="14.45">
      <c r="A1072" s="493">
        <v>91235</v>
      </c>
      <c r="B1072" s="493" t="s">
        <v>5083</v>
      </c>
      <c r="C1072" s="493" t="s">
        <v>3659</v>
      </c>
      <c r="D1072" s="493" t="s">
        <v>3711</v>
      </c>
      <c r="E1072" s="493" t="s">
        <v>846</v>
      </c>
      <c r="F1072" s="493" t="s">
        <v>6821</v>
      </c>
      <c r="G1072" s="493" t="s">
        <v>8822</v>
      </c>
      <c r="H1072" s="493" t="s">
        <v>7132</v>
      </c>
      <c r="I1072" s="501" t="s">
        <v>6927</v>
      </c>
    </row>
    <row r="1073" spans="1:9" ht="14.45">
      <c r="A1073" s="493">
        <v>91441</v>
      </c>
      <c r="B1073" s="493" t="s">
        <v>5852</v>
      </c>
      <c r="C1073" s="493" t="s">
        <v>3659</v>
      </c>
      <c r="D1073" s="493" t="s">
        <v>3828</v>
      </c>
      <c r="E1073" s="493" t="s">
        <v>4444</v>
      </c>
      <c r="F1073" s="493" t="s">
        <v>6821</v>
      </c>
      <c r="G1073" s="493" t="s">
        <v>8823</v>
      </c>
      <c r="H1073" s="493" t="s">
        <v>7135</v>
      </c>
      <c r="I1073" s="501" t="s">
        <v>7136</v>
      </c>
    </row>
    <row r="1074" spans="1:9" ht="14.45">
      <c r="A1074" s="493">
        <v>91079</v>
      </c>
      <c r="B1074" s="493" t="s">
        <v>4902</v>
      </c>
      <c r="C1074" s="493" t="s">
        <v>3659</v>
      </c>
      <c r="D1074" s="493" t="s">
        <v>3770</v>
      </c>
      <c r="E1074" s="493" t="s">
        <v>4309</v>
      </c>
      <c r="F1074" s="493" t="s">
        <v>6906</v>
      </c>
      <c r="G1074" s="493" t="s">
        <v>8824</v>
      </c>
      <c r="H1074" s="493" t="s">
        <v>7152</v>
      </c>
      <c r="I1074" s="501" t="s">
        <v>7149</v>
      </c>
    </row>
    <row r="1075" spans="1:9" ht="14.45">
      <c r="A1075" s="493">
        <v>91084</v>
      </c>
      <c r="B1075" s="493" t="s">
        <v>3111</v>
      </c>
      <c r="C1075" s="493" t="s">
        <v>3659</v>
      </c>
      <c r="D1075" s="493" t="s">
        <v>3770</v>
      </c>
      <c r="E1075" s="493" t="s">
        <v>4309</v>
      </c>
      <c r="F1075" s="493" t="s">
        <v>6906</v>
      </c>
      <c r="G1075" s="493" t="s">
        <v>8825</v>
      </c>
      <c r="H1075" s="493" t="s">
        <v>7156</v>
      </c>
      <c r="I1075" s="501" t="s">
        <v>7149</v>
      </c>
    </row>
    <row r="1076" spans="1:9" ht="14.45">
      <c r="A1076" s="493">
        <v>91030</v>
      </c>
      <c r="B1076" s="493" t="s">
        <v>4916</v>
      </c>
      <c r="C1076" s="493" t="s">
        <v>3659</v>
      </c>
      <c r="D1076" s="493" t="s">
        <v>3770</v>
      </c>
      <c r="E1076" s="493" t="s">
        <v>4309</v>
      </c>
      <c r="F1076" s="493" t="s">
        <v>6906</v>
      </c>
      <c r="G1076" s="493" t="s">
        <v>8826</v>
      </c>
      <c r="H1076" s="493" t="s">
        <v>7162</v>
      </c>
      <c r="I1076" s="501" t="s">
        <v>7149</v>
      </c>
    </row>
    <row r="1077" spans="1:9" ht="14.45">
      <c r="A1077" s="493">
        <v>91360</v>
      </c>
      <c r="B1077" s="493" t="s">
        <v>4928</v>
      </c>
      <c r="C1077" s="493" t="s">
        <v>3659</v>
      </c>
      <c r="D1077" s="493" t="s">
        <v>3770</v>
      </c>
      <c r="E1077" s="493" t="s">
        <v>3719</v>
      </c>
      <c r="F1077" s="493" t="s">
        <v>6906</v>
      </c>
      <c r="G1077" s="493" t="s">
        <v>8827</v>
      </c>
      <c r="H1077" s="493" t="s">
        <v>7165</v>
      </c>
      <c r="I1077" s="501" t="s">
        <v>7166</v>
      </c>
    </row>
    <row r="1078" spans="1:9" ht="14.45">
      <c r="A1078" s="493">
        <v>91361</v>
      </c>
      <c r="B1078" s="493" t="s">
        <v>4930</v>
      </c>
      <c r="C1078" s="493" t="s">
        <v>3659</v>
      </c>
      <c r="D1078" s="493" t="s">
        <v>3770</v>
      </c>
      <c r="E1078" s="493" t="s">
        <v>3719</v>
      </c>
      <c r="F1078" s="493" t="s">
        <v>6906</v>
      </c>
      <c r="G1078" s="493" t="s">
        <v>8828</v>
      </c>
      <c r="H1078" s="493" t="s">
        <v>7165</v>
      </c>
      <c r="I1078" s="501" t="s">
        <v>7166</v>
      </c>
    </row>
    <row r="1079" spans="1:9" ht="14.45">
      <c r="A1079" s="493">
        <v>91364</v>
      </c>
      <c r="B1079" s="493" t="s">
        <v>4932</v>
      </c>
      <c r="C1079" s="493" t="s">
        <v>3659</v>
      </c>
      <c r="D1079" s="493" t="s">
        <v>3770</v>
      </c>
      <c r="E1079" s="493" t="s">
        <v>3719</v>
      </c>
      <c r="F1079" s="493" t="s">
        <v>6906</v>
      </c>
      <c r="G1079" s="493" t="s">
        <v>8829</v>
      </c>
      <c r="H1079" s="493" t="s">
        <v>7169</v>
      </c>
      <c r="I1079" s="501" t="s">
        <v>7166</v>
      </c>
    </row>
    <row r="1080" spans="1:9" ht="14.45">
      <c r="A1080" s="493">
        <v>91378</v>
      </c>
      <c r="B1080" s="493" t="s">
        <v>4950</v>
      </c>
      <c r="C1080" s="493" t="s">
        <v>3659</v>
      </c>
      <c r="D1080" s="493" t="s">
        <v>3770</v>
      </c>
      <c r="E1080" s="493" t="s">
        <v>3719</v>
      </c>
      <c r="F1080" s="493" t="s">
        <v>6906</v>
      </c>
      <c r="G1080" s="493" t="s">
        <v>8830</v>
      </c>
      <c r="H1080" s="493" t="s">
        <v>8831</v>
      </c>
      <c r="I1080" s="501" t="s">
        <v>7166</v>
      </c>
    </row>
    <row r="1081" spans="1:9" ht="14.45">
      <c r="A1081" s="493">
        <v>91376</v>
      </c>
      <c r="B1081" s="493" t="s">
        <v>4946</v>
      </c>
      <c r="C1081" s="493" t="s">
        <v>3659</v>
      </c>
      <c r="D1081" s="493" t="s">
        <v>3770</v>
      </c>
      <c r="E1081" s="493" t="s">
        <v>3719</v>
      </c>
      <c r="F1081" s="493" t="s">
        <v>6906</v>
      </c>
      <c r="G1081" s="493" t="s">
        <v>8832</v>
      </c>
      <c r="H1081" s="493" t="s">
        <v>7172</v>
      </c>
      <c r="I1081" s="501" t="s">
        <v>7166</v>
      </c>
    </row>
    <row r="1082" spans="1:9" ht="14.45">
      <c r="A1082" s="493">
        <v>91377</v>
      </c>
      <c r="B1082" s="493" t="s">
        <v>4948</v>
      </c>
      <c r="C1082" s="493" t="s">
        <v>3659</v>
      </c>
      <c r="D1082" s="493" t="s">
        <v>3770</v>
      </c>
      <c r="E1082" s="493" t="s">
        <v>3719</v>
      </c>
      <c r="F1082" s="493" t="s">
        <v>6906</v>
      </c>
      <c r="G1082" s="493" t="s">
        <v>8833</v>
      </c>
      <c r="H1082" s="493" t="s">
        <v>7172</v>
      </c>
      <c r="I1082" s="501" t="s">
        <v>7166</v>
      </c>
    </row>
    <row r="1083" spans="1:9" ht="14.45">
      <c r="A1083" s="493">
        <v>91141</v>
      </c>
      <c r="B1083" s="493" t="s">
        <v>4907</v>
      </c>
      <c r="C1083" s="493" t="s">
        <v>3659</v>
      </c>
      <c r="D1083" s="493" t="s">
        <v>3770</v>
      </c>
      <c r="E1083" s="493" t="s">
        <v>43</v>
      </c>
      <c r="F1083" s="493" t="s">
        <v>6821</v>
      </c>
      <c r="G1083" s="493" t="s">
        <v>8834</v>
      </c>
      <c r="H1083" s="493" t="s">
        <v>7177</v>
      </c>
      <c r="I1083" s="501" t="s">
        <v>7178</v>
      </c>
    </row>
    <row r="1084" spans="1:9" ht="14.45">
      <c r="A1084" s="493">
        <v>91080</v>
      </c>
      <c r="B1084" s="493" t="s">
        <v>3099</v>
      </c>
      <c r="C1084" s="493" t="s">
        <v>3659</v>
      </c>
      <c r="D1084" s="493" t="s">
        <v>3770</v>
      </c>
      <c r="E1084" s="493" t="s">
        <v>4309</v>
      </c>
      <c r="F1084" s="493" t="s">
        <v>6821</v>
      </c>
      <c r="G1084" s="493" t="s">
        <v>8835</v>
      </c>
      <c r="H1084" s="493" t="s">
        <v>7181</v>
      </c>
      <c r="I1084" s="501" t="s">
        <v>7182</v>
      </c>
    </row>
    <row r="1085" spans="1:9" ht="14.45">
      <c r="A1085" s="493">
        <v>91138</v>
      </c>
      <c r="B1085" s="493" t="s">
        <v>3801</v>
      </c>
      <c r="C1085" s="493" t="s">
        <v>3659</v>
      </c>
      <c r="D1085" s="493" t="s">
        <v>3770</v>
      </c>
      <c r="E1085" s="493" t="s">
        <v>3719</v>
      </c>
      <c r="F1085" s="493" t="s">
        <v>6906</v>
      </c>
      <c r="G1085" s="493" t="s">
        <v>8836</v>
      </c>
      <c r="H1085" s="493" t="s">
        <v>7184</v>
      </c>
      <c r="I1085" s="501" t="s">
        <v>7185</v>
      </c>
    </row>
    <row r="1086" spans="1:9" ht="14.45">
      <c r="A1086" s="493">
        <v>91362</v>
      </c>
      <c r="B1086" s="493" t="s">
        <v>4984</v>
      </c>
      <c r="C1086" s="493" t="s">
        <v>3659</v>
      </c>
      <c r="D1086" s="493" t="s">
        <v>3770</v>
      </c>
      <c r="E1086" s="493" t="s">
        <v>3719</v>
      </c>
      <c r="F1086" s="493" t="s">
        <v>6906</v>
      </c>
      <c r="G1086" s="493" t="s">
        <v>8837</v>
      </c>
      <c r="H1086" s="493" t="s">
        <v>7188</v>
      </c>
      <c r="I1086" s="501" t="s">
        <v>6915</v>
      </c>
    </row>
    <row r="1087" spans="1:9" ht="14.45">
      <c r="A1087" s="493">
        <v>91363</v>
      </c>
      <c r="B1087" s="493" t="s">
        <v>4986</v>
      </c>
      <c r="C1087" s="493" t="s">
        <v>3659</v>
      </c>
      <c r="D1087" s="493" t="s">
        <v>3770</v>
      </c>
      <c r="E1087" s="493" t="s">
        <v>3719</v>
      </c>
      <c r="F1087" s="493" t="s">
        <v>6906</v>
      </c>
      <c r="G1087" s="493" t="s">
        <v>8838</v>
      </c>
      <c r="H1087" s="493" t="s">
        <v>7188</v>
      </c>
      <c r="I1087" s="501" t="s">
        <v>6915</v>
      </c>
    </row>
    <row r="1088" spans="1:9" ht="14.45">
      <c r="A1088" s="493">
        <v>90989</v>
      </c>
      <c r="B1088" s="493" t="s">
        <v>3469</v>
      </c>
      <c r="C1088" s="493" t="s">
        <v>3659</v>
      </c>
      <c r="D1088" s="493" t="s">
        <v>3918</v>
      </c>
      <c r="E1088" s="493" t="s">
        <v>3666</v>
      </c>
      <c r="F1088" s="493" t="s">
        <v>6821</v>
      </c>
      <c r="G1088" s="493" t="s">
        <v>8839</v>
      </c>
      <c r="H1088" s="493" t="s">
        <v>7192</v>
      </c>
      <c r="I1088" s="501" t="s">
        <v>7193</v>
      </c>
    </row>
    <row r="1089" spans="1:9" ht="14.45">
      <c r="A1089" s="493">
        <v>90954</v>
      </c>
      <c r="B1089" s="493" t="s">
        <v>5690</v>
      </c>
      <c r="C1089" s="493" t="s">
        <v>3659</v>
      </c>
      <c r="D1089" s="493" t="s">
        <v>3918</v>
      </c>
      <c r="E1089" s="493" t="s">
        <v>3919</v>
      </c>
      <c r="F1089" s="493" t="s">
        <v>6821</v>
      </c>
      <c r="G1089" s="493" t="s">
        <v>8840</v>
      </c>
      <c r="H1089" s="493" t="s">
        <v>7220</v>
      </c>
      <c r="I1089" s="501" t="s">
        <v>7215</v>
      </c>
    </row>
    <row r="1090" spans="1:9" ht="14.45">
      <c r="A1090" s="493">
        <v>91374</v>
      </c>
      <c r="B1090" s="493" t="s">
        <v>5811</v>
      </c>
      <c r="C1090" s="493" t="s">
        <v>3659</v>
      </c>
      <c r="D1090" s="493" t="s">
        <v>3918</v>
      </c>
      <c r="E1090" s="493" t="s">
        <v>3919</v>
      </c>
      <c r="F1090" s="493" t="s">
        <v>6821</v>
      </c>
      <c r="G1090" s="493" t="s">
        <v>8841</v>
      </c>
      <c r="H1090" s="493" t="s">
        <v>7239</v>
      </c>
      <c r="I1090" s="501" t="s">
        <v>7233</v>
      </c>
    </row>
    <row r="1091" spans="1:9" ht="14.45">
      <c r="A1091" s="493">
        <v>91005</v>
      </c>
      <c r="B1091" s="493" t="s">
        <v>5295</v>
      </c>
      <c r="C1091" s="493" t="s">
        <v>3674</v>
      </c>
      <c r="D1091" s="493" t="s">
        <v>3918</v>
      </c>
      <c r="E1091" s="493" t="s">
        <v>3719</v>
      </c>
      <c r="F1091" s="493" t="s">
        <v>6821</v>
      </c>
      <c r="G1091" s="493" t="s">
        <v>8842</v>
      </c>
      <c r="H1091" s="493" t="s">
        <v>7255</v>
      </c>
      <c r="I1091" s="501" t="s">
        <v>7256</v>
      </c>
    </row>
    <row r="1092" spans="1:9" ht="14.45">
      <c r="A1092" s="493">
        <v>90994</v>
      </c>
      <c r="B1092" s="493" t="s">
        <v>5310</v>
      </c>
      <c r="C1092" s="493" t="s">
        <v>3659</v>
      </c>
      <c r="D1092" s="493" t="s">
        <v>3918</v>
      </c>
      <c r="E1092" s="493" t="s">
        <v>3719</v>
      </c>
      <c r="F1092" s="493" t="s">
        <v>6906</v>
      </c>
      <c r="G1092" s="493" t="s">
        <v>8843</v>
      </c>
      <c r="H1092" s="493" t="s">
        <v>7266</v>
      </c>
      <c r="I1092" s="501" t="s">
        <v>7261</v>
      </c>
    </row>
    <row r="1093" spans="1:9" ht="14.45">
      <c r="A1093" s="493">
        <v>91004</v>
      </c>
      <c r="B1093" s="493" t="s">
        <v>5772</v>
      </c>
      <c r="C1093" s="493" t="s">
        <v>3659</v>
      </c>
      <c r="D1093" s="493" t="s">
        <v>3918</v>
      </c>
      <c r="E1093" s="493" t="s">
        <v>3919</v>
      </c>
      <c r="F1093" s="493" t="s">
        <v>6821</v>
      </c>
      <c r="G1093" s="493" t="s">
        <v>8844</v>
      </c>
      <c r="H1093" s="493" t="s">
        <v>7268</v>
      </c>
      <c r="I1093" s="501" t="s">
        <v>7233</v>
      </c>
    </row>
    <row r="1094" spans="1:9" ht="14.45">
      <c r="A1094" s="493">
        <v>91267</v>
      </c>
      <c r="B1094" s="493" t="s">
        <v>3706</v>
      </c>
      <c r="C1094" s="493" t="s">
        <v>3659</v>
      </c>
      <c r="D1094" s="493" t="s">
        <v>3681</v>
      </c>
      <c r="E1094" s="493" t="s">
        <v>3699</v>
      </c>
      <c r="F1094" s="493" t="s">
        <v>6821</v>
      </c>
      <c r="G1094" s="493" t="s">
        <v>8845</v>
      </c>
      <c r="H1094" s="493" t="s">
        <v>7306</v>
      </c>
      <c r="I1094" s="501" t="s">
        <v>7307</v>
      </c>
    </row>
    <row r="1095" spans="1:9" ht="14.45">
      <c r="A1095" s="493">
        <v>91197</v>
      </c>
      <c r="B1095" s="493" t="s">
        <v>4989</v>
      </c>
      <c r="C1095" s="493" t="s">
        <v>3659</v>
      </c>
      <c r="D1095" s="493" t="s">
        <v>3681</v>
      </c>
      <c r="E1095" s="493" t="s">
        <v>846</v>
      </c>
      <c r="F1095" s="493" t="s">
        <v>6906</v>
      </c>
      <c r="G1095" s="493" t="s">
        <v>8846</v>
      </c>
      <c r="H1095" s="493" t="s">
        <v>7310</v>
      </c>
      <c r="I1095" s="501" t="s">
        <v>7311</v>
      </c>
    </row>
    <row r="1096" spans="1:9" ht="14.45">
      <c r="A1096" s="493">
        <v>91266</v>
      </c>
      <c r="B1096" s="493" t="s">
        <v>8847</v>
      </c>
      <c r="C1096" s="493" t="s">
        <v>3659</v>
      </c>
      <c r="D1096" s="493" t="s">
        <v>3681</v>
      </c>
      <c r="E1096" s="493" t="s">
        <v>846</v>
      </c>
      <c r="F1096" s="493" t="s">
        <v>6821</v>
      </c>
      <c r="G1096" s="493" t="s">
        <v>8848</v>
      </c>
      <c r="H1096" s="493" t="s">
        <v>7330</v>
      </c>
      <c r="I1096" s="501" t="s">
        <v>7331</v>
      </c>
    </row>
    <row r="1097" spans="1:9" ht="14.45">
      <c r="A1097" s="493">
        <v>91268</v>
      </c>
      <c r="B1097" s="493" t="s">
        <v>8849</v>
      </c>
      <c r="C1097" s="493" t="s">
        <v>3659</v>
      </c>
      <c r="D1097" s="493" t="s">
        <v>3681</v>
      </c>
      <c r="E1097" s="493" t="s">
        <v>846</v>
      </c>
      <c r="F1097" s="493" t="s">
        <v>6821</v>
      </c>
      <c r="G1097" s="493" t="s">
        <v>8850</v>
      </c>
      <c r="H1097" s="493" t="s">
        <v>7336</v>
      </c>
      <c r="I1097" s="501" t="s">
        <v>7337</v>
      </c>
    </row>
    <row r="1098" spans="1:9" ht="14.45">
      <c r="A1098" s="493">
        <v>91265</v>
      </c>
      <c r="B1098" s="493" t="s">
        <v>3696</v>
      </c>
      <c r="C1098" s="493" t="s">
        <v>3659</v>
      </c>
      <c r="D1098" s="493" t="s">
        <v>3681</v>
      </c>
      <c r="E1098" s="493" t="s">
        <v>3682</v>
      </c>
      <c r="F1098" s="493" t="s">
        <v>6821</v>
      </c>
      <c r="G1098" s="493" t="s">
        <v>8851</v>
      </c>
      <c r="H1098" s="493" t="s">
        <v>7347</v>
      </c>
      <c r="I1098" s="501" t="s">
        <v>7348</v>
      </c>
    </row>
    <row r="1099" spans="1:9" ht="14.45">
      <c r="A1099" s="493">
        <v>91000</v>
      </c>
      <c r="B1099" s="493" t="s">
        <v>8852</v>
      </c>
      <c r="C1099" s="493" t="s">
        <v>3659</v>
      </c>
      <c r="D1099" s="493" t="s">
        <v>3932</v>
      </c>
      <c r="E1099" s="493" t="s">
        <v>846</v>
      </c>
      <c r="F1099" s="493" t="s">
        <v>6821</v>
      </c>
      <c r="G1099" s="493" t="s">
        <v>8853</v>
      </c>
      <c r="H1099" s="493" t="s">
        <v>7371</v>
      </c>
      <c r="I1099" s="501" t="s">
        <v>8854</v>
      </c>
    </row>
    <row r="1100" spans="1:9" ht="14.45">
      <c r="A1100" s="493">
        <v>91009</v>
      </c>
      <c r="B1100" s="493" t="s">
        <v>8855</v>
      </c>
      <c r="C1100" s="493" t="s">
        <v>3659</v>
      </c>
      <c r="D1100" s="493" t="s">
        <v>3932</v>
      </c>
      <c r="E1100" s="493" t="s">
        <v>846</v>
      </c>
      <c r="F1100" s="493" t="s">
        <v>6821</v>
      </c>
      <c r="G1100" s="493" t="s">
        <v>8856</v>
      </c>
      <c r="H1100" s="493" t="s">
        <v>7386</v>
      </c>
      <c r="I1100" s="501" t="s">
        <v>8857</v>
      </c>
    </row>
    <row r="1101" spans="1:9" ht="14.45">
      <c r="A1101" s="493">
        <v>91341</v>
      </c>
      <c r="B1101" s="493" t="s">
        <v>5541</v>
      </c>
      <c r="C1101" s="493" t="s">
        <v>3659</v>
      </c>
      <c r="D1101" s="493" t="s">
        <v>3932</v>
      </c>
      <c r="E1101" s="493" t="s">
        <v>846</v>
      </c>
      <c r="F1101" s="493" t="s">
        <v>6821</v>
      </c>
      <c r="G1101" s="493" t="s">
        <v>8858</v>
      </c>
      <c r="H1101" s="493" t="s">
        <v>7394</v>
      </c>
      <c r="I1101" s="501" t="s">
        <v>7395</v>
      </c>
    </row>
    <row r="1102" spans="1:9" ht="14.45">
      <c r="A1102" s="493">
        <v>91059</v>
      </c>
      <c r="B1102" s="493" t="s">
        <v>5350</v>
      </c>
      <c r="C1102" s="493" t="s">
        <v>3659</v>
      </c>
      <c r="D1102" s="493" t="s">
        <v>3932</v>
      </c>
      <c r="E1102" s="493" t="s">
        <v>846</v>
      </c>
      <c r="F1102" s="493" t="s">
        <v>6821</v>
      </c>
      <c r="G1102" s="493" t="s">
        <v>8859</v>
      </c>
      <c r="H1102" s="493" t="s">
        <v>7397</v>
      </c>
      <c r="I1102" s="501" t="s">
        <v>7398</v>
      </c>
    </row>
    <row r="1103" spans="1:9" ht="14.45">
      <c r="A1103" s="493">
        <v>91409</v>
      </c>
      <c r="B1103" s="493" t="s">
        <v>2866</v>
      </c>
      <c r="C1103" s="493" t="s">
        <v>3659</v>
      </c>
      <c r="D1103" s="493" t="s">
        <v>4109</v>
      </c>
      <c r="E1103" s="493" t="s">
        <v>5977</v>
      </c>
      <c r="F1103" s="493" t="s">
        <v>6821</v>
      </c>
      <c r="G1103" s="493" t="s">
        <v>8860</v>
      </c>
      <c r="H1103" s="493" t="s">
        <v>7407</v>
      </c>
      <c r="I1103" s="501" t="s">
        <v>8861</v>
      </c>
    </row>
    <row r="1104" spans="1:9" ht="14.45">
      <c r="A1104" s="493">
        <v>91251</v>
      </c>
      <c r="B1104" s="493" t="s">
        <v>2856</v>
      </c>
      <c r="C1104" s="493" t="s">
        <v>3659</v>
      </c>
      <c r="D1104" s="493" t="s">
        <v>4109</v>
      </c>
      <c r="E1104" s="493" t="s">
        <v>5977</v>
      </c>
      <c r="F1104" s="493" t="s">
        <v>6821</v>
      </c>
      <c r="G1104" s="493" t="s">
        <v>8862</v>
      </c>
      <c r="H1104" s="493" t="s">
        <v>7417</v>
      </c>
      <c r="I1104" s="501" t="s">
        <v>7415</v>
      </c>
    </row>
    <row r="1105" spans="1:9" ht="14.45">
      <c r="A1105" s="493">
        <v>91408</v>
      </c>
      <c r="B1105" s="493" t="s">
        <v>2852</v>
      </c>
      <c r="C1105" s="493" t="s">
        <v>3659</v>
      </c>
      <c r="D1105" s="493" t="s">
        <v>4109</v>
      </c>
      <c r="E1105" s="493" t="s">
        <v>5977</v>
      </c>
      <c r="F1105" s="493" t="s">
        <v>6821</v>
      </c>
      <c r="G1105" s="493" t="s">
        <v>8863</v>
      </c>
      <c r="H1105" s="493" t="s">
        <v>7419</v>
      </c>
      <c r="I1105" s="501" t="s">
        <v>8864</v>
      </c>
    </row>
    <row r="1106" spans="1:9" ht="14.45">
      <c r="A1106" s="493">
        <v>91149</v>
      </c>
      <c r="B1106" s="493" t="s">
        <v>3394</v>
      </c>
      <c r="C1106" s="493" t="s">
        <v>3659</v>
      </c>
      <c r="D1106" s="493" t="s">
        <v>4109</v>
      </c>
      <c r="E1106" s="493" t="s">
        <v>3666</v>
      </c>
      <c r="F1106" s="493" t="s">
        <v>6821</v>
      </c>
      <c r="G1106" s="493" t="s">
        <v>8865</v>
      </c>
      <c r="H1106" s="493" t="s">
        <v>7425</v>
      </c>
      <c r="I1106" s="501" t="s">
        <v>7426</v>
      </c>
    </row>
    <row r="1107" spans="1:9" ht="14.45">
      <c r="A1107" s="493">
        <v>91058</v>
      </c>
      <c r="B1107" s="493" t="s">
        <v>8866</v>
      </c>
      <c r="C1107" s="493" t="s">
        <v>3659</v>
      </c>
      <c r="D1107" s="493" t="s">
        <v>3932</v>
      </c>
      <c r="E1107" s="493" t="s">
        <v>846</v>
      </c>
      <c r="F1107" s="493" t="s">
        <v>6821</v>
      </c>
      <c r="G1107" s="493" t="s">
        <v>8867</v>
      </c>
      <c r="H1107" s="493" t="s">
        <v>7440</v>
      </c>
      <c r="I1107" s="501" t="s">
        <v>7433</v>
      </c>
    </row>
    <row r="1108" spans="1:9" ht="14.45">
      <c r="A1108" s="493">
        <v>91060</v>
      </c>
      <c r="B1108" s="493" t="s">
        <v>5352</v>
      </c>
      <c r="C1108" s="493" t="s">
        <v>3674</v>
      </c>
      <c r="D1108" s="493" t="s">
        <v>3932</v>
      </c>
      <c r="E1108" s="493" t="s">
        <v>846</v>
      </c>
      <c r="F1108" s="493" t="s">
        <v>6821</v>
      </c>
      <c r="G1108" s="493" t="s">
        <v>8868</v>
      </c>
      <c r="H1108" s="493" t="s">
        <v>7445</v>
      </c>
      <c r="I1108" s="501" t="s">
        <v>7446</v>
      </c>
    </row>
    <row r="1109" spans="1:9" ht="14.45">
      <c r="A1109" s="493">
        <v>91254</v>
      </c>
      <c r="B1109" s="493" t="s">
        <v>3354</v>
      </c>
      <c r="C1109" s="493" t="s">
        <v>3659</v>
      </c>
      <c r="D1109" s="493" t="s">
        <v>4109</v>
      </c>
      <c r="E1109" s="493" t="s">
        <v>3666</v>
      </c>
      <c r="F1109" s="493" t="s">
        <v>6821</v>
      </c>
      <c r="G1109" s="493" t="s">
        <v>8869</v>
      </c>
      <c r="H1109" s="493" t="s">
        <v>7459</v>
      </c>
      <c r="I1109" s="501" t="s">
        <v>7456</v>
      </c>
    </row>
    <row r="1110" spans="1:9" ht="14.45">
      <c r="A1110" s="493">
        <v>91220</v>
      </c>
      <c r="B1110" s="493" t="s">
        <v>3392</v>
      </c>
      <c r="C1110" s="493" t="s">
        <v>3659</v>
      </c>
      <c r="D1110" s="493" t="s">
        <v>4109</v>
      </c>
      <c r="E1110" s="493" t="s">
        <v>3666</v>
      </c>
      <c r="F1110" s="493" t="s">
        <v>6821</v>
      </c>
      <c r="G1110" s="493" t="s">
        <v>8870</v>
      </c>
      <c r="H1110" s="493" t="s">
        <v>7463</v>
      </c>
      <c r="I1110" s="501" t="s">
        <v>7426</v>
      </c>
    </row>
    <row r="1111" spans="1:9" ht="14.45">
      <c r="A1111" s="493">
        <v>91256</v>
      </c>
      <c r="B1111" s="493" t="s">
        <v>3403</v>
      </c>
      <c r="C1111" s="493" t="s">
        <v>3659</v>
      </c>
      <c r="D1111" s="493" t="s">
        <v>4109</v>
      </c>
      <c r="E1111" s="493" t="s">
        <v>3666</v>
      </c>
      <c r="F1111" s="493" t="s">
        <v>6821</v>
      </c>
      <c r="G1111" s="493" t="s">
        <v>8871</v>
      </c>
      <c r="H1111" s="493" t="s">
        <v>7468</v>
      </c>
      <c r="I1111" s="501" t="s">
        <v>7426</v>
      </c>
    </row>
    <row r="1112" spans="1:9" ht="14.45">
      <c r="A1112" s="493">
        <v>91187</v>
      </c>
      <c r="B1112" s="493" t="s">
        <v>3320</v>
      </c>
      <c r="C1112" s="493" t="s">
        <v>3659</v>
      </c>
      <c r="D1112" s="493" t="s">
        <v>4109</v>
      </c>
      <c r="E1112" s="493" t="s">
        <v>3666</v>
      </c>
      <c r="F1112" s="493" t="s">
        <v>6821</v>
      </c>
      <c r="G1112" s="493" t="s">
        <v>8872</v>
      </c>
      <c r="H1112" s="493" t="s">
        <v>7473</v>
      </c>
      <c r="I1112" s="501" t="s">
        <v>7474</v>
      </c>
    </row>
    <row r="1113" spans="1:9" ht="14.45">
      <c r="A1113" s="493">
        <v>91255</v>
      </c>
      <c r="B1113" s="493" t="s">
        <v>3339</v>
      </c>
      <c r="C1113" s="493" t="s">
        <v>3659</v>
      </c>
      <c r="D1113" s="493" t="s">
        <v>4109</v>
      </c>
      <c r="E1113" s="493" t="s">
        <v>3666</v>
      </c>
      <c r="F1113" s="493" t="s">
        <v>6821</v>
      </c>
      <c r="G1113" s="493" t="s">
        <v>8873</v>
      </c>
      <c r="H1113" s="493" t="s">
        <v>7477</v>
      </c>
      <c r="I1113" s="501" t="s">
        <v>7478</v>
      </c>
    </row>
    <row r="1114" spans="1:9" ht="14.45">
      <c r="A1114" s="493">
        <v>91248</v>
      </c>
      <c r="B1114" s="493" t="s">
        <v>2880</v>
      </c>
      <c r="C1114" s="493" t="s">
        <v>3659</v>
      </c>
      <c r="D1114" s="493" t="s">
        <v>3681</v>
      </c>
      <c r="E1114" s="493" t="s">
        <v>6886</v>
      </c>
      <c r="F1114" s="493" t="s">
        <v>6906</v>
      </c>
      <c r="G1114" s="493" t="s">
        <v>8874</v>
      </c>
      <c r="H1114" s="493" t="s">
        <v>7496</v>
      </c>
      <c r="I1114" s="501" t="s">
        <v>7497</v>
      </c>
    </row>
    <row r="1115" spans="1:9" ht="14.45">
      <c r="A1115" s="493">
        <v>91150</v>
      </c>
      <c r="B1115" s="493" t="s">
        <v>5182</v>
      </c>
      <c r="C1115" s="493" t="s">
        <v>3659</v>
      </c>
      <c r="D1115" s="493" t="s">
        <v>4784</v>
      </c>
      <c r="E1115" s="493" t="s">
        <v>846</v>
      </c>
      <c r="F1115" s="493" t="s">
        <v>6821</v>
      </c>
      <c r="G1115" s="493" t="s">
        <v>8875</v>
      </c>
      <c r="H1115" s="493" t="s">
        <v>8876</v>
      </c>
      <c r="I1115" s="501" t="s">
        <v>7516</v>
      </c>
    </row>
    <row r="1116" spans="1:9" ht="14.45">
      <c r="A1116" s="493">
        <v>91379</v>
      </c>
      <c r="B1116" s="493" t="s">
        <v>5147</v>
      </c>
      <c r="C1116" s="493" t="s">
        <v>3659</v>
      </c>
      <c r="D1116" s="493" t="s">
        <v>3911</v>
      </c>
      <c r="E1116" s="493" t="s">
        <v>846</v>
      </c>
      <c r="F1116" s="493" t="s">
        <v>6821</v>
      </c>
      <c r="G1116" s="493" t="s">
        <v>8877</v>
      </c>
      <c r="H1116" s="493" t="s">
        <v>7525</v>
      </c>
      <c r="I1116" s="501" t="s">
        <v>7526</v>
      </c>
    </row>
    <row r="1117" spans="1:9" ht="14.45">
      <c r="A1117" s="493">
        <v>91407</v>
      </c>
      <c r="B1117" s="493" t="s">
        <v>5151</v>
      </c>
      <c r="C1117" s="493" t="s">
        <v>3659</v>
      </c>
      <c r="D1117" s="493" t="s">
        <v>3911</v>
      </c>
      <c r="E1117" s="493" t="s">
        <v>846</v>
      </c>
      <c r="F1117" s="493" t="s">
        <v>6821</v>
      </c>
      <c r="G1117" s="493" t="s">
        <v>8878</v>
      </c>
      <c r="H1117" s="493" t="s">
        <v>7552</v>
      </c>
      <c r="I1117" s="501" t="s">
        <v>7553</v>
      </c>
    </row>
    <row r="1118" spans="1:9" ht="14.45">
      <c r="A1118" s="493">
        <v>91003</v>
      </c>
      <c r="B1118" s="493" t="s">
        <v>5143</v>
      </c>
      <c r="C1118" s="493" t="s">
        <v>3659</v>
      </c>
      <c r="D1118" s="493" t="s">
        <v>3911</v>
      </c>
      <c r="E1118" s="493" t="s">
        <v>846</v>
      </c>
      <c r="F1118" s="493" t="s">
        <v>6821</v>
      </c>
      <c r="G1118" s="493" t="s">
        <v>8879</v>
      </c>
      <c r="H1118" s="493" t="s">
        <v>7571</v>
      </c>
      <c r="I1118" s="501" t="s">
        <v>7572</v>
      </c>
    </row>
    <row r="1119" spans="1:9" ht="14.45">
      <c r="A1119" s="493">
        <v>91031</v>
      </c>
      <c r="B1119" s="493" t="s">
        <v>5175</v>
      </c>
      <c r="C1119" s="493" t="s">
        <v>3659</v>
      </c>
      <c r="D1119" s="493" t="s">
        <v>4784</v>
      </c>
      <c r="E1119" s="493" t="s">
        <v>4309</v>
      </c>
      <c r="F1119" s="493" t="s">
        <v>6821</v>
      </c>
      <c r="G1119" s="493" t="s">
        <v>8880</v>
      </c>
      <c r="H1119" s="493" t="s">
        <v>7575</v>
      </c>
      <c r="I1119" s="501" t="s">
        <v>7576</v>
      </c>
    </row>
    <row r="1120" spans="1:9" ht="14.45">
      <c r="A1120" s="493">
        <v>91291</v>
      </c>
      <c r="B1120" s="493" t="s">
        <v>3116</v>
      </c>
      <c r="C1120" s="493" t="s">
        <v>3659</v>
      </c>
      <c r="D1120" s="493" t="s">
        <v>4784</v>
      </c>
      <c r="E1120" s="493" t="s">
        <v>4309</v>
      </c>
      <c r="F1120" s="493" t="s">
        <v>6821</v>
      </c>
      <c r="G1120" s="493" t="s">
        <v>8881</v>
      </c>
      <c r="H1120" s="493" t="s">
        <v>7578</v>
      </c>
      <c r="I1120" s="501" t="s">
        <v>7579</v>
      </c>
    </row>
    <row r="1121" spans="1:9" ht="14.45">
      <c r="A1121" s="493">
        <v>91081</v>
      </c>
      <c r="B1121" s="493" t="s">
        <v>3117</v>
      </c>
      <c r="C1121" s="493" t="s">
        <v>3659</v>
      </c>
      <c r="D1121" s="493" t="s">
        <v>4784</v>
      </c>
      <c r="E1121" s="493" t="s">
        <v>4309</v>
      </c>
      <c r="F1121" s="493" t="s">
        <v>6821</v>
      </c>
      <c r="G1121" s="493" t="s">
        <v>8882</v>
      </c>
      <c r="H1121" s="493" t="s">
        <v>7578</v>
      </c>
      <c r="I1121" s="501" t="s">
        <v>7579</v>
      </c>
    </row>
    <row r="1122" spans="1:9" ht="14.45">
      <c r="A1122" s="493">
        <v>91028</v>
      </c>
      <c r="B1122" s="493" t="s">
        <v>3126</v>
      </c>
      <c r="C1122" s="493" t="s">
        <v>3659</v>
      </c>
      <c r="D1122" s="493" t="s">
        <v>4784</v>
      </c>
      <c r="E1122" s="493" t="s">
        <v>4309</v>
      </c>
      <c r="F1122" s="493" t="s">
        <v>6821</v>
      </c>
      <c r="G1122" s="493" t="s">
        <v>8883</v>
      </c>
      <c r="H1122" s="493" t="s">
        <v>7585</v>
      </c>
      <c r="I1122" s="501" t="s">
        <v>7576</v>
      </c>
    </row>
    <row r="1123" spans="1:9" ht="14.45">
      <c r="A1123" s="493">
        <v>91404</v>
      </c>
      <c r="B1123" s="493" t="s">
        <v>5149</v>
      </c>
      <c r="C1123" s="493" t="s">
        <v>3659</v>
      </c>
      <c r="D1123" s="493" t="s">
        <v>3911</v>
      </c>
      <c r="E1123" s="493" t="s">
        <v>846</v>
      </c>
      <c r="F1123" s="493" t="s">
        <v>6821</v>
      </c>
      <c r="G1123" s="493" t="s">
        <v>8884</v>
      </c>
      <c r="H1123" s="493" t="s">
        <v>7588</v>
      </c>
      <c r="I1123" s="501" t="s">
        <v>8885</v>
      </c>
    </row>
    <row r="1124" spans="1:9" ht="14.45">
      <c r="A1124" s="493">
        <v>91394</v>
      </c>
      <c r="B1124" s="493" t="s">
        <v>5164</v>
      </c>
      <c r="C1124" s="493" t="s">
        <v>3659</v>
      </c>
      <c r="D1124" s="493" t="s">
        <v>3911</v>
      </c>
      <c r="E1124" s="493" t="s">
        <v>846</v>
      </c>
      <c r="F1124" s="493" t="s">
        <v>6821</v>
      </c>
      <c r="G1124" s="493" t="s">
        <v>8886</v>
      </c>
      <c r="H1124" s="493" t="s">
        <v>7591</v>
      </c>
      <c r="I1124" s="501" t="s">
        <v>7592</v>
      </c>
    </row>
    <row r="1125" spans="1:9" ht="14.45">
      <c r="A1125" s="493">
        <v>90611</v>
      </c>
      <c r="B1125" s="493" t="s">
        <v>3438</v>
      </c>
      <c r="C1125" s="493" t="s">
        <v>3674</v>
      </c>
      <c r="D1125" s="493" t="s">
        <v>3911</v>
      </c>
      <c r="E1125" s="493" t="s">
        <v>3666</v>
      </c>
      <c r="F1125" s="493" t="s">
        <v>6821</v>
      </c>
      <c r="G1125" s="493" t="s">
        <v>8887</v>
      </c>
      <c r="H1125" s="493" t="s">
        <v>7601</v>
      </c>
      <c r="I1125" s="501" t="s">
        <v>7602</v>
      </c>
    </row>
    <row r="1126" spans="1:9" ht="14.45">
      <c r="A1126" s="493">
        <v>91001</v>
      </c>
      <c r="B1126" s="493" t="s">
        <v>3410</v>
      </c>
      <c r="C1126" s="493" t="s">
        <v>3659</v>
      </c>
      <c r="D1126" s="493" t="s">
        <v>3911</v>
      </c>
      <c r="E1126" s="493" t="s">
        <v>3666</v>
      </c>
      <c r="F1126" s="493" t="s">
        <v>6821</v>
      </c>
      <c r="G1126" s="493" t="s">
        <v>8888</v>
      </c>
      <c r="H1126" s="493" t="s">
        <v>7607</v>
      </c>
      <c r="I1126" s="501" t="s">
        <v>7608</v>
      </c>
    </row>
    <row r="1127" spans="1:9" ht="14.45">
      <c r="A1127" s="493">
        <v>91166</v>
      </c>
      <c r="B1127" s="493" t="s">
        <v>8889</v>
      </c>
      <c r="C1127" s="493" t="s">
        <v>3659</v>
      </c>
      <c r="D1127" s="493" t="s">
        <v>4215</v>
      </c>
      <c r="E1127" s="493" t="s">
        <v>846</v>
      </c>
      <c r="F1127" s="493" t="s">
        <v>6821</v>
      </c>
      <c r="G1127" s="493" t="s">
        <v>8890</v>
      </c>
      <c r="H1127" s="493" t="s">
        <v>7625</v>
      </c>
      <c r="I1127" s="501" t="s">
        <v>7614</v>
      </c>
    </row>
    <row r="1128" spans="1:9" ht="14.45">
      <c r="A1128" s="493">
        <v>91164</v>
      </c>
      <c r="B1128" s="493" t="s">
        <v>8891</v>
      </c>
      <c r="C1128" s="493" t="s">
        <v>3659</v>
      </c>
      <c r="D1128" s="493" t="s">
        <v>4215</v>
      </c>
      <c r="E1128" s="493" t="s">
        <v>52</v>
      </c>
      <c r="F1128" s="493" t="s">
        <v>6821</v>
      </c>
      <c r="G1128" s="493" t="s">
        <v>8892</v>
      </c>
      <c r="H1128" s="493" t="s">
        <v>7625</v>
      </c>
      <c r="I1128" s="501" t="s">
        <v>7617</v>
      </c>
    </row>
    <row r="1129" spans="1:9" ht="14.45">
      <c r="A1129" s="493">
        <v>91172</v>
      </c>
      <c r="B1129" s="493" t="s">
        <v>4844</v>
      </c>
      <c r="C1129" s="493" t="s">
        <v>3659</v>
      </c>
      <c r="D1129" s="493" t="s">
        <v>4215</v>
      </c>
      <c r="E1129" s="493" t="s">
        <v>846</v>
      </c>
      <c r="F1129" s="493" t="s">
        <v>6821</v>
      </c>
      <c r="G1129" s="493" t="s">
        <v>8893</v>
      </c>
      <c r="H1129" s="493" t="s">
        <v>7634</v>
      </c>
      <c r="I1129" s="501" t="s">
        <v>7614</v>
      </c>
    </row>
    <row r="1130" spans="1:9" ht="14.45">
      <c r="A1130" s="493">
        <v>91173</v>
      </c>
      <c r="B1130" s="493" t="s">
        <v>8894</v>
      </c>
      <c r="C1130" s="493" t="s">
        <v>3659</v>
      </c>
      <c r="D1130" s="493" t="s">
        <v>4215</v>
      </c>
      <c r="E1130" s="493" t="s">
        <v>52</v>
      </c>
      <c r="F1130" s="493" t="s">
        <v>6821</v>
      </c>
      <c r="G1130" s="493" t="s">
        <v>8895</v>
      </c>
      <c r="H1130" s="493" t="s">
        <v>7634</v>
      </c>
      <c r="I1130" s="501" t="s">
        <v>7617</v>
      </c>
    </row>
    <row r="1131" spans="1:9" ht="14.45">
      <c r="A1131" s="493">
        <v>91042</v>
      </c>
      <c r="B1131" s="493" t="s">
        <v>4832</v>
      </c>
      <c r="C1131" s="493" t="s">
        <v>3659</v>
      </c>
      <c r="D1131" s="493" t="s">
        <v>4215</v>
      </c>
      <c r="E1131" s="493" t="s">
        <v>7637</v>
      </c>
      <c r="F1131" s="493" t="s">
        <v>6821</v>
      </c>
      <c r="G1131" s="493" t="s">
        <v>8896</v>
      </c>
      <c r="H1131" s="493" t="s">
        <v>7659</v>
      </c>
      <c r="I1131" s="501" t="s">
        <v>7640</v>
      </c>
    </row>
    <row r="1132" spans="1:9" ht="14.45">
      <c r="A1132" s="493">
        <v>91036</v>
      </c>
      <c r="B1132" s="493" t="s">
        <v>4830</v>
      </c>
      <c r="C1132" s="493" t="s">
        <v>3659</v>
      </c>
      <c r="D1132" s="493" t="s">
        <v>4215</v>
      </c>
      <c r="E1132" s="493" t="s">
        <v>7637</v>
      </c>
      <c r="F1132" s="493" t="s">
        <v>6821</v>
      </c>
      <c r="G1132" s="493" t="s">
        <v>8897</v>
      </c>
      <c r="H1132" s="493" t="s">
        <v>7659</v>
      </c>
      <c r="I1132" s="501" t="s">
        <v>7640</v>
      </c>
    </row>
    <row r="1133" spans="1:9" ht="14.45">
      <c r="A1133" s="493">
        <v>91155</v>
      </c>
      <c r="B1133" s="493" t="s">
        <v>8898</v>
      </c>
      <c r="C1133" s="493" t="s">
        <v>3659</v>
      </c>
      <c r="D1133" s="493" t="s">
        <v>4215</v>
      </c>
      <c r="E1133" s="493" t="s">
        <v>52</v>
      </c>
      <c r="F1133" s="493" t="s">
        <v>6821</v>
      </c>
      <c r="G1133" s="493" t="s">
        <v>8899</v>
      </c>
      <c r="H1133" s="493" t="s">
        <v>7659</v>
      </c>
      <c r="I1133" s="501" t="s">
        <v>7655</v>
      </c>
    </row>
    <row r="1134" spans="1:9" ht="14.45">
      <c r="A1134" s="493">
        <v>91156</v>
      </c>
      <c r="B1134" s="493" t="s">
        <v>8900</v>
      </c>
      <c r="C1134" s="493" t="s">
        <v>3659</v>
      </c>
      <c r="D1134" s="493" t="s">
        <v>4215</v>
      </c>
      <c r="E1134" s="493" t="s">
        <v>52</v>
      </c>
      <c r="F1134" s="493" t="s">
        <v>6821</v>
      </c>
      <c r="G1134" s="493" t="s">
        <v>8901</v>
      </c>
      <c r="H1134" s="493" t="s">
        <v>7659</v>
      </c>
      <c r="I1134" s="501" t="s">
        <v>7655</v>
      </c>
    </row>
    <row r="1135" spans="1:9" ht="14.45">
      <c r="A1135" s="493">
        <v>91157</v>
      </c>
      <c r="B1135" s="493" t="s">
        <v>4856</v>
      </c>
      <c r="C1135" s="493" t="s">
        <v>3659</v>
      </c>
      <c r="D1135" s="493" t="s">
        <v>4215</v>
      </c>
      <c r="E1135" s="493" t="s">
        <v>7637</v>
      </c>
      <c r="F1135" s="493" t="s">
        <v>6821</v>
      </c>
      <c r="G1135" s="493" t="s">
        <v>8902</v>
      </c>
      <c r="H1135" s="493" t="s">
        <v>7669</v>
      </c>
      <c r="I1135" s="501" t="s">
        <v>7670</v>
      </c>
    </row>
    <row r="1136" spans="1:9" ht="14.45">
      <c r="A1136" s="493">
        <v>91181</v>
      </c>
      <c r="B1136" s="493" t="s">
        <v>8903</v>
      </c>
      <c r="C1136" s="493" t="s">
        <v>3659</v>
      </c>
      <c r="D1136" s="493" t="s">
        <v>4215</v>
      </c>
      <c r="E1136" s="493" t="s">
        <v>52</v>
      </c>
      <c r="F1136" s="493" t="s">
        <v>6821</v>
      </c>
      <c r="G1136" s="493" t="s">
        <v>8904</v>
      </c>
      <c r="H1136" s="493" t="s">
        <v>7669</v>
      </c>
      <c r="I1136" s="501" t="s">
        <v>7655</v>
      </c>
    </row>
    <row r="1137" spans="1:9" ht="14.45">
      <c r="A1137" s="493">
        <v>90990</v>
      </c>
      <c r="B1137" s="493" t="s">
        <v>5659</v>
      </c>
      <c r="C1137" s="493" t="s">
        <v>3659</v>
      </c>
      <c r="D1137" s="493" t="s">
        <v>3918</v>
      </c>
      <c r="E1137" s="493" t="s">
        <v>3919</v>
      </c>
      <c r="F1137" s="493" t="s">
        <v>6821</v>
      </c>
      <c r="G1137" s="493" t="s">
        <v>8905</v>
      </c>
      <c r="H1137" s="493" t="s">
        <v>7681</v>
      </c>
      <c r="I1137" s="501" t="s">
        <v>7682</v>
      </c>
    </row>
    <row r="1138" spans="1:9" ht="14.45">
      <c r="A1138" s="493">
        <v>91414</v>
      </c>
      <c r="B1138" s="493" t="s">
        <v>3324</v>
      </c>
      <c r="C1138" s="493" t="s">
        <v>3659</v>
      </c>
      <c r="D1138" s="493" t="s">
        <v>4109</v>
      </c>
      <c r="E1138" s="493" t="s">
        <v>3666</v>
      </c>
      <c r="F1138" s="493" t="s">
        <v>6821</v>
      </c>
      <c r="G1138" s="493" t="s">
        <v>8906</v>
      </c>
      <c r="H1138" s="493" t="s">
        <v>7705</v>
      </c>
      <c r="I1138" s="501" t="s">
        <v>7706</v>
      </c>
    </row>
    <row r="1139" spans="1:9" ht="14.45">
      <c r="A1139" s="493">
        <v>91078</v>
      </c>
      <c r="B1139" s="493" t="s">
        <v>3139</v>
      </c>
      <c r="C1139" s="493" t="s">
        <v>3659</v>
      </c>
      <c r="D1139" s="493" t="s">
        <v>3770</v>
      </c>
      <c r="E1139" s="493" t="s">
        <v>4309</v>
      </c>
      <c r="F1139" s="493" t="s">
        <v>6906</v>
      </c>
      <c r="G1139" s="493" t="s">
        <v>8907</v>
      </c>
      <c r="H1139" s="493" t="s">
        <v>6912</v>
      </c>
      <c r="I1139" s="501" t="s">
        <v>6909</v>
      </c>
    </row>
    <row r="1140" spans="1:9" ht="14.45">
      <c r="A1140" s="493">
        <v>90992</v>
      </c>
      <c r="B1140" s="493" t="s">
        <v>5801</v>
      </c>
      <c r="C1140" s="493" t="s">
        <v>3659</v>
      </c>
      <c r="D1140" s="493" t="s">
        <v>3918</v>
      </c>
      <c r="E1140" s="493" t="s">
        <v>3919</v>
      </c>
      <c r="F1140" s="493" t="s">
        <v>6906</v>
      </c>
      <c r="G1140" s="493" t="s">
        <v>8908</v>
      </c>
      <c r="H1140" s="493" t="s">
        <v>7736</v>
      </c>
      <c r="I1140" s="501" t="s">
        <v>7233</v>
      </c>
    </row>
    <row r="1141" spans="1:9" ht="14.45">
      <c r="A1141" s="493">
        <v>91010</v>
      </c>
      <c r="B1141" s="493" t="s">
        <v>3803</v>
      </c>
      <c r="C1141" s="493" t="s">
        <v>3674</v>
      </c>
      <c r="D1141" s="493" t="s">
        <v>3770</v>
      </c>
      <c r="E1141" s="493" t="s">
        <v>3719</v>
      </c>
      <c r="F1141" s="493" t="s">
        <v>6906</v>
      </c>
      <c r="G1141" s="493" t="s">
        <v>8909</v>
      </c>
      <c r="H1141" s="493" t="s">
        <v>8910</v>
      </c>
      <c r="I1141" s="501" t="s">
        <v>7185</v>
      </c>
    </row>
    <row r="1142" spans="1:9" ht="14.45">
      <c r="A1142" s="493">
        <v>91130</v>
      </c>
      <c r="B1142" s="493" t="s">
        <v>3601</v>
      </c>
      <c r="C1142" s="493" t="s">
        <v>3659</v>
      </c>
      <c r="D1142" s="493" t="s">
        <v>2369</v>
      </c>
      <c r="E1142" s="493" t="s">
        <v>7843</v>
      </c>
      <c r="F1142" s="493" t="s">
        <v>6821</v>
      </c>
      <c r="G1142" s="493" t="s">
        <v>8911</v>
      </c>
      <c r="H1142" s="493" t="s">
        <v>7845</v>
      </c>
      <c r="I1142" s="501" t="s">
        <v>7848</v>
      </c>
    </row>
    <row r="1143" spans="1:9" ht="14.45">
      <c r="A1143" s="493">
        <v>91006</v>
      </c>
      <c r="B1143" s="493" t="s">
        <v>3040</v>
      </c>
      <c r="C1143" s="493" t="s">
        <v>3659</v>
      </c>
      <c r="D1143" s="493" t="s">
        <v>2369</v>
      </c>
      <c r="E1143" s="493" t="s">
        <v>47</v>
      </c>
      <c r="F1143" s="493" t="s">
        <v>6821</v>
      </c>
      <c r="G1143" s="493" t="s">
        <v>8912</v>
      </c>
      <c r="H1143" s="493" t="s">
        <v>7862</v>
      </c>
      <c r="I1143" s="501" t="s">
        <v>3075</v>
      </c>
    </row>
    <row r="1144" spans="1:9" ht="14.45">
      <c r="A1144" s="493">
        <v>91008</v>
      </c>
      <c r="B1144" s="493" t="s">
        <v>2977</v>
      </c>
      <c r="C1144" s="493" t="s">
        <v>3659</v>
      </c>
      <c r="D1144" s="493" t="s">
        <v>2369</v>
      </c>
      <c r="E1144" s="493" t="s">
        <v>6120</v>
      </c>
      <c r="F1144" s="493" t="s">
        <v>6821</v>
      </c>
      <c r="G1144" s="493" t="s">
        <v>8913</v>
      </c>
      <c r="H1144" s="493" t="s">
        <v>7890</v>
      </c>
      <c r="I1144" s="501" t="s">
        <v>7891</v>
      </c>
    </row>
    <row r="1145" spans="1:9" ht="14.45">
      <c r="A1145" s="493">
        <v>91070</v>
      </c>
      <c r="B1145" s="493" t="s">
        <v>2979</v>
      </c>
      <c r="C1145" s="493" t="s">
        <v>3659</v>
      </c>
      <c r="D1145" s="493" t="s">
        <v>2369</v>
      </c>
      <c r="E1145" s="493" t="s">
        <v>6120</v>
      </c>
      <c r="F1145" s="493" t="s">
        <v>6821</v>
      </c>
      <c r="G1145" s="493" t="s">
        <v>8914</v>
      </c>
      <c r="H1145" s="493" t="s">
        <v>7890</v>
      </c>
      <c r="I1145" s="501" t="s">
        <v>7895</v>
      </c>
    </row>
    <row r="1146" spans="1:9" ht="14.45">
      <c r="A1146" s="493">
        <v>91215</v>
      </c>
      <c r="B1146" s="493" t="s">
        <v>8915</v>
      </c>
      <c r="C1146" s="493" t="s">
        <v>3659</v>
      </c>
      <c r="D1146" s="493" t="s">
        <v>2369</v>
      </c>
      <c r="E1146" s="493" t="s">
        <v>7955</v>
      </c>
      <c r="F1146" s="493" t="s">
        <v>6821</v>
      </c>
      <c r="G1146" s="493" t="s">
        <v>8916</v>
      </c>
      <c r="H1146" s="493" t="s">
        <v>7957</v>
      </c>
      <c r="I1146" s="501" t="s">
        <v>7958</v>
      </c>
    </row>
    <row r="1147" spans="1:9" ht="14.45">
      <c r="A1147" s="493">
        <v>91007</v>
      </c>
      <c r="B1147" s="493" t="s">
        <v>8917</v>
      </c>
      <c r="C1147" s="493" t="s">
        <v>3659</v>
      </c>
      <c r="D1147" s="493" t="s">
        <v>2369</v>
      </c>
      <c r="E1147" s="493" t="s">
        <v>47</v>
      </c>
      <c r="F1147" s="493" t="s">
        <v>6906</v>
      </c>
      <c r="G1147" s="493" t="s">
        <v>8918</v>
      </c>
      <c r="H1147" s="493" t="s">
        <v>8000</v>
      </c>
      <c r="I1147" s="501" t="s">
        <v>7988</v>
      </c>
    </row>
    <row r="1148" spans="1:9" ht="14.45">
      <c r="A1148" s="493">
        <v>91063</v>
      </c>
      <c r="B1148" s="493" t="s">
        <v>8919</v>
      </c>
      <c r="C1148" s="493" t="s">
        <v>3659</v>
      </c>
      <c r="D1148" s="493" t="s">
        <v>3918</v>
      </c>
      <c r="E1148" s="493" t="s">
        <v>8071</v>
      </c>
      <c r="F1148" s="493" t="s">
        <v>6821</v>
      </c>
      <c r="G1148" s="493" t="s">
        <v>8920</v>
      </c>
      <c r="H1148" s="493" t="s">
        <v>8172</v>
      </c>
      <c r="I1148" s="501" t="s">
        <v>8176</v>
      </c>
    </row>
    <row r="1149" spans="1:9" ht="14.45">
      <c r="A1149" s="493">
        <v>91107</v>
      </c>
      <c r="B1149" s="493" t="s">
        <v>8921</v>
      </c>
      <c r="C1149" s="493" t="s">
        <v>3659</v>
      </c>
      <c r="D1149" s="493" t="s">
        <v>3681</v>
      </c>
      <c r="E1149" s="493" t="s">
        <v>47</v>
      </c>
      <c r="F1149" s="493" t="s">
        <v>6821</v>
      </c>
      <c r="G1149" s="493" t="s">
        <v>8922</v>
      </c>
      <c r="H1149" s="493" t="s">
        <v>8097</v>
      </c>
      <c r="I1149" s="501" t="s">
        <v>8098</v>
      </c>
    </row>
    <row r="1150" spans="1:9" ht="14.45">
      <c r="A1150" s="493">
        <v>91011</v>
      </c>
      <c r="B1150" s="493" t="s">
        <v>6323</v>
      </c>
      <c r="C1150" s="493" t="s">
        <v>3659</v>
      </c>
      <c r="D1150" s="493" t="s">
        <v>3828</v>
      </c>
      <c r="E1150" s="493" t="s">
        <v>4599</v>
      </c>
      <c r="F1150" s="493" t="s">
        <v>6821</v>
      </c>
      <c r="G1150" s="493" t="s">
        <v>8923</v>
      </c>
      <c r="H1150" s="493" t="s">
        <v>6929</v>
      </c>
      <c r="I1150" s="501" t="s">
        <v>6924</v>
      </c>
    </row>
    <row r="1151" spans="1:9" ht="14.45">
      <c r="A1151" s="493">
        <v>91428</v>
      </c>
      <c r="B1151" s="493" t="s">
        <v>3281</v>
      </c>
      <c r="C1151" s="493" t="s">
        <v>3659</v>
      </c>
      <c r="D1151" s="493" t="s">
        <v>3828</v>
      </c>
      <c r="E1151" s="493" t="s">
        <v>3666</v>
      </c>
      <c r="F1151" s="493" t="s">
        <v>6821</v>
      </c>
      <c r="G1151" s="493" t="s">
        <v>8924</v>
      </c>
      <c r="H1151" s="493" t="s">
        <v>6936</v>
      </c>
      <c r="I1151" s="501" t="s">
        <v>6934</v>
      </c>
    </row>
    <row r="1152" spans="1:9" ht="14.45">
      <c r="A1152" s="493">
        <v>91012</v>
      </c>
      <c r="B1152" s="493" t="s">
        <v>5360</v>
      </c>
      <c r="C1152" s="493" t="s">
        <v>3659</v>
      </c>
      <c r="D1152" s="493" t="s">
        <v>3828</v>
      </c>
      <c r="E1152" s="493" t="s">
        <v>3719</v>
      </c>
      <c r="F1152" s="493" t="s">
        <v>6821</v>
      </c>
      <c r="G1152" s="493" t="s">
        <v>8925</v>
      </c>
      <c r="H1152" s="493" t="s">
        <v>6946</v>
      </c>
      <c r="I1152" s="501" t="s">
        <v>6942</v>
      </c>
    </row>
    <row r="1153" spans="1:9" ht="14.45">
      <c r="A1153" s="493">
        <v>91396</v>
      </c>
      <c r="B1153" s="493" t="s">
        <v>3230</v>
      </c>
      <c r="C1153" s="493" t="s">
        <v>3659</v>
      </c>
      <c r="D1153" s="493" t="s">
        <v>3665</v>
      </c>
      <c r="E1153" s="493" t="s">
        <v>3666</v>
      </c>
      <c r="F1153" s="493" t="s">
        <v>6821</v>
      </c>
      <c r="G1153" s="493" t="s">
        <v>8926</v>
      </c>
      <c r="H1153" s="493" t="s">
        <v>6991</v>
      </c>
      <c r="I1153" s="501" t="s">
        <v>6992</v>
      </c>
    </row>
    <row r="1154" spans="1:9" ht="14.45">
      <c r="A1154" s="493">
        <v>91427</v>
      </c>
      <c r="B1154" s="493" t="s">
        <v>5856</v>
      </c>
      <c r="C1154" s="493" t="s">
        <v>3659</v>
      </c>
      <c r="D1154" s="493" t="s">
        <v>3828</v>
      </c>
      <c r="E1154" s="493" t="s">
        <v>3666</v>
      </c>
      <c r="F1154" s="493" t="s">
        <v>6821</v>
      </c>
      <c r="G1154" s="493" t="s">
        <v>8927</v>
      </c>
      <c r="H1154" s="493" t="s">
        <v>7048</v>
      </c>
      <c r="I1154" s="502">
        <v>2300000000</v>
      </c>
    </row>
    <row r="1155" spans="1:9" ht="14.45">
      <c r="A1155" s="493">
        <v>91096</v>
      </c>
      <c r="B1155" s="493" t="s">
        <v>5071</v>
      </c>
      <c r="C1155" s="493" t="s">
        <v>3659</v>
      </c>
      <c r="D1155" s="493" t="s">
        <v>3711</v>
      </c>
      <c r="E1155" s="493" t="s">
        <v>3719</v>
      </c>
      <c r="F1155" s="493" t="s">
        <v>6821</v>
      </c>
      <c r="G1155" s="493" t="s">
        <v>8928</v>
      </c>
      <c r="H1155" s="493" t="s">
        <v>7066</v>
      </c>
      <c r="I1155" s="501" t="s">
        <v>7067</v>
      </c>
    </row>
    <row r="1156" spans="1:9" ht="14.45">
      <c r="A1156" s="493">
        <v>91410</v>
      </c>
      <c r="B1156" s="493" t="s">
        <v>2854</v>
      </c>
      <c r="C1156" s="493" t="s">
        <v>3659</v>
      </c>
      <c r="D1156" s="493" t="s">
        <v>4109</v>
      </c>
      <c r="E1156" s="493" t="s">
        <v>5977</v>
      </c>
      <c r="F1156" s="493" t="s">
        <v>6821</v>
      </c>
      <c r="G1156" s="493" t="s">
        <v>8929</v>
      </c>
      <c r="H1156" s="493" t="s">
        <v>7423</v>
      </c>
      <c r="I1156" s="501" t="s">
        <v>8864</v>
      </c>
    </row>
    <row r="1157" spans="1:9" ht="14.45">
      <c r="A1157" s="493">
        <v>91365</v>
      </c>
      <c r="B1157" s="493" t="s">
        <v>4934</v>
      </c>
      <c r="C1157" s="493" t="s">
        <v>3659</v>
      </c>
      <c r="D1157" s="493" t="s">
        <v>3770</v>
      </c>
      <c r="E1157" s="493" t="s">
        <v>3719</v>
      </c>
      <c r="F1157" s="493" t="s">
        <v>6906</v>
      </c>
      <c r="G1157" s="493" t="s">
        <v>8930</v>
      </c>
      <c r="H1157" s="493" t="s">
        <v>7766</v>
      </c>
      <c r="I1157" s="501" t="s">
        <v>7166</v>
      </c>
    </row>
    <row r="1158" spans="1:9" ht="14.45">
      <c r="A1158" s="493">
        <v>91429</v>
      </c>
      <c r="B1158" s="493" t="s">
        <v>5023</v>
      </c>
      <c r="C1158" s="493" t="s">
        <v>3659</v>
      </c>
      <c r="D1158" s="493" t="s">
        <v>3665</v>
      </c>
      <c r="E1158" s="493" t="s">
        <v>3719</v>
      </c>
      <c r="F1158" s="493" t="s">
        <v>6821</v>
      </c>
      <c r="G1158" s="493" t="s">
        <v>8931</v>
      </c>
      <c r="H1158" s="493" t="s">
        <v>7037</v>
      </c>
      <c r="I1158" s="501" t="s">
        <v>8419</v>
      </c>
    </row>
    <row r="1159" spans="1:9" ht="14.45">
      <c r="A1159" s="493">
        <v>91013</v>
      </c>
      <c r="B1159" s="493" t="s">
        <v>3303</v>
      </c>
      <c r="C1159" s="493" t="s">
        <v>3659</v>
      </c>
      <c r="D1159" s="493" t="s">
        <v>3828</v>
      </c>
      <c r="E1159" s="493" t="s">
        <v>3666</v>
      </c>
      <c r="F1159" s="493" t="s">
        <v>6821</v>
      </c>
      <c r="G1159" s="493" t="s">
        <v>8932</v>
      </c>
      <c r="H1159" s="493" t="s">
        <v>7059</v>
      </c>
      <c r="I1159" s="501" t="s">
        <v>7054</v>
      </c>
    </row>
    <row r="1160" spans="1:9" ht="14.45">
      <c r="A1160" s="493">
        <v>91430</v>
      </c>
      <c r="B1160" s="493" t="s">
        <v>5100</v>
      </c>
      <c r="C1160" s="493" t="s">
        <v>3659</v>
      </c>
      <c r="D1160" s="493" t="s">
        <v>3711</v>
      </c>
      <c r="E1160" s="493" t="s">
        <v>3719</v>
      </c>
      <c r="F1160" s="493" t="s">
        <v>6821</v>
      </c>
      <c r="G1160" s="493" t="s">
        <v>8933</v>
      </c>
      <c r="H1160" s="493" t="s">
        <v>7146</v>
      </c>
      <c r="I1160" s="501" t="s">
        <v>8934</v>
      </c>
    </row>
    <row r="1161" spans="1:9" ht="14.45">
      <c r="A1161" s="493">
        <v>91185</v>
      </c>
      <c r="B1161" s="493" t="s">
        <v>3335</v>
      </c>
      <c r="C1161" s="493" t="s">
        <v>3659</v>
      </c>
      <c r="D1161" s="493" t="s">
        <v>4109</v>
      </c>
      <c r="E1161" s="493" t="s">
        <v>3666</v>
      </c>
      <c r="F1161" s="493" t="s">
        <v>6821</v>
      </c>
      <c r="G1161" s="493" t="s">
        <v>8935</v>
      </c>
      <c r="H1161" s="493" t="s">
        <v>7477</v>
      </c>
      <c r="I1161" s="501" t="s">
        <v>7478</v>
      </c>
    </row>
    <row r="1162" spans="1:9" ht="14.45">
      <c r="A1162" s="493">
        <v>91014</v>
      </c>
      <c r="B1162" s="493" t="s">
        <v>4828</v>
      </c>
      <c r="C1162" s="493" t="s">
        <v>3659</v>
      </c>
      <c r="D1162" s="493" t="s">
        <v>4215</v>
      </c>
      <c r="E1162" s="493" t="s">
        <v>7637</v>
      </c>
      <c r="F1162" s="493" t="s">
        <v>6821</v>
      </c>
      <c r="G1162" s="493" t="s">
        <v>8936</v>
      </c>
      <c r="H1162" s="493" t="s">
        <v>7780</v>
      </c>
      <c r="I1162" s="501" t="s">
        <v>7781</v>
      </c>
    </row>
    <row r="1163" spans="1:9" ht="14.45">
      <c r="A1163" s="493">
        <v>91015</v>
      </c>
      <c r="B1163" s="493" t="s">
        <v>3305</v>
      </c>
      <c r="C1163" s="493" t="s">
        <v>3659</v>
      </c>
      <c r="D1163" s="493" t="s">
        <v>3828</v>
      </c>
      <c r="E1163" s="493" t="s">
        <v>3666</v>
      </c>
      <c r="F1163" s="493" t="s">
        <v>6821</v>
      </c>
      <c r="G1163" s="493" t="s">
        <v>8937</v>
      </c>
      <c r="H1163" s="493" t="s">
        <v>7061</v>
      </c>
      <c r="I1163" s="501" t="s">
        <v>7054</v>
      </c>
    </row>
    <row r="1164" spans="1:9" ht="14.45">
      <c r="A1164" s="506" t="s">
        <v>8573</v>
      </c>
      <c r="B1164" s="506" t="s">
        <v>8573</v>
      </c>
      <c r="C1164" s="507" t="s">
        <v>3674</v>
      </c>
      <c r="D1164" s="507" t="s">
        <v>3681</v>
      </c>
      <c r="E1164" s="507" t="s">
        <v>846</v>
      </c>
      <c r="F1164" s="506" t="s">
        <v>8573</v>
      </c>
      <c r="G1164" s="506" t="s">
        <v>8938</v>
      </c>
      <c r="H1164" s="506" t="s">
        <v>8939</v>
      </c>
      <c r="I1164" s="508" t="s">
        <v>8573</v>
      </c>
    </row>
  </sheetData>
  <phoneticPr fontId="14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5F652-5804-4795-849E-682641BA79C7}">
  <sheetPr codeName="Sheet16"/>
  <dimension ref="A1:S147"/>
  <sheetViews>
    <sheetView topLeftCell="A48" workbookViewId="0">
      <selection activeCell="H76" sqref="H76"/>
    </sheetView>
  </sheetViews>
  <sheetFormatPr defaultRowHeight="14.45"/>
  <cols>
    <col min="1" max="1" width="12.140625" style="286" bestFit="1" customWidth="1"/>
    <col min="2" max="2" width="17.42578125" bestFit="1" customWidth="1"/>
    <col min="3" max="3" width="9.42578125" style="286" bestFit="1" customWidth="1"/>
    <col min="4" max="4" width="74.28515625" style="286" bestFit="1" customWidth="1"/>
    <col min="5" max="6" width="9.42578125" style="286" bestFit="1" customWidth="1"/>
    <col min="7" max="7" width="9.28515625" style="286" bestFit="1" customWidth="1"/>
    <col min="8" max="8" width="11.42578125" style="286" bestFit="1" customWidth="1"/>
    <col min="9" max="9" width="9.28515625" bestFit="1" customWidth="1"/>
    <col min="10" max="10" width="15.42578125" bestFit="1" customWidth="1"/>
    <col min="11" max="12" width="19.42578125" bestFit="1" customWidth="1"/>
    <col min="13" max="13" width="15.42578125" bestFit="1" customWidth="1"/>
    <col min="14" max="15" width="9.28515625" bestFit="1" customWidth="1"/>
    <col min="16" max="16" width="12.42578125" bestFit="1" customWidth="1"/>
    <col min="17" max="17" width="11.28515625" bestFit="1" customWidth="1"/>
    <col min="18" max="18" width="13.28515625" bestFit="1" customWidth="1"/>
    <col min="19" max="19" width="7.42578125" bestFit="1" customWidth="1"/>
  </cols>
  <sheetData>
    <row r="1" spans="1:19">
      <c r="A1" s="308" t="s">
        <v>8940</v>
      </c>
      <c r="B1" s="303" t="s">
        <v>8941</v>
      </c>
      <c r="C1" s="310" t="s">
        <v>8942</v>
      </c>
      <c r="D1" s="310" t="s">
        <v>8943</v>
      </c>
      <c r="E1" s="310" t="s">
        <v>8944</v>
      </c>
      <c r="F1" s="310" t="s">
        <v>8945</v>
      </c>
      <c r="G1" s="303" t="s">
        <v>8946</v>
      </c>
      <c r="H1" s="310" t="s">
        <v>8947</v>
      </c>
      <c r="I1" s="303" t="s">
        <v>8948</v>
      </c>
      <c r="J1" s="303" t="s">
        <v>8949</v>
      </c>
      <c r="K1" s="303" t="s">
        <v>8950</v>
      </c>
      <c r="L1" s="303" t="s">
        <v>8951</v>
      </c>
      <c r="M1" s="303" t="s">
        <v>8952</v>
      </c>
      <c r="N1" s="303" t="s">
        <v>8953</v>
      </c>
      <c r="O1" s="303" t="s">
        <v>8954</v>
      </c>
      <c r="P1" s="303" t="s">
        <v>8955</v>
      </c>
      <c r="Q1" s="303" t="s">
        <v>8956</v>
      </c>
      <c r="R1" s="303" t="s">
        <v>8957</v>
      </c>
      <c r="S1" s="303" t="s">
        <v>8958</v>
      </c>
    </row>
    <row r="2" spans="1:19">
      <c r="A2" s="309" t="s">
        <v>8959</v>
      </c>
      <c r="B2" s="305">
        <v>0</v>
      </c>
      <c r="C2" s="305" t="s">
        <v>8960</v>
      </c>
      <c r="D2" s="305" t="s">
        <v>8961</v>
      </c>
      <c r="E2" s="306" t="s">
        <v>5905</v>
      </c>
      <c r="F2" s="305" t="s">
        <v>8962</v>
      </c>
      <c r="G2" s="305" t="s">
        <v>8962</v>
      </c>
      <c r="H2" s="305" t="s">
        <v>8963</v>
      </c>
      <c r="I2" s="305" t="s">
        <v>8964</v>
      </c>
      <c r="J2" s="305">
        <v>0</v>
      </c>
      <c r="K2" s="305">
        <v>0</v>
      </c>
      <c r="L2" s="305">
        <v>0</v>
      </c>
      <c r="M2" s="307">
        <v>49274786</v>
      </c>
      <c r="N2" s="307">
        <v>-49174786</v>
      </c>
      <c r="O2" s="305" t="s">
        <v>8965</v>
      </c>
      <c r="P2" s="305">
        <v>0</v>
      </c>
      <c r="Q2" s="306" t="s">
        <v>5905</v>
      </c>
      <c r="R2" s="306" t="s">
        <v>5905</v>
      </c>
      <c r="S2" s="304" t="s">
        <v>8966</v>
      </c>
    </row>
    <row r="3" spans="1:19">
      <c r="A3" s="309" t="s">
        <v>8967</v>
      </c>
      <c r="B3" s="305">
        <v>0</v>
      </c>
      <c r="C3" s="305" t="s">
        <v>8960</v>
      </c>
      <c r="D3" s="305" t="s">
        <v>8968</v>
      </c>
      <c r="E3" s="306" t="s">
        <v>5905</v>
      </c>
      <c r="F3" s="305" t="s">
        <v>8962</v>
      </c>
      <c r="G3" s="305" t="s">
        <v>8962</v>
      </c>
      <c r="H3" s="305" t="s">
        <v>8969</v>
      </c>
      <c r="I3" s="305" t="s">
        <v>8970</v>
      </c>
      <c r="J3" s="305">
        <v>0</v>
      </c>
      <c r="K3" s="305">
        <v>0</v>
      </c>
      <c r="L3" s="305">
        <v>0</v>
      </c>
      <c r="M3" s="305">
        <v>0</v>
      </c>
      <c r="N3" s="307">
        <v>2753919</v>
      </c>
      <c r="O3" s="305" t="s">
        <v>8965</v>
      </c>
      <c r="P3" s="305">
        <v>0</v>
      </c>
      <c r="Q3" s="306" t="s">
        <v>5905</v>
      </c>
      <c r="R3" s="306" t="s">
        <v>5905</v>
      </c>
      <c r="S3" s="304" t="s">
        <v>8966</v>
      </c>
    </row>
    <row r="4" spans="1:19">
      <c r="A4" s="309" t="s">
        <v>108</v>
      </c>
      <c r="B4" s="305">
        <v>1</v>
      </c>
      <c r="C4" s="305" t="s">
        <v>8971</v>
      </c>
      <c r="D4" s="305" t="s">
        <v>107</v>
      </c>
      <c r="E4" s="305" t="s">
        <v>8972</v>
      </c>
      <c r="F4" s="305" t="s">
        <v>8962</v>
      </c>
      <c r="G4" s="305" t="s">
        <v>8973</v>
      </c>
      <c r="H4" s="305" t="s">
        <v>8974</v>
      </c>
      <c r="I4" s="305" t="s">
        <v>8975</v>
      </c>
      <c r="J4" s="305">
        <v>0</v>
      </c>
      <c r="K4" s="305">
        <v>0</v>
      </c>
      <c r="L4" s="305">
        <v>0</v>
      </c>
      <c r="M4" s="305">
        <v>0</v>
      </c>
      <c r="N4" s="307">
        <v>40869.839999999997</v>
      </c>
      <c r="O4" s="305" t="s">
        <v>8965</v>
      </c>
      <c r="P4" s="305">
        <v>0</v>
      </c>
      <c r="Q4" s="306" t="s">
        <v>5905</v>
      </c>
      <c r="R4" s="306" t="s">
        <v>5905</v>
      </c>
      <c r="S4" s="304" t="s">
        <v>8966</v>
      </c>
    </row>
    <row r="5" spans="1:19">
      <c r="A5" s="309" t="s">
        <v>8976</v>
      </c>
      <c r="B5" s="305">
        <v>4</v>
      </c>
      <c r="C5" s="305" t="s">
        <v>8971</v>
      </c>
      <c r="D5" s="305" t="s">
        <v>8977</v>
      </c>
      <c r="E5" s="305" t="s">
        <v>8978</v>
      </c>
      <c r="F5" s="305" t="s">
        <v>8979</v>
      </c>
      <c r="G5" s="305" t="s">
        <v>8962</v>
      </c>
      <c r="H5" s="305" t="s">
        <v>8980</v>
      </c>
      <c r="I5" s="305" t="s">
        <v>8981</v>
      </c>
      <c r="J5" s="305">
        <v>0</v>
      </c>
      <c r="K5" s="307">
        <v>4591474.9400000004</v>
      </c>
      <c r="L5" s="305">
        <v>0</v>
      </c>
      <c r="M5" s="305">
        <v>0</v>
      </c>
      <c r="N5" s="307">
        <v>937644.1</v>
      </c>
      <c r="O5" s="305" t="s">
        <v>8965</v>
      </c>
      <c r="P5" s="305">
        <v>0</v>
      </c>
      <c r="Q5" s="306" t="s">
        <v>5905</v>
      </c>
      <c r="R5" s="306" t="s">
        <v>5905</v>
      </c>
      <c r="S5" s="304" t="s">
        <v>8966</v>
      </c>
    </row>
    <row r="6" spans="1:19">
      <c r="A6" s="309" t="s">
        <v>8982</v>
      </c>
      <c r="B6" s="305">
        <v>0</v>
      </c>
      <c r="C6" s="305" t="s">
        <v>8960</v>
      </c>
      <c r="D6" s="305" t="s">
        <v>8983</v>
      </c>
      <c r="E6" s="306" t="s">
        <v>5905</v>
      </c>
      <c r="F6" s="305" t="s">
        <v>8962</v>
      </c>
      <c r="G6" s="305" t="s">
        <v>8962</v>
      </c>
      <c r="H6" s="305" t="s">
        <v>8984</v>
      </c>
      <c r="I6" s="305" t="s">
        <v>8985</v>
      </c>
      <c r="J6" s="305">
        <v>0</v>
      </c>
      <c r="K6" s="305">
        <v>0</v>
      </c>
      <c r="L6" s="305">
        <v>0</v>
      </c>
      <c r="M6" s="307">
        <v>73834.720000000001</v>
      </c>
      <c r="N6" s="307">
        <v>2677912.2799999998</v>
      </c>
      <c r="O6" s="305" t="s">
        <v>8965</v>
      </c>
      <c r="P6" s="305">
        <v>0</v>
      </c>
      <c r="Q6" s="306" t="s">
        <v>5905</v>
      </c>
      <c r="R6" s="306" t="s">
        <v>5905</v>
      </c>
      <c r="S6" s="304" t="s">
        <v>8966</v>
      </c>
    </row>
    <row r="7" spans="1:19">
      <c r="A7" s="309" t="s">
        <v>90</v>
      </c>
      <c r="B7" s="305">
        <v>0</v>
      </c>
      <c r="C7" s="305" t="s">
        <v>8971</v>
      </c>
      <c r="D7" s="305" t="s">
        <v>8986</v>
      </c>
      <c r="E7" s="305" t="s">
        <v>8987</v>
      </c>
      <c r="F7" s="305" t="s">
        <v>8988</v>
      </c>
      <c r="G7" s="305" t="s">
        <v>8973</v>
      </c>
      <c r="H7" s="305" t="s">
        <v>8989</v>
      </c>
      <c r="I7" s="306" t="s">
        <v>5905</v>
      </c>
      <c r="J7" s="305">
        <v>0</v>
      </c>
      <c r="K7" s="307">
        <v>60718</v>
      </c>
      <c r="L7" s="305">
        <v>0</v>
      </c>
      <c r="M7" s="305">
        <v>136.15</v>
      </c>
      <c r="N7" s="307">
        <v>19966.28</v>
      </c>
      <c r="O7" s="305" t="s">
        <v>8965</v>
      </c>
      <c r="P7" s="305">
        <v>0</v>
      </c>
      <c r="Q7" s="306" t="s">
        <v>5905</v>
      </c>
      <c r="R7" s="306" t="s">
        <v>5905</v>
      </c>
      <c r="S7" s="304" t="s">
        <v>8990</v>
      </c>
    </row>
    <row r="8" spans="1:19">
      <c r="A8" s="309" t="s">
        <v>100</v>
      </c>
      <c r="B8" s="305">
        <v>1</v>
      </c>
      <c r="C8" s="305" t="s">
        <v>8971</v>
      </c>
      <c r="D8" s="305" t="s">
        <v>8991</v>
      </c>
      <c r="E8" s="305" t="s">
        <v>8987</v>
      </c>
      <c r="F8" s="305" t="s">
        <v>8988</v>
      </c>
      <c r="G8" s="305" t="s">
        <v>8973</v>
      </c>
      <c r="H8" s="305" t="s">
        <v>8992</v>
      </c>
      <c r="I8" s="305" t="s">
        <v>1553</v>
      </c>
      <c r="J8" s="305">
        <v>0</v>
      </c>
      <c r="K8" s="307">
        <v>111238</v>
      </c>
      <c r="L8" s="305">
        <v>0</v>
      </c>
      <c r="M8" s="305">
        <v>99.14</v>
      </c>
      <c r="N8" s="307">
        <v>12827.26</v>
      </c>
      <c r="O8" s="305" t="s">
        <v>8965</v>
      </c>
      <c r="P8" s="305">
        <v>0</v>
      </c>
      <c r="Q8" s="306" t="s">
        <v>5905</v>
      </c>
      <c r="R8" s="306" t="s">
        <v>5905</v>
      </c>
      <c r="S8" s="304" t="s">
        <v>8966</v>
      </c>
    </row>
    <row r="9" spans="1:19">
      <c r="A9" s="309" t="s">
        <v>104</v>
      </c>
      <c r="B9" s="305">
        <v>19</v>
      </c>
      <c r="C9" s="305" t="s">
        <v>8971</v>
      </c>
      <c r="D9" s="305" t="s">
        <v>103</v>
      </c>
      <c r="E9" s="305" t="s">
        <v>8987</v>
      </c>
      <c r="F9" s="305" t="s">
        <v>2292</v>
      </c>
      <c r="G9" s="305" t="s">
        <v>8973</v>
      </c>
      <c r="H9" s="305" t="s">
        <v>8993</v>
      </c>
      <c r="I9" s="306" t="s">
        <v>5905</v>
      </c>
      <c r="J9" s="307">
        <v>7777464</v>
      </c>
      <c r="K9" s="307">
        <v>139200319.53999999</v>
      </c>
      <c r="L9" s="305">
        <v>0</v>
      </c>
      <c r="M9" s="307">
        <v>2612156.6800000002</v>
      </c>
      <c r="N9" s="307">
        <v>13057205.09</v>
      </c>
      <c r="O9" s="305" t="s">
        <v>8965</v>
      </c>
      <c r="P9" s="305">
        <v>0</v>
      </c>
      <c r="Q9" s="306" t="s">
        <v>5905</v>
      </c>
      <c r="R9" s="306" t="s">
        <v>5905</v>
      </c>
      <c r="S9" s="304" t="s">
        <v>8990</v>
      </c>
    </row>
    <row r="10" spans="1:19">
      <c r="A10" s="309" t="s">
        <v>111</v>
      </c>
      <c r="B10" s="305">
        <v>3</v>
      </c>
      <c r="C10" s="305" t="s">
        <v>8971</v>
      </c>
      <c r="D10" s="305" t="s">
        <v>110</v>
      </c>
      <c r="E10" s="305" t="s">
        <v>8987</v>
      </c>
      <c r="F10" s="305" t="s">
        <v>2065</v>
      </c>
      <c r="G10" s="305" t="s">
        <v>8962</v>
      </c>
      <c r="H10" s="305" t="s">
        <v>8994</v>
      </c>
      <c r="I10" s="306" t="s">
        <v>5905</v>
      </c>
      <c r="J10" s="307">
        <v>1775836.57</v>
      </c>
      <c r="K10" s="307">
        <v>3303239.21</v>
      </c>
      <c r="L10" s="305">
        <v>0</v>
      </c>
      <c r="M10" s="305">
        <v>0</v>
      </c>
      <c r="N10" s="307">
        <v>752004.4</v>
      </c>
      <c r="O10" s="305" t="s">
        <v>8965</v>
      </c>
      <c r="P10" s="305">
        <v>0</v>
      </c>
      <c r="Q10" s="306" t="s">
        <v>5905</v>
      </c>
      <c r="R10" s="306" t="s">
        <v>5905</v>
      </c>
      <c r="S10" s="304" t="s">
        <v>8990</v>
      </c>
    </row>
    <row r="11" spans="1:19">
      <c r="A11" s="309" t="s">
        <v>129</v>
      </c>
      <c r="B11" s="305">
        <v>15</v>
      </c>
      <c r="C11" s="305" t="s">
        <v>8971</v>
      </c>
      <c r="D11" s="305" t="s">
        <v>8995</v>
      </c>
      <c r="E11" s="305" t="s">
        <v>8987</v>
      </c>
      <c r="F11" s="305" t="s">
        <v>8996</v>
      </c>
      <c r="G11" s="305" t="s">
        <v>8962</v>
      </c>
      <c r="H11" s="305" t="s">
        <v>8994</v>
      </c>
      <c r="I11" s="306" t="s">
        <v>5905</v>
      </c>
      <c r="J11" s="307">
        <v>528979.93000000005</v>
      </c>
      <c r="K11" s="307">
        <v>173885232.59</v>
      </c>
      <c r="L11" s="305">
        <v>0</v>
      </c>
      <c r="M11" s="307">
        <v>4164791</v>
      </c>
      <c r="N11" s="307">
        <v>11249967.16</v>
      </c>
      <c r="O11" s="305" t="s">
        <v>8965</v>
      </c>
      <c r="P11" s="305">
        <v>0</v>
      </c>
      <c r="Q11" s="306" t="s">
        <v>5905</v>
      </c>
      <c r="R11" s="306" t="s">
        <v>5905</v>
      </c>
      <c r="S11" s="304" t="s">
        <v>8990</v>
      </c>
    </row>
    <row r="12" spans="1:19">
      <c r="A12" s="309" t="s">
        <v>118</v>
      </c>
      <c r="B12" s="305">
        <v>8</v>
      </c>
      <c r="C12" s="305" t="s">
        <v>8971</v>
      </c>
      <c r="D12" s="305" t="s">
        <v>117</v>
      </c>
      <c r="E12" s="305" t="s">
        <v>8987</v>
      </c>
      <c r="F12" s="305" t="s">
        <v>8996</v>
      </c>
      <c r="G12" s="305" t="s">
        <v>8962</v>
      </c>
      <c r="H12" s="305" t="s">
        <v>8994</v>
      </c>
      <c r="I12" s="306" t="s">
        <v>5905</v>
      </c>
      <c r="J12" s="307">
        <v>2052751</v>
      </c>
      <c r="K12" s="307">
        <v>35644625.840000004</v>
      </c>
      <c r="L12" s="305">
        <v>0</v>
      </c>
      <c r="M12" s="307">
        <v>500000</v>
      </c>
      <c r="N12" s="307">
        <v>3326959.83</v>
      </c>
      <c r="O12" s="305" t="s">
        <v>8965</v>
      </c>
      <c r="P12" s="305">
        <v>0</v>
      </c>
      <c r="Q12" s="306" t="s">
        <v>5905</v>
      </c>
      <c r="R12" s="306" t="s">
        <v>5905</v>
      </c>
      <c r="S12" s="304" t="s">
        <v>8990</v>
      </c>
    </row>
    <row r="13" spans="1:19">
      <c r="A13" s="309" t="s">
        <v>125</v>
      </c>
      <c r="B13" s="305">
        <v>3</v>
      </c>
      <c r="C13" s="305" t="s">
        <v>8971</v>
      </c>
      <c r="D13" s="305" t="s">
        <v>124</v>
      </c>
      <c r="E13" s="305" t="s">
        <v>8987</v>
      </c>
      <c r="F13" s="305" t="s">
        <v>8988</v>
      </c>
      <c r="G13" s="305" t="s">
        <v>2379</v>
      </c>
      <c r="H13" s="305" t="s">
        <v>8994</v>
      </c>
      <c r="I13" s="306" t="s">
        <v>5905</v>
      </c>
      <c r="J13" s="305">
        <v>0</v>
      </c>
      <c r="K13" s="307">
        <v>16359999.630000001</v>
      </c>
      <c r="L13" s="305">
        <v>0</v>
      </c>
      <c r="M13" s="305">
        <v>0</v>
      </c>
      <c r="N13" s="307">
        <v>2300622.2599999998</v>
      </c>
      <c r="O13" s="305" t="s">
        <v>8965</v>
      </c>
      <c r="P13" s="305">
        <v>0</v>
      </c>
      <c r="Q13" s="306" t="s">
        <v>5905</v>
      </c>
      <c r="R13" s="306" t="s">
        <v>5905</v>
      </c>
      <c r="S13" s="304" t="s">
        <v>8990</v>
      </c>
    </row>
    <row r="14" spans="1:19">
      <c r="A14" s="309" t="s">
        <v>141</v>
      </c>
      <c r="B14" s="305">
        <v>2</v>
      </c>
      <c r="C14" s="305" t="s">
        <v>8971</v>
      </c>
      <c r="D14" s="305" t="s">
        <v>140</v>
      </c>
      <c r="E14" s="305" t="s">
        <v>8987</v>
      </c>
      <c r="F14" s="305" t="s">
        <v>8988</v>
      </c>
      <c r="G14" s="305" t="s">
        <v>2379</v>
      </c>
      <c r="H14" s="305" t="s">
        <v>8994</v>
      </c>
      <c r="I14" s="306" t="s">
        <v>5905</v>
      </c>
      <c r="J14" s="305">
        <v>0</v>
      </c>
      <c r="K14" s="307">
        <v>10109999.880000001</v>
      </c>
      <c r="L14" s="305">
        <v>0</v>
      </c>
      <c r="M14" s="305">
        <v>0</v>
      </c>
      <c r="N14" s="307">
        <v>1852817.12</v>
      </c>
      <c r="O14" s="305" t="s">
        <v>8965</v>
      </c>
      <c r="P14" s="305">
        <v>0</v>
      </c>
      <c r="Q14" s="306" t="s">
        <v>5905</v>
      </c>
      <c r="R14" s="306" t="s">
        <v>5905</v>
      </c>
      <c r="S14" s="304" t="s">
        <v>8990</v>
      </c>
    </row>
    <row r="15" spans="1:19">
      <c r="A15" s="309" t="s">
        <v>120</v>
      </c>
      <c r="B15" s="305">
        <v>20</v>
      </c>
      <c r="C15" s="305" t="s">
        <v>8971</v>
      </c>
      <c r="D15" s="305" t="s">
        <v>119</v>
      </c>
      <c r="E15" s="305" t="s">
        <v>8987</v>
      </c>
      <c r="F15" s="305" t="s">
        <v>2065</v>
      </c>
      <c r="G15" s="305" t="s">
        <v>8973</v>
      </c>
      <c r="H15" s="305" t="s">
        <v>8997</v>
      </c>
      <c r="I15" s="306" t="s">
        <v>5905</v>
      </c>
      <c r="J15" s="307">
        <v>9955729.7100000009</v>
      </c>
      <c r="K15" s="307">
        <v>139909668.03</v>
      </c>
      <c r="L15" s="305">
        <v>0</v>
      </c>
      <c r="M15" s="307">
        <v>4062794</v>
      </c>
      <c r="N15" s="307">
        <v>11431279.01</v>
      </c>
      <c r="O15" s="305" t="s">
        <v>8965</v>
      </c>
      <c r="P15" s="305">
        <v>0</v>
      </c>
      <c r="Q15" s="306" t="s">
        <v>5905</v>
      </c>
      <c r="R15" s="306" t="s">
        <v>5905</v>
      </c>
      <c r="S15" s="304" t="s">
        <v>8990</v>
      </c>
    </row>
    <row r="16" spans="1:19">
      <c r="A16" s="309" t="s">
        <v>113</v>
      </c>
      <c r="B16" s="305">
        <v>3</v>
      </c>
      <c r="C16" s="305" t="s">
        <v>8971</v>
      </c>
      <c r="D16" s="305" t="s">
        <v>8998</v>
      </c>
      <c r="E16" s="305" t="s">
        <v>8987</v>
      </c>
      <c r="F16" s="305" t="s">
        <v>8999</v>
      </c>
      <c r="G16" s="305" t="s">
        <v>2379</v>
      </c>
      <c r="H16" s="305" t="s">
        <v>9000</v>
      </c>
      <c r="I16" s="306" t="s">
        <v>5905</v>
      </c>
      <c r="J16" s="305">
        <v>0</v>
      </c>
      <c r="K16" s="307">
        <v>5677371.8700000001</v>
      </c>
      <c r="L16" s="305">
        <v>0</v>
      </c>
      <c r="M16" s="305">
        <v>0</v>
      </c>
      <c r="N16" s="307">
        <v>522148.13</v>
      </c>
      <c r="O16" s="305" t="s">
        <v>8965</v>
      </c>
      <c r="P16" s="305">
        <v>0</v>
      </c>
      <c r="Q16" s="306" t="s">
        <v>5905</v>
      </c>
      <c r="R16" s="306" t="s">
        <v>5905</v>
      </c>
      <c r="S16" s="304" t="s">
        <v>8990</v>
      </c>
    </row>
    <row r="17" spans="1:19">
      <c r="A17" s="309" t="s">
        <v>122</v>
      </c>
      <c r="B17" s="305">
        <v>5</v>
      </c>
      <c r="C17" s="305" t="s">
        <v>8971</v>
      </c>
      <c r="D17" s="305" t="s">
        <v>9001</v>
      </c>
      <c r="E17" s="305" t="s">
        <v>8987</v>
      </c>
      <c r="F17" s="305" t="s">
        <v>2065</v>
      </c>
      <c r="G17" s="305" t="s">
        <v>8973</v>
      </c>
      <c r="H17" s="305" t="s">
        <v>9000</v>
      </c>
      <c r="I17" s="306" t="s">
        <v>5905</v>
      </c>
      <c r="J17" s="305">
        <v>0</v>
      </c>
      <c r="K17" s="307">
        <v>9566067.1199999992</v>
      </c>
      <c r="L17" s="305">
        <v>0</v>
      </c>
      <c r="M17" s="305">
        <v>0</v>
      </c>
      <c r="N17" s="307">
        <v>1999813.33</v>
      </c>
      <c r="O17" s="305" t="s">
        <v>8965</v>
      </c>
      <c r="P17" s="305">
        <v>0</v>
      </c>
      <c r="Q17" s="306" t="s">
        <v>5905</v>
      </c>
      <c r="R17" s="306" t="s">
        <v>5905</v>
      </c>
      <c r="S17" s="304" t="s">
        <v>8990</v>
      </c>
    </row>
    <row r="18" spans="1:19">
      <c r="A18" s="309" t="s">
        <v>143</v>
      </c>
      <c r="B18" s="305">
        <v>3</v>
      </c>
      <c r="C18" s="305" t="s">
        <v>8971</v>
      </c>
      <c r="D18" s="305" t="s">
        <v>9002</v>
      </c>
      <c r="E18" s="305" t="s">
        <v>8987</v>
      </c>
      <c r="F18" s="305" t="s">
        <v>8988</v>
      </c>
      <c r="G18" s="305" t="s">
        <v>2379</v>
      </c>
      <c r="H18" s="305" t="s">
        <v>9000</v>
      </c>
      <c r="I18" s="306" t="s">
        <v>5905</v>
      </c>
      <c r="J18" s="307">
        <v>284500.28999999998</v>
      </c>
      <c r="K18" s="307">
        <v>4305499.5</v>
      </c>
      <c r="L18" s="305">
        <v>0</v>
      </c>
      <c r="M18" s="305">
        <v>0</v>
      </c>
      <c r="N18" s="307">
        <v>759035.88</v>
      </c>
      <c r="O18" s="305" t="s">
        <v>8965</v>
      </c>
      <c r="P18" s="305">
        <v>0</v>
      </c>
      <c r="Q18" s="306" t="s">
        <v>5905</v>
      </c>
      <c r="R18" s="306" t="s">
        <v>5905</v>
      </c>
      <c r="S18" s="304" t="s">
        <v>8990</v>
      </c>
    </row>
    <row r="19" spans="1:19">
      <c r="A19" s="309" t="s">
        <v>135</v>
      </c>
      <c r="B19" s="305">
        <v>5</v>
      </c>
      <c r="C19" s="305" t="s">
        <v>8971</v>
      </c>
      <c r="D19" s="305" t="s">
        <v>9003</v>
      </c>
      <c r="E19" s="305" t="s">
        <v>8987</v>
      </c>
      <c r="F19" s="305" t="s">
        <v>8988</v>
      </c>
      <c r="G19" s="305" t="s">
        <v>2379</v>
      </c>
      <c r="H19" s="305" t="s">
        <v>9000</v>
      </c>
      <c r="I19" s="306" t="s">
        <v>5905</v>
      </c>
      <c r="J19" s="305">
        <v>0</v>
      </c>
      <c r="K19" s="307">
        <v>7072999.9900000002</v>
      </c>
      <c r="L19" s="305">
        <v>0</v>
      </c>
      <c r="M19" s="305">
        <v>0</v>
      </c>
      <c r="N19" s="307">
        <v>1143662.8400000001</v>
      </c>
      <c r="O19" s="305" t="s">
        <v>8965</v>
      </c>
      <c r="P19" s="305">
        <v>0</v>
      </c>
      <c r="Q19" s="306" t="s">
        <v>5905</v>
      </c>
      <c r="R19" s="306" t="s">
        <v>5905</v>
      </c>
      <c r="S19" s="304" t="s">
        <v>8990</v>
      </c>
    </row>
    <row r="20" spans="1:19">
      <c r="A20" s="309" t="s">
        <v>145</v>
      </c>
      <c r="B20" s="305">
        <v>1</v>
      </c>
      <c r="C20" s="305" t="s">
        <v>8971</v>
      </c>
      <c r="D20" s="305" t="s">
        <v>9004</v>
      </c>
      <c r="E20" s="305" t="s">
        <v>8987</v>
      </c>
      <c r="F20" s="305" t="s">
        <v>2065</v>
      </c>
      <c r="G20" s="305" t="s">
        <v>8973</v>
      </c>
      <c r="H20" s="305" t="s">
        <v>9000</v>
      </c>
      <c r="I20" s="306" t="s">
        <v>5905</v>
      </c>
      <c r="J20" s="305">
        <v>0</v>
      </c>
      <c r="K20" s="307">
        <v>2291946.83</v>
      </c>
      <c r="L20" s="305">
        <v>0</v>
      </c>
      <c r="M20" s="305">
        <v>0</v>
      </c>
      <c r="N20" s="307">
        <v>813273.75</v>
      </c>
      <c r="O20" s="305" t="s">
        <v>8965</v>
      </c>
      <c r="P20" s="305">
        <v>0</v>
      </c>
      <c r="Q20" s="306" t="s">
        <v>5905</v>
      </c>
      <c r="R20" s="306" t="s">
        <v>5905</v>
      </c>
      <c r="S20" s="304" t="s">
        <v>8990</v>
      </c>
    </row>
    <row r="21" spans="1:19">
      <c r="A21" s="309" t="s">
        <v>9005</v>
      </c>
      <c r="B21" s="305">
        <v>0</v>
      </c>
      <c r="C21" s="305" t="s">
        <v>8960</v>
      </c>
      <c r="D21" s="305" t="s">
        <v>9006</v>
      </c>
      <c r="E21" s="306" t="s">
        <v>5905</v>
      </c>
      <c r="F21" s="305" t="s">
        <v>8962</v>
      </c>
      <c r="G21" s="305" t="s">
        <v>8962</v>
      </c>
      <c r="H21" s="305" t="s">
        <v>9007</v>
      </c>
      <c r="I21" s="305" t="s">
        <v>9008</v>
      </c>
      <c r="J21" s="305">
        <v>0</v>
      </c>
      <c r="K21" s="305">
        <v>0</v>
      </c>
      <c r="L21" s="305">
        <v>0</v>
      </c>
      <c r="M21" s="305">
        <v>0</v>
      </c>
      <c r="N21" s="307">
        <v>29971974</v>
      </c>
      <c r="O21" s="305" t="s">
        <v>8965</v>
      </c>
      <c r="P21" s="305">
        <v>0</v>
      </c>
      <c r="Q21" s="306" t="s">
        <v>5905</v>
      </c>
      <c r="R21" s="306" t="s">
        <v>5905</v>
      </c>
      <c r="S21" s="304" t="s">
        <v>8966</v>
      </c>
    </row>
    <row r="22" spans="1:19">
      <c r="A22" s="309" t="s">
        <v>9009</v>
      </c>
      <c r="B22" s="305">
        <v>0</v>
      </c>
      <c r="C22" s="305" t="s">
        <v>8960</v>
      </c>
      <c r="D22" s="305" t="s">
        <v>9010</v>
      </c>
      <c r="E22" s="306" t="s">
        <v>5905</v>
      </c>
      <c r="F22" s="305" t="s">
        <v>8962</v>
      </c>
      <c r="G22" s="305" t="s">
        <v>8962</v>
      </c>
      <c r="H22" s="305" t="s">
        <v>9007</v>
      </c>
      <c r="I22" s="305" t="s">
        <v>9008</v>
      </c>
      <c r="J22" s="305">
        <v>0</v>
      </c>
      <c r="K22" s="305">
        <v>0</v>
      </c>
      <c r="L22" s="305">
        <v>0</v>
      </c>
      <c r="M22" s="305">
        <v>0</v>
      </c>
      <c r="N22" s="305">
        <v>0</v>
      </c>
      <c r="O22" s="305" t="s">
        <v>8965</v>
      </c>
      <c r="P22" s="305">
        <v>0</v>
      </c>
      <c r="Q22" s="306" t="s">
        <v>5905</v>
      </c>
      <c r="R22" s="306" t="s">
        <v>5905</v>
      </c>
      <c r="S22" s="304" t="s">
        <v>8966</v>
      </c>
    </row>
    <row r="23" spans="1:19">
      <c r="A23" s="309" t="s">
        <v>156</v>
      </c>
      <c r="B23" s="305">
        <v>1</v>
      </c>
      <c r="C23" s="305" t="s">
        <v>8971</v>
      </c>
      <c r="D23" s="305" t="s">
        <v>9011</v>
      </c>
      <c r="E23" s="305" t="s">
        <v>8987</v>
      </c>
      <c r="F23" s="305" t="s">
        <v>8988</v>
      </c>
      <c r="G23" s="305" t="s">
        <v>8973</v>
      </c>
      <c r="H23" s="305" t="s">
        <v>9012</v>
      </c>
      <c r="I23" s="306" t="s">
        <v>5905</v>
      </c>
      <c r="J23" s="305">
        <v>0</v>
      </c>
      <c r="K23" s="307">
        <v>7995552.9900000002</v>
      </c>
      <c r="L23" s="305">
        <v>0</v>
      </c>
      <c r="M23" s="305">
        <v>0</v>
      </c>
      <c r="N23" s="307">
        <v>766066.35</v>
      </c>
      <c r="O23" s="305" t="s">
        <v>8965</v>
      </c>
      <c r="P23" s="305">
        <v>0</v>
      </c>
      <c r="Q23" s="306" t="s">
        <v>5905</v>
      </c>
      <c r="R23" s="306" t="s">
        <v>5905</v>
      </c>
      <c r="S23" s="304" t="s">
        <v>8990</v>
      </c>
    </row>
    <row r="24" spans="1:19">
      <c r="A24" s="309" t="s">
        <v>9013</v>
      </c>
      <c r="B24" s="305">
        <v>0</v>
      </c>
      <c r="C24" s="305" t="s">
        <v>8971</v>
      </c>
      <c r="D24" s="305" t="s">
        <v>163</v>
      </c>
      <c r="E24" s="305" t="s">
        <v>9014</v>
      </c>
      <c r="F24" s="305" t="s">
        <v>2379</v>
      </c>
      <c r="G24" s="305" t="s">
        <v>8973</v>
      </c>
      <c r="H24" s="305" t="s">
        <v>9015</v>
      </c>
      <c r="I24" s="306" t="s">
        <v>5905</v>
      </c>
      <c r="J24" s="305">
        <v>0</v>
      </c>
      <c r="K24" s="305">
        <v>0</v>
      </c>
      <c r="L24" s="305">
        <v>0</v>
      </c>
      <c r="M24" s="305">
        <v>0</v>
      </c>
      <c r="N24" s="307">
        <v>496325.62</v>
      </c>
      <c r="O24" s="305" t="s">
        <v>8965</v>
      </c>
      <c r="P24" s="305">
        <v>0</v>
      </c>
      <c r="Q24" s="306" t="s">
        <v>5905</v>
      </c>
      <c r="R24" s="306" t="s">
        <v>5905</v>
      </c>
      <c r="S24" s="304" t="s">
        <v>9016</v>
      </c>
    </row>
    <row r="25" spans="1:19">
      <c r="A25" s="309" t="s">
        <v>164</v>
      </c>
      <c r="B25" s="305">
        <v>11</v>
      </c>
      <c r="C25" s="305" t="s">
        <v>8971</v>
      </c>
      <c r="D25" s="305" t="s">
        <v>163</v>
      </c>
      <c r="E25" s="305" t="s">
        <v>9014</v>
      </c>
      <c r="F25" s="305" t="s">
        <v>8973</v>
      </c>
      <c r="G25" s="305" t="s">
        <v>8973</v>
      </c>
      <c r="H25" s="305" t="s">
        <v>9015</v>
      </c>
      <c r="I25" s="306" t="s">
        <v>5905</v>
      </c>
      <c r="J25" s="305">
        <v>0</v>
      </c>
      <c r="K25" s="307">
        <v>15558236.65</v>
      </c>
      <c r="L25" s="305">
        <v>0</v>
      </c>
      <c r="M25" s="305">
        <v>0</v>
      </c>
      <c r="N25" s="307">
        <v>813562.16</v>
      </c>
      <c r="O25" s="305" t="s">
        <v>8965</v>
      </c>
      <c r="P25" s="305">
        <v>0</v>
      </c>
      <c r="Q25" s="306" t="s">
        <v>5905</v>
      </c>
      <c r="R25" s="306" t="s">
        <v>5905</v>
      </c>
      <c r="S25" s="304" t="s">
        <v>8990</v>
      </c>
    </row>
    <row r="26" spans="1:19">
      <c r="A26" s="309" t="s">
        <v>9017</v>
      </c>
      <c r="B26" s="305">
        <v>0</v>
      </c>
      <c r="C26" s="305" t="s">
        <v>8971</v>
      </c>
      <c r="D26" s="305" t="s">
        <v>9018</v>
      </c>
      <c r="E26" s="305" t="s">
        <v>8987</v>
      </c>
      <c r="F26" s="305" t="s">
        <v>8973</v>
      </c>
      <c r="G26" s="305" t="s">
        <v>8973</v>
      </c>
      <c r="H26" s="305" t="s">
        <v>9019</v>
      </c>
      <c r="I26" s="306" t="s">
        <v>5905</v>
      </c>
      <c r="J26" s="305">
        <v>0</v>
      </c>
      <c r="K26" s="305">
        <v>0</v>
      </c>
      <c r="L26" s="305">
        <v>0</v>
      </c>
      <c r="M26" s="305">
        <v>0</v>
      </c>
      <c r="N26" s="307">
        <v>544869.44999999995</v>
      </c>
      <c r="O26" s="305" t="s">
        <v>8965</v>
      </c>
      <c r="P26" s="305">
        <v>0</v>
      </c>
      <c r="Q26" s="306" t="s">
        <v>5905</v>
      </c>
      <c r="R26" s="306" t="s">
        <v>5905</v>
      </c>
      <c r="S26" s="304" t="s">
        <v>9016</v>
      </c>
    </row>
    <row r="27" spans="1:19">
      <c r="A27" s="309" t="s">
        <v>222</v>
      </c>
      <c r="B27" s="305">
        <v>10</v>
      </c>
      <c r="C27" s="305" t="s">
        <v>8971</v>
      </c>
      <c r="D27" s="305" t="s">
        <v>9018</v>
      </c>
      <c r="E27" s="305" t="s">
        <v>8987</v>
      </c>
      <c r="F27" s="305" t="s">
        <v>8973</v>
      </c>
      <c r="G27" s="305" t="s">
        <v>8973</v>
      </c>
      <c r="H27" s="305" t="s">
        <v>9019</v>
      </c>
      <c r="I27" s="306" t="s">
        <v>5905</v>
      </c>
      <c r="J27" s="305">
        <v>0</v>
      </c>
      <c r="K27" s="307">
        <v>10296938.09</v>
      </c>
      <c r="L27" s="305">
        <v>0</v>
      </c>
      <c r="M27" s="305">
        <v>0</v>
      </c>
      <c r="N27" s="307">
        <v>910135.24</v>
      </c>
      <c r="O27" s="305" t="s">
        <v>8965</v>
      </c>
      <c r="P27" s="305">
        <v>0</v>
      </c>
      <c r="Q27" s="306" t="s">
        <v>5905</v>
      </c>
      <c r="R27" s="306" t="s">
        <v>5905</v>
      </c>
      <c r="S27" s="304" t="s">
        <v>8990</v>
      </c>
    </row>
    <row r="28" spans="1:19">
      <c r="A28" s="309" t="s">
        <v>282</v>
      </c>
      <c r="B28" s="305">
        <v>1</v>
      </c>
      <c r="C28" s="305" t="s">
        <v>8971</v>
      </c>
      <c r="D28" s="305" t="s">
        <v>281</v>
      </c>
      <c r="E28" s="305" t="s">
        <v>9020</v>
      </c>
      <c r="F28" s="305" t="s">
        <v>2109</v>
      </c>
      <c r="G28" s="305" t="s">
        <v>8973</v>
      </c>
      <c r="H28" s="305" t="s">
        <v>9019</v>
      </c>
      <c r="I28" s="306" t="s">
        <v>5905</v>
      </c>
      <c r="J28" s="305">
        <v>0</v>
      </c>
      <c r="K28" s="307">
        <v>3399145</v>
      </c>
      <c r="L28" s="305">
        <v>0</v>
      </c>
      <c r="M28" s="305">
        <v>0</v>
      </c>
      <c r="N28" s="307">
        <v>311103</v>
      </c>
      <c r="O28" s="305" t="s">
        <v>8965</v>
      </c>
      <c r="P28" s="305">
        <v>0</v>
      </c>
      <c r="Q28" s="306" t="s">
        <v>5905</v>
      </c>
      <c r="R28" s="306" t="s">
        <v>5905</v>
      </c>
      <c r="S28" s="304" t="s">
        <v>8990</v>
      </c>
    </row>
    <row r="29" spans="1:19">
      <c r="A29" s="309" t="s">
        <v>240</v>
      </c>
      <c r="B29" s="305">
        <v>3</v>
      </c>
      <c r="C29" s="305" t="s">
        <v>8971</v>
      </c>
      <c r="D29" s="305" t="s">
        <v>9021</v>
      </c>
      <c r="E29" s="305" t="s">
        <v>9022</v>
      </c>
      <c r="F29" s="305" t="s">
        <v>8973</v>
      </c>
      <c r="G29" s="305" t="s">
        <v>8973</v>
      </c>
      <c r="H29" s="305" t="s">
        <v>9023</v>
      </c>
      <c r="I29" s="306" t="s">
        <v>5905</v>
      </c>
      <c r="J29" s="305">
        <v>0</v>
      </c>
      <c r="K29" s="307">
        <v>1110220</v>
      </c>
      <c r="L29" s="305">
        <v>0</v>
      </c>
      <c r="M29" s="305">
        <v>0</v>
      </c>
      <c r="N29" s="307">
        <v>128284.39</v>
      </c>
      <c r="O29" s="305" t="s">
        <v>8965</v>
      </c>
      <c r="P29" s="305">
        <v>0</v>
      </c>
      <c r="Q29" s="306" t="s">
        <v>5905</v>
      </c>
      <c r="R29" s="306" t="s">
        <v>5905</v>
      </c>
      <c r="S29" s="304" t="s">
        <v>8990</v>
      </c>
    </row>
    <row r="30" spans="1:19">
      <c r="A30" s="309" t="s">
        <v>278</v>
      </c>
      <c r="B30" s="305">
        <v>6</v>
      </c>
      <c r="C30" s="305" t="s">
        <v>8971</v>
      </c>
      <c r="D30" s="305" t="s">
        <v>9024</v>
      </c>
      <c r="E30" s="305" t="s">
        <v>8987</v>
      </c>
      <c r="F30" s="305" t="s">
        <v>2312</v>
      </c>
      <c r="G30" s="305" t="s">
        <v>8973</v>
      </c>
      <c r="H30" s="305" t="s">
        <v>9025</v>
      </c>
      <c r="I30" s="306" t="s">
        <v>5905</v>
      </c>
      <c r="J30" s="305">
        <v>0</v>
      </c>
      <c r="K30" s="307">
        <v>9604339.5700000003</v>
      </c>
      <c r="L30" s="305">
        <v>0</v>
      </c>
      <c r="M30" s="307">
        <v>1012828</v>
      </c>
      <c r="N30" s="307">
        <v>9952386.1500000004</v>
      </c>
      <c r="O30" s="305" t="s">
        <v>8965</v>
      </c>
      <c r="P30" s="305">
        <v>0</v>
      </c>
      <c r="Q30" s="306" t="s">
        <v>5905</v>
      </c>
      <c r="R30" s="306" t="s">
        <v>5905</v>
      </c>
      <c r="S30" s="304" t="s">
        <v>8990</v>
      </c>
    </row>
    <row r="31" spans="1:19">
      <c r="A31" s="309" t="s">
        <v>193</v>
      </c>
      <c r="B31" s="305">
        <v>0</v>
      </c>
      <c r="C31" s="305" t="s">
        <v>8971</v>
      </c>
      <c r="D31" s="305" t="s">
        <v>9026</v>
      </c>
      <c r="E31" s="305" t="s">
        <v>8987</v>
      </c>
      <c r="F31" s="305" t="s">
        <v>8988</v>
      </c>
      <c r="G31" s="305" t="s">
        <v>8973</v>
      </c>
      <c r="H31" s="305" t="s">
        <v>9027</v>
      </c>
      <c r="I31" s="306" t="s">
        <v>5905</v>
      </c>
      <c r="J31" s="305">
        <v>0</v>
      </c>
      <c r="K31" s="307">
        <v>349999.7</v>
      </c>
      <c r="L31" s="305">
        <v>0</v>
      </c>
      <c r="M31" s="305">
        <v>0</v>
      </c>
      <c r="N31" s="307">
        <v>30600.3</v>
      </c>
      <c r="O31" s="305" t="s">
        <v>8965</v>
      </c>
      <c r="P31" s="305">
        <v>0</v>
      </c>
      <c r="Q31" s="306" t="s">
        <v>5905</v>
      </c>
      <c r="R31" s="306" t="s">
        <v>5905</v>
      </c>
      <c r="S31" s="304" t="s">
        <v>8990</v>
      </c>
    </row>
    <row r="32" spans="1:19">
      <c r="A32" s="309" t="s">
        <v>190</v>
      </c>
      <c r="B32" s="305">
        <v>3</v>
      </c>
      <c r="C32" s="305" t="s">
        <v>8971</v>
      </c>
      <c r="D32" s="305" t="s">
        <v>9028</v>
      </c>
      <c r="E32" s="305" t="s">
        <v>8987</v>
      </c>
      <c r="F32" s="305" t="s">
        <v>8988</v>
      </c>
      <c r="G32" s="305" t="s">
        <v>8988</v>
      </c>
      <c r="H32" s="305" t="s">
        <v>9029</v>
      </c>
      <c r="I32" s="306" t="s">
        <v>5905</v>
      </c>
      <c r="J32" s="305">
        <v>0</v>
      </c>
      <c r="K32" s="307">
        <v>10265135.85</v>
      </c>
      <c r="L32" s="305">
        <v>0</v>
      </c>
      <c r="M32" s="305">
        <v>0</v>
      </c>
      <c r="N32" s="307">
        <v>898818.26</v>
      </c>
      <c r="O32" s="305" t="s">
        <v>8965</v>
      </c>
      <c r="P32" s="305">
        <v>0</v>
      </c>
      <c r="Q32" s="306" t="s">
        <v>5905</v>
      </c>
      <c r="R32" s="306" t="s">
        <v>5905</v>
      </c>
      <c r="S32" s="304" t="s">
        <v>8990</v>
      </c>
    </row>
    <row r="33" spans="1:19">
      <c r="A33" s="309" t="s">
        <v>272</v>
      </c>
      <c r="B33" s="305">
        <v>2</v>
      </c>
      <c r="C33" s="305" t="s">
        <v>8971</v>
      </c>
      <c r="D33" s="305" t="s">
        <v>9030</v>
      </c>
      <c r="E33" s="305" t="s">
        <v>8987</v>
      </c>
      <c r="F33" s="305" t="s">
        <v>9031</v>
      </c>
      <c r="G33" s="305" t="s">
        <v>8973</v>
      </c>
      <c r="H33" s="305" t="s">
        <v>9032</v>
      </c>
      <c r="I33" s="306" t="s">
        <v>5905</v>
      </c>
      <c r="J33" s="305">
        <v>0</v>
      </c>
      <c r="K33" s="307">
        <v>2223500</v>
      </c>
      <c r="L33" s="305">
        <v>0</v>
      </c>
      <c r="M33" s="305">
        <v>0</v>
      </c>
      <c r="N33" s="307">
        <v>186002.48</v>
      </c>
      <c r="O33" s="305" t="s">
        <v>8965</v>
      </c>
      <c r="P33" s="305">
        <v>0</v>
      </c>
      <c r="Q33" s="306" t="s">
        <v>5905</v>
      </c>
      <c r="R33" s="306" t="s">
        <v>5905</v>
      </c>
      <c r="S33" s="304" t="s">
        <v>8990</v>
      </c>
    </row>
    <row r="34" spans="1:19">
      <c r="A34" s="309" t="s">
        <v>448</v>
      </c>
      <c r="B34" s="305">
        <v>2</v>
      </c>
      <c r="C34" s="305" t="s">
        <v>8971</v>
      </c>
      <c r="D34" s="305" t="s">
        <v>9033</v>
      </c>
      <c r="E34" s="305" t="s">
        <v>8987</v>
      </c>
      <c r="F34" s="305" t="s">
        <v>8988</v>
      </c>
      <c r="G34" s="305" t="s">
        <v>8973</v>
      </c>
      <c r="H34" s="305" t="s">
        <v>9034</v>
      </c>
      <c r="I34" s="306" t="s">
        <v>5905</v>
      </c>
      <c r="J34" s="305">
        <v>0</v>
      </c>
      <c r="K34" s="307">
        <v>1461558.14</v>
      </c>
      <c r="L34" s="305">
        <v>0</v>
      </c>
      <c r="M34" s="305">
        <v>0</v>
      </c>
      <c r="N34" s="307">
        <v>187992.02</v>
      </c>
      <c r="O34" s="305" t="s">
        <v>8965</v>
      </c>
      <c r="P34" s="305">
        <v>0</v>
      </c>
      <c r="Q34" s="306" t="s">
        <v>5905</v>
      </c>
      <c r="R34" s="306" t="s">
        <v>5905</v>
      </c>
      <c r="S34" s="304" t="s">
        <v>8990</v>
      </c>
    </row>
    <row r="35" spans="1:19">
      <c r="A35" s="309" t="s">
        <v>584</v>
      </c>
      <c r="B35" s="305">
        <v>8</v>
      </c>
      <c r="C35" s="305" t="s">
        <v>8971</v>
      </c>
      <c r="D35" s="305" t="s">
        <v>583</v>
      </c>
      <c r="E35" s="305" t="s">
        <v>8987</v>
      </c>
      <c r="F35" s="305" t="s">
        <v>8988</v>
      </c>
      <c r="G35" s="305" t="s">
        <v>8973</v>
      </c>
      <c r="H35" s="305" t="s">
        <v>9034</v>
      </c>
      <c r="I35" s="306" t="s">
        <v>5905</v>
      </c>
      <c r="J35" s="305">
        <v>0</v>
      </c>
      <c r="K35" s="307">
        <v>3333513.88</v>
      </c>
      <c r="L35" s="305">
        <v>0</v>
      </c>
      <c r="M35" s="305">
        <v>0</v>
      </c>
      <c r="N35" s="307">
        <v>223285.03</v>
      </c>
      <c r="O35" s="305" t="s">
        <v>8965</v>
      </c>
      <c r="P35" s="305">
        <v>0</v>
      </c>
      <c r="Q35" s="306" t="s">
        <v>5905</v>
      </c>
      <c r="R35" s="306" t="s">
        <v>5905</v>
      </c>
      <c r="S35" s="304" t="s">
        <v>8990</v>
      </c>
    </row>
    <row r="36" spans="1:19">
      <c r="A36" s="309" t="s">
        <v>252</v>
      </c>
      <c r="B36" s="305">
        <v>1</v>
      </c>
      <c r="C36" s="305" t="s">
        <v>8971</v>
      </c>
      <c r="D36" s="305" t="s">
        <v>9035</v>
      </c>
      <c r="E36" s="305" t="s">
        <v>8987</v>
      </c>
      <c r="F36" s="305" t="s">
        <v>2109</v>
      </c>
      <c r="G36" s="305" t="s">
        <v>8973</v>
      </c>
      <c r="H36" s="305" t="s">
        <v>9036</v>
      </c>
      <c r="I36" s="306" t="s">
        <v>5905</v>
      </c>
      <c r="J36" s="305">
        <v>0</v>
      </c>
      <c r="K36" s="307">
        <v>1251945.3500000001</v>
      </c>
      <c r="L36" s="305">
        <v>0</v>
      </c>
      <c r="M36" s="305">
        <v>0</v>
      </c>
      <c r="N36" s="307">
        <v>726714.9</v>
      </c>
      <c r="O36" s="305" t="s">
        <v>8965</v>
      </c>
      <c r="P36" s="305">
        <v>0</v>
      </c>
      <c r="Q36" s="306" t="s">
        <v>5905</v>
      </c>
      <c r="R36" s="306" t="s">
        <v>5905</v>
      </c>
      <c r="S36" s="304" t="s">
        <v>8990</v>
      </c>
    </row>
    <row r="37" spans="1:19">
      <c r="A37" s="309" t="s">
        <v>9037</v>
      </c>
      <c r="B37" s="305">
        <v>0</v>
      </c>
      <c r="C37" s="305" t="s">
        <v>8971</v>
      </c>
      <c r="D37" s="305" t="s">
        <v>232</v>
      </c>
      <c r="E37" s="305" t="s">
        <v>8987</v>
      </c>
      <c r="F37" s="305" t="s">
        <v>2379</v>
      </c>
      <c r="G37" s="305" t="s">
        <v>8973</v>
      </c>
      <c r="H37" s="305" t="s">
        <v>9036</v>
      </c>
      <c r="I37" s="306" t="s">
        <v>5905</v>
      </c>
      <c r="J37" s="305">
        <v>0</v>
      </c>
      <c r="K37" s="305">
        <v>0</v>
      </c>
      <c r="L37" s="305">
        <v>0</v>
      </c>
      <c r="M37" s="305">
        <v>0</v>
      </c>
      <c r="N37" s="307">
        <v>28136.33</v>
      </c>
      <c r="O37" s="305" t="s">
        <v>8965</v>
      </c>
      <c r="P37" s="305">
        <v>0</v>
      </c>
      <c r="Q37" s="306" t="s">
        <v>5905</v>
      </c>
      <c r="R37" s="306" t="s">
        <v>5905</v>
      </c>
      <c r="S37" s="304" t="s">
        <v>9016</v>
      </c>
    </row>
    <row r="38" spans="1:19">
      <c r="A38" s="309" t="s">
        <v>310</v>
      </c>
      <c r="B38" s="305">
        <v>6</v>
      </c>
      <c r="C38" s="305" t="s">
        <v>8971</v>
      </c>
      <c r="D38" s="305" t="s">
        <v>309</v>
      </c>
      <c r="E38" s="305" t="s">
        <v>8972</v>
      </c>
      <c r="F38" s="305" t="s">
        <v>8973</v>
      </c>
      <c r="G38" s="305" t="s">
        <v>8973</v>
      </c>
      <c r="H38" s="305" t="s">
        <v>9038</v>
      </c>
      <c r="I38" s="306" t="s">
        <v>5905</v>
      </c>
      <c r="J38" s="305">
        <v>0</v>
      </c>
      <c r="K38" s="307">
        <v>67299.960000000006</v>
      </c>
      <c r="L38" s="305">
        <v>0</v>
      </c>
      <c r="M38" s="305">
        <v>0</v>
      </c>
      <c r="N38" s="307">
        <v>6270.25</v>
      </c>
      <c r="O38" s="305" t="s">
        <v>8965</v>
      </c>
      <c r="P38" s="305">
        <v>0</v>
      </c>
      <c r="Q38" s="306" t="s">
        <v>5905</v>
      </c>
      <c r="R38" s="306" t="s">
        <v>5905</v>
      </c>
      <c r="S38" s="304" t="s">
        <v>8990</v>
      </c>
    </row>
    <row r="39" spans="1:19">
      <c r="A39" s="309" t="s">
        <v>258</v>
      </c>
      <c r="B39" s="305">
        <v>0</v>
      </c>
      <c r="C39" s="305" t="s">
        <v>8971</v>
      </c>
      <c r="D39" s="305" t="s">
        <v>9039</v>
      </c>
      <c r="E39" s="305" t="s">
        <v>8987</v>
      </c>
      <c r="F39" s="305" t="s">
        <v>2109</v>
      </c>
      <c r="G39" s="305" t="s">
        <v>8973</v>
      </c>
      <c r="H39" s="305" t="s">
        <v>9040</v>
      </c>
      <c r="I39" s="306" t="s">
        <v>5905</v>
      </c>
      <c r="J39" s="305">
        <v>0</v>
      </c>
      <c r="K39" s="307">
        <v>154947.6</v>
      </c>
      <c r="L39" s="305">
        <v>0</v>
      </c>
      <c r="M39" s="305">
        <v>0</v>
      </c>
      <c r="N39" s="307">
        <v>16161.95</v>
      </c>
      <c r="O39" s="305" t="s">
        <v>8965</v>
      </c>
      <c r="P39" s="305">
        <v>0</v>
      </c>
      <c r="Q39" s="306" t="s">
        <v>5905</v>
      </c>
      <c r="R39" s="306" t="s">
        <v>5905</v>
      </c>
      <c r="S39" s="304" t="s">
        <v>8990</v>
      </c>
    </row>
    <row r="40" spans="1:19">
      <c r="A40" s="309" t="s">
        <v>196</v>
      </c>
      <c r="B40" s="305">
        <v>0</v>
      </c>
      <c r="C40" s="305" t="s">
        <v>8971</v>
      </c>
      <c r="D40" s="305" t="s">
        <v>194</v>
      </c>
      <c r="E40" s="305" t="s">
        <v>8987</v>
      </c>
      <c r="F40" s="305" t="s">
        <v>2286</v>
      </c>
      <c r="G40" s="305" t="s">
        <v>8973</v>
      </c>
      <c r="H40" s="305" t="s">
        <v>9040</v>
      </c>
      <c r="I40" s="306" t="s">
        <v>5905</v>
      </c>
      <c r="J40" s="305">
        <v>0</v>
      </c>
      <c r="K40" s="307">
        <v>1087000</v>
      </c>
      <c r="L40" s="305">
        <v>0</v>
      </c>
      <c r="M40" s="305">
        <v>0</v>
      </c>
      <c r="N40" s="307">
        <v>92100</v>
      </c>
      <c r="O40" s="305" t="s">
        <v>8965</v>
      </c>
      <c r="P40" s="305">
        <v>0</v>
      </c>
      <c r="Q40" s="306" t="s">
        <v>5905</v>
      </c>
      <c r="R40" s="306" t="s">
        <v>5905</v>
      </c>
      <c r="S40" s="304" t="s">
        <v>8990</v>
      </c>
    </row>
    <row r="41" spans="1:19">
      <c r="A41" s="309" t="s">
        <v>722</v>
      </c>
      <c r="B41" s="305">
        <v>0</v>
      </c>
      <c r="C41" s="305" t="s">
        <v>8971</v>
      </c>
      <c r="D41" s="305" t="s">
        <v>9041</v>
      </c>
      <c r="E41" s="305" t="s">
        <v>8987</v>
      </c>
      <c r="F41" s="305" t="s">
        <v>8988</v>
      </c>
      <c r="G41" s="305" t="s">
        <v>8973</v>
      </c>
      <c r="H41" s="305" t="s">
        <v>6731</v>
      </c>
      <c r="I41" s="306" t="s">
        <v>5905</v>
      </c>
      <c r="J41" s="305">
        <v>0</v>
      </c>
      <c r="K41" s="307">
        <v>1442029.86</v>
      </c>
      <c r="L41" s="305">
        <v>0</v>
      </c>
      <c r="M41" s="305">
        <v>0</v>
      </c>
      <c r="N41" s="307">
        <v>123602.71</v>
      </c>
      <c r="O41" s="305" t="s">
        <v>8965</v>
      </c>
      <c r="P41" s="305">
        <v>0</v>
      </c>
      <c r="Q41" s="306" t="s">
        <v>5905</v>
      </c>
      <c r="R41" s="306" t="s">
        <v>5905</v>
      </c>
      <c r="S41" s="304" t="s">
        <v>8990</v>
      </c>
    </row>
    <row r="42" spans="1:19">
      <c r="A42" s="309" t="s">
        <v>199</v>
      </c>
      <c r="B42" s="305">
        <v>0</v>
      </c>
      <c r="C42" s="305" t="s">
        <v>8971</v>
      </c>
      <c r="D42" s="305" t="s">
        <v>197</v>
      </c>
      <c r="E42" s="305" t="s">
        <v>8987</v>
      </c>
      <c r="F42" s="305" t="s">
        <v>2065</v>
      </c>
      <c r="G42" s="305" t="s">
        <v>8973</v>
      </c>
      <c r="H42" s="305" t="s">
        <v>9042</v>
      </c>
      <c r="I42" s="306" t="s">
        <v>5905</v>
      </c>
      <c r="J42" s="305">
        <v>0</v>
      </c>
      <c r="K42" s="307">
        <v>310367.84999999998</v>
      </c>
      <c r="L42" s="305">
        <v>0</v>
      </c>
      <c r="M42" s="305">
        <v>0</v>
      </c>
      <c r="N42" s="307">
        <v>687132.15</v>
      </c>
      <c r="O42" s="305" t="s">
        <v>8965</v>
      </c>
      <c r="P42" s="305">
        <v>0</v>
      </c>
      <c r="Q42" s="306" t="s">
        <v>5905</v>
      </c>
      <c r="R42" s="306" t="s">
        <v>5905</v>
      </c>
      <c r="S42" s="304" t="s">
        <v>8990</v>
      </c>
    </row>
    <row r="43" spans="1:19">
      <c r="A43" s="309" t="s">
        <v>425</v>
      </c>
      <c r="B43" s="305">
        <v>1</v>
      </c>
      <c r="C43" s="305" t="s">
        <v>8971</v>
      </c>
      <c r="D43" s="305" t="s">
        <v>423</v>
      </c>
      <c r="E43" s="305" t="s">
        <v>8987</v>
      </c>
      <c r="F43" s="305" t="s">
        <v>9043</v>
      </c>
      <c r="G43" s="305" t="s">
        <v>8973</v>
      </c>
      <c r="H43" s="305" t="s">
        <v>9042</v>
      </c>
      <c r="I43" s="306" t="s">
        <v>5905</v>
      </c>
      <c r="J43" s="305">
        <v>0</v>
      </c>
      <c r="K43" s="307">
        <v>544923.43000000005</v>
      </c>
      <c r="L43" s="305">
        <v>0</v>
      </c>
      <c r="M43" s="305">
        <v>0</v>
      </c>
      <c r="N43" s="307">
        <v>416517.01</v>
      </c>
      <c r="O43" s="305" t="s">
        <v>8965</v>
      </c>
      <c r="P43" s="305">
        <v>0</v>
      </c>
      <c r="Q43" s="306" t="s">
        <v>5905</v>
      </c>
      <c r="R43" s="306" t="s">
        <v>5905</v>
      </c>
      <c r="S43" s="304" t="s">
        <v>8990</v>
      </c>
    </row>
    <row r="44" spans="1:19">
      <c r="A44" s="309" t="s">
        <v>262</v>
      </c>
      <c r="B44" s="305">
        <v>0</v>
      </c>
      <c r="C44" s="305" t="s">
        <v>8971</v>
      </c>
      <c r="D44" s="305" t="s">
        <v>260</v>
      </c>
      <c r="E44" s="305" t="s">
        <v>8987</v>
      </c>
      <c r="F44" s="305" t="s">
        <v>2065</v>
      </c>
      <c r="G44" s="305" t="s">
        <v>8973</v>
      </c>
      <c r="H44" s="305" t="s">
        <v>9044</v>
      </c>
      <c r="I44" s="306" t="s">
        <v>5905</v>
      </c>
      <c r="J44" s="305">
        <v>0</v>
      </c>
      <c r="K44" s="307">
        <v>3608264.12</v>
      </c>
      <c r="L44" s="305">
        <v>0</v>
      </c>
      <c r="M44" s="305">
        <v>0</v>
      </c>
      <c r="N44" s="307">
        <v>514735.88</v>
      </c>
      <c r="O44" s="305" t="s">
        <v>8965</v>
      </c>
      <c r="P44" s="305">
        <v>0</v>
      </c>
      <c r="Q44" s="306" t="s">
        <v>5905</v>
      </c>
      <c r="R44" s="306" t="s">
        <v>5905</v>
      </c>
      <c r="S44" s="304" t="s">
        <v>8990</v>
      </c>
    </row>
    <row r="45" spans="1:19">
      <c r="A45" s="309" t="s">
        <v>303</v>
      </c>
      <c r="B45" s="305">
        <v>2</v>
      </c>
      <c r="C45" s="305" t="s">
        <v>8971</v>
      </c>
      <c r="D45" s="305" t="s">
        <v>9045</v>
      </c>
      <c r="E45" s="305" t="s">
        <v>8987</v>
      </c>
      <c r="F45" s="305" t="s">
        <v>2292</v>
      </c>
      <c r="G45" s="305" t="s">
        <v>8973</v>
      </c>
      <c r="H45" s="305" t="s">
        <v>9046</v>
      </c>
      <c r="I45" s="306" t="s">
        <v>5905</v>
      </c>
      <c r="J45" s="305">
        <v>0</v>
      </c>
      <c r="K45" s="307">
        <v>2311108.25</v>
      </c>
      <c r="L45" s="305">
        <v>0</v>
      </c>
      <c r="M45" s="305">
        <v>0</v>
      </c>
      <c r="N45" s="307">
        <v>675822.34</v>
      </c>
      <c r="O45" s="305" t="s">
        <v>8965</v>
      </c>
      <c r="P45" s="305">
        <v>0</v>
      </c>
      <c r="Q45" s="306" t="s">
        <v>5905</v>
      </c>
      <c r="R45" s="306" t="s">
        <v>5905</v>
      </c>
      <c r="S45" s="304" t="s">
        <v>8990</v>
      </c>
    </row>
    <row r="46" spans="1:19">
      <c r="A46" s="309" t="s">
        <v>169</v>
      </c>
      <c r="B46" s="305">
        <v>2</v>
      </c>
      <c r="C46" s="305" t="s">
        <v>8971</v>
      </c>
      <c r="D46" s="305" t="s">
        <v>167</v>
      </c>
      <c r="E46" s="305" t="s">
        <v>9047</v>
      </c>
      <c r="F46" s="305" t="s">
        <v>9048</v>
      </c>
      <c r="G46" s="305" t="s">
        <v>8973</v>
      </c>
      <c r="H46" s="305" t="s">
        <v>9046</v>
      </c>
      <c r="I46" s="306" t="s">
        <v>5905</v>
      </c>
      <c r="J46" s="305">
        <v>0</v>
      </c>
      <c r="K46" s="307">
        <v>2719400</v>
      </c>
      <c r="L46" s="305">
        <v>0</v>
      </c>
      <c r="M46" s="305">
        <v>0</v>
      </c>
      <c r="N46" s="307">
        <v>220621.39</v>
      </c>
      <c r="O46" s="305" t="s">
        <v>8965</v>
      </c>
      <c r="P46" s="305">
        <v>0</v>
      </c>
      <c r="Q46" s="306" t="s">
        <v>5905</v>
      </c>
      <c r="R46" s="306" t="s">
        <v>5905</v>
      </c>
      <c r="S46" s="304" t="s">
        <v>8990</v>
      </c>
    </row>
    <row r="47" spans="1:19">
      <c r="A47" s="309" t="s">
        <v>268</v>
      </c>
      <c r="B47" s="305">
        <v>4</v>
      </c>
      <c r="C47" s="305" t="s">
        <v>8971</v>
      </c>
      <c r="D47" s="305" t="s">
        <v>9049</v>
      </c>
      <c r="E47" s="305" t="s">
        <v>8987</v>
      </c>
      <c r="F47" s="305" t="s">
        <v>2109</v>
      </c>
      <c r="G47" s="305" t="s">
        <v>8973</v>
      </c>
      <c r="H47" s="305" t="s">
        <v>9050</v>
      </c>
      <c r="I47" s="306" t="s">
        <v>5905</v>
      </c>
      <c r="J47" s="305">
        <v>0</v>
      </c>
      <c r="K47" s="307">
        <v>22723501.449999999</v>
      </c>
      <c r="L47" s="305">
        <v>0</v>
      </c>
      <c r="M47" s="307">
        <v>506000</v>
      </c>
      <c r="N47" s="307">
        <v>2331338.11</v>
      </c>
      <c r="O47" s="305" t="s">
        <v>8965</v>
      </c>
      <c r="P47" s="305">
        <v>0</v>
      </c>
      <c r="Q47" s="306" t="s">
        <v>5905</v>
      </c>
      <c r="R47" s="306" t="s">
        <v>5905</v>
      </c>
      <c r="S47" s="304" t="s">
        <v>8990</v>
      </c>
    </row>
    <row r="48" spans="1:19">
      <c r="A48" s="309" t="s">
        <v>227</v>
      </c>
      <c r="B48" s="305">
        <v>2</v>
      </c>
      <c r="C48" s="305" t="s">
        <v>8971</v>
      </c>
      <c r="D48" s="305" t="s">
        <v>226</v>
      </c>
      <c r="E48" s="305" t="s">
        <v>8987</v>
      </c>
      <c r="F48" s="305" t="s">
        <v>8973</v>
      </c>
      <c r="G48" s="305" t="s">
        <v>8973</v>
      </c>
      <c r="H48" s="305" t="s">
        <v>9051</v>
      </c>
      <c r="I48" s="306" t="s">
        <v>5905</v>
      </c>
      <c r="J48" s="305">
        <v>0</v>
      </c>
      <c r="K48" s="307">
        <v>10329505.75</v>
      </c>
      <c r="L48" s="305">
        <v>0</v>
      </c>
      <c r="M48" s="305">
        <v>0</v>
      </c>
      <c r="N48" s="307">
        <v>2457662.0699999998</v>
      </c>
      <c r="O48" s="305" t="s">
        <v>8965</v>
      </c>
      <c r="P48" s="305">
        <v>0</v>
      </c>
      <c r="Q48" s="306" t="s">
        <v>5905</v>
      </c>
      <c r="R48" s="306" t="s">
        <v>5905</v>
      </c>
      <c r="S48" s="304" t="s">
        <v>8990</v>
      </c>
    </row>
    <row r="49" spans="1:19">
      <c r="A49" s="309" t="s">
        <v>294</v>
      </c>
      <c r="B49" s="305">
        <v>0</v>
      </c>
      <c r="C49" s="305" t="s">
        <v>8971</v>
      </c>
      <c r="D49" s="305" t="s">
        <v>292</v>
      </c>
      <c r="E49" s="305" t="s">
        <v>8987</v>
      </c>
      <c r="F49" s="305" t="s">
        <v>2109</v>
      </c>
      <c r="G49" s="305" t="s">
        <v>8973</v>
      </c>
      <c r="H49" s="305" t="s">
        <v>9052</v>
      </c>
      <c r="I49" s="306" t="s">
        <v>5905</v>
      </c>
      <c r="J49" s="305">
        <v>0</v>
      </c>
      <c r="K49" s="307">
        <v>168000</v>
      </c>
      <c r="L49" s="305">
        <v>0</v>
      </c>
      <c r="M49" s="305">
        <v>0</v>
      </c>
      <c r="N49" s="307">
        <v>46408.480000000003</v>
      </c>
      <c r="O49" s="305" t="s">
        <v>8965</v>
      </c>
      <c r="P49" s="305">
        <v>0</v>
      </c>
      <c r="Q49" s="306" t="s">
        <v>5905</v>
      </c>
      <c r="R49" s="306" t="s">
        <v>5905</v>
      </c>
      <c r="S49" s="304" t="s">
        <v>8990</v>
      </c>
    </row>
    <row r="50" spans="1:19">
      <c r="A50" s="309" t="s">
        <v>480</v>
      </c>
      <c r="B50" s="305">
        <v>0</v>
      </c>
      <c r="C50" s="305" t="s">
        <v>8971</v>
      </c>
      <c r="D50" s="305" t="s">
        <v>476</v>
      </c>
      <c r="E50" s="305" t="s">
        <v>8987</v>
      </c>
      <c r="F50" s="305" t="s">
        <v>2109</v>
      </c>
      <c r="G50" s="305" t="s">
        <v>8973</v>
      </c>
      <c r="H50" s="305" t="s">
        <v>9052</v>
      </c>
      <c r="I50" s="306" t="s">
        <v>5905</v>
      </c>
      <c r="J50" s="305">
        <v>0</v>
      </c>
      <c r="K50" s="307">
        <v>20638</v>
      </c>
      <c r="L50" s="305">
        <v>0</v>
      </c>
      <c r="M50" s="305">
        <v>0</v>
      </c>
      <c r="N50" s="307">
        <v>28734.1</v>
      </c>
      <c r="O50" s="305" t="s">
        <v>8965</v>
      </c>
      <c r="P50" s="305">
        <v>0</v>
      </c>
      <c r="Q50" s="306" t="s">
        <v>5905</v>
      </c>
      <c r="R50" s="306" t="s">
        <v>5905</v>
      </c>
      <c r="S50" s="304" t="s">
        <v>8990</v>
      </c>
    </row>
    <row r="51" spans="1:19">
      <c r="A51" s="309" t="s">
        <v>9053</v>
      </c>
      <c r="B51" s="305">
        <v>0</v>
      </c>
      <c r="C51" s="305" t="s">
        <v>8971</v>
      </c>
      <c r="D51" s="305" t="s">
        <v>9054</v>
      </c>
      <c r="E51" s="305" t="s">
        <v>8987</v>
      </c>
      <c r="F51" s="305" t="s">
        <v>2379</v>
      </c>
      <c r="G51" s="305" t="s">
        <v>8973</v>
      </c>
      <c r="H51" s="305" t="s">
        <v>9055</v>
      </c>
      <c r="I51" s="306" t="s">
        <v>5905</v>
      </c>
      <c r="J51" s="305">
        <v>0</v>
      </c>
      <c r="K51" s="305">
        <v>0</v>
      </c>
      <c r="L51" s="305">
        <v>0</v>
      </c>
      <c r="M51" s="305">
        <v>0</v>
      </c>
      <c r="N51" s="307">
        <v>9058.73</v>
      </c>
      <c r="O51" s="305" t="s">
        <v>8965</v>
      </c>
      <c r="P51" s="305">
        <v>0</v>
      </c>
      <c r="Q51" s="306" t="s">
        <v>5905</v>
      </c>
      <c r="R51" s="306" t="s">
        <v>5905</v>
      </c>
      <c r="S51" s="304" t="s">
        <v>9016</v>
      </c>
    </row>
    <row r="52" spans="1:19">
      <c r="A52" s="309" t="s">
        <v>357</v>
      </c>
      <c r="B52" s="305">
        <v>0</v>
      </c>
      <c r="C52" s="305" t="s">
        <v>8971</v>
      </c>
      <c r="D52" s="305" t="s">
        <v>356</v>
      </c>
      <c r="E52" s="305" t="s">
        <v>8987</v>
      </c>
      <c r="F52" s="305" t="s">
        <v>9056</v>
      </c>
      <c r="G52" s="305" t="s">
        <v>8973</v>
      </c>
      <c r="H52" s="305" t="s">
        <v>9057</v>
      </c>
      <c r="I52" s="306" t="s">
        <v>5905</v>
      </c>
      <c r="J52" s="305">
        <v>0</v>
      </c>
      <c r="K52" s="307">
        <v>14000</v>
      </c>
      <c r="L52" s="305">
        <v>0</v>
      </c>
      <c r="M52" s="305">
        <v>0</v>
      </c>
      <c r="N52" s="307">
        <v>8094.33</v>
      </c>
      <c r="O52" s="305" t="s">
        <v>8965</v>
      </c>
      <c r="P52" s="305">
        <v>0</v>
      </c>
      <c r="Q52" s="306" t="s">
        <v>5905</v>
      </c>
      <c r="R52" s="306" t="s">
        <v>5905</v>
      </c>
      <c r="S52" s="304" t="s">
        <v>8990</v>
      </c>
    </row>
    <row r="53" spans="1:19">
      <c r="A53" s="309" t="s">
        <v>300</v>
      </c>
      <c r="B53" s="305">
        <v>10</v>
      </c>
      <c r="C53" s="305" t="s">
        <v>8971</v>
      </c>
      <c r="D53" s="305" t="s">
        <v>9058</v>
      </c>
      <c r="E53" s="305" t="s">
        <v>8987</v>
      </c>
      <c r="F53" s="305" t="s">
        <v>2109</v>
      </c>
      <c r="G53" s="305" t="s">
        <v>8973</v>
      </c>
      <c r="H53" s="305" t="s">
        <v>9057</v>
      </c>
      <c r="I53" s="306" t="s">
        <v>5905</v>
      </c>
      <c r="J53" s="305">
        <v>0</v>
      </c>
      <c r="K53" s="307">
        <v>2328796.59</v>
      </c>
      <c r="L53" s="305">
        <v>0</v>
      </c>
      <c r="M53" s="305">
        <v>0</v>
      </c>
      <c r="N53" s="307">
        <v>333528.36</v>
      </c>
      <c r="O53" s="305" t="s">
        <v>8965</v>
      </c>
      <c r="P53" s="305">
        <v>0</v>
      </c>
      <c r="Q53" s="306" t="s">
        <v>5905</v>
      </c>
      <c r="R53" s="306" t="s">
        <v>5905</v>
      </c>
      <c r="S53" s="304" t="s">
        <v>8990</v>
      </c>
    </row>
    <row r="54" spans="1:19">
      <c r="A54" s="309" t="s">
        <v>9059</v>
      </c>
      <c r="B54" s="305">
        <v>0</v>
      </c>
      <c r="C54" s="305" t="s">
        <v>8971</v>
      </c>
      <c r="D54" s="305" t="s">
        <v>9060</v>
      </c>
      <c r="E54" s="305" t="s">
        <v>8987</v>
      </c>
      <c r="F54" s="305" t="s">
        <v>2379</v>
      </c>
      <c r="G54" s="305" t="s">
        <v>8973</v>
      </c>
      <c r="H54" s="305" t="s">
        <v>9061</v>
      </c>
      <c r="I54" s="306" t="s">
        <v>5905</v>
      </c>
      <c r="J54" s="305">
        <v>0</v>
      </c>
      <c r="K54" s="305">
        <v>0</v>
      </c>
      <c r="L54" s="305">
        <v>0</v>
      </c>
      <c r="M54" s="305">
        <v>0</v>
      </c>
      <c r="N54" s="307">
        <v>357819.75</v>
      </c>
      <c r="O54" s="305" t="s">
        <v>8965</v>
      </c>
      <c r="P54" s="305">
        <v>0</v>
      </c>
      <c r="Q54" s="306" t="s">
        <v>5905</v>
      </c>
      <c r="R54" s="306" t="s">
        <v>5905</v>
      </c>
      <c r="S54" s="304" t="s">
        <v>9016</v>
      </c>
    </row>
    <row r="55" spans="1:19">
      <c r="A55" s="309" t="s">
        <v>528</v>
      </c>
      <c r="B55" s="305">
        <v>0</v>
      </c>
      <c r="C55" s="305" t="s">
        <v>8971</v>
      </c>
      <c r="D55" s="305" t="s">
        <v>527</v>
      </c>
      <c r="E55" s="305" t="s">
        <v>8987</v>
      </c>
      <c r="F55" s="305" t="s">
        <v>8988</v>
      </c>
      <c r="G55" s="305" t="s">
        <v>8973</v>
      </c>
      <c r="H55" s="305" t="s">
        <v>9062</v>
      </c>
      <c r="I55" s="306" t="s">
        <v>5905</v>
      </c>
      <c r="J55" s="305">
        <v>0</v>
      </c>
      <c r="K55" s="307">
        <v>7996</v>
      </c>
      <c r="L55" s="305">
        <v>0</v>
      </c>
      <c r="M55" s="305">
        <v>0</v>
      </c>
      <c r="N55" s="307">
        <v>3920.95</v>
      </c>
      <c r="O55" s="305" t="s">
        <v>8965</v>
      </c>
      <c r="P55" s="305">
        <v>0</v>
      </c>
      <c r="Q55" s="306" t="s">
        <v>5905</v>
      </c>
      <c r="R55" s="306" t="s">
        <v>5905</v>
      </c>
      <c r="S55" s="304" t="s">
        <v>8990</v>
      </c>
    </row>
    <row r="56" spans="1:19">
      <c r="A56" s="309" t="s">
        <v>98</v>
      </c>
      <c r="B56" s="305">
        <v>1</v>
      </c>
      <c r="C56" s="305" t="s">
        <v>8971</v>
      </c>
      <c r="D56" s="305" t="s">
        <v>9063</v>
      </c>
      <c r="E56" s="305" t="s">
        <v>8987</v>
      </c>
      <c r="F56" s="305" t="s">
        <v>2109</v>
      </c>
      <c r="G56" s="305" t="s">
        <v>8973</v>
      </c>
      <c r="H56" s="305" t="s">
        <v>9064</v>
      </c>
      <c r="I56" s="306" t="s">
        <v>5905</v>
      </c>
      <c r="J56" s="305">
        <v>0</v>
      </c>
      <c r="K56" s="307">
        <v>151170</v>
      </c>
      <c r="L56" s="305">
        <v>0</v>
      </c>
      <c r="M56" s="305">
        <v>0</v>
      </c>
      <c r="N56" s="307">
        <v>23344.97</v>
      </c>
      <c r="O56" s="305" t="s">
        <v>8965</v>
      </c>
      <c r="P56" s="305">
        <v>0</v>
      </c>
      <c r="Q56" s="306" t="s">
        <v>5905</v>
      </c>
      <c r="R56" s="306" t="s">
        <v>5905</v>
      </c>
      <c r="S56" s="304" t="s">
        <v>8990</v>
      </c>
    </row>
    <row r="57" spans="1:19">
      <c r="A57" s="309" t="s">
        <v>928</v>
      </c>
      <c r="B57" s="305">
        <v>0</v>
      </c>
      <c r="C57" s="305" t="s">
        <v>8971</v>
      </c>
      <c r="D57" s="305" t="s">
        <v>9065</v>
      </c>
      <c r="E57" s="305" t="s">
        <v>8987</v>
      </c>
      <c r="F57" s="305" t="s">
        <v>8988</v>
      </c>
      <c r="G57" s="305" t="s">
        <v>8973</v>
      </c>
      <c r="H57" s="305" t="s">
        <v>9066</v>
      </c>
      <c r="I57" s="306" t="s">
        <v>5905</v>
      </c>
      <c r="J57" s="305">
        <v>0</v>
      </c>
      <c r="K57" s="307">
        <v>196369.8</v>
      </c>
      <c r="L57" s="305">
        <v>0</v>
      </c>
      <c r="M57" s="305">
        <v>0</v>
      </c>
      <c r="N57" s="307">
        <v>16831.3</v>
      </c>
      <c r="O57" s="305" t="s">
        <v>8965</v>
      </c>
      <c r="P57" s="305">
        <v>0</v>
      </c>
      <c r="Q57" s="306" t="s">
        <v>5905</v>
      </c>
      <c r="R57" s="306" t="s">
        <v>5905</v>
      </c>
      <c r="S57" s="304" t="s">
        <v>8990</v>
      </c>
    </row>
    <row r="58" spans="1:19">
      <c r="A58" s="309" t="s">
        <v>3870</v>
      </c>
      <c r="B58" s="305">
        <v>3</v>
      </c>
      <c r="C58" s="305" t="s">
        <v>8971</v>
      </c>
      <c r="D58" s="305" t="s">
        <v>3871</v>
      </c>
      <c r="E58" s="305" t="s">
        <v>8987</v>
      </c>
      <c r="F58" s="305" t="s">
        <v>9067</v>
      </c>
      <c r="G58" s="305" t="s">
        <v>8973</v>
      </c>
      <c r="H58" s="305" t="s">
        <v>1666</v>
      </c>
      <c r="I58" s="306" t="s">
        <v>5905</v>
      </c>
      <c r="J58" s="305">
        <v>0</v>
      </c>
      <c r="K58" s="307">
        <v>3790381.51</v>
      </c>
      <c r="L58" s="305">
        <v>0</v>
      </c>
      <c r="M58" s="307">
        <v>292800</v>
      </c>
      <c r="N58" s="307">
        <v>15375669.300000001</v>
      </c>
      <c r="O58" s="305" t="s">
        <v>8965</v>
      </c>
      <c r="P58" s="305">
        <v>0</v>
      </c>
      <c r="Q58" s="306" t="s">
        <v>5905</v>
      </c>
      <c r="R58" s="306" t="s">
        <v>5905</v>
      </c>
      <c r="S58" s="304" t="s">
        <v>8990</v>
      </c>
    </row>
    <row r="59" spans="1:19">
      <c r="A59" s="309" t="s">
        <v>3914</v>
      </c>
      <c r="B59" s="305">
        <v>5</v>
      </c>
      <c r="C59" s="305" t="s">
        <v>8971</v>
      </c>
      <c r="D59" s="305" t="s">
        <v>3915</v>
      </c>
      <c r="E59" s="305" t="s">
        <v>8987</v>
      </c>
      <c r="F59" s="305" t="s">
        <v>9068</v>
      </c>
      <c r="G59" s="305" t="s">
        <v>8973</v>
      </c>
      <c r="H59" s="305" t="s">
        <v>1666</v>
      </c>
      <c r="I59" s="306" t="s">
        <v>5905</v>
      </c>
      <c r="J59" s="305">
        <v>0</v>
      </c>
      <c r="K59" s="307">
        <v>6158343.4400000004</v>
      </c>
      <c r="L59" s="305">
        <v>0</v>
      </c>
      <c r="M59" s="305">
        <v>0</v>
      </c>
      <c r="N59" s="307">
        <v>5110290.5199999996</v>
      </c>
      <c r="O59" s="305" t="s">
        <v>8965</v>
      </c>
      <c r="P59" s="305">
        <v>0</v>
      </c>
      <c r="Q59" s="306" t="s">
        <v>5905</v>
      </c>
      <c r="R59" s="306" t="s">
        <v>5905</v>
      </c>
      <c r="S59" s="304" t="s">
        <v>8990</v>
      </c>
    </row>
    <row r="60" spans="1:19">
      <c r="A60" s="309" t="s">
        <v>3983</v>
      </c>
      <c r="B60" s="305">
        <v>1</v>
      </c>
      <c r="C60" s="305" t="s">
        <v>8971</v>
      </c>
      <c r="D60" s="305" t="s">
        <v>3981</v>
      </c>
      <c r="E60" s="305" t="s">
        <v>8987</v>
      </c>
      <c r="F60" s="305" t="s">
        <v>9031</v>
      </c>
      <c r="G60" s="305" t="s">
        <v>8973</v>
      </c>
      <c r="H60" s="305" t="s">
        <v>1666</v>
      </c>
      <c r="I60" s="306" t="s">
        <v>5905</v>
      </c>
      <c r="J60" s="305">
        <v>0</v>
      </c>
      <c r="K60" s="307">
        <v>62527.54</v>
      </c>
      <c r="L60" s="305">
        <v>0</v>
      </c>
      <c r="M60" s="305">
        <v>0</v>
      </c>
      <c r="N60" s="307">
        <v>57049.89</v>
      </c>
      <c r="O60" s="305" t="s">
        <v>8965</v>
      </c>
      <c r="P60" s="305">
        <v>0</v>
      </c>
      <c r="Q60" s="306" t="s">
        <v>5905</v>
      </c>
      <c r="R60" s="306" t="s">
        <v>5905</v>
      </c>
      <c r="S60" s="304" t="s">
        <v>8990</v>
      </c>
    </row>
    <row r="61" spans="1:19">
      <c r="A61" s="309" t="s">
        <v>149</v>
      </c>
      <c r="B61" s="305">
        <v>0</v>
      </c>
      <c r="C61" s="305" t="s">
        <v>9069</v>
      </c>
      <c r="D61" s="305" t="s">
        <v>148</v>
      </c>
      <c r="E61" s="305" t="s">
        <v>2417</v>
      </c>
      <c r="F61" s="305" t="s">
        <v>2042</v>
      </c>
      <c r="G61" s="305" t="s">
        <v>8973</v>
      </c>
      <c r="H61" s="305" t="s">
        <v>9070</v>
      </c>
      <c r="I61" s="306" t="s">
        <v>5905</v>
      </c>
      <c r="J61" s="305">
        <v>0</v>
      </c>
      <c r="K61" s="305">
        <v>0</v>
      </c>
      <c r="L61" s="305">
        <v>0</v>
      </c>
      <c r="M61" s="305">
        <v>0</v>
      </c>
      <c r="N61" s="307">
        <v>209828.9</v>
      </c>
      <c r="O61" s="305" t="s">
        <v>8965</v>
      </c>
      <c r="P61" s="305">
        <v>0</v>
      </c>
      <c r="Q61" s="306" t="s">
        <v>5905</v>
      </c>
      <c r="R61" s="306" t="s">
        <v>5905</v>
      </c>
      <c r="S61" s="304" t="s">
        <v>8990</v>
      </c>
    </row>
    <row r="62" spans="1:19">
      <c r="A62" s="309" t="s">
        <v>210</v>
      </c>
      <c r="B62" s="305">
        <v>0</v>
      </c>
      <c r="C62" s="305" t="s">
        <v>9069</v>
      </c>
      <c r="D62" s="305" t="s">
        <v>208</v>
      </c>
      <c r="E62" s="305" t="s">
        <v>2043</v>
      </c>
      <c r="F62" s="305" t="s">
        <v>8973</v>
      </c>
      <c r="G62" s="305" t="s">
        <v>2042</v>
      </c>
      <c r="H62" s="305" t="s">
        <v>9046</v>
      </c>
      <c r="I62" s="306" t="s">
        <v>5905</v>
      </c>
      <c r="J62" s="305">
        <v>0</v>
      </c>
      <c r="K62" s="305">
        <v>0</v>
      </c>
      <c r="L62" s="305">
        <v>0</v>
      </c>
      <c r="M62" s="305">
        <v>0</v>
      </c>
      <c r="N62" s="307">
        <v>171582.78</v>
      </c>
      <c r="O62" s="305" t="s">
        <v>8965</v>
      </c>
      <c r="P62" s="305">
        <v>0</v>
      </c>
      <c r="Q62" s="306" t="s">
        <v>5905</v>
      </c>
      <c r="R62" s="306" t="s">
        <v>5905</v>
      </c>
      <c r="S62" s="304" t="s">
        <v>8990</v>
      </c>
    </row>
    <row r="63" spans="1:19">
      <c r="A63" s="309" t="s">
        <v>9071</v>
      </c>
      <c r="B63" s="305">
        <v>0</v>
      </c>
      <c r="C63" s="305" t="s">
        <v>8960</v>
      </c>
      <c r="D63" s="305" t="s">
        <v>9072</v>
      </c>
      <c r="E63" s="306" t="s">
        <v>5905</v>
      </c>
      <c r="F63" s="305" t="s">
        <v>2379</v>
      </c>
      <c r="G63" s="305" t="s">
        <v>2379</v>
      </c>
      <c r="H63" s="305" t="s">
        <v>9073</v>
      </c>
      <c r="I63" s="305" t="s">
        <v>9074</v>
      </c>
      <c r="J63" s="305">
        <v>0</v>
      </c>
      <c r="K63" s="305">
        <v>0</v>
      </c>
      <c r="L63" s="305">
        <v>0</v>
      </c>
      <c r="M63" s="305">
        <v>0</v>
      </c>
      <c r="N63" s="307">
        <v>16123224</v>
      </c>
      <c r="O63" s="305" t="s">
        <v>8965</v>
      </c>
      <c r="P63" s="305">
        <v>0</v>
      </c>
      <c r="Q63" s="306" t="s">
        <v>5905</v>
      </c>
      <c r="R63" s="306" t="s">
        <v>5905</v>
      </c>
      <c r="S63" s="304" t="s">
        <v>8966</v>
      </c>
    </row>
    <row r="64" spans="1:19">
      <c r="A64" s="309" t="s">
        <v>9075</v>
      </c>
      <c r="B64" s="305">
        <v>0</v>
      </c>
      <c r="C64" s="305" t="s">
        <v>8960</v>
      </c>
      <c r="D64" s="305" t="s">
        <v>9076</v>
      </c>
      <c r="E64" s="306" t="s">
        <v>5905</v>
      </c>
      <c r="F64" s="305" t="s">
        <v>6694</v>
      </c>
      <c r="G64" s="305" t="s">
        <v>6694</v>
      </c>
      <c r="H64" s="305" t="s">
        <v>9077</v>
      </c>
      <c r="I64" s="305" t="s">
        <v>9074</v>
      </c>
      <c r="J64" s="305">
        <v>0</v>
      </c>
      <c r="K64" s="305">
        <v>0</v>
      </c>
      <c r="L64" s="305">
        <v>0</v>
      </c>
      <c r="M64" s="305">
        <v>0</v>
      </c>
      <c r="N64" s="307">
        <v>35798683</v>
      </c>
      <c r="O64" s="305" t="s">
        <v>8965</v>
      </c>
      <c r="P64" s="305">
        <v>0</v>
      </c>
      <c r="Q64" s="306" t="s">
        <v>5905</v>
      </c>
      <c r="R64" s="306" t="s">
        <v>5905</v>
      </c>
      <c r="S64" s="304" t="s">
        <v>8966</v>
      </c>
    </row>
    <row r="65" spans="1:19">
      <c r="A65" s="309" t="s">
        <v>9078</v>
      </c>
      <c r="B65" s="305">
        <v>0</v>
      </c>
      <c r="C65" s="305" t="s">
        <v>8960</v>
      </c>
      <c r="D65" s="305" t="s">
        <v>9079</v>
      </c>
      <c r="E65" s="306" t="s">
        <v>5905</v>
      </c>
      <c r="F65" s="305" t="s">
        <v>6694</v>
      </c>
      <c r="G65" s="305" t="s">
        <v>6694</v>
      </c>
      <c r="H65" s="305" t="s">
        <v>9080</v>
      </c>
      <c r="I65" s="306" t="s">
        <v>5905</v>
      </c>
      <c r="J65" s="305">
        <v>0</v>
      </c>
      <c r="K65" s="305">
        <v>0</v>
      </c>
      <c r="L65" s="305">
        <v>0</v>
      </c>
      <c r="M65" s="305">
        <v>0</v>
      </c>
      <c r="N65" s="307">
        <v>2024131</v>
      </c>
      <c r="O65" s="305" t="s">
        <v>8965</v>
      </c>
      <c r="P65" s="305">
        <v>0</v>
      </c>
      <c r="Q65" s="306" t="s">
        <v>5905</v>
      </c>
      <c r="R65" s="306" t="s">
        <v>5905</v>
      </c>
      <c r="S65" s="304" t="s">
        <v>9016</v>
      </c>
    </row>
    <row r="66" spans="1:19">
      <c r="A66" s="309" t="s">
        <v>3714</v>
      </c>
      <c r="B66" s="305">
        <v>3</v>
      </c>
      <c r="C66" s="305" t="s">
        <v>8971</v>
      </c>
      <c r="D66" s="305" t="s">
        <v>3715</v>
      </c>
      <c r="E66" s="305" t="s">
        <v>8987</v>
      </c>
      <c r="F66" s="305" t="s">
        <v>9068</v>
      </c>
      <c r="G66" s="305" t="s">
        <v>8973</v>
      </c>
      <c r="H66" s="305" t="s">
        <v>9081</v>
      </c>
      <c r="I66" s="306" t="s">
        <v>5905</v>
      </c>
      <c r="J66" s="305">
        <v>0</v>
      </c>
      <c r="K66" s="307">
        <v>503890.02</v>
      </c>
      <c r="L66" s="305">
        <v>0</v>
      </c>
      <c r="M66" s="307">
        <v>37142</v>
      </c>
      <c r="N66" s="307">
        <v>14991157.74</v>
      </c>
      <c r="O66" s="305" t="s">
        <v>8965</v>
      </c>
      <c r="P66" s="305">
        <v>0</v>
      </c>
      <c r="Q66" s="306" t="s">
        <v>5905</v>
      </c>
      <c r="R66" s="306" t="s">
        <v>5905</v>
      </c>
      <c r="S66" s="304" t="s">
        <v>8990</v>
      </c>
    </row>
    <row r="67" spans="1:19">
      <c r="A67" s="309" t="s">
        <v>361</v>
      </c>
      <c r="B67" s="305">
        <v>5</v>
      </c>
      <c r="C67" s="305" t="s">
        <v>8971</v>
      </c>
      <c r="D67" s="305" t="s">
        <v>359</v>
      </c>
      <c r="E67" s="305" t="s">
        <v>8987</v>
      </c>
      <c r="F67" s="305" t="s">
        <v>9056</v>
      </c>
      <c r="G67" s="305" t="s">
        <v>9056</v>
      </c>
      <c r="H67" s="305" t="s">
        <v>6745</v>
      </c>
      <c r="I67" s="306" t="s">
        <v>5905</v>
      </c>
      <c r="J67" s="305">
        <v>0</v>
      </c>
      <c r="K67" s="307">
        <v>30587736.530000001</v>
      </c>
      <c r="L67" s="305">
        <v>0</v>
      </c>
      <c r="M67" s="307">
        <v>251200</v>
      </c>
      <c r="N67" s="307">
        <v>3829616.84</v>
      </c>
      <c r="O67" s="305" t="s">
        <v>8965</v>
      </c>
      <c r="P67" s="305">
        <v>0</v>
      </c>
      <c r="Q67" s="306" t="s">
        <v>5905</v>
      </c>
      <c r="R67" s="306" t="s">
        <v>5905</v>
      </c>
      <c r="S67" s="304" t="s">
        <v>8990</v>
      </c>
    </row>
    <row r="68" spans="1:19">
      <c r="A68" s="309" t="s">
        <v>3927</v>
      </c>
      <c r="B68" s="305">
        <v>1</v>
      </c>
      <c r="C68" s="305" t="s">
        <v>8971</v>
      </c>
      <c r="D68" s="305" t="s">
        <v>3928</v>
      </c>
      <c r="E68" s="305" t="s">
        <v>8987</v>
      </c>
      <c r="F68" s="305" t="s">
        <v>4105</v>
      </c>
      <c r="G68" s="305" t="s">
        <v>8973</v>
      </c>
      <c r="H68" s="305" t="s">
        <v>9082</v>
      </c>
      <c r="I68" s="306" t="s">
        <v>5905</v>
      </c>
      <c r="J68" s="305">
        <v>0</v>
      </c>
      <c r="K68" s="307">
        <v>1077206.1499999999</v>
      </c>
      <c r="L68" s="305">
        <v>0</v>
      </c>
      <c r="M68" s="305">
        <v>0</v>
      </c>
      <c r="N68" s="307">
        <v>813636.19</v>
      </c>
      <c r="O68" s="305" t="s">
        <v>8965</v>
      </c>
      <c r="P68" s="305">
        <v>0</v>
      </c>
      <c r="Q68" s="306" t="s">
        <v>5905</v>
      </c>
      <c r="R68" s="306" t="s">
        <v>5905</v>
      </c>
      <c r="S68" s="304" t="s">
        <v>8990</v>
      </c>
    </row>
    <row r="69" spans="1:19">
      <c r="A69" s="309" t="s">
        <v>4005</v>
      </c>
      <c r="B69" s="305">
        <v>2</v>
      </c>
      <c r="C69" s="305" t="s">
        <v>8971</v>
      </c>
      <c r="D69" s="305" t="s">
        <v>4006</v>
      </c>
      <c r="E69" s="305" t="s">
        <v>8987</v>
      </c>
      <c r="F69" s="305" t="s">
        <v>2888</v>
      </c>
      <c r="G69" s="305" t="s">
        <v>8973</v>
      </c>
      <c r="H69" s="305" t="s">
        <v>9083</v>
      </c>
      <c r="I69" s="306" t="s">
        <v>5905</v>
      </c>
      <c r="J69" s="305">
        <v>0</v>
      </c>
      <c r="K69" s="307">
        <v>82253.679999999993</v>
      </c>
      <c r="L69" s="305">
        <v>0</v>
      </c>
      <c r="M69" s="305">
        <v>0</v>
      </c>
      <c r="N69" s="307">
        <v>29652.71</v>
      </c>
      <c r="O69" s="305" t="s">
        <v>8965</v>
      </c>
      <c r="P69" s="305">
        <v>0</v>
      </c>
      <c r="Q69" s="306" t="s">
        <v>5905</v>
      </c>
      <c r="R69" s="306" t="s">
        <v>5905</v>
      </c>
      <c r="S69" s="304" t="s">
        <v>8990</v>
      </c>
    </row>
    <row r="70" spans="1:19">
      <c r="A70" s="309" t="s">
        <v>3865</v>
      </c>
      <c r="B70" s="305">
        <v>0</v>
      </c>
      <c r="C70" s="305" t="s">
        <v>8971</v>
      </c>
      <c r="D70" s="305" t="s">
        <v>3866</v>
      </c>
      <c r="E70" s="305" t="s">
        <v>8987</v>
      </c>
      <c r="F70" s="305" t="s">
        <v>4072</v>
      </c>
      <c r="G70" s="305" t="s">
        <v>8973</v>
      </c>
      <c r="H70" s="305" t="s">
        <v>9083</v>
      </c>
      <c r="I70" s="306" t="s">
        <v>5905</v>
      </c>
      <c r="J70" s="305">
        <v>0</v>
      </c>
      <c r="K70" s="307">
        <v>1192311.77</v>
      </c>
      <c r="L70" s="305">
        <v>0</v>
      </c>
      <c r="M70" s="305">
        <v>249</v>
      </c>
      <c r="N70" s="307">
        <v>682307.49</v>
      </c>
      <c r="O70" s="305" t="s">
        <v>8965</v>
      </c>
      <c r="P70" s="305">
        <v>0</v>
      </c>
      <c r="Q70" s="306" t="s">
        <v>5905</v>
      </c>
      <c r="R70" s="306" t="s">
        <v>5905</v>
      </c>
      <c r="S70" s="304" t="s">
        <v>8990</v>
      </c>
    </row>
    <row r="71" spans="1:19">
      <c r="A71" s="309" t="s">
        <v>4469</v>
      </c>
      <c r="B71" s="305">
        <v>2</v>
      </c>
      <c r="C71" s="305" t="s">
        <v>8971</v>
      </c>
      <c r="D71" s="305" t="s">
        <v>4470</v>
      </c>
      <c r="E71" s="305" t="s">
        <v>8987</v>
      </c>
      <c r="F71" s="305" t="s">
        <v>4072</v>
      </c>
      <c r="G71" s="305" t="s">
        <v>8973</v>
      </c>
      <c r="H71" s="305" t="s">
        <v>9083</v>
      </c>
      <c r="I71" s="306" t="s">
        <v>5905</v>
      </c>
      <c r="J71" s="305">
        <v>0</v>
      </c>
      <c r="K71" s="307">
        <v>53247.16</v>
      </c>
      <c r="L71" s="305">
        <v>0</v>
      </c>
      <c r="M71" s="305">
        <v>0</v>
      </c>
      <c r="N71" s="307">
        <v>48486.93</v>
      </c>
      <c r="O71" s="305" t="s">
        <v>8965</v>
      </c>
      <c r="P71" s="305">
        <v>0</v>
      </c>
      <c r="Q71" s="306" t="s">
        <v>5905</v>
      </c>
      <c r="R71" s="306" t="s">
        <v>5905</v>
      </c>
      <c r="S71" s="304" t="s">
        <v>8990</v>
      </c>
    </row>
    <row r="72" spans="1:19">
      <c r="A72" s="309" t="s">
        <v>4022</v>
      </c>
      <c r="B72" s="305">
        <v>3</v>
      </c>
      <c r="C72" s="305" t="s">
        <v>8971</v>
      </c>
      <c r="D72" s="305" t="s">
        <v>4023</v>
      </c>
      <c r="E72" s="305" t="s">
        <v>8987</v>
      </c>
      <c r="F72" s="305" t="s">
        <v>4105</v>
      </c>
      <c r="G72" s="305" t="s">
        <v>8973</v>
      </c>
      <c r="H72" s="305" t="s">
        <v>9083</v>
      </c>
      <c r="I72" s="306" t="s">
        <v>5905</v>
      </c>
      <c r="J72" s="305">
        <v>0</v>
      </c>
      <c r="K72" s="307">
        <v>292436.25</v>
      </c>
      <c r="L72" s="305">
        <v>0</v>
      </c>
      <c r="M72" s="307">
        <v>12139</v>
      </c>
      <c r="N72" s="307">
        <v>200635.81</v>
      </c>
      <c r="O72" s="305" t="s">
        <v>8965</v>
      </c>
      <c r="P72" s="305">
        <v>0</v>
      </c>
      <c r="Q72" s="306" t="s">
        <v>5905</v>
      </c>
      <c r="R72" s="306" t="s">
        <v>5905</v>
      </c>
      <c r="S72" s="304" t="s">
        <v>8990</v>
      </c>
    </row>
    <row r="73" spans="1:19">
      <c r="A73" s="309" t="s">
        <v>3992</v>
      </c>
      <c r="B73" s="305">
        <v>3</v>
      </c>
      <c r="C73" s="305" t="s">
        <v>8971</v>
      </c>
      <c r="D73" s="305" t="s">
        <v>3993</v>
      </c>
      <c r="E73" s="305" t="s">
        <v>8987</v>
      </c>
      <c r="F73" s="305" t="s">
        <v>9067</v>
      </c>
      <c r="G73" s="305" t="s">
        <v>8973</v>
      </c>
      <c r="H73" s="305" t="s">
        <v>9083</v>
      </c>
      <c r="I73" s="306" t="s">
        <v>5905</v>
      </c>
      <c r="J73" s="305">
        <v>0</v>
      </c>
      <c r="K73" s="307">
        <v>198090.72</v>
      </c>
      <c r="L73" s="305">
        <v>0</v>
      </c>
      <c r="M73" s="305">
        <v>0</v>
      </c>
      <c r="N73" s="307">
        <v>329987.05</v>
      </c>
      <c r="O73" s="305" t="s">
        <v>8965</v>
      </c>
      <c r="P73" s="305">
        <v>0</v>
      </c>
      <c r="Q73" s="306" t="s">
        <v>5905</v>
      </c>
      <c r="R73" s="306" t="s">
        <v>5905</v>
      </c>
      <c r="S73" s="304" t="s">
        <v>8990</v>
      </c>
    </row>
    <row r="74" spans="1:19">
      <c r="A74" s="309" t="s">
        <v>3662</v>
      </c>
      <c r="B74" s="305">
        <v>3</v>
      </c>
      <c r="C74" s="305" t="s">
        <v>8971</v>
      </c>
      <c r="D74" s="305" t="s">
        <v>3663</v>
      </c>
      <c r="E74" s="305" t="s">
        <v>8987</v>
      </c>
      <c r="F74" s="305" t="s">
        <v>4129</v>
      </c>
      <c r="G74" s="305" t="s">
        <v>8973</v>
      </c>
      <c r="H74" s="305" t="s">
        <v>9083</v>
      </c>
      <c r="I74" s="306" t="s">
        <v>5905</v>
      </c>
      <c r="J74" s="305">
        <v>0</v>
      </c>
      <c r="K74" s="307">
        <v>395395.95</v>
      </c>
      <c r="L74" s="305">
        <v>0</v>
      </c>
      <c r="M74" s="307">
        <v>8356</v>
      </c>
      <c r="N74" s="307">
        <v>903432.6</v>
      </c>
      <c r="O74" s="305" t="s">
        <v>8965</v>
      </c>
      <c r="P74" s="305">
        <v>0</v>
      </c>
      <c r="Q74" s="306" t="s">
        <v>5905</v>
      </c>
      <c r="R74" s="306" t="s">
        <v>5905</v>
      </c>
      <c r="S74" s="304" t="s">
        <v>8990</v>
      </c>
    </row>
    <row r="75" spans="1:19">
      <c r="A75" s="309" t="s">
        <v>9084</v>
      </c>
      <c r="B75" s="305">
        <v>0</v>
      </c>
      <c r="C75" s="305" t="s">
        <v>8971</v>
      </c>
      <c r="D75" s="305" t="s">
        <v>9085</v>
      </c>
      <c r="E75" s="305" t="s">
        <v>9086</v>
      </c>
      <c r="F75" s="305" t="s">
        <v>8973</v>
      </c>
      <c r="G75" s="305" t="s">
        <v>8973</v>
      </c>
      <c r="H75" s="305" t="s">
        <v>9087</v>
      </c>
      <c r="I75" s="306" t="s">
        <v>5905</v>
      </c>
      <c r="J75" s="305">
        <v>0</v>
      </c>
      <c r="K75" s="305">
        <v>0</v>
      </c>
      <c r="L75" s="305">
        <v>0</v>
      </c>
      <c r="M75" s="305">
        <v>0</v>
      </c>
      <c r="N75" s="307">
        <v>8203.4</v>
      </c>
      <c r="O75" s="305" t="s">
        <v>8965</v>
      </c>
      <c r="P75" s="305">
        <v>0</v>
      </c>
      <c r="Q75" s="306" t="s">
        <v>5905</v>
      </c>
      <c r="R75" s="306" t="s">
        <v>5905</v>
      </c>
      <c r="S75" s="304" t="s">
        <v>8990</v>
      </c>
    </row>
    <row r="76" spans="1:19">
      <c r="A76" s="309" t="s">
        <v>1156</v>
      </c>
      <c r="B76" s="305">
        <v>0</v>
      </c>
      <c r="C76" s="305" t="s">
        <v>8971</v>
      </c>
      <c r="D76" s="305" t="s">
        <v>9088</v>
      </c>
      <c r="E76" s="305" t="s">
        <v>9089</v>
      </c>
      <c r="F76" s="305" t="s">
        <v>2109</v>
      </c>
      <c r="G76" s="305" t="s">
        <v>8973</v>
      </c>
      <c r="H76" s="305" t="s">
        <v>1670</v>
      </c>
      <c r="I76" s="306" t="s">
        <v>5905</v>
      </c>
      <c r="J76" s="305">
        <v>0</v>
      </c>
      <c r="K76" s="307">
        <v>124115</v>
      </c>
      <c r="L76" s="305">
        <v>0</v>
      </c>
      <c r="M76" s="305">
        <v>0</v>
      </c>
      <c r="N76" s="307">
        <v>49385</v>
      </c>
      <c r="O76" s="305" t="s">
        <v>8965</v>
      </c>
      <c r="P76" s="305">
        <v>0</v>
      </c>
      <c r="Q76" s="306" t="s">
        <v>5905</v>
      </c>
      <c r="R76" s="306" t="s">
        <v>5905</v>
      </c>
      <c r="S76" s="304" t="s">
        <v>8990</v>
      </c>
    </row>
    <row r="77" spans="1:19">
      <c r="A77" s="309" t="s">
        <v>545</v>
      </c>
      <c r="B77" s="305">
        <v>0</v>
      </c>
      <c r="C77" s="305" t="s">
        <v>8971</v>
      </c>
      <c r="D77" s="305" t="s">
        <v>544</v>
      </c>
      <c r="E77" s="305" t="s">
        <v>8987</v>
      </c>
      <c r="F77" s="305" t="s">
        <v>8996</v>
      </c>
      <c r="G77" s="305" t="s">
        <v>8973</v>
      </c>
      <c r="H77" s="305" t="s">
        <v>9090</v>
      </c>
      <c r="I77" s="306" t="s">
        <v>5905</v>
      </c>
      <c r="J77" s="305">
        <v>0</v>
      </c>
      <c r="K77" s="307">
        <v>62491.47</v>
      </c>
      <c r="L77" s="305">
        <v>0</v>
      </c>
      <c r="M77" s="305">
        <v>0</v>
      </c>
      <c r="N77" s="307">
        <v>165508.53</v>
      </c>
      <c r="O77" s="305" t="s">
        <v>8965</v>
      </c>
      <c r="P77" s="305">
        <v>0</v>
      </c>
      <c r="Q77" s="306" t="s">
        <v>5905</v>
      </c>
      <c r="R77" s="306" t="s">
        <v>5905</v>
      </c>
      <c r="S77" s="304" t="s">
        <v>8990</v>
      </c>
    </row>
    <row r="78" spans="1:19">
      <c r="A78" s="309" t="s">
        <v>2337</v>
      </c>
      <c r="B78" s="305">
        <v>0</v>
      </c>
      <c r="C78" s="305" t="s">
        <v>8971</v>
      </c>
      <c r="D78" s="305" t="s">
        <v>9091</v>
      </c>
      <c r="E78" s="305" t="s">
        <v>8987</v>
      </c>
      <c r="F78" s="305" t="s">
        <v>2206</v>
      </c>
      <c r="G78" s="305" t="s">
        <v>8973</v>
      </c>
      <c r="H78" s="305" t="s">
        <v>9090</v>
      </c>
      <c r="I78" s="306" t="s">
        <v>5905</v>
      </c>
      <c r="J78" s="305">
        <v>0</v>
      </c>
      <c r="K78" s="307">
        <v>304000</v>
      </c>
      <c r="L78" s="305">
        <v>0</v>
      </c>
      <c r="M78" s="305">
        <v>0</v>
      </c>
      <c r="N78" s="307">
        <v>2575684.15</v>
      </c>
      <c r="O78" s="305" t="s">
        <v>8965</v>
      </c>
      <c r="P78" s="305">
        <v>0</v>
      </c>
      <c r="Q78" s="306" t="s">
        <v>5905</v>
      </c>
      <c r="R78" s="306" t="s">
        <v>5905</v>
      </c>
      <c r="S78" s="304" t="s">
        <v>8990</v>
      </c>
    </row>
    <row r="79" spans="1:19">
      <c r="A79" s="309" t="s">
        <v>335</v>
      </c>
      <c r="B79" s="305">
        <v>0</v>
      </c>
      <c r="C79" s="305" t="s">
        <v>8971</v>
      </c>
      <c r="D79" s="305" t="s">
        <v>334</v>
      </c>
      <c r="E79" s="305" t="s">
        <v>8987</v>
      </c>
      <c r="F79" s="305" t="s">
        <v>8973</v>
      </c>
      <c r="G79" s="305" t="s">
        <v>8973</v>
      </c>
      <c r="H79" s="305" t="s">
        <v>9092</v>
      </c>
      <c r="I79" s="306" t="s">
        <v>5905</v>
      </c>
      <c r="J79" s="305">
        <v>0</v>
      </c>
      <c r="K79" s="307">
        <v>1014308.22</v>
      </c>
      <c r="L79" s="305">
        <v>0</v>
      </c>
      <c r="M79" s="305">
        <v>0</v>
      </c>
      <c r="N79" s="307">
        <v>553816.78</v>
      </c>
      <c r="O79" s="305" t="s">
        <v>8965</v>
      </c>
      <c r="P79" s="305">
        <v>0</v>
      </c>
      <c r="Q79" s="306" t="s">
        <v>5905</v>
      </c>
      <c r="R79" s="306" t="s">
        <v>5905</v>
      </c>
      <c r="S79" s="304" t="s">
        <v>8990</v>
      </c>
    </row>
    <row r="80" spans="1:19">
      <c r="A80" s="309" t="s">
        <v>408</v>
      </c>
      <c r="B80" s="305">
        <v>5</v>
      </c>
      <c r="C80" s="305" t="s">
        <v>8971</v>
      </c>
      <c r="D80" s="305" t="s">
        <v>9093</v>
      </c>
      <c r="E80" s="305" t="s">
        <v>9094</v>
      </c>
      <c r="F80" s="305" t="s">
        <v>2109</v>
      </c>
      <c r="G80" s="305" t="s">
        <v>8973</v>
      </c>
      <c r="H80" s="305" t="s">
        <v>9095</v>
      </c>
      <c r="I80" s="306" t="s">
        <v>5905</v>
      </c>
      <c r="J80" s="305">
        <v>0</v>
      </c>
      <c r="K80" s="307">
        <v>32522892.440000001</v>
      </c>
      <c r="L80" s="305">
        <v>0</v>
      </c>
      <c r="M80" s="305">
        <v>0</v>
      </c>
      <c r="N80" s="307">
        <v>4400275.82</v>
      </c>
      <c r="O80" s="305" t="s">
        <v>8965</v>
      </c>
      <c r="P80" s="305">
        <v>0</v>
      </c>
      <c r="Q80" s="306" t="s">
        <v>5905</v>
      </c>
      <c r="R80" s="306" t="s">
        <v>5905</v>
      </c>
      <c r="S80" s="304" t="s">
        <v>8990</v>
      </c>
    </row>
    <row r="81" spans="1:19">
      <c r="A81" s="309" t="s">
        <v>3513</v>
      </c>
      <c r="B81" s="305">
        <v>1</v>
      </c>
      <c r="C81" s="305" t="s">
        <v>8971</v>
      </c>
      <c r="D81" s="305" t="s">
        <v>3514</v>
      </c>
      <c r="E81" s="305" t="s">
        <v>9096</v>
      </c>
      <c r="F81" s="305" t="s">
        <v>3559</v>
      </c>
      <c r="G81" s="305" t="s">
        <v>8973</v>
      </c>
      <c r="H81" s="305" t="s">
        <v>9097</v>
      </c>
      <c r="I81" s="306" t="s">
        <v>5905</v>
      </c>
      <c r="J81" s="305">
        <v>0</v>
      </c>
      <c r="K81" s="305">
        <v>903.52</v>
      </c>
      <c r="L81" s="305">
        <v>0</v>
      </c>
      <c r="M81" s="305">
        <v>0</v>
      </c>
      <c r="N81" s="307">
        <v>32215.48</v>
      </c>
      <c r="O81" s="305" t="s">
        <v>8965</v>
      </c>
      <c r="P81" s="305">
        <v>0</v>
      </c>
      <c r="Q81" s="306" t="s">
        <v>5905</v>
      </c>
      <c r="R81" s="306" t="s">
        <v>5905</v>
      </c>
      <c r="S81" s="304" t="s">
        <v>8990</v>
      </c>
    </row>
    <row r="82" spans="1:19">
      <c r="A82" s="309" t="s">
        <v>2883</v>
      </c>
      <c r="B82" s="305">
        <v>1</v>
      </c>
      <c r="C82" s="305" t="s">
        <v>8971</v>
      </c>
      <c r="D82" s="305" t="s">
        <v>2884</v>
      </c>
      <c r="E82" s="305" t="s">
        <v>9098</v>
      </c>
      <c r="F82" s="305" t="s">
        <v>9067</v>
      </c>
      <c r="G82" s="305" t="s">
        <v>8973</v>
      </c>
      <c r="H82" s="305" t="s">
        <v>9097</v>
      </c>
      <c r="I82" s="306" t="s">
        <v>5905</v>
      </c>
      <c r="J82" s="305">
        <v>0</v>
      </c>
      <c r="K82" s="305">
        <v>0</v>
      </c>
      <c r="L82" s="305">
        <v>0</v>
      </c>
      <c r="M82" s="305">
        <v>0</v>
      </c>
      <c r="N82" s="307">
        <v>18476.759999999998</v>
      </c>
      <c r="O82" s="305" t="s">
        <v>8965</v>
      </c>
      <c r="P82" s="305">
        <v>0</v>
      </c>
      <c r="Q82" s="306" t="s">
        <v>5905</v>
      </c>
      <c r="R82" s="306" t="s">
        <v>5905</v>
      </c>
      <c r="S82" s="304" t="s">
        <v>8990</v>
      </c>
    </row>
    <row r="83" spans="1:19">
      <c r="A83" s="309" t="s">
        <v>3009</v>
      </c>
      <c r="B83" s="305">
        <v>3</v>
      </c>
      <c r="C83" s="305" t="s">
        <v>8971</v>
      </c>
      <c r="D83" s="305" t="s">
        <v>3012</v>
      </c>
      <c r="E83" s="305" t="s">
        <v>44</v>
      </c>
      <c r="F83" s="305" t="s">
        <v>9067</v>
      </c>
      <c r="G83" s="305" t="s">
        <v>8973</v>
      </c>
      <c r="H83" s="305" t="s">
        <v>9097</v>
      </c>
      <c r="I83" s="306" t="s">
        <v>5905</v>
      </c>
      <c r="J83" s="305">
        <v>0</v>
      </c>
      <c r="K83" s="305">
        <v>0</v>
      </c>
      <c r="L83" s="305">
        <v>0</v>
      </c>
      <c r="M83" s="305">
        <v>0</v>
      </c>
      <c r="N83" s="307">
        <v>33674.269999999997</v>
      </c>
      <c r="O83" s="305" t="s">
        <v>8965</v>
      </c>
      <c r="P83" s="305">
        <v>0</v>
      </c>
      <c r="Q83" s="306" t="s">
        <v>5905</v>
      </c>
      <c r="R83" s="306" t="s">
        <v>5905</v>
      </c>
      <c r="S83" s="304" t="s">
        <v>8990</v>
      </c>
    </row>
    <row r="84" spans="1:19">
      <c r="A84" s="309" t="s">
        <v>2913</v>
      </c>
      <c r="B84" s="305">
        <v>2</v>
      </c>
      <c r="C84" s="305" t="s">
        <v>8971</v>
      </c>
      <c r="D84" s="305" t="s">
        <v>9099</v>
      </c>
      <c r="E84" s="305" t="s">
        <v>9100</v>
      </c>
      <c r="F84" s="305" t="s">
        <v>9068</v>
      </c>
      <c r="G84" s="305" t="s">
        <v>8973</v>
      </c>
      <c r="H84" s="305" t="s">
        <v>9097</v>
      </c>
      <c r="I84" s="306" t="s">
        <v>5905</v>
      </c>
      <c r="J84" s="305">
        <v>0</v>
      </c>
      <c r="K84" s="307">
        <v>54562</v>
      </c>
      <c r="L84" s="305">
        <v>0</v>
      </c>
      <c r="M84" s="305">
        <v>0</v>
      </c>
      <c r="N84" s="307">
        <v>653473.6</v>
      </c>
      <c r="O84" s="305" t="s">
        <v>8965</v>
      </c>
      <c r="P84" s="305">
        <v>0</v>
      </c>
      <c r="Q84" s="306" t="s">
        <v>5905</v>
      </c>
      <c r="R84" s="306" t="s">
        <v>5905</v>
      </c>
      <c r="S84" s="304" t="s">
        <v>8990</v>
      </c>
    </row>
    <row r="85" spans="1:19">
      <c r="A85" s="309" t="s">
        <v>3079</v>
      </c>
      <c r="B85" s="305">
        <v>2</v>
      </c>
      <c r="C85" s="305" t="s">
        <v>8971</v>
      </c>
      <c r="D85" s="305" t="s">
        <v>3080</v>
      </c>
      <c r="E85" s="305" t="s">
        <v>48</v>
      </c>
      <c r="F85" s="305" t="s">
        <v>4072</v>
      </c>
      <c r="G85" s="305" t="s">
        <v>8973</v>
      </c>
      <c r="H85" s="305" t="s">
        <v>9097</v>
      </c>
      <c r="I85" s="306" t="s">
        <v>5905</v>
      </c>
      <c r="J85" s="305">
        <v>0</v>
      </c>
      <c r="K85" s="305">
        <v>0</v>
      </c>
      <c r="L85" s="305">
        <v>0</v>
      </c>
      <c r="M85" s="305">
        <v>0</v>
      </c>
      <c r="N85" s="307">
        <v>1237072.52</v>
      </c>
      <c r="O85" s="305" t="s">
        <v>8965</v>
      </c>
      <c r="P85" s="305">
        <v>0</v>
      </c>
      <c r="Q85" s="306" t="s">
        <v>5905</v>
      </c>
      <c r="R85" s="306" t="s">
        <v>5905</v>
      </c>
      <c r="S85" s="304" t="s">
        <v>8990</v>
      </c>
    </row>
    <row r="86" spans="1:19">
      <c r="A86" s="309" t="s">
        <v>3023</v>
      </c>
      <c r="B86" s="305">
        <v>3</v>
      </c>
      <c r="C86" s="305" t="s">
        <v>8971</v>
      </c>
      <c r="D86" s="305" t="s">
        <v>3024</v>
      </c>
      <c r="E86" s="305" t="s">
        <v>47</v>
      </c>
      <c r="F86" s="305" t="s">
        <v>2888</v>
      </c>
      <c r="G86" s="305" t="s">
        <v>8973</v>
      </c>
      <c r="H86" s="305" t="s">
        <v>9097</v>
      </c>
      <c r="I86" s="306" t="s">
        <v>5905</v>
      </c>
      <c r="J86" s="305">
        <v>0</v>
      </c>
      <c r="K86" s="307">
        <v>63422.86</v>
      </c>
      <c r="L86" s="305">
        <v>0</v>
      </c>
      <c r="M86" s="305">
        <v>0</v>
      </c>
      <c r="N86" s="307">
        <v>318105.28999999998</v>
      </c>
      <c r="O86" s="305" t="s">
        <v>8965</v>
      </c>
      <c r="P86" s="305">
        <v>0</v>
      </c>
      <c r="Q86" s="306" t="s">
        <v>5905</v>
      </c>
      <c r="R86" s="306" t="s">
        <v>5905</v>
      </c>
      <c r="S86" s="304" t="s">
        <v>8990</v>
      </c>
    </row>
    <row r="87" spans="1:19">
      <c r="A87" s="309" t="s">
        <v>291</v>
      </c>
      <c r="B87" s="305">
        <v>1</v>
      </c>
      <c r="C87" s="305" t="s">
        <v>8971</v>
      </c>
      <c r="D87" s="305" t="s">
        <v>289</v>
      </c>
      <c r="E87" s="305" t="s">
        <v>8987</v>
      </c>
      <c r="F87" s="305" t="s">
        <v>2292</v>
      </c>
      <c r="G87" s="305" t="s">
        <v>8973</v>
      </c>
      <c r="H87" s="305" t="s">
        <v>9101</v>
      </c>
      <c r="I87" s="306" t="s">
        <v>5905</v>
      </c>
      <c r="J87" s="305">
        <v>0</v>
      </c>
      <c r="K87" s="307">
        <v>958496</v>
      </c>
      <c r="L87" s="305">
        <v>0</v>
      </c>
      <c r="M87" s="305">
        <v>0</v>
      </c>
      <c r="N87" s="307">
        <v>2142196.39</v>
      </c>
      <c r="O87" s="305" t="s">
        <v>8965</v>
      </c>
      <c r="P87" s="305">
        <v>0</v>
      </c>
      <c r="Q87" s="306" t="s">
        <v>5905</v>
      </c>
      <c r="R87" s="306" t="s">
        <v>5905</v>
      </c>
      <c r="S87" s="304" t="s">
        <v>8990</v>
      </c>
    </row>
    <row r="88" spans="1:19">
      <c r="A88" s="309" t="s">
        <v>351</v>
      </c>
      <c r="B88" s="305">
        <v>0</v>
      </c>
      <c r="C88" s="305" t="s">
        <v>8971</v>
      </c>
      <c r="D88" s="305" t="s">
        <v>9102</v>
      </c>
      <c r="E88" s="305" t="s">
        <v>8987</v>
      </c>
      <c r="F88" s="305" t="s">
        <v>9031</v>
      </c>
      <c r="G88" s="305" t="s">
        <v>8973</v>
      </c>
      <c r="H88" s="305" t="s">
        <v>9103</v>
      </c>
      <c r="I88" s="306" t="s">
        <v>5905</v>
      </c>
      <c r="J88" s="305">
        <v>0</v>
      </c>
      <c r="K88" s="305">
        <v>0</v>
      </c>
      <c r="L88" s="305">
        <v>0</v>
      </c>
      <c r="M88" s="305">
        <v>0</v>
      </c>
      <c r="N88" s="307">
        <v>90766.03</v>
      </c>
      <c r="O88" s="305" t="s">
        <v>8965</v>
      </c>
      <c r="P88" s="305">
        <v>0</v>
      </c>
      <c r="Q88" s="306" t="s">
        <v>5905</v>
      </c>
      <c r="R88" s="306" t="s">
        <v>5905</v>
      </c>
      <c r="S88" s="304" t="s">
        <v>8990</v>
      </c>
    </row>
    <row r="89" spans="1:19">
      <c r="A89" s="309" t="s">
        <v>3677</v>
      </c>
      <c r="B89" s="305">
        <v>0</v>
      </c>
      <c r="C89" s="305" t="s">
        <v>8971</v>
      </c>
      <c r="D89" s="305" t="s">
        <v>3678</v>
      </c>
      <c r="E89" s="305" t="s">
        <v>8987</v>
      </c>
      <c r="F89" s="305" t="s">
        <v>4072</v>
      </c>
      <c r="G89" s="305" t="s">
        <v>8973</v>
      </c>
      <c r="H89" s="305" t="s">
        <v>9104</v>
      </c>
      <c r="I89" s="306" t="s">
        <v>5905</v>
      </c>
      <c r="J89" s="305">
        <v>0</v>
      </c>
      <c r="K89" s="305">
        <v>0</v>
      </c>
      <c r="L89" s="305">
        <v>0</v>
      </c>
      <c r="M89" s="305">
        <v>0</v>
      </c>
      <c r="N89" s="307">
        <v>97944.45</v>
      </c>
      <c r="O89" s="305" t="s">
        <v>8965</v>
      </c>
      <c r="P89" s="305">
        <v>0</v>
      </c>
      <c r="Q89" s="306" t="s">
        <v>5905</v>
      </c>
      <c r="R89" s="306" t="s">
        <v>5905</v>
      </c>
      <c r="S89" s="304" t="s">
        <v>8990</v>
      </c>
    </row>
    <row r="90" spans="1:19">
      <c r="A90" s="309" t="s">
        <v>3147</v>
      </c>
      <c r="B90" s="305">
        <v>1</v>
      </c>
      <c r="C90" s="305" t="s">
        <v>8971</v>
      </c>
      <c r="D90" s="305" t="s">
        <v>9105</v>
      </c>
      <c r="E90" s="305" t="s">
        <v>49</v>
      </c>
      <c r="F90" s="305" t="s">
        <v>4105</v>
      </c>
      <c r="G90" s="305" t="s">
        <v>8973</v>
      </c>
      <c r="H90" s="305" t="s">
        <v>9104</v>
      </c>
      <c r="I90" s="306" t="s">
        <v>5905</v>
      </c>
      <c r="J90" s="305">
        <v>0</v>
      </c>
      <c r="K90" s="307">
        <v>1246</v>
      </c>
      <c r="L90" s="305">
        <v>0</v>
      </c>
      <c r="M90" s="305">
        <v>0</v>
      </c>
      <c r="N90" s="307">
        <v>1132816.79</v>
      </c>
      <c r="O90" s="305" t="s">
        <v>8965</v>
      </c>
      <c r="P90" s="305">
        <v>0</v>
      </c>
      <c r="Q90" s="306" t="s">
        <v>5905</v>
      </c>
      <c r="R90" s="306" t="s">
        <v>5905</v>
      </c>
      <c r="S90" s="304" t="s">
        <v>8990</v>
      </c>
    </row>
    <row r="91" spans="1:19">
      <c r="A91" s="309" t="s">
        <v>3545</v>
      </c>
      <c r="B91" s="305">
        <v>3</v>
      </c>
      <c r="C91" s="305" t="s">
        <v>8971</v>
      </c>
      <c r="D91" s="305" t="s">
        <v>3560</v>
      </c>
      <c r="E91" s="305" t="s">
        <v>9106</v>
      </c>
      <c r="F91" s="305" t="s">
        <v>3559</v>
      </c>
      <c r="G91" s="305" t="s">
        <v>8973</v>
      </c>
      <c r="H91" s="305" t="s">
        <v>9104</v>
      </c>
      <c r="I91" s="306" t="s">
        <v>5905</v>
      </c>
      <c r="J91" s="305">
        <v>0</v>
      </c>
      <c r="K91" s="305">
        <v>0</v>
      </c>
      <c r="L91" s="305">
        <v>0</v>
      </c>
      <c r="M91" s="305">
        <v>0</v>
      </c>
      <c r="N91" s="307">
        <v>236844.84</v>
      </c>
      <c r="O91" s="305" t="s">
        <v>8965</v>
      </c>
      <c r="P91" s="305">
        <v>0</v>
      </c>
      <c r="Q91" s="306" t="s">
        <v>5905</v>
      </c>
      <c r="R91" s="306" t="s">
        <v>5905</v>
      </c>
      <c r="S91" s="304" t="s">
        <v>8990</v>
      </c>
    </row>
    <row r="92" spans="1:19">
      <c r="A92" s="309" t="s">
        <v>3001</v>
      </c>
      <c r="B92" s="305">
        <v>0</v>
      </c>
      <c r="C92" s="305" t="s">
        <v>8971</v>
      </c>
      <c r="D92" s="305" t="s">
        <v>9107</v>
      </c>
      <c r="E92" s="305" t="s">
        <v>9086</v>
      </c>
      <c r="F92" s="305" t="s">
        <v>2888</v>
      </c>
      <c r="G92" s="305" t="s">
        <v>8973</v>
      </c>
      <c r="H92" s="305" t="s">
        <v>9104</v>
      </c>
      <c r="I92" s="306" t="s">
        <v>5905</v>
      </c>
      <c r="J92" s="305">
        <v>0</v>
      </c>
      <c r="K92" s="305">
        <v>0</v>
      </c>
      <c r="L92" s="305">
        <v>0</v>
      </c>
      <c r="M92" s="305">
        <v>0</v>
      </c>
      <c r="N92" s="307">
        <v>26244.48</v>
      </c>
      <c r="O92" s="305" t="s">
        <v>8965</v>
      </c>
      <c r="P92" s="305">
        <v>0</v>
      </c>
      <c r="Q92" s="306" t="s">
        <v>5905</v>
      </c>
      <c r="R92" s="306" t="s">
        <v>5905</v>
      </c>
      <c r="S92" s="304" t="s">
        <v>8990</v>
      </c>
    </row>
    <row r="93" spans="1:19">
      <c r="A93" s="309" t="s">
        <v>2804</v>
      </c>
      <c r="B93" s="305">
        <v>0</v>
      </c>
      <c r="C93" s="305" t="s">
        <v>8971</v>
      </c>
      <c r="D93" s="305" t="s">
        <v>2805</v>
      </c>
      <c r="E93" s="305" t="s">
        <v>9108</v>
      </c>
      <c r="F93" s="305" t="s">
        <v>4105</v>
      </c>
      <c r="G93" s="305" t="s">
        <v>8973</v>
      </c>
      <c r="H93" s="305" t="s">
        <v>9104</v>
      </c>
      <c r="I93" s="306" t="s">
        <v>5905</v>
      </c>
      <c r="J93" s="305">
        <v>0</v>
      </c>
      <c r="K93" s="305">
        <v>0</v>
      </c>
      <c r="L93" s="305">
        <v>0</v>
      </c>
      <c r="M93" s="305">
        <v>0</v>
      </c>
      <c r="N93" s="307">
        <v>754310</v>
      </c>
      <c r="O93" s="305" t="s">
        <v>8965</v>
      </c>
      <c r="P93" s="305">
        <v>0</v>
      </c>
      <c r="Q93" s="306" t="s">
        <v>5905</v>
      </c>
      <c r="R93" s="306" t="s">
        <v>5905</v>
      </c>
      <c r="S93" s="304" t="s">
        <v>8990</v>
      </c>
    </row>
    <row r="94" spans="1:19">
      <c r="A94" s="309" t="s">
        <v>3651</v>
      </c>
      <c r="B94" s="305">
        <v>4</v>
      </c>
      <c r="C94" s="305" t="s">
        <v>8971</v>
      </c>
      <c r="D94" s="305" t="s">
        <v>3649</v>
      </c>
      <c r="E94" s="305" t="s">
        <v>8987</v>
      </c>
      <c r="F94" s="305" t="s">
        <v>2888</v>
      </c>
      <c r="G94" s="305" t="s">
        <v>8973</v>
      </c>
      <c r="H94" s="305" t="s">
        <v>9104</v>
      </c>
      <c r="I94" s="306" t="s">
        <v>5905</v>
      </c>
      <c r="J94" s="305">
        <v>0</v>
      </c>
      <c r="K94" s="307">
        <v>72512.92</v>
      </c>
      <c r="L94" s="305">
        <v>0</v>
      </c>
      <c r="M94" s="305">
        <v>0</v>
      </c>
      <c r="N94" s="307">
        <v>258017.26</v>
      </c>
      <c r="O94" s="305" t="s">
        <v>8965</v>
      </c>
      <c r="P94" s="305">
        <v>0</v>
      </c>
      <c r="Q94" s="306" t="s">
        <v>5905</v>
      </c>
      <c r="R94" s="306" t="s">
        <v>5905</v>
      </c>
      <c r="S94" s="304" t="s">
        <v>8990</v>
      </c>
    </row>
    <row r="95" spans="1:19">
      <c r="A95" s="309" t="s">
        <v>400</v>
      </c>
      <c r="B95" s="305">
        <v>0</v>
      </c>
      <c r="C95" s="305" t="s">
        <v>8971</v>
      </c>
      <c r="D95" s="305" t="s">
        <v>9109</v>
      </c>
      <c r="E95" s="305" t="s">
        <v>9110</v>
      </c>
      <c r="F95" s="305" t="s">
        <v>8973</v>
      </c>
      <c r="G95" s="305" t="s">
        <v>8973</v>
      </c>
      <c r="H95" s="305" t="s">
        <v>1682</v>
      </c>
      <c r="I95" s="306" t="s">
        <v>5905</v>
      </c>
      <c r="J95" s="305">
        <v>0</v>
      </c>
      <c r="K95" s="305">
        <v>0</v>
      </c>
      <c r="L95" s="305">
        <v>0</v>
      </c>
      <c r="M95" s="305">
        <v>0</v>
      </c>
      <c r="N95" s="307">
        <v>1825.1</v>
      </c>
      <c r="O95" s="305" t="s">
        <v>8965</v>
      </c>
      <c r="P95" s="305">
        <v>0</v>
      </c>
      <c r="Q95" s="306" t="s">
        <v>5905</v>
      </c>
      <c r="R95" s="306" t="s">
        <v>5905</v>
      </c>
      <c r="S95" s="304" t="s">
        <v>8990</v>
      </c>
    </row>
    <row r="96" spans="1:19">
      <c r="A96" s="309" t="s">
        <v>9111</v>
      </c>
      <c r="B96" s="305">
        <v>0</v>
      </c>
      <c r="C96" s="305" t="s">
        <v>8971</v>
      </c>
      <c r="D96" s="305" t="s">
        <v>9112</v>
      </c>
      <c r="E96" s="305" t="s">
        <v>8987</v>
      </c>
      <c r="F96" s="305" t="s">
        <v>9113</v>
      </c>
      <c r="G96" s="305" t="s">
        <v>8973</v>
      </c>
      <c r="H96" s="305" t="s">
        <v>9114</v>
      </c>
      <c r="I96" s="305" t="s">
        <v>9115</v>
      </c>
      <c r="J96" s="305">
        <v>0</v>
      </c>
      <c r="K96" s="305">
        <v>0</v>
      </c>
      <c r="L96" s="305">
        <v>0</v>
      </c>
      <c r="M96" s="305">
        <v>0</v>
      </c>
      <c r="N96" s="307">
        <v>161495.48000000001</v>
      </c>
      <c r="O96" s="305" t="s">
        <v>8965</v>
      </c>
      <c r="P96" s="305">
        <v>0</v>
      </c>
      <c r="Q96" s="306" t="s">
        <v>5905</v>
      </c>
      <c r="R96" s="306" t="s">
        <v>5905</v>
      </c>
      <c r="S96" s="304" t="s">
        <v>8966</v>
      </c>
    </row>
    <row r="97" spans="1:19">
      <c r="A97" s="309" t="s">
        <v>3670</v>
      </c>
      <c r="B97" s="305">
        <v>3</v>
      </c>
      <c r="C97" s="305" t="s">
        <v>8971</v>
      </c>
      <c r="D97" s="305" t="s">
        <v>3667</v>
      </c>
      <c r="E97" s="305" t="s">
        <v>8987</v>
      </c>
      <c r="F97" s="305" t="s">
        <v>2888</v>
      </c>
      <c r="G97" s="305" t="s">
        <v>8973</v>
      </c>
      <c r="H97" s="305" t="s">
        <v>9116</v>
      </c>
      <c r="I97" s="306" t="s">
        <v>5905</v>
      </c>
      <c r="J97" s="305">
        <v>0</v>
      </c>
      <c r="K97" s="307">
        <v>256271.05</v>
      </c>
      <c r="L97" s="305">
        <v>0</v>
      </c>
      <c r="M97" s="305">
        <v>0</v>
      </c>
      <c r="N97" s="307">
        <v>205917.68</v>
      </c>
      <c r="O97" s="305" t="s">
        <v>8965</v>
      </c>
      <c r="P97" s="305">
        <v>0</v>
      </c>
      <c r="Q97" s="306" t="s">
        <v>5905</v>
      </c>
      <c r="R97" s="306" t="s">
        <v>5905</v>
      </c>
      <c r="S97" s="304" t="s">
        <v>8990</v>
      </c>
    </row>
    <row r="98" spans="1:19">
      <c r="A98" s="309" t="s">
        <v>2907</v>
      </c>
      <c r="B98" s="305">
        <v>1</v>
      </c>
      <c r="C98" s="305" t="s">
        <v>8971</v>
      </c>
      <c r="D98" s="305" t="s">
        <v>9117</v>
      </c>
      <c r="E98" s="305" t="s">
        <v>9118</v>
      </c>
      <c r="F98" s="305" t="s">
        <v>2888</v>
      </c>
      <c r="G98" s="305" t="s">
        <v>8973</v>
      </c>
      <c r="H98" s="305" t="s">
        <v>9119</v>
      </c>
      <c r="I98" s="306" t="s">
        <v>5905</v>
      </c>
      <c r="J98" s="305">
        <v>0</v>
      </c>
      <c r="K98" s="305">
        <v>0</v>
      </c>
      <c r="L98" s="305">
        <v>0</v>
      </c>
      <c r="M98" s="305">
        <v>0</v>
      </c>
      <c r="N98" s="307">
        <v>326605</v>
      </c>
      <c r="O98" s="305" t="s">
        <v>8965</v>
      </c>
      <c r="P98" s="305">
        <v>0</v>
      </c>
      <c r="Q98" s="306" t="s">
        <v>5905</v>
      </c>
      <c r="R98" s="306" t="s">
        <v>5905</v>
      </c>
      <c r="S98" s="304" t="s">
        <v>8990</v>
      </c>
    </row>
    <row r="99" spans="1:19">
      <c r="A99" s="309" t="s">
        <v>9120</v>
      </c>
      <c r="B99" s="305">
        <v>0</v>
      </c>
      <c r="C99" s="305" t="s">
        <v>8971</v>
      </c>
      <c r="D99" s="305" t="s">
        <v>9121</v>
      </c>
      <c r="E99" s="305" t="s">
        <v>8987</v>
      </c>
      <c r="F99" s="305" t="s">
        <v>9113</v>
      </c>
      <c r="G99" s="305" t="s">
        <v>8973</v>
      </c>
      <c r="H99" s="305" t="s">
        <v>9122</v>
      </c>
      <c r="I99" s="306" t="s">
        <v>5905</v>
      </c>
      <c r="J99" s="305">
        <v>0</v>
      </c>
      <c r="K99" s="305">
        <v>0</v>
      </c>
      <c r="L99" s="305">
        <v>0</v>
      </c>
      <c r="M99" s="305">
        <v>0</v>
      </c>
      <c r="N99" s="307">
        <v>139457.26999999999</v>
      </c>
      <c r="O99" s="305" t="s">
        <v>8965</v>
      </c>
      <c r="P99" s="305">
        <v>0</v>
      </c>
      <c r="Q99" s="306" t="s">
        <v>5905</v>
      </c>
      <c r="R99" s="306" t="s">
        <v>5905</v>
      </c>
      <c r="S99" s="304" t="s">
        <v>9016</v>
      </c>
    </row>
    <row r="100" spans="1:19">
      <c r="A100" s="309" t="s">
        <v>834</v>
      </c>
      <c r="B100" s="305">
        <v>0</v>
      </c>
      <c r="C100" s="305" t="s">
        <v>8971</v>
      </c>
      <c r="D100" s="305" t="s">
        <v>831</v>
      </c>
      <c r="E100" s="305" t="s">
        <v>9123</v>
      </c>
      <c r="F100" s="305" t="s">
        <v>2109</v>
      </c>
      <c r="G100" s="305" t="s">
        <v>8973</v>
      </c>
      <c r="H100" s="305" t="s">
        <v>9124</v>
      </c>
      <c r="I100" s="306" t="s">
        <v>5905</v>
      </c>
      <c r="J100" s="305">
        <v>0</v>
      </c>
      <c r="K100" s="307">
        <v>2983249.78</v>
      </c>
      <c r="L100" s="305">
        <v>0</v>
      </c>
      <c r="M100" s="305">
        <v>0</v>
      </c>
      <c r="N100" s="307">
        <v>567514.54</v>
      </c>
      <c r="O100" s="305" t="s">
        <v>8965</v>
      </c>
      <c r="P100" s="305">
        <v>0</v>
      </c>
      <c r="Q100" s="306" t="s">
        <v>5905</v>
      </c>
      <c r="R100" s="306" t="s">
        <v>5905</v>
      </c>
      <c r="S100" s="304" t="s">
        <v>8990</v>
      </c>
    </row>
    <row r="101" spans="1:19">
      <c r="A101" s="309" t="s">
        <v>2549</v>
      </c>
      <c r="B101" s="305">
        <v>11</v>
      </c>
      <c r="C101" s="305" t="s">
        <v>8971</v>
      </c>
      <c r="D101" s="305" t="s">
        <v>2567</v>
      </c>
      <c r="E101" s="305" t="s">
        <v>29</v>
      </c>
      <c r="F101" s="305" t="s">
        <v>9125</v>
      </c>
      <c r="G101" s="305" t="s">
        <v>8973</v>
      </c>
      <c r="H101" s="305" t="s">
        <v>9126</v>
      </c>
      <c r="I101" s="306" t="s">
        <v>5905</v>
      </c>
      <c r="J101" s="305">
        <v>0</v>
      </c>
      <c r="K101" s="307">
        <v>6830919.4000000004</v>
      </c>
      <c r="L101" s="305">
        <v>0</v>
      </c>
      <c r="M101" s="307">
        <v>308202</v>
      </c>
      <c r="N101" s="307">
        <v>750124.31</v>
      </c>
      <c r="O101" s="305" t="s">
        <v>8965</v>
      </c>
      <c r="P101" s="305">
        <v>0</v>
      </c>
      <c r="Q101" s="306" t="s">
        <v>5905</v>
      </c>
      <c r="R101" s="306" t="s">
        <v>5905</v>
      </c>
      <c r="S101" s="304" t="s">
        <v>8990</v>
      </c>
    </row>
    <row r="102" spans="1:19">
      <c r="A102" s="309" t="s">
        <v>628</v>
      </c>
      <c r="B102" s="305">
        <v>0</v>
      </c>
      <c r="C102" s="305" t="s">
        <v>8971</v>
      </c>
      <c r="D102" s="305" t="s">
        <v>624</v>
      </c>
      <c r="E102" s="305" t="s">
        <v>9127</v>
      </c>
      <c r="F102" s="305" t="s">
        <v>9128</v>
      </c>
      <c r="G102" s="305" t="s">
        <v>8973</v>
      </c>
      <c r="H102" s="305" t="s">
        <v>9129</v>
      </c>
      <c r="I102" s="306" t="s">
        <v>5905</v>
      </c>
      <c r="J102" s="305">
        <v>0</v>
      </c>
      <c r="K102" s="307">
        <v>227190</v>
      </c>
      <c r="L102" s="305">
        <v>0</v>
      </c>
      <c r="M102" s="305">
        <v>0</v>
      </c>
      <c r="N102" s="307">
        <v>40214.85</v>
      </c>
      <c r="O102" s="305" t="s">
        <v>8965</v>
      </c>
      <c r="P102" s="305">
        <v>0</v>
      </c>
      <c r="Q102" s="306" t="s">
        <v>5905</v>
      </c>
      <c r="R102" s="306" t="s">
        <v>5905</v>
      </c>
      <c r="S102" s="304" t="s">
        <v>8990</v>
      </c>
    </row>
    <row r="103" spans="1:19">
      <c r="A103" s="309" t="s">
        <v>3567</v>
      </c>
      <c r="B103" s="305">
        <v>0</v>
      </c>
      <c r="C103" s="305" t="s">
        <v>8971</v>
      </c>
      <c r="D103" s="305" t="s">
        <v>9130</v>
      </c>
      <c r="E103" s="305" t="s">
        <v>9131</v>
      </c>
      <c r="F103" s="305" t="s">
        <v>6694</v>
      </c>
      <c r="G103" s="305" t="s">
        <v>8973</v>
      </c>
      <c r="H103" s="305" t="s">
        <v>9132</v>
      </c>
      <c r="I103" s="306" t="s">
        <v>5905</v>
      </c>
      <c r="J103" s="305">
        <v>0</v>
      </c>
      <c r="K103" s="305">
        <v>0</v>
      </c>
      <c r="L103" s="305">
        <v>0</v>
      </c>
      <c r="M103" s="305">
        <v>0</v>
      </c>
      <c r="N103" s="307">
        <v>196340.83</v>
      </c>
      <c r="O103" s="305" t="s">
        <v>8965</v>
      </c>
      <c r="P103" s="305">
        <v>0</v>
      </c>
      <c r="Q103" s="306" t="s">
        <v>5905</v>
      </c>
      <c r="R103" s="306" t="s">
        <v>5905</v>
      </c>
      <c r="S103" s="304" t="s">
        <v>8990</v>
      </c>
    </row>
    <row r="104" spans="1:19">
      <c r="A104" s="309" t="s">
        <v>9133</v>
      </c>
      <c r="B104" s="305">
        <v>1</v>
      </c>
      <c r="C104" s="305" t="s">
        <v>8971</v>
      </c>
      <c r="D104" s="305" t="s">
        <v>9134</v>
      </c>
      <c r="E104" s="305" t="s">
        <v>9135</v>
      </c>
      <c r="F104" s="305" t="s">
        <v>2888</v>
      </c>
      <c r="G104" s="305" t="s">
        <v>8973</v>
      </c>
      <c r="H104" s="305" t="s">
        <v>9132</v>
      </c>
      <c r="I104" s="306" t="s">
        <v>5905</v>
      </c>
      <c r="J104" s="305">
        <v>0</v>
      </c>
      <c r="K104" s="305">
        <v>0</v>
      </c>
      <c r="L104" s="305">
        <v>0</v>
      </c>
      <c r="M104" s="305">
        <v>0</v>
      </c>
      <c r="N104" s="307">
        <v>166063.79999999999</v>
      </c>
      <c r="O104" s="305" t="s">
        <v>8965</v>
      </c>
      <c r="P104" s="305">
        <v>0</v>
      </c>
      <c r="Q104" s="306" t="s">
        <v>5905</v>
      </c>
      <c r="R104" s="306" t="s">
        <v>5905</v>
      </c>
      <c r="S104" s="304" t="s">
        <v>8990</v>
      </c>
    </row>
    <row r="105" spans="1:19">
      <c r="A105" s="309" t="s">
        <v>500</v>
      </c>
      <c r="B105" s="305">
        <v>0</v>
      </c>
      <c r="C105" s="305" t="s">
        <v>8971</v>
      </c>
      <c r="D105" s="305" t="s">
        <v>9136</v>
      </c>
      <c r="E105" s="305" t="s">
        <v>8987</v>
      </c>
      <c r="F105" s="305" t="s">
        <v>8999</v>
      </c>
      <c r="G105" s="305" t="s">
        <v>8973</v>
      </c>
      <c r="H105" s="305" t="s">
        <v>9137</v>
      </c>
      <c r="I105" s="306" t="s">
        <v>5905</v>
      </c>
      <c r="J105" s="305">
        <v>0</v>
      </c>
      <c r="K105" s="307">
        <v>139858.13</v>
      </c>
      <c r="L105" s="305">
        <v>0</v>
      </c>
      <c r="M105" s="305">
        <v>0</v>
      </c>
      <c r="N105" s="307">
        <v>297023.5</v>
      </c>
      <c r="O105" s="305" t="s">
        <v>8965</v>
      </c>
      <c r="P105" s="305">
        <v>0</v>
      </c>
      <c r="Q105" s="306" t="s">
        <v>5905</v>
      </c>
      <c r="R105" s="306" t="s">
        <v>5905</v>
      </c>
      <c r="S105" s="304" t="s">
        <v>8990</v>
      </c>
    </row>
    <row r="106" spans="1:19">
      <c r="A106" s="309" t="s">
        <v>572</v>
      </c>
      <c r="B106" s="305">
        <v>1</v>
      </c>
      <c r="C106" s="305" t="s">
        <v>8971</v>
      </c>
      <c r="D106" s="305" t="s">
        <v>9138</v>
      </c>
      <c r="E106" s="305" t="s">
        <v>8987</v>
      </c>
      <c r="F106" s="305" t="s">
        <v>8999</v>
      </c>
      <c r="G106" s="305" t="s">
        <v>8973</v>
      </c>
      <c r="H106" s="305" t="s">
        <v>9137</v>
      </c>
      <c r="I106" s="306" t="s">
        <v>5905</v>
      </c>
      <c r="J106" s="305">
        <v>0</v>
      </c>
      <c r="K106" s="307">
        <v>388599.73</v>
      </c>
      <c r="L106" s="305">
        <v>0</v>
      </c>
      <c r="M106" s="305">
        <v>0</v>
      </c>
      <c r="N106" s="307">
        <v>94032.61</v>
      </c>
      <c r="O106" s="305" t="s">
        <v>8965</v>
      </c>
      <c r="P106" s="305">
        <v>0</v>
      </c>
      <c r="Q106" s="306" t="s">
        <v>5905</v>
      </c>
      <c r="R106" s="306" t="s">
        <v>5905</v>
      </c>
      <c r="S106" s="304" t="s">
        <v>8990</v>
      </c>
    </row>
    <row r="107" spans="1:19">
      <c r="A107" s="309" t="s">
        <v>519</v>
      </c>
      <c r="B107" s="305">
        <v>0</v>
      </c>
      <c r="C107" s="305" t="s">
        <v>8971</v>
      </c>
      <c r="D107" s="305" t="s">
        <v>9139</v>
      </c>
      <c r="E107" s="305" t="s">
        <v>8987</v>
      </c>
      <c r="F107" s="305" t="s">
        <v>8996</v>
      </c>
      <c r="G107" s="305" t="s">
        <v>8973</v>
      </c>
      <c r="H107" s="305" t="s">
        <v>9140</v>
      </c>
      <c r="I107" s="306" t="s">
        <v>5905</v>
      </c>
      <c r="J107" s="305">
        <v>0</v>
      </c>
      <c r="K107" s="307">
        <v>38818.04</v>
      </c>
      <c r="L107" s="305">
        <v>0</v>
      </c>
      <c r="M107" s="305">
        <v>0</v>
      </c>
      <c r="N107" s="307">
        <v>4847.59</v>
      </c>
      <c r="O107" s="305" t="s">
        <v>8965</v>
      </c>
      <c r="P107" s="305">
        <v>0</v>
      </c>
      <c r="Q107" s="306" t="s">
        <v>5905</v>
      </c>
      <c r="R107" s="306" t="s">
        <v>5905</v>
      </c>
      <c r="S107" s="304" t="s">
        <v>8990</v>
      </c>
    </row>
    <row r="108" spans="1:19">
      <c r="A108" s="309" t="s">
        <v>534</v>
      </c>
      <c r="B108" s="305">
        <v>1</v>
      </c>
      <c r="C108" s="305" t="s">
        <v>8971</v>
      </c>
      <c r="D108" s="305" t="s">
        <v>9141</v>
      </c>
      <c r="E108" s="305" t="s">
        <v>8987</v>
      </c>
      <c r="F108" s="305" t="s">
        <v>8999</v>
      </c>
      <c r="G108" s="305" t="s">
        <v>8973</v>
      </c>
      <c r="H108" s="305" t="s">
        <v>1559</v>
      </c>
      <c r="I108" s="306" t="s">
        <v>5905</v>
      </c>
      <c r="J108" s="305">
        <v>0</v>
      </c>
      <c r="K108" s="307">
        <v>366651</v>
      </c>
      <c r="L108" s="305">
        <v>0</v>
      </c>
      <c r="M108" s="305">
        <v>0</v>
      </c>
      <c r="N108" s="307">
        <v>32253.9</v>
      </c>
      <c r="O108" s="305" t="s">
        <v>8965</v>
      </c>
      <c r="P108" s="305">
        <v>0</v>
      </c>
      <c r="Q108" s="306" t="s">
        <v>5905</v>
      </c>
      <c r="R108" s="306" t="s">
        <v>5905</v>
      </c>
      <c r="S108" s="304" t="s">
        <v>8990</v>
      </c>
    </row>
    <row r="109" spans="1:19">
      <c r="A109" s="309" t="s">
        <v>332</v>
      </c>
      <c r="B109" s="305">
        <v>0</v>
      </c>
      <c r="C109" s="305" t="s">
        <v>8971</v>
      </c>
      <c r="D109" s="305" t="s">
        <v>9142</v>
      </c>
      <c r="E109" s="305" t="s">
        <v>9143</v>
      </c>
      <c r="F109" s="305" t="s">
        <v>9031</v>
      </c>
      <c r="G109" s="305" t="s">
        <v>8973</v>
      </c>
      <c r="H109" s="305" t="s">
        <v>9144</v>
      </c>
      <c r="I109" s="306" t="s">
        <v>5905</v>
      </c>
      <c r="J109" s="305">
        <v>0</v>
      </c>
      <c r="K109" s="305">
        <v>0</v>
      </c>
      <c r="L109" s="305">
        <v>0</v>
      </c>
      <c r="M109" s="305">
        <v>0</v>
      </c>
      <c r="N109" s="307">
        <v>859613.59</v>
      </c>
      <c r="O109" s="305" t="s">
        <v>8965</v>
      </c>
      <c r="P109" s="305">
        <v>0</v>
      </c>
      <c r="Q109" s="306" t="s">
        <v>5905</v>
      </c>
      <c r="R109" s="306" t="s">
        <v>5905</v>
      </c>
      <c r="S109" s="304" t="s">
        <v>8990</v>
      </c>
    </row>
    <row r="110" spans="1:19">
      <c r="A110" s="309" t="s">
        <v>1465</v>
      </c>
      <c r="B110" s="305">
        <v>2</v>
      </c>
      <c r="C110" s="305" t="s">
        <v>8971</v>
      </c>
      <c r="D110" s="305" t="s">
        <v>9145</v>
      </c>
      <c r="E110" s="305" t="s">
        <v>8987</v>
      </c>
      <c r="F110" s="305" t="s">
        <v>2065</v>
      </c>
      <c r="G110" s="305" t="s">
        <v>8973</v>
      </c>
      <c r="H110" s="305" t="s">
        <v>9144</v>
      </c>
      <c r="I110" s="306" t="s">
        <v>5905</v>
      </c>
      <c r="J110" s="305">
        <v>0</v>
      </c>
      <c r="K110" s="307">
        <v>64565933.119999997</v>
      </c>
      <c r="L110" s="305">
        <v>0</v>
      </c>
      <c r="M110" s="305">
        <v>0</v>
      </c>
      <c r="N110" s="307">
        <v>5579213.71</v>
      </c>
      <c r="O110" s="305" t="s">
        <v>8965</v>
      </c>
      <c r="P110" s="305">
        <v>0</v>
      </c>
      <c r="Q110" s="306" t="s">
        <v>5905</v>
      </c>
      <c r="R110" s="306" t="s">
        <v>5905</v>
      </c>
      <c r="S110" s="304" t="s">
        <v>8990</v>
      </c>
    </row>
    <row r="111" spans="1:19">
      <c r="A111" s="309" t="s">
        <v>2894</v>
      </c>
      <c r="B111" s="305">
        <v>2</v>
      </c>
      <c r="C111" s="305" t="s">
        <v>8971</v>
      </c>
      <c r="D111" s="305" t="s">
        <v>9146</v>
      </c>
      <c r="E111" s="305" t="s">
        <v>9147</v>
      </c>
      <c r="F111" s="305" t="s">
        <v>2888</v>
      </c>
      <c r="G111" s="305" t="s">
        <v>8973</v>
      </c>
      <c r="H111" s="305" t="s">
        <v>9148</v>
      </c>
      <c r="I111" s="306" t="s">
        <v>5905</v>
      </c>
      <c r="J111" s="305">
        <v>0</v>
      </c>
      <c r="K111" s="307">
        <v>172255.48</v>
      </c>
      <c r="L111" s="305">
        <v>0</v>
      </c>
      <c r="M111" s="305">
        <v>0</v>
      </c>
      <c r="N111" s="307">
        <v>784459.57</v>
      </c>
      <c r="O111" s="305" t="s">
        <v>8965</v>
      </c>
      <c r="P111" s="305">
        <v>0</v>
      </c>
      <c r="Q111" s="306" t="s">
        <v>5905</v>
      </c>
      <c r="R111" s="306" t="s">
        <v>5905</v>
      </c>
      <c r="S111" s="304" t="s">
        <v>8990</v>
      </c>
    </row>
    <row r="112" spans="1:19">
      <c r="A112" s="309" t="s">
        <v>563</v>
      </c>
      <c r="B112" s="305">
        <v>2</v>
      </c>
      <c r="C112" s="305" t="s">
        <v>8971</v>
      </c>
      <c r="D112" s="305" t="s">
        <v>9149</v>
      </c>
      <c r="E112" s="305" t="s">
        <v>8987</v>
      </c>
      <c r="F112" s="305" t="s">
        <v>9056</v>
      </c>
      <c r="G112" s="305" t="s">
        <v>8973</v>
      </c>
      <c r="H112" s="305" t="s">
        <v>9150</v>
      </c>
      <c r="I112" s="306" t="s">
        <v>5905</v>
      </c>
      <c r="J112" s="305">
        <v>0</v>
      </c>
      <c r="K112" s="307">
        <v>4342997.1100000003</v>
      </c>
      <c r="L112" s="305">
        <v>0</v>
      </c>
      <c r="M112" s="305">
        <v>0</v>
      </c>
      <c r="N112" s="307">
        <v>809035.48</v>
      </c>
      <c r="O112" s="305" t="s">
        <v>8965</v>
      </c>
      <c r="P112" s="305">
        <v>0</v>
      </c>
      <c r="Q112" s="306" t="s">
        <v>5905</v>
      </c>
      <c r="R112" s="306" t="s">
        <v>5905</v>
      </c>
      <c r="S112" s="304" t="s">
        <v>8990</v>
      </c>
    </row>
    <row r="113" spans="1:19">
      <c r="A113" s="309" t="s">
        <v>839</v>
      </c>
      <c r="B113" s="305">
        <v>0</v>
      </c>
      <c r="C113" s="305" t="s">
        <v>8971</v>
      </c>
      <c r="D113" s="305" t="s">
        <v>9151</v>
      </c>
      <c r="E113" s="305" t="s">
        <v>8987</v>
      </c>
      <c r="F113" s="305" t="s">
        <v>8988</v>
      </c>
      <c r="G113" s="305" t="s">
        <v>8973</v>
      </c>
      <c r="H113" s="305" t="s">
        <v>9152</v>
      </c>
      <c r="I113" s="306" t="s">
        <v>5905</v>
      </c>
      <c r="J113" s="305">
        <v>0</v>
      </c>
      <c r="K113" s="307">
        <v>64498.12</v>
      </c>
      <c r="L113" s="305">
        <v>0</v>
      </c>
      <c r="M113" s="305">
        <v>0</v>
      </c>
      <c r="N113" s="307">
        <v>22477.68</v>
      </c>
      <c r="O113" s="305" t="s">
        <v>8965</v>
      </c>
      <c r="P113" s="305">
        <v>0</v>
      </c>
      <c r="Q113" s="306" t="s">
        <v>5905</v>
      </c>
      <c r="R113" s="306" t="s">
        <v>5905</v>
      </c>
      <c r="S113" s="304" t="s">
        <v>8990</v>
      </c>
    </row>
    <row r="114" spans="1:19">
      <c r="A114" s="309" t="s">
        <v>1167</v>
      </c>
      <c r="B114" s="305">
        <v>0</v>
      </c>
      <c r="C114" s="305" t="s">
        <v>8971</v>
      </c>
      <c r="D114" s="305" t="s">
        <v>9153</v>
      </c>
      <c r="E114" s="305" t="s">
        <v>8987</v>
      </c>
      <c r="F114" s="305" t="s">
        <v>8988</v>
      </c>
      <c r="G114" s="305" t="s">
        <v>8973</v>
      </c>
      <c r="H114" s="305" t="s">
        <v>9154</v>
      </c>
      <c r="I114" s="306" t="s">
        <v>5905</v>
      </c>
      <c r="J114" s="305">
        <v>0</v>
      </c>
      <c r="K114" s="307">
        <v>71357.039999999994</v>
      </c>
      <c r="L114" s="305">
        <v>0</v>
      </c>
      <c r="M114" s="305">
        <v>0</v>
      </c>
      <c r="N114" s="307">
        <v>8181.39</v>
      </c>
      <c r="O114" s="305" t="s">
        <v>8965</v>
      </c>
      <c r="P114" s="305">
        <v>0</v>
      </c>
      <c r="Q114" s="306" t="s">
        <v>5905</v>
      </c>
      <c r="R114" s="306" t="s">
        <v>5905</v>
      </c>
      <c r="S114" s="304" t="s">
        <v>8990</v>
      </c>
    </row>
    <row r="115" spans="1:19">
      <c r="A115" s="309" t="s">
        <v>412</v>
      </c>
      <c r="B115" s="305">
        <v>0</v>
      </c>
      <c r="C115" s="305" t="s">
        <v>8971</v>
      </c>
      <c r="D115" s="305" t="s">
        <v>411</v>
      </c>
      <c r="E115" s="305" t="s">
        <v>9155</v>
      </c>
      <c r="F115" s="305" t="s">
        <v>9056</v>
      </c>
      <c r="G115" s="305" t="s">
        <v>8973</v>
      </c>
      <c r="H115" s="305" t="s">
        <v>9156</v>
      </c>
      <c r="I115" s="306" t="s">
        <v>5905</v>
      </c>
      <c r="J115" s="305">
        <v>0</v>
      </c>
      <c r="K115" s="305">
        <v>0</v>
      </c>
      <c r="L115" s="305">
        <v>0</v>
      </c>
      <c r="M115" s="305">
        <v>0</v>
      </c>
      <c r="N115" s="307">
        <v>4410.03</v>
      </c>
      <c r="O115" s="305" t="s">
        <v>8965</v>
      </c>
      <c r="P115" s="305">
        <v>0</v>
      </c>
      <c r="Q115" s="306" t="s">
        <v>5905</v>
      </c>
      <c r="R115" s="306" t="s">
        <v>5905</v>
      </c>
      <c r="S115" s="304" t="s">
        <v>8990</v>
      </c>
    </row>
    <row r="116" spans="1:19">
      <c r="A116" s="309" t="s">
        <v>592</v>
      </c>
      <c r="B116" s="305">
        <v>0</v>
      </c>
      <c r="C116" s="305" t="s">
        <v>8971</v>
      </c>
      <c r="D116" s="305" t="s">
        <v>9157</v>
      </c>
      <c r="E116" s="305" t="s">
        <v>8987</v>
      </c>
      <c r="F116" s="305" t="s">
        <v>8999</v>
      </c>
      <c r="G116" s="305" t="s">
        <v>8973</v>
      </c>
      <c r="H116" s="305" t="s">
        <v>9158</v>
      </c>
      <c r="I116" s="306" t="s">
        <v>5905</v>
      </c>
      <c r="J116" s="305">
        <v>0</v>
      </c>
      <c r="K116" s="307">
        <v>117700</v>
      </c>
      <c r="L116" s="305">
        <v>0</v>
      </c>
      <c r="M116" s="305">
        <v>0</v>
      </c>
      <c r="N116" s="307">
        <v>10451.629999999999</v>
      </c>
      <c r="O116" s="305" t="s">
        <v>8965</v>
      </c>
      <c r="P116" s="305">
        <v>0</v>
      </c>
      <c r="Q116" s="306" t="s">
        <v>5905</v>
      </c>
      <c r="R116" s="306" t="s">
        <v>5905</v>
      </c>
      <c r="S116" s="304" t="s">
        <v>8990</v>
      </c>
    </row>
    <row r="117" spans="1:19">
      <c r="A117" s="309" t="s">
        <v>1292</v>
      </c>
      <c r="B117" s="305">
        <v>0</v>
      </c>
      <c r="C117" s="305" t="s">
        <v>8971</v>
      </c>
      <c r="D117" s="305" t="s">
        <v>9159</v>
      </c>
      <c r="E117" s="305" t="s">
        <v>8987</v>
      </c>
      <c r="F117" s="305" t="s">
        <v>2109</v>
      </c>
      <c r="G117" s="305" t="s">
        <v>8973</v>
      </c>
      <c r="H117" s="305" t="s">
        <v>9160</v>
      </c>
      <c r="I117" s="306" t="s">
        <v>5905</v>
      </c>
      <c r="J117" s="305">
        <v>0</v>
      </c>
      <c r="K117" s="307">
        <v>418796</v>
      </c>
      <c r="L117" s="305">
        <v>0</v>
      </c>
      <c r="M117" s="305">
        <v>0</v>
      </c>
      <c r="N117" s="307">
        <v>117708.45</v>
      </c>
      <c r="O117" s="305" t="s">
        <v>8965</v>
      </c>
      <c r="P117" s="305">
        <v>0</v>
      </c>
      <c r="Q117" s="306" t="s">
        <v>5905</v>
      </c>
      <c r="R117" s="306" t="s">
        <v>5905</v>
      </c>
      <c r="S117" s="304" t="s">
        <v>8990</v>
      </c>
    </row>
    <row r="118" spans="1:19">
      <c r="A118" s="309" t="s">
        <v>4031</v>
      </c>
      <c r="B118" s="305">
        <v>1</v>
      </c>
      <c r="C118" s="305" t="s">
        <v>8971</v>
      </c>
      <c r="D118" s="305" t="s">
        <v>4032</v>
      </c>
      <c r="E118" s="305" t="s">
        <v>8987</v>
      </c>
      <c r="F118" s="305" t="s">
        <v>9125</v>
      </c>
      <c r="G118" s="305" t="s">
        <v>8973</v>
      </c>
      <c r="H118" s="305" t="s">
        <v>9161</v>
      </c>
      <c r="I118" s="306" t="s">
        <v>5905</v>
      </c>
      <c r="J118" s="305">
        <v>0</v>
      </c>
      <c r="K118" s="307">
        <v>17093.16</v>
      </c>
      <c r="L118" s="305">
        <v>0</v>
      </c>
      <c r="M118" s="305">
        <v>0</v>
      </c>
      <c r="N118" s="307">
        <v>33063.199999999997</v>
      </c>
      <c r="O118" s="305" t="s">
        <v>8965</v>
      </c>
      <c r="P118" s="305">
        <v>0</v>
      </c>
      <c r="Q118" s="306" t="s">
        <v>5905</v>
      </c>
      <c r="R118" s="306" t="s">
        <v>5905</v>
      </c>
      <c r="S118" s="304" t="s">
        <v>8990</v>
      </c>
    </row>
    <row r="119" spans="1:19">
      <c r="A119" s="309" t="s">
        <v>613</v>
      </c>
      <c r="B119" s="305">
        <v>2</v>
      </c>
      <c r="C119" s="305" t="s">
        <v>8971</v>
      </c>
      <c r="D119" s="305" t="s">
        <v>9162</v>
      </c>
      <c r="E119" s="305" t="s">
        <v>8987</v>
      </c>
      <c r="F119" s="305" t="s">
        <v>2292</v>
      </c>
      <c r="G119" s="305" t="s">
        <v>8973</v>
      </c>
      <c r="H119" s="305" t="s">
        <v>9163</v>
      </c>
      <c r="I119" s="306" t="s">
        <v>5905</v>
      </c>
      <c r="J119" s="305">
        <v>0</v>
      </c>
      <c r="K119" s="307">
        <v>13819861.300000001</v>
      </c>
      <c r="L119" s="305">
        <v>0</v>
      </c>
      <c r="M119" s="305">
        <v>0</v>
      </c>
      <c r="N119" s="307">
        <v>1314235.54</v>
      </c>
      <c r="O119" s="305" t="s">
        <v>8965</v>
      </c>
      <c r="P119" s="305">
        <v>0</v>
      </c>
      <c r="Q119" s="306" t="s">
        <v>5905</v>
      </c>
      <c r="R119" s="306" t="s">
        <v>5905</v>
      </c>
      <c r="S119" s="304" t="s">
        <v>8990</v>
      </c>
    </row>
    <row r="120" spans="1:19">
      <c r="A120" s="309" t="s">
        <v>537</v>
      </c>
      <c r="B120" s="305">
        <v>9</v>
      </c>
      <c r="C120" s="305" t="s">
        <v>8971</v>
      </c>
      <c r="D120" s="305" t="s">
        <v>535</v>
      </c>
      <c r="E120" s="305" t="s">
        <v>8987</v>
      </c>
      <c r="F120" s="305" t="s">
        <v>2206</v>
      </c>
      <c r="G120" s="305" t="s">
        <v>8973</v>
      </c>
      <c r="H120" s="305" t="s">
        <v>9164</v>
      </c>
      <c r="I120" s="306" t="s">
        <v>5905</v>
      </c>
      <c r="J120" s="305">
        <v>0</v>
      </c>
      <c r="K120" s="307">
        <v>23431927.440000001</v>
      </c>
      <c r="L120" s="305">
        <v>0</v>
      </c>
      <c r="M120" s="307">
        <v>16285</v>
      </c>
      <c r="N120" s="307">
        <v>96965769.019999996</v>
      </c>
      <c r="O120" s="305" t="s">
        <v>8965</v>
      </c>
      <c r="P120" s="305">
        <v>0</v>
      </c>
      <c r="Q120" s="306" t="s">
        <v>5905</v>
      </c>
      <c r="R120" s="306" t="s">
        <v>5905</v>
      </c>
      <c r="S120" s="304" t="s">
        <v>8990</v>
      </c>
    </row>
    <row r="121" spans="1:19">
      <c r="A121" s="309" t="s">
        <v>732</v>
      </c>
      <c r="B121" s="305">
        <v>1</v>
      </c>
      <c r="C121" s="305" t="s">
        <v>8971</v>
      </c>
      <c r="D121" s="305" t="s">
        <v>9165</v>
      </c>
      <c r="E121" s="305" t="s">
        <v>8987</v>
      </c>
      <c r="F121" s="305" t="s">
        <v>8999</v>
      </c>
      <c r="G121" s="305" t="s">
        <v>8973</v>
      </c>
      <c r="H121" s="305" t="s">
        <v>9166</v>
      </c>
      <c r="I121" s="306" t="s">
        <v>5905</v>
      </c>
      <c r="J121" s="305">
        <v>0</v>
      </c>
      <c r="K121" s="305">
        <v>0</v>
      </c>
      <c r="L121" s="305">
        <v>0</v>
      </c>
      <c r="M121" s="305">
        <v>0</v>
      </c>
      <c r="N121" s="307">
        <v>133280.6</v>
      </c>
      <c r="O121" s="305" t="s">
        <v>8965</v>
      </c>
      <c r="P121" s="305">
        <v>0</v>
      </c>
      <c r="Q121" s="306" t="s">
        <v>5905</v>
      </c>
      <c r="R121" s="306" t="s">
        <v>5905</v>
      </c>
      <c r="S121" s="304" t="s">
        <v>8990</v>
      </c>
    </row>
    <row r="122" spans="1:19">
      <c r="A122" s="309" t="s">
        <v>9167</v>
      </c>
      <c r="B122" s="305">
        <v>0</v>
      </c>
      <c r="C122" s="305" t="s">
        <v>8971</v>
      </c>
      <c r="D122" s="305" t="s">
        <v>9168</v>
      </c>
      <c r="E122" s="305" t="s">
        <v>8987</v>
      </c>
      <c r="F122" s="305" t="s">
        <v>6694</v>
      </c>
      <c r="G122" s="305" t="s">
        <v>8973</v>
      </c>
      <c r="H122" s="305" t="s">
        <v>9169</v>
      </c>
      <c r="I122" s="306" t="s">
        <v>5905</v>
      </c>
      <c r="J122" s="305">
        <v>0</v>
      </c>
      <c r="K122" s="305">
        <v>0</v>
      </c>
      <c r="L122" s="305">
        <v>0</v>
      </c>
      <c r="M122" s="305">
        <v>0</v>
      </c>
      <c r="N122" s="307">
        <v>4802215.8</v>
      </c>
      <c r="O122" s="305" t="s">
        <v>8965</v>
      </c>
      <c r="P122" s="305">
        <v>0</v>
      </c>
      <c r="Q122" s="306" t="s">
        <v>5905</v>
      </c>
      <c r="R122" s="306" t="s">
        <v>5905</v>
      </c>
      <c r="S122" s="304" t="s">
        <v>9016</v>
      </c>
    </row>
    <row r="123" spans="1:19">
      <c r="A123" s="309" t="s">
        <v>434</v>
      </c>
      <c r="B123" s="305">
        <v>3</v>
      </c>
      <c r="C123" s="305" t="s">
        <v>8971</v>
      </c>
      <c r="D123" s="305" t="s">
        <v>9170</v>
      </c>
      <c r="E123" s="305" t="s">
        <v>8987</v>
      </c>
      <c r="F123" s="305" t="s">
        <v>2109</v>
      </c>
      <c r="G123" s="305" t="s">
        <v>8973</v>
      </c>
      <c r="H123" s="305" t="s">
        <v>9171</v>
      </c>
      <c r="I123" s="306" t="s">
        <v>5905</v>
      </c>
      <c r="J123" s="305">
        <v>0</v>
      </c>
      <c r="K123" s="307">
        <v>612663.63</v>
      </c>
      <c r="L123" s="305">
        <v>0</v>
      </c>
      <c r="M123" s="305">
        <v>0</v>
      </c>
      <c r="N123" s="307">
        <v>194587.34</v>
      </c>
      <c r="O123" s="305" t="s">
        <v>8965</v>
      </c>
      <c r="P123" s="305">
        <v>0</v>
      </c>
      <c r="Q123" s="306" t="s">
        <v>5905</v>
      </c>
      <c r="R123" s="306" t="s">
        <v>5905</v>
      </c>
      <c r="S123" s="304" t="s">
        <v>8990</v>
      </c>
    </row>
    <row r="124" spans="1:19">
      <c r="A124" s="309" t="s">
        <v>946</v>
      </c>
      <c r="B124" s="305">
        <v>1</v>
      </c>
      <c r="C124" s="305" t="s">
        <v>8971</v>
      </c>
      <c r="D124" s="305" t="s">
        <v>9172</v>
      </c>
      <c r="E124" s="305" t="s">
        <v>8987</v>
      </c>
      <c r="F124" s="305" t="s">
        <v>9056</v>
      </c>
      <c r="G124" s="305" t="s">
        <v>8973</v>
      </c>
      <c r="H124" s="305" t="s">
        <v>9173</v>
      </c>
      <c r="I124" s="306" t="s">
        <v>5905</v>
      </c>
      <c r="J124" s="305">
        <v>0</v>
      </c>
      <c r="K124" s="307">
        <v>1022389.09</v>
      </c>
      <c r="L124" s="305">
        <v>0</v>
      </c>
      <c r="M124" s="305">
        <v>0</v>
      </c>
      <c r="N124" s="307">
        <v>490379.37</v>
      </c>
      <c r="O124" s="305" t="s">
        <v>8965</v>
      </c>
      <c r="P124" s="305">
        <v>0</v>
      </c>
      <c r="Q124" s="306" t="s">
        <v>5905</v>
      </c>
      <c r="R124" s="306" t="s">
        <v>5905</v>
      </c>
      <c r="S124" s="304" t="s">
        <v>8990</v>
      </c>
    </row>
    <row r="125" spans="1:19">
      <c r="A125" s="309" t="s">
        <v>2899</v>
      </c>
      <c r="B125" s="305">
        <v>0</v>
      </c>
      <c r="C125" s="305" t="s">
        <v>8971</v>
      </c>
      <c r="D125" s="305" t="s">
        <v>9174</v>
      </c>
      <c r="E125" s="305" t="s">
        <v>9175</v>
      </c>
      <c r="F125" s="305" t="s">
        <v>2888</v>
      </c>
      <c r="G125" s="305" t="s">
        <v>8973</v>
      </c>
      <c r="H125" s="305" t="s">
        <v>9176</v>
      </c>
      <c r="I125" s="306" t="s">
        <v>5905</v>
      </c>
      <c r="J125" s="305">
        <v>0</v>
      </c>
      <c r="K125" s="307">
        <v>1694.29</v>
      </c>
      <c r="L125" s="305">
        <v>0</v>
      </c>
      <c r="M125" s="305">
        <v>0</v>
      </c>
      <c r="N125" s="307">
        <v>77785.14</v>
      </c>
      <c r="O125" s="305" t="s">
        <v>8965</v>
      </c>
      <c r="P125" s="305">
        <v>0</v>
      </c>
      <c r="Q125" s="306" t="s">
        <v>5905</v>
      </c>
      <c r="R125" s="306" t="s">
        <v>5905</v>
      </c>
      <c r="S125" s="304" t="s">
        <v>8990</v>
      </c>
    </row>
    <row r="126" spans="1:19">
      <c r="A126" s="309" t="s">
        <v>3020</v>
      </c>
      <c r="B126" s="305">
        <v>0</v>
      </c>
      <c r="C126" s="305" t="s">
        <v>8971</v>
      </c>
      <c r="D126" s="305" t="s">
        <v>9177</v>
      </c>
      <c r="E126" s="305" t="s">
        <v>9110</v>
      </c>
      <c r="F126" s="305" t="s">
        <v>2888</v>
      </c>
      <c r="G126" s="305" t="s">
        <v>8973</v>
      </c>
      <c r="H126" s="305" t="s">
        <v>9178</v>
      </c>
      <c r="I126" s="306" t="s">
        <v>5905</v>
      </c>
      <c r="J126" s="305">
        <v>0</v>
      </c>
      <c r="K126" s="305">
        <v>0</v>
      </c>
      <c r="L126" s="305">
        <v>0</v>
      </c>
      <c r="M126" s="305">
        <v>0</v>
      </c>
      <c r="N126" s="307">
        <v>61155.7</v>
      </c>
      <c r="O126" s="305" t="s">
        <v>8965</v>
      </c>
      <c r="P126" s="305">
        <v>0</v>
      </c>
      <c r="Q126" s="306" t="s">
        <v>5905</v>
      </c>
      <c r="R126" s="306" t="s">
        <v>5905</v>
      </c>
      <c r="S126" s="304" t="s">
        <v>8990</v>
      </c>
    </row>
    <row r="127" spans="1:19">
      <c r="A127" s="309" t="s">
        <v>9179</v>
      </c>
      <c r="B127" s="305">
        <v>0</v>
      </c>
      <c r="C127" s="305" t="s">
        <v>8971</v>
      </c>
      <c r="D127" s="305" t="s">
        <v>9180</v>
      </c>
      <c r="E127" s="305" t="s">
        <v>38</v>
      </c>
      <c r="F127" s="305" t="s">
        <v>2888</v>
      </c>
      <c r="G127" s="305" t="s">
        <v>8973</v>
      </c>
      <c r="H127" s="305" t="s">
        <v>9178</v>
      </c>
      <c r="I127" s="306" t="s">
        <v>5905</v>
      </c>
      <c r="J127" s="305">
        <v>0</v>
      </c>
      <c r="K127" s="305">
        <v>0</v>
      </c>
      <c r="L127" s="305">
        <v>0</v>
      </c>
      <c r="M127" s="305">
        <v>0</v>
      </c>
      <c r="N127" s="307">
        <v>48063.93</v>
      </c>
      <c r="O127" s="305" t="s">
        <v>8965</v>
      </c>
      <c r="P127" s="305">
        <v>0</v>
      </c>
      <c r="Q127" s="306" t="s">
        <v>5905</v>
      </c>
      <c r="R127" s="306" t="s">
        <v>5905</v>
      </c>
      <c r="S127" s="304" t="s">
        <v>8990</v>
      </c>
    </row>
    <row r="128" spans="1:19">
      <c r="A128" s="309" t="s">
        <v>774</v>
      </c>
      <c r="B128" s="305">
        <v>0</v>
      </c>
      <c r="C128" s="305" t="s">
        <v>8971</v>
      </c>
      <c r="D128" s="305" t="s">
        <v>9181</v>
      </c>
      <c r="E128" s="305" t="s">
        <v>8987</v>
      </c>
      <c r="F128" s="305" t="s">
        <v>9182</v>
      </c>
      <c r="G128" s="305" t="s">
        <v>8973</v>
      </c>
      <c r="H128" s="305" t="s">
        <v>2212</v>
      </c>
      <c r="I128" s="306" t="s">
        <v>5905</v>
      </c>
      <c r="J128" s="305">
        <v>0</v>
      </c>
      <c r="K128" s="307">
        <v>353394.98</v>
      </c>
      <c r="L128" s="305">
        <v>0</v>
      </c>
      <c r="M128" s="305">
        <v>0</v>
      </c>
      <c r="N128" s="307">
        <v>109105.02</v>
      </c>
      <c r="O128" s="305" t="s">
        <v>8965</v>
      </c>
      <c r="P128" s="305">
        <v>0</v>
      </c>
      <c r="Q128" s="306" t="s">
        <v>5905</v>
      </c>
      <c r="R128" s="306" t="s">
        <v>5905</v>
      </c>
      <c r="S128" s="304" t="s">
        <v>8990</v>
      </c>
    </row>
    <row r="129" spans="1:19">
      <c r="A129" s="309" t="s">
        <v>9183</v>
      </c>
      <c r="B129" s="305">
        <v>0</v>
      </c>
      <c r="C129" s="305" t="s">
        <v>9184</v>
      </c>
      <c r="D129" s="305" t="s">
        <v>9185</v>
      </c>
      <c r="E129" s="306" t="s">
        <v>5905</v>
      </c>
      <c r="F129" s="305" t="s">
        <v>6694</v>
      </c>
      <c r="G129" s="305" t="s">
        <v>6694</v>
      </c>
      <c r="H129" s="305" t="s">
        <v>9077</v>
      </c>
      <c r="I129" s="306" t="s">
        <v>5905</v>
      </c>
      <c r="J129" s="305">
        <v>0</v>
      </c>
      <c r="K129" s="305">
        <v>0</v>
      </c>
      <c r="L129" s="305">
        <v>0</v>
      </c>
      <c r="M129" s="305">
        <v>0</v>
      </c>
      <c r="N129" s="305">
        <v>0</v>
      </c>
      <c r="O129" s="305" t="s">
        <v>8965</v>
      </c>
      <c r="P129" s="305">
        <v>0</v>
      </c>
      <c r="Q129" s="306" t="s">
        <v>5905</v>
      </c>
      <c r="R129" s="306" t="s">
        <v>5905</v>
      </c>
      <c r="S129" s="304" t="s">
        <v>9016</v>
      </c>
    </row>
    <row r="130" spans="1:19">
      <c r="A130" s="309" t="s">
        <v>9186</v>
      </c>
      <c r="B130" s="305">
        <v>0</v>
      </c>
      <c r="C130" s="305" t="s">
        <v>9069</v>
      </c>
      <c r="D130" s="305" t="s">
        <v>9187</v>
      </c>
      <c r="E130" s="305" t="s">
        <v>9188</v>
      </c>
      <c r="F130" s="305" t="s">
        <v>2042</v>
      </c>
      <c r="G130" s="305" t="s">
        <v>8973</v>
      </c>
      <c r="H130" s="305" t="s">
        <v>1682</v>
      </c>
      <c r="I130" s="306" t="s">
        <v>5905</v>
      </c>
      <c r="J130" s="305">
        <v>0</v>
      </c>
      <c r="K130" s="305">
        <v>0</v>
      </c>
      <c r="L130" s="305">
        <v>0</v>
      </c>
      <c r="M130" s="305">
        <v>0</v>
      </c>
      <c r="N130" s="307">
        <v>95903.9</v>
      </c>
      <c r="O130" s="305" t="s">
        <v>8965</v>
      </c>
      <c r="P130" s="305">
        <v>0</v>
      </c>
      <c r="Q130" s="306" t="s">
        <v>5905</v>
      </c>
      <c r="R130" s="306" t="s">
        <v>5905</v>
      </c>
      <c r="S130" s="304" t="s">
        <v>8990</v>
      </c>
    </row>
    <row r="131" spans="1:19">
      <c r="A131" s="309" t="s">
        <v>1585</v>
      </c>
      <c r="B131" s="305">
        <v>0</v>
      </c>
      <c r="C131" s="305" t="s">
        <v>9069</v>
      </c>
      <c r="D131" s="305" t="s">
        <v>9189</v>
      </c>
      <c r="E131" s="305" t="s">
        <v>9190</v>
      </c>
      <c r="F131" s="305" t="s">
        <v>2042</v>
      </c>
      <c r="G131" s="305" t="s">
        <v>8973</v>
      </c>
      <c r="H131" s="305" t="s">
        <v>9191</v>
      </c>
      <c r="I131" s="306" t="s">
        <v>5905</v>
      </c>
      <c r="J131" s="305">
        <v>0</v>
      </c>
      <c r="K131" s="305">
        <v>0</v>
      </c>
      <c r="L131" s="305">
        <v>0</v>
      </c>
      <c r="M131" s="305">
        <v>0</v>
      </c>
      <c r="N131" s="307">
        <v>481848.33</v>
      </c>
      <c r="O131" s="305" t="s">
        <v>8965</v>
      </c>
      <c r="P131" s="305">
        <v>0</v>
      </c>
      <c r="Q131" s="306" t="s">
        <v>5905</v>
      </c>
      <c r="R131" s="306" t="s">
        <v>5905</v>
      </c>
      <c r="S131" s="304" t="s">
        <v>8990</v>
      </c>
    </row>
    <row r="132" spans="1:19">
      <c r="A132" s="309" t="s">
        <v>9192</v>
      </c>
      <c r="B132" s="305">
        <v>0</v>
      </c>
      <c r="C132" s="305" t="s">
        <v>8960</v>
      </c>
      <c r="D132" s="305" t="s">
        <v>9193</v>
      </c>
      <c r="E132" s="306" t="s">
        <v>5905</v>
      </c>
      <c r="F132" s="305" t="s">
        <v>2379</v>
      </c>
      <c r="G132" s="305" t="s">
        <v>2379</v>
      </c>
      <c r="H132" s="305" t="s">
        <v>9194</v>
      </c>
      <c r="I132" s="306" t="s">
        <v>5905</v>
      </c>
      <c r="J132" s="305">
        <v>0</v>
      </c>
      <c r="K132" s="305">
        <v>0</v>
      </c>
      <c r="L132" s="305">
        <v>0</v>
      </c>
      <c r="M132" s="305">
        <v>0</v>
      </c>
      <c r="N132" s="307">
        <v>296085314</v>
      </c>
      <c r="O132" s="305" t="s">
        <v>8965</v>
      </c>
      <c r="P132" s="305">
        <v>0</v>
      </c>
      <c r="Q132" s="306" t="s">
        <v>5905</v>
      </c>
      <c r="R132" s="306" t="s">
        <v>5905</v>
      </c>
      <c r="S132" s="304" t="s">
        <v>8990</v>
      </c>
    </row>
    <row r="133" spans="1:19">
      <c r="A133" s="309" t="s">
        <v>9195</v>
      </c>
      <c r="B133" s="305">
        <v>0</v>
      </c>
      <c r="C133" s="305" t="s">
        <v>8960</v>
      </c>
      <c r="D133" s="305" t="s">
        <v>9196</v>
      </c>
      <c r="E133" s="306" t="s">
        <v>5905</v>
      </c>
      <c r="F133" s="305" t="s">
        <v>6694</v>
      </c>
      <c r="G133" s="305" t="s">
        <v>6694</v>
      </c>
      <c r="H133" s="305" t="s">
        <v>2226</v>
      </c>
      <c r="I133" s="306" t="s">
        <v>5905</v>
      </c>
      <c r="J133" s="305">
        <v>0</v>
      </c>
      <c r="K133" s="305">
        <v>0</v>
      </c>
      <c r="L133" s="305">
        <v>0</v>
      </c>
      <c r="M133" s="305">
        <v>0</v>
      </c>
      <c r="N133" s="307">
        <v>48175762</v>
      </c>
      <c r="O133" s="305" t="s">
        <v>8965</v>
      </c>
      <c r="P133" s="305">
        <v>0</v>
      </c>
      <c r="Q133" s="306" t="s">
        <v>5905</v>
      </c>
      <c r="R133" s="306" t="s">
        <v>5905</v>
      </c>
      <c r="S133" s="304" t="s">
        <v>8990</v>
      </c>
    </row>
    <row r="134" spans="1:19">
      <c r="A134" s="309" t="s">
        <v>985</v>
      </c>
      <c r="B134" s="305">
        <v>0</v>
      </c>
      <c r="C134" s="305" t="s">
        <v>8971</v>
      </c>
      <c r="D134" s="305" t="s">
        <v>9197</v>
      </c>
      <c r="E134" s="305" t="s">
        <v>9198</v>
      </c>
      <c r="F134" s="305" t="s">
        <v>8973</v>
      </c>
      <c r="G134" s="305" t="s">
        <v>8973</v>
      </c>
      <c r="H134" s="305" t="s">
        <v>9199</v>
      </c>
      <c r="I134" s="306" t="s">
        <v>5905</v>
      </c>
      <c r="J134" s="305">
        <v>0</v>
      </c>
      <c r="K134" s="307">
        <v>69450</v>
      </c>
      <c r="L134" s="305">
        <v>0</v>
      </c>
      <c r="M134" s="305">
        <v>0</v>
      </c>
      <c r="N134" s="307">
        <v>8818.7800000000007</v>
      </c>
      <c r="O134" s="305" t="s">
        <v>8965</v>
      </c>
      <c r="P134" s="305">
        <v>0</v>
      </c>
      <c r="Q134" s="306" t="s">
        <v>5905</v>
      </c>
      <c r="R134" s="306" t="s">
        <v>5905</v>
      </c>
      <c r="S134" s="304" t="s">
        <v>8990</v>
      </c>
    </row>
    <row r="135" spans="1:19">
      <c r="A135" s="309" t="s">
        <v>880</v>
      </c>
      <c r="B135" s="305">
        <v>1</v>
      </c>
      <c r="C135" s="305" t="s">
        <v>8971</v>
      </c>
      <c r="D135" s="305" t="s">
        <v>9200</v>
      </c>
      <c r="E135" s="305" t="s">
        <v>8987</v>
      </c>
      <c r="F135" s="305" t="s">
        <v>9201</v>
      </c>
      <c r="G135" s="305" t="s">
        <v>8973</v>
      </c>
      <c r="H135" s="305" t="s">
        <v>9115</v>
      </c>
      <c r="I135" s="306" t="s">
        <v>5905</v>
      </c>
      <c r="J135" s="305">
        <v>0</v>
      </c>
      <c r="K135" s="307">
        <v>16558.61</v>
      </c>
      <c r="L135" s="305">
        <v>0</v>
      </c>
      <c r="M135" s="305">
        <v>0</v>
      </c>
      <c r="N135" s="307">
        <v>55658.41</v>
      </c>
      <c r="O135" s="305" t="s">
        <v>8965</v>
      </c>
      <c r="P135" s="305">
        <v>0</v>
      </c>
      <c r="Q135" s="306" t="s">
        <v>5905</v>
      </c>
      <c r="R135" s="306" t="s">
        <v>5905</v>
      </c>
      <c r="S135" s="304" t="s">
        <v>8990</v>
      </c>
    </row>
    <row r="136" spans="1:19">
      <c r="A136" s="309" t="s">
        <v>3507</v>
      </c>
      <c r="B136" s="305">
        <v>1</v>
      </c>
      <c r="C136" s="305" t="s">
        <v>8971</v>
      </c>
      <c r="D136" s="305" t="s">
        <v>9202</v>
      </c>
      <c r="E136" s="305" t="s">
        <v>9203</v>
      </c>
      <c r="F136" s="305" t="s">
        <v>2888</v>
      </c>
      <c r="G136" s="305" t="s">
        <v>8973</v>
      </c>
      <c r="H136" s="305" t="s">
        <v>9204</v>
      </c>
      <c r="I136" s="306" t="s">
        <v>5905</v>
      </c>
      <c r="J136" s="305">
        <v>0</v>
      </c>
      <c r="K136" s="305">
        <v>0</v>
      </c>
      <c r="L136" s="305">
        <v>0</v>
      </c>
      <c r="M136" s="305">
        <v>0</v>
      </c>
      <c r="N136" s="307">
        <v>23296.12</v>
      </c>
      <c r="O136" s="305" t="s">
        <v>8965</v>
      </c>
      <c r="P136" s="305">
        <v>0</v>
      </c>
      <c r="Q136" s="306" t="s">
        <v>5905</v>
      </c>
      <c r="R136" s="306" t="s">
        <v>5905</v>
      </c>
      <c r="S136" s="304" t="s">
        <v>8990</v>
      </c>
    </row>
    <row r="137" spans="1:19">
      <c r="A137" s="309" t="s">
        <v>9205</v>
      </c>
      <c r="B137" s="305">
        <v>0</v>
      </c>
      <c r="C137" s="305" t="s">
        <v>8971</v>
      </c>
      <c r="D137" s="305" t="s">
        <v>9206</v>
      </c>
      <c r="E137" s="305" t="s">
        <v>8987</v>
      </c>
      <c r="F137" s="305" t="s">
        <v>8988</v>
      </c>
      <c r="G137" s="305" t="s">
        <v>8973</v>
      </c>
      <c r="H137" s="305" t="s">
        <v>9207</v>
      </c>
      <c r="I137" s="306" t="s">
        <v>5905</v>
      </c>
      <c r="J137" s="305">
        <v>0</v>
      </c>
      <c r="K137" s="305">
        <v>0</v>
      </c>
      <c r="L137" s="305">
        <v>0</v>
      </c>
      <c r="M137" s="305">
        <v>0</v>
      </c>
      <c r="N137" s="307">
        <v>3885000</v>
      </c>
      <c r="O137" s="305" t="s">
        <v>8965</v>
      </c>
      <c r="P137" s="305">
        <v>0</v>
      </c>
      <c r="Q137" s="306" t="s">
        <v>5905</v>
      </c>
      <c r="R137" s="306" t="s">
        <v>5905</v>
      </c>
      <c r="S137" s="304" t="s">
        <v>9016</v>
      </c>
    </row>
    <row r="138" spans="1:19">
      <c r="A138" s="309" t="s">
        <v>9208</v>
      </c>
      <c r="B138" s="305">
        <v>0</v>
      </c>
      <c r="C138" s="305" t="s">
        <v>8971</v>
      </c>
      <c r="D138" s="305" t="s">
        <v>9209</v>
      </c>
      <c r="E138" s="305" t="s">
        <v>8987</v>
      </c>
      <c r="F138" s="305" t="s">
        <v>8996</v>
      </c>
      <c r="G138" s="305" t="s">
        <v>8973</v>
      </c>
      <c r="H138" s="305" t="s">
        <v>9207</v>
      </c>
      <c r="I138" s="306" t="s">
        <v>5905</v>
      </c>
      <c r="J138" s="305">
        <v>0</v>
      </c>
      <c r="K138" s="307">
        <v>37129196.719999999</v>
      </c>
      <c r="L138" s="305">
        <v>0</v>
      </c>
      <c r="M138" s="305">
        <v>0</v>
      </c>
      <c r="N138" s="307">
        <v>7971999.1100000003</v>
      </c>
      <c r="O138" s="305" t="s">
        <v>8965</v>
      </c>
      <c r="P138" s="305">
        <v>0</v>
      </c>
      <c r="Q138" s="306" t="s">
        <v>5905</v>
      </c>
      <c r="R138" s="306" t="s">
        <v>5905</v>
      </c>
      <c r="S138" s="304" t="s">
        <v>8990</v>
      </c>
    </row>
    <row r="139" spans="1:19">
      <c r="A139" s="309" t="s">
        <v>1416</v>
      </c>
      <c r="B139" s="305">
        <v>0</v>
      </c>
      <c r="C139" s="305" t="s">
        <v>8971</v>
      </c>
      <c r="D139" s="305" t="s">
        <v>9210</v>
      </c>
      <c r="E139" s="305" t="s">
        <v>8987</v>
      </c>
      <c r="F139" s="305" t="s">
        <v>2065</v>
      </c>
      <c r="G139" s="305" t="s">
        <v>8973</v>
      </c>
      <c r="H139" s="305" t="s">
        <v>9207</v>
      </c>
      <c r="I139" s="306" t="s">
        <v>5905</v>
      </c>
      <c r="J139" s="305">
        <v>0</v>
      </c>
      <c r="K139" s="307">
        <v>15297968.789999999</v>
      </c>
      <c r="L139" s="305">
        <v>0</v>
      </c>
      <c r="M139" s="305">
        <v>0</v>
      </c>
      <c r="N139" s="307">
        <v>14667469.59</v>
      </c>
      <c r="O139" s="305" t="s">
        <v>8965</v>
      </c>
      <c r="P139" s="305">
        <v>0</v>
      </c>
      <c r="Q139" s="306" t="s">
        <v>5905</v>
      </c>
      <c r="R139" s="306" t="s">
        <v>5905</v>
      </c>
      <c r="S139" s="304" t="s">
        <v>8990</v>
      </c>
    </row>
    <row r="140" spans="1:19">
      <c r="A140" s="309" t="s">
        <v>9211</v>
      </c>
      <c r="B140" s="305">
        <v>0</v>
      </c>
      <c r="C140" s="305" t="s">
        <v>8971</v>
      </c>
      <c r="D140" s="305" t="s">
        <v>9206</v>
      </c>
      <c r="E140" s="305" t="s">
        <v>8987</v>
      </c>
      <c r="F140" s="305" t="s">
        <v>8988</v>
      </c>
      <c r="G140" s="305" t="s">
        <v>8973</v>
      </c>
      <c r="H140" s="305" t="s">
        <v>728</v>
      </c>
      <c r="I140" s="306" t="s">
        <v>5905</v>
      </c>
      <c r="J140" s="305">
        <v>0</v>
      </c>
      <c r="K140" s="307">
        <v>2847510.3</v>
      </c>
      <c r="L140" s="305">
        <v>0</v>
      </c>
      <c r="M140" s="305">
        <v>0</v>
      </c>
      <c r="N140" s="307">
        <v>1054165.6499999999</v>
      </c>
      <c r="O140" s="305" t="s">
        <v>8965</v>
      </c>
      <c r="P140" s="305">
        <v>0</v>
      </c>
      <c r="Q140" s="306" t="s">
        <v>5905</v>
      </c>
      <c r="R140" s="306" t="s">
        <v>5905</v>
      </c>
      <c r="S140" s="304" t="s">
        <v>8990</v>
      </c>
    </row>
    <row r="141" spans="1:19">
      <c r="A141" s="309" t="s">
        <v>9212</v>
      </c>
      <c r="B141" s="305">
        <v>0</v>
      </c>
      <c r="C141" s="305" t="s">
        <v>8971</v>
      </c>
      <c r="D141" s="305" t="s">
        <v>9213</v>
      </c>
      <c r="E141" s="305" t="s">
        <v>8987</v>
      </c>
      <c r="F141" s="305" t="s">
        <v>2292</v>
      </c>
      <c r="G141" s="305" t="s">
        <v>8973</v>
      </c>
      <c r="H141" s="305" t="s">
        <v>728</v>
      </c>
      <c r="I141" s="306" t="s">
        <v>5905</v>
      </c>
      <c r="J141" s="305">
        <v>0</v>
      </c>
      <c r="K141" s="307">
        <v>2715943.6</v>
      </c>
      <c r="L141" s="305">
        <v>0</v>
      </c>
      <c r="M141" s="305">
        <v>0</v>
      </c>
      <c r="N141" s="307">
        <v>2269556.4</v>
      </c>
      <c r="O141" s="305" t="s">
        <v>8965</v>
      </c>
      <c r="P141" s="305">
        <v>0</v>
      </c>
      <c r="Q141" s="306" t="s">
        <v>5905</v>
      </c>
      <c r="R141" s="306" t="s">
        <v>5905</v>
      </c>
      <c r="S141" s="304" t="s">
        <v>8990</v>
      </c>
    </row>
    <row r="142" spans="1:19">
      <c r="A142" s="309" t="s">
        <v>3534</v>
      </c>
      <c r="B142" s="305">
        <v>0</v>
      </c>
      <c r="C142" s="305" t="s">
        <v>8971</v>
      </c>
      <c r="D142" s="305" t="s">
        <v>9214</v>
      </c>
      <c r="E142" s="305" t="s">
        <v>9215</v>
      </c>
      <c r="F142" s="305" t="s">
        <v>2888</v>
      </c>
      <c r="G142" s="305" t="s">
        <v>8973</v>
      </c>
      <c r="H142" s="305" t="s">
        <v>9216</v>
      </c>
      <c r="I142" s="306" t="s">
        <v>5905</v>
      </c>
      <c r="J142" s="305">
        <v>0</v>
      </c>
      <c r="K142" s="307">
        <v>1825</v>
      </c>
      <c r="L142" s="305">
        <v>0</v>
      </c>
      <c r="M142" s="305">
        <v>0</v>
      </c>
      <c r="N142" s="307">
        <v>39835.870000000003</v>
      </c>
      <c r="O142" s="305" t="s">
        <v>8965</v>
      </c>
      <c r="P142" s="305">
        <v>0</v>
      </c>
      <c r="Q142" s="306" t="s">
        <v>5905</v>
      </c>
      <c r="R142" s="306" t="s">
        <v>5905</v>
      </c>
      <c r="S142" s="304" t="s">
        <v>8990</v>
      </c>
    </row>
    <row r="143" spans="1:19">
      <c r="A143" s="309" t="s">
        <v>9217</v>
      </c>
      <c r="B143" s="305">
        <v>0</v>
      </c>
      <c r="C143" s="305" t="s">
        <v>8971</v>
      </c>
      <c r="D143" s="305" t="s">
        <v>9218</v>
      </c>
      <c r="E143" s="305" t="s">
        <v>8987</v>
      </c>
      <c r="F143" s="305" t="s">
        <v>8973</v>
      </c>
      <c r="G143" s="305" t="s">
        <v>8973</v>
      </c>
      <c r="H143" s="305" t="s">
        <v>9219</v>
      </c>
      <c r="I143" s="306" t="s">
        <v>5905</v>
      </c>
      <c r="J143" s="305">
        <v>0</v>
      </c>
      <c r="K143" s="305">
        <v>0</v>
      </c>
      <c r="L143" s="305">
        <v>0</v>
      </c>
      <c r="M143" s="305">
        <v>0</v>
      </c>
      <c r="N143" s="307">
        <v>12778378.390000001</v>
      </c>
      <c r="O143" s="305" t="s">
        <v>8965</v>
      </c>
      <c r="P143" s="305">
        <v>0</v>
      </c>
      <c r="Q143" s="306" t="s">
        <v>5905</v>
      </c>
      <c r="R143" s="306" t="s">
        <v>5905</v>
      </c>
      <c r="S143" s="304" t="s">
        <v>8990</v>
      </c>
    </row>
    <row r="144" spans="1:19">
      <c r="A144" s="309" t="s">
        <v>9220</v>
      </c>
      <c r="B144" s="305">
        <v>0</v>
      </c>
      <c r="C144" s="305" t="s">
        <v>8971</v>
      </c>
      <c r="D144" s="305" t="s">
        <v>9221</v>
      </c>
      <c r="E144" s="305" t="s">
        <v>8987</v>
      </c>
      <c r="F144" s="305" t="s">
        <v>6694</v>
      </c>
      <c r="G144" s="305" t="s">
        <v>8973</v>
      </c>
      <c r="H144" s="305" t="s">
        <v>9222</v>
      </c>
      <c r="I144" s="306" t="s">
        <v>5905</v>
      </c>
      <c r="J144" s="305">
        <v>0</v>
      </c>
      <c r="K144" s="305">
        <v>0</v>
      </c>
      <c r="L144" s="305">
        <v>0</v>
      </c>
      <c r="M144" s="305">
        <v>0</v>
      </c>
      <c r="N144" s="307">
        <v>467500</v>
      </c>
      <c r="O144" s="305" t="s">
        <v>8965</v>
      </c>
      <c r="P144" s="305">
        <v>0</v>
      </c>
      <c r="Q144" s="306" t="s">
        <v>5905</v>
      </c>
      <c r="R144" s="306" t="s">
        <v>5905</v>
      </c>
      <c r="S144" s="304" t="s">
        <v>9016</v>
      </c>
    </row>
    <row r="145" spans="1:19">
      <c r="A145" s="309" t="s">
        <v>9223</v>
      </c>
      <c r="B145" s="305">
        <v>0</v>
      </c>
      <c r="C145" s="305" t="s">
        <v>8971</v>
      </c>
      <c r="D145" s="305" t="s">
        <v>9224</v>
      </c>
      <c r="E145" s="305" t="s">
        <v>8987</v>
      </c>
      <c r="F145" s="305" t="s">
        <v>6694</v>
      </c>
      <c r="G145" s="305" t="s">
        <v>8973</v>
      </c>
      <c r="H145" s="305" t="s">
        <v>9222</v>
      </c>
      <c r="I145" s="306" t="s">
        <v>5905</v>
      </c>
      <c r="J145" s="305">
        <v>0</v>
      </c>
      <c r="K145" s="305">
        <v>0</v>
      </c>
      <c r="L145" s="305">
        <v>0</v>
      </c>
      <c r="M145" s="305">
        <v>0</v>
      </c>
      <c r="N145" s="307">
        <v>209000</v>
      </c>
      <c r="O145" s="305" t="s">
        <v>8965</v>
      </c>
      <c r="P145" s="305">
        <v>0</v>
      </c>
      <c r="Q145" s="306" t="s">
        <v>5905</v>
      </c>
      <c r="R145" s="306" t="s">
        <v>5905</v>
      </c>
      <c r="S145" s="304" t="s">
        <v>9016</v>
      </c>
    </row>
    <row r="146" spans="1:19">
      <c r="A146" s="309" t="s">
        <v>1576</v>
      </c>
      <c r="B146" s="305">
        <v>0</v>
      </c>
      <c r="C146" s="305" t="s">
        <v>9069</v>
      </c>
      <c r="D146" s="305" t="s">
        <v>9225</v>
      </c>
      <c r="E146" s="305" t="s">
        <v>9226</v>
      </c>
      <c r="F146" s="305" t="s">
        <v>2042</v>
      </c>
      <c r="G146" s="305" t="s">
        <v>8973</v>
      </c>
      <c r="H146" s="305" t="s">
        <v>849</v>
      </c>
      <c r="I146" s="306" t="s">
        <v>5905</v>
      </c>
      <c r="J146" s="305">
        <v>0</v>
      </c>
      <c r="K146" s="305">
        <v>0</v>
      </c>
      <c r="L146" s="305">
        <v>0</v>
      </c>
      <c r="M146" s="305">
        <v>0</v>
      </c>
      <c r="N146" s="307">
        <v>175787.24</v>
      </c>
      <c r="O146" s="305" t="s">
        <v>8965</v>
      </c>
      <c r="P146" s="305">
        <v>0</v>
      </c>
      <c r="Q146" s="306" t="s">
        <v>5905</v>
      </c>
      <c r="R146" s="306" t="s">
        <v>5905</v>
      </c>
      <c r="S146" s="304" t="s">
        <v>8990</v>
      </c>
    </row>
    <row r="147" spans="1:19">
      <c r="A147" s="309" t="s">
        <v>9227</v>
      </c>
      <c r="B147" s="305">
        <v>0</v>
      </c>
      <c r="C147" s="305" t="s">
        <v>8960</v>
      </c>
      <c r="D147" s="305" t="s">
        <v>8961</v>
      </c>
      <c r="E147" s="306" t="s">
        <v>5905</v>
      </c>
      <c r="F147" s="305" t="s">
        <v>9228</v>
      </c>
      <c r="G147" s="305" t="s">
        <v>9228</v>
      </c>
      <c r="H147" s="305" t="s">
        <v>8963</v>
      </c>
      <c r="I147" s="305" t="s">
        <v>8964</v>
      </c>
      <c r="J147" s="305">
        <v>0</v>
      </c>
      <c r="K147" s="305">
        <v>0</v>
      </c>
      <c r="L147" s="305">
        <v>0</v>
      </c>
      <c r="M147" s="307">
        <v>49274786</v>
      </c>
      <c r="N147" s="307">
        <v>-49174786</v>
      </c>
      <c r="O147" s="305" t="s">
        <v>8965</v>
      </c>
      <c r="P147" s="305">
        <v>0</v>
      </c>
      <c r="Q147" s="306" t="s">
        <v>5905</v>
      </c>
      <c r="R147" s="306" t="s">
        <v>5905</v>
      </c>
      <c r="S147" s="304" t="s">
        <v>8966</v>
      </c>
    </row>
  </sheetData>
  <autoFilter ref="A1:S1" xr:uid="{DCB5F652-5804-4795-849E-682641BA79C7}"/>
  <phoneticPr fontId="14" type="noConversion"/>
  <hyperlinks>
    <hyperlink ref="A2" r:id="rId1" xr:uid="{84E2D35A-AE74-4F1E-B1C6-A136ABF97133}"/>
    <hyperlink ref="A3" r:id="rId2" xr:uid="{FC2BAF14-3973-42C1-BEF0-F761E52A1274}"/>
    <hyperlink ref="A4" r:id="rId3" xr:uid="{CA9D8E92-5417-493A-A4B7-C37EF522497B}"/>
    <hyperlink ref="A5" r:id="rId4" xr:uid="{2DD242CC-F815-43D7-83E8-964A83096C1C}"/>
    <hyperlink ref="A6" r:id="rId5" xr:uid="{A9810971-F6E7-4620-B2D2-C4AB254F3527}"/>
    <hyperlink ref="A7" r:id="rId6" xr:uid="{205ECB23-0E16-4FDF-AAF0-0DCDEBE6E76F}"/>
    <hyperlink ref="A8" r:id="rId7" xr:uid="{A139390D-D6B3-4B22-95B0-454646478D94}"/>
    <hyperlink ref="A9" r:id="rId8" xr:uid="{40FC7EA4-DFD7-4313-8D9E-A76C964B6D80}"/>
    <hyperlink ref="A10" r:id="rId9" xr:uid="{FED1227D-0EAE-40C2-9679-E0AF264DC8E6}"/>
    <hyperlink ref="A11" r:id="rId10" xr:uid="{99B7181B-15D0-446A-AFA2-311DE54867C8}"/>
    <hyperlink ref="A12" r:id="rId11" xr:uid="{732C3396-26E2-4825-A3E7-7AA70B8FF4BE}"/>
    <hyperlink ref="A13" r:id="rId12" xr:uid="{4B61CAB9-5790-4A04-9FA4-B820863669A2}"/>
    <hyperlink ref="A14" r:id="rId13" xr:uid="{85099174-7718-43F5-A914-5DFD55090033}"/>
    <hyperlink ref="A15" r:id="rId14" xr:uid="{1BA1E456-A2A2-4944-8CA2-E388C91C75A2}"/>
    <hyperlink ref="A16" r:id="rId15" xr:uid="{635224AF-1255-4726-A270-E7D4448B3AB7}"/>
    <hyperlink ref="A17" r:id="rId16" xr:uid="{35ACC85A-4008-406A-A5D8-709875D3DB96}"/>
    <hyperlink ref="A18" r:id="rId17" xr:uid="{60EF4E81-9037-488A-BDA1-D840FD82D9D2}"/>
    <hyperlink ref="A19" r:id="rId18" xr:uid="{AD04B58D-BF82-461E-A368-043448412399}"/>
    <hyperlink ref="A20" r:id="rId19" xr:uid="{179B9421-3D0A-4AAA-BBC2-CBF217425300}"/>
    <hyperlink ref="A21" r:id="rId20" xr:uid="{A21631F4-DA91-4B03-A0B2-6DDC9CC350B0}"/>
    <hyperlink ref="A22" r:id="rId21" xr:uid="{F5DEB134-D0A6-4D66-B1B4-342B30DEAC5F}"/>
    <hyperlink ref="A23" r:id="rId22" xr:uid="{D0EA03CE-5FB0-4081-97D3-59D3BE57B3C2}"/>
    <hyperlink ref="A24" r:id="rId23" xr:uid="{F2BAD298-93A6-4B41-B670-46C7AAE5BC91}"/>
    <hyperlink ref="A25" r:id="rId24" xr:uid="{E64C92DF-5499-4736-9BC4-B890D3461358}"/>
    <hyperlink ref="A26" r:id="rId25" xr:uid="{F97494E1-89A0-4394-9A5E-A095A55A0048}"/>
    <hyperlink ref="A27" r:id="rId26" xr:uid="{675D3FF3-1E31-4E57-BFB0-68B87E939B6C}"/>
    <hyperlink ref="A28" r:id="rId27" xr:uid="{13364B61-B5DE-4960-8662-5DCFBF04AEE2}"/>
    <hyperlink ref="A29" r:id="rId28" xr:uid="{9FFAAB92-0D69-4995-83BB-DAD3A0D3444F}"/>
    <hyperlink ref="A30" r:id="rId29" xr:uid="{6F2B9DD1-AC51-4EAF-8395-61CA9328686B}"/>
    <hyperlink ref="A31" r:id="rId30" xr:uid="{BB37766E-C454-4185-BACF-AD792A270D14}"/>
    <hyperlink ref="A32" r:id="rId31" xr:uid="{999B474B-5625-498C-BC25-1DD48696CDB0}"/>
    <hyperlink ref="A33" r:id="rId32" xr:uid="{4B9F4DC3-F4BF-406F-A9EF-F86EE4EA52F0}"/>
    <hyperlink ref="A34" r:id="rId33" xr:uid="{FCB29847-6932-4E29-8BCD-91342445655A}"/>
    <hyperlink ref="A35" r:id="rId34" xr:uid="{6D6DCBC9-69A9-45D3-B94F-AC09C6E94671}"/>
    <hyperlink ref="A36" r:id="rId35" xr:uid="{428CC11B-3AFA-4BFA-8394-D7D9C4868F81}"/>
    <hyperlink ref="A37" r:id="rId36" xr:uid="{A7CE2B98-01CD-4762-B917-9DB121F1A00E}"/>
    <hyperlink ref="A38" r:id="rId37" xr:uid="{BD97223B-744C-4142-9064-1ACC56D64B97}"/>
    <hyperlink ref="A39" r:id="rId38" xr:uid="{1AB49D83-8957-4746-BA76-5E9697E0B02A}"/>
    <hyperlink ref="A40" r:id="rId39" xr:uid="{D958A247-CF94-4157-80FC-6EE78DE23DB2}"/>
    <hyperlink ref="A41" r:id="rId40" xr:uid="{30AD0A7E-8B8D-477B-9747-D6999D472B43}"/>
    <hyperlink ref="A42" r:id="rId41" xr:uid="{E264101D-3F87-44F8-9528-1B6B1B980931}"/>
    <hyperlink ref="A43" r:id="rId42" xr:uid="{9518A45A-9FC1-4E6A-ADF7-990B0A46ABA0}"/>
    <hyperlink ref="A44" r:id="rId43" xr:uid="{122E4C43-75CA-4936-B177-3B5D7F4784BE}"/>
    <hyperlink ref="A45" r:id="rId44" xr:uid="{B09EB1B8-8E41-4813-960C-A82BECBB8E0C}"/>
    <hyperlink ref="A46" r:id="rId45" xr:uid="{25DE125C-E169-435A-864E-FEF2DB55D24C}"/>
    <hyperlink ref="A47" r:id="rId46" xr:uid="{3BD89254-8B3B-4634-B0E3-9DB5CE3BEE28}"/>
    <hyperlink ref="A48" r:id="rId47" xr:uid="{E4B1525E-3BF2-4BD9-B1F2-DA476923FE23}"/>
    <hyperlink ref="A49" r:id="rId48" xr:uid="{553068CD-DF8D-4FC9-BBF0-4A156E31AF5B}"/>
    <hyperlink ref="A50" r:id="rId49" xr:uid="{B3664258-1447-41BF-B1C8-5D50BF9317DA}"/>
    <hyperlink ref="A51" r:id="rId50" xr:uid="{F2148E40-3569-41F8-8BDE-F0C1BF01B1D4}"/>
    <hyperlink ref="A52" r:id="rId51" xr:uid="{EA18579B-070A-4FF2-817A-EAFE674E6CBB}"/>
    <hyperlink ref="A53" r:id="rId52" xr:uid="{BEAB7663-4A53-41E9-9218-CE163178A119}"/>
    <hyperlink ref="A54" r:id="rId53" xr:uid="{2DE668D6-B088-46D1-85CE-95DA424C9452}"/>
    <hyperlink ref="A55" r:id="rId54" xr:uid="{8348AA48-F0CE-4A85-A1F7-C50137E82F82}"/>
    <hyperlink ref="A56" r:id="rId55" xr:uid="{9753E8ED-98F4-4D56-9E0E-7B9E1E65C9F9}"/>
    <hyperlink ref="A57" r:id="rId56" xr:uid="{BC980E3F-AD02-4E67-9170-2BC65E9FD9C8}"/>
    <hyperlink ref="A58" r:id="rId57" xr:uid="{77E89324-0720-4C02-B22F-41ABED411EF0}"/>
    <hyperlink ref="A59" r:id="rId58" xr:uid="{AF243D53-F5C4-4BB9-857C-6A5E7ABF91FE}"/>
    <hyperlink ref="A60" r:id="rId59" xr:uid="{F2BD320C-AFC1-4616-A14F-5CFEFF73B0E5}"/>
    <hyperlink ref="A61" r:id="rId60" xr:uid="{15F8A23C-F8ED-4718-AA43-2D996DB2E97A}"/>
    <hyperlink ref="A62" r:id="rId61" xr:uid="{B10047EA-AE13-4206-B73D-2CB4F3ECD8CF}"/>
    <hyperlink ref="A63" r:id="rId62" xr:uid="{53FC627E-EC9A-4201-825E-974B5561688C}"/>
    <hyperlink ref="A64" r:id="rId63" xr:uid="{B9C9C819-B933-4E87-8E13-1F8F43DB6B22}"/>
    <hyperlink ref="A65" r:id="rId64" xr:uid="{8B6388E8-F5ED-42E8-AB08-36A6D0CFC4B5}"/>
    <hyperlink ref="A66" r:id="rId65" xr:uid="{B6AAF18A-D22C-4B14-94A7-D61A31452032}"/>
    <hyperlink ref="A67" r:id="rId66" xr:uid="{A378C4D3-2F80-46A5-A4EF-BA7AAE06F767}"/>
    <hyperlink ref="A68" r:id="rId67" xr:uid="{3330D866-84BF-4D80-BD68-A1E03CDEE49B}"/>
    <hyperlink ref="A69" r:id="rId68" xr:uid="{3DE7F4BA-02FD-4F5C-9847-CFAA6F28A9E1}"/>
    <hyperlink ref="A70" r:id="rId69" xr:uid="{9F321F76-73FF-4269-8201-4C2BDB041457}"/>
    <hyperlink ref="A71" r:id="rId70" xr:uid="{ACF14812-76DB-43E8-96A4-95A1301BE0CC}"/>
    <hyperlink ref="A72" r:id="rId71" xr:uid="{7B1C36A7-7FDA-47CA-B43B-3A7896FBB15E}"/>
    <hyperlink ref="A73" r:id="rId72" xr:uid="{F583B419-3A7D-491E-97BD-26F084E04CCC}"/>
    <hyperlink ref="A74" r:id="rId73" xr:uid="{7CE8E026-F6C9-4B2D-8A7C-790317A2A150}"/>
    <hyperlink ref="A75" r:id="rId74" xr:uid="{A5FAF8C9-B3FF-43D2-B444-7A72DAC906D7}"/>
    <hyperlink ref="A76" r:id="rId75" xr:uid="{6016C2CD-AC9E-428B-BCCA-101272AA4EE0}"/>
    <hyperlink ref="A77" r:id="rId76" xr:uid="{C3970897-1834-4889-A974-2691BD0E03E0}"/>
    <hyperlink ref="A78" r:id="rId77" xr:uid="{7CA1A709-DCAB-45FB-838D-259A15F0D04F}"/>
    <hyperlink ref="A79" r:id="rId78" xr:uid="{48DD4C4C-B2CD-4CAB-B4B4-705F4C6530E6}"/>
    <hyperlink ref="A80" r:id="rId79" xr:uid="{C0DB5415-8F42-45C4-9C64-D18D8BCF3D3F}"/>
    <hyperlink ref="A81" r:id="rId80" xr:uid="{CD10DD2E-7F36-4E89-8B21-94EF291FCAC7}"/>
    <hyperlink ref="A82" r:id="rId81" xr:uid="{9AE69375-D76A-421E-AA7E-31CB003DF4F8}"/>
    <hyperlink ref="A83" r:id="rId82" xr:uid="{0557F150-E39E-4E9C-B305-17F03A8B4820}"/>
    <hyperlink ref="A84" r:id="rId83" xr:uid="{81E5ED36-C1BD-47AC-AA53-7603BD1120ED}"/>
    <hyperlink ref="A85" r:id="rId84" xr:uid="{5E63BDFA-80F2-4A63-B0ED-07D9B50DD19A}"/>
    <hyperlink ref="A86" r:id="rId85" xr:uid="{05405668-1123-4429-B52D-CA543B0BE255}"/>
    <hyperlink ref="A87" r:id="rId86" xr:uid="{8F0EB396-B200-441B-B857-FB9208E99237}"/>
    <hyperlink ref="A88" r:id="rId87" xr:uid="{65366124-AFBC-44F9-AF53-5CA858E9DC25}"/>
    <hyperlink ref="A89" r:id="rId88" xr:uid="{A4C5C09E-D7BE-4D92-9072-03B541F24790}"/>
    <hyperlink ref="A90" r:id="rId89" xr:uid="{0244FD2C-F4E5-47C9-9A18-AE82CC88DD98}"/>
    <hyperlink ref="A91" r:id="rId90" xr:uid="{0DD1DBE4-4578-4439-900E-CAACCAD039A8}"/>
    <hyperlink ref="A92" r:id="rId91" xr:uid="{54982904-B07B-4AF2-82FD-B0D68539B247}"/>
    <hyperlink ref="A93" r:id="rId92" xr:uid="{CBCD19FF-F1AB-4306-ACD6-91C0EB627D8A}"/>
    <hyperlink ref="A94" r:id="rId93" xr:uid="{96BB0E41-A721-48D6-AD46-EEC731489EEA}"/>
    <hyperlink ref="A95" r:id="rId94" xr:uid="{40E410EA-DAA0-4E6E-8013-9B73887C49AE}"/>
    <hyperlink ref="A96" r:id="rId95" xr:uid="{53DDAAA2-69E7-4BD3-88B9-0F4ECC4DCC36}"/>
    <hyperlink ref="A97" r:id="rId96" xr:uid="{4496E900-0016-41CE-8263-67E1CAF88315}"/>
    <hyperlink ref="A98" r:id="rId97" xr:uid="{C4ABC545-B2E9-4607-8D16-994D151F3BE9}"/>
    <hyperlink ref="A99" r:id="rId98" xr:uid="{3B697D5E-8149-425C-9A89-DE658AE1854F}"/>
    <hyperlink ref="A100" r:id="rId99" xr:uid="{A0FCAB24-8542-4881-9499-A516068F82C4}"/>
    <hyperlink ref="A101" r:id="rId100" xr:uid="{21808F01-D57F-40FF-A73A-E3E3BB4EF26D}"/>
    <hyperlink ref="A102" r:id="rId101" xr:uid="{D0D5F359-3BE5-469B-A776-CCFB9AF42B61}"/>
    <hyperlink ref="A103" r:id="rId102" xr:uid="{164E898D-0B03-4F3F-AA3B-3FD01E07CBFA}"/>
    <hyperlink ref="A104" r:id="rId103" xr:uid="{73753F9B-1EAB-436A-8473-DEB95A474760}"/>
    <hyperlink ref="A105" r:id="rId104" xr:uid="{D32DC775-C91C-4AE6-88D5-9144DFCD130F}"/>
    <hyperlink ref="A106" r:id="rId105" xr:uid="{709212AF-6F89-4477-9ACB-AFD2726D76DE}"/>
    <hyperlink ref="A107" r:id="rId106" xr:uid="{BBC6FBDA-80CF-4096-BF4A-A37377CA37F6}"/>
    <hyperlink ref="A108" r:id="rId107" xr:uid="{AEA9F818-19EA-41B0-B13D-F46A11EAD11E}"/>
    <hyperlink ref="A109" r:id="rId108" xr:uid="{BE0C5E22-1D5A-4A20-9D20-5EF182F13ADE}"/>
    <hyperlink ref="A110" r:id="rId109" xr:uid="{F5CADA66-D2F0-40DC-8DFF-3E0C05ACF506}"/>
    <hyperlink ref="A111" r:id="rId110" xr:uid="{92DD47BF-3803-4281-8E53-14DDC1E4C3A0}"/>
    <hyperlink ref="A112" r:id="rId111" xr:uid="{5E93257E-0E19-42E1-8D8B-BF970B39F7CE}"/>
    <hyperlink ref="A113" r:id="rId112" xr:uid="{8A70309C-4647-4EB4-90F1-11D785C696E0}"/>
    <hyperlink ref="A114" r:id="rId113" xr:uid="{3CD5D2FF-E1E2-41C7-A760-053704DA2991}"/>
    <hyperlink ref="A115" r:id="rId114" xr:uid="{E10ACCA9-3708-4201-93E6-759FFB382746}"/>
    <hyperlink ref="A116" r:id="rId115" xr:uid="{A0FF3AB1-A472-4BDE-9A0B-56C70349BF6E}"/>
    <hyperlink ref="A117" r:id="rId116" xr:uid="{2EE096B8-71F6-4B51-AE40-631D4AEF3DC1}"/>
    <hyperlink ref="A118" r:id="rId117" xr:uid="{3556BEDA-8AA7-4802-9B52-1D3ED00C00F1}"/>
    <hyperlink ref="A119" r:id="rId118" xr:uid="{866200CA-9B0F-4911-9A00-DDA82338EEB1}"/>
    <hyperlink ref="A120" r:id="rId119" xr:uid="{DD56247A-6C54-4E7C-880A-CFE1E76BC9C4}"/>
    <hyperlink ref="A121" r:id="rId120" xr:uid="{086AFB6B-59AE-41D3-98F5-26091A4F968B}"/>
    <hyperlink ref="A122" r:id="rId121" xr:uid="{76DC0A5D-1C43-42A6-8EEC-E44250CAAAC2}"/>
    <hyperlink ref="A123" r:id="rId122" xr:uid="{14817FFC-9A68-47AB-9408-341518CD5481}"/>
    <hyperlink ref="A124" r:id="rId123" xr:uid="{98E5A5CD-20F8-4671-9F1B-607FA1910E98}"/>
    <hyperlink ref="A125" r:id="rId124" xr:uid="{E79C418B-81B5-4DA7-BF7E-A6D71B7CD11F}"/>
    <hyperlink ref="A126" r:id="rId125" xr:uid="{3B3474A7-193F-4E82-964C-F32973F68FF8}"/>
    <hyperlink ref="A127" r:id="rId126" xr:uid="{C91E1295-7AA5-437D-B892-F956398B0722}"/>
    <hyperlink ref="A128" r:id="rId127" xr:uid="{8787D651-AE5B-4AE6-B1D2-0645A638559A}"/>
    <hyperlink ref="A129" r:id="rId128" xr:uid="{35441CA1-561D-4C02-93CB-228C33E317DF}"/>
    <hyperlink ref="A130" r:id="rId129" xr:uid="{708A9FA0-9D8B-472D-BF5A-9C4698CB8703}"/>
    <hyperlink ref="A131" r:id="rId130" xr:uid="{6067C5D5-FB61-41AD-88D1-5A6B00F08ECB}"/>
    <hyperlink ref="A132" r:id="rId131" xr:uid="{EF43F21D-D8BC-4812-94AB-2ABC6D86D05B}"/>
    <hyperlink ref="A133" r:id="rId132" xr:uid="{4A6886E5-B897-4456-A3F2-13D7842241AE}"/>
    <hyperlink ref="A134" r:id="rId133" xr:uid="{34937A62-B9BF-43AC-8E3A-8F9CB919C522}"/>
    <hyperlink ref="A135" r:id="rId134" xr:uid="{1C55AE31-DDFE-4BD1-9F52-FED9B0EA86CD}"/>
    <hyperlink ref="A136" r:id="rId135" xr:uid="{5C04082C-AE34-4658-8416-91E0908CC741}"/>
    <hyperlink ref="A137" r:id="rId136" xr:uid="{24723464-326E-44F0-8C24-7A242A5FBCEE}"/>
    <hyperlink ref="A138" r:id="rId137" xr:uid="{702CDBBA-2A16-4242-8730-B0C6CA53C543}"/>
    <hyperlink ref="A139" r:id="rId138" xr:uid="{9F092287-735B-4ED3-8B66-F44D062C8557}"/>
    <hyperlink ref="A140" r:id="rId139" xr:uid="{00E79D25-D1E8-453C-909D-1D5C8C609FFD}"/>
    <hyperlink ref="A141" r:id="rId140" xr:uid="{997DBA8A-6784-4AE7-9494-A8EDE028B830}"/>
    <hyperlink ref="A142" r:id="rId141" xr:uid="{7E00F87F-3150-4DAA-B172-4386E6BAD272}"/>
    <hyperlink ref="A143" r:id="rId142" xr:uid="{E4FAE610-7ED6-4532-BC04-F2672CF1A6BF}"/>
    <hyperlink ref="A144" r:id="rId143" xr:uid="{67CE8A4C-4F5D-44C3-9B69-1B1109A0B56D}"/>
    <hyperlink ref="A145" r:id="rId144" xr:uid="{0474FDD6-6C4F-4C84-9AA5-B14FC5D64009}"/>
    <hyperlink ref="A146" r:id="rId145" xr:uid="{A6C506AD-E42E-493E-AFAE-229004BC79F2}"/>
    <hyperlink ref="A147" r:id="rId146" xr:uid="{E92F2DBE-AB4E-41A5-8429-5FEA5675FCE8}"/>
  </hyperlinks>
  <pageMargins left="0.7" right="0.7" top="0.75" bottom="0.75" header="0.3" footer="0.3"/>
  <pageSetup orientation="portrait" r:id="rId147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DE3A2-F4C4-4449-A264-3586695ED25C}">
  <sheetPr codeName="Sheet21"/>
  <dimension ref="A1:AH1428"/>
  <sheetViews>
    <sheetView workbookViewId="0">
      <selection activeCell="D16" sqref="D16"/>
    </sheetView>
  </sheetViews>
  <sheetFormatPr defaultRowHeight="14.45"/>
  <cols>
    <col min="1" max="1" width="28.140625" bestFit="1" customWidth="1"/>
    <col min="2" max="2" width="10.85546875" bestFit="1" customWidth="1"/>
    <col min="3" max="3" width="35.140625" bestFit="1" customWidth="1"/>
    <col min="4" max="4" width="41.85546875" bestFit="1" customWidth="1"/>
    <col min="5" max="5" width="18.85546875" bestFit="1" customWidth="1"/>
    <col min="6" max="6" width="80.7109375" bestFit="1" customWidth="1"/>
    <col min="7" max="7" width="11.85546875" bestFit="1" customWidth="1"/>
    <col min="8" max="8" width="6.140625" bestFit="1" customWidth="1"/>
    <col min="9" max="9" width="14.85546875" bestFit="1" customWidth="1"/>
    <col min="10" max="10" width="18.42578125" bestFit="1" customWidth="1"/>
    <col min="11" max="11" width="13.5703125" bestFit="1" customWidth="1"/>
    <col min="12" max="12" width="15.140625" bestFit="1" customWidth="1"/>
    <col min="13" max="13" width="7.140625" bestFit="1" customWidth="1"/>
    <col min="14" max="14" width="9" bestFit="1" customWidth="1"/>
    <col min="15" max="15" width="12.85546875" bestFit="1" customWidth="1"/>
    <col min="16" max="16" width="18" bestFit="1" customWidth="1"/>
    <col min="17" max="17" width="23.140625" bestFit="1" customWidth="1"/>
    <col min="18" max="19" width="80.7109375" bestFit="1" customWidth="1"/>
    <col min="20" max="20" width="9.5703125" bestFit="1" customWidth="1"/>
    <col min="21" max="21" width="12.85546875" bestFit="1" customWidth="1"/>
    <col min="22" max="22" width="11.85546875" bestFit="1" customWidth="1"/>
    <col min="23" max="23" width="23.5703125" bestFit="1" customWidth="1"/>
    <col min="24" max="24" width="17" bestFit="1" customWidth="1"/>
    <col min="25" max="25" width="11.42578125" bestFit="1" customWidth="1"/>
    <col min="26" max="26" width="12.28515625" bestFit="1" customWidth="1"/>
    <col min="27" max="27" width="18.85546875" bestFit="1" customWidth="1"/>
    <col min="28" max="28" width="10.85546875" bestFit="1" customWidth="1"/>
    <col min="29" max="30" width="18" bestFit="1" customWidth="1"/>
    <col min="31" max="31" width="6.28515625" bestFit="1" customWidth="1"/>
    <col min="32" max="32" width="24" bestFit="1" customWidth="1"/>
    <col min="33" max="34" width="6.28515625" bestFit="1" customWidth="1"/>
    <col min="35" max="35" width="18" bestFit="1" customWidth="1"/>
    <col min="36" max="36" width="6.28515625" bestFit="1" customWidth="1"/>
    <col min="37" max="37" width="24" bestFit="1" customWidth="1"/>
    <col min="38" max="38" width="11.42578125" bestFit="1" customWidth="1"/>
  </cols>
  <sheetData>
    <row r="1" spans="1:34">
      <c r="A1" t="s">
        <v>9229</v>
      </c>
      <c r="B1" t="s">
        <v>9230</v>
      </c>
      <c r="C1" t="s">
        <v>9231</v>
      </c>
      <c r="D1" t="s">
        <v>3605</v>
      </c>
      <c r="E1" t="s">
        <v>9232</v>
      </c>
      <c r="F1" t="s">
        <v>9233</v>
      </c>
      <c r="G1" t="s">
        <v>9234</v>
      </c>
      <c r="H1" t="s">
        <v>73</v>
      </c>
      <c r="I1" t="s">
        <v>9235</v>
      </c>
      <c r="J1" t="s">
        <v>9236</v>
      </c>
      <c r="K1" t="s">
        <v>9237</v>
      </c>
      <c r="L1" t="s">
        <v>9238</v>
      </c>
      <c r="M1" t="s">
        <v>77</v>
      </c>
      <c r="N1" t="s">
        <v>78</v>
      </c>
      <c r="O1" t="s">
        <v>79</v>
      </c>
      <c r="P1" t="s">
        <v>80</v>
      </c>
      <c r="Q1" t="s">
        <v>9239</v>
      </c>
      <c r="R1" t="s">
        <v>9240</v>
      </c>
      <c r="S1" t="s">
        <v>2493</v>
      </c>
      <c r="T1" t="s">
        <v>81</v>
      </c>
      <c r="U1" t="s">
        <v>1955</v>
      </c>
      <c r="V1" t="s">
        <v>9241</v>
      </c>
      <c r="W1" t="s">
        <v>2492</v>
      </c>
      <c r="X1" t="s">
        <v>9242</v>
      </c>
      <c r="Y1" t="s">
        <v>3630</v>
      </c>
      <c r="Z1" t="s">
        <v>9243</v>
      </c>
      <c r="AA1" t="s">
        <v>9244</v>
      </c>
      <c r="AB1" t="s">
        <v>9245</v>
      </c>
      <c r="AC1" t="s">
        <v>9246</v>
      </c>
      <c r="AD1" t="s">
        <v>9247</v>
      </c>
      <c r="AE1" t="s">
        <v>6689</v>
      </c>
      <c r="AF1" t="s">
        <v>9248</v>
      </c>
      <c r="AG1" t="s">
        <v>6687</v>
      </c>
      <c r="AH1" t="s">
        <v>6688</v>
      </c>
    </row>
    <row r="2" spans="1:34">
      <c r="B2" t="s">
        <v>2193</v>
      </c>
      <c r="C2" t="s">
        <v>9249</v>
      </c>
      <c r="D2" t="s">
        <v>36</v>
      </c>
      <c r="E2" t="s">
        <v>2906</v>
      </c>
      <c r="F2" t="s">
        <v>9250</v>
      </c>
      <c r="G2">
        <v>96205</v>
      </c>
      <c r="I2">
        <v>96205</v>
      </c>
      <c r="K2" s="4">
        <v>45551</v>
      </c>
      <c r="L2" s="4">
        <v>45551</v>
      </c>
      <c r="O2" s="4"/>
      <c r="P2" t="s">
        <v>1473</v>
      </c>
      <c r="Q2" s="4"/>
      <c r="U2">
        <v>355000</v>
      </c>
      <c r="Z2">
        <v>1</v>
      </c>
      <c r="AA2">
        <v>1</v>
      </c>
      <c r="AE2" t="s">
        <v>9251</v>
      </c>
      <c r="AF2" s="4"/>
    </row>
    <row r="3" spans="1:34">
      <c r="B3" t="s">
        <v>2193</v>
      </c>
      <c r="C3" t="s">
        <v>9252</v>
      </c>
      <c r="D3" t="s">
        <v>49</v>
      </c>
      <c r="E3">
        <v>4800104873</v>
      </c>
      <c r="F3" t="s">
        <v>9253</v>
      </c>
      <c r="G3">
        <v>6193.45</v>
      </c>
      <c r="I3">
        <v>6193.45</v>
      </c>
      <c r="K3" s="4">
        <v>45548</v>
      </c>
      <c r="L3" s="4">
        <v>45548</v>
      </c>
      <c r="O3" s="4"/>
      <c r="P3" t="s">
        <v>1473</v>
      </c>
      <c r="Q3" s="4"/>
      <c r="S3" t="s">
        <v>3438</v>
      </c>
      <c r="U3">
        <v>17372</v>
      </c>
      <c r="W3" t="s">
        <v>16</v>
      </c>
      <c r="X3" t="s">
        <v>9254</v>
      </c>
      <c r="Z3">
        <v>4</v>
      </c>
      <c r="AA3">
        <v>4</v>
      </c>
      <c r="AB3">
        <v>4800104873</v>
      </c>
      <c r="AE3" t="s">
        <v>9251</v>
      </c>
      <c r="AF3" s="4"/>
    </row>
    <row r="4" spans="1:34">
      <c r="B4" t="s">
        <v>2193</v>
      </c>
      <c r="C4" t="s">
        <v>9255</v>
      </c>
      <c r="D4" t="s">
        <v>49</v>
      </c>
      <c r="E4">
        <v>4800104873</v>
      </c>
      <c r="F4" t="s">
        <v>9256</v>
      </c>
      <c r="G4">
        <v>6193.45</v>
      </c>
      <c r="I4">
        <v>6193.45</v>
      </c>
      <c r="K4" s="4">
        <v>45548</v>
      </c>
      <c r="L4" s="4">
        <v>45548</v>
      </c>
      <c r="O4" s="4"/>
      <c r="P4" t="s">
        <v>1473</v>
      </c>
      <c r="Q4" s="4"/>
      <c r="S4" t="s">
        <v>3436</v>
      </c>
      <c r="U4">
        <v>17372</v>
      </c>
      <c r="W4" t="s">
        <v>16</v>
      </c>
      <c r="X4" t="s">
        <v>9254</v>
      </c>
      <c r="Z4">
        <v>4</v>
      </c>
      <c r="AA4">
        <v>4</v>
      </c>
      <c r="AB4">
        <v>4800104873</v>
      </c>
      <c r="AE4" t="s">
        <v>9251</v>
      </c>
      <c r="AF4" s="4"/>
    </row>
    <row r="5" spans="1:34">
      <c r="B5" t="s">
        <v>2193</v>
      </c>
      <c r="C5" t="s">
        <v>9257</v>
      </c>
      <c r="D5" t="s">
        <v>49</v>
      </c>
      <c r="E5">
        <v>4800104873</v>
      </c>
      <c r="F5" t="s">
        <v>9258</v>
      </c>
      <c r="G5">
        <v>1116.28</v>
      </c>
      <c r="I5">
        <v>1116.28</v>
      </c>
      <c r="K5" s="4">
        <v>45548</v>
      </c>
      <c r="L5" s="4">
        <v>45548</v>
      </c>
      <c r="O5" s="4"/>
      <c r="P5" t="s">
        <v>1473</v>
      </c>
      <c r="Q5" s="4"/>
      <c r="S5" t="s">
        <v>3423</v>
      </c>
      <c r="U5">
        <v>4937</v>
      </c>
      <c r="W5" t="s">
        <v>16</v>
      </c>
      <c r="X5" t="s">
        <v>9254</v>
      </c>
      <c r="Z5">
        <v>4</v>
      </c>
      <c r="AA5">
        <v>4</v>
      </c>
      <c r="AB5">
        <v>4800104873</v>
      </c>
      <c r="AE5" t="s">
        <v>9251</v>
      </c>
      <c r="AF5" s="4"/>
    </row>
    <row r="6" spans="1:34">
      <c r="B6" t="s">
        <v>2193</v>
      </c>
      <c r="C6" t="s">
        <v>9259</v>
      </c>
      <c r="D6" t="s">
        <v>49</v>
      </c>
      <c r="E6">
        <v>4800104873</v>
      </c>
      <c r="F6" t="s">
        <v>9260</v>
      </c>
      <c r="G6">
        <v>1116.28</v>
      </c>
      <c r="I6">
        <v>1116.28</v>
      </c>
      <c r="K6" s="4">
        <v>45548</v>
      </c>
      <c r="L6" s="4">
        <v>45548</v>
      </c>
      <c r="O6" s="4"/>
      <c r="P6" t="s">
        <v>1473</v>
      </c>
      <c r="Q6" s="4"/>
      <c r="S6" t="s">
        <v>3421</v>
      </c>
      <c r="U6">
        <v>4937</v>
      </c>
      <c r="W6" t="s">
        <v>16</v>
      </c>
      <c r="X6" t="s">
        <v>9254</v>
      </c>
      <c r="Z6">
        <v>4</v>
      </c>
      <c r="AA6">
        <v>4</v>
      </c>
      <c r="AB6">
        <v>4800104873</v>
      </c>
      <c r="AE6" t="s">
        <v>9251</v>
      </c>
      <c r="AF6" s="4"/>
    </row>
    <row r="7" spans="1:34">
      <c r="B7" t="s">
        <v>2193</v>
      </c>
      <c r="C7" t="s">
        <v>9261</v>
      </c>
      <c r="D7" t="s">
        <v>49</v>
      </c>
      <c r="E7">
        <v>4800104873</v>
      </c>
      <c r="F7" t="s">
        <v>9262</v>
      </c>
      <c r="G7">
        <v>1116.28</v>
      </c>
      <c r="I7">
        <v>1116.28</v>
      </c>
      <c r="K7" s="4">
        <v>45548</v>
      </c>
      <c r="L7" s="4">
        <v>45548</v>
      </c>
      <c r="O7" s="4"/>
      <c r="P7" t="s">
        <v>1473</v>
      </c>
      <c r="Q7" s="4"/>
      <c r="S7" t="s">
        <v>3425</v>
      </c>
      <c r="U7">
        <v>4937</v>
      </c>
      <c r="W7" t="s">
        <v>16</v>
      </c>
      <c r="X7" t="s">
        <v>9254</v>
      </c>
      <c r="Z7">
        <v>4</v>
      </c>
      <c r="AA7">
        <v>4</v>
      </c>
      <c r="AB7">
        <v>4800104873</v>
      </c>
      <c r="AE7" t="s">
        <v>9251</v>
      </c>
      <c r="AF7" s="4"/>
    </row>
    <row r="8" spans="1:34">
      <c r="B8" t="s">
        <v>2193</v>
      </c>
      <c r="C8" t="s">
        <v>9263</v>
      </c>
      <c r="D8" t="s">
        <v>49</v>
      </c>
      <c r="E8">
        <v>4800104873</v>
      </c>
      <c r="F8" t="s">
        <v>9264</v>
      </c>
      <c r="G8">
        <v>1116.28</v>
      </c>
      <c r="I8">
        <v>1116.28</v>
      </c>
      <c r="K8" s="4">
        <v>45548</v>
      </c>
      <c r="L8" s="4">
        <v>45548</v>
      </c>
      <c r="O8" s="4"/>
      <c r="P8" t="s">
        <v>1473</v>
      </c>
      <c r="Q8" s="4"/>
      <c r="S8" t="s">
        <v>3419</v>
      </c>
      <c r="U8">
        <v>4937</v>
      </c>
      <c r="W8" t="s">
        <v>16</v>
      </c>
      <c r="X8" t="s">
        <v>9254</v>
      </c>
      <c r="Z8">
        <v>4</v>
      </c>
      <c r="AA8">
        <v>4</v>
      </c>
      <c r="AB8">
        <v>4800104873</v>
      </c>
      <c r="AE8" t="s">
        <v>9251</v>
      </c>
      <c r="AF8" s="4"/>
    </row>
    <row r="9" spans="1:34">
      <c r="B9" t="s">
        <v>2193</v>
      </c>
      <c r="C9" t="s">
        <v>9265</v>
      </c>
      <c r="D9" t="s">
        <v>49</v>
      </c>
      <c r="E9">
        <v>4800104873</v>
      </c>
      <c r="F9" t="s">
        <v>9266</v>
      </c>
      <c r="G9">
        <v>1116.28</v>
      </c>
      <c r="I9">
        <v>1116.28</v>
      </c>
      <c r="K9" s="4">
        <v>45548</v>
      </c>
      <c r="L9" s="4">
        <v>45548</v>
      </c>
      <c r="O9" s="4"/>
      <c r="P9" t="s">
        <v>1473</v>
      </c>
      <c r="Q9" s="4"/>
      <c r="S9" t="s">
        <v>3417</v>
      </c>
      <c r="U9">
        <v>4937</v>
      </c>
      <c r="W9" t="s">
        <v>16</v>
      </c>
      <c r="X9" t="s">
        <v>9254</v>
      </c>
      <c r="Z9">
        <v>4</v>
      </c>
      <c r="AA9">
        <v>4</v>
      </c>
      <c r="AB9">
        <v>4800104873</v>
      </c>
      <c r="AE9" t="s">
        <v>9251</v>
      </c>
      <c r="AF9" s="4"/>
    </row>
    <row r="10" spans="1:34">
      <c r="B10" t="s">
        <v>2193</v>
      </c>
      <c r="C10" t="s">
        <v>9267</v>
      </c>
      <c r="D10" t="s">
        <v>49</v>
      </c>
      <c r="E10">
        <v>4800104873</v>
      </c>
      <c r="F10" t="s">
        <v>9268</v>
      </c>
      <c r="G10">
        <v>1116.28</v>
      </c>
      <c r="I10">
        <v>1116.28</v>
      </c>
      <c r="K10" s="4">
        <v>45548</v>
      </c>
      <c r="L10" s="4">
        <v>45548</v>
      </c>
      <c r="O10" s="4"/>
      <c r="P10" t="s">
        <v>1473</v>
      </c>
      <c r="Q10" s="4"/>
      <c r="S10" t="s">
        <v>3415</v>
      </c>
      <c r="U10">
        <v>4937</v>
      </c>
      <c r="W10" t="s">
        <v>16</v>
      </c>
      <c r="X10" t="s">
        <v>9254</v>
      </c>
      <c r="Z10">
        <v>4</v>
      </c>
      <c r="AA10">
        <v>4</v>
      </c>
      <c r="AB10">
        <v>4800104873</v>
      </c>
      <c r="AE10" t="s">
        <v>9251</v>
      </c>
      <c r="AF10" s="4"/>
    </row>
    <row r="11" spans="1:34">
      <c r="B11" t="s">
        <v>2193</v>
      </c>
      <c r="C11" t="s">
        <v>9269</v>
      </c>
      <c r="D11" t="s">
        <v>49</v>
      </c>
      <c r="E11">
        <v>4800104873</v>
      </c>
      <c r="F11" t="s">
        <v>9270</v>
      </c>
      <c r="G11">
        <v>1116.28</v>
      </c>
      <c r="I11">
        <v>1116.28</v>
      </c>
      <c r="K11" s="4">
        <v>45548</v>
      </c>
      <c r="L11" s="4">
        <v>45548</v>
      </c>
      <c r="O11" s="4"/>
      <c r="P11" t="s">
        <v>1473</v>
      </c>
      <c r="Q11" s="4"/>
      <c r="S11" t="s">
        <v>3413</v>
      </c>
      <c r="U11">
        <v>4937</v>
      </c>
      <c r="W11" t="s">
        <v>16</v>
      </c>
      <c r="X11" t="s">
        <v>9254</v>
      </c>
      <c r="Z11">
        <v>4</v>
      </c>
      <c r="AA11">
        <v>4</v>
      </c>
      <c r="AB11">
        <v>4800104873</v>
      </c>
      <c r="AE11" t="s">
        <v>9251</v>
      </c>
      <c r="AF11" s="4"/>
    </row>
    <row r="12" spans="1:34">
      <c r="B12" t="s">
        <v>2193</v>
      </c>
      <c r="C12" t="s">
        <v>9271</v>
      </c>
      <c r="D12" t="s">
        <v>49</v>
      </c>
      <c r="E12">
        <v>4800104873</v>
      </c>
      <c r="F12" t="s">
        <v>9272</v>
      </c>
      <c r="G12">
        <v>670</v>
      </c>
      <c r="I12">
        <v>670</v>
      </c>
      <c r="K12" s="4">
        <v>45548</v>
      </c>
      <c r="L12" s="4">
        <v>45548</v>
      </c>
      <c r="O12" s="4"/>
      <c r="P12" t="s">
        <v>1473</v>
      </c>
      <c r="Q12" s="4"/>
      <c r="S12" t="s">
        <v>3372</v>
      </c>
      <c r="U12">
        <v>670</v>
      </c>
      <c r="W12" t="s">
        <v>16</v>
      </c>
      <c r="X12" t="s">
        <v>4014</v>
      </c>
      <c r="Z12">
        <v>4</v>
      </c>
      <c r="AA12">
        <v>4</v>
      </c>
      <c r="AB12">
        <v>4800104873</v>
      </c>
      <c r="AE12" t="s">
        <v>9251</v>
      </c>
      <c r="AF12" s="4"/>
    </row>
    <row r="13" spans="1:34">
      <c r="B13" t="s">
        <v>2193</v>
      </c>
      <c r="C13" t="s">
        <v>9273</v>
      </c>
      <c r="D13" t="s">
        <v>49</v>
      </c>
      <c r="E13">
        <v>4800104873</v>
      </c>
      <c r="F13" t="s">
        <v>9274</v>
      </c>
      <c r="G13">
        <v>670</v>
      </c>
      <c r="I13">
        <v>670</v>
      </c>
      <c r="K13" s="4">
        <v>45548</v>
      </c>
      <c r="L13" s="4">
        <v>45548</v>
      </c>
      <c r="O13" s="4"/>
      <c r="P13" t="s">
        <v>1473</v>
      </c>
      <c r="Q13" s="4"/>
      <c r="S13" t="s">
        <v>3374</v>
      </c>
      <c r="U13">
        <v>670</v>
      </c>
      <c r="W13" t="s">
        <v>16</v>
      </c>
      <c r="X13" t="s">
        <v>4014</v>
      </c>
      <c r="Z13">
        <v>4</v>
      </c>
      <c r="AA13">
        <v>4</v>
      </c>
      <c r="AB13">
        <v>4800104873</v>
      </c>
      <c r="AE13" t="s">
        <v>9251</v>
      </c>
      <c r="AF13" s="4"/>
    </row>
    <row r="14" spans="1:34">
      <c r="B14" t="s">
        <v>2193</v>
      </c>
      <c r="C14" t="s">
        <v>9275</v>
      </c>
      <c r="D14" t="s">
        <v>49</v>
      </c>
      <c r="E14">
        <v>4800104873</v>
      </c>
      <c r="F14" t="s">
        <v>9276</v>
      </c>
      <c r="G14">
        <v>1743.04</v>
      </c>
      <c r="I14">
        <v>1743.04</v>
      </c>
      <c r="K14" s="4">
        <v>45548</v>
      </c>
      <c r="L14" s="4">
        <v>45548</v>
      </c>
      <c r="O14" s="4"/>
      <c r="P14" t="s">
        <v>1473</v>
      </c>
      <c r="Q14" s="4"/>
      <c r="S14" t="s">
        <v>3396</v>
      </c>
      <c r="U14">
        <v>1848</v>
      </c>
      <c r="W14" t="s">
        <v>16</v>
      </c>
      <c r="X14" t="s">
        <v>4014</v>
      </c>
      <c r="Z14">
        <v>4</v>
      </c>
      <c r="AA14">
        <v>4</v>
      </c>
      <c r="AB14">
        <v>4800104873</v>
      </c>
      <c r="AE14" t="s">
        <v>9251</v>
      </c>
      <c r="AF14" s="4"/>
    </row>
    <row r="15" spans="1:34">
      <c r="B15" t="s">
        <v>2193</v>
      </c>
      <c r="C15" t="s">
        <v>9277</v>
      </c>
      <c r="D15" t="s">
        <v>29</v>
      </c>
      <c r="E15">
        <v>4400854791</v>
      </c>
      <c r="F15" t="s">
        <v>9278</v>
      </c>
      <c r="G15">
        <v>190037</v>
      </c>
      <c r="I15">
        <v>190037</v>
      </c>
      <c r="K15" s="4">
        <v>45538</v>
      </c>
      <c r="L15" s="4">
        <v>45538</v>
      </c>
      <c r="O15" s="4"/>
      <c r="P15" t="s">
        <v>1473</v>
      </c>
      <c r="Q15" s="4"/>
      <c r="S15" t="s">
        <v>5007</v>
      </c>
      <c r="U15">
        <v>190037</v>
      </c>
      <c r="V15">
        <v>1</v>
      </c>
      <c r="W15" t="s">
        <v>17</v>
      </c>
      <c r="Z15">
        <v>14</v>
      </c>
      <c r="AA15">
        <v>14</v>
      </c>
      <c r="AE15" t="s">
        <v>9251</v>
      </c>
      <c r="AF15" s="4"/>
    </row>
    <row r="16" spans="1:34">
      <c r="B16" t="s">
        <v>2193</v>
      </c>
      <c r="C16" t="s">
        <v>9279</v>
      </c>
      <c r="D16" t="s">
        <v>48</v>
      </c>
      <c r="E16">
        <v>18616</v>
      </c>
      <c r="F16" t="s">
        <v>9280</v>
      </c>
      <c r="G16">
        <v>39306.19</v>
      </c>
      <c r="I16">
        <v>39306.19</v>
      </c>
      <c r="K16" s="4">
        <v>45534</v>
      </c>
      <c r="L16" s="4">
        <v>45534</v>
      </c>
      <c r="O16" s="4"/>
      <c r="P16" t="s">
        <v>1473</v>
      </c>
      <c r="Q16" s="4"/>
      <c r="S16" t="s">
        <v>3107</v>
      </c>
      <c r="U16">
        <v>39306.19</v>
      </c>
      <c r="V16">
        <v>1</v>
      </c>
      <c r="W16" t="s">
        <v>17</v>
      </c>
      <c r="X16" t="s">
        <v>4074</v>
      </c>
      <c r="Z16">
        <v>18</v>
      </c>
      <c r="AA16">
        <v>18</v>
      </c>
      <c r="AE16" t="s">
        <v>9251</v>
      </c>
      <c r="AF16" s="4"/>
    </row>
    <row r="17" spans="2:32">
      <c r="B17" t="s">
        <v>2193</v>
      </c>
      <c r="C17" t="s">
        <v>9281</v>
      </c>
      <c r="D17" t="s">
        <v>48</v>
      </c>
      <c r="E17">
        <v>18613</v>
      </c>
      <c r="F17" t="s">
        <v>9282</v>
      </c>
      <c r="G17">
        <v>12718.51</v>
      </c>
      <c r="I17">
        <v>12718.51</v>
      </c>
      <c r="K17" s="4">
        <v>45534</v>
      </c>
      <c r="L17" s="4">
        <v>45534</v>
      </c>
      <c r="O17" s="4"/>
      <c r="P17" t="s">
        <v>1473</v>
      </c>
      <c r="Q17" s="4"/>
      <c r="S17" t="s">
        <v>3097</v>
      </c>
      <c r="U17">
        <v>12718.51</v>
      </c>
      <c r="V17">
        <v>1</v>
      </c>
      <c r="W17" t="s">
        <v>17</v>
      </c>
      <c r="X17" t="s">
        <v>4074</v>
      </c>
      <c r="Z17">
        <v>18</v>
      </c>
      <c r="AA17">
        <v>18</v>
      </c>
      <c r="AE17" t="s">
        <v>9251</v>
      </c>
      <c r="AF17" s="4"/>
    </row>
    <row r="18" spans="2:32">
      <c r="B18" t="s">
        <v>2193</v>
      </c>
      <c r="C18" t="s">
        <v>9283</v>
      </c>
      <c r="D18" t="s">
        <v>48</v>
      </c>
      <c r="E18">
        <v>18613</v>
      </c>
      <c r="F18" t="s">
        <v>9284</v>
      </c>
      <c r="G18">
        <v>12718.51</v>
      </c>
      <c r="I18">
        <v>12718.51</v>
      </c>
      <c r="K18" s="4">
        <v>45534</v>
      </c>
      <c r="L18" s="4">
        <v>45534</v>
      </c>
      <c r="O18" s="4"/>
      <c r="P18" t="s">
        <v>1473</v>
      </c>
      <c r="Q18" s="4"/>
      <c r="S18" t="s">
        <v>3098</v>
      </c>
      <c r="U18">
        <v>12718.51</v>
      </c>
      <c r="V18">
        <v>1</v>
      </c>
      <c r="W18" t="s">
        <v>17</v>
      </c>
      <c r="X18" t="s">
        <v>4074</v>
      </c>
      <c r="Z18">
        <v>18</v>
      </c>
      <c r="AA18">
        <v>18</v>
      </c>
      <c r="AE18" t="s">
        <v>9251</v>
      </c>
      <c r="AF18" s="4"/>
    </row>
    <row r="19" spans="2:32">
      <c r="B19" t="s">
        <v>2193</v>
      </c>
      <c r="C19" t="s">
        <v>9285</v>
      </c>
      <c r="D19" t="s">
        <v>48</v>
      </c>
      <c r="E19">
        <v>18615</v>
      </c>
      <c r="F19" t="s">
        <v>9286</v>
      </c>
      <c r="G19">
        <v>38949.79</v>
      </c>
      <c r="I19">
        <v>38949.79</v>
      </c>
      <c r="K19" s="4">
        <v>45534</v>
      </c>
      <c r="L19" s="4">
        <v>45534</v>
      </c>
      <c r="O19" s="4"/>
      <c r="P19" t="s">
        <v>1473</v>
      </c>
      <c r="Q19" s="4"/>
      <c r="S19" t="s">
        <v>3106</v>
      </c>
      <c r="U19">
        <v>38949.79</v>
      </c>
      <c r="V19">
        <v>1</v>
      </c>
      <c r="W19" t="s">
        <v>17</v>
      </c>
      <c r="X19" t="s">
        <v>4074</v>
      </c>
      <c r="Z19">
        <v>18</v>
      </c>
      <c r="AA19">
        <v>18</v>
      </c>
      <c r="AE19" t="s">
        <v>9251</v>
      </c>
      <c r="AF19" s="4"/>
    </row>
    <row r="20" spans="2:32">
      <c r="B20" t="s">
        <v>2193</v>
      </c>
      <c r="C20" t="s">
        <v>9287</v>
      </c>
      <c r="D20" t="s">
        <v>32</v>
      </c>
      <c r="E20">
        <v>4900168015</v>
      </c>
      <c r="F20" t="s">
        <v>9288</v>
      </c>
      <c r="G20">
        <v>18576</v>
      </c>
      <c r="I20">
        <v>18576</v>
      </c>
      <c r="K20" s="4">
        <v>45523</v>
      </c>
      <c r="L20" s="4">
        <v>45523</v>
      </c>
      <c r="M20">
        <v>2024</v>
      </c>
      <c r="N20">
        <v>8</v>
      </c>
      <c r="O20" s="4">
        <v>45505</v>
      </c>
      <c r="P20" t="s">
        <v>1473</v>
      </c>
      <c r="Q20" s="4"/>
      <c r="S20" t="s">
        <v>2838</v>
      </c>
      <c r="U20">
        <v>18576</v>
      </c>
      <c r="V20">
        <v>1</v>
      </c>
      <c r="W20" t="s">
        <v>17</v>
      </c>
      <c r="X20" t="s">
        <v>4014</v>
      </c>
      <c r="Z20">
        <v>29</v>
      </c>
      <c r="AA20">
        <v>29</v>
      </c>
      <c r="AE20" t="s">
        <v>9251</v>
      </c>
      <c r="AF20" s="4"/>
    </row>
    <row r="21" spans="2:32">
      <c r="B21" t="s">
        <v>2193</v>
      </c>
      <c r="C21" t="s">
        <v>9289</v>
      </c>
      <c r="D21" t="s">
        <v>32</v>
      </c>
      <c r="E21">
        <v>4900168027</v>
      </c>
      <c r="F21" t="s">
        <v>9290</v>
      </c>
      <c r="G21">
        <v>18576</v>
      </c>
      <c r="I21">
        <v>18576</v>
      </c>
      <c r="K21" s="4">
        <v>45523</v>
      </c>
      <c r="L21" s="4">
        <v>45523</v>
      </c>
      <c r="M21">
        <v>2024</v>
      </c>
      <c r="N21">
        <v>8</v>
      </c>
      <c r="O21" s="4">
        <v>45505</v>
      </c>
      <c r="P21" t="s">
        <v>1473</v>
      </c>
      <c r="Q21" s="4"/>
      <c r="S21" t="s">
        <v>2848</v>
      </c>
      <c r="U21">
        <v>18576</v>
      </c>
      <c r="V21">
        <v>1</v>
      </c>
      <c r="W21" t="s">
        <v>17</v>
      </c>
      <c r="X21" t="s">
        <v>4014</v>
      </c>
      <c r="Z21">
        <v>29</v>
      </c>
      <c r="AA21">
        <v>29</v>
      </c>
      <c r="AE21" t="s">
        <v>9251</v>
      </c>
      <c r="AF21" s="4"/>
    </row>
    <row r="22" spans="2:32">
      <c r="B22" t="s">
        <v>2193</v>
      </c>
      <c r="C22" t="s">
        <v>9291</v>
      </c>
      <c r="D22" t="s">
        <v>48</v>
      </c>
      <c r="E22">
        <v>18617</v>
      </c>
      <c r="F22" t="s">
        <v>9292</v>
      </c>
      <c r="G22">
        <v>7752.53</v>
      </c>
      <c r="I22">
        <v>7752.53</v>
      </c>
      <c r="K22" s="4">
        <v>45523</v>
      </c>
      <c r="L22" s="4">
        <v>45523</v>
      </c>
      <c r="M22">
        <v>2024</v>
      </c>
      <c r="N22">
        <v>8</v>
      </c>
      <c r="O22" s="4">
        <v>45505</v>
      </c>
      <c r="P22" t="s">
        <v>1473</v>
      </c>
      <c r="Q22" s="4"/>
      <c r="S22" t="s">
        <v>3118</v>
      </c>
      <c r="U22">
        <v>7752.53</v>
      </c>
      <c r="V22">
        <v>1</v>
      </c>
      <c r="W22" t="s">
        <v>17</v>
      </c>
      <c r="X22" t="s">
        <v>9254</v>
      </c>
      <c r="Z22">
        <v>29</v>
      </c>
      <c r="AA22">
        <v>29</v>
      </c>
      <c r="AE22" t="s">
        <v>9251</v>
      </c>
      <c r="AF22" s="4"/>
    </row>
    <row r="23" spans="2:32">
      <c r="B23" t="s">
        <v>2193</v>
      </c>
      <c r="C23" t="s">
        <v>9293</v>
      </c>
      <c r="D23" t="s">
        <v>48</v>
      </c>
      <c r="E23">
        <v>18617</v>
      </c>
      <c r="F23" t="s">
        <v>9294</v>
      </c>
      <c r="G23">
        <v>7752.53</v>
      </c>
      <c r="I23">
        <v>7752.53</v>
      </c>
      <c r="K23" s="4">
        <v>45523</v>
      </c>
      <c r="L23" s="4">
        <v>45523</v>
      </c>
      <c r="M23">
        <v>2024</v>
      </c>
      <c r="N23">
        <v>8</v>
      </c>
      <c r="O23" s="4">
        <v>45505</v>
      </c>
      <c r="P23" t="s">
        <v>1473</v>
      </c>
      <c r="Q23" s="4"/>
      <c r="S23" t="s">
        <v>3119</v>
      </c>
      <c r="U23">
        <v>7752.53</v>
      </c>
      <c r="V23">
        <v>1</v>
      </c>
      <c r="W23" t="s">
        <v>17</v>
      </c>
      <c r="X23" t="s">
        <v>9254</v>
      </c>
      <c r="Z23">
        <v>29</v>
      </c>
      <c r="AA23">
        <v>29</v>
      </c>
      <c r="AE23" t="s">
        <v>9251</v>
      </c>
      <c r="AF23" s="4"/>
    </row>
    <row r="24" spans="2:32">
      <c r="B24" t="s">
        <v>2193</v>
      </c>
      <c r="C24" t="s">
        <v>9295</v>
      </c>
      <c r="D24" t="s">
        <v>48</v>
      </c>
      <c r="E24">
        <v>18617</v>
      </c>
      <c r="F24" t="s">
        <v>9296</v>
      </c>
      <c r="G24">
        <v>7752.53</v>
      </c>
      <c r="I24">
        <v>7752.53</v>
      </c>
      <c r="K24" s="4">
        <v>45523</v>
      </c>
      <c r="L24" s="4">
        <v>45523</v>
      </c>
      <c r="M24">
        <v>2024</v>
      </c>
      <c r="N24">
        <v>8</v>
      </c>
      <c r="O24" s="4">
        <v>45505</v>
      </c>
      <c r="P24" t="s">
        <v>1473</v>
      </c>
      <c r="Q24" s="4"/>
      <c r="S24" t="s">
        <v>3120</v>
      </c>
      <c r="U24">
        <v>7752.53</v>
      </c>
      <c r="V24">
        <v>1</v>
      </c>
      <c r="W24" t="s">
        <v>17</v>
      </c>
      <c r="X24" t="s">
        <v>9254</v>
      </c>
      <c r="Z24">
        <v>29</v>
      </c>
      <c r="AA24">
        <v>29</v>
      </c>
      <c r="AE24" t="s">
        <v>9251</v>
      </c>
      <c r="AF24" s="4"/>
    </row>
    <row r="25" spans="2:32">
      <c r="B25" t="s">
        <v>2193</v>
      </c>
      <c r="C25" t="s">
        <v>9297</v>
      </c>
      <c r="D25" t="s">
        <v>48</v>
      </c>
      <c r="E25">
        <v>18617</v>
      </c>
      <c r="F25" t="s">
        <v>9298</v>
      </c>
      <c r="G25">
        <v>7752.53</v>
      </c>
      <c r="I25">
        <v>7752.53</v>
      </c>
      <c r="K25" s="4">
        <v>45523</v>
      </c>
      <c r="L25" s="4">
        <v>45523</v>
      </c>
      <c r="M25">
        <v>2024</v>
      </c>
      <c r="N25">
        <v>8</v>
      </c>
      <c r="O25" s="4">
        <v>45505</v>
      </c>
      <c r="P25" t="s">
        <v>1473</v>
      </c>
      <c r="Q25" s="4"/>
      <c r="S25" t="s">
        <v>3121</v>
      </c>
      <c r="U25">
        <v>7752.53</v>
      </c>
      <c r="V25">
        <v>1</v>
      </c>
      <c r="W25" t="s">
        <v>17</v>
      </c>
      <c r="X25" t="s">
        <v>9254</v>
      </c>
      <c r="Z25">
        <v>29</v>
      </c>
      <c r="AA25">
        <v>29</v>
      </c>
      <c r="AE25" t="s">
        <v>9251</v>
      </c>
      <c r="AF25" s="4"/>
    </row>
    <row r="26" spans="2:32">
      <c r="B26" t="s">
        <v>2193</v>
      </c>
      <c r="C26" t="s">
        <v>9299</v>
      </c>
      <c r="D26" t="s">
        <v>49</v>
      </c>
      <c r="E26">
        <v>4800104873</v>
      </c>
      <c r="F26" t="s">
        <v>9300</v>
      </c>
      <c r="G26">
        <v>8695</v>
      </c>
      <c r="I26">
        <v>8695</v>
      </c>
      <c r="K26" s="4">
        <v>45523</v>
      </c>
      <c r="L26" s="4">
        <v>45523</v>
      </c>
      <c r="M26">
        <v>2024</v>
      </c>
      <c r="N26">
        <v>8</v>
      </c>
      <c r="O26" s="4">
        <v>45505</v>
      </c>
      <c r="P26" t="s">
        <v>1473</v>
      </c>
      <c r="Q26" s="4"/>
      <c r="S26" t="s">
        <v>3175</v>
      </c>
      <c r="U26">
        <v>8695</v>
      </c>
      <c r="V26">
        <v>1</v>
      </c>
      <c r="W26" t="s">
        <v>17</v>
      </c>
      <c r="X26" t="s">
        <v>4823</v>
      </c>
      <c r="Z26">
        <v>29</v>
      </c>
      <c r="AA26">
        <v>29</v>
      </c>
      <c r="AE26" t="s">
        <v>9251</v>
      </c>
      <c r="AF26" s="4"/>
    </row>
    <row r="27" spans="2:32">
      <c r="B27" t="s">
        <v>2193</v>
      </c>
      <c r="C27" t="s">
        <v>9301</v>
      </c>
      <c r="D27" t="s">
        <v>49</v>
      </c>
      <c r="E27">
        <v>4800104873</v>
      </c>
      <c r="F27" t="s">
        <v>9302</v>
      </c>
      <c r="G27">
        <v>1743.04</v>
      </c>
      <c r="I27">
        <v>1743.04</v>
      </c>
      <c r="K27" s="4">
        <v>45523</v>
      </c>
      <c r="L27" s="4">
        <v>45523</v>
      </c>
      <c r="M27">
        <v>2024</v>
      </c>
      <c r="N27">
        <v>8</v>
      </c>
      <c r="O27" s="4">
        <v>45505</v>
      </c>
      <c r="P27" t="s">
        <v>1473</v>
      </c>
      <c r="Q27" s="4"/>
      <c r="S27" t="s">
        <v>3399</v>
      </c>
      <c r="U27">
        <v>1848</v>
      </c>
      <c r="V27">
        <v>0.94</v>
      </c>
      <c r="W27" t="s">
        <v>17</v>
      </c>
      <c r="X27" t="s">
        <v>4014</v>
      </c>
      <c r="Z27">
        <v>29</v>
      </c>
      <c r="AA27">
        <v>29</v>
      </c>
      <c r="AE27" t="s">
        <v>9251</v>
      </c>
      <c r="AF27" s="4"/>
    </row>
    <row r="28" spans="2:32">
      <c r="B28" t="s">
        <v>2193</v>
      </c>
      <c r="C28" t="s">
        <v>9303</v>
      </c>
      <c r="D28" t="s">
        <v>49</v>
      </c>
      <c r="E28">
        <v>4800104873</v>
      </c>
      <c r="F28" t="s">
        <v>9304</v>
      </c>
      <c r="G28">
        <v>11257.81</v>
      </c>
      <c r="I28">
        <v>11257.81</v>
      </c>
      <c r="K28" s="4">
        <v>45523</v>
      </c>
      <c r="L28" s="4">
        <v>45523</v>
      </c>
      <c r="M28">
        <v>2024</v>
      </c>
      <c r="N28">
        <v>8</v>
      </c>
      <c r="O28" s="4">
        <v>45505</v>
      </c>
      <c r="P28" t="s">
        <v>1473</v>
      </c>
      <c r="Q28" s="4"/>
      <c r="S28" t="s">
        <v>3328</v>
      </c>
      <c r="U28">
        <v>12908</v>
      </c>
      <c r="V28">
        <v>0.87</v>
      </c>
      <c r="W28" t="s">
        <v>17</v>
      </c>
      <c r="X28" t="s">
        <v>4014</v>
      </c>
      <c r="Z28">
        <v>29</v>
      </c>
      <c r="AA28">
        <v>29</v>
      </c>
      <c r="AE28" t="s">
        <v>9251</v>
      </c>
      <c r="AF28" s="4"/>
    </row>
    <row r="29" spans="2:32">
      <c r="B29" t="s">
        <v>2193</v>
      </c>
      <c r="C29" t="s">
        <v>9305</v>
      </c>
      <c r="D29" t="s">
        <v>49</v>
      </c>
      <c r="E29">
        <v>4800104873</v>
      </c>
      <c r="F29" t="s">
        <v>9306</v>
      </c>
      <c r="G29">
        <v>11257.81</v>
      </c>
      <c r="I29">
        <v>11257.81</v>
      </c>
      <c r="K29" s="4">
        <v>45523</v>
      </c>
      <c r="L29" s="4">
        <v>45523</v>
      </c>
      <c r="M29">
        <v>2024</v>
      </c>
      <c r="N29">
        <v>8</v>
      </c>
      <c r="O29" s="4">
        <v>45505</v>
      </c>
      <c r="P29" t="s">
        <v>1473</v>
      </c>
      <c r="Q29" s="4"/>
      <c r="S29" t="s">
        <v>3331</v>
      </c>
      <c r="U29">
        <v>12908</v>
      </c>
      <c r="V29">
        <v>0.87</v>
      </c>
      <c r="W29" t="s">
        <v>17</v>
      </c>
      <c r="X29" t="s">
        <v>4014</v>
      </c>
      <c r="Z29">
        <v>29</v>
      </c>
      <c r="AA29">
        <v>29</v>
      </c>
      <c r="AE29" t="s">
        <v>9251</v>
      </c>
      <c r="AF29" s="4"/>
    </row>
    <row r="30" spans="2:32">
      <c r="B30" t="s">
        <v>2193</v>
      </c>
      <c r="C30" t="s">
        <v>9307</v>
      </c>
      <c r="D30" t="s">
        <v>49</v>
      </c>
      <c r="E30">
        <v>4800104873</v>
      </c>
      <c r="F30" t="s">
        <v>9308</v>
      </c>
      <c r="G30">
        <v>9615.51</v>
      </c>
      <c r="I30">
        <v>9615.51</v>
      </c>
      <c r="K30" s="4">
        <v>45523</v>
      </c>
      <c r="L30" s="4">
        <v>45523</v>
      </c>
      <c r="M30">
        <v>2024</v>
      </c>
      <c r="N30">
        <v>8</v>
      </c>
      <c r="O30" s="4">
        <v>45505</v>
      </c>
      <c r="P30" t="s">
        <v>1473</v>
      </c>
      <c r="Q30" s="4"/>
      <c r="S30" t="s">
        <v>3356</v>
      </c>
      <c r="U30">
        <v>17509</v>
      </c>
      <c r="V30">
        <v>0.55000000000000004</v>
      </c>
      <c r="W30" t="s">
        <v>17</v>
      </c>
      <c r="X30" t="s">
        <v>4014</v>
      </c>
      <c r="Z30">
        <v>29</v>
      </c>
      <c r="AA30">
        <v>29</v>
      </c>
      <c r="AE30" t="s">
        <v>9251</v>
      </c>
      <c r="AF30" s="4"/>
    </row>
    <row r="31" spans="2:32">
      <c r="B31" t="s">
        <v>2193</v>
      </c>
      <c r="C31" t="s">
        <v>9309</v>
      </c>
      <c r="D31" t="s">
        <v>49</v>
      </c>
      <c r="E31">
        <v>4800104873</v>
      </c>
      <c r="F31" t="s">
        <v>9310</v>
      </c>
      <c r="G31">
        <v>9615.51</v>
      </c>
      <c r="I31">
        <v>9615.51</v>
      </c>
      <c r="K31" s="4">
        <v>45523</v>
      </c>
      <c r="L31" s="4">
        <v>45523</v>
      </c>
      <c r="M31">
        <v>2024</v>
      </c>
      <c r="N31">
        <v>8</v>
      </c>
      <c r="O31" s="4">
        <v>45505</v>
      </c>
      <c r="P31" t="s">
        <v>1473</v>
      </c>
      <c r="Q31" s="4"/>
      <c r="S31" t="s">
        <v>3359</v>
      </c>
      <c r="U31">
        <v>17509</v>
      </c>
      <c r="V31">
        <v>0.55000000000000004</v>
      </c>
      <c r="W31" t="s">
        <v>17</v>
      </c>
      <c r="X31" t="s">
        <v>4014</v>
      </c>
      <c r="Z31">
        <v>29</v>
      </c>
      <c r="AA31">
        <v>29</v>
      </c>
      <c r="AE31" t="s">
        <v>9251</v>
      </c>
      <c r="AF31" s="4"/>
    </row>
    <row r="32" spans="2:32">
      <c r="B32" t="s">
        <v>2193</v>
      </c>
      <c r="C32" t="s">
        <v>9311</v>
      </c>
      <c r="D32" t="s">
        <v>36</v>
      </c>
      <c r="E32" t="s">
        <v>2906</v>
      </c>
      <c r="F32" t="s">
        <v>9312</v>
      </c>
      <c r="G32">
        <v>15265</v>
      </c>
      <c r="I32">
        <v>15265</v>
      </c>
      <c r="K32" s="4">
        <v>45523</v>
      </c>
      <c r="L32" s="4">
        <v>45523</v>
      </c>
      <c r="M32">
        <v>2024</v>
      </c>
      <c r="N32">
        <v>8</v>
      </c>
      <c r="O32" s="4">
        <v>45505</v>
      </c>
      <c r="P32" t="s">
        <v>1473</v>
      </c>
      <c r="Q32" s="4"/>
      <c r="S32" t="s">
        <v>9313</v>
      </c>
      <c r="U32">
        <v>355000</v>
      </c>
      <c r="V32">
        <v>0.04</v>
      </c>
      <c r="W32" t="s">
        <v>17</v>
      </c>
      <c r="X32" t="s">
        <v>9314</v>
      </c>
      <c r="Z32">
        <v>29</v>
      </c>
      <c r="AA32">
        <v>29</v>
      </c>
      <c r="AE32" t="s">
        <v>9251</v>
      </c>
      <c r="AF32" s="4"/>
    </row>
    <row r="33" spans="1:32">
      <c r="B33" t="s">
        <v>2193</v>
      </c>
      <c r="C33" t="s">
        <v>9315</v>
      </c>
      <c r="D33" t="s">
        <v>29</v>
      </c>
      <c r="E33">
        <v>4400891729</v>
      </c>
      <c r="F33" t="s">
        <v>9316</v>
      </c>
      <c r="G33">
        <v>9419.42</v>
      </c>
      <c r="I33">
        <v>9419.42</v>
      </c>
      <c r="K33" s="4">
        <v>45513</v>
      </c>
      <c r="L33" s="4">
        <v>45519</v>
      </c>
      <c r="M33">
        <v>2024</v>
      </c>
      <c r="N33">
        <v>8</v>
      </c>
      <c r="O33" s="4">
        <v>45505</v>
      </c>
      <c r="P33" t="s">
        <v>1473</v>
      </c>
      <c r="Q33" s="4"/>
      <c r="S33" t="s">
        <v>5004</v>
      </c>
      <c r="U33">
        <v>9419.42</v>
      </c>
      <c r="X33" t="s">
        <v>4102</v>
      </c>
      <c r="Z33">
        <v>39</v>
      </c>
      <c r="AA33">
        <v>33</v>
      </c>
      <c r="AE33" t="s">
        <v>9251</v>
      </c>
      <c r="AF33" s="4"/>
    </row>
    <row r="34" spans="1:32">
      <c r="B34" t="s">
        <v>2193</v>
      </c>
      <c r="C34" t="s">
        <v>9317</v>
      </c>
      <c r="D34" t="s">
        <v>29</v>
      </c>
      <c r="E34">
        <v>4400877286</v>
      </c>
      <c r="F34">
        <v>4400877286</v>
      </c>
      <c r="G34">
        <v>239354.15</v>
      </c>
      <c r="I34">
        <v>239354.15</v>
      </c>
      <c r="J34">
        <v>239354.15</v>
      </c>
      <c r="K34" s="4">
        <v>45502</v>
      </c>
      <c r="L34" s="4">
        <v>45503</v>
      </c>
      <c r="M34">
        <v>2024</v>
      </c>
      <c r="N34">
        <v>7</v>
      </c>
      <c r="O34" s="4">
        <v>45474</v>
      </c>
      <c r="P34" t="s">
        <v>89</v>
      </c>
      <c r="Q34" s="4"/>
      <c r="S34" t="s">
        <v>9318</v>
      </c>
      <c r="X34" t="s">
        <v>9319</v>
      </c>
      <c r="Z34" t="s">
        <v>89</v>
      </c>
      <c r="AA34" t="s">
        <v>89</v>
      </c>
      <c r="AC34" t="s">
        <v>1473</v>
      </c>
      <c r="AE34" t="s">
        <v>9251</v>
      </c>
      <c r="AF34" s="4">
        <v>45505</v>
      </c>
    </row>
    <row r="35" spans="1:32">
      <c r="B35" t="s">
        <v>2193</v>
      </c>
      <c r="C35" t="s">
        <v>9320</v>
      </c>
      <c r="D35" t="s">
        <v>29</v>
      </c>
      <c r="E35">
        <v>4400877228</v>
      </c>
      <c r="F35">
        <v>4400877228</v>
      </c>
      <c r="G35">
        <v>596043.64</v>
      </c>
      <c r="I35">
        <v>596043.64</v>
      </c>
      <c r="J35">
        <v>596043.64</v>
      </c>
      <c r="K35" s="4">
        <v>45502</v>
      </c>
      <c r="L35" s="4">
        <v>45503</v>
      </c>
      <c r="M35">
        <v>2024</v>
      </c>
      <c r="N35">
        <v>7</v>
      </c>
      <c r="O35" s="4">
        <v>45474</v>
      </c>
      <c r="P35" t="s">
        <v>89</v>
      </c>
      <c r="Q35" s="4"/>
      <c r="S35" t="s">
        <v>9318</v>
      </c>
      <c r="X35" t="s">
        <v>9319</v>
      </c>
      <c r="Z35" t="s">
        <v>89</v>
      </c>
      <c r="AA35" t="s">
        <v>89</v>
      </c>
      <c r="AC35" t="s">
        <v>1473</v>
      </c>
      <c r="AE35" t="s">
        <v>9251</v>
      </c>
      <c r="AF35" s="4">
        <v>45505</v>
      </c>
    </row>
    <row r="36" spans="1:32">
      <c r="B36" t="s">
        <v>2193</v>
      </c>
      <c r="C36" t="s">
        <v>9321</v>
      </c>
      <c r="D36" t="s">
        <v>29</v>
      </c>
      <c r="E36">
        <v>4400876069</v>
      </c>
      <c r="F36">
        <v>4400876069</v>
      </c>
      <c r="G36">
        <v>567063.93999999994</v>
      </c>
      <c r="I36">
        <v>567063.93999999994</v>
      </c>
      <c r="J36">
        <v>567063.93999999994</v>
      </c>
      <c r="K36" s="4">
        <v>45502</v>
      </c>
      <c r="L36" s="4">
        <v>45503</v>
      </c>
      <c r="M36">
        <v>2024</v>
      </c>
      <c r="N36">
        <v>7</v>
      </c>
      <c r="O36" s="4">
        <v>45474</v>
      </c>
      <c r="P36" t="s">
        <v>89</v>
      </c>
      <c r="Q36" s="4"/>
      <c r="S36" t="s">
        <v>9318</v>
      </c>
      <c r="X36" t="s">
        <v>9319</v>
      </c>
      <c r="Z36" t="s">
        <v>89</v>
      </c>
      <c r="AA36" t="s">
        <v>89</v>
      </c>
      <c r="AC36" t="s">
        <v>1473</v>
      </c>
      <c r="AE36" t="s">
        <v>9251</v>
      </c>
      <c r="AF36" s="4">
        <v>45505</v>
      </c>
    </row>
    <row r="37" spans="1:32">
      <c r="B37" t="s">
        <v>2193</v>
      </c>
      <c r="C37" t="s">
        <v>9322</v>
      </c>
      <c r="D37" t="s">
        <v>29</v>
      </c>
      <c r="E37">
        <v>4400876005</v>
      </c>
      <c r="F37">
        <v>4400876005</v>
      </c>
      <c r="G37">
        <v>581732.66</v>
      </c>
      <c r="I37">
        <v>581732.66</v>
      </c>
      <c r="J37">
        <v>581732.66</v>
      </c>
      <c r="K37" s="4">
        <v>45502</v>
      </c>
      <c r="L37" s="4">
        <v>45503</v>
      </c>
      <c r="M37">
        <v>2024</v>
      </c>
      <c r="N37">
        <v>7</v>
      </c>
      <c r="O37" s="4">
        <v>45474</v>
      </c>
      <c r="P37" t="s">
        <v>89</v>
      </c>
      <c r="Q37" s="4"/>
      <c r="S37" t="s">
        <v>9318</v>
      </c>
      <c r="X37" t="s">
        <v>9319</v>
      </c>
      <c r="Z37" t="s">
        <v>89</v>
      </c>
      <c r="AA37" t="s">
        <v>89</v>
      </c>
      <c r="AC37" t="s">
        <v>1473</v>
      </c>
      <c r="AE37" t="s">
        <v>9251</v>
      </c>
      <c r="AF37" s="4">
        <v>45505</v>
      </c>
    </row>
    <row r="38" spans="1:32">
      <c r="B38" t="s">
        <v>2193</v>
      </c>
      <c r="C38" t="s">
        <v>9323</v>
      </c>
      <c r="D38" t="s">
        <v>29</v>
      </c>
      <c r="E38">
        <v>4400876065</v>
      </c>
      <c r="F38">
        <v>4400876065</v>
      </c>
      <c r="G38">
        <v>494640.73</v>
      </c>
      <c r="I38">
        <v>494640.73</v>
      </c>
      <c r="J38">
        <v>494640.73</v>
      </c>
      <c r="K38" s="4">
        <v>45502</v>
      </c>
      <c r="L38" s="4">
        <v>45503</v>
      </c>
      <c r="M38">
        <v>2024</v>
      </c>
      <c r="N38">
        <v>7</v>
      </c>
      <c r="O38" s="4">
        <v>45474</v>
      </c>
      <c r="P38" t="s">
        <v>89</v>
      </c>
      <c r="Q38" s="4"/>
      <c r="S38" t="s">
        <v>9318</v>
      </c>
      <c r="X38" t="s">
        <v>9319</v>
      </c>
      <c r="Z38" t="s">
        <v>89</v>
      </c>
      <c r="AA38" t="s">
        <v>89</v>
      </c>
      <c r="AC38" t="s">
        <v>1473</v>
      </c>
      <c r="AE38" t="s">
        <v>9251</v>
      </c>
      <c r="AF38" s="4">
        <v>45505</v>
      </c>
    </row>
    <row r="39" spans="1:32">
      <c r="B39" t="s">
        <v>2193</v>
      </c>
      <c r="C39" t="s">
        <v>9324</v>
      </c>
      <c r="D39" t="s">
        <v>29</v>
      </c>
      <c r="E39">
        <v>4400871907</v>
      </c>
      <c r="F39">
        <v>4400871907</v>
      </c>
      <c r="G39">
        <v>470709.9</v>
      </c>
      <c r="I39">
        <v>470709.9</v>
      </c>
      <c r="J39">
        <v>470709.9</v>
      </c>
      <c r="K39" s="4">
        <v>45502</v>
      </c>
      <c r="L39" s="4">
        <v>45503</v>
      </c>
      <c r="M39">
        <v>2024</v>
      </c>
      <c r="N39">
        <v>7</v>
      </c>
      <c r="O39" s="4">
        <v>45474</v>
      </c>
      <c r="P39" t="s">
        <v>89</v>
      </c>
      <c r="Q39" s="4"/>
      <c r="S39" t="s">
        <v>9318</v>
      </c>
      <c r="X39" t="s">
        <v>9319</v>
      </c>
      <c r="Z39" t="s">
        <v>89</v>
      </c>
      <c r="AA39" t="s">
        <v>89</v>
      </c>
      <c r="AC39" t="s">
        <v>1473</v>
      </c>
      <c r="AE39" t="s">
        <v>9251</v>
      </c>
      <c r="AF39" s="4">
        <v>45505</v>
      </c>
    </row>
    <row r="40" spans="1:32">
      <c r="B40" t="s">
        <v>2193</v>
      </c>
      <c r="C40" t="s">
        <v>9325</v>
      </c>
      <c r="D40" t="s">
        <v>29</v>
      </c>
      <c r="E40">
        <v>4400871904</v>
      </c>
      <c r="F40">
        <v>4400871904</v>
      </c>
      <c r="G40">
        <v>537907.96</v>
      </c>
      <c r="I40">
        <v>537907.96</v>
      </c>
      <c r="J40">
        <v>537907.96</v>
      </c>
      <c r="K40" s="4">
        <v>45502</v>
      </c>
      <c r="L40" s="4">
        <v>45503</v>
      </c>
      <c r="M40">
        <v>2024</v>
      </c>
      <c r="N40">
        <v>7</v>
      </c>
      <c r="O40" s="4">
        <v>45474</v>
      </c>
      <c r="P40" t="s">
        <v>89</v>
      </c>
      <c r="Q40" s="4"/>
      <c r="S40" t="s">
        <v>9318</v>
      </c>
      <c r="X40" t="s">
        <v>9319</v>
      </c>
      <c r="Z40" t="s">
        <v>89</v>
      </c>
      <c r="AA40" t="s">
        <v>89</v>
      </c>
      <c r="AC40" t="s">
        <v>1473</v>
      </c>
      <c r="AE40" t="s">
        <v>9251</v>
      </c>
      <c r="AF40" s="4">
        <v>45505</v>
      </c>
    </row>
    <row r="41" spans="1:32">
      <c r="B41" t="s">
        <v>2193</v>
      </c>
      <c r="C41" t="s">
        <v>9326</v>
      </c>
      <c r="D41" t="s">
        <v>29</v>
      </c>
      <c r="E41">
        <v>4400772471</v>
      </c>
      <c r="F41" t="s">
        <v>9327</v>
      </c>
      <c r="G41">
        <v>27798.25</v>
      </c>
      <c r="I41">
        <v>27798.25</v>
      </c>
      <c r="J41">
        <v>27798.25</v>
      </c>
      <c r="K41" s="4">
        <v>45502</v>
      </c>
      <c r="L41" s="4">
        <v>45504</v>
      </c>
      <c r="M41">
        <v>2024</v>
      </c>
      <c r="N41">
        <v>7</v>
      </c>
      <c r="O41" s="4">
        <v>45474</v>
      </c>
      <c r="P41" t="s">
        <v>89</v>
      </c>
      <c r="Q41" s="4"/>
      <c r="S41" t="s">
        <v>2553</v>
      </c>
      <c r="X41" t="s">
        <v>10</v>
      </c>
      <c r="Z41" t="s">
        <v>89</v>
      </c>
      <c r="AA41" t="s">
        <v>89</v>
      </c>
      <c r="AC41" t="s">
        <v>1473</v>
      </c>
      <c r="AE41" t="s">
        <v>9251</v>
      </c>
      <c r="AF41" s="4">
        <v>45536</v>
      </c>
    </row>
    <row r="42" spans="1:32">
      <c r="B42" t="s">
        <v>2193</v>
      </c>
      <c r="C42" t="s">
        <v>9328</v>
      </c>
      <c r="D42" t="s">
        <v>29</v>
      </c>
      <c r="E42">
        <v>4400855293</v>
      </c>
      <c r="F42" t="s">
        <v>9329</v>
      </c>
      <c r="G42">
        <v>69307</v>
      </c>
      <c r="I42">
        <v>69307</v>
      </c>
      <c r="J42">
        <v>69307</v>
      </c>
      <c r="K42" s="4">
        <v>45502</v>
      </c>
      <c r="L42" s="4">
        <v>45504</v>
      </c>
      <c r="M42">
        <v>2024</v>
      </c>
      <c r="N42">
        <v>7</v>
      </c>
      <c r="O42" s="4">
        <v>45474</v>
      </c>
      <c r="P42" t="s">
        <v>89</v>
      </c>
      <c r="Q42" s="4"/>
      <c r="S42" t="s">
        <v>7101</v>
      </c>
      <c r="X42" t="s">
        <v>6467</v>
      </c>
      <c r="Z42" t="s">
        <v>89</v>
      </c>
      <c r="AA42" t="s">
        <v>89</v>
      </c>
      <c r="AC42" t="s">
        <v>1473</v>
      </c>
      <c r="AE42" t="s">
        <v>9251</v>
      </c>
      <c r="AF42" s="4">
        <v>45536</v>
      </c>
    </row>
    <row r="43" spans="1:32">
      <c r="B43" t="s">
        <v>2193</v>
      </c>
      <c r="C43" t="s">
        <v>9330</v>
      </c>
      <c r="D43" t="s">
        <v>29</v>
      </c>
      <c r="E43">
        <v>4400843869</v>
      </c>
      <c r="F43" t="s">
        <v>9331</v>
      </c>
      <c r="G43">
        <v>69307</v>
      </c>
      <c r="I43">
        <v>69307</v>
      </c>
      <c r="J43">
        <v>69307</v>
      </c>
      <c r="K43" s="4">
        <v>45502</v>
      </c>
      <c r="L43" s="4">
        <v>45504</v>
      </c>
      <c r="M43">
        <v>2024</v>
      </c>
      <c r="N43">
        <v>7</v>
      </c>
      <c r="O43" s="4">
        <v>45474</v>
      </c>
      <c r="P43" t="s">
        <v>89</v>
      </c>
      <c r="Q43" s="4"/>
      <c r="S43" t="s">
        <v>2717</v>
      </c>
      <c r="X43" t="s">
        <v>6467</v>
      </c>
      <c r="Z43" t="s">
        <v>89</v>
      </c>
      <c r="AA43" t="s">
        <v>89</v>
      </c>
      <c r="AC43" t="s">
        <v>1473</v>
      </c>
      <c r="AE43" t="s">
        <v>9251</v>
      </c>
      <c r="AF43" s="4">
        <v>45536</v>
      </c>
    </row>
    <row r="44" spans="1:32">
      <c r="A44" t="s">
        <v>9332</v>
      </c>
      <c r="B44" t="s">
        <v>2193</v>
      </c>
      <c r="C44" t="s">
        <v>9333</v>
      </c>
      <c r="D44" t="s">
        <v>29</v>
      </c>
      <c r="E44">
        <v>4400822498</v>
      </c>
      <c r="F44" t="s">
        <v>2616</v>
      </c>
      <c r="G44">
        <v>1135</v>
      </c>
      <c r="I44">
        <v>1135</v>
      </c>
      <c r="J44">
        <v>1135</v>
      </c>
      <c r="K44" s="4">
        <v>45491</v>
      </c>
      <c r="L44" s="4">
        <v>45491</v>
      </c>
      <c r="M44">
        <v>2024</v>
      </c>
      <c r="N44">
        <v>7</v>
      </c>
      <c r="O44" s="4">
        <v>45474</v>
      </c>
      <c r="P44" t="s">
        <v>89</v>
      </c>
      <c r="Q44" s="4"/>
      <c r="S44" t="s">
        <v>2615</v>
      </c>
      <c r="X44" t="s">
        <v>4014</v>
      </c>
      <c r="Z44" t="s">
        <v>89</v>
      </c>
      <c r="AA44" t="s">
        <v>89</v>
      </c>
      <c r="AC44" t="s">
        <v>625</v>
      </c>
      <c r="AE44" t="s">
        <v>9251</v>
      </c>
      <c r="AF44" s="4"/>
    </row>
    <row r="45" spans="1:32">
      <c r="A45" t="s">
        <v>9334</v>
      </c>
      <c r="B45" t="s">
        <v>2193</v>
      </c>
      <c r="C45" t="s">
        <v>9335</v>
      </c>
      <c r="D45" t="s">
        <v>29</v>
      </c>
      <c r="E45">
        <v>4400824169</v>
      </c>
      <c r="F45" t="s">
        <v>2644</v>
      </c>
      <c r="G45">
        <v>1135</v>
      </c>
      <c r="I45">
        <v>1135</v>
      </c>
      <c r="J45">
        <v>1135</v>
      </c>
      <c r="K45" s="4">
        <v>45491</v>
      </c>
      <c r="L45" s="4">
        <v>45491</v>
      </c>
      <c r="M45">
        <v>2024</v>
      </c>
      <c r="N45">
        <v>7</v>
      </c>
      <c r="O45" s="4">
        <v>45474</v>
      </c>
      <c r="P45" t="s">
        <v>89</v>
      </c>
      <c r="Q45" s="4"/>
      <c r="S45" t="s">
        <v>2643</v>
      </c>
      <c r="X45" t="s">
        <v>9254</v>
      </c>
      <c r="Z45" t="s">
        <v>89</v>
      </c>
      <c r="AA45" t="s">
        <v>89</v>
      </c>
      <c r="AC45" t="s">
        <v>625</v>
      </c>
      <c r="AE45" t="s">
        <v>9251</v>
      </c>
      <c r="AF45" s="4"/>
    </row>
    <row r="46" spans="1:32">
      <c r="A46" t="s">
        <v>9336</v>
      </c>
      <c r="B46" t="s">
        <v>2193</v>
      </c>
      <c r="C46" t="s">
        <v>9337</v>
      </c>
      <c r="D46" t="s">
        <v>29</v>
      </c>
      <c r="E46">
        <v>4400845491</v>
      </c>
      <c r="F46" t="s">
        <v>2734</v>
      </c>
      <c r="G46">
        <v>1135</v>
      </c>
      <c r="I46">
        <v>1135</v>
      </c>
      <c r="J46">
        <v>1135</v>
      </c>
      <c r="K46" s="4">
        <v>45491</v>
      </c>
      <c r="L46" s="4">
        <v>45491</v>
      </c>
      <c r="M46">
        <v>2024</v>
      </c>
      <c r="N46">
        <v>7</v>
      </c>
      <c r="O46" s="4">
        <v>45474</v>
      </c>
      <c r="P46" t="s">
        <v>89</v>
      </c>
      <c r="Q46" s="4"/>
      <c r="S46" t="s">
        <v>2725</v>
      </c>
      <c r="X46" t="s">
        <v>9254</v>
      </c>
      <c r="Z46" t="s">
        <v>89</v>
      </c>
      <c r="AA46" t="s">
        <v>89</v>
      </c>
      <c r="AC46" t="s">
        <v>625</v>
      </c>
      <c r="AE46" t="s">
        <v>9251</v>
      </c>
      <c r="AF46" s="4"/>
    </row>
    <row r="47" spans="1:32">
      <c r="A47" t="s">
        <v>9338</v>
      </c>
      <c r="B47" t="s">
        <v>2193</v>
      </c>
      <c r="C47" t="s">
        <v>9339</v>
      </c>
      <c r="D47" t="s">
        <v>29</v>
      </c>
      <c r="E47">
        <v>4400853964</v>
      </c>
      <c r="F47" t="s">
        <v>2753</v>
      </c>
      <c r="G47">
        <v>190037</v>
      </c>
      <c r="I47">
        <v>190037</v>
      </c>
      <c r="J47">
        <v>190037</v>
      </c>
      <c r="K47" s="4">
        <v>45491</v>
      </c>
      <c r="L47" s="4">
        <v>45491</v>
      </c>
      <c r="M47">
        <v>2024</v>
      </c>
      <c r="N47">
        <v>7</v>
      </c>
      <c r="O47" s="4">
        <v>45474</v>
      </c>
      <c r="P47" t="s">
        <v>89</v>
      </c>
      <c r="Q47" s="4"/>
      <c r="S47" t="s">
        <v>5004</v>
      </c>
      <c r="X47" t="s">
        <v>4102</v>
      </c>
      <c r="Z47" t="s">
        <v>89</v>
      </c>
      <c r="AA47" t="s">
        <v>89</v>
      </c>
      <c r="AC47" t="s">
        <v>625</v>
      </c>
      <c r="AE47" t="s">
        <v>9251</v>
      </c>
      <c r="AF47" s="4"/>
    </row>
    <row r="48" spans="1:32">
      <c r="A48" t="s">
        <v>9340</v>
      </c>
      <c r="B48" t="s">
        <v>2193</v>
      </c>
      <c r="C48" t="s">
        <v>9341</v>
      </c>
      <c r="D48" t="s">
        <v>29</v>
      </c>
      <c r="E48">
        <v>4400854563</v>
      </c>
      <c r="F48" t="s">
        <v>9342</v>
      </c>
      <c r="G48">
        <v>75453</v>
      </c>
      <c r="I48">
        <v>75453</v>
      </c>
      <c r="J48">
        <v>75453</v>
      </c>
      <c r="K48" s="4">
        <v>45491</v>
      </c>
      <c r="L48" s="4">
        <v>45491</v>
      </c>
      <c r="M48">
        <v>2024</v>
      </c>
      <c r="N48">
        <v>7</v>
      </c>
      <c r="O48" s="4">
        <v>45474</v>
      </c>
      <c r="P48" t="s">
        <v>89</v>
      </c>
      <c r="Q48" s="4"/>
      <c r="S48" t="s">
        <v>5352</v>
      </c>
      <c r="X48" t="s">
        <v>4014</v>
      </c>
      <c r="Z48" t="s">
        <v>89</v>
      </c>
      <c r="AA48" t="s">
        <v>89</v>
      </c>
      <c r="AC48" t="s">
        <v>625</v>
      </c>
      <c r="AE48" t="s">
        <v>9251</v>
      </c>
      <c r="AF48" s="4"/>
    </row>
    <row r="49" spans="1:32">
      <c r="A49" t="s">
        <v>9343</v>
      </c>
      <c r="B49" t="s">
        <v>2193</v>
      </c>
      <c r="C49" t="s">
        <v>9344</v>
      </c>
      <c r="D49" t="s">
        <v>29</v>
      </c>
      <c r="E49">
        <v>4400854562</v>
      </c>
      <c r="F49" t="s">
        <v>2772</v>
      </c>
      <c r="G49">
        <v>75453</v>
      </c>
      <c r="I49">
        <v>75453</v>
      </c>
      <c r="J49">
        <v>75453</v>
      </c>
      <c r="K49" s="4">
        <v>45491</v>
      </c>
      <c r="L49" s="4">
        <v>45491</v>
      </c>
      <c r="M49">
        <v>2024</v>
      </c>
      <c r="N49">
        <v>7</v>
      </c>
      <c r="O49" s="4">
        <v>45474</v>
      </c>
      <c r="P49" t="s">
        <v>89</v>
      </c>
      <c r="Q49" s="4"/>
      <c r="S49" t="s">
        <v>4303</v>
      </c>
      <c r="X49" t="s">
        <v>4014</v>
      </c>
      <c r="Z49" t="s">
        <v>89</v>
      </c>
      <c r="AA49" t="s">
        <v>89</v>
      </c>
      <c r="AC49" t="s">
        <v>625</v>
      </c>
      <c r="AE49" t="s">
        <v>9251</v>
      </c>
      <c r="AF49" s="4"/>
    </row>
    <row r="50" spans="1:32">
      <c r="A50" t="s">
        <v>9345</v>
      </c>
      <c r="B50" t="s">
        <v>2193</v>
      </c>
      <c r="C50" t="s">
        <v>9346</v>
      </c>
      <c r="D50" t="s">
        <v>29</v>
      </c>
      <c r="E50">
        <v>4400854982</v>
      </c>
      <c r="F50" t="s">
        <v>2776</v>
      </c>
      <c r="G50">
        <v>190037</v>
      </c>
      <c r="I50">
        <v>190037</v>
      </c>
      <c r="J50">
        <v>190037</v>
      </c>
      <c r="K50" s="4">
        <v>45491</v>
      </c>
      <c r="L50" s="4">
        <v>45491</v>
      </c>
      <c r="M50">
        <v>2024</v>
      </c>
      <c r="N50">
        <v>7</v>
      </c>
      <c r="O50" s="4">
        <v>45474</v>
      </c>
      <c r="P50" t="s">
        <v>89</v>
      </c>
      <c r="Q50" s="4"/>
      <c r="S50" t="s">
        <v>9347</v>
      </c>
      <c r="X50" t="s">
        <v>9319</v>
      </c>
      <c r="Z50" t="s">
        <v>89</v>
      </c>
      <c r="AA50" t="s">
        <v>89</v>
      </c>
      <c r="AC50" t="s">
        <v>625</v>
      </c>
      <c r="AE50" t="s">
        <v>9251</v>
      </c>
      <c r="AF50" s="4"/>
    </row>
    <row r="51" spans="1:32">
      <c r="A51" t="s">
        <v>9348</v>
      </c>
      <c r="B51" t="s">
        <v>2193</v>
      </c>
      <c r="C51" t="s">
        <v>9349</v>
      </c>
      <c r="D51" t="s">
        <v>29</v>
      </c>
      <c r="E51">
        <v>4400855530</v>
      </c>
      <c r="F51" t="s">
        <v>2781</v>
      </c>
      <c r="G51">
        <v>1895</v>
      </c>
      <c r="I51">
        <v>1895</v>
      </c>
      <c r="J51">
        <v>1895</v>
      </c>
      <c r="K51" s="4">
        <v>45491</v>
      </c>
      <c r="L51" s="4">
        <v>45491</v>
      </c>
      <c r="M51">
        <v>2024</v>
      </c>
      <c r="N51">
        <v>7</v>
      </c>
      <c r="O51" s="4">
        <v>45474</v>
      </c>
      <c r="P51" t="s">
        <v>89</v>
      </c>
      <c r="Q51" s="4"/>
      <c r="S51" t="s">
        <v>8640</v>
      </c>
      <c r="X51" t="s">
        <v>4215</v>
      </c>
      <c r="Z51" t="s">
        <v>89</v>
      </c>
      <c r="AA51" t="s">
        <v>89</v>
      </c>
      <c r="AC51" t="s">
        <v>625</v>
      </c>
      <c r="AE51" t="s">
        <v>9251</v>
      </c>
      <c r="AF51" s="4"/>
    </row>
    <row r="52" spans="1:32">
      <c r="A52" t="s">
        <v>9350</v>
      </c>
      <c r="B52" t="s">
        <v>2193</v>
      </c>
      <c r="C52" t="s">
        <v>9351</v>
      </c>
      <c r="D52" t="s">
        <v>29</v>
      </c>
      <c r="E52">
        <v>4400855190</v>
      </c>
      <c r="F52" t="s">
        <v>9352</v>
      </c>
      <c r="G52">
        <v>69307</v>
      </c>
      <c r="I52">
        <v>69307</v>
      </c>
      <c r="J52">
        <v>69307</v>
      </c>
      <c r="K52" s="4">
        <v>45491</v>
      </c>
      <c r="L52" s="4">
        <v>45491</v>
      </c>
      <c r="M52">
        <v>2024</v>
      </c>
      <c r="N52">
        <v>7</v>
      </c>
      <c r="O52" s="4">
        <v>45474</v>
      </c>
      <c r="P52" t="s">
        <v>89</v>
      </c>
      <c r="Q52" s="4"/>
      <c r="S52" t="s">
        <v>4713</v>
      </c>
      <c r="X52" t="s">
        <v>4823</v>
      </c>
      <c r="Z52" t="s">
        <v>89</v>
      </c>
      <c r="AA52" t="s">
        <v>89</v>
      </c>
      <c r="AC52" t="s">
        <v>625</v>
      </c>
      <c r="AE52" t="s">
        <v>9251</v>
      </c>
      <c r="AF52" s="4"/>
    </row>
    <row r="53" spans="1:32">
      <c r="A53" t="s">
        <v>9353</v>
      </c>
      <c r="B53" t="s">
        <v>2193</v>
      </c>
      <c r="C53" t="s">
        <v>9354</v>
      </c>
      <c r="D53" t="s">
        <v>29</v>
      </c>
      <c r="E53">
        <v>4400855192</v>
      </c>
      <c r="F53" t="s">
        <v>9355</v>
      </c>
      <c r="G53">
        <v>69307</v>
      </c>
      <c r="I53">
        <v>69307</v>
      </c>
      <c r="J53">
        <v>69307</v>
      </c>
      <c r="K53" s="4">
        <v>45491</v>
      </c>
      <c r="L53" s="4">
        <v>45491</v>
      </c>
      <c r="M53">
        <v>2024</v>
      </c>
      <c r="N53">
        <v>7</v>
      </c>
      <c r="O53" s="4">
        <v>45474</v>
      </c>
      <c r="P53" t="s">
        <v>89</v>
      </c>
      <c r="Q53" s="4"/>
      <c r="S53" t="s">
        <v>7097</v>
      </c>
      <c r="X53" t="s">
        <v>4823</v>
      </c>
      <c r="Z53" t="s">
        <v>89</v>
      </c>
      <c r="AA53" t="s">
        <v>89</v>
      </c>
      <c r="AC53" t="s">
        <v>625</v>
      </c>
      <c r="AE53" t="s">
        <v>9251</v>
      </c>
      <c r="AF53" s="4"/>
    </row>
    <row r="54" spans="1:32">
      <c r="A54" t="s">
        <v>9356</v>
      </c>
      <c r="B54" t="s">
        <v>2193</v>
      </c>
      <c r="C54" t="s">
        <v>9357</v>
      </c>
      <c r="D54" t="s">
        <v>29</v>
      </c>
      <c r="E54">
        <v>4400855672</v>
      </c>
      <c r="F54" t="s">
        <v>2789</v>
      </c>
      <c r="G54">
        <v>19457</v>
      </c>
      <c r="I54">
        <v>19457</v>
      </c>
      <c r="J54">
        <v>19457</v>
      </c>
      <c r="K54" s="4">
        <v>45491</v>
      </c>
      <c r="L54" s="4">
        <v>45491</v>
      </c>
      <c r="M54">
        <v>2024</v>
      </c>
      <c r="N54">
        <v>7</v>
      </c>
      <c r="O54" s="4">
        <v>45474</v>
      </c>
      <c r="P54" t="s">
        <v>89</v>
      </c>
      <c r="Q54" s="4"/>
      <c r="S54" t="s">
        <v>7829</v>
      </c>
      <c r="X54" t="s">
        <v>2369</v>
      </c>
      <c r="Z54" t="s">
        <v>89</v>
      </c>
      <c r="AA54" t="s">
        <v>89</v>
      </c>
      <c r="AC54" t="s">
        <v>625</v>
      </c>
      <c r="AE54" t="s">
        <v>9251</v>
      </c>
      <c r="AF54" s="4"/>
    </row>
    <row r="55" spans="1:32">
      <c r="A55" t="s">
        <v>9358</v>
      </c>
      <c r="B55" t="s">
        <v>2193</v>
      </c>
      <c r="C55" t="s">
        <v>9359</v>
      </c>
      <c r="D55" t="s">
        <v>29</v>
      </c>
      <c r="E55">
        <v>4400843757</v>
      </c>
      <c r="F55" t="s">
        <v>9360</v>
      </c>
      <c r="G55">
        <v>98189</v>
      </c>
      <c r="I55">
        <v>98189</v>
      </c>
      <c r="J55">
        <v>98189</v>
      </c>
      <c r="K55" s="4">
        <v>45488</v>
      </c>
      <c r="L55" s="4">
        <v>45488</v>
      </c>
      <c r="M55">
        <v>2024</v>
      </c>
      <c r="N55">
        <v>7</v>
      </c>
      <c r="O55" s="4">
        <v>45474</v>
      </c>
      <c r="P55" t="s">
        <v>89</v>
      </c>
      <c r="Q55" s="4"/>
      <c r="S55" t="s">
        <v>2704</v>
      </c>
      <c r="X55" t="s">
        <v>9254</v>
      </c>
      <c r="Z55" t="s">
        <v>89</v>
      </c>
      <c r="AA55" t="s">
        <v>89</v>
      </c>
      <c r="AC55" t="s">
        <v>625</v>
      </c>
      <c r="AE55" t="s">
        <v>9251</v>
      </c>
      <c r="AF55" s="4"/>
    </row>
    <row r="56" spans="1:32">
      <c r="A56" t="s">
        <v>9361</v>
      </c>
      <c r="B56" t="s">
        <v>2193</v>
      </c>
      <c r="C56" t="s">
        <v>9362</v>
      </c>
      <c r="D56" t="s">
        <v>9363</v>
      </c>
      <c r="E56" t="s">
        <v>2902</v>
      </c>
      <c r="F56" t="s">
        <v>9364</v>
      </c>
      <c r="G56">
        <v>59478</v>
      </c>
      <c r="I56">
        <v>59478</v>
      </c>
      <c r="K56" s="4">
        <v>45412</v>
      </c>
      <c r="L56" s="4">
        <v>45412</v>
      </c>
      <c r="M56">
        <v>2024</v>
      </c>
      <c r="N56">
        <v>4</v>
      </c>
      <c r="O56" s="4">
        <v>45383</v>
      </c>
      <c r="P56" t="s">
        <v>89</v>
      </c>
      <c r="Q56" s="4"/>
      <c r="X56" t="s">
        <v>9314</v>
      </c>
      <c r="Z56" t="s">
        <v>89</v>
      </c>
      <c r="AA56" t="s">
        <v>89</v>
      </c>
      <c r="AC56" t="s">
        <v>1473</v>
      </c>
      <c r="AD56" t="s">
        <v>329</v>
      </c>
      <c r="AE56" t="s">
        <v>9251</v>
      </c>
      <c r="AF56" s="4"/>
    </row>
    <row r="57" spans="1:32">
      <c r="A57" t="s">
        <v>9365</v>
      </c>
      <c r="B57" t="s">
        <v>9366</v>
      </c>
      <c r="C57" t="s">
        <v>4321</v>
      </c>
      <c r="D57" t="s">
        <v>54</v>
      </c>
      <c r="E57" t="s">
        <v>9367</v>
      </c>
      <c r="F57" t="s">
        <v>4320</v>
      </c>
      <c r="G57">
        <v>1039.5999999999999</v>
      </c>
      <c r="I57">
        <v>1039.5999999999999</v>
      </c>
      <c r="J57">
        <v>1039.5999999999999</v>
      </c>
      <c r="K57" s="4">
        <v>45422</v>
      </c>
      <c r="L57" s="4">
        <v>45422</v>
      </c>
      <c r="M57">
        <v>2024</v>
      </c>
      <c r="N57">
        <v>5</v>
      </c>
      <c r="O57" s="4">
        <v>45413</v>
      </c>
      <c r="P57" t="s">
        <v>89</v>
      </c>
      <c r="Q57" s="4">
        <v>45519</v>
      </c>
      <c r="S57" t="s">
        <v>3088</v>
      </c>
      <c r="T57">
        <v>45505</v>
      </c>
      <c r="U57">
        <v>1039.5999999999999</v>
      </c>
      <c r="V57">
        <v>1</v>
      </c>
      <c r="W57" t="s">
        <v>16</v>
      </c>
      <c r="X57" t="s">
        <v>3770</v>
      </c>
      <c r="Z57" t="s">
        <v>89</v>
      </c>
      <c r="AA57" t="s">
        <v>89</v>
      </c>
      <c r="AB57" t="s">
        <v>9368</v>
      </c>
      <c r="AC57" t="s">
        <v>625</v>
      </c>
      <c r="AD57" t="s">
        <v>1473</v>
      </c>
      <c r="AE57" t="s">
        <v>9251</v>
      </c>
      <c r="AF57" s="4"/>
    </row>
    <row r="58" spans="1:32">
      <c r="A58" t="s">
        <v>9369</v>
      </c>
      <c r="B58" t="s">
        <v>9366</v>
      </c>
      <c r="C58" t="s">
        <v>4323</v>
      </c>
      <c r="D58" t="s">
        <v>54</v>
      </c>
      <c r="E58" t="s">
        <v>9370</v>
      </c>
      <c r="F58" t="s">
        <v>4322</v>
      </c>
      <c r="G58">
        <v>1039.5999999999999</v>
      </c>
      <c r="I58">
        <v>1039.5999999999999</v>
      </c>
      <c r="J58">
        <v>1039.5999999999999</v>
      </c>
      <c r="K58" s="4">
        <v>45422</v>
      </c>
      <c r="L58" s="4">
        <v>45422</v>
      </c>
      <c r="M58">
        <v>2024</v>
      </c>
      <c r="N58">
        <v>5</v>
      </c>
      <c r="O58" s="4">
        <v>45413</v>
      </c>
      <c r="P58" t="s">
        <v>89</v>
      </c>
      <c r="Q58" s="4">
        <v>45519</v>
      </c>
      <c r="S58" t="s">
        <v>3089</v>
      </c>
      <c r="T58">
        <v>45505</v>
      </c>
      <c r="U58">
        <v>1039.5999999999999</v>
      </c>
      <c r="V58">
        <v>1</v>
      </c>
      <c r="W58" t="s">
        <v>16</v>
      </c>
      <c r="X58" t="s">
        <v>3770</v>
      </c>
      <c r="Z58" t="s">
        <v>89</v>
      </c>
      <c r="AA58" t="s">
        <v>89</v>
      </c>
      <c r="AB58" t="s">
        <v>9368</v>
      </c>
      <c r="AC58" t="s">
        <v>625</v>
      </c>
      <c r="AD58" t="s">
        <v>1473</v>
      </c>
      <c r="AE58" t="s">
        <v>9251</v>
      </c>
      <c r="AF58" s="4"/>
    </row>
    <row r="59" spans="1:32">
      <c r="A59" t="s">
        <v>9371</v>
      </c>
      <c r="B59" t="s">
        <v>2193</v>
      </c>
      <c r="C59" t="s">
        <v>9372</v>
      </c>
      <c r="D59" t="s">
        <v>9363</v>
      </c>
      <c r="E59">
        <v>16865</v>
      </c>
      <c r="F59" t="s">
        <v>9373</v>
      </c>
      <c r="G59">
        <v>85459</v>
      </c>
      <c r="I59">
        <v>85459</v>
      </c>
      <c r="K59" s="4">
        <v>45408</v>
      </c>
      <c r="L59" s="4">
        <v>45408</v>
      </c>
      <c r="M59">
        <v>2024</v>
      </c>
      <c r="N59">
        <v>4</v>
      </c>
      <c r="O59" s="4">
        <v>45383</v>
      </c>
      <c r="P59" t="s">
        <v>89</v>
      </c>
      <c r="Q59" s="4"/>
      <c r="X59" t="s">
        <v>9314</v>
      </c>
      <c r="Z59" t="s">
        <v>89</v>
      </c>
      <c r="AA59" t="s">
        <v>89</v>
      </c>
      <c r="AC59" t="s">
        <v>1473</v>
      </c>
      <c r="AD59" t="s">
        <v>1473</v>
      </c>
      <c r="AE59" t="s">
        <v>9251</v>
      </c>
      <c r="AF59" s="4"/>
    </row>
    <row r="60" spans="1:32">
      <c r="A60" t="s">
        <v>9374</v>
      </c>
      <c r="B60" t="s">
        <v>2193</v>
      </c>
      <c r="C60" t="s">
        <v>9375</v>
      </c>
      <c r="D60" t="s">
        <v>36</v>
      </c>
      <c r="E60" t="s">
        <v>2906</v>
      </c>
      <c r="F60" t="s">
        <v>9376</v>
      </c>
      <c r="G60">
        <v>22720</v>
      </c>
      <c r="I60">
        <v>22720</v>
      </c>
      <c r="K60" s="4">
        <v>45448</v>
      </c>
      <c r="L60" s="4">
        <v>45448</v>
      </c>
      <c r="M60">
        <v>2024</v>
      </c>
      <c r="N60">
        <v>6</v>
      </c>
      <c r="O60" s="4">
        <v>45444</v>
      </c>
      <c r="P60" t="s">
        <v>89</v>
      </c>
      <c r="Q60" s="4"/>
      <c r="S60" t="s">
        <v>9377</v>
      </c>
      <c r="X60" t="s">
        <v>9314</v>
      </c>
      <c r="Z60" t="s">
        <v>89</v>
      </c>
      <c r="AA60" t="s">
        <v>89</v>
      </c>
      <c r="AC60" t="s">
        <v>1473</v>
      </c>
      <c r="AD60" t="s">
        <v>1473</v>
      </c>
      <c r="AE60" t="s">
        <v>9251</v>
      </c>
      <c r="AF60" s="4">
        <v>45505</v>
      </c>
    </row>
    <row r="61" spans="1:32">
      <c r="A61" t="s">
        <v>9378</v>
      </c>
      <c r="B61" t="s">
        <v>2193</v>
      </c>
      <c r="C61" t="s">
        <v>9379</v>
      </c>
      <c r="D61" t="s">
        <v>39</v>
      </c>
      <c r="E61">
        <v>4600000721</v>
      </c>
      <c r="F61" t="s">
        <v>9380</v>
      </c>
      <c r="G61">
        <v>39638.94</v>
      </c>
      <c r="I61">
        <v>39638.94</v>
      </c>
      <c r="J61">
        <v>39638.94</v>
      </c>
      <c r="K61" s="4">
        <v>45492</v>
      </c>
      <c r="L61" s="4">
        <v>45492</v>
      </c>
      <c r="M61">
        <v>2024</v>
      </c>
      <c r="N61">
        <v>7</v>
      </c>
      <c r="O61" s="4">
        <v>45474</v>
      </c>
      <c r="P61" t="s">
        <v>89</v>
      </c>
      <c r="Q61" s="4"/>
      <c r="S61" t="s">
        <v>2919</v>
      </c>
      <c r="W61" t="s">
        <v>16</v>
      </c>
      <c r="X61" t="s">
        <v>2369</v>
      </c>
      <c r="Z61" t="s">
        <v>89</v>
      </c>
      <c r="AA61" t="s">
        <v>89</v>
      </c>
      <c r="AC61" t="s">
        <v>1473</v>
      </c>
      <c r="AE61" t="s">
        <v>9251</v>
      </c>
      <c r="AF61" s="4"/>
    </row>
    <row r="62" spans="1:32">
      <c r="A62" t="s">
        <v>9381</v>
      </c>
      <c r="B62" t="s">
        <v>9366</v>
      </c>
      <c r="C62" t="s">
        <v>4356</v>
      </c>
      <c r="D62" t="s">
        <v>54</v>
      </c>
      <c r="E62" t="s">
        <v>9382</v>
      </c>
      <c r="F62" t="s">
        <v>4355</v>
      </c>
      <c r="G62">
        <v>113844.96</v>
      </c>
      <c r="I62">
        <v>113844.96</v>
      </c>
      <c r="J62">
        <v>113844.96</v>
      </c>
      <c r="K62" s="4">
        <v>45422</v>
      </c>
      <c r="L62" s="4">
        <v>45422</v>
      </c>
      <c r="M62">
        <v>2024</v>
      </c>
      <c r="N62">
        <v>5</v>
      </c>
      <c r="O62" s="4">
        <v>45413</v>
      </c>
      <c r="P62" t="s">
        <v>89</v>
      </c>
      <c r="Q62" s="4">
        <v>45519</v>
      </c>
      <c r="S62" t="s">
        <v>3086</v>
      </c>
      <c r="T62">
        <v>45505</v>
      </c>
      <c r="U62">
        <v>113844.96</v>
      </c>
      <c r="V62">
        <v>1</v>
      </c>
      <c r="W62" t="s">
        <v>16</v>
      </c>
      <c r="X62" t="s">
        <v>3770</v>
      </c>
      <c r="Z62" t="s">
        <v>89</v>
      </c>
      <c r="AA62" t="s">
        <v>89</v>
      </c>
      <c r="AB62" t="s">
        <v>9368</v>
      </c>
      <c r="AC62" t="s">
        <v>625</v>
      </c>
      <c r="AD62" t="s">
        <v>1473</v>
      </c>
      <c r="AE62" t="s">
        <v>9251</v>
      </c>
      <c r="AF62" s="4"/>
    </row>
    <row r="63" spans="1:32">
      <c r="A63" t="s">
        <v>9383</v>
      </c>
      <c r="B63" t="s">
        <v>9366</v>
      </c>
      <c r="C63" t="s">
        <v>5911</v>
      </c>
      <c r="D63" t="s">
        <v>54</v>
      </c>
      <c r="E63">
        <v>4590006324</v>
      </c>
      <c r="F63" t="s">
        <v>5906</v>
      </c>
      <c r="G63">
        <v>951.46</v>
      </c>
      <c r="I63">
        <v>951.46</v>
      </c>
      <c r="J63">
        <v>951.46</v>
      </c>
      <c r="K63" s="4">
        <v>45271</v>
      </c>
      <c r="L63" s="4">
        <v>45457</v>
      </c>
      <c r="M63">
        <v>2023</v>
      </c>
      <c r="N63">
        <v>12</v>
      </c>
      <c r="O63" s="4">
        <v>45261</v>
      </c>
      <c r="P63" t="s">
        <v>89</v>
      </c>
      <c r="Q63" s="4">
        <v>45503</v>
      </c>
      <c r="R63" t="s">
        <v>9384</v>
      </c>
      <c r="T63">
        <v>45470</v>
      </c>
      <c r="U63">
        <v>120783</v>
      </c>
      <c r="V63">
        <v>7.8774330824702161E-3</v>
      </c>
      <c r="W63" t="s">
        <v>10</v>
      </c>
      <c r="X63" t="s">
        <v>10</v>
      </c>
      <c r="Z63" t="s">
        <v>89</v>
      </c>
      <c r="AA63" t="s">
        <v>89</v>
      </c>
      <c r="AB63" t="s">
        <v>9385</v>
      </c>
      <c r="AC63" t="s">
        <v>89</v>
      </c>
      <c r="AD63" t="s">
        <v>625</v>
      </c>
      <c r="AE63" t="s">
        <v>9251</v>
      </c>
      <c r="AF63" s="4"/>
    </row>
    <row r="64" spans="1:32">
      <c r="A64" t="s">
        <v>9386</v>
      </c>
      <c r="B64" t="s">
        <v>9366</v>
      </c>
      <c r="D64" t="s">
        <v>54</v>
      </c>
      <c r="E64">
        <v>4590006337</v>
      </c>
      <c r="F64" t="s">
        <v>3667</v>
      </c>
      <c r="G64">
        <v>94999.51</v>
      </c>
      <c r="I64">
        <v>94999.51</v>
      </c>
      <c r="J64">
        <v>94999.51</v>
      </c>
      <c r="K64" s="4">
        <v>45017</v>
      </c>
      <c r="L64" s="4">
        <v>45017</v>
      </c>
      <c r="M64">
        <v>2023</v>
      </c>
      <c r="N64">
        <v>4</v>
      </c>
      <c r="O64" s="4">
        <v>45017</v>
      </c>
      <c r="P64" t="s">
        <v>89</v>
      </c>
      <c r="Q64" s="4">
        <v>45076</v>
      </c>
      <c r="U64">
        <v>237498.78</v>
      </c>
      <c r="V64">
        <v>0.39999999157890409</v>
      </c>
      <c r="W64" t="s">
        <v>19</v>
      </c>
      <c r="X64" t="s">
        <v>19</v>
      </c>
      <c r="Z64" t="s">
        <v>89</v>
      </c>
      <c r="AA64" t="s">
        <v>89</v>
      </c>
      <c r="AC64" t="s">
        <v>89</v>
      </c>
      <c r="AD64" t="s">
        <v>89</v>
      </c>
      <c r="AE64" t="s">
        <v>3652</v>
      </c>
      <c r="AF64" s="4"/>
    </row>
    <row r="65" spans="1:32">
      <c r="A65" t="s">
        <v>9387</v>
      </c>
      <c r="B65" t="s">
        <v>9366</v>
      </c>
      <c r="C65" t="s">
        <v>3683</v>
      </c>
      <c r="D65" t="s">
        <v>54</v>
      </c>
      <c r="E65">
        <v>4590006444</v>
      </c>
      <c r="F65" t="s">
        <v>3675</v>
      </c>
      <c r="G65">
        <v>11513.93</v>
      </c>
      <c r="I65">
        <v>11513.93</v>
      </c>
      <c r="J65">
        <v>11513.93</v>
      </c>
      <c r="K65" s="4">
        <v>45351</v>
      </c>
      <c r="L65" s="4">
        <v>45351</v>
      </c>
      <c r="M65">
        <v>2024</v>
      </c>
      <c r="N65">
        <v>2</v>
      </c>
      <c r="O65" s="4">
        <v>45323</v>
      </c>
      <c r="P65" t="s">
        <v>89</v>
      </c>
      <c r="Q65" s="4">
        <v>45442</v>
      </c>
      <c r="S65" t="s">
        <v>3680</v>
      </c>
      <c r="T65">
        <v>45422</v>
      </c>
      <c r="U65">
        <v>11513.93</v>
      </c>
      <c r="V65">
        <v>1</v>
      </c>
      <c r="W65" t="s">
        <v>17</v>
      </c>
      <c r="X65" t="s">
        <v>3681</v>
      </c>
      <c r="Z65" t="s">
        <v>89</v>
      </c>
      <c r="AA65" t="s">
        <v>89</v>
      </c>
      <c r="AC65" t="s">
        <v>89</v>
      </c>
      <c r="AD65" t="s">
        <v>89</v>
      </c>
      <c r="AE65" t="s">
        <v>3652</v>
      </c>
      <c r="AF65" s="4"/>
    </row>
    <row r="66" spans="1:32">
      <c r="A66" t="s">
        <v>9388</v>
      </c>
      <c r="B66" t="s">
        <v>9366</v>
      </c>
      <c r="C66" t="s">
        <v>3688</v>
      </c>
      <c r="D66" t="s">
        <v>54</v>
      </c>
      <c r="E66">
        <v>4590006446</v>
      </c>
      <c r="F66" t="s">
        <v>3686</v>
      </c>
      <c r="G66">
        <v>11513.93</v>
      </c>
      <c r="I66">
        <v>11513.93</v>
      </c>
      <c r="J66">
        <v>11513.93</v>
      </c>
      <c r="K66" s="4">
        <v>45351</v>
      </c>
      <c r="L66" s="4">
        <v>45351</v>
      </c>
      <c r="M66">
        <v>2024</v>
      </c>
      <c r="N66">
        <v>2</v>
      </c>
      <c r="O66" s="4">
        <v>45323</v>
      </c>
      <c r="P66" t="s">
        <v>89</v>
      </c>
      <c r="Q66" s="4">
        <v>45442</v>
      </c>
      <c r="S66" t="s">
        <v>3687</v>
      </c>
      <c r="T66">
        <v>45422</v>
      </c>
      <c r="U66">
        <v>11513.93</v>
      </c>
      <c r="V66">
        <v>1</v>
      </c>
      <c r="W66" t="s">
        <v>17</v>
      </c>
      <c r="X66" t="s">
        <v>3681</v>
      </c>
      <c r="Z66" t="s">
        <v>89</v>
      </c>
      <c r="AA66" t="s">
        <v>89</v>
      </c>
      <c r="AC66" t="s">
        <v>89</v>
      </c>
      <c r="AD66" t="s">
        <v>89</v>
      </c>
      <c r="AE66" t="s">
        <v>3652</v>
      </c>
      <c r="AF66" s="4"/>
    </row>
    <row r="67" spans="1:32">
      <c r="A67" t="s">
        <v>9389</v>
      </c>
      <c r="B67" t="s">
        <v>9366</v>
      </c>
      <c r="C67" t="s">
        <v>3704</v>
      </c>
      <c r="D67" t="s">
        <v>54</v>
      </c>
      <c r="E67">
        <v>4590006458</v>
      </c>
      <c r="F67" t="s">
        <v>3702</v>
      </c>
      <c r="G67">
        <v>8620.6299999999992</v>
      </c>
      <c r="I67">
        <v>8620.6299999999992</v>
      </c>
      <c r="J67">
        <v>8620.6299999999992</v>
      </c>
      <c r="K67" s="4">
        <v>45351</v>
      </c>
      <c r="L67" s="4">
        <v>45351</v>
      </c>
      <c r="M67">
        <v>2024</v>
      </c>
      <c r="N67">
        <v>2</v>
      </c>
      <c r="O67" s="4">
        <v>45323</v>
      </c>
      <c r="P67" t="s">
        <v>89</v>
      </c>
      <c r="Q67" s="4">
        <v>45442</v>
      </c>
      <c r="S67" t="s">
        <v>3703</v>
      </c>
      <c r="T67">
        <v>45422</v>
      </c>
      <c r="U67">
        <v>8620.6299999999992</v>
      </c>
      <c r="V67">
        <v>1</v>
      </c>
      <c r="W67" t="s">
        <v>17</v>
      </c>
      <c r="X67" t="s">
        <v>3681</v>
      </c>
      <c r="Z67" t="s">
        <v>89</v>
      </c>
      <c r="AA67" t="s">
        <v>89</v>
      </c>
      <c r="AC67" t="s">
        <v>89</v>
      </c>
      <c r="AD67" t="s">
        <v>89</v>
      </c>
      <c r="AE67" t="s">
        <v>3652</v>
      </c>
      <c r="AF67" s="4"/>
    </row>
    <row r="68" spans="1:32">
      <c r="A68" t="s">
        <v>9390</v>
      </c>
      <c r="B68" t="s">
        <v>9366</v>
      </c>
      <c r="D68" t="s">
        <v>54</v>
      </c>
      <c r="E68">
        <v>4590007573</v>
      </c>
      <c r="F68" t="s">
        <v>3720</v>
      </c>
      <c r="G68">
        <v>249804.4</v>
      </c>
      <c r="I68">
        <v>249804.4</v>
      </c>
      <c r="J68">
        <v>249804.4</v>
      </c>
      <c r="K68" s="4">
        <v>45261</v>
      </c>
      <c r="L68" s="4">
        <v>45261</v>
      </c>
      <c r="M68">
        <v>2023</v>
      </c>
      <c r="N68">
        <v>12</v>
      </c>
      <c r="O68" s="4">
        <v>45261</v>
      </c>
      <c r="P68" t="s">
        <v>89</v>
      </c>
      <c r="Q68" s="4">
        <v>45303</v>
      </c>
      <c r="S68" t="s">
        <v>3721</v>
      </c>
      <c r="U68">
        <v>262952</v>
      </c>
      <c r="V68">
        <v>0.95</v>
      </c>
      <c r="W68" t="s">
        <v>17</v>
      </c>
      <c r="X68" t="s">
        <v>3718</v>
      </c>
      <c r="Z68" t="s">
        <v>89</v>
      </c>
      <c r="AA68" t="s">
        <v>89</v>
      </c>
      <c r="AC68" t="s">
        <v>89</v>
      </c>
      <c r="AD68">
        <v>0</v>
      </c>
      <c r="AE68" t="s">
        <v>9251</v>
      </c>
      <c r="AF68" s="4"/>
    </row>
    <row r="69" spans="1:32">
      <c r="A69" t="s">
        <v>9391</v>
      </c>
      <c r="B69" t="s">
        <v>9366</v>
      </c>
      <c r="C69" t="s">
        <v>3724</v>
      </c>
      <c r="D69" t="s">
        <v>54</v>
      </c>
      <c r="E69">
        <v>4590007574</v>
      </c>
      <c r="F69" t="s">
        <v>3722</v>
      </c>
      <c r="G69">
        <v>262952</v>
      </c>
      <c r="I69">
        <v>262952</v>
      </c>
      <c r="J69">
        <v>262952</v>
      </c>
      <c r="K69" s="4">
        <v>45429</v>
      </c>
      <c r="L69" s="4">
        <v>45429</v>
      </c>
      <c r="M69">
        <v>2024</v>
      </c>
      <c r="N69">
        <v>5</v>
      </c>
      <c r="O69" s="4">
        <v>45413</v>
      </c>
      <c r="P69" t="s">
        <v>89</v>
      </c>
      <c r="Q69" s="4">
        <v>45503</v>
      </c>
      <c r="S69" t="s">
        <v>3723</v>
      </c>
      <c r="T69">
        <v>45484</v>
      </c>
      <c r="U69">
        <v>262952</v>
      </c>
      <c r="V69">
        <v>1</v>
      </c>
      <c r="W69" t="s">
        <v>17</v>
      </c>
      <c r="X69" t="s">
        <v>3718</v>
      </c>
      <c r="Z69" t="s">
        <v>89</v>
      </c>
      <c r="AA69" t="s">
        <v>89</v>
      </c>
      <c r="AB69" t="s">
        <v>9392</v>
      </c>
      <c r="AC69" t="s">
        <v>89</v>
      </c>
      <c r="AD69" t="s">
        <v>625</v>
      </c>
      <c r="AE69" t="s">
        <v>9251</v>
      </c>
      <c r="AF69" s="4"/>
    </row>
    <row r="70" spans="1:32">
      <c r="A70" t="s">
        <v>9393</v>
      </c>
      <c r="B70" t="s">
        <v>9366</v>
      </c>
      <c r="C70" t="s">
        <v>9394</v>
      </c>
      <c r="D70" t="s">
        <v>54</v>
      </c>
      <c r="E70">
        <v>4590007576</v>
      </c>
      <c r="F70" t="s">
        <v>3729</v>
      </c>
      <c r="G70">
        <v>267905.7</v>
      </c>
      <c r="I70">
        <v>267905.7</v>
      </c>
      <c r="J70">
        <v>267905.7</v>
      </c>
      <c r="K70" s="4">
        <v>45266</v>
      </c>
      <c r="L70" s="4">
        <v>45266</v>
      </c>
      <c r="M70">
        <v>2023</v>
      </c>
      <c r="N70">
        <v>12</v>
      </c>
      <c r="O70" s="4">
        <v>45261</v>
      </c>
      <c r="P70" t="s">
        <v>89</v>
      </c>
      <c r="Q70" s="4">
        <v>45303</v>
      </c>
      <c r="S70" t="s">
        <v>3730</v>
      </c>
      <c r="U70">
        <v>282006</v>
      </c>
      <c r="V70">
        <v>0.95000000000000007</v>
      </c>
      <c r="W70" t="s">
        <v>17</v>
      </c>
      <c r="X70" t="s">
        <v>3718</v>
      </c>
      <c r="Z70" t="s">
        <v>89</v>
      </c>
      <c r="AA70" t="s">
        <v>89</v>
      </c>
      <c r="AC70" t="s">
        <v>89</v>
      </c>
      <c r="AD70">
        <v>0</v>
      </c>
      <c r="AE70" t="s">
        <v>9251</v>
      </c>
      <c r="AF70" s="4"/>
    </row>
    <row r="71" spans="1:32">
      <c r="A71" t="s">
        <v>9395</v>
      </c>
      <c r="B71" t="s">
        <v>9366</v>
      </c>
      <c r="C71" t="s">
        <v>3734</v>
      </c>
      <c r="D71" t="s">
        <v>54</v>
      </c>
      <c r="E71">
        <v>4590007577</v>
      </c>
      <c r="F71" t="s">
        <v>3732</v>
      </c>
      <c r="G71">
        <v>282006</v>
      </c>
      <c r="I71">
        <v>282006</v>
      </c>
      <c r="J71">
        <v>282006</v>
      </c>
      <c r="K71" s="4">
        <v>45429</v>
      </c>
      <c r="L71" s="4">
        <v>45429</v>
      </c>
      <c r="M71">
        <v>2024</v>
      </c>
      <c r="N71">
        <v>5</v>
      </c>
      <c r="O71" s="4">
        <v>45413</v>
      </c>
      <c r="P71" t="s">
        <v>89</v>
      </c>
      <c r="Q71" s="4">
        <v>45503</v>
      </c>
      <c r="S71" t="s">
        <v>3733</v>
      </c>
      <c r="T71">
        <v>45484</v>
      </c>
      <c r="U71">
        <v>282006</v>
      </c>
      <c r="V71">
        <v>1</v>
      </c>
      <c r="W71" t="s">
        <v>17</v>
      </c>
      <c r="X71" t="s">
        <v>3718</v>
      </c>
      <c r="Z71" t="s">
        <v>89</v>
      </c>
      <c r="AA71" t="s">
        <v>89</v>
      </c>
      <c r="AB71" t="s">
        <v>9396</v>
      </c>
      <c r="AC71" t="s">
        <v>89</v>
      </c>
      <c r="AD71" t="s">
        <v>625</v>
      </c>
      <c r="AE71" t="s">
        <v>9251</v>
      </c>
      <c r="AF71" s="4"/>
    </row>
    <row r="72" spans="1:32">
      <c r="A72" t="s">
        <v>9397</v>
      </c>
      <c r="B72" t="s">
        <v>2193</v>
      </c>
      <c r="C72" t="s">
        <v>9398</v>
      </c>
      <c r="D72" t="s">
        <v>7881</v>
      </c>
      <c r="E72" t="s">
        <v>9399</v>
      </c>
      <c r="F72" t="s">
        <v>9400</v>
      </c>
      <c r="G72">
        <v>14522.4</v>
      </c>
      <c r="I72">
        <v>14522.4</v>
      </c>
      <c r="K72" s="4">
        <v>45393</v>
      </c>
      <c r="L72" s="4">
        <v>45393</v>
      </c>
      <c r="M72">
        <v>2024</v>
      </c>
      <c r="N72">
        <v>4</v>
      </c>
      <c r="O72" s="4">
        <v>45383</v>
      </c>
      <c r="P72" t="s">
        <v>89</v>
      </c>
      <c r="Q72" s="4"/>
      <c r="S72" t="s">
        <v>7880</v>
      </c>
      <c r="X72" t="s">
        <v>2369</v>
      </c>
      <c r="Z72" t="s">
        <v>89</v>
      </c>
      <c r="AA72" t="s">
        <v>89</v>
      </c>
      <c r="AC72" t="s">
        <v>1473</v>
      </c>
      <c r="AD72" t="s">
        <v>1473</v>
      </c>
      <c r="AE72" t="s">
        <v>9251</v>
      </c>
      <c r="AF72" s="4">
        <v>45413</v>
      </c>
    </row>
    <row r="73" spans="1:32">
      <c r="A73" t="s">
        <v>9401</v>
      </c>
      <c r="B73" t="s">
        <v>9366</v>
      </c>
      <c r="C73" t="s">
        <v>3737</v>
      </c>
      <c r="D73" t="s">
        <v>54</v>
      </c>
      <c r="E73">
        <v>4590007578</v>
      </c>
      <c r="F73" t="s">
        <v>3735</v>
      </c>
      <c r="G73">
        <v>282006</v>
      </c>
      <c r="I73">
        <v>282006</v>
      </c>
      <c r="J73">
        <v>282006</v>
      </c>
      <c r="K73" s="4">
        <v>45401</v>
      </c>
      <c r="L73" s="4">
        <v>45401</v>
      </c>
      <c r="M73">
        <v>2024</v>
      </c>
      <c r="N73">
        <v>4</v>
      </c>
      <c r="O73" s="4">
        <v>45383</v>
      </c>
      <c r="P73" t="s">
        <v>89</v>
      </c>
      <c r="Q73" s="4">
        <v>45471</v>
      </c>
      <c r="S73" t="s">
        <v>3736</v>
      </c>
      <c r="T73">
        <v>45450</v>
      </c>
      <c r="U73">
        <v>282006</v>
      </c>
      <c r="V73">
        <v>1</v>
      </c>
      <c r="W73" t="s">
        <v>17</v>
      </c>
      <c r="X73" t="s">
        <v>3718</v>
      </c>
      <c r="Z73" t="s">
        <v>89</v>
      </c>
      <c r="AA73" t="s">
        <v>89</v>
      </c>
      <c r="AB73" t="s">
        <v>9402</v>
      </c>
      <c r="AC73" t="s">
        <v>89</v>
      </c>
      <c r="AD73" t="s">
        <v>89</v>
      </c>
      <c r="AE73" t="s">
        <v>3652</v>
      </c>
      <c r="AF73" s="4"/>
    </row>
    <row r="74" spans="1:32">
      <c r="A74" t="s">
        <v>9403</v>
      </c>
      <c r="B74" t="s">
        <v>9366</v>
      </c>
      <c r="D74" t="s">
        <v>54</v>
      </c>
      <c r="E74">
        <v>4590007584</v>
      </c>
      <c r="F74" t="s">
        <v>3753</v>
      </c>
      <c r="G74">
        <v>196984.4</v>
      </c>
      <c r="I74">
        <v>196984.4</v>
      </c>
      <c r="J74">
        <v>196984.4</v>
      </c>
      <c r="K74" s="4">
        <v>45231</v>
      </c>
      <c r="L74" s="4">
        <v>45231</v>
      </c>
      <c r="M74">
        <v>2023</v>
      </c>
      <c r="N74">
        <v>11</v>
      </c>
      <c r="O74" s="4">
        <v>45231</v>
      </c>
      <c r="P74" t="s">
        <v>89</v>
      </c>
      <c r="Q74" s="4">
        <v>45303</v>
      </c>
      <c r="S74" t="s">
        <v>3754</v>
      </c>
      <c r="U74">
        <v>207352</v>
      </c>
      <c r="V74">
        <v>0.95</v>
      </c>
      <c r="W74" t="s">
        <v>17</v>
      </c>
      <c r="X74" t="s">
        <v>3718</v>
      </c>
      <c r="Z74" t="s">
        <v>89</v>
      </c>
      <c r="AA74" t="s">
        <v>89</v>
      </c>
      <c r="AC74" t="s">
        <v>89</v>
      </c>
      <c r="AD74">
        <v>0</v>
      </c>
      <c r="AE74" t="s">
        <v>9251</v>
      </c>
      <c r="AF74" s="4"/>
    </row>
    <row r="75" spans="1:32">
      <c r="A75" t="s">
        <v>9404</v>
      </c>
      <c r="B75" t="s">
        <v>9366</v>
      </c>
      <c r="D75" t="s">
        <v>54</v>
      </c>
      <c r="E75">
        <v>4590007585</v>
      </c>
      <c r="F75" t="s">
        <v>3755</v>
      </c>
      <c r="G75">
        <v>145347.15</v>
      </c>
      <c r="I75">
        <v>145347.15</v>
      </c>
      <c r="J75">
        <v>145347.15</v>
      </c>
      <c r="K75" s="4">
        <v>45231</v>
      </c>
      <c r="L75" s="4">
        <v>45231</v>
      </c>
      <c r="M75">
        <v>2023</v>
      </c>
      <c r="N75">
        <v>11</v>
      </c>
      <c r="O75" s="4">
        <v>45231</v>
      </c>
      <c r="P75" t="s">
        <v>89</v>
      </c>
      <c r="Q75" s="4">
        <v>45303</v>
      </c>
      <c r="S75" t="s">
        <v>3756</v>
      </c>
      <c r="U75">
        <v>152997</v>
      </c>
      <c r="V75">
        <v>0.95</v>
      </c>
      <c r="W75" t="s">
        <v>17</v>
      </c>
      <c r="X75" t="s">
        <v>3718</v>
      </c>
      <c r="Z75" t="s">
        <v>89</v>
      </c>
      <c r="AA75" t="s">
        <v>89</v>
      </c>
      <c r="AC75" t="s">
        <v>89</v>
      </c>
      <c r="AD75">
        <v>0</v>
      </c>
      <c r="AE75" t="s">
        <v>9251</v>
      </c>
      <c r="AF75" s="4"/>
    </row>
    <row r="76" spans="1:32">
      <c r="A76" t="s">
        <v>9405</v>
      </c>
      <c r="B76" t="s">
        <v>9366</v>
      </c>
      <c r="C76" t="s">
        <v>3772</v>
      </c>
      <c r="D76" t="s">
        <v>54</v>
      </c>
      <c r="E76">
        <v>4590007591</v>
      </c>
      <c r="F76" t="s">
        <v>3766</v>
      </c>
      <c r="G76">
        <v>15048</v>
      </c>
      <c r="I76">
        <v>15048</v>
      </c>
      <c r="J76">
        <v>15048</v>
      </c>
      <c r="K76" s="4">
        <v>45345</v>
      </c>
      <c r="L76" s="4">
        <v>45401</v>
      </c>
      <c r="M76">
        <v>2024</v>
      </c>
      <c r="N76">
        <v>2</v>
      </c>
      <c r="O76" s="4">
        <v>45323</v>
      </c>
      <c r="P76" t="s">
        <v>89</v>
      </c>
      <c r="Q76" s="4">
        <v>45442</v>
      </c>
      <c r="R76" t="s">
        <v>3773</v>
      </c>
      <c r="S76" t="s">
        <v>3769</v>
      </c>
      <c r="U76">
        <v>15048</v>
      </c>
      <c r="V76">
        <v>1</v>
      </c>
      <c r="W76" t="s">
        <v>17</v>
      </c>
      <c r="X76" t="s">
        <v>3770</v>
      </c>
      <c r="Z76" t="s">
        <v>89</v>
      </c>
      <c r="AA76" t="s">
        <v>89</v>
      </c>
      <c r="AC76" t="s">
        <v>89</v>
      </c>
      <c r="AD76" t="s">
        <v>89</v>
      </c>
      <c r="AE76" t="s">
        <v>3652</v>
      </c>
      <c r="AF76" s="4"/>
    </row>
    <row r="77" spans="1:32">
      <c r="A77" t="s">
        <v>9406</v>
      </c>
      <c r="B77" t="s">
        <v>9366</v>
      </c>
      <c r="C77" t="s">
        <v>3776</v>
      </c>
      <c r="D77" t="s">
        <v>54</v>
      </c>
      <c r="E77">
        <v>4590007592</v>
      </c>
      <c r="F77" t="s">
        <v>3774</v>
      </c>
      <c r="G77">
        <v>23868</v>
      </c>
      <c r="I77">
        <v>23868</v>
      </c>
      <c r="J77">
        <v>23868</v>
      </c>
      <c r="K77" s="4">
        <v>45345</v>
      </c>
      <c r="L77" s="4">
        <v>45401</v>
      </c>
      <c r="M77">
        <v>2024</v>
      </c>
      <c r="N77">
        <v>2</v>
      </c>
      <c r="O77" s="4">
        <v>45323</v>
      </c>
      <c r="P77" t="s">
        <v>89</v>
      </c>
      <c r="Q77" s="4">
        <v>45442</v>
      </c>
      <c r="R77" t="s">
        <v>3773</v>
      </c>
      <c r="S77" t="s">
        <v>3775</v>
      </c>
      <c r="U77">
        <v>23868</v>
      </c>
      <c r="V77">
        <v>1</v>
      </c>
      <c r="W77" t="s">
        <v>17</v>
      </c>
      <c r="X77" t="s">
        <v>3770</v>
      </c>
      <c r="Z77" t="s">
        <v>89</v>
      </c>
      <c r="AA77" t="s">
        <v>89</v>
      </c>
      <c r="AC77" t="s">
        <v>89</v>
      </c>
      <c r="AD77" t="s">
        <v>89</v>
      </c>
      <c r="AE77" t="s">
        <v>3652</v>
      </c>
      <c r="AF77" s="4"/>
    </row>
    <row r="78" spans="1:32">
      <c r="A78" t="s">
        <v>9407</v>
      </c>
      <c r="B78" t="s">
        <v>2193</v>
      </c>
      <c r="C78" t="s">
        <v>9408</v>
      </c>
      <c r="D78" t="s">
        <v>46</v>
      </c>
      <c r="E78" t="s">
        <v>6730</v>
      </c>
      <c r="F78" t="s">
        <v>9409</v>
      </c>
      <c r="G78">
        <v>29568.799999999999</v>
      </c>
      <c r="I78">
        <v>29568.799999999999</v>
      </c>
      <c r="K78" s="4">
        <v>45474</v>
      </c>
      <c r="L78" s="4">
        <v>45474</v>
      </c>
      <c r="M78">
        <v>2024</v>
      </c>
      <c r="N78">
        <v>7</v>
      </c>
      <c r="O78" s="4">
        <v>45474</v>
      </c>
      <c r="P78" t="s">
        <v>1473</v>
      </c>
      <c r="Q78" s="4"/>
      <c r="S78" t="s">
        <v>9377</v>
      </c>
      <c r="T78">
        <v>129</v>
      </c>
      <c r="U78">
        <v>253874</v>
      </c>
      <c r="V78">
        <v>0.37</v>
      </c>
      <c r="W78" t="s">
        <v>16</v>
      </c>
      <c r="X78" t="s">
        <v>9314</v>
      </c>
      <c r="Z78">
        <v>78</v>
      </c>
      <c r="AA78">
        <v>78</v>
      </c>
      <c r="AC78" t="s">
        <v>1473</v>
      </c>
      <c r="AD78" t="s">
        <v>1473</v>
      </c>
      <c r="AE78" t="s">
        <v>3652</v>
      </c>
      <c r="AF78" s="4"/>
    </row>
    <row r="79" spans="1:32">
      <c r="A79" t="s">
        <v>9410</v>
      </c>
      <c r="B79" t="s">
        <v>9366</v>
      </c>
      <c r="C79" t="s">
        <v>3784</v>
      </c>
      <c r="D79" t="s">
        <v>54</v>
      </c>
      <c r="E79">
        <v>4590007595</v>
      </c>
      <c r="F79" t="s">
        <v>3782</v>
      </c>
      <c r="G79">
        <v>23868</v>
      </c>
      <c r="I79">
        <v>23868</v>
      </c>
      <c r="J79">
        <v>23868</v>
      </c>
      <c r="K79" s="4">
        <v>45345</v>
      </c>
      <c r="L79" s="4">
        <v>45401</v>
      </c>
      <c r="M79">
        <v>2024</v>
      </c>
      <c r="N79">
        <v>2</v>
      </c>
      <c r="O79" s="4">
        <v>45323</v>
      </c>
      <c r="P79" t="s">
        <v>89</v>
      </c>
      <c r="Q79" s="4">
        <v>45442</v>
      </c>
      <c r="R79" t="s">
        <v>3773</v>
      </c>
      <c r="S79" t="s">
        <v>3783</v>
      </c>
      <c r="U79">
        <v>23868</v>
      </c>
      <c r="V79">
        <v>1</v>
      </c>
      <c r="W79" t="s">
        <v>17</v>
      </c>
      <c r="X79" t="s">
        <v>3770</v>
      </c>
      <c r="Z79" t="s">
        <v>89</v>
      </c>
      <c r="AA79" t="s">
        <v>89</v>
      </c>
      <c r="AC79" t="s">
        <v>89</v>
      </c>
      <c r="AD79" t="s">
        <v>89</v>
      </c>
      <c r="AE79" t="s">
        <v>3652</v>
      </c>
      <c r="AF79" s="4"/>
    </row>
    <row r="80" spans="1:32">
      <c r="A80" t="s">
        <v>9411</v>
      </c>
      <c r="B80" t="s">
        <v>2193</v>
      </c>
      <c r="C80" t="s">
        <v>9412</v>
      </c>
      <c r="D80" t="s">
        <v>47</v>
      </c>
      <c r="E80">
        <v>21740606</v>
      </c>
      <c r="F80" t="s">
        <v>9413</v>
      </c>
      <c r="G80">
        <v>13133.31</v>
      </c>
      <c r="I80">
        <v>13133.31</v>
      </c>
      <c r="J80">
        <v>13133.31</v>
      </c>
      <c r="K80" s="4">
        <v>45413</v>
      </c>
      <c r="L80" s="4">
        <v>45413</v>
      </c>
      <c r="M80">
        <v>2024</v>
      </c>
      <c r="N80">
        <v>5</v>
      </c>
      <c r="O80" s="4">
        <v>45413</v>
      </c>
      <c r="P80" t="s">
        <v>89</v>
      </c>
      <c r="Q80" s="4"/>
      <c r="S80" t="s">
        <v>3047</v>
      </c>
      <c r="X80" t="s">
        <v>3681</v>
      </c>
      <c r="Z80" t="s">
        <v>89</v>
      </c>
      <c r="AA80" t="s">
        <v>89</v>
      </c>
      <c r="AC80" t="s">
        <v>1473</v>
      </c>
      <c r="AD80" t="s">
        <v>1473</v>
      </c>
      <c r="AE80" t="s">
        <v>9251</v>
      </c>
      <c r="AF80" s="4">
        <v>45474</v>
      </c>
    </row>
    <row r="81" spans="1:32">
      <c r="A81" t="s">
        <v>9414</v>
      </c>
      <c r="B81" t="s">
        <v>9366</v>
      </c>
      <c r="C81" t="s">
        <v>3793</v>
      </c>
      <c r="D81" t="s">
        <v>54</v>
      </c>
      <c r="E81">
        <v>4590007597</v>
      </c>
      <c r="F81" t="s">
        <v>3791</v>
      </c>
      <c r="G81">
        <v>23868</v>
      </c>
      <c r="I81">
        <v>23868</v>
      </c>
      <c r="J81">
        <v>23868</v>
      </c>
      <c r="K81" s="4">
        <v>45345</v>
      </c>
      <c r="L81" s="4">
        <v>45401</v>
      </c>
      <c r="M81">
        <v>2024</v>
      </c>
      <c r="N81">
        <v>2</v>
      </c>
      <c r="O81" s="4">
        <v>45323</v>
      </c>
      <c r="P81" t="s">
        <v>89</v>
      </c>
      <c r="Q81" s="4">
        <v>45442</v>
      </c>
      <c r="R81" t="s">
        <v>3773</v>
      </c>
      <c r="S81" t="s">
        <v>3792</v>
      </c>
      <c r="U81">
        <v>23868</v>
      </c>
      <c r="V81">
        <v>1</v>
      </c>
      <c r="W81" t="s">
        <v>17</v>
      </c>
      <c r="X81" t="s">
        <v>3770</v>
      </c>
      <c r="Z81" t="s">
        <v>89</v>
      </c>
      <c r="AA81" t="s">
        <v>89</v>
      </c>
      <c r="AC81" t="s">
        <v>89</v>
      </c>
      <c r="AD81" t="s">
        <v>89</v>
      </c>
      <c r="AE81" t="s">
        <v>3652</v>
      </c>
      <c r="AF81" s="4"/>
    </row>
    <row r="82" spans="1:32">
      <c r="A82" t="s">
        <v>9411</v>
      </c>
      <c r="B82" t="s">
        <v>2193</v>
      </c>
      <c r="C82" t="s">
        <v>9415</v>
      </c>
      <c r="D82" t="s">
        <v>47</v>
      </c>
      <c r="E82">
        <v>21740606</v>
      </c>
      <c r="F82" t="s">
        <v>9416</v>
      </c>
      <c r="G82">
        <v>13133.31</v>
      </c>
      <c r="I82">
        <v>13133.31</v>
      </c>
      <c r="J82">
        <v>13133.31</v>
      </c>
      <c r="K82" s="4">
        <v>45413</v>
      </c>
      <c r="L82" s="4">
        <v>45413</v>
      </c>
      <c r="M82">
        <v>2024</v>
      </c>
      <c r="N82">
        <v>5</v>
      </c>
      <c r="O82" s="4">
        <v>45413</v>
      </c>
      <c r="P82" t="s">
        <v>89</v>
      </c>
      <c r="Q82" s="4"/>
      <c r="S82" t="s">
        <v>3045</v>
      </c>
      <c r="X82" t="s">
        <v>3681</v>
      </c>
      <c r="Z82" t="s">
        <v>89</v>
      </c>
      <c r="AA82" t="s">
        <v>89</v>
      </c>
      <c r="AC82" t="s">
        <v>1473</v>
      </c>
      <c r="AD82" t="s">
        <v>1473</v>
      </c>
      <c r="AE82" t="s">
        <v>9251</v>
      </c>
      <c r="AF82" s="4">
        <v>45474</v>
      </c>
    </row>
    <row r="83" spans="1:32">
      <c r="A83" t="s">
        <v>9417</v>
      </c>
      <c r="B83" t="s">
        <v>9366</v>
      </c>
      <c r="C83" t="s">
        <v>3799</v>
      </c>
      <c r="D83" t="s">
        <v>54</v>
      </c>
      <c r="E83">
        <v>4590007605</v>
      </c>
      <c r="F83" t="s">
        <v>3797</v>
      </c>
      <c r="G83">
        <v>23868</v>
      </c>
      <c r="I83">
        <v>23868</v>
      </c>
      <c r="J83">
        <v>23868</v>
      </c>
      <c r="K83" s="4">
        <v>45345</v>
      </c>
      <c r="L83" s="4">
        <v>45401</v>
      </c>
      <c r="M83">
        <v>2024</v>
      </c>
      <c r="N83">
        <v>2</v>
      </c>
      <c r="O83" s="4">
        <v>45323</v>
      </c>
      <c r="P83" t="s">
        <v>89</v>
      </c>
      <c r="Q83" s="4">
        <v>45442</v>
      </c>
      <c r="R83" t="s">
        <v>3773</v>
      </c>
      <c r="S83" t="s">
        <v>3798</v>
      </c>
      <c r="U83">
        <v>23868</v>
      </c>
      <c r="V83">
        <v>1</v>
      </c>
      <c r="W83" t="s">
        <v>17</v>
      </c>
      <c r="X83" t="s">
        <v>3770</v>
      </c>
      <c r="Z83" t="s">
        <v>89</v>
      </c>
      <c r="AA83" t="s">
        <v>89</v>
      </c>
      <c r="AC83" t="s">
        <v>89</v>
      </c>
      <c r="AD83" t="s">
        <v>89</v>
      </c>
      <c r="AE83" t="s">
        <v>3652</v>
      </c>
      <c r="AF83" s="4"/>
    </row>
    <row r="84" spans="1:32">
      <c r="A84" t="s">
        <v>9418</v>
      </c>
      <c r="B84" t="s">
        <v>2193</v>
      </c>
      <c r="C84" t="s">
        <v>9419</v>
      </c>
      <c r="D84" t="s">
        <v>48</v>
      </c>
      <c r="E84">
        <v>18614</v>
      </c>
      <c r="F84" t="s">
        <v>9420</v>
      </c>
      <c r="G84">
        <v>39813.79</v>
      </c>
      <c r="I84">
        <v>39813.79</v>
      </c>
      <c r="K84" s="4">
        <v>45461</v>
      </c>
      <c r="L84" s="4">
        <v>45462</v>
      </c>
      <c r="M84">
        <v>2024</v>
      </c>
      <c r="N84">
        <v>6</v>
      </c>
      <c r="O84" s="4">
        <v>45444</v>
      </c>
      <c r="P84" t="s">
        <v>1473</v>
      </c>
      <c r="Q84" s="4"/>
      <c r="S84" t="s">
        <v>3103</v>
      </c>
      <c r="U84">
        <v>39813.79</v>
      </c>
      <c r="V84">
        <v>1</v>
      </c>
      <c r="W84" t="s">
        <v>17</v>
      </c>
      <c r="X84" t="s">
        <v>3681</v>
      </c>
      <c r="Z84">
        <v>91</v>
      </c>
      <c r="AA84">
        <v>90</v>
      </c>
      <c r="AC84" t="s">
        <v>1473</v>
      </c>
      <c r="AD84" t="s">
        <v>1473</v>
      </c>
      <c r="AE84" t="s">
        <v>3652</v>
      </c>
      <c r="AF84" s="4"/>
    </row>
    <row r="85" spans="1:32">
      <c r="A85" t="s">
        <v>9421</v>
      </c>
      <c r="B85" t="s">
        <v>9366</v>
      </c>
      <c r="C85" t="s">
        <v>3809</v>
      </c>
      <c r="D85" t="s">
        <v>54</v>
      </c>
      <c r="E85">
        <v>4590007608</v>
      </c>
      <c r="F85" t="s">
        <v>3807</v>
      </c>
      <c r="G85">
        <v>25272</v>
      </c>
      <c r="I85">
        <v>25272</v>
      </c>
      <c r="J85">
        <v>25272</v>
      </c>
      <c r="K85" s="4">
        <v>45345</v>
      </c>
      <c r="L85" s="4">
        <v>45401</v>
      </c>
      <c r="M85">
        <v>2024</v>
      </c>
      <c r="N85">
        <v>2</v>
      </c>
      <c r="O85" s="4">
        <v>45323</v>
      </c>
      <c r="P85" t="s">
        <v>89</v>
      </c>
      <c r="Q85" s="4">
        <v>45458</v>
      </c>
      <c r="R85" t="s">
        <v>3773</v>
      </c>
      <c r="S85" t="s">
        <v>3808</v>
      </c>
      <c r="T85">
        <v>45446</v>
      </c>
      <c r="U85">
        <v>25272</v>
      </c>
      <c r="V85">
        <v>1</v>
      </c>
      <c r="W85" t="s">
        <v>17</v>
      </c>
      <c r="X85" t="s">
        <v>3770</v>
      </c>
      <c r="Z85" t="s">
        <v>89</v>
      </c>
      <c r="AA85" t="s">
        <v>89</v>
      </c>
      <c r="AC85" t="s">
        <v>89</v>
      </c>
      <c r="AD85" t="s">
        <v>89</v>
      </c>
      <c r="AE85" t="s">
        <v>3652</v>
      </c>
      <c r="AF85" s="4"/>
    </row>
    <row r="86" spans="1:32">
      <c r="A86" t="s">
        <v>9418</v>
      </c>
      <c r="B86" t="s">
        <v>2193</v>
      </c>
      <c r="C86" t="s">
        <v>9422</v>
      </c>
      <c r="D86" t="s">
        <v>48</v>
      </c>
      <c r="E86">
        <v>18614</v>
      </c>
      <c r="F86" t="s">
        <v>9423</v>
      </c>
      <c r="G86">
        <v>39813.79</v>
      </c>
      <c r="I86">
        <v>39813.79</v>
      </c>
      <c r="K86" s="4">
        <v>45461</v>
      </c>
      <c r="L86" s="4">
        <v>45462</v>
      </c>
      <c r="M86">
        <v>2024</v>
      </c>
      <c r="N86">
        <v>6</v>
      </c>
      <c r="O86" s="4">
        <v>45444</v>
      </c>
      <c r="P86" t="s">
        <v>1473</v>
      </c>
      <c r="Q86" s="4"/>
      <c r="S86" t="s">
        <v>3102</v>
      </c>
      <c r="U86">
        <v>39813.79</v>
      </c>
      <c r="V86">
        <v>1</v>
      </c>
      <c r="W86" t="s">
        <v>17</v>
      </c>
      <c r="X86" t="s">
        <v>3681</v>
      </c>
      <c r="Z86">
        <v>91</v>
      </c>
      <c r="AA86">
        <v>90</v>
      </c>
      <c r="AC86" t="s">
        <v>1473</v>
      </c>
      <c r="AD86" t="s">
        <v>1473</v>
      </c>
      <c r="AE86" t="s">
        <v>3652</v>
      </c>
      <c r="AF86" s="4"/>
    </row>
    <row r="87" spans="1:32">
      <c r="A87" t="s">
        <v>9424</v>
      </c>
      <c r="B87" t="s">
        <v>2193</v>
      </c>
      <c r="C87" t="s">
        <v>9425</v>
      </c>
      <c r="D87" t="s">
        <v>48</v>
      </c>
      <c r="E87">
        <v>18612</v>
      </c>
      <c r="F87" t="s">
        <v>9426</v>
      </c>
      <c r="G87">
        <v>14704.51</v>
      </c>
      <c r="I87">
        <v>14704.51</v>
      </c>
      <c r="K87" s="4">
        <v>45461</v>
      </c>
      <c r="L87" s="4">
        <v>45462</v>
      </c>
      <c r="M87">
        <v>2024</v>
      </c>
      <c r="N87">
        <v>6</v>
      </c>
      <c r="O87" s="4">
        <v>45444</v>
      </c>
      <c r="P87" t="s">
        <v>837</v>
      </c>
      <c r="Q87" s="4"/>
      <c r="R87" t="s">
        <v>9427</v>
      </c>
      <c r="S87" t="s">
        <v>3092</v>
      </c>
      <c r="U87">
        <v>14704.51</v>
      </c>
      <c r="V87">
        <v>1</v>
      </c>
      <c r="W87" t="s">
        <v>17</v>
      </c>
      <c r="X87" t="s">
        <v>3681</v>
      </c>
      <c r="Z87">
        <v>91</v>
      </c>
      <c r="AA87">
        <v>90</v>
      </c>
      <c r="AC87" t="s">
        <v>837</v>
      </c>
      <c r="AD87" t="s">
        <v>837</v>
      </c>
      <c r="AE87" t="s">
        <v>3652</v>
      </c>
      <c r="AF87" s="4"/>
    </row>
    <row r="88" spans="1:32">
      <c r="A88" t="s">
        <v>9428</v>
      </c>
      <c r="B88" t="s">
        <v>2193</v>
      </c>
      <c r="C88" t="s">
        <v>9429</v>
      </c>
      <c r="D88" t="s">
        <v>48</v>
      </c>
      <c r="E88">
        <v>18613</v>
      </c>
      <c r="F88" t="s">
        <v>9430</v>
      </c>
      <c r="G88">
        <v>12718.51</v>
      </c>
      <c r="I88">
        <v>12718.51</v>
      </c>
      <c r="K88" s="4">
        <v>45461</v>
      </c>
      <c r="L88" s="4">
        <v>45462</v>
      </c>
      <c r="M88">
        <v>2024</v>
      </c>
      <c r="N88">
        <v>6</v>
      </c>
      <c r="O88" s="4">
        <v>45444</v>
      </c>
      <c r="P88" t="s">
        <v>1473</v>
      </c>
      <c r="Q88" s="4"/>
      <c r="S88" t="s">
        <v>3095</v>
      </c>
      <c r="U88">
        <v>12718.51</v>
      </c>
      <c r="V88">
        <v>1</v>
      </c>
      <c r="W88" t="s">
        <v>17</v>
      </c>
      <c r="X88" t="s">
        <v>3681</v>
      </c>
      <c r="Z88">
        <v>91</v>
      </c>
      <c r="AA88">
        <v>90</v>
      </c>
      <c r="AC88" t="s">
        <v>1473</v>
      </c>
      <c r="AD88" t="s">
        <v>1473</v>
      </c>
      <c r="AE88" t="s">
        <v>3652</v>
      </c>
      <c r="AF88" s="4"/>
    </row>
    <row r="89" spans="1:32">
      <c r="A89" t="s">
        <v>9431</v>
      </c>
      <c r="B89" t="s">
        <v>9366</v>
      </c>
      <c r="C89" t="s">
        <v>4430</v>
      </c>
      <c r="D89" t="s">
        <v>54</v>
      </c>
      <c r="E89" t="s">
        <v>9432</v>
      </c>
      <c r="F89" t="s">
        <v>4429</v>
      </c>
      <c r="G89">
        <v>8221.1219999999994</v>
      </c>
      <c r="I89">
        <v>8221.1219999999994</v>
      </c>
      <c r="J89">
        <v>8221.1219999999994</v>
      </c>
      <c r="K89" s="4">
        <v>45422</v>
      </c>
      <c r="L89" s="4">
        <v>45422</v>
      </c>
      <c r="M89">
        <v>2024</v>
      </c>
      <c r="N89">
        <v>5</v>
      </c>
      <c r="O89" s="4">
        <v>45413</v>
      </c>
      <c r="P89" t="s">
        <v>89</v>
      </c>
      <c r="Q89" s="4">
        <v>45519</v>
      </c>
      <c r="S89" t="s">
        <v>3778</v>
      </c>
      <c r="T89">
        <v>45505</v>
      </c>
      <c r="U89">
        <v>13701.87</v>
      </c>
      <c r="V89">
        <v>0.6</v>
      </c>
      <c r="W89" t="s">
        <v>16</v>
      </c>
      <c r="X89" t="s">
        <v>3770</v>
      </c>
      <c r="Z89" t="s">
        <v>89</v>
      </c>
      <c r="AA89" t="s">
        <v>89</v>
      </c>
      <c r="AB89" t="s">
        <v>9433</v>
      </c>
      <c r="AC89" t="s">
        <v>625</v>
      </c>
      <c r="AD89" t="s">
        <v>1473</v>
      </c>
      <c r="AE89" t="s">
        <v>9251</v>
      </c>
      <c r="AF89" s="4"/>
    </row>
    <row r="90" spans="1:32">
      <c r="A90" t="s">
        <v>9434</v>
      </c>
      <c r="B90" t="s">
        <v>9366</v>
      </c>
      <c r="C90" t="s">
        <v>3833</v>
      </c>
      <c r="D90" t="s">
        <v>54</v>
      </c>
      <c r="E90">
        <v>4590007619</v>
      </c>
      <c r="F90" t="s">
        <v>3830</v>
      </c>
      <c r="G90">
        <v>83170</v>
      </c>
      <c r="I90">
        <v>83170</v>
      </c>
      <c r="J90">
        <v>83170</v>
      </c>
      <c r="K90" s="4">
        <v>45401</v>
      </c>
      <c r="L90" s="4">
        <v>45401</v>
      </c>
      <c r="M90">
        <v>2024</v>
      </c>
      <c r="N90">
        <v>4</v>
      </c>
      <c r="O90" s="4">
        <v>45383</v>
      </c>
      <c r="P90" t="s">
        <v>89</v>
      </c>
      <c r="Q90" s="4">
        <v>45458</v>
      </c>
      <c r="S90" t="s">
        <v>3832</v>
      </c>
      <c r="T90">
        <v>45446</v>
      </c>
      <c r="U90">
        <v>83170</v>
      </c>
      <c r="V90">
        <v>1</v>
      </c>
      <c r="W90" t="s">
        <v>17</v>
      </c>
      <c r="X90" t="s">
        <v>3718</v>
      </c>
      <c r="Z90" t="s">
        <v>89</v>
      </c>
      <c r="AA90" t="s">
        <v>89</v>
      </c>
      <c r="AC90" t="s">
        <v>89</v>
      </c>
      <c r="AD90" t="s">
        <v>89</v>
      </c>
      <c r="AE90" t="s">
        <v>3652</v>
      </c>
      <c r="AF90" s="4"/>
    </row>
    <row r="91" spans="1:32">
      <c r="A91" t="s">
        <v>9435</v>
      </c>
      <c r="B91" t="s">
        <v>9366</v>
      </c>
      <c r="C91" t="s">
        <v>3840</v>
      </c>
      <c r="D91" t="s">
        <v>54</v>
      </c>
      <c r="E91">
        <v>4590007625</v>
      </c>
      <c r="F91" t="s">
        <v>3837</v>
      </c>
      <c r="G91">
        <v>122834</v>
      </c>
      <c r="I91">
        <v>122834</v>
      </c>
      <c r="J91">
        <v>122834</v>
      </c>
      <c r="K91" s="4">
        <v>45401</v>
      </c>
      <c r="L91" s="4">
        <v>45401</v>
      </c>
      <c r="M91">
        <v>2024</v>
      </c>
      <c r="N91">
        <v>4</v>
      </c>
      <c r="O91" s="4">
        <v>45383</v>
      </c>
      <c r="P91" t="s">
        <v>89</v>
      </c>
      <c r="Q91" s="4">
        <v>45471</v>
      </c>
      <c r="S91" t="s">
        <v>3839</v>
      </c>
      <c r="T91">
        <v>45450</v>
      </c>
      <c r="U91">
        <v>122834</v>
      </c>
      <c r="V91">
        <v>1</v>
      </c>
      <c r="W91" t="s">
        <v>17</v>
      </c>
      <c r="X91" t="s">
        <v>3718</v>
      </c>
      <c r="Z91" t="s">
        <v>89</v>
      </c>
      <c r="AA91" t="s">
        <v>89</v>
      </c>
      <c r="AB91" t="s">
        <v>9436</v>
      </c>
      <c r="AC91" t="s">
        <v>89</v>
      </c>
      <c r="AD91" t="s">
        <v>89</v>
      </c>
      <c r="AE91" t="s">
        <v>3652</v>
      </c>
      <c r="AF91" s="4"/>
    </row>
    <row r="92" spans="1:32">
      <c r="A92" t="s">
        <v>9437</v>
      </c>
      <c r="B92" t="s">
        <v>9366</v>
      </c>
      <c r="D92" t="s">
        <v>54</v>
      </c>
      <c r="E92">
        <v>4590007629</v>
      </c>
      <c r="F92" t="s">
        <v>3841</v>
      </c>
      <c r="G92">
        <v>268350.3</v>
      </c>
      <c r="I92">
        <v>268350.3</v>
      </c>
      <c r="J92">
        <v>268350.3</v>
      </c>
      <c r="K92" s="4">
        <v>45261</v>
      </c>
      <c r="L92" s="4">
        <v>45261</v>
      </c>
      <c r="M92">
        <v>2023</v>
      </c>
      <c r="N92">
        <v>12</v>
      </c>
      <c r="O92" s="4">
        <v>45261</v>
      </c>
      <c r="P92" t="s">
        <v>89</v>
      </c>
      <c r="Q92" s="4">
        <v>45303</v>
      </c>
      <c r="S92" t="s">
        <v>3843</v>
      </c>
      <c r="U92">
        <v>282474</v>
      </c>
      <c r="V92">
        <v>0.95</v>
      </c>
      <c r="W92" t="s">
        <v>17</v>
      </c>
      <c r="X92" t="s">
        <v>3718</v>
      </c>
      <c r="Z92" t="s">
        <v>89</v>
      </c>
      <c r="AA92" t="s">
        <v>89</v>
      </c>
      <c r="AC92" t="s">
        <v>89</v>
      </c>
      <c r="AD92">
        <v>0</v>
      </c>
      <c r="AE92" t="s">
        <v>9251</v>
      </c>
      <c r="AF92" s="4"/>
    </row>
    <row r="93" spans="1:32">
      <c r="A93" t="s">
        <v>9438</v>
      </c>
      <c r="B93" t="s">
        <v>9366</v>
      </c>
      <c r="C93" t="s">
        <v>3846</v>
      </c>
      <c r="D93" t="s">
        <v>54</v>
      </c>
      <c r="E93">
        <v>4590007630</v>
      </c>
      <c r="F93" t="s">
        <v>3844</v>
      </c>
      <c r="G93">
        <v>282474</v>
      </c>
      <c r="I93">
        <v>282474</v>
      </c>
      <c r="J93">
        <v>282474</v>
      </c>
      <c r="K93" s="4">
        <v>45429</v>
      </c>
      <c r="L93" s="4">
        <v>45429</v>
      </c>
      <c r="M93">
        <v>2024</v>
      </c>
      <c r="N93">
        <v>5</v>
      </c>
      <c r="O93" s="4">
        <v>45413</v>
      </c>
      <c r="P93" t="s">
        <v>89</v>
      </c>
      <c r="Q93" s="4">
        <v>45503</v>
      </c>
      <c r="S93" t="s">
        <v>3845</v>
      </c>
      <c r="T93">
        <v>45484</v>
      </c>
      <c r="U93">
        <v>282474</v>
      </c>
      <c r="V93">
        <v>1</v>
      </c>
      <c r="W93" t="s">
        <v>17</v>
      </c>
      <c r="X93" t="s">
        <v>3718</v>
      </c>
      <c r="Z93" t="s">
        <v>89</v>
      </c>
      <c r="AA93" t="s">
        <v>89</v>
      </c>
      <c r="AB93" t="s">
        <v>9439</v>
      </c>
      <c r="AC93" t="s">
        <v>89</v>
      </c>
      <c r="AD93" t="s">
        <v>625</v>
      </c>
      <c r="AE93" t="s">
        <v>9251</v>
      </c>
      <c r="AF93" s="4"/>
    </row>
    <row r="94" spans="1:32">
      <c r="A94" t="s">
        <v>9440</v>
      </c>
      <c r="B94" t="s">
        <v>9366</v>
      </c>
      <c r="C94" t="s">
        <v>3849</v>
      </c>
      <c r="D94" t="s">
        <v>54</v>
      </c>
      <c r="E94">
        <v>4590007631</v>
      </c>
      <c r="F94" t="s">
        <v>3847</v>
      </c>
      <c r="G94">
        <v>282474</v>
      </c>
      <c r="I94">
        <v>282474</v>
      </c>
      <c r="J94">
        <v>282474</v>
      </c>
      <c r="K94" s="4">
        <v>45401</v>
      </c>
      <c r="L94" s="4">
        <v>45401</v>
      </c>
      <c r="M94">
        <v>2024</v>
      </c>
      <c r="N94">
        <v>4</v>
      </c>
      <c r="O94" s="4">
        <v>45383</v>
      </c>
      <c r="P94" t="s">
        <v>89</v>
      </c>
      <c r="Q94" s="4">
        <v>45471</v>
      </c>
      <c r="S94" t="s">
        <v>3848</v>
      </c>
      <c r="T94">
        <v>45450</v>
      </c>
      <c r="U94">
        <v>282474</v>
      </c>
      <c r="V94">
        <v>1</v>
      </c>
      <c r="W94" t="s">
        <v>17</v>
      </c>
      <c r="X94" t="s">
        <v>3718</v>
      </c>
      <c r="Z94" t="s">
        <v>89</v>
      </c>
      <c r="AA94" t="s">
        <v>89</v>
      </c>
      <c r="AB94" t="s">
        <v>9441</v>
      </c>
      <c r="AC94" t="s">
        <v>89</v>
      </c>
      <c r="AD94" t="s">
        <v>89</v>
      </c>
      <c r="AE94" t="s">
        <v>3652</v>
      </c>
      <c r="AF94" s="4"/>
    </row>
    <row r="95" spans="1:32">
      <c r="A95" t="s">
        <v>9442</v>
      </c>
      <c r="B95" t="s">
        <v>9366</v>
      </c>
      <c r="D95" t="s">
        <v>54</v>
      </c>
      <c r="E95">
        <v>4590007753</v>
      </c>
      <c r="F95" t="s">
        <v>3868</v>
      </c>
      <c r="G95">
        <v>533175.30000000005</v>
      </c>
      <c r="I95">
        <v>533175.30000000005</v>
      </c>
      <c r="J95">
        <v>533175.30000000005</v>
      </c>
      <c r="K95" s="4">
        <v>45017</v>
      </c>
      <c r="L95" s="4">
        <v>45017</v>
      </c>
      <c r="M95">
        <v>2023</v>
      </c>
      <c r="N95">
        <v>4</v>
      </c>
      <c r="O95" s="4">
        <v>45017</v>
      </c>
      <c r="P95" t="s">
        <v>89</v>
      </c>
      <c r="Q95" s="4">
        <v>45245</v>
      </c>
      <c r="R95" t="s">
        <v>9443</v>
      </c>
      <c r="S95" t="s">
        <v>3874</v>
      </c>
      <c r="U95">
        <v>1332938.24</v>
      </c>
      <c r="V95">
        <v>0.40000000300088928</v>
      </c>
      <c r="W95" t="s">
        <v>17</v>
      </c>
      <c r="X95" t="s">
        <v>2250</v>
      </c>
      <c r="Z95" t="s">
        <v>89</v>
      </c>
      <c r="AA95" t="s">
        <v>89</v>
      </c>
      <c r="AC95" t="s">
        <v>89</v>
      </c>
      <c r="AD95">
        <v>0</v>
      </c>
      <c r="AE95" t="s">
        <v>9251</v>
      </c>
      <c r="AF95" s="4"/>
    </row>
    <row r="96" spans="1:32">
      <c r="A96" t="s">
        <v>9444</v>
      </c>
      <c r="B96" t="s">
        <v>9366</v>
      </c>
      <c r="D96" t="s">
        <v>54</v>
      </c>
      <c r="E96">
        <v>4590007753</v>
      </c>
      <c r="F96" t="s">
        <v>3868</v>
      </c>
      <c r="G96">
        <v>799762.94</v>
      </c>
      <c r="I96">
        <v>799762.94</v>
      </c>
      <c r="J96">
        <v>799762.94</v>
      </c>
      <c r="K96" s="4">
        <v>45139</v>
      </c>
      <c r="L96" s="4">
        <v>45139</v>
      </c>
      <c r="M96">
        <v>2023</v>
      </c>
      <c r="N96">
        <v>8</v>
      </c>
      <c r="O96" s="4">
        <v>45139</v>
      </c>
      <c r="P96" t="s">
        <v>89</v>
      </c>
      <c r="Q96" s="4">
        <v>45366</v>
      </c>
      <c r="R96" t="s">
        <v>9443</v>
      </c>
      <c r="S96" t="s">
        <v>3874</v>
      </c>
      <c r="U96">
        <v>1332938.24</v>
      </c>
      <c r="V96">
        <v>0.59999999699911077</v>
      </c>
      <c r="W96" t="s">
        <v>17</v>
      </c>
      <c r="X96" t="s">
        <v>2250</v>
      </c>
      <c r="Z96" t="s">
        <v>89</v>
      </c>
      <c r="AA96" t="s">
        <v>89</v>
      </c>
      <c r="AC96" t="s">
        <v>89</v>
      </c>
      <c r="AD96" t="s">
        <v>89</v>
      </c>
      <c r="AE96" t="s">
        <v>3652</v>
      </c>
      <c r="AF96" s="4"/>
    </row>
    <row r="97" spans="1:32">
      <c r="A97" t="s">
        <v>9445</v>
      </c>
      <c r="B97" t="s">
        <v>9366</v>
      </c>
      <c r="C97" t="s">
        <v>3879</v>
      </c>
      <c r="D97" t="s">
        <v>54</v>
      </c>
      <c r="E97">
        <v>4590007754</v>
      </c>
      <c r="F97" t="s">
        <v>3877</v>
      </c>
      <c r="G97">
        <v>799762.94</v>
      </c>
      <c r="I97">
        <v>799762.94</v>
      </c>
      <c r="J97">
        <v>799762.94</v>
      </c>
      <c r="K97" s="4">
        <v>45412</v>
      </c>
      <c r="L97" s="4">
        <v>45412</v>
      </c>
      <c r="M97">
        <v>2024</v>
      </c>
      <c r="N97">
        <v>4</v>
      </c>
      <c r="O97" s="4">
        <v>45383</v>
      </c>
      <c r="P97" t="s">
        <v>89</v>
      </c>
      <c r="Q97" s="4">
        <v>45471</v>
      </c>
      <c r="S97" t="s">
        <v>3878</v>
      </c>
      <c r="T97">
        <v>45450</v>
      </c>
      <c r="U97">
        <v>1332938.24</v>
      </c>
      <c r="V97">
        <v>0.59999999699911077</v>
      </c>
      <c r="W97" t="s">
        <v>17</v>
      </c>
      <c r="X97" t="s">
        <v>2250</v>
      </c>
      <c r="Z97" t="s">
        <v>89</v>
      </c>
      <c r="AA97" t="s">
        <v>89</v>
      </c>
      <c r="AB97" t="s">
        <v>9446</v>
      </c>
      <c r="AC97" t="s">
        <v>89</v>
      </c>
      <c r="AD97" t="s">
        <v>89</v>
      </c>
      <c r="AE97" t="s">
        <v>3652</v>
      </c>
      <c r="AF97" s="4"/>
    </row>
    <row r="98" spans="1:32">
      <c r="A98" t="s">
        <v>9447</v>
      </c>
      <c r="B98" t="s">
        <v>9366</v>
      </c>
      <c r="D98" t="s">
        <v>54</v>
      </c>
      <c r="E98">
        <v>4590007754</v>
      </c>
      <c r="F98" t="s">
        <v>3877</v>
      </c>
      <c r="G98">
        <v>533175.30000000005</v>
      </c>
      <c r="I98">
        <v>533175.30000000005</v>
      </c>
      <c r="J98">
        <v>533175.30000000005</v>
      </c>
      <c r="K98" s="4">
        <v>45108</v>
      </c>
      <c r="L98" s="4">
        <v>45108</v>
      </c>
      <c r="M98">
        <v>2023</v>
      </c>
      <c r="N98">
        <v>7</v>
      </c>
      <c r="O98" s="4">
        <v>45108</v>
      </c>
      <c r="P98" t="s">
        <v>89</v>
      </c>
      <c r="Q98" s="4">
        <v>45229</v>
      </c>
      <c r="S98" t="s">
        <v>3878</v>
      </c>
      <c r="U98">
        <v>1332938.24</v>
      </c>
      <c r="V98">
        <v>0.40000000300088928</v>
      </c>
      <c r="W98" t="s">
        <v>17</v>
      </c>
      <c r="X98" t="s">
        <v>2250</v>
      </c>
      <c r="Z98" t="s">
        <v>89</v>
      </c>
      <c r="AA98" t="s">
        <v>89</v>
      </c>
      <c r="AC98" t="s">
        <v>89</v>
      </c>
      <c r="AD98">
        <v>0</v>
      </c>
      <c r="AE98" t="s">
        <v>9251</v>
      </c>
      <c r="AF98" s="4"/>
    </row>
    <row r="99" spans="1:32">
      <c r="A99" t="s">
        <v>9448</v>
      </c>
      <c r="B99" t="s">
        <v>9366</v>
      </c>
      <c r="D99" t="s">
        <v>54</v>
      </c>
      <c r="E99">
        <v>4590007755</v>
      </c>
      <c r="F99" t="s">
        <v>3880</v>
      </c>
      <c r="G99">
        <v>533175.30000000005</v>
      </c>
      <c r="I99">
        <v>533175.30000000005</v>
      </c>
      <c r="J99">
        <v>533175.30000000005</v>
      </c>
      <c r="K99" s="4">
        <v>45108</v>
      </c>
      <c r="L99" s="4">
        <v>45108</v>
      </c>
      <c r="M99">
        <v>2023</v>
      </c>
      <c r="N99">
        <v>7</v>
      </c>
      <c r="O99" s="4">
        <v>45108</v>
      </c>
      <c r="P99" t="s">
        <v>89</v>
      </c>
      <c r="Q99" s="4">
        <v>45229</v>
      </c>
      <c r="S99" t="s">
        <v>3881</v>
      </c>
      <c r="U99">
        <v>1332938.24</v>
      </c>
      <c r="V99">
        <v>0.40000000300088928</v>
      </c>
      <c r="W99" t="s">
        <v>17</v>
      </c>
      <c r="X99" t="s">
        <v>2250</v>
      </c>
      <c r="Z99" t="s">
        <v>89</v>
      </c>
      <c r="AA99" t="s">
        <v>89</v>
      </c>
      <c r="AC99" t="s">
        <v>89</v>
      </c>
      <c r="AD99">
        <v>0</v>
      </c>
      <c r="AE99" t="s">
        <v>9251</v>
      </c>
      <c r="AF99" s="4"/>
    </row>
    <row r="100" spans="1:32">
      <c r="A100" t="s">
        <v>9449</v>
      </c>
      <c r="B100" t="s">
        <v>9366</v>
      </c>
      <c r="C100" t="s">
        <v>3889</v>
      </c>
      <c r="D100" t="s">
        <v>54</v>
      </c>
      <c r="E100">
        <v>4590007757</v>
      </c>
      <c r="F100" t="s">
        <v>3887</v>
      </c>
      <c r="G100">
        <v>1332938.24</v>
      </c>
      <c r="I100">
        <v>1332938.24</v>
      </c>
      <c r="J100">
        <v>1332938.24</v>
      </c>
      <c r="K100" s="4">
        <v>45401</v>
      </c>
      <c r="L100" s="4">
        <v>45401</v>
      </c>
      <c r="M100">
        <v>2024</v>
      </c>
      <c r="N100">
        <v>4</v>
      </c>
      <c r="O100" s="4">
        <v>45383</v>
      </c>
      <c r="P100" t="s">
        <v>89</v>
      </c>
      <c r="Q100" s="4">
        <v>45471</v>
      </c>
      <c r="R100" t="s">
        <v>9450</v>
      </c>
      <c r="S100" t="s">
        <v>3888</v>
      </c>
      <c r="T100">
        <v>45450</v>
      </c>
      <c r="U100">
        <v>1332938.24</v>
      </c>
      <c r="V100">
        <v>1</v>
      </c>
      <c r="W100" t="s">
        <v>17</v>
      </c>
      <c r="X100" t="s">
        <v>2250</v>
      </c>
      <c r="Z100" t="s">
        <v>89</v>
      </c>
      <c r="AA100" t="s">
        <v>89</v>
      </c>
      <c r="AB100" t="s">
        <v>9451</v>
      </c>
      <c r="AC100" t="s">
        <v>89</v>
      </c>
      <c r="AD100" t="s">
        <v>89</v>
      </c>
      <c r="AE100" t="s">
        <v>3652</v>
      </c>
      <c r="AF100" s="4"/>
    </row>
    <row r="101" spans="1:32">
      <c r="A101" t="s">
        <v>9452</v>
      </c>
      <c r="B101" t="s">
        <v>9366</v>
      </c>
      <c r="C101" t="s">
        <v>3893</v>
      </c>
      <c r="D101" t="s">
        <v>54</v>
      </c>
      <c r="E101">
        <v>4590007758</v>
      </c>
      <c r="F101" t="s">
        <v>3891</v>
      </c>
      <c r="G101">
        <v>1332938.24</v>
      </c>
      <c r="I101">
        <v>1332938.24</v>
      </c>
      <c r="J101">
        <v>1332938.24</v>
      </c>
      <c r="K101" s="4">
        <v>45401</v>
      </c>
      <c r="L101" s="4">
        <v>45401</v>
      </c>
      <c r="M101">
        <v>2024</v>
      </c>
      <c r="N101">
        <v>4</v>
      </c>
      <c r="O101" s="4">
        <v>45383</v>
      </c>
      <c r="P101" t="s">
        <v>89</v>
      </c>
      <c r="Q101" s="4">
        <v>45471</v>
      </c>
      <c r="R101" t="s">
        <v>9453</v>
      </c>
      <c r="S101" t="s">
        <v>3892</v>
      </c>
      <c r="T101">
        <v>45450</v>
      </c>
      <c r="U101">
        <v>1332938.24</v>
      </c>
      <c r="V101">
        <v>1</v>
      </c>
      <c r="W101" t="s">
        <v>17</v>
      </c>
      <c r="X101" t="s">
        <v>2250</v>
      </c>
      <c r="Z101" t="s">
        <v>89</v>
      </c>
      <c r="AA101" t="s">
        <v>89</v>
      </c>
      <c r="AB101" t="s">
        <v>9454</v>
      </c>
      <c r="AC101" t="s">
        <v>89</v>
      </c>
      <c r="AD101" t="s">
        <v>89</v>
      </c>
      <c r="AE101" t="s">
        <v>3652</v>
      </c>
      <c r="AF101" s="4"/>
    </row>
    <row r="102" spans="1:32">
      <c r="A102" t="s">
        <v>9455</v>
      </c>
      <c r="B102" t="s">
        <v>9366</v>
      </c>
      <c r="D102" t="s">
        <v>54</v>
      </c>
      <c r="E102">
        <v>4590007760</v>
      </c>
      <c r="F102" t="s">
        <v>3896</v>
      </c>
      <c r="G102">
        <v>260070</v>
      </c>
      <c r="I102">
        <v>260070</v>
      </c>
      <c r="J102">
        <v>260070</v>
      </c>
      <c r="K102" s="4">
        <v>45017</v>
      </c>
      <c r="L102" s="4">
        <v>45017</v>
      </c>
      <c r="M102">
        <v>2023</v>
      </c>
      <c r="N102">
        <v>4</v>
      </c>
      <c r="O102" s="4">
        <v>45017</v>
      </c>
      <c r="P102" t="s">
        <v>89</v>
      </c>
      <c r="Q102" s="4">
        <v>45168</v>
      </c>
      <c r="R102" t="s">
        <v>9456</v>
      </c>
      <c r="S102" t="s">
        <v>3899</v>
      </c>
      <c r="U102">
        <v>650175</v>
      </c>
      <c r="V102">
        <v>0.4</v>
      </c>
      <c r="W102" t="s">
        <v>17</v>
      </c>
      <c r="X102" t="s">
        <v>3900</v>
      </c>
      <c r="Z102" t="s">
        <v>89</v>
      </c>
      <c r="AA102" t="s">
        <v>89</v>
      </c>
      <c r="AC102" t="s">
        <v>89</v>
      </c>
      <c r="AD102">
        <v>0</v>
      </c>
      <c r="AE102" t="s">
        <v>9251</v>
      </c>
      <c r="AF102" s="4"/>
    </row>
    <row r="103" spans="1:32">
      <c r="A103" t="s">
        <v>9457</v>
      </c>
      <c r="B103" t="s">
        <v>9366</v>
      </c>
      <c r="C103" t="s">
        <v>3904</v>
      </c>
      <c r="D103" t="s">
        <v>54</v>
      </c>
      <c r="E103">
        <v>4590007761</v>
      </c>
      <c r="F103" t="s">
        <v>3901</v>
      </c>
      <c r="G103">
        <v>256741.1</v>
      </c>
      <c r="I103">
        <v>256741.1</v>
      </c>
      <c r="J103">
        <v>256741.1</v>
      </c>
      <c r="K103" s="4">
        <v>45351</v>
      </c>
      <c r="L103" s="4">
        <v>45351</v>
      </c>
      <c r="M103">
        <v>2024</v>
      </c>
      <c r="N103">
        <v>2</v>
      </c>
      <c r="O103" s="4">
        <v>45323</v>
      </c>
      <c r="P103" t="s">
        <v>89</v>
      </c>
      <c r="Q103" s="4">
        <v>45337</v>
      </c>
      <c r="R103" t="s">
        <v>9458</v>
      </c>
      <c r="S103" t="s">
        <v>3903</v>
      </c>
      <c r="U103">
        <v>466802</v>
      </c>
      <c r="V103">
        <v>0.55000000000000004</v>
      </c>
      <c r="W103" t="s">
        <v>17</v>
      </c>
      <c r="X103" t="s">
        <v>3900</v>
      </c>
      <c r="Z103" t="s">
        <v>89</v>
      </c>
      <c r="AA103" t="s">
        <v>89</v>
      </c>
      <c r="AC103" t="s">
        <v>89</v>
      </c>
      <c r="AD103" t="s">
        <v>89</v>
      </c>
      <c r="AE103" t="s">
        <v>3652</v>
      </c>
      <c r="AF103" s="4"/>
    </row>
    <row r="104" spans="1:32">
      <c r="A104" t="s">
        <v>9459</v>
      </c>
      <c r="B104" t="s">
        <v>9366</v>
      </c>
      <c r="D104" t="s">
        <v>54</v>
      </c>
      <c r="E104">
        <v>4590007761</v>
      </c>
      <c r="F104" t="s">
        <v>3901</v>
      </c>
      <c r="G104">
        <v>186720.8</v>
      </c>
      <c r="I104">
        <v>186720.8</v>
      </c>
      <c r="J104">
        <v>186720.8</v>
      </c>
      <c r="K104" s="4">
        <v>45017</v>
      </c>
      <c r="L104" s="4">
        <v>45017</v>
      </c>
      <c r="M104">
        <v>2023</v>
      </c>
      <c r="N104">
        <v>4</v>
      </c>
      <c r="O104" s="4">
        <v>45017</v>
      </c>
      <c r="P104" t="s">
        <v>89</v>
      </c>
      <c r="Q104" s="4">
        <v>45168</v>
      </c>
      <c r="R104" t="s">
        <v>9458</v>
      </c>
      <c r="S104" t="s">
        <v>3903</v>
      </c>
      <c r="U104">
        <v>466802</v>
      </c>
      <c r="V104">
        <v>0.39999999999999997</v>
      </c>
      <c r="W104" t="s">
        <v>17</v>
      </c>
      <c r="X104" t="s">
        <v>3900</v>
      </c>
      <c r="Z104" t="s">
        <v>89</v>
      </c>
      <c r="AA104" t="s">
        <v>89</v>
      </c>
      <c r="AC104" t="s">
        <v>89</v>
      </c>
      <c r="AD104">
        <v>0</v>
      </c>
      <c r="AE104" t="s">
        <v>9251</v>
      </c>
      <c r="AF104" s="4"/>
    </row>
    <row r="105" spans="1:32">
      <c r="A105" t="s">
        <v>9460</v>
      </c>
      <c r="B105" t="s">
        <v>9366</v>
      </c>
      <c r="D105" t="s">
        <v>54</v>
      </c>
      <c r="E105">
        <v>4590007914</v>
      </c>
      <c r="F105" t="s">
        <v>3912</v>
      </c>
      <c r="G105">
        <v>45264</v>
      </c>
      <c r="I105">
        <v>45264</v>
      </c>
      <c r="J105">
        <v>45264</v>
      </c>
      <c r="K105" s="4">
        <v>44958</v>
      </c>
      <c r="L105" s="4">
        <v>44958</v>
      </c>
      <c r="M105">
        <v>2023</v>
      </c>
      <c r="N105">
        <v>2</v>
      </c>
      <c r="O105" s="4">
        <v>44958</v>
      </c>
      <c r="P105" t="s">
        <v>89</v>
      </c>
      <c r="Q105" s="4">
        <v>45015</v>
      </c>
      <c r="S105" t="s">
        <v>3917</v>
      </c>
      <c r="U105">
        <v>113160</v>
      </c>
      <c r="V105">
        <v>0.4</v>
      </c>
      <c r="W105" t="s">
        <v>17</v>
      </c>
      <c r="X105" t="s">
        <v>3918</v>
      </c>
      <c r="Z105" t="s">
        <v>89</v>
      </c>
      <c r="AA105" t="s">
        <v>89</v>
      </c>
      <c r="AC105" t="s">
        <v>89</v>
      </c>
      <c r="AD105" t="s">
        <v>89</v>
      </c>
      <c r="AE105" t="s">
        <v>3652</v>
      </c>
      <c r="AF105" s="4"/>
    </row>
    <row r="106" spans="1:32">
      <c r="A106" t="s">
        <v>9461</v>
      </c>
      <c r="B106" t="s">
        <v>9366</v>
      </c>
      <c r="D106" t="s">
        <v>54</v>
      </c>
      <c r="E106">
        <v>4590007915</v>
      </c>
      <c r="F106" t="s">
        <v>3920</v>
      </c>
      <c r="G106">
        <v>26461.5</v>
      </c>
      <c r="I106">
        <v>26461.5</v>
      </c>
      <c r="J106">
        <v>26461.5</v>
      </c>
      <c r="K106" s="4">
        <v>44958</v>
      </c>
      <c r="L106" s="4">
        <v>44958</v>
      </c>
      <c r="M106">
        <v>2023</v>
      </c>
      <c r="N106">
        <v>2</v>
      </c>
      <c r="O106" s="4">
        <v>44958</v>
      </c>
      <c r="P106" t="s">
        <v>89</v>
      </c>
      <c r="Q106" s="4">
        <v>45015</v>
      </c>
      <c r="S106" t="s">
        <v>3923</v>
      </c>
      <c r="U106">
        <v>66153.75</v>
      </c>
      <c r="V106">
        <v>0.4</v>
      </c>
      <c r="W106" t="s">
        <v>17</v>
      </c>
      <c r="X106" t="s">
        <v>3918</v>
      </c>
      <c r="Z106" t="s">
        <v>89</v>
      </c>
      <c r="AA106" t="s">
        <v>89</v>
      </c>
      <c r="AC106" t="s">
        <v>89</v>
      </c>
      <c r="AD106" t="s">
        <v>89</v>
      </c>
      <c r="AE106" t="s">
        <v>3652</v>
      </c>
      <c r="AF106" s="4"/>
    </row>
    <row r="107" spans="1:32">
      <c r="A107" t="s">
        <v>9462</v>
      </c>
      <c r="B107" t="s">
        <v>9366</v>
      </c>
      <c r="D107" t="s">
        <v>54</v>
      </c>
      <c r="E107">
        <v>4590007915</v>
      </c>
      <c r="F107" t="s">
        <v>3920</v>
      </c>
      <c r="G107">
        <v>39692.25</v>
      </c>
      <c r="I107">
        <v>39692.25</v>
      </c>
      <c r="J107">
        <v>39692.25</v>
      </c>
      <c r="K107" s="4">
        <v>45261</v>
      </c>
      <c r="L107" s="4">
        <v>45261</v>
      </c>
      <c r="M107">
        <v>2023</v>
      </c>
      <c r="N107">
        <v>12</v>
      </c>
      <c r="O107" s="4">
        <v>45261</v>
      </c>
      <c r="P107" t="s">
        <v>89</v>
      </c>
      <c r="Q107" s="4">
        <v>45442</v>
      </c>
      <c r="R107">
        <v>45442</v>
      </c>
      <c r="S107" t="s">
        <v>3923</v>
      </c>
      <c r="T107">
        <v>45422</v>
      </c>
      <c r="U107">
        <v>66153.75</v>
      </c>
      <c r="V107">
        <v>0.6</v>
      </c>
      <c r="W107" t="s">
        <v>17</v>
      </c>
      <c r="X107" t="s">
        <v>3918</v>
      </c>
      <c r="Z107" t="s">
        <v>89</v>
      </c>
      <c r="AA107" t="s">
        <v>89</v>
      </c>
      <c r="AC107" t="s">
        <v>89</v>
      </c>
      <c r="AD107">
        <v>0</v>
      </c>
      <c r="AE107" t="s">
        <v>9251</v>
      </c>
      <c r="AF107" s="4"/>
    </row>
    <row r="108" spans="1:32">
      <c r="A108" t="s">
        <v>9463</v>
      </c>
      <c r="B108" t="s">
        <v>9366</v>
      </c>
      <c r="D108" t="s">
        <v>54</v>
      </c>
      <c r="E108">
        <v>4590007943</v>
      </c>
      <c r="F108" t="s">
        <v>3925</v>
      </c>
      <c r="G108">
        <v>141294.60999999999</v>
      </c>
      <c r="I108">
        <v>141294.60999999999</v>
      </c>
      <c r="J108">
        <v>141294.60999999999</v>
      </c>
      <c r="K108" s="4">
        <v>45108</v>
      </c>
      <c r="L108" s="4">
        <v>45108</v>
      </c>
      <c r="M108">
        <v>2023</v>
      </c>
      <c r="N108">
        <v>7</v>
      </c>
      <c r="O108" s="4">
        <v>45108</v>
      </c>
      <c r="P108" t="s">
        <v>89</v>
      </c>
      <c r="Q108" s="4">
        <v>45229</v>
      </c>
      <c r="S108" t="s">
        <v>9464</v>
      </c>
      <c r="U108">
        <v>353236.53</v>
      </c>
      <c r="V108">
        <v>0.39999999433807137</v>
      </c>
      <c r="W108" t="s">
        <v>16</v>
      </c>
      <c r="X108" t="s">
        <v>3932</v>
      </c>
      <c r="Z108" t="s">
        <v>89</v>
      </c>
      <c r="AA108" t="s">
        <v>89</v>
      </c>
      <c r="AC108" t="s">
        <v>89</v>
      </c>
      <c r="AD108">
        <v>0</v>
      </c>
      <c r="AE108" t="s">
        <v>9251</v>
      </c>
      <c r="AF108" s="4"/>
    </row>
    <row r="109" spans="1:32">
      <c r="A109" t="s">
        <v>9465</v>
      </c>
      <c r="B109" t="s">
        <v>9366</v>
      </c>
      <c r="C109" t="s">
        <v>3938</v>
      </c>
      <c r="D109" t="s">
        <v>54</v>
      </c>
      <c r="E109">
        <v>4590008134</v>
      </c>
      <c r="F109" t="s">
        <v>3936</v>
      </c>
      <c r="G109">
        <v>650175</v>
      </c>
      <c r="I109">
        <v>650175</v>
      </c>
      <c r="J109">
        <v>650175</v>
      </c>
      <c r="K109" s="4">
        <v>45422</v>
      </c>
      <c r="L109" s="4">
        <v>45422</v>
      </c>
      <c r="M109">
        <v>2024</v>
      </c>
      <c r="N109">
        <v>5</v>
      </c>
      <c r="O109" s="4">
        <v>45413</v>
      </c>
      <c r="P109" t="s">
        <v>89</v>
      </c>
      <c r="Q109" s="4">
        <v>45503</v>
      </c>
      <c r="S109" t="s">
        <v>3950</v>
      </c>
      <c r="T109">
        <v>45484</v>
      </c>
      <c r="U109">
        <v>650175</v>
      </c>
      <c r="V109">
        <v>1</v>
      </c>
      <c r="W109" t="s">
        <v>17</v>
      </c>
      <c r="X109" t="s">
        <v>3900</v>
      </c>
      <c r="Z109" t="s">
        <v>89</v>
      </c>
      <c r="AA109" t="s">
        <v>89</v>
      </c>
      <c r="AB109" t="s">
        <v>9466</v>
      </c>
      <c r="AC109" t="s">
        <v>89</v>
      </c>
      <c r="AD109" t="s">
        <v>625</v>
      </c>
      <c r="AE109" t="s">
        <v>9251</v>
      </c>
      <c r="AF109" s="4"/>
    </row>
    <row r="110" spans="1:32">
      <c r="A110" t="s">
        <v>9467</v>
      </c>
      <c r="B110" t="s">
        <v>9366</v>
      </c>
      <c r="C110" t="s">
        <v>3942</v>
      </c>
      <c r="D110" t="s">
        <v>54</v>
      </c>
      <c r="E110">
        <v>4590008192</v>
      </c>
      <c r="F110" t="s">
        <v>3940</v>
      </c>
      <c r="G110">
        <v>650175</v>
      </c>
      <c r="I110">
        <v>650175</v>
      </c>
      <c r="J110">
        <v>650175</v>
      </c>
      <c r="K110" s="4">
        <v>45335</v>
      </c>
      <c r="L110" s="4">
        <v>45335</v>
      </c>
      <c r="M110">
        <v>2024</v>
      </c>
      <c r="N110">
        <v>2</v>
      </c>
      <c r="O110" s="4">
        <v>45323</v>
      </c>
      <c r="P110" t="s">
        <v>89</v>
      </c>
      <c r="Q110" s="4">
        <v>45412</v>
      </c>
      <c r="R110" t="s">
        <v>9468</v>
      </c>
      <c r="S110" t="s">
        <v>3943</v>
      </c>
      <c r="U110">
        <v>650175</v>
      </c>
      <c r="V110">
        <v>1</v>
      </c>
      <c r="W110" t="s">
        <v>17</v>
      </c>
      <c r="X110" t="s">
        <v>3900</v>
      </c>
      <c r="Z110" t="s">
        <v>89</v>
      </c>
      <c r="AA110" t="s">
        <v>89</v>
      </c>
      <c r="AC110" t="s">
        <v>89</v>
      </c>
      <c r="AD110" t="s">
        <v>89</v>
      </c>
      <c r="AE110" t="s">
        <v>3652</v>
      </c>
      <c r="AF110" s="4"/>
    </row>
    <row r="111" spans="1:32">
      <c r="A111" t="s">
        <v>9469</v>
      </c>
      <c r="B111" t="s">
        <v>9366</v>
      </c>
      <c r="C111" t="s">
        <v>4458</v>
      </c>
      <c r="D111" t="s">
        <v>54</v>
      </c>
      <c r="E111" t="s">
        <v>9470</v>
      </c>
      <c r="F111" t="s">
        <v>4457</v>
      </c>
      <c r="G111">
        <v>4031.8</v>
      </c>
      <c r="I111">
        <v>4031.8</v>
      </c>
      <c r="J111">
        <v>4031.8</v>
      </c>
      <c r="K111" s="4">
        <v>45372</v>
      </c>
      <c r="L111" s="4">
        <v>45372</v>
      </c>
      <c r="M111">
        <v>2024</v>
      </c>
      <c r="N111">
        <v>3</v>
      </c>
      <c r="O111" s="4">
        <v>45352</v>
      </c>
      <c r="P111" t="s">
        <v>89</v>
      </c>
      <c r="Q111" s="4">
        <v>45519</v>
      </c>
      <c r="R111" t="s">
        <v>4168</v>
      </c>
      <c r="S111" t="s">
        <v>2763</v>
      </c>
      <c r="T111">
        <v>45505</v>
      </c>
      <c r="U111">
        <v>6719.7</v>
      </c>
      <c r="V111">
        <v>0.59999702367665231</v>
      </c>
      <c r="W111" t="s">
        <v>16</v>
      </c>
      <c r="X111" t="s">
        <v>3681</v>
      </c>
      <c r="Z111" t="s">
        <v>89</v>
      </c>
      <c r="AA111" t="s">
        <v>89</v>
      </c>
      <c r="AB111" t="s">
        <v>9471</v>
      </c>
      <c r="AC111" t="s">
        <v>625</v>
      </c>
      <c r="AD111" t="s">
        <v>1848</v>
      </c>
      <c r="AE111" t="s">
        <v>9251</v>
      </c>
      <c r="AF111" s="4"/>
    </row>
    <row r="112" spans="1:32">
      <c r="A112" t="s">
        <v>9472</v>
      </c>
      <c r="B112" t="s">
        <v>9366</v>
      </c>
      <c r="C112" t="s">
        <v>3951</v>
      </c>
      <c r="D112" t="s">
        <v>54</v>
      </c>
      <c r="E112">
        <v>4590008195</v>
      </c>
      <c r="F112" t="s">
        <v>3949</v>
      </c>
      <c r="G112">
        <v>357596.25</v>
      </c>
      <c r="I112">
        <v>357596.25</v>
      </c>
      <c r="J112">
        <v>357596.25</v>
      </c>
      <c r="K112" s="4">
        <v>45351</v>
      </c>
      <c r="L112" s="4">
        <v>45351</v>
      </c>
      <c r="M112">
        <v>2024</v>
      </c>
      <c r="N112">
        <v>2</v>
      </c>
      <c r="O112" s="4">
        <v>45323</v>
      </c>
      <c r="P112" t="s">
        <v>89</v>
      </c>
      <c r="Q112" s="4">
        <v>45337</v>
      </c>
      <c r="R112" t="s">
        <v>9473</v>
      </c>
      <c r="S112" t="s">
        <v>3950</v>
      </c>
      <c r="U112">
        <v>650175</v>
      </c>
      <c r="V112">
        <v>0.55000000000000004</v>
      </c>
      <c r="W112" t="s">
        <v>17</v>
      </c>
      <c r="X112" t="s">
        <v>3900</v>
      </c>
      <c r="Z112" t="s">
        <v>89</v>
      </c>
      <c r="AA112" t="s">
        <v>89</v>
      </c>
      <c r="AC112" t="s">
        <v>89</v>
      </c>
      <c r="AD112" t="s">
        <v>89</v>
      </c>
      <c r="AE112" t="s">
        <v>3652</v>
      </c>
      <c r="AF112" s="4"/>
    </row>
    <row r="113" spans="1:32">
      <c r="A113" t="s">
        <v>9474</v>
      </c>
      <c r="B113" t="s">
        <v>2193</v>
      </c>
      <c r="C113" t="s">
        <v>9475</v>
      </c>
      <c r="D113" t="s">
        <v>39</v>
      </c>
      <c r="E113">
        <v>4600000721</v>
      </c>
      <c r="F113" t="s">
        <v>9476</v>
      </c>
      <c r="G113">
        <v>39470.976000000002</v>
      </c>
      <c r="I113">
        <v>39470.976000000002</v>
      </c>
      <c r="J113">
        <v>39470.976000000002</v>
      </c>
      <c r="K113" s="4">
        <v>45470</v>
      </c>
      <c r="L113" s="4">
        <v>45470</v>
      </c>
      <c r="M113">
        <v>2024</v>
      </c>
      <c r="N113">
        <v>6</v>
      </c>
      <c r="O113" s="4">
        <v>45444</v>
      </c>
      <c r="P113" t="s">
        <v>89</v>
      </c>
      <c r="Q113" s="4"/>
      <c r="S113" t="s">
        <v>9477</v>
      </c>
      <c r="U113">
        <v>43856.639999999999</v>
      </c>
      <c r="V113">
        <v>1</v>
      </c>
      <c r="W113" t="s">
        <v>17</v>
      </c>
      <c r="X113" t="s">
        <v>4823</v>
      </c>
      <c r="Z113" t="s">
        <v>89</v>
      </c>
      <c r="AA113" t="s">
        <v>89</v>
      </c>
      <c r="AB113">
        <v>4600000721</v>
      </c>
      <c r="AC113" t="s">
        <v>1473</v>
      </c>
      <c r="AD113" t="s">
        <v>1473</v>
      </c>
      <c r="AE113" t="s">
        <v>9251</v>
      </c>
      <c r="AF113" s="4">
        <v>45505</v>
      </c>
    </row>
    <row r="114" spans="1:32">
      <c r="A114" t="s">
        <v>9478</v>
      </c>
      <c r="B114" t="s">
        <v>9366</v>
      </c>
      <c r="D114" t="s">
        <v>54</v>
      </c>
      <c r="E114">
        <v>4590008195</v>
      </c>
      <c r="F114" t="s">
        <v>3949</v>
      </c>
      <c r="G114">
        <v>260070</v>
      </c>
      <c r="I114">
        <v>260070</v>
      </c>
      <c r="J114">
        <v>260070</v>
      </c>
      <c r="K114" s="4">
        <v>45017</v>
      </c>
      <c r="L114" s="4">
        <v>45017</v>
      </c>
      <c r="M114">
        <v>2023</v>
      </c>
      <c r="N114">
        <v>4</v>
      </c>
      <c r="O114" s="4">
        <v>45017</v>
      </c>
      <c r="P114" t="s">
        <v>89</v>
      </c>
      <c r="Q114" s="4">
        <v>45168</v>
      </c>
      <c r="R114" t="s">
        <v>9473</v>
      </c>
      <c r="S114" t="s">
        <v>3950</v>
      </c>
      <c r="U114">
        <v>650175</v>
      </c>
      <c r="V114">
        <v>0.4</v>
      </c>
      <c r="W114" t="s">
        <v>17</v>
      </c>
      <c r="X114" t="s">
        <v>3900</v>
      </c>
      <c r="Z114" t="s">
        <v>89</v>
      </c>
      <c r="AA114" t="s">
        <v>89</v>
      </c>
      <c r="AC114" t="s">
        <v>89</v>
      </c>
      <c r="AD114">
        <v>0</v>
      </c>
      <c r="AE114" t="s">
        <v>9251</v>
      </c>
      <c r="AF114" s="4"/>
    </row>
    <row r="115" spans="1:32">
      <c r="A115" t="s">
        <v>9479</v>
      </c>
      <c r="B115" t="s">
        <v>9366</v>
      </c>
      <c r="C115" t="s">
        <v>3957</v>
      </c>
      <c r="D115" t="s">
        <v>54</v>
      </c>
      <c r="E115">
        <v>4590008197</v>
      </c>
      <c r="F115" t="s">
        <v>3955</v>
      </c>
      <c r="G115">
        <v>443461.9</v>
      </c>
      <c r="I115">
        <v>443461.9</v>
      </c>
      <c r="J115">
        <v>443461.9</v>
      </c>
      <c r="K115" s="4">
        <v>45315</v>
      </c>
      <c r="L115" s="4">
        <v>45315</v>
      </c>
      <c r="M115">
        <v>2024</v>
      </c>
      <c r="N115">
        <v>1</v>
      </c>
      <c r="O115" s="4">
        <v>45292</v>
      </c>
      <c r="P115" t="s">
        <v>89</v>
      </c>
      <c r="Q115" s="4">
        <v>45412</v>
      </c>
      <c r="S115" t="s">
        <v>3956</v>
      </c>
      <c r="U115">
        <v>466802</v>
      </c>
      <c r="V115">
        <v>0.95000000000000007</v>
      </c>
      <c r="W115" t="s">
        <v>17</v>
      </c>
      <c r="X115" t="s">
        <v>3900</v>
      </c>
      <c r="Z115" t="s">
        <v>89</v>
      </c>
      <c r="AA115" t="s">
        <v>89</v>
      </c>
      <c r="AC115" t="s">
        <v>89</v>
      </c>
      <c r="AD115" t="s">
        <v>89</v>
      </c>
      <c r="AE115" t="s">
        <v>3652</v>
      </c>
      <c r="AF115" s="4"/>
    </row>
    <row r="116" spans="1:32">
      <c r="A116" t="s">
        <v>9418</v>
      </c>
      <c r="B116" t="s">
        <v>2193</v>
      </c>
      <c r="C116" t="s">
        <v>9480</v>
      </c>
      <c r="D116" t="s">
        <v>48</v>
      </c>
      <c r="E116">
        <v>18614</v>
      </c>
      <c r="F116" t="s">
        <v>9481</v>
      </c>
      <c r="G116">
        <v>39813.79</v>
      </c>
      <c r="I116">
        <v>39813.79</v>
      </c>
      <c r="K116" s="4">
        <v>45461</v>
      </c>
      <c r="L116" s="4">
        <v>45462</v>
      </c>
      <c r="M116">
        <v>2024</v>
      </c>
      <c r="N116">
        <v>6</v>
      </c>
      <c r="O116" s="4">
        <v>45444</v>
      </c>
      <c r="P116" t="s">
        <v>1473</v>
      </c>
      <c r="Q116" s="4"/>
      <c r="S116" t="s">
        <v>3100</v>
      </c>
      <c r="U116">
        <v>39813.79</v>
      </c>
      <c r="V116">
        <v>1</v>
      </c>
      <c r="W116" t="s">
        <v>17</v>
      </c>
      <c r="X116" t="s">
        <v>3681</v>
      </c>
      <c r="Z116">
        <v>91</v>
      </c>
      <c r="AA116">
        <v>90</v>
      </c>
      <c r="AC116" t="s">
        <v>1473</v>
      </c>
      <c r="AD116" t="s">
        <v>1473</v>
      </c>
      <c r="AE116" t="s">
        <v>3652</v>
      </c>
      <c r="AF116" s="4"/>
    </row>
    <row r="117" spans="1:32">
      <c r="A117" t="s">
        <v>9482</v>
      </c>
      <c r="B117" t="s">
        <v>2193</v>
      </c>
      <c r="C117" t="s">
        <v>9483</v>
      </c>
      <c r="D117" t="s">
        <v>53</v>
      </c>
      <c r="E117">
        <v>7102056</v>
      </c>
      <c r="F117" t="s">
        <v>9484</v>
      </c>
      <c r="G117">
        <v>65452</v>
      </c>
      <c r="I117">
        <v>65452</v>
      </c>
      <c r="J117">
        <v>65452</v>
      </c>
      <c r="K117" s="4">
        <v>45461</v>
      </c>
      <c r="L117" s="4">
        <v>45462</v>
      </c>
      <c r="M117">
        <v>2024</v>
      </c>
      <c r="N117">
        <v>6</v>
      </c>
      <c r="O117" s="4">
        <v>45444</v>
      </c>
      <c r="P117" t="s">
        <v>89</v>
      </c>
      <c r="Q117" s="4"/>
      <c r="S117" t="s">
        <v>3555</v>
      </c>
      <c r="U117">
        <v>65452</v>
      </c>
      <c r="V117">
        <v>1</v>
      </c>
      <c r="W117" t="s">
        <v>17</v>
      </c>
      <c r="X117" t="s">
        <v>3681</v>
      </c>
      <c r="Z117" t="s">
        <v>89</v>
      </c>
      <c r="AA117" t="s">
        <v>89</v>
      </c>
      <c r="AC117" t="s">
        <v>89</v>
      </c>
      <c r="AD117" t="s">
        <v>1473</v>
      </c>
      <c r="AE117" t="s">
        <v>9251</v>
      </c>
      <c r="AF117" s="4"/>
    </row>
    <row r="118" spans="1:32">
      <c r="A118" t="s">
        <v>9485</v>
      </c>
      <c r="B118" t="s">
        <v>2193</v>
      </c>
      <c r="C118" t="s">
        <v>9486</v>
      </c>
      <c r="D118" t="s">
        <v>49</v>
      </c>
      <c r="E118">
        <v>4800104873</v>
      </c>
      <c r="F118" t="s">
        <v>9487</v>
      </c>
      <c r="G118">
        <v>670</v>
      </c>
      <c r="I118">
        <v>670</v>
      </c>
      <c r="J118">
        <v>670</v>
      </c>
      <c r="K118" s="4">
        <v>45461</v>
      </c>
      <c r="L118" s="4">
        <v>45462</v>
      </c>
      <c r="M118">
        <v>2024</v>
      </c>
      <c r="N118">
        <v>6</v>
      </c>
      <c r="O118" s="4">
        <v>45444</v>
      </c>
      <c r="P118" t="s">
        <v>89</v>
      </c>
      <c r="Q118" s="4"/>
      <c r="S118" t="s">
        <v>3370</v>
      </c>
      <c r="U118">
        <v>670</v>
      </c>
      <c r="V118">
        <v>1</v>
      </c>
      <c r="W118" t="s">
        <v>17</v>
      </c>
      <c r="X118" t="s">
        <v>3681</v>
      </c>
      <c r="Z118" t="s">
        <v>89</v>
      </c>
      <c r="AA118" t="s">
        <v>89</v>
      </c>
      <c r="AC118" t="s">
        <v>89</v>
      </c>
      <c r="AD118" t="s">
        <v>1473</v>
      </c>
      <c r="AE118" t="s">
        <v>9251</v>
      </c>
      <c r="AF118" s="4"/>
    </row>
    <row r="119" spans="1:32">
      <c r="A119" t="s">
        <v>9485</v>
      </c>
      <c r="B119" t="s">
        <v>2193</v>
      </c>
      <c r="C119" t="s">
        <v>9488</v>
      </c>
      <c r="D119" t="s">
        <v>49</v>
      </c>
      <c r="E119">
        <v>4800104873</v>
      </c>
      <c r="F119" t="s">
        <v>9489</v>
      </c>
      <c r="G119">
        <v>670</v>
      </c>
      <c r="I119">
        <v>670</v>
      </c>
      <c r="J119">
        <v>670</v>
      </c>
      <c r="K119" s="4">
        <v>45461</v>
      </c>
      <c r="L119" s="4">
        <v>45462</v>
      </c>
      <c r="M119">
        <v>2024</v>
      </c>
      <c r="N119">
        <v>6</v>
      </c>
      <c r="O119" s="4">
        <v>45444</v>
      </c>
      <c r="P119" t="s">
        <v>89</v>
      </c>
      <c r="Q119" s="4"/>
      <c r="S119" t="s">
        <v>3367</v>
      </c>
      <c r="U119">
        <v>670</v>
      </c>
      <c r="V119">
        <v>1</v>
      </c>
      <c r="W119" t="s">
        <v>17</v>
      </c>
      <c r="X119" t="s">
        <v>3681</v>
      </c>
      <c r="Z119" t="s">
        <v>89</v>
      </c>
      <c r="AA119" t="s">
        <v>89</v>
      </c>
      <c r="AC119" t="s">
        <v>89</v>
      </c>
      <c r="AD119" t="s">
        <v>1473</v>
      </c>
      <c r="AE119" t="s">
        <v>9251</v>
      </c>
      <c r="AF119" s="4"/>
    </row>
    <row r="120" spans="1:32">
      <c r="A120" t="s">
        <v>9490</v>
      </c>
      <c r="B120" t="s">
        <v>2193</v>
      </c>
      <c r="C120" t="s">
        <v>9491</v>
      </c>
      <c r="D120" t="s">
        <v>49</v>
      </c>
      <c r="E120">
        <v>4800104873</v>
      </c>
      <c r="F120" t="s">
        <v>9492</v>
      </c>
      <c r="G120">
        <v>7472.04</v>
      </c>
      <c r="I120">
        <v>7472.04</v>
      </c>
      <c r="J120">
        <v>7472.04</v>
      </c>
      <c r="K120" s="4">
        <v>45461</v>
      </c>
      <c r="L120" s="4">
        <v>45462</v>
      </c>
      <c r="M120">
        <v>2024</v>
      </c>
      <c r="N120">
        <v>6</v>
      </c>
      <c r="O120" s="4">
        <v>45444</v>
      </c>
      <c r="P120" t="s">
        <v>89</v>
      </c>
      <c r="Q120" s="4"/>
      <c r="S120" t="s">
        <v>3348</v>
      </c>
      <c r="U120">
        <v>15260</v>
      </c>
      <c r="V120">
        <v>0.49</v>
      </c>
      <c r="W120" t="s">
        <v>17</v>
      </c>
      <c r="X120" t="s">
        <v>4109</v>
      </c>
      <c r="Z120" t="s">
        <v>89</v>
      </c>
      <c r="AA120" t="s">
        <v>89</v>
      </c>
      <c r="AC120" t="s">
        <v>89</v>
      </c>
      <c r="AD120" t="s">
        <v>1473</v>
      </c>
      <c r="AE120" t="s">
        <v>9251</v>
      </c>
      <c r="AF120" s="4"/>
    </row>
    <row r="121" spans="1:32">
      <c r="A121" t="s">
        <v>9490</v>
      </c>
      <c r="B121" t="s">
        <v>2193</v>
      </c>
      <c r="C121" t="s">
        <v>9493</v>
      </c>
      <c r="D121" t="s">
        <v>49</v>
      </c>
      <c r="E121">
        <v>4800104873</v>
      </c>
      <c r="F121" t="s">
        <v>9494</v>
      </c>
      <c r="G121">
        <v>7472.04</v>
      </c>
      <c r="I121">
        <v>7472.04</v>
      </c>
      <c r="J121">
        <v>7472.04</v>
      </c>
      <c r="K121" s="4">
        <v>45461</v>
      </c>
      <c r="L121" s="4">
        <v>45462</v>
      </c>
      <c r="M121">
        <v>2024</v>
      </c>
      <c r="N121">
        <v>6</v>
      </c>
      <c r="O121" s="4">
        <v>45444</v>
      </c>
      <c r="P121" t="s">
        <v>89</v>
      </c>
      <c r="Q121" s="4"/>
      <c r="S121" t="s">
        <v>3346</v>
      </c>
      <c r="U121">
        <v>15260</v>
      </c>
      <c r="V121">
        <v>0.49</v>
      </c>
      <c r="W121" t="s">
        <v>17</v>
      </c>
      <c r="X121" t="s">
        <v>4109</v>
      </c>
      <c r="Z121" t="s">
        <v>89</v>
      </c>
      <c r="AA121" t="s">
        <v>89</v>
      </c>
      <c r="AC121" t="s">
        <v>89</v>
      </c>
      <c r="AD121" t="s">
        <v>1473</v>
      </c>
      <c r="AE121" t="s">
        <v>9251</v>
      </c>
      <c r="AF121" s="4"/>
    </row>
    <row r="122" spans="1:32">
      <c r="A122" t="s">
        <v>9490</v>
      </c>
      <c r="B122" t="s">
        <v>2193</v>
      </c>
      <c r="C122" t="s">
        <v>9495</v>
      </c>
      <c r="D122" t="s">
        <v>49</v>
      </c>
      <c r="E122">
        <v>4800104873</v>
      </c>
      <c r="F122" t="s">
        <v>9496</v>
      </c>
      <c r="G122">
        <v>7472.04</v>
      </c>
      <c r="I122">
        <v>7472.04</v>
      </c>
      <c r="J122">
        <v>7472.04</v>
      </c>
      <c r="K122" s="4">
        <v>45461</v>
      </c>
      <c r="L122" s="4">
        <v>45462</v>
      </c>
      <c r="M122">
        <v>2024</v>
      </c>
      <c r="N122">
        <v>6</v>
      </c>
      <c r="O122" s="4">
        <v>45444</v>
      </c>
      <c r="P122" t="s">
        <v>89</v>
      </c>
      <c r="Q122" s="4"/>
      <c r="S122" t="s">
        <v>3341</v>
      </c>
      <c r="U122">
        <v>15260</v>
      </c>
      <c r="V122">
        <v>0.49</v>
      </c>
      <c r="W122" t="s">
        <v>17</v>
      </c>
      <c r="X122" t="s">
        <v>3681</v>
      </c>
      <c r="Z122" t="s">
        <v>89</v>
      </c>
      <c r="AA122" t="s">
        <v>89</v>
      </c>
      <c r="AC122" t="s">
        <v>89</v>
      </c>
      <c r="AD122" t="s">
        <v>1473</v>
      </c>
      <c r="AE122" t="s">
        <v>9251</v>
      </c>
      <c r="AF122" s="4"/>
    </row>
    <row r="123" spans="1:32">
      <c r="A123" t="s">
        <v>9497</v>
      </c>
      <c r="B123" t="s">
        <v>2193</v>
      </c>
      <c r="C123" t="s">
        <v>9498</v>
      </c>
      <c r="D123" t="s">
        <v>49</v>
      </c>
      <c r="E123">
        <v>4800104873</v>
      </c>
      <c r="F123" t="s">
        <v>9499</v>
      </c>
      <c r="G123">
        <v>10219</v>
      </c>
      <c r="I123">
        <v>10219</v>
      </c>
      <c r="J123">
        <v>10219</v>
      </c>
      <c r="K123" s="4">
        <v>45461</v>
      </c>
      <c r="L123" s="4">
        <v>45462</v>
      </c>
      <c r="M123">
        <v>2024</v>
      </c>
      <c r="N123">
        <v>6</v>
      </c>
      <c r="O123" s="4">
        <v>45444</v>
      </c>
      <c r="P123" t="s">
        <v>89</v>
      </c>
      <c r="Q123" s="4"/>
      <c r="S123" t="s">
        <v>3286</v>
      </c>
      <c r="U123">
        <v>10219</v>
      </c>
      <c r="V123">
        <v>1</v>
      </c>
      <c r="W123" t="s">
        <v>17</v>
      </c>
      <c r="X123" t="s">
        <v>3711</v>
      </c>
      <c r="Z123" t="s">
        <v>89</v>
      </c>
      <c r="AA123" t="s">
        <v>89</v>
      </c>
      <c r="AC123" t="s">
        <v>89</v>
      </c>
      <c r="AD123" t="s">
        <v>1473</v>
      </c>
      <c r="AE123" t="s">
        <v>9251</v>
      </c>
      <c r="AF123" s="4"/>
    </row>
    <row r="124" spans="1:32">
      <c r="A124" t="s">
        <v>9500</v>
      </c>
      <c r="B124" t="s">
        <v>2193</v>
      </c>
      <c r="C124" t="s">
        <v>9501</v>
      </c>
      <c r="D124" t="s">
        <v>49</v>
      </c>
      <c r="E124">
        <v>4800104873</v>
      </c>
      <c r="F124" t="s">
        <v>9502</v>
      </c>
      <c r="G124">
        <v>10906</v>
      </c>
      <c r="I124">
        <v>10906</v>
      </c>
      <c r="J124">
        <v>10906</v>
      </c>
      <c r="K124" s="4">
        <v>45461</v>
      </c>
      <c r="L124" s="4">
        <v>45462</v>
      </c>
      <c r="M124">
        <v>2024</v>
      </c>
      <c r="N124">
        <v>6</v>
      </c>
      <c r="O124" s="4">
        <v>45444</v>
      </c>
      <c r="P124" t="s">
        <v>89</v>
      </c>
      <c r="Q124" s="4"/>
      <c r="S124" t="s">
        <v>3268</v>
      </c>
      <c r="U124">
        <v>10906</v>
      </c>
      <c r="V124">
        <v>1</v>
      </c>
      <c r="W124" t="s">
        <v>17</v>
      </c>
      <c r="X124" t="s">
        <v>3711</v>
      </c>
      <c r="Z124" t="s">
        <v>89</v>
      </c>
      <c r="AA124" t="s">
        <v>89</v>
      </c>
      <c r="AC124" t="s">
        <v>89</v>
      </c>
      <c r="AD124" t="s">
        <v>1473</v>
      </c>
      <c r="AE124" t="s">
        <v>9251</v>
      </c>
      <c r="AF124" s="4"/>
    </row>
    <row r="125" spans="1:32">
      <c r="A125" t="s">
        <v>9503</v>
      </c>
      <c r="B125" t="s">
        <v>2193</v>
      </c>
      <c r="C125" t="s">
        <v>9504</v>
      </c>
      <c r="D125" t="s">
        <v>49</v>
      </c>
      <c r="E125">
        <v>4800104873</v>
      </c>
      <c r="F125" t="s">
        <v>9505</v>
      </c>
      <c r="G125">
        <v>8695</v>
      </c>
      <c r="I125">
        <v>8695</v>
      </c>
      <c r="J125">
        <v>8695</v>
      </c>
      <c r="K125" s="4">
        <v>45461</v>
      </c>
      <c r="L125" s="4">
        <v>45462</v>
      </c>
      <c r="M125">
        <v>2024</v>
      </c>
      <c r="N125">
        <v>6</v>
      </c>
      <c r="O125" s="4">
        <v>45444</v>
      </c>
      <c r="P125" t="s">
        <v>89</v>
      </c>
      <c r="Q125" s="4"/>
      <c r="S125" t="s">
        <v>3173</v>
      </c>
      <c r="U125">
        <v>8695</v>
      </c>
      <c r="V125">
        <v>1</v>
      </c>
      <c r="W125" t="s">
        <v>17</v>
      </c>
      <c r="X125" t="s">
        <v>3681</v>
      </c>
      <c r="Z125" t="s">
        <v>89</v>
      </c>
      <c r="AA125" t="s">
        <v>89</v>
      </c>
      <c r="AC125" t="s">
        <v>89</v>
      </c>
      <c r="AD125" t="s">
        <v>1473</v>
      </c>
      <c r="AE125" t="s">
        <v>9251</v>
      </c>
      <c r="AF125" s="4"/>
    </row>
    <row r="126" spans="1:32">
      <c r="A126" t="s">
        <v>9506</v>
      </c>
      <c r="B126" t="s">
        <v>2193</v>
      </c>
      <c r="C126" t="s">
        <v>9507</v>
      </c>
      <c r="D126" t="s">
        <v>49</v>
      </c>
      <c r="E126">
        <v>4800104873</v>
      </c>
      <c r="F126" t="s">
        <v>9508</v>
      </c>
      <c r="G126">
        <v>5880</v>
      </c>
      <c r="I126">
        <v>5880</v>
      </c>
      <c r="J126">
        <v>5880</v>
      </c>
      <c r="K126" s="4">
        <v>45461</v>
      </c>
      <c r="L126" s="4">
        <v>45462</v>
      </c>
      <c r="M126">
        <v>2024</v>
      </c>
      <c r="N126">
        <v>6</v>
      </c>
      <c r="O126" s="4">
        <v>45444</v>
      </c>
      <c r="P126" t="s">
        <v>89</v>
      </c>
      <c r="Q126" s="4"/>
      <c r="S126" t="s">
        <v>3244</v>
      </c>
      <c r="U126">
        <v>5880</v>
      </c>
      <c r="V126">
        <v>1</v>
      </c>
      <c r="W126" t="s">
        <v>17</v>
      </c>
      <c r="X126" t="s">
        <v>3681</v>
      </c>
      <c r="Z126" t="s">
        <v>89</v>
      </c>
      <c r="AA126" t="s">
        <v>89</v>
      </c>
      <c r="AC126" t="s">
        <v>89</v>
      </c>
      <c r="AD126" t="s">
        <v>1473</v>
      </c>
      <c r="AE126" t="s">
        <v>9251</v>
      </c>
      <c r="AF126" s="4"/>
    </row>
    <row r="127" spans="1:32">
      <c r="A127" t="s">
        <v>9506</v>
      </c>
      <c r="B127" t="s">
        <v>2193</v>
      </c>
      <c r="C127" t="s">
        <v>9509</v>
      </c>
      <c r="D127" t="s">
        <v>49</v>
      </c>
      <c r="E127">
        <v>4800104873</v>
      </c>
      <c r="F127" t="s">
        <v>9510</v>
      </c>
      <c r="G127">
        <v>5880</v>
      </c>
      <c r="I127">
        <v>5880</v>
      </c>
      <c r="J127">
        <v>5880</v>
      </c>
      <c r="K127" s="4">
        <v>45461</v>
      </c>
      <c r="L127" s="4">
        <v>45462</v>
      </c>
      <c r="M127">
        <v>2024</v>
      </c>
      <c r="N127">
        <v>6</v>
      </c>
      <c r="O127" s="4">
        <v>45444</v>
      </c>
      <c r="P127" t="s">
        <v>89</v>
      </c>
      <c r="Q127" s="4"/>
      <c r="S127" t="s">
        <v>3242</v>
      </c>
      <c r="U127">
        <v>5880</v>
      </c>
      <c r="V127">
        <v>1</v>
      </c>
      <c r="W127" t="s">
        <v>17</v>
      </c>
      <c r="X127" t="s">
        <v>3681</v>
      </c>
      <c r="Z127" t="s">
        <v>89</v>
      </c>
      <c r="AA127" t="s">
        <v>89</v>
      </c>
      <c r="AC127" t="s">
        <v>89</v>
      </c>
      <c r="AD127" t="s">
        <v>1473</v>
      </c>
      <c r="AE127" t="s">
        <v>9251</v>
      </c>
      <c r="AF127" s="4"/>
    </row>
    <row r="128" spans="1:32">
      <c r="A128" t="s">
        <v>9503</v>
      </c>
      <c r="B128" t="s">
        <v>2193</v>
      </c>
      <c r="C128" t="s">
        <v>9511</v>
      </c>
      <c r="D128" t="s">
        <v>49</v>
      </c>
      <c r="E128">
        <v>4800104873</v>
      </c>
      <c r="F128" t="s">
        <v>9512</v>
      </c>
      <c r="G128">
        <v>8695</v>
      </c>
      <c r="I128">
        <v>8695</v>
      </c>
      <c r="J128">
        <v>8695</v>
      </c>
      <c r="K128" s="4">
        <v>45461</v>
      </c>
      <c r="L128" s="4">
        <v>45462</v>
      </c>
      <c r="M128">
        <v>2024</v>
      </c>
      <c r="N128">
        <v>6</v>
      </c>
      <c r="O128" s="4">
        <v>45444</v>
      </c>
      <c r="P128" t="s">
        <v>89</v>
      </c>
      <c r="Q128" s="4"/>
      <c r="S128" t="s">
        <v>3170</v>
      </c>
      <c r="U128">
        <v>8695</v>
      </c>
      <c r="V128">
        <v>1</v>
      </c>
      <c r="W128" t="s">
        <v>17</v>
      </c>
      <c r="X128" t="s">
        <v>3681</v>
      </c>
      <c r="Z128" t="s">
        <v>89</v>
      </c>
      <c r="AA128" t="s">
        <v>89</v>
      </c>
      <c r="AC128" t="s">
        <v>89</v>
      </c>
      <c r="AD128" t="s">
        <v>1473</v>
      </c>
      <c r="AE128" t="s">
        <v>9251</v>
      </c>
      <c r="AF128" s="4"/>
    </row>
    <row r="129" spans="1:32">
      <c r="A129" t="s">
        <v>9513</v>
      </c>
      <c r="B129" t="s">
        <v>2193</v>
      </c>
      <c r="C129" t="s">
        <v>9514</v>
      </c>
      <c r="D129" t="s">
        <v>49</v>
      </c>
      <c r="E129">
        <v>4800104873</v>
      </c>
      <c r="F129" t="s">
        <v>9515</v>
      </c>
      <c r="G129">
        <v>3066</v>
      </c>
      <c r="I129">
        <v>3066</v>
      </c>
      <c r="J129">
        <v>3066</v>
      </c>
      <c r="K129" s="4">
        <v>45461</v>
      </c>
      <c r="L129" s="4">
        <v>45462</v>
      </c>
      <c r="M129">
        <v>2024</v>
      </c>
      <c r="N129">
        <v>6</v>
      </c>
      <c r="O129" s="4">
        <v>45444</v>
      </c>
      <c r="P129" t="s">
        <v>89</v>
      </c>
      <c r="Q129" s="4"/>
      <c r="S129" t="s">
        <v>3182</v>
      </c>
      <c r="U129">
        <v>3066</v>
      </c>
      <c r="V129">
        <v>1</v>
      </c>
      <c r="W129" t="s">
        <v>17</v>
      </c>
      <c r="X129" t="s">
        <v>3681</v>
      </c>
      <c r="Z129" t="s">
        <v>89</v>
      </c>
      <c r="AA129" t="s">
        <v>89</v>
      </c>
      <c r="AC129" t="s">
        <v>89</v>
      </c>
      <c r="AD129" t="s">
        <v>1473</v>
      </c>
      <c r="AE129" t="s">
        <v>9251</v>
      </c>
      <c r="AF129" s="4"/>
    </row>
    <row r="130" spans="1:32">
      <c r="A130" t="s">
        <v>9516</v>
      </c>
      <c r="B130" t="s">
        <v>2193</v>
      </c>
      <c r="C130" t="s">
        <v>9517</v>
      </c>
      <c r="D130" t="s">
        <v>4444</v>
      </c>
      <c r="E130">
        <v>6600012791</v>
      </c>
      <c r="F130" t="s">
        <v>3515</v>
      </c>
      <c r="G130">
        <v>9424</v>
      </c>
      <c r="I130">
        <v>9424</v>
      </c>
      <c r="J130">
        <v>4473</v>
      </c>
      <c r="K130" s="4">
        <v>45393</v>
      </c>
      <c r="L130" s="4">
        <v>45393</v>
      </c>
      <c r="M130">
        <v>2024</v>
      </c>
      <c r="N130">
        <v>4</v>
      </c>
      <c r="O130" s="4">
        <v>45383</v>
      </c>
      <c r="P130" t="s">
        <v>1473</v>
      </c>
      <c r="Q130" s="4"/>
      <c r="S130" t="s">
        <v>3515</v>
      </c>
      <c r="X130" t="s">
        <v>3681</v>
      </c>
      <c r="Z130">
        <v>159</v>
      </c>
      <c r="AA130">
        <v>159</v>
      </c>
      <c r="AC130" t="s">
        <v>1473</v>
      </c>
      <c r="AD130" t="s">
        <v>1473</v>
      </c>
      <c r="AE130" t="s">
        <v>3652</v>
      </c>
      <c r="AF130" s="4"/>
    </row>
    <row r="131" spans="1:32">
      <c r="A131" t="s">
        <v>9518</v>
      </c>
      <c r="B131" t="s">
        <v>2193</v>
      </c>
      <c r="C131" t="s">
        <v>9519</v>
      </c>
      <c r="D131" t="s">
        <v>4444</v>
      </c>
      <c r="E131">
        <v>6600012912</v>
      </c>
      <c r="F131" t="s">
        <v>3533</v>
      </c>
      <c r="G131">
        <v>9424</v>
      </c>
      <c r="I131">
        <v>9424</v>
      </c>
      <c r="J131">
        <v>921</v>
      </c>
      <c r="K131" s="4">
        <v>45393</v>
      </c>
      <c r="L131" s="4">
        <v>45393</v>
      </c>
      <c r="M131">
        <v>2024</v>
      </c>
      <c r="N131">
        <v>4</v>
      </c>
      <c r="O131" s="4">
        <v>45383</v>
      </c>
      <c r="P131" t="s">
        <v>1473</v>
      </c>
      <c r="Q131" s="4"/>
      <c r="S131" t="s">
        <v>3533</v>
      </c>
      <c r="X131" t="s">
        <v>3681</v>
      </c>
      <c r="Z131">
        <v>159</v>
      </c>
      <c r="AA131">
        <v>159</v>
      </c>
      <c r="AC131" t="s">
        <v>1473</v>
      </c>
      <c r="AD131" t="s">
        <v>1473</v>
      </c>
      <c r="AE131" t="s">
        <v>3652</v>
      </c>
      <c r="AF131" s="4"/>
    </row>
    <row r="132" spans="1:32">
      <c r="A132" t="s">
        <v>9520</v>
      </c>
      <c r="B132" t="s">
        <v>2193</v>
      </c>
      <c r="C132" t="s">
        <v>9521</v>
      </c>
      <c r="D132" t="s">
        <v>52</v>
      </c>
      <c r="E132">
        <v>23002672</v>
      </c>
      <c r="F132" t="s">
        <v>9522</v>
      </c>
      <c r="G132">
        <v>0</v>
      </c>
      <c r="H132">
        <v>0</v>
      </c>
      <c r="I132">
        <v>0</v>
      </c>
      <c r="K132" s="4">
        <v>45413</v>
      </c>
      <c r="L132" s="4">
        <v>45413</v>
      </c>
      <c r="M132">
        <v>2024</v>
      </c>
      <c r="N132">
        <v>5</v>
      </c>
      <c r="O132" s="4">
        <v>45413</v>
      </c>
      <c r="P132" t="s">
        <v>95</v>
      </c>
      <c r="Q132" s="4"/>
      <c r="S132" t="s">
        <v>8058</v>
      </c>
      <c r="X132" t="s">
        <v>3681</v>
      </c>
      <c r="Z132">
        <v>139</v>
      </c>
      <c r="AA132">
        <v>139</v>
      </c>
      <c r="AC132" t="s">
        <v>1473</v>
      </c>
      <c r="AD132" t="s">
        <v>1473</v>
      </c>
      <c r="AE132" t="s">
        <v>9251</v>
      </c>
      <c r="AF132" s="4"/>
    </row>
    <row r="133" spans="1:32">
      <c r="A133" t="s">
        <v>9523</v>
      </c>
      <c r="B133" t="s">
        <v>9366</v>
      </c>
      <c r="C133" t="s">
        <v>4009</v>
      </c>
      <c r="D133" t="s">
        <v>54</v>
      </c>
      <c r="E133">
        <v>4590010392</v>
      </c>
      <c r="F133" t="s">
        <v>4002</v>
      </c>
      <c r="G133">
        <v>4040.89</v>
      </c>
      <c r="I133">
        <v>4040.89</v>
      </c>
      <c r="K133" s="4">
        <v>45345</v>
      </c>
      <c r="L133" s="4">
        <v>45520</v>
      </c>
      <c r="M133">
        <v>2024</v>
      </c>
      <c r="N133">
        <v>2</v>
      </c>
      <c r="O133" s="4">
        <v>45323</v>
      </c>
      <c r="P133" t="s">
        <v>1473</v>
      </c>
      <c r="Q133" s="4"/>
      <c r="R133" t="s">
        <v>4010</v>
      </c>
      <c r="T133">
        <v>45548</v>
      </c>
      <c r="U133">
        <v>4040.89</v>
      </c>
      <c r="V133">
        <v>1</v>
      </c>
      <c r="W133" t="s">
        <v>16</v>
      </c>
      <c r="X133" t="s">
        <v>4215</v>
      </c>
      <c r="Z133">
        <v>207</v>
      </c>
      <c r="AA133">
        <v>32</v>
      </c>
      <c r="AB133">
        <v>4590010392</v>
      </c>
      <c r="AC133" t="s">
        <v>95</v>
      </c>
      <c r="AD133" t="s">
        <v>95</v>
      </c>
      <c r="AE133" t="s">
        <v>9251</v>
      </c>
      <c r="AF133" s="4"/>
    </row>
    <row r="134" spans="1:32">
      <c r="A134" t="s">
        <v>9524</v>
      </c>
      <c r="B134" t="s">
        <v>9366</v>
      </c>
      <c r="C134" t="s">
        <v>4267</v>
      </c>
      <c r="D134" t="s">
        <v>54</v>
      </c>
      <c r="E134" t="s">
        <v>9525</v>
      </c>
      <c r="F134" t="s">
        <v>4231</v>
      </c>
      <c r="G134">
        <v>842.32</v>
      </c>
      <c r="I134">
        <v>842.32</v>
      </c>
      <c r="K134" s="4">
        <v>45496</v>
      </c>
      <c r="L134" s="4">
        <v>45496</v>
      </c>
      <c r="M134">
        <v>2024</v>
      </c>
      <c r="N134">
        <v>7</v>
      </c>
      <c r="O134" s="4">
        <v>45474</v>
      </c>
      <c r="P134" t="s">
        <v>1473</v>
      </c>
      <c r="Q134" s="4"/>
      <c r="S134" t="s">
        <v>4232</v>
      </c>
      <c r="T134">
        <v>45548</v>
      </c>
      <c r="U134">
        <v>1403.87</v>
      </c>
      <c r="V134">
        <v>0.59999857536666512</v>
      </c>
      <c r="W134" t="s">
        <v>16</v>
      </c>
      <c r="X134" t="s">
        <v>4215</v>
      </c>
      <c r="Z134">
        <v>56</v>
      </c>
      <c r="AA134">
        <v>56</v>
      </c>
      <c r="AB134" t="s">
        <v>9526</v>
      </c>
      <c r="AC134" t="s">
        <v>1473</v>
      </c>
      <c r="AE134" t="s">
        <v>9251</v>
      </c>
      <c r="AF134" s="4"/>
    </row>
    <row r="135" spans="1:32">
      <c r="A135" t="s">
        <v>9527</v>
      </c>
      <c r="B135" t="s">
        <v>2193</v>
      </c>
      <c r="C135" t="s">
        <v>9528</v>
      </c>
      <c r="D135" t="s">
        <v>43</v>
      </c>
      <c r="E135">
        <v>6369</v>
      </c>
      <c r="F135" t="s">
        <v>9529</v>
      </c>
      <c r="G135">
        <v>8455.34</v>
      </c>
      <c r="I135">
        <v>8455.34</v>
      </c>
      <c r="K135" s="4">
        <v>45461</v>
      </c>
      <c r="L135" s="4">
        <v>45462</v>
      </c>
      <c r="M135">
        <v>2024</v>
      </c>
      <c r="N135">
        <v>6</v>
      </c>
      <c r="O135" s="4">
        <v>45444</v>
      </c>
      <c r="P135" t="s">
        <v>89</v>
      </c>
      <c r="Q135" s="4"/>
      <c r="S135" t="s">
        <v>3015</v>
      </c>
      <c r="U135">
        <v>8455.34</v>
      </c>
      <c r="V135">
        <v>1</v>
      </c>
      <c r="W135" t="s">
        <v>17</v>
      </c>
      <c r="X135" t="s">
        <v>4074</v>
      </c>
      <c r="Z135" t="s">
        <v>89</v>
      </c>
      <c r="AA135" t="s">
        <v>89</v>
      </c>
      <c r="AC135" t="s">
        <v>89</v>
      </c>
      <c r="AD135" t="s">
        <v>1473</v>
      </c>
      <c r="AE135" t="s">
        <v>9251</v>
      </c>
      <c r="AF135" s="4">
        <v>45474</v>
      </c>
    </row>
    <row r="136" spans="1:32">
      <c r="A136" t="s">
        <v>9527</v>
      </c>
      <c r="B136" t="s">
        <v>2193</v>
      </c>
      <c r="C136" t="s">
        <v>9530</v>
      </c>
      <c r="D136" t="s">
        <v>43</v>
      </c>
      <c r="E136">
        <v>6369</v>
      </c>
      <c r="F136" t="s">
        <v>9531</v>
      </c>
      <c r="G136">
        <v>8455.34</v>
      </c>
      <c r="I136">
        <v>8455.34</v>
      </c>
      <c r="K136" s="4">
        <v>45461</v>
      </c>
      <c r="L136" s="4">
        <v>45462</v>
      </c>
      <c r="M136">
        <v>2024</v>
      </c>
      <c r="N136">
        <v>6</v>
      </c>
      <c r="O136" s="4">
        <v>45444</v>
      </c>
      <c r="P136" t="s">
        <v>89</v>
      </c>
      <c r="Q136" s="4"/>
      <c r="S136" t="s">
        <v>3013</v>
      </c>
      <c r="U136">
        <v>8455.34</v>
      </c>
      <c r="V136">
        <v>1</v>
      </c>
      <c r="W136" t="s">
        <v>17</v>
      </c>
      <c r="X136" t="s">
        <v>4074</v>
      </c>
      <c r="Z136" t="s">
        <v>89</v>
      </c>
      <c r="AA136" t="s">
        <v>89</v>
      </c>
      <c r="AC136" t="s">
        <v>89</v>
      </c>
      <c r="AD136" t="s">
        <v>1473</v>
      </c>
      <c r="AE136" t="s">
        <v>9251</v>
      </c>
      <c r="AF136" s="4">
        <v>45474</v>
      </c>
    </row>
    <row r="137" spans="1:32">
      <c r="A137" t="s">
        <v>9532</v>
      </c>
      <c r="B137" t="s">
        <v>2193</v>
      </c>
      <c r="C137" t="s">
        <v>9533</v>
      </c>
      <c r="D137" t="s">
        <v>34</v>
      </c>
      <c r="E137">
        <v>2919921</v>
      </c>
      <c r="F137" t="s">
        <v>9534</v>
      </c>
      <c r="G137">
        <v>0</v>
      </c>
      <c r="I137">
        <v>0</v>
      </c>
      <c r="K137" s="4">
        <v>45456</v>
      </c>
      <c r="L137" s="4">
        <v>45456</v>
      </c>
      <c r="M137">
        <v>2024</v>
      </c>
      <c r="N137">
        <v>6</v>
      </c>
      <c r="O137" s="4">
        <v>45444</v>
      </c>
      <c r="P137" t="s">
        <v>95</v>
      </c>
      <c r="Q137" s="4"/>
      <c r="R137" t="s">
        <v>9535</v>
      </c>
      <c r="T137" t="s">
        <v>9536</v>
      </c>
      <c r="U137">
        <v>501072</v>
      </c>
      <c r="V137">
        <v>0.03</v>
      </c>
      <c r="W137" t="s">
        <v>17</v>
      </c>
      <c r="X137" t="s">
        <v>9314</v>
      </c>
      <c r="Z137">
        <v>96</v>
      </c>
      <c r="AA137">
        <v>96</v>
      </c>
      <c r="AC137" t="s">
        <v>95</v>
      </c>
      <c r="AD137" t="s">
        <v>95</v>
      </c>
      <c r="AE137" t="s">
        <v>3652</v>
      </c>
      <c r="AF137" s="4"/>
    </row>
    <row r="138" spans="1:32">
      <c r="A138" t="s">
        <v>9537</v>
      </c>
      <c r="B138" t="s">
        <v>9366</v>
      </c>
      <c r="C138" t="s">
        <v>3966</v>
      </c>
      <c r="D138" t="s">
        <v>54</v>
      </c>
      <c r="E138">
        <v>4590008201</v>
      </c>
      <c r="F138" t="s">
        <v>3964</v>
      </c>
      <c r="G138">
        <v>650174.79</v>
      </c>
      <c r="I138">
        <v>650174.79</v>
      </c>
      <c r="J138">
        <v>650174.79</v>
      </c>
      <c r="K138" s="4">
        <v>45401</v>
      </c>
      <c r="L138" s="4">
        <v>45401</v>
      </c>
      <c r="M138">
        <v>2024</v>
      </c>
      <c r="N138">
        <v>4</v>
      </c>
      <c r="O138" s="4">
        <v>45383</v>
      </c>
      <c r="P138" t="s">
        <v>89</v>
      </c>
      <c r="Q138" s="4">
        <v>45503</v>
      </c>
      <c r="S138" t="s">
        <v>3965</v>
      </c>
      <c r="T138">
        <v>45484</v>
      </c>
      <c r="U138">
        <v>650174.79</v>
      </c>
      <c r="V138">
        <v>1</v>
      </c>
      <c r="W138" t="s">
        <v>17</v>
      </c>
      <c r="X138" t="s">
        <v>3900</v>
      </c>
      <c r="Z138" t="s">
        <v>89</v>
      </c>
      <c r="AA138" t="s">
        <v>89</v>
      </c>
      <c r="AB138" t="s">
        <v>9538</v>
      </c>
      <c r="AC138" t="s">
        <v>89</v>
      </c>
      <c r="AD138" t="s">
        <v>625</v>
      </c>
      <c r="AE138" t="s">
        <v>9251</v>
      </c>
      <c r="AF138" s="4"/>
    </row>
    <row r="139" spans="1:32">
      <c r="A139" t="s">
        <v>9539</v>
      </c>
      <c r="B139" t="s">
        <v>9366</v>
      </c>
      <c r="C139" t="s">
        <v>4263</v>
      </c>
      <c r="D139" t="s">
        <v>54</v>
      </c>
      <c r="E139" t="s">
        <v>9540</v>
      </c>
      <c r="F139" t="s">
        <v>4239</v>
      </c>
      <c r="G139">
        <v>1684.64</v>
      </c>
      <c r="I139">
        <v>1684.64</v>
      </c>
      <c r="K139" s="4">
        <v>45496</v>
      </c>
      <c r="L139" s="4">
        <v>45496</v>
      </c>
      <c r="M139">
        <v>2024</v>
      </c>
      <c r="N139">
        <v>7</v>
      </c>
      <c r="O139" s="4">
        <v>45474</v>
      </c>
      <c r="P139" t="s">
        <v>1473</v>
      </c>
      <c r="Q139" s="4"/>
      <c r="S139" t="s">
        <v>4240</v>
      </c>
      <c r="T139">
        <v>45548</v>
      </c>
      <c r="U139">
        <v>2807.74</v>
      </c>
      <c r="V139">
        <v>0.59999857536666512</v>
      </c>
      <c r="W139" t="s">
        <v>16</v>
      </c>
      <c r="X139" t="s">
        <v>4215</v>
      </c>
      <c r="Z139">
        <v>56</v>
      </c>
      <c r="AA139">
        <v>56</v>
      </c>
      <c r="AB139" t="s">
        <v>9526</v>
      </c>
      <c r="AC139" t="s">
        <v>1473</v>
      </c>
      <c r="AE139" t="s">
        <v>9251</v>
      </c>
      <c r="AF139" s="4"/>
    </row>
    <row r="140" spans="1:32">
      <c r="A140" t="s">
        <v>9541</v>
      </c>
      <c r="B140" t="s">
        <v>9366</v>
      </c>
      <c r="C140" t="s">
        <v>3978</v>
      </c>
      <c r="D140" t="s">
        <v>54</v>
      </c>
      <c r="E140">
        <v>4590008205</v>
      </c>
      <c r="F140" t="s">
        <v>3976</v>
      </c>
      <c r="G140">
        <v>443461.9</v>
      </c>
      <c r="I140">
        <v>443461.9</v>
      </c>
      <c r="J140">
        <v>443461.9</v>
      </c>
      <c r="K140" s="4">
        <v>45315</v>
      </c>
      <c r="L140" s="4">
        <v>45315</v>
      </c>
      <c r="M140">
        <v>2024</v>
      </c>
      <c r="N140">
        <v>1</v>
      </c>
      <c r="O140" s="4">
        <v>45292</v>
      </c>
      <c r="P140" t="s">
        <v>89</v>
      </c>
      <c r="Q140" s="4">
        <v>45412</v>
      </c>
      <c r="S140" t="s">
        <v>3977</v>
      </c>
      <c r="U140">
        <v>466802</v>
      </c>
      <c r="V140">
        <v>0.95000000000000007</v>
      </c>
      <c r="W140" t="s">
        <v>17</v>
      </c>
      <c r="X140" t="s">
        <v>3900</v>
      </c>
      <c r="Z140" t="s">
        <v>89</v>
      </c>
      <c r="AA140" t="s">
        <v>89</v>
      </c>
      <c r="AC140" t="s">
        <v>89</v>
      </c>
      <c r="AD140" t="s">
        <v>89</v>
      </c>
      <c r="AE140" t="s">
        <v>3652</v>
      </c>
      <c r="AF140" s="4"/>
    </row>
    <row r="141" spans="1:32">
      <c r="A141" t="s">
        <v>9542</v>
      </c>
      <c r="B141" t="s">
        <v>9366</v>
      </c>
      <c r="C141" t="s">
        <v>3998</v>
      </c>
      <c r="D141" t="s">
        <v>54</v>
      </c>
      <c r="E141">
        <v>4590010102</v>
      </c>
      <c r="F141" t="s">
        <v>3995</v>
      </c>
      <c r="G141">
        <v>354.20000000000005</v>
      </c>
      <c r="I141">
        <v>354.20000000000005</v>
      </c>
      <c r="J141">
        <v>354.20000000000005</v>
      </c>
      <c r="K141" s="4">
        <v>45422</v>
      </c>
      <c r="L141" s="4">
        <v>45422</v>
      </c>
      <c r="M141">
        <v>2024</v>
      </c>
      <c r="N141">
        <v>5</v>
      </c>
      <c r="O141" s="4">
        <v>45413</v>
      </c>
      <c r="P141" t="s">
        <v>89</v>
      </c>
      <c r="Q141" s="4">
        <v>45471</v>
      </c>
      <c r="T141">
        <v>45443</v>
      </c>
      <c r="U141">
        <v>7084</v>
      </c>
      <c r="V141">
        <v>0.05</v>
      </c>
      <c r="W141" t="s">
        <v>10</v>
      </c>
      <c r="X141" t="s">
        <v>10</v>
      </c>
      <c r="Z141" t="s">
        <v>89</v>
      </c>
      <c r="AA141" t="s">
        <v>89</v>
      </c>
      <c r="AC141" t="s">
        <v>89</v>
      </c>
      <c r="AD141" t="s">
        <v>89</v>
      </c>
      <c r="AE141" t="s">
        <v>3652</v>
      </c>
      <c r="AF141" s="4"/>
    </row>
    <row r="142" spans="1:32">
      <c r="A142" t="s">
        <v>9543</v>
      </c>
      <c r="B142" t="s">
        <v>9366</v>
      </c>
      <c r="D142" t="s">
        <v>54</v>
      </c>
      <c r="E142">
        <v>4590010102</v>
      </c>
      <c r="F142" t="s">
        <v>3995</v>
      </c>
      <c r="G142">
        <v>6729.8</v>
      </c>
      <c r="I142">
        <v>6729.8</v>
      </c>
      <c r="J142">
        <v>6729.8</v>
      </c>
      <c r="K142" s="4">
        <v>45231</v>
      </c>
      <c r="L142" s="4">
        <v>45231</v>
      </c>
      <c r="M142">
        <v>2023</v>
      </c>
      <c r="N142">
        <v>11</v>
      </c>
      <c r="O142" s="4">
        <v>45231</v>
      </c>
      <c r="P142" t="s">
        <v>89</v>
      </c>
      <c r="Q142" s="4">
        <v>45275</v>
      </c>
      <c r="U142">
        <v>7084</v>
      </c>
      <c r="V142">
        <v>0.95000000000000007</v>
      </c>
      <c r="W142" t="s">
        <v>10</v>
      </c>
      <c r="X142" t="s">
        <v>10</v>
      </c>
      <c r="Z142" t="s">
        <v>89</v>
      </c>
      <c r="AA142" t="s">
        <v>89</v>
      </c>
      <c r="AC142" t="s">
        <v>89</v>
      </c>
      <c r="AD142">
        <v>0</v>
      </c>
      <c r="AE142" t="s">
        <v>9251</v>
      </c>
      <c r="AF142" s="4"/>
    </row>
    <row r="143" spans="1:32">
      <c r="A143" t="s">
        <v>9544</v>
      </c>
      <c r="B143" t="s">
        <v>9366</v>
      </c>
      <c r="C143" t="s">
        <v>4859</v>
      </c>
      <c r="D143" t="s">
        <v>54</v>
      </c>
      <c r="E143" t="s">
        <v>9545</v>
      </c>
      <c r="F143" t="s">
        <v>4243</v>
      </c>
      <c r="G143">
        <v>842.32</v>
      </c>
      <c r="I143">
        <v>842.32</v>
      </c>
      <c r="K143" s="4">
        <v>45496</v>
      </c>
      <c r="L143" s="4">
        <v>45496</v>
      </c>
      <c r="M143">
        <v>2024</v>
      </c>
      <c r="N143">
        <v>7</v>
      </c>
      <c r="O143" s="4">
        <v>45474</v>
      </c>
      <c r="P143" t="s">
        <v>1473</v>
      </c>
      <c r="Q143" s="4"/>
      <c r="S143" t="s">
        <v>4244</v>
      </c>
      <c r="T143">
        <v>45548</v>
      </c>
      <c r="U143">
        <v>1403.87</v>
      </c>
      <c r="V143">
        <v>0.59999857536666512</v>
      </c>
      <c r="W143" t="s">
        <v>16</v>
      </c>
      <c r="X143" t="s">
        <v>4215</v>
      </c>
      <c r="Z143">
        <v>56</v>
      </c>
      <c r="AA143">
        <v>56</v>
      </c>
      <c r="AB143" t="s">
        <v>9526</v>
      </c>
      <c r="AC143" t="s">
        <v>1473</v>
      </c>
      <c r="AE143" t="s">
        <v>9251</v>
      </c>
      <c r="AF143" s="4"/>
    </row>
    <row r="144" spans="1:32">
      <c r="A144" t="s">
        <v>9546</v>
      </c>
      <c r="B144" t="s">
        <v>9366</v>
      </c>
      <c r="C144" t="s">
        <v>4019</v>
      </c>
      <c r="D144" t="s">
        <v>54</v>
      </c>
      <c r="E144">
        <v>4590010563</v>
      </c>
      <c r="F144" t="s">
        <v>4015</v>
      </c>
      <c r="G144">
        <v>17044.27</v>
      </c>
      <c r="I144">
        <v>17044.27</v>
      </c>
      <c r="J144">
        <v>17044.27</v>
      </c>
      <c r="K144" s="4">
        <v>45471</v>
      </c>
      <c r="L144" s="4">
        <v>45471</v>
      </c>
      <c r="M144">
        <v>2024</v>
      </c>
      <c r="N144">
        <v>6</v>
      </c>
      <c r="O144" s="4">
        <v>45444</v>
      </c>
      <c r="P144" t="s">
        <v>89</v>
      </c>
      <c r="Q144" s="4">
        <v>45503</v>
      </c>
      <c r="T144">
        <v>45484</v>
      </c>
      <c r="U144">
        <v>17044.27</v>
      </c>
      <c r="V144">
        <v>1</v>
      </c>
      <c r="W144" t="s">
        <v>10</v>
      </c>
      <c r="X144" t="s">
        <v>10</v>
      </c>
      <c r="Z144" t="s">
        <v>89</v>
      </c>
      <c r="AA144" t="s">
        <v>89</v>
      </c>
      <c r="AC144" t="s">
        <v>89</v>
      </c>
      <c r="AD144" t="s">
        <v>625</v>
      </c>
      <c r="AE144" t="s">
        <v>9251</v>
      </c>
      <c r="AF144" s="4"/>
    </row>
    <row r="145" spans="1:32">
      <c r="A145" t="s">
        <v>9547</v>
      </c>
      <c r="B145" t="s">
        <v>9366</v>
      </c>
      <c r="C145" t="s">
        <v>4035</v>
      </c>
      <c r="D145" t="s">
        <v>54</v>
      </c>
      <c r="E145">
        <v>4590012444</v>
      </c>
      <c r="F145" t="s">
        <v>4029</v>
      </c>
      <c r="G145">
        <v>1135</v>
      </c>
      <c r="I145">
        <v>1135</v>
      </c>
      <c r="J145">
        <v>1135</v>
      </c>
      <c r="K145" s="4">
        <v>45345</v>
      </c>
      <c r="L145" s="4">
        <v>45436</v>
      </c>
      <c r="M145">
        <v>2024</v>
      </c>
      <c r="N145">
        <v>2</v>
      </c>
      <c r="O145" s="4">
        <v>45323</v>
      </c>
      <c r="P145" t="s">
        <v>89</v>
      </c>
      <c r="Q145" s="4">
        <v>45488</v>
      </c>
      <c r="R145" t="s">
        <v>4036</v>
      </c>
      <c r="S145" t="s">
        <v>2557</v>
      </c>
      <c r="T145">
        <v>45470</v>
      </c>
      <c r="U145">
        <v>1135</v>
      </c>
      <c r="V145">
        <v>1</v>
      </c>
      <c r="W145" t="s">
        <v>17</v>
      </c>
      <c r="X145" t="s">
        <v>3932</v>
      </c>
      <c r="Z145" t="s">
        <v>89</v>
      </c>
      <c r="AA145" t="s">
        <v>89</v>
      </c>
      <c r="AB145" t="s">
        <v>9548</v>
      </c>
      <c r="AC145" t="s">
        <v>89</v>
      </c>
      <c r="AD145" t="s">
        <v>89</v>
      </c>
      <c r="AE145" t="s">
        <v>3652</v>
      </c>
      <c r="AF145" s="4"/>
    </row>
    <row r="146" spans="1:32">
      <c r="A146" t="s">
        <v>9549</v>
      </c>
      <c r="B146" t="s">
        <v>9366</v>
      </c>
      <c r="C146" t="s">
        <v>4040</v>
      </c>
      <c r="D146" t="s">
        <v>54</v>
      </c>
      <c r="E146">
        <v>4590012447</v>
      </c>
      <c r="F146" t="s">
        <v>4037</v>
      </c>
      <c r="G146">
        <v>3091</v>
      </c>
      <c r="I146">
        <v>3091</v>
      </c>
      <c r="K146" s="4">
        <v>45345</v>
      </c>
      <c r="L146" s="4">
        <v>45345</v>
      </c>
      <c r="M146">
        <v>2024</v>
      </c>
      <c r="N146">
        <v>2</v>
      </c>
      <c r="O146" s="4">
        <v>45323</v>
      </c>
      <c r="P146" t="s">
        <v>95</v>
      </c>
      <c r="Q146" s="4"/>
      <c r="R146" t="s">
        <v>9550</v>
      </c>
      <c r="S146" t="s">
        <v>2557</v>
      </c>
      <c r="T146">
        <v>45484</v>
      </c>
      <c r="U146">
        <v>3091</v>
      </c>
      <c r="V146">
        <v>1</v>
      </c>
      <c r="W146" t="s">
        <v>17</v>
      </c>
      <c r="X146" t="s">
        <v>3932</v>
      </c>
      <c r="Z146">
        <v>207</v>
      </c>
      <c r="AA146">
        <v>207</v>
      </c>
      <c r="AC146" t="s">
        <v>95</v>
      </c>
      <c r="AD146" t="s">
        <v>95</v>
      </c>
      <c r="AE146" t="s">
        <v>3652</v>
      </c>
      <c r="AF146" s="4"/>
    </row>
    <row r="147" spans="1:32">
      <c r="A147" t="s">
        <v>9551</v>
      </c>
      <c r="B147" t="s">
        <v>9366</v>
      </c>
      <c r="D147" t="s">
        <v>54</v>
      </c>
      <c r="E147">
        <v>4590012628</v>
      </c>
      <c r="F147" t="s">
        <v>4043</v>
      </c>
      <c r="G147">
        <v>49023</v>
      </c>
      <c r="I147">
        <v>49023</v>
      </c>
      <c r="J147">
        <v>49023</v>
      </c>
      <c r="K147" s="4">
        <v>45200</v>
      </c>
      <c r="L147" s="4">
        <v>45200</v>
      </c>
      <c r="M147">
        <v>2023</v>
      </c>
      <c r="N147">
        <v>10</v>
      </c>
      <c r="O147" s="4">
        <v>45200</v>
      </c>
      <c r="P147" t="s">
        <v>89</v>
      </c>
      <c r="Q147" s="4">
        <v>45260</v>
      </c>
      <c r="U147">
        <v>49023</v>
      </c>
      <c r="V147">
        <v>1</v>
      </c>
      <c r="W147" t="s">
        <v>17</v>
      </c>
      <c r="X147" t="s">
        <v>10</v>
      </c>
      <c r="Z147" t="s">
        <v>89</v>
      </c>
      <c r="AA147" t="s">
        <v>89</v>
      </c>
      <c r="AC147" t="s">
        <v>89</v>
      </c>
      <c r="AD147" t="s">
        <v>89</v>
      </c>
      <c r="AE147" t="s">
        <v>3652</v>
      </c>
      <c r="AF147" s="4"/>
    </row>
    <row r="148" spans="1:32">
      <c r="A148" t="s">
        <v>9552</v>
      </c>
      <c r="B148" t="s">
        <v>9366</v>
      </c>
      <c r="C148" t="s">
        <v>4053</v>
      </c>
      <c r="D148" t="s">
        <v>54</v>
      </c>
      <c r="E148">
        <v>4590012853</v>
      </c>
      <c r="F148" t="s">
        <v>4050</v>
      </c>
      <c r="G148">
        <v>183660.46</v>
      </c>
      <c r="I148">
        <v>183660.46</v>
      </c>
      <c r="J148">
        <v>183660.46</v>
      </c>
      <c r="K148" s="4">
        <v>45231</v>
      </c>
      <c r="L148" s="4">
        <v>45231</v>
      </c>
      <c r="M148">
        <v>2023</v>
      </c>
      <c r="N148">
        <v>11</v>
      </c>
      <c r="O148" s="4">
        <v>45231</v>
      </c>
      <c r="P148" t="s">
        <v>89</v>
      </c>
      <c r="Q148" s="4">
        <v>45337</v>
      </c>
      <c r="U148">
        <v>193326.8</v>
      </c>
      <c r="V148">
        <v>0.95000000000000007</v>
      </c>
      <c r="W148" t="s">
        <v>19</v>
      </c>
      <c r="X148" t="s">
        <v>19</v>
      </c>
      <c r="Z148" t="s">
        <v>89</v>
      </c>
      <c r="AA148" t="s">
        <v>89</v>
      </c>
      <c r="AC148" t="s">
        <v>89</v>
      </c>
      <c r="AD148">
        <v>0</v>
      </c>
      <c r="AE148" t="s">
        <v>9251</v>
      </c>
      <c r="AF148" s="4"/>
    </row>
    <row r="149" spans="1:32">
      <c r="A149" t="s">
        <v>9553</v>
      </c>
      <c r="B149" t="s">
        <v>9366</v>
      </c>
      <c r="D149" t="s">
        <v>54</v>
      </c>
      <c r="E149">
        <v>4590012955</v>
      </c>
      <c r="F149" t="s">
        <v>4054</v>
      </c>
      <c r="G149">
        <v>55238</v>
      </c>
      <c r="I149">
        <v>55238</v>
      </c>
      <c r="J149">
        <v>55238</v>
      </c>
      <c r="K149" s="4">
        <v>45200</v>
      </c>
      <c r="L149" s="4">
        <v>45200</v>
      </c>
      <c r="M149">
        <v>2023</v>
      </c>
      <c r="N149">
        <v>10</v>
      </c>
      <c r="O149" s="4">
        <v>45200</v>
      </c>
      <c r="P149" t="s">
        <v>89</v>
      </c>
      <c r="Q149" s="4">
        <v>45260</v>
      </c>
      <c r="U149">
        <v>55238</v>
      </c>
      <c r="V149">
        <v>1</v>
      </c>
      <c r="W149" t="s">
        <v>10</v>
      </c>
      <c r="X149" t="s">
        <v>10</v>
      </c>
      <c r="Z149" t="s">
        <v>89</v>
      </c>
      <c r="AA149" t="s">
        <v>89</v>
      </c>
      <c r="AC149" t="s">
        <v>89</v>
      </c>
      <c r="AD149">
        <v>0</v>
      </c>
      <c r="AE149" t="s">
        <v>9251</v>
      </c>
      <c r="AF149" s="4"/>
    </row>
    <row r="150" spans="1:32">
      <c r="A150" t="s">
        <v>9554</v>
      </c>
      <c r="B150" t="s">
        <v>9366</v>
      </c>
      <c r="C150" t="s">
        <v>4065</v>
      </c>
      <c r="D150" t="s">
        <v>54</v>
      </c>
      <c r="E150">
        <v>4590013195</v>
      </c>
      <c r="F150" t="s">
        <v>4062</v>
      </c>
      <c r="G150">
        <v>12107</v>
      </c>
      <c r="I150">
        <v>12107</v>
      </c>
      <c r="J150">
        <v>12107</v>
      </c>
      <c r="K150" s="4">
        <v>45345</v>
      </c>
      <c r="L150" s="4">
        <v>45345</v>
      </c>
      <c r="M150">
        <v>2024</v>
      </c>
      <c r="N150">
        <v>2</v>
      </c>
      <c r="O150" s="4">
        <v>45323</v>
      </c>
      <c r="P150" t="s">
        <v>89</v>
      </c>
      <c r="Q150" s="4">
        <v>45366</v>
      </c>
      <c r="U150">
        <v>12107</v>
      </c>
      <c r="V150">
        <v>1</v>
      </c>
      <c r="W150" t="s">
        <v>10</v>
      </c>
      <c r="X150" t="s">
        <v>10</v>
      </c>
      <c r="Z150" t="s">
        <v>89</v>
      </c>
      <c r="AA150" t="s">
        <v>89</v>
      </c>
      <c r="AC150" t="s">
        <v>89</v>
      </c>
      <c r="AD150" t="s">
        <v>89</v>
      </c>
      <c r="AE150" t="s">
        <v>3652</v>
      </c>
      <c r="AF150" s="4"/>
    </row>
    <row r="151" spans="1:32">
      <c r="A151" t="s">
        <v>9555</v>
      </c>
      <c r="B151" t="s">
        <v>9366</v>
      </c>
      <c r="C151" t="s">
        <v>4252</v>
      </c>
      <c r="D151" t="s">
        <v>54</v>
      </c>
      <c r="E151" t="s">
        <v>9556</v>
      </c>
      <c r="F151" t="s">
        <v>4250</v>
      </c>
      <c r="G151">
        <v>1403.87</v>
      </c>
      <c r="I151">
        <v>1403.87</v>
      </c>
      <c r="K151" s="4">
        <v>45496</v>
      </c>
      <c r="L151" s="4">
        <v>45496</v>
      </c>
      <c r="M151">
        <v>2024</v>
      </c>
      <c r="N151">
        <v>7</v>
      </c>
      <c r="O151" s="4">
        <v>45474</v>
      </c>
      <c r="P151" t="s">
        <v>1473</v>
      </c>
      <c r="Q151" s="4"/>
      <c r="S151" t="s">
        <v>4251</v>
      </c>
      <c r="T151">
        <v>45548</v>
      </c>
      <c r="U151">
        <v>1403.87</v>
      </c>
      <c r="V151">
        <v>1</v>
      </c>
      <c r="W151" t="s">
        <v>16</v>
      </c>
      <c r="X151" t="s">
        <v>4215</v>
      </c>
      <c r="Z151">
        <v>56</v>
      </c>
      <c r="AA151">
        <v>56</v>
      </c>
      <c r="AB151" t="s">
        <v>9526</v>
      </c>
      <c r="AC151" t="s">
        <v>1473</v>
      </c>
      <c r="AE151" t="s">
        <v>9251</v>
      </c>
      <c r="AF151" s="4"/>
    </row>
    <row r="152" spans="1:32">
      <c r="A152" t="s">
        <v>9557</v>
      </c>
      <c r="B152" t="s">
        <v>9366</v>
      </c>
      <c r="C152" t="s">
        <v>4259</v>
      </c>
      <c r="D152" t="s">
        <v>54</v>
      </c>
      <c r="E152" t="s">
        <v>9558</v>
      </c>
      <c r="F152" t="s">
        <v>4253</v>
      </c>
      <c r="G152">
        <v>1403.87</v>
      </c>
      <c r="I152">
        <v>1403.87</v>
      </c>
      <c r="K152" s="4">
        <v>45496</v>
      </c>
      <c r="L152" s="4">
        <v>45496</v>
      </c>
      <c r="M152">
        <v>2024</v>
      </c>
      <c r="N152">
        <v>7</v>
      </c>
      <c r="O152" s="4">
        <v>45474</v>
      </c>
      <c r="P152" t="s">
        <v>1473</v>
      </c>
      <c r="Q152" s="4"/>
      <c r="S152" t="s">
        <v>4254</v>
      </c>
      <c r="T152">
        <v>45548</v>
      </c>
      <c r="U152">
        <v>1403.87</v>
      </c>
      <c r="V152">
        <v>1</v>
      </c>
      <c r="W152" t="s">
        <v>16</v>
      </c>
      <c r="X152" t="s">
        <v>4215</v>
      </c>
      <c r="Z152">
        <v>56</v>
      </c>
      <c r="AA152">
        <v>56</v>
      </c>
      <c r="AB152" t="s">
        <v>9526</v>
      </c>
      <c r="AC152" t="s">
        <v>1473</v>
      </c>
      <c r="AE152" t="s">
        <v>9251</v>
      </c>
      <c r="AF152" s="4"/>
    </row>
    <row r="153" spans="1:32">
      <c r="A153" t="s">
        <v>9559</v>
      </c>
      <c r="B153" t="s">
        <v>9366</v>
      </c>
      <c r="C153" t="s">
        <v>4096</v>
      </c>
      <c r="D153" t="s">
        <v>54</v>
      </c>
      <c r="E153">
        <v>4590013927</v>
      </c>
      <c r="F153" t="s">
        <v>4094</v>
      </c>
      <c r="G153">
        <v>646</v>
      </c>
      <c r="I153">
        <v>646</v>
      </c>
      <c r="J153">
        <v>646</v>
      </c>
      <c r="K153" s="4">
        <v>45345</v>
      </c>
      <c r="L153" s="4">
        <v>45345</v>
      </c>
      <c r="M153">
        <v>2024</v>
      </c>
      <c r="N153">
        <v>2</v>
      </c>
      <c r="O153" s="4">
        <v>45323</v>
      </c>
      <c r="P153" t="s">
        <v>89</v>
      </c>
      <c r="Q153" s="4">
        <v>45380</v>
      </c>
      <c r="S153" t="s">
        <v>2557</v>
      </c>
      <c r="U153">
        <v>646</v>
      </c>
      <c r="V153">
        <v>1</v>
      </c>
      <c r="W153" t="s">
        <v>16</v>
      </c>
      <c r="X153" t="s">
        <v>3932</v>
      </c>
      <c r="Z153" t="s">
        <v>89</v>
      </c>
      <c r="AA153" t="s">
        <v>89</v>
      </c>
      <c r="AC153" t="s">
        <v>89</v>
      </c>
      <c r="AD153" t="s">
        <v>89</v>
      </c>
      <c r="AE153" t="s">
        <v>3652</v>
      </c>
      <c r="AF153" s="4"/>
    </row>
    <row r="154" spans="1:32">
      <c r="A154" t="s">
        <v>9560</v>
      </c>
      <c r="B154" t="s">
        <v>9366</v>
      </c>
      <c r="C154" t="s">
        <v>4103</v>
      </c>
      <c r="D154" t="s">
        <v>54</v>
      </c>
      <c r="E154">
        <v>4590013968</v>
      </c>
      <c r="F154" t="s">
        <v>4100</v>
      </c>
      <c r="G154">
        <v>29498.12</v>
      </c>
      <c r="I154">
        <v>29498.12</v>
      </c>
      <c r="J154">
        <v>29498.12</v>
      </c>
      <c r="K154" s="4">
        <v>45345</v>
      </c>
      <c r="L154" s="4">
        <v>45345</v>
      </c>
      <c r="M154">
        <v>2024</v>
      </c>
      <c r="N154">
        <v>2</v>
      </c>
      <c r="O154" s="4">
        <v>45323</v>
      </c>
      <c r="P154" t="s">
        <v>89</v>
      </c>
      <c r="Q154" s="4">
        <v>45471</v>
      </c>
      <c r="S154" t="s">
        <v>2587</v>
      </c>
      <c r="T154">
        <v>45450</v>
      </c>
      <c r="U154">
        <v>29498.12</v>
      </c>
      <c r="V154">
        <v>1</v>
      </c>
      <c r="W154" t="s">
        <v>16</v>
      </c>
      <c r="X154" t="s">
        <v>4102</v>
      </c>
      <c r="Z154" t="s">
        <v>89</v>
      </c>
      <c r="AA154" t="s">
        <v>89</v>
      </c>
      <c r="AB154" t="s">
        <v>9561</v>
      </c>
      <c r="AC154" t="s">
        <v>89</v>
      </c>
      <c r="AD154" t="s">
        <v>89</v>
      </c>
      <c r="AE154" t="s">
        <v>3652</v>
      </c>
      <c r="AF154" s="4"/>
    </row>
    <row r="155" spans="1:32">
      <c r="A155" t="s">
        <v>9562</v>
      </c>
      <c r="B155" t="s">
        <v>9366</v>
      </c>
      <c r="C155" t="s">
        <v>4110</v>
      </c>
      <c r="D155" t="s">
        <v>54</v>
      </c>
      <c r="E155">
        <v>4590013977</v>
      </c>
      <c r="F155" t="s">
        <v>4104</v>
      </c>
      <c r="G155">
        <v>2165</v>
      </c>
      <c r="I155">
        <v>2165</v>
      </c>
      <c r="J155">
        <v>2165</v>
      </c>
      <c r="K155" s="4">
        <v>45320</v>
      </c>
      <c r="L155" s="4">
        <v>45320</v>
      </c>
      <c r="M155">
        <v>2024</v>
      </c>
      <c r="N155">
        <v>1</v>
      </c>
      <c r="O155" s="4">
        <v>45292</v>
      </c>
      <c r="P155" t="s">
        <v>89</v>
      </c>
      <c r="Q155" s="4">
        <v>45442</v>
      </c>
      <c r="S155" t="s">
        <v>3164</v>
      </c>
      <c r="U155">
        <v>2165</v>
      </c>
      <c r="V155">
        <v>1</v>
      </c>
      <c r="W155" t="s">
        <v>16</v>
      </c>
      <c r="X155" t="s">
        <v>4109</v>
      </c>
      <c r="Z155" t="s">
        <v>89</v>
      </c>
      <c r="AA155" t="s">
        <v>89</v>
      </c>
      <c r="AC155" t="s">
        <v>89</v>
      </c>
      <c r="AD155" t="s">
        <v>89</v>
      </c>
      <c r="AE155" t="s">
        <v>3652</v>
      </c>
      <c r="AF155" s="4"/>
    </row>
    <row r="156" spans="1:32">
      <c r="A156" t="s">
        <v>9563</v>
      </c>
      <c r="B156" t="s">
        <v>9366</v>
      </c>
      <c r="C156" t="s">
        <v>4114</v>
      </c>
      <c r="D156" t="s">
        <v>54</v>
      </c>
      <c r="E156">
        <v>4590013978</v>
      </c>
      <c r="F156" t="s">
        <v>4111</v>
      </c>
      <c r="G156">
        <v>5418.75</v>
      </c>
      <c r="I156">
        <v>5418.75</v>
      </c>
      <c r="J156">
        <v>5418.75</v>
      </c>
      <c r="K156" s="4">
        <v>45320</v>
      </c>
      <c r="L156" s="4">
        <v>45320</v>
      </c>
      <c r="M156">
        <v>2024</v>
      </c>
      <c r="N156">
        <v>1</v>
      </c>
      <c r="O156" s="4">
        <v>45292</v>
      </c>
      <c r="P156" t="s">
        <v>89</v>
      </c>
      <c r="Q156" s="4">
        <v>45442</v>
      </c>
      <c r="S156" t="s">
        <v>3167</v>
      </c>
      <c r="U156">
        <v>5418.75</v>
      </c>
      <c r="V156">
        <v>1</v>
      </c>
      <c r="W156" t="s">
        <v>16</v>
      </c>
      <c r="X156" t="s">
        <v>4109</v>
      </c>
      <c r="Z156" t="s">
        <v>89</v>
      </c>
      <c r="AA156" t="s">
        <v>89</v>
      </c>
      <c r="AC156" t="s">
        <v>89</v>
      </c>
      <c r="AD156" t="s">
        <v>89</v>
      </c>
      <c r="AE156" t="s">
        <v>3652</v>
      </c>
      <c r="AF156" s="4"/>
    </row>
    <row r="157" spans="1:32">
      <c r="A157" t="s">
        <v>9564</v>
      </c>
      <c r="B157" t="s">
        <v>9366</v>
      </c>
      <c r="C157" t="s">
        <v>4119</v>
      </c>
      <c r="D157" t="s">
        <v>54</v>
      </c>
      <c r="E157">
        <v>4590013979</v>
      </c>
      <c r="F157" t="s">
        <v>4115</v>
      </c>
      <c r="G157">
        <v>2478</v>
      </c>
      <c r="I157">
        <v>2478</v>
      </c>
      <c r="J157">
        <v>2478</v>
      </c>
      <c r="K157" s="4">
        <v>45320</v>
      </c>
      <c r="L157" s="4">
        <v>45320</v>
      </c>
      <c r="M157">
        <v>2024</v>
      </c>
      <c r="N157">
        <v>1</v>
      </c>
      <c r="O157" s="4">
        <v>45292</v>
      </c>
      <c r="P157" t="s">
        <v>89</v>
      </c>
      <c r="Q157" s="4">
        <v>45351</v>
      </c>
      <c r="S157" t="s">
        <v>4118</v>
      </c>
      <c r="U157">
        <v>2478</v>
      </c>
      <c r="V157">
        <v>1</v>
      </c>
      <c r="W157" t="s">
        <v>16</v>
      </c>
      <c r="X157" t="s">
        <v>3718</v>
      </c>
      <c r="Z157" t="s">
        <v>89</v>
      </c>
      <c r="AA157" t="s">
        <v>89</v>
      </c>
      <c r="AC157" t="s">
        <v>89</v>
      </c>
      <c r="AD157" t="s">
        <v>89</v>
      </c>
      <c r="AE157" t="s">
        <v>3652</v>
      </c>
      <c r="AF157" s="4"/>
    </row>
    <row r="158" spans="1:32">
      <c r="A158" t="s">
        <v>9565</v>
      </c>
      <c r="B158" t="s">
        <v>9366</v>
      </c>
      <c r="C158" t="s">
        <v>4124</v>
      </c>
      <c r="D158" t="s">
        <v>54</v>
      </c>
      <c r="E158">
        <v>4590013980</v>
      </c>
      <c r="F158" t="s">
        <v>4120</v>
      </c>
      <c r="G158">
        <v>4954</v>
      </c>
      <c r="I158">
        <v>4954</v>
      </c>
      <c r="J158">
        <v>4954</v>
      </c>
      <c r="K158" s="4">
        <v>45320</v>
      </c>
      <c r="L158" s="4">
        <v>45320</v>
      </c>
      <c r="M158">
        <v>2024</v>
      </c>
      <c r="N158">
        <v>1</v>
      </c>
      <c r="O158" s="4">
        <v>45292</v>
      </c>
      <c r="P158" t="s">
        <v>89</v>
      </c>
      <c r="Q158" s="4">
        <v>45351</v>
      </c>
      <c r="S158" t="s">
        <v>4123</v>
      </c>
      <c r="U158">
        <v>4954</v>
      </c>
      <c r="V158">
        <v>1</v>
      </c>
      <c r="W158" t="s">
        <v>16</v>
      </c>
      <c r="X158" t="s">
        <v>3718</v>
      </c>
      <c r="Z158" t="s">
        <v>89</v>
      </c>
      <c r="AA158" t="s">
        <v>89</v>
      </c>
      <c r="AC158" t="s">
        <v>89</v>
      </c>
      <c r="AD158" t="s">
        <v>89</v>
      </c>
      <c r="AE158" t="s">
        <v>3652</v>
      </c>
      <c r="AF158" s="4"/>
    </row>
    <row r="159" spans="1:32">
      <c r="B159" t="s">
        <v>9366</v>
      </c>
      <c r="C159" t="s">
        <v>4255</v>
      </c>
      <c r="D159" t="s">
        <v>54</v>
      </c>
      <c r="E159" t="s">
        <v>9566</v>
      </c>
      <c r="F159" t="s">
        <v>4256</v>
      </c>
      <c r="G159">
        <v>842.32</v>
      </c>
      <c r="I159">
        <v>842.32</v>
      </c>
      <c r="K159" s="4">
        <v>45496</v>
      </c>
      <c r="L159" s="4">
        <v>45496</v>
      </c>
      <c r="M159">
        <v>2024</v>
      </c>
      <c r="N159">
        <v>7</v>
      </c>
      <c r="O159" s="4">
        <v>45474</v>
      </c>
      <c r="P159" t="s">
        <v>1473</v>
      </c>
      <c r="Q159" s="4"/>
      <c r="S159" t="s">
        <v>4257</v>
      </c>
      <c r="T159">
        <v>45548</v>
      </c>
      <c r="U159">
        <v>1403.87</v>
      </c>
      <c r="V159">
        <v>0.59999857536666512</v>
      </c>
      <c r="W159" t="s">
        <v>16</v>
      </c>
      <c r="X159" t="s">
        <v>4215</v>
      </c>
      <c r="Z159">
        <v>56</v>
      </c>
      <c r="AA159">
        <v>56</v>
      </c>
      <c r="AB159" t="s">
        <v>9526</v>
      </c>
      <c r="AC159" t="s">
        <v>1473</v>
      </c>
      <c r="AE159" t="s">
        <v>9251</v>
      </c>
      <c r="AF159" s="4"/>
    </row>
    <row r="160" spans="1:32">
      <c r="B160" t="s">
        <v>2193</v>
      </c>
      <c r="C160" t="s">
        <v>9567</v>
      </c>
      <c r="D160" t="s">
        <v>50</v>
      </c>
      <c r="E160">
        <v>5871</v>
      </c>
      <c r="F160" t="s">
        <v>7849</v>
      </c>
      <c r="G160">
        <v>12318</v>
      </c>
      <c r="I160">
        <v>12318</v>
      </c>
      <c r="J160">
        <v>12318</v>
      </c>
      <c r="K160" s="4">
        <v>45434</v>
      </c>
      <c r="L160" s="4">
        <v>45434</v>
      </c>
      <c r="M160">
        <v>2024</v>
      </c>
      <c r="N160">
        <v>5</v>
      </c>
      <c r="O160" s="4">
        <v>45413</v>
      </c>
      <c r="P160" t="s">
        <v>89</v>
      </c>
      <c r="Q160" s="4"/>
      <c r="S160" t="s">
        <v>7849</v>
      </c>
      <c r="U160">
        <v>12318</v>
      </c>
      <c r="V160">
        <v>1</v>
      </c>
      <c r="W160" t="s">
        <v>16</v>
      </c>
      <c r="X160" t="s">
        <v>3681</v>
      </c>
      <c r="Z160" t="s">
        <v>89</v>
      </c>
      <c r="AA160" t="s">
        <v>89</v>
      </c>
      <c r="AC160" t="s">
        <v>89</v>
      </c>
      <c r="AD160" t="s">
        <v>1473</v>
      </c>
      <c r="AE160" t="s">
        <v>9251</v>
      </c>
      <c r="AF160" s="4">
        <v>45444</v>
      </c>
    </row>
    <row r="161" spans="1:32">
      <c r="B161" t="s">
        <v>2193</v>
      </c>
      <c r="C161" t="s">
        <v>9568</v>
      </c>
      <c r="D161" t="s">
        <v>47</v>
      </c>
      <c r="E161">
        <v>21740610</v>
      </c>
      <c r="F161" t="s">
        <v>9569</v>
      </c>
      <c r="G161">
        <v>9417.2900000000009</v>
      </c>
      <c r="I161">
        <v>9417.2900000000009</v>
      </c>
      <c r="J161">
        <v>9417.2900000000009</v>
      </c>
      <c r="K161" s="4">
        <v>45434</v>
      </c>
      <c r="L161" s="4">
        <v>45434</v>
      </c>
      <c r="M161">
        <v>2024</v>
      </c>
      <c r="N161">
        <v>5</v>
      </c>
      <c r="O161" s="4">
        <v>45413</v>
      </c>
      <c r="P161" t="s">
        <v>89</v>
      </c>
      <c r="Q161" s="4"/>
      <c r="S161" t="s">
        <v>3066</v>
      </c>
      <c r="U161">
        <v>18834.59</v>
      </c>
      <c r="V161">
        <v>0.5</v>
      </c>
      <c r="W161" t="s">
        <v>16</v>
      </c>
      <c r="X161" t="s">
        <v>3681</v>
      </c>
      <c r="Z161" t="s">
        <v>89</v>
      </c>
      <c r="AA161" t="s">
        <v>89</v>
      </c>
      <c r="AC161" t="s">
        <v>89</v>
      </c>
      <c r="AD161" t="s">
        <v>89</v>
      </c>
      <c r="AE161" t="s">
        <v>3652</v>
      </c>
      <c r="AF161" s="4">
        <v>45474</v>
      </c>
    </row>
    <row r="162" spans="1:32">
      <c r="B162" t="s">
        <v>2193</v>
      </c>
      <c r="C162" t="s">
        <v>9570</v>
      </c>
      <c r="D162" t="s">
        <v>47</v>
      </c>
      <c r="E162">
        <v>21740610</v>
      </c>
      <c r="F162" t="s">
        <v>9571</v>
      </c>
      <c r="G162">
        <v>9416.9</v>
      </c>
      <c r="I162">
        <v>9416.9</v>
      </c>
      <c r="J162">
        <v>9416.9</v>
      </c>
      <c r="K162" s="4">
        <v>45434</v>
      </c>
      <c r="L162" s="4">
        <v>45434</v>
      </c>
      <c r="M162">
        <v>2024</v>
      </c>
      <c r="N162">
        <v>5</v>
      </c>
      <c r="O162" s="4">
        <v>45413</v>
      </c>
      <c r="P162" t="s">
        <v>89</v>
      </c>
      <c r="Q162" s="4"/>
      <c r="S162" t="s">
        <v>3069</v>
      </c>
      <c r="U162">
        <v>18833.8</v>
      </c>
      <c r="V162">
        <v>0.5</v>
      </c>
      <c r="W162" t="s">
        <v>16</v>
      </c>
      <c r="X162" t="s">
        <v>3681</v>
      </c>
      <c r="Z162" t="s">
        <v>89</v>
      </c>
      <c r="AA162" t="s">
        <v>89</v>
      </c>
      <c r="AC162" t="s">
        <v>89</v>
      </c>
      <c r="AD162" t="s">
        <v>1473</v>
      </c>
      <c r="AE162" t="s">
        <v>9251</v>
      </c>
      <c r="AF162" s="4">
        <v>45444</v>
      </c>
    </row>
    <row r="163" spans="1:32">
      <c r="B163" t="s">
        <v>9366</v>
      </c>
      <c r="C163" t="s">
        <v>4242</v>
      </c>
      <c r="D163" t="s">
        <v>54</v>
      </c>
      <c r="E163" t="s">
        <v>9572</v>
      </c>
      <c r="F163" t="s">
        <v>4260</v>
      </c>
      <c r="G163">
        <v>842.32</v>
      </c>
      <c r="I163">
        <v>842.32</v>
      </c>
      <c r="K163" s="4">
        <v>45496</v>
      </c>
      <c r="L163" s="4">
        <v>45496</v>
      </c>
      <c r="M163">
        <v>2024</v>
      </c>
      <c r="N163">
        <v>7</v>
      </c>
      <c r="O163" s="4">
        <v>45474</v>
      </c>
      <c r="P163" t="s">
        <v>1473</v>
      </c>
      <c r="Q163" s="4"/>
      <c r="S163" t="s">
        <v>4261</v>
      </c>
      <c r="T163">
        <v>45548</v>
      </c>
      <c r="U163">
        <v>1403.87</v>
      </c>
      <c r="V163">
        <v>0.59999857536666512</v>
      </c>
      <c r="W163" t="s">
        <v>16</v>
      </c>
      <c r="X163" t="s">
        <v>4215</v>
      </c>
      <c r="Z163">
        <v>56</v>
      </c>
      <c r="AA163">
        <v>56</v>
      </c>
      <c r="AB163" t="s">
        <v>9526</v>
      </c>
      <c r="AC163" t="s">
        <v>1473</v>
      </c>
      <c r="AE163" t="s">
        <v>9251</v>
      </c>
      <c r="AF163" s="4"/>
    </row>
    <row r="164" spans="1:32">
      <c r="B164" t="s">
        <v>2193</v>
      </c>
      <c r="C164" t="s">
        <v>9573</v>
      </c>
      <c r="D164" t="s">
        <v>39</v>
      </c>
      <c r="E164">
        <v>4600000939</v>
      </c>
      <c r="F164" t="s">
        <v>9574</v>
      </c>
      <c r="G164">
        <v>11901</v>
      </c>
      <c r="I164">
        <v>11901</v>
      </c>
      <c r="J164">
        <v>11901</v>
      </c>
      <c r="K164" s="4">
        <v>45434</v>
      </c>
      <c r="L164" s="4">
        <v>45434</v>
      </c>
      <c r="M164">
        <v>2024</v>
      </c>
      <c r="N164">
        <v>5</v>
      </c>
      <c r="O164" s="4">
        <v>45413</v>
      </c>
      <c r="P164" t="s">
        <v>89</v>
      </c>
      <c r="Q164" s="4"/>
      <c r="S164" t="s">
        <v>2996</v>
      </c>
      <c r="U164">
        <v>11901</v>
      </c>
      <c r="V164">
        <v>1</v>
      </c>
      <c r="W164" t="s">
        <v>16</v>
      </c>
      <c r="X164" t="s">
        <v>2369</v>
      </c>
      <c r="Z164" t="s">
        <v>89</v>
      </c>
      <c r="AA164" t="s">
        <v>89</v>
      </c>
      <c r="AC164" t="s">
        <v>89</v>
      </c>
      <c r="AD164" t="s">
        <v>1473</v>
      </c>
      <c r="AE164" t="s">
        <v>9251</v>
      </c>
      <c r="AF164" s="4">
        <v>45444</v>
      </c>
    </row>
    <row r="165" spans="1:32">
      <c r="B165" t="s">
        <v>2193</v>
      </c>
      <c r="C165" t="s">
        <v>9575</v>
      </c>
      <c r="D165" t="s">
        <v>39</v>
      </c>
      <c r="E165">
        <v>4600000810</v>
      </c>
      <c r="F165" t="s">
        <v>9576</v>
      </c>
      <c r="G165">
        <v>10355.89</v>
      </c>
      <c r="I165">
        <v>10355.89</v>
      </c>
      <c r="J165">
        <v>10355.89</v>
      </c>
      <c r="K165" s="4">
        <v>45434</v>
      </c>
      <c r="L165" s="4">
        <v>45434</v>
      </c>
      <c r="M165">
        <v>2024</v>
      </c>
      <c r="N165">
        <v>5</v>
      </c>
      <c r="O165" s="4">
        <v>45413</v>
      </c>
      <c r="P165" t="s">
        <v>89</v>
      </c>
      <c r="Q165" s="4"/>
      <c r="S165" t="s">
        <v>2959</v>
      </c>
      <c r="U165">
        <v>11506.54</v>
      </c>
      <c r="V165">
        <v>0.9</v>
      </c>
      <c r="W165" t="s">
        <v>16</v>
      </c>
      <c r="X165" t="s">
        <v>2369</v>
      </c>
      <c r="Z165" t="s">
        <v>89</v>
      </c>
      <c r="AA165" t="s">
        <v>89</v>
      </c>
      <c r="AC165" t="s">
        <v>89</v>
      </c>
      <c r="AD165" t="s">
        <v>1473</v>
      </c>
      <c r="AE165" t="s">
        <v>9251</v>
      </c>
      <c r="AF165" s="4">
        <v>45444</v>
      </c>
    </row>
    <row r="166" spans="1:32">
      <c r="B166" t="s">
        <v>2193</v>
      </c>
      <c r="C166" t="s">
        <v>9577</v>
      </c>
      <c r="D166" t="s">
        <v>39</v>
      </c>
      <c r="E166">
        <v>4600000810</v>
      </c>
      <c r="F166" t="s">
        <v>9578</v>
      </c>
      <c r="G166">
        <v>10355.89</v>
      </c>
      <c r="I166">
        <v>10355.89</v>
      </c>
      <c r="J166">
        <v>10355.89</v>
      </c>
      <c r="K166" s="4">
        <v>45434</v>
      </c>
      <c r="L166" s="4">
        <v>45434</v>
      </c>
      <c r="M166">
        <v>2024</v>
      </c>
      <c r="N166">
        <v>5</v>
      </c>
      <c r="O166" s="4">
        <v>45413</v>
      </c>
      <c r="P166" t="s">
        <v>89</v>
      </c>
      <c r="Q166" s="4"/>
      <c r="S166" t="s">
        <v>2957</v>
      </c>
      <c r="U166">
        <v>11506.54</v>
      </c>
      <c r="V166">
        <v>0.9</v>
      </c>
      <c r="W166" t="s">
        <v>16</v>
      </c>
      <c r="X166" t="s">
        <v>2369</v>
      </c>
      <c r="Z166" t="s">
        <v>89</v>
      </c>
      <c r="AA166" t="s">
        <v>89</v>
      </c>
      <c r="AC166" t="s">
        <v>89</v>
      </c>
      <c r="AD166" t="s">
        <v>1473</v>
      </c>
      <c r="AE166" t="s">
        <v>9251</v>
      </c>
      <c r="AF166" s="4">
        <v>45444</v>
      </c>
    </row>
    <row r="167" spans="1:32">
      <c r="B167" t="s">
        <v>2193</v>
      </c>
      <c r="C167" t="s">
        <v>9579</v>
      </c>
      <c r="D167" t="s">
        <v>39</v>
      </c>
      <c r="E167">
        <v>4600000810</v>
      </c>
      <c r="F167" t="s">
        <v>9580</v>
      </c>
      <c r="G167">
        <v>10449.43</v>
      </c>
      <c r="I167">
        <v>10449.43</v>
      </c>
      <c r="J167">
        <v>10449.43</v>
      </c>
      <c r="K167" s="4">
        <v>45434</v>
      </c>
      <c r="L167" s="4">
        <v>45434</v>
      </c>
      <c r="M167">
        <v>2024</v>
      </c>
      <c r="N167">
        <v>5</v>
      </c>
      <c r="O167" s="4">
        <v>45413</v>
      </c>
      <c r="P167" t="s">
        <v>89</v>
      </c>
      <c r="Q167" s="4"/>
      <c r="S167" t="s">
        <v>2955</v>
      </c>
      <c r="U167">
        <v>12314.1</v>
      </c>
      <c r="V167">
        <v>0.85</v>
      </c>
      <c r="W167" t="s">
        <v>16</v>
      </c>
      <c r="X167" t="s">
        <v>2369</v>
      </c>
      <c r="Z167" t="s">
        <v>89</v>
      </c>
      <c r="AA167" t="s">
        <v>89</v>
      </c>
      <c r="AC167" t="s">
        <v>89</v>
      </c>
      <c r="AD167" t="s">
        <v>1473</v>
      </c>
      <c r="AE167" t="s">
        <v>9251</v>
      </c>
      <c r="AF167" s="4">
        <v>45444</v>
      </c>
    </row>
    <row r="168" spans="1:32">
      <c r="B168" t="s">
        <v>2193</v>
      </c>
      <c r="C168" t="s">
        <v>9581</v>
      </c>
      <c r="D168" t="s">
        <v>39</v>
      </c>
      <c r="E168">
        <v>4600000757</v>
      </c>
      <c r="F168" t="s">
        <v>9582</v>
      </c>
      <c r="G168">
        <v>5357.52</v>
      </c>
      <c r="I168">
        <v>5357.52</v>
      </c>
      <c r="J168">
        <v>5357.52</v>
      </c>
      <c r="K168" s="4">
        <v>45434</v>
      </c>
      <c r="L168" s="4">
        <v>45434</v>
      </c>
      <c r="M168">
        <v>2024</v>
      </c>
      <c r="N168">
        <v>5</v>
      </c>
      <c r="O168" s="4">
        <v>45413</v>
      </c>
      <c r="P168" t="s">
        <v>89</v>
      </c>
      <c r="Q168" s="4"/>
      <c r="S168" t="s">
        <v>2929</v>
      </c>
      <c r="U168">
        <v>6195.23</v>
      </c>
      <c r="V168">
        <v>0.86</v>
      </c>
      <c r="W168" t="s">
        <v>16</v>
      </c>
      <c r="X168" t="s">
        <v>2369</v>
      </c>
      <c r="Z168" t="s">
        <v>89</v>
      </c>
      <c r="AA168" t="s">
        <v>89</v>
      </c>
      <c r="AC168" t="s">
        <v>89</v>
      </c>
      <c r="AD168" t="s">
        <v>1473</v>
      </c>
      <c r="AE168" t="s">
        <v>9251</v>
      </c>
      <c r="AF168" s="4">
        <v>45444</v>
      </c>
    </row>
    <row r="169" spans="1:32">
      <c r="B169" t="s">
        <v>2193</v>
      </c>
      <c r="C169" t="s">
        <v>9583</v>
      </c>
      <c r="D169" t="s">
        <v>32</v>
      </c>
      <c r="E169">
        <v>4900168025</v>
      </c>
      <c r="F169" t="s">
        <v>9584</v>
      </c>
      <c r="G169">
        <v>18576</v>
      </c>
      <c r="I169">
        <v>18576</v>
      </c>
      <c r="J169">
        <v>18576</v>
      </c>
      <c r="K169" s="4">
        <v>45432</v>
      </c>
      <c r="L169" s="4">
        <v>45432</v>
      </c>
      <c r="M169">
        <v>2024</v>
      </c>
      <c r="N169">
        <v>5</v>
      </c>
      <c r="O169" s="4">
        <v>45413</v>
      </c>
      <c r="P169" t="s">
        <v>89</v>
      </c>
      <c r="Q169" s="4"/>
      <c r="S169" t="s">
        <v>2844</v>
      </c>
      <c r="U169">
        <v>18576</v>
      </c>
      <c r="V169">
        <v>1</v>
      </c>
      <c r="W169" t="s">
        <v>16</v>
      </c>
      <c r="X169" t="s">
        <v>4109</v>
      </c>
      <c r="Z169" t="s">
        <v>89</v>
      </c>
      <c r="AA169" t="s">
        <v>89</v>
      </c>
      <c r="AC169" t="s">
        <v>89</v>
      </c>
      <c r="AD169" t="s">
        <v>1473</v>
      </c>
      <c r="AE169" t="s">
        <v>9251</v>
      </c>
      <c r="AF169" s="4">
        <v>45444</v>
      </c>
    </row>
    <row r="170" spans="1:32">
      <c r="A170" t="s">
        <v>9585</v>
      </c>
      <c r="B170" t="s">
        <v>2193</v>
      </c>
      <c r="C170" t="s">
        <v>9586</v>
      </c>
      <c r="D170" t="s">
        <v>32</v>
      </c>
      <c r="E170">
        <v>4900168011</v>
      </c>
      <c r="F170" t="s">
        <v>9587</v>
      </c>
      <c r="G170">
        <v>18576</v>
      </c>
      <c r="I170">
        <v>18576</v>
      </c>
      <c r="J170">
        <v>18576</v>
      </c>
      <c r="K170" s="4">
        <v>45432</v>
      </c>
      <c r="L170" s="4">
        <v>45432</v>
      </c>
      <c r="M170">
        <v>2024</v>
      </c>
      <c r="N170">
        <v>5</v>
      </c>
      <c r="O170" s="4">
        <v>45413</v>
      </c>
      <c r="P170" t="s">
        <v>89</v>
      </c>
      <c r="Q170" s="4"/>
      <c r="S170" t="s">
        <v>2830</v>
      </c>
      <c r="U170">
        <v>18576</v>
      </c>
      <c r="V170">
        <v>1</v>
      </c>
      <c r="W170" t="s">
        <v>16</v>
      </c>
      <c r="X170" t="s">
        <v>4109</v>
      </c>
      <c r="Z170" t="s">
        <v>89</v>
      </c>
      <c r="AA170" t="s">
        <v>89</v>
      </c>
      <c r="AC170" t="s">
        <v>89</v>
      </c>
      <c r="AD170" t="s">
        <v>1473</v>
      </c>
      <c r="AE170" t="s">
        <v>9251</v>
      </c>
      <c r="AF170" s="4">
        <v>45444</v>
      </c>
    </row>
    <row r="171" spans="1:32">
      <c r="A171" t="s">
        <v>9588</v>
      </c>
      <c r="B171" t="s">
        <v>2193</v>
      </c>
      <c r="C171" t="s">
        <v>9589</v>
      </c>
      <c r="D171" t="s">
        <v>32</v>
      </c>
      <c r="E171">
        <v>4900168026</v>
      </c>
      <c r="F171" t="s">
        <v>9590</v>
      </c>
      <c r="G171">
        <v>18576</v>
      </c>
      <c r="I171">
        <v>18576</v>
      </c>
      <c r="J171">
        <v>18576</v>
      </c>
      <c r="K171" s="4">
        <v>45432</v>
      </c>
      <c r="L171" s="4">
        <v>45432</v>
      </c>
      <c r="M171">
        <v>2024</v>
      </c>
      <c r="N171">
        <v>5</v>
      </c>
      <c r="O171" s="4">
        <v>45413</v>
      </c>
      <c r="P171" t="s">
        <v>89</v>
      </c>
      <c r="Q171" s="4"/>
      <c r="S171" t="s">
        <v>2846</v>
      </c>
      <c r="U171">
        <v>18576</v>
      </c>
      <c r="V171">
        <v>1</v>
      </c>
      <c r="W171" t="s">
        <v>16</v>
      </c>
      <c r="X171" t="s">
        <v>4109</v>
      </c>
      <c r="Z171" t="s">
        <v>89</v>
      </c>
      <c r="AA171" t="s">
        <v>89</v>
      </c>
      <c r="AC171" t="s">
        <v>89</v>
      </c>
      <c r="AD171" t="s">
        <v>1473</v>
      </c>
      <c r="AE171" t="s">
        <v>9251</v>
      </c>
      <c r="AF171" s="4">
        <v>45444</v>
      </c>
    </row>
    <row r="172" spans="1:32">
      <c r="A172" t="s">
        <v>9591</v>
      </c>
      <c r="B172" t="s">
        <v>9366</v>
      </c>
      <c r="C172" t="s">
        <v>4234</v>
      </c>
      <c r="D172" t="s">
        <v>54</v>
      </c>
      <c r="E172" t="s">
        <v>9592</v>
      </c>
      <c r="F172" t="s">
        <v>4264</v>
      </c>
      <c r="G172">
        <v>842.32</v>
      </c>
      <c r="I172">
        <v>842.32</v>
      </c>
      <c r="K172" s="4">
        <v>45496</v>
      </c>
      <c r="L172" s="4">
        <v>45496</v>
      </c>
      <c r="M172">
        <v>2024</v>
      </c>
      <c r="N172">
        <v>7</v>
      </c>
      <c r="O172" s="4">
        <v>45474</v>
      </c>
      <c r="P172" t="s">
        <v>1473</v>
      </c>
      <c r="Q172" s="4"/>
      <c r="S172" t="s">
        <v>4265</v>
      </c>
      <c r="T172">
        <v>45548</v>
      </c>
      <c r="U172">
        <v>1403.87</v>
      </c>
      <c r="V172">
        <v>0.59999857536666512</v>
      </c>
      <c r="W172" t="s">
        <v>16</v>
      </c>
      <c r="X172" t="s">
        <v>4215</v>
      </c>
      <c r="Z172">
        <v>56</v>
      </c>
      <c r="AA172">
        <v>56</v>
      </c>
      <c r="AB172" t="s">
        <v>9526</v>
      </c>
      <c r="AC172" t="s">
        <v>1473</v>
      </c>
      <c r="AE172" t="s">
        <v>9251</v>
      </c>
      <c r="AF172" s="4"/>
    </row>
    <row r="173" spans="1:32">
      <c r="A173" t="s">
        <v>9593</v>
      </c>
      <c r="B173" t="s">
        <v>9366</v>
      </c>
      <c r="C173" t="s">
        <v>4273</v>
      </c>
      <c r="D173" t="s">
        <v>54</v>
      </c>
      <c r="E173" t="s">
        <v>9594</v>
      </c>
      <c r="F173" t="s">
        <v>4272</v>
      </c>
      <c r="G173">
        <v>167327.26999999999</v>
      </c>
      <c r="I173">
        <v>167327.26999999999</v>
      </c>
      <c r="K173" s="4">
        <v>45471</v>
      </c>
      <c r="L173" s="4">
        <v>45471</v>
      </c>
      <c r="M173">
        <v>2024</v>
      </c>
      <c r="N173">
        <v>6</v>
      </c>
      <c r="O173" s="4">
        <v>45444</v>
      </c>
      <c r="P173" t="s">
        <v>1473</v>
      </c>
      <c r="Q173" s="4"/>
      <c r="S173" t="s">
        <v>3167</v>
      </c>
      <c r="T173">
        <v>45551</v>
      </c>
      <c r="U173">
        <v>167327.26999999999</v>
      </c>
      <c r="V173">
        <v>1</v>
      </c>
      <c r="W173" t="s">
        <v>16</v>
      </c>
      <c r="X173" t="s">
        <v>4109</v>
      </c>
      <c r="Z173">
        <v>81</v>
      </c>
      <c r="AA173">
        <v>81</v>
      </c>
      <c r="AB173" t="s">
        <v>9595</v>
      </c>
      <c r="AC173" t="s">
        <v>1473</v>
      </c>
      <c r="AD173" t="s">
        <v>1473</v>
      </c>
      <c r="AE173" t="s">
        <v>3652</v>
      </c>
      <c r="AF173" s="4"/>
    </row>
    <row r="174" spans="1:32">
      <c r="A174" t="s">
        <v>9596</v>
      </c>
      <c r="B174" t="s">
        <v>9366</v>
      </c>
      <c r="C174" t="s">
        <v>4170</v>
      </c>
      <c r="D174" t="s">
        <v>54</v>
      </c>
      <c r="E174">
        <v>4590014546</v>
      </c>
      <c r="F174" t="s">
        <v>4165</v>
      </c>
      <c r="G174">
        <v>4568.6899999999996</v>
      </c>
      <c r="I174">
        <v>4568.6899999999996</v>
      </c>
      <c r="J174">
        <v>4568.6899999999996</v>
      </c>
      <c r="K174" s="4">
        <v>45345</v>
      </c>
      <c r="L174" s="4">
        <v>45345</v>
      </c>
      <c r="M174">
        <v>2024</v>
      </c>
      <c r="N174">
        <v>2</v>
      </c>
      <c r="O174" s="4">
        <v>45323</v>
      </c>
      <c r="P174" t="s">
        <v>89</v>
      </c>
      <c r="Q174" s="4">
        <v>45442</v>
      </c>
      <c r="S174" t="s">
        <v>2817</v>
      </c>
      <c r="T174">
        <v>45422</v>
      </c>
      <c r="U174">
        <v>4568.6899999999996</v>
      </c>
      <c r="V174">
        <v>1</v>
      </c>
      <c r="W174" t="s">
        <v>16</v>
      </c>
      <c r="X174" t="s">
        <v>3681</v>
      </c>
      <c r="Z174" t="s">
        <v>89</v>
      </c>
      <c r="AA174" t="s">
        <v>89</v>
      </c>
      <c r="AC174" t="s">
        <v>89</v>
      </c>
      <c r="AD174" t="s">
        <v>89</v>
      </c>
      <c r="AE174" t="s">
        <v>3652</v>
      </c>
      <c r="AF174" s="4"/>
    </row>
    <row r="175" spans="1:32">
      <c r="A175" t="s">
        <v>9597</v>
      </c>
      <c r="B175" t="s">
        <v>9366</v>
      </c>
      <c r="C175" t="s">
        <v>4174</v>
      </c>
      <c r="D175" t="s">
        <v>54</v>
      </c>
      <c r="E175">
        <v>4590014925</v>
      </c>
      <c r="F175" t="s">
        <v>4171</v>
      </c>
      <c r="G175">
        <v>30202.91</v>
      </c>
      <c r="I175">
        <v>30202.91</v>
      </c>
      <c r="J175">
        <v>30202.91</v>
      </c>
      <c r="K175" s="4">
        <v>45345</v>
      </c>
      <c r="L175" s="4">
        <v>45345</v>
      </c>
      <c r="M175">
        <v>2024</v>
      </c>
      <c r="N175">
        <v>2</v>
      </c>
      <c r="O175" s="4">
        <v>45323</v>
      </c>
      <c r="P175" t="s">
        <v>89</v>
      </c>
      <c r="Q175" s="4">
        <v>45458</v>
      </c>
      <c r="S175" t="s">
        <v>2555</v>
      </c>
      <c r="T175">
        <v>45446</v>
      </c>
      <c r="U175">
        <v>30202.91</v>
      </c>
      <c r="V175">
        <v>1</v>
      </c>
      <c r="W175" t="s">
        <v>16</v>
      </c>
      <c r="X175" t="s">
        <v>3911</v>
      </c>
      <c r="Z175" t="s">
        <v>89</v>
      </c>
      <c r="AA175" t="s">
        <v>89</v>
      </c>
      <c r="AC175" t="s">
        <v>89</v>
      </c>
      <c r="AD175" t="s">
        <v>89</v>
      </c>
      <c r="AE175" t="s">
        <v>3652</v>
      </c>
      <c r="AF175" s="4"/>
    </row>
    <row r="176" spans="1:32">
      <c r="A176" t="s">
        <v>9598</v>
      </c>
      <c r="B176" t="s">
        <v>9366</v>
      </c>
      <c r="C176" t="s">
        <v>4179</v>
      </c>
      <c r="D176" t="s">
        <v>54</v>
      </c>
      <c r="E176">
        <v>4590015105</v>
      </c>
      <c r="F176" t="s">
        <v>4175</v>
      </c>
      <c r="G176">
        <v>2580.67</v>
      </c>
      <c r="I176">
        <v>2580.67</v>
      </c>
      <c r="J176">
        <v>2580.67</v>
      </c>
      <c r="K176" s="4">
        <v>45345</v>
      </c>
      <c r="L176" s="4">
        <v>45345</v>
      </c>
      <c r="M176">
        <v>2024</v>
      </c>
      <c r="N176">
        <v>2</v>
      </c>
      <c r="O176" s="4">
        <v>45323</v>
      </c>
      <c r="P176" t="s">
        <v>89</v>
      </c>
      <c r="Q176" s="4">
        <v>45427</v>
      </c>
      <c r="R176">
        <v>45427</v>
      </c>
      <c r="S176" t="s">
        <v>3164</v>
      </c>
      <c r="T176">
        <v>45422</v>
      </c>
      <c r="U176">
        <v>2580.67</v>
      </c>
      <c r="V176">
        <v>1</v>
      </c>
      <c r="W176" t="s">
        <v>16</v>
      </c>
      <c r="X176" t="s">
        <v>4109</v>
      </c>
      <c r="Z176" t="s">
        <v>89</v>
      </c>
      <c r="AA176" t="s">
        <v>89</v>
      </c>
      <c r="AC176" t="s">
        <v>89</v>
      </c>
      <c r="AD176" t="s">
        <v>89</v>
      </c>
      <c r="AE176" t="s">
        <v>3652</v>
      </c>
      <c r="AF176" s="4"/>
    </row>
    <row r="177" spans="1:32">
      <c r="A177" t="s">
        <v>9599</v>
      </c>
      <c r="B177" t="s">
        <v>9366</v>
      </c>
      <c r="C177" t="s">
        <v>4183</v>
      </c>
      <c r="D177" t="s">
        <v>54</v>
      </c>
      <c r="E177">
        <v>4590015106</v>
      </c>
      <c r="F177" t="s">
        <v>4180</v>
      </c>
      <c r="G177">
        <v>1519.24</v>
      </c>
      <c r="I177">
        <v>1519.24</v>
      </c>
      <c r="J177">
        <v>1519.24</v>
      </c>
      <c r="K177" s="4">
        <v>45471</v>
      </c>
      <c r="L177" s="4">
        <v>45471</v>
      </c>
      <c r="M177">
        <v>2024</v>
      </c>
      <c r="N177">
        <v>6</v>
      </c>
      <c r="O177" s="4">
        <v>45444</v>
      </c>
      <c r="P177" t="s">
        <v>89</v>
      </c>
      <c r="Q177" s="4">
        <v>45503</v>
      </c>
      <c r="T177">
        <v>45484</v>
      </c>
      <c r="U177">
        <v>1519.24</v>
      </c>
      <c r="V177">
        <v>1</v>
      </c>
      <c r="W177" t="s">
        <v>16</v>
      </c>
      <c r="X177" t="s">
        <v>10</v>
      </c>
      <c r="Z177" t="s">
        <v>89</v>
      </c>
      <c r="AA177" t="s">
        <v>89</v>
      </c>
      <c r="AC177" t="s">
        <v>89</v>
      </c>
      <c r="AD177" t="s">
        <v>625</v>
      </c>
      <c r="AE177" t="s">
        <v>9251</v>
      </c>
      <c r="AF177" s="4"/>
    </row>
    <row r="178" spans="1:32">
      <c r="A178" t="s">
        <v>9600</v>
      </c>
      <c r="B178" t="s">
        <v>9366</v>
      </c>
      <c r="C178" t="s">
        <v>4188</v>
      </c>
      <c r="D178" t="s">
        <v>54</v>
      </c>
      <c r="E178">
        <v>4590015107</v>
      </c>
      <c r="F178" t="s">
        <v>4184</v>
      </c>
      <c r="G178">
        <v>2870.4</v>
      </c>
      <c r="I178">
        <v>2870.4</v>
      </c>
      <c r="J178">
        <v>2870.4</v>
      </c>
      <c r="K178" s="4">
        <v>45377</v>
      </c>
      <c r="L178" s="4">
        <v>45377</v>
      </c>
      <c r="M178">
        <v>2024</v>
      </c>
      <c r="N178">
        <v>3</v>
      </c>
      <c r="O178" s="4">
        <v>45352</v>
      </c>
      <c r="P178" t="s">
        <v>89</v>
      </c>
      <c r="Q178" s="4">
        <v>45471</v>
      </c>
      <c r="S178" t="s">
        <v>4187</v>
      </c>
      <c r="T178">
        <v>45456</v>
      </c>
      <c r="U178">
        <v>2870.4</v>
      </c>
      <c r="V178">
        <v>1</v>
      </c>
      <c r="W178" t="s">
        <v>16</v>
      </c>
      <c r="X178" t="s">
        <v>3918</v>
      </c>
      <c r="Z178" t="s">
        <v>89</v>
      </c>
      <c r="AA178" t="s">
        <v>89</v>
      </c>
      <c r="AB178" t="s">
        <v>9601</v>
      </c>
      <c r="AC178" t="s">
        <v>89</v>
      </c>
      <c r="AD178" t="s">
        <v>89</v>
      </c>
      <c r="AE178" t="s">
        <v>3652</v>
      </c>
      <c r="AF178" s="4"/>
    </row>
    <row r="179" spans="1:32">
      <c r="A179" t="s">
        <v>9602</v>
      </c>
      <c r="B179" t="s">
        <v>9366</v>
      </c>
      <c r="C179" t="s">
        <v>4192</v>
      </c>
      <c r="D179" t="s">
        <v>54</v>
      </c>
      <c r="E179">
        <v>4590015108</v>
      </c>
      <c r="F179" t="s">
        <v>4189</v>
      </c>
      <c r="G179">
        <v>2870.4</v>
      </c>
      <c r="I179">
        <v>2870.4</v>
      </c>
      <c r="J179">
        <v>2870.4</v>
      </c>
      <c r="K179" s="4">
        <v>45377</v>
      </c>
      <c r="L179" s="4">
        <v>45377</v>
      </c>
      <c r="M179">
        <v>2024</v>
      </c>
      <c r="N179">
        <v>3</v>
      </c>
      <c r="O179" s="4">
        <v>45352</v>
      </c>
      <c r="P179" t="s">
        <v>89</v>
      </c>
      <c r="Q179" s="4">
        <v>45471</v>
      </c>
      <c r="S179" t="s">
        <v>4191</v>
      </c>
      <c r="T179">
        <v>45456</v>
      </c>
      <c r="U179">
        <v>2870.4</v>
      </c>
      <c r="V179">
        <v>1</v>
      </c>
      <c r="W179" t="s">
        <v>16</v>
      </c>
      <c r="X179" t="s">
        <v>3918</v>
      </c>
      <c r="Z179" t="s">
        <v>89</v>
      </c>
      <c r="AA179" t="s">
        <v>89</v>
      </c>
      <c r="AB179" t="s">
        <v>9603</v>
      </c>
      <c r="AC179" t="s">
        <v>89</v>
      </c>
      <c r="AD179" t="s">
        <v>89</v>
      </c>
      <c r="AE179" t="s">
        <v>3652</v>
      </c>
      <c r="AF179" s="4"/>
    </row>
    <row r="180" spans="1:32">
      <c r="A180" t="s">
        <v>9604</v>
      </c>
      <c r="B180" t="s">
        <v>9366</v>
      </c>
      <c r="C180" t="s">
        <v>4195</v>
      </c>
      <c r="D180" t="s">
        <v>54</v>
      </c>
      <c r="E180">
        <v>4590015110</v>
      </c>
      <c r="F180" t="s">
        <v>9605</v>
      </c>
      <c r="G180">
        <v>5111.7</v>
      </c>
      <c r="I180">
        <v>5111.7</v>
      </c>
      <c r="J180">
        <v>5111.7</v>
      </c>
      <c r="K180" s="4">
        <v>45471</v>
      </c>
      <c r="L180" s="4">
        <v>45471</v>
      </c>
      <c r="M180">
        <v>2024</v>
      </c>
      <c r="N180">
        <v>6</v>
      </c>
      <c r="O180" s="4">
        <v>45444</v>
      </c>
      <c r="P180" t="s">
        <v>89</v>
      </c>
      <c r="Q180" s="4">
        <v>45519</v>
      </c>
      <c r="S180" t="s">
        <v>2553</v>
      </c>
      <c r="T180">
        <v>45505</v>
      </c>
      <c r="U180">
        <v>5111.7</v>
      </c>
      <c r="V180">
        <v>1</v>
      </c>
      <c r="W180" t="s">
        <v>16</v>
      </c>
      <c r="X180" t="s">
        <v>10</v>
      </c>
      <c r="Z180" t="s">
        <v>89</v>
      </c>
      <c r="AA180" t="s">
        <v>89</v>
      </c>
      <c r="AB180" t="s">
        <v>9606</v>
      </c>
      <c r="AC180" t="s">
        <v>625</v>
      </c>
      <c r="AD180" t="s">
        <v>1473</v>
      </c>
      <c r="AE180" t="s">
        <v>9251</v>
      </c>
      <c r="AF180" s="4"/>
    </row>
    <row r="181" spans="1:32">
      <c r="A181" t="s">
        <v>9607</v>
      </c>
      <c r="B181" t="s">
        <v>9366</v>
      </c>
      <c r="C181" t="s">
        <v>4200</v>
      </c>
      <c r="D181" t="s">
        <v>54</v>
      </c>
      <c r="E181">
        <v>4590015915</v>
      </c>
      <c r="F181" t="s">
        <v>4196</v>
      </c>
      <c r="G181">
        <v>11064</v>
      </c>
      <c r="I181">
        <v>11064</v>
      </c>
      <c r="J181">
        <v>11064</v>
      </c>
      <c r="K181" s="4">
        <v>45351</v>
      </c>
      <c r="L181" s="4">
        <v>45351</v>
      </c>
      <c r="M181">
        <v>2024</v>
      </c>
      <c r="N181">
        <v>2</v>
      </c>
      <c r="O181" s="4">
        <v>45323</v>
      </c>
      <c r="P181" t="s">
        <v>89</v>
      </c>
      <c r="Q181" s="4">
        <v>45519</v>
      </c>
      <c r="R181" t="s">
        <v>9608</v>
      </c>
      <c r="S181" t="s">
        <v>3888</v>
      </c>
      <c r="T181">
        <v>45505</v>
      </c>
      <c r="U181">
        <v>11064</v>
      </c>
      <c r="V181">
        <v>1</v>
      </c>
      <c r="W181" t="s">
        <v>16</v>
      </c>
      <c r="X181" t="s">
        <v>2250</v>
      </c>
      <c r="Z181" t="s">
        <v>89</v>
      </c>
      <c r="AA181" t="s">
        <v>89</v>
      </c>
      <c r="AB181" t="s">
        <v>9609</v>
      </c>
      <c r="AC181" t="s">
        <v>625</v>
      </c>
      <c r="AD181" t="s">
        <v>1473</v>
      </c>
      <c r="AE181" t="s">
        <v>9251</v>
      </c>
      <c r="AF181" s="4"/>
    </row>
    <row r="182" spans="1:32">
      <c r="A182" t="s">
        <v>9610</v>
      </c>
      <c r="B182" t="s">
        <v>9366</v>
      </c>
      <c r="C182" t="s">
        <v>4208</v>
      </c>
      <c r="D182" t="s">
        <v>54</v>
      </c>
      <c r="E182">
        <v>4590015918</v>
      </c>
      <c r="F182" t="s">
        <v>4205</v>
      </c>
      <c r="G182">
        <v>11064</v>
      </c>
      <c r="I182">
        <v>11064</v>
      </c>
      <c r="J182">
        <v>11064</v>
      </c>
      <c r="K182" s="4">
        <v>45422</v>
      </c>
      <c r="L182" s="4">
        <v>45422</v>
      </c>
      <c r="M182">
        <v>2024</v>
      </c>
      <c r="N182">
        <v>5</v>
      </c>
      <c r="O182" s="4">
        <v>45413</v>
      </c>
      <c r="P182" t="s">
        <v>89</v>
      </c>
      <c r="Q182" s="4">
        <v>45519</v>
      </c>
      <c r="R182" t="s">
        <v>9611</v>
      </c>
      <c r="S182" t="s">
        <v>3874</v>
      </c>
      <c r="T182">
        <v>45505</v>
      </c>
      <c r="U182">
        <v>11064</v>
      </c>
      <c r="V182">
        <v>1</v>
      </c>
      <c r="W182" t="s">
        <v>16</v>
      </c>
      <c r="X182" t="s">
        <v>2250</v>
      </c>
      <c r="Z182" t="s">
        <v>89</v>
      </c>
      <c r="AA182" t="s">
        <v>89</v>
      </c>
      <c r="AB182" t="s">
        <v>9612</v>
      </c>
      <c r="AC182" t="s">
        <v>625</v>
      </c>
      <c r="AD182" t="s">
        <v>1473</v>
      </c>
      <c r="AE182" t="s">
        <v>9251</v>
      </c>
      <c r="AF182" s="4"/>
    </row>
    <row r="183" spans="1:32">
      <c r="A183" t="s">
        <v>9613</v>
      </c>
      <c r="B183" t="s">
        <v>9366</v>
      </c>
      <c r="C183" t="s">
        <v>4296</v>
      </c>
      <c r="D183" t="s">
        <v>54</v>
      </c>
      <c r="E183" t="s">
        <v>9614</v>
      </c>
      <c r="F183" t="s">
        <v>4295</v>
      </c>
      <c r="G183">
        <v>74705.69</v>
      </c>
      <c r="I183">
        <v>74705.69</v>
      </c>
      <c r="K183" s="4">
        <v>45471</v>
      </c>
      <c r="L183" s="4">
        <v>45483</v>
      </c>
      <c r="M183">
        <v>2024</v>
      </c>
      <c r="N183">
        <v>6</v>
      </c>
      <c r="O183" s="4">
        <v>45444</v>
      </c>
      <c r="P183" t="s">
        <v>1473</v>
      </c>
      <c r="Q183" s="4"/>
      <c r="R183" t="s">
        <v>9615</v>
      </c>
      <c r="S183" t="s">
        <v>3164</v>
      </c>
      <c r="T183">
        <v>45551</v>
      </c>
      <c r="U183">
        <v>74705.69</v>
      </c>
      <c r="V183">
        <v>1</v>
      </c>
      <c r="W183" t="s">
        <v>16</v>
      </c>
      <c r="X183" t="s">
        <v>4109</v>
      </c>
      <c r="Z183">
        <v>81</v>
      </c>
      <c r="AA183">
        <v>69</v>
      </c>
      <c r="AB183" t="s">
        <v>9595</v>
      </c>
      <c r="AC183" t="s">
        <v>1473</v>
      </c>
      <c r="AD183" t="s">
        <v>1473</v>
      </c>
      <c r="AE183" t="s">
        <v>3652</v>
      </c>
      <c r="AF183" s="4"/>
    </row>
    <row r="184" spans="1:32">
      <c r="A184" t="s">
        <v>9616</v>
      </c>
      <c r="B184" t="s">
        <v>9366</v>
      </c>
      <c r="C184" t="s">
        <v>4216</v>
      </c>
      <c r="D184" t="s">
        <v>54</v>
      </c>
      <c r="E184" t="s">
        <v>9617</v>
      </c>
      <c r="F184" t="s">
        <v>4212</v>
      </c>
      <c r="G184">
        <v>3133.1</v>
      </c>
      <c r="I184">
        <v>3133.1</v>
      </c>
      <c r="J184">
        <v>3133.1</v>
      </c>
      <c r="K184" s="4">
        <v>45133</v>
      </c>
      <c r="L184" s="4">
        <v>45108</v>
      </c>
      <c r="M184">
        <v>2023</v>
      </c>
      <c r="N184">
        <v>7</v>
      </c>
      <c r="O184" s="4">
        <v>45108</v>
      </c>
      <c r="P184" t="s">
        <v>89</v>
      </c>
      <c r="Q184" s="4">
        <v>45212</v>
      </c>
      <c r="S184" t="s">
        <v>4214</v>
      </c>
      <c r="U184">
        <v>7832.76</v>
      </c>
      <c r="V184">
        <v>0.399999489324325</v>
      </c>
      <c r="W184" t="s">
        <v>16</v>
      </c>
      <c r="X184" t="s">
        <v>4215</v>
      </c>
      <c r="Z184" t="s">
        <v>89</v>
      </c>
      <c r="AA184" t="s">
        <v>89</v>
      </c>
      <c r="AC184" t="s">
        <v>89</v>
      </c>
      <c r="AD184">
        <v>0</v>
      </c>
      <c r="AE184" t="s">
        <v>9251</v>
      </c>
      <c r="AF184" s="4"/>
    </row>
    <row r="185" spans="1:32">
      <c r="A185" t="s">
        <v>9618</v>
      </c>
      <c r="B185" t="s">
        <v>9366</v>
      </c>
      <c r="C185" t="s">
        <v>4221</v>
      </c>
      <c r="D185" t="s">
        <v>54</v>
      </c>
      <c r="E185" t="s">
        <v>9619</v>
      </c>
      <c r="F185" t="s">
        <v>4217</v>
      </c>
      <c r="G185">
        <v>5919.71</v>
      </c>
      <c r="I185">
        <v>5919.71</v>
      </c>
      <c r="J185">
        <v>5919.71</v>
      </c>
      <c r="K185" s="4">
        <v>45351</v>
      </c>
      <c r="L185" s="4">
        <v>45351</v>
      </c>
      <c r="M185">
        <v>2024</v>
      </c>
      <c r="N185">
        <v>2</v>
      </c>
      <c r="O185" s="4">
        <v>45323</v>
      </c>
      <c r="P185" t="s">
        <v>89</v>
      </c>
      <c r="Q185" s="4">
        <v>45412</v>
      </c>
      <c r="S185" t="s">
        <v>4219</v>
      </c>
      <c r="U185">
        <v>9866.19</v>
      </c>
      <c r="V185">
        <v>0.59999959457500818</v>
      </c>
      <c r="W185" t="s">
        <v>16</v>
      </c>
      <c r="X185" t="s">
        <v>4215</v>
      </c>
      <c r="Z185" t="s">
        <v>89</v>
      </c>
      <c r="AA185" t="s">
        <v>89</v>
      </c>
      <c r="AC185" t="s">
        <v>89</v>
      </c>
      <c r="AD185" t="s">
        <v>89</v>
      </c>
      <c r="AE185" t="s">
        <v>3652</v>
      </c>
      <c r="AF185" s="4"/>
    </row>
    <row r="186" spans="1:32">
      <c r="A186" t="s">
        <v>9620</v>
      </c>
      <c r="B186" t="s">
        <v>9366</v>
      </c>
      <c r="C186" t="s">
        <v>4220</v>
      </c>
      <c r="D186" t="s">
        <v>54</v>
      </c>
      <c r="E186" t="s">
        <v>9619</v>
      </c>
      <c r="F186" t="s">
        <v>4217</v>
      </c>
      <c r="G186">
        <v>3946.48</v>
      </c>
      <c r="I186">
        <v>3946.48</v>
      </c>
      <c r="J186">
        <v>3946.48</v>
      </c>
      <c r="K186" s="4">
        <v>45133</v>
      </c>
      <c r="L186" s="4">
        <v>45108</v>
      </c>
      <c r="M186">
        <v>2023</v>
      </c>
      <c r="N186">
        <v>7</v>
      </c>
      <c r="O186" s="4">
        <v>45108</v>
      </c>
      <c r="P186" t="s">
        <v>89</v>
      </c>
      <c r="Q186" s="4">
        <v>45198</v>
      </c>
      <c r="S186" t="s">
        <v>4219</v>
      </c>
      <c r="U186">
        <v>9866.19</v>
      </c>
      <c r="V186">
        <v>0.40000040542499182</v>
      </c>
      <c r="W186" t="s">
        <v>16</v>
      </c>
      <c r="X186" t="s">
        <v>4215</v>
      </c>
      <c r="Z186" t="s">
        <v>89</v>
      </c>
      <c r="AA186" t="s">
        <v>89</v>
      </c>
      <c r="AC186" t="s">
        <v>89</v>
      </c>
      <c r="AD186">
        <v>0</v>
      </c>
      <c r="AE186" t="s">
        <v>9251</v>
      </c>
      <c r="AF186" s="4"/>
    </row>
    <row r="187" spans="1:32">
      <c r="A187" t="s">
        <v>9621</v>
      </c>
      <c r="B187" t="s">
        <v>9366</v>
      </c>
      <c r="C187" t="s">
        <v>4224</v>
      </c>
      <c r="D187" t="s">
        <v>54</v>
      </c>
      <c r="E187" t="s">
        <v>9622</v>
      </c>
      <c r="F187" t="s">
        <v>4222</v>
      </c>
      <c r="G187">
        <v>3946.48</v>
      </c>
      <c r="I187">
        <v>3946.48</v>
      </c>
      <c r="J187">
        <v>3946.48</v>
      </c>
      <c r="K187" s="4">
        <v>45133</v>
      </c>
      <c r="L187" s="4">
        <v>45108</v>
      </c>
      <c r="M187">
        <v>2023</v>
      </c>
      <c r="N187">
        <v>7</v>
      </c>
      <c r="O187" s="4">
        <v>45108</v>
      </c>
      <c r="P187" t="s">
        <v>89</v>
      </c>
      <c r="Q187" s="4">
        <v>45198</v>
      </c>
      <c r="S187" t="s">
        <v>4223</v>
      </c>
      <c r="U187">
        <v>9866.19</v>
      </c>
      <c r="V187">
        <v>0.40000040542499182</v>
      </c>
      <c r="W187" t="s">
        <v>16</v>
      </c>
      <c r="X187" t="s">
        <v>4215</v>
      </c>
      <c r="Z187" t="s">
        <v>89</v>
      </c>
      <c r="AA187" t="s">
        <v>89</v>
      </c>
      <c r="AC187" t="s">
        <v>89</v>
      </c>
      <c r="AD187">
        <v>0</v>
      </c>
      <c r="AE187" t="s">
        <v>9251</v>
      </c>
      <c r="AF187" s="4"/>
    </row>
    <row r="188" spans="1:32">
      <c r="A188" t="s">
        <v>9623</v>
      </c>
      <c r="B188" t="s">
        <v>9366</v>
      </c>
      <c r="C188" t="s">
        <v>4227</v>
      </c>
      <c r="D188" t="s">
        <v>54</v>
      </c>
      <c r="E188" t="s">
        <v>9624</v>
      </c>
      <c r="F188" t="s">
        <v>4225</v>
      </c>
      <c r="G188">
        <v>3946.48</v>
      </c>
      <c r="I188">
        <v>3946.48</v>
      </c>
      <c r="J188">
        <v>3946.48</v>
      </c>
      <c r="K188" s="4">
        <v>45133</v>
      </c>
      <c r="L188" s="4">
        <v>45108</v>
      </c>
      <c r="M188">
        <v>2023</v>
      </c>
      <c r="N188">
        <v>7</v>
      </c>
      <c r="O188" s="4">
        <v>45108</v>
      </c>
      <c r="P188" t="s">
        <v>89</v>
      </c>
      <c r="Q188" s="4">
        <v>45198</v>
      </c>
      <c r="S188" t="s">
        <v>4226</v>
      </c>
      <c r="U188">
        <v>9866.19</v>
      </c>
      <c r="V188">
        <v>0.40000040542499182</v>
      </c>
      <c r="W188" t="s">
        <v>16</v>
      </c>
      <c r="X188" t="s">
        <v>4215</v>
      </c>
      <c r="Z188" t="s">
        <v>89</v>
      </c>
      <c r="AA188" t="s">
        <v>89</v>
      </c>
      <c r="AC188" t="s">
        <v>89</v>
      </c>
      <c r="AD188">
        <v>0</v>
      </c>
      <c r="AE188" t="s">
        <v>9251</v>
      </c>
      <c r="AF188" s="4"/>
    </row>
    <row r="189" spans="1:32">
      <c r="A189" t="s">
        <v>9625</v>
      </c>
      <c r="B189" t="s">
        <v>9366</v>
      </c>
      <c r="C189" t="s">
        <v>4230</v>
      </c>
      <c r="D189" t="s">
        <v>54</v>
      </c>
      <c r="E189" t="s">
        <v>9626</v>
      </c>
      <c r="F189" t="s">
        <v>4228</v>
      </c>
      <c r="G189">
        <v>3946.48</v>
      </c>
      <c r="I189">
        <v>3946.48</v>
      </c>
      <c r="J189">
        <v>3946.48</v>
      </c>
      <c r="K189" s="4">
        <v>45133</v>
      </c>
      <c r="L189" s="4">
        <v>45108</v>
      </c>
      <c r="M189">
        <v>2023</v>
      </c>
      <c r="N189">
        <v>7</v>
      </c>
      <c r="O189" s="4">
        <v>45108</v>
      </c>
      <c r="P189" t="s">
        <v>89</v>
      </c>
      <c r="Q189" s="4">
        <v>45198</v>
      </c>
      <c r="S189" t="s">
        <v>4229</v>
      </c>
      <c r="U189">
        <v>9866.19</v>
      </c>
      <c r="V189">
        <v>0.40000040542499182</v>
      </c>
      <c r="W189" t="s">
        <v>16</v>
      </c>
      <c r="X189" t="s">
        <v>4215</v>
      </c>
      <c r="Z189" t="s">
        <v>89</v>
      </c>
      <c r="AA189" t="s">
        <v>89</v>
      </c>
      <c r="AC189" t="s">
        <v>89</v>
      </c>
      <c r="AD189" t="s">
        <v>89</v>
      </c>
      <c r="AE189" t="s">
        <v>3652</v>
      </c>
      <c r="AF189" s="4"/>
    </row>
    <row r="190" spans="1:32">
      <c r="A190" t="s">
        <v>9627</v>
      </c>
      <c r="B190" t="s">
        <v>9366</v>
      </c>
      <c r="C190" t="s">
        <v>4233</v>
      </c>
      <c r="D190" t="s">
        <v>54</v>
      </c>
      <c r="E190" t="s">
        <v>9525</v>
      </c>
      <c r="F190" t="s">
        <v>4231</v>
      </c>
      <c r="G190">
        <v>561.54999999999995</v>
      </c>
      <c r="I190">
        <v>561.54999999999995</v>
      </c>
      <c r="J190">
        <v>561.54999999999995</v>
      </c>
      <c r="K190" s="4">
        <v>45079</v>
      </c>
      <c r="L190" s="4">
        <v>45047</v>
      </c>
      <c r="M190">
        <v>2023</v>
      </c>
      <c r="N190">
        <v>6</v>
      </c>
      <c r="O190" s="4">
        <v>45078</v>
      </c>
      <c r="P190" t="s">
        <v>89</v>
      </c>
      <c r="Q190" s="4">
        <v>45121</v>
      </c>
      <c r="S190" t="s">
        <v>4232</v>
      </c>
      <c r="U190">
        <v>1403.87</v>
      </c>
      <c r="V190">
        <v>0.40000142463333499</v>
      </c>
      <c r="W190" t="s">
        <v>16</v>
      </c>
      <c r="X190" t="s">
        <v>4215</v>
      </c>
      <c r="Z190" t="s">
        <v>89</v>
      </c>
      <c r="AA190" t="s">
        <v>89</v>
      </c>
      <c r="AC190" t="s">
        <v>89</v>
      </c>
      <c r="AD190">
        <v>0</v>
      </c>
      <c r="AE190" t="s">
        <v>9251</v>
      </c>
      <c r="AF190" s="4"/>
    </row>
    <row r="191" spans="1:32">
      <c r="A191" t="s">
        <v>9628</v>
      </c>
      <c r="B191" t="s">
        <v>9366</v>
      </c>
      <c r="C191" t="s">
        <v>4238</v>
      </c>
      <c r="D191" t="s">
        <v>54</v>
      </c>
      <c r="E191" t="s">
        <v>9629</v>
      </c>
      <c r="F191" t="s">
        <v>4236</v>
      </c>
      <c r="G191">
        <v>561.54999999999995</v>
      </c>
      <c r="I191">
        <v>561.54999999999995</v>
      </c>
      <c r="J191">
        <v>561.54999999999995</v>
      </c>
      <c r="K191" s="4">
        <v>45079</v>
      </c>
      <c r="L191" s="4">
        <v>45047</v>
      </c>
      <c r="M191">
        <v>2023</v>
      </c>
      <c r="N191">
        <v>6</v>
      </c>
      <c r="O191" s="4">
        <v>45078</v>
      </c>
      <c r="P191" t="s">
        <v>89</v>
      </c>
      <c r="Q191" s="4">
        <v>45121</v>
      </c>
      <c r="S191" t="s">
        <v>4237</v>
      </c>
      <c r="U191">
        <v>1403.87</v>
      </c>
      <c r="V191">
        <v>0.40000142463333499</v>
      </c>
      <c r="W191" t="s">
        <v>16</v>
      </c>
      <c r="X191" t="s">
        <v>4215</v>
      </c>
      <c r="Z191" t="s">
        <v>89</v>
      </c>
      <c r="AA191" t="s">
        <v>89</v>
      </c>
      <c r="AC191" t="s">
        <v>89</v>
      </c>
      <c r="AD191" t="s">
        <v>89</v>
      </c>
      <c r="AE191" t="s">
        <v>3652</v>
      </c>
      <c r="AF191" s="4"/>
    </row>
    <row r="192" spans="1:32">
      <c r="A192" t="s">
        <v>9630</v>
      </c>
      <c r="B192" t="s">
        <v>9366</v>
      </c>
      <c r="C192" t="s">
        <v>4241</v>
      </c>
      <c r="D192" t="s">
        <v>54</v>
      </c>
      <c r="E192" t="s">
        <v>9540</v>
      </c>
      <c r="F192" t="s">
        <v>4239</v>
      </c>
      <c r="G192">
        <v>1123.0999999999999</v>
      </c>
      <c r="I192">
        <v>1123.0999999999999</v>
      </c>
      <c r="J192">
        <v>1123.0999999999999</v>
      </c>
      <c r="K192" s="4">
        <v>45079</v>
      </c>
      <c r="L192" s="4">
        <v>45047</v>
      </c>
      <c r="M192">
        <v>2023</v>
      </c>
      <c r="N192">
        <v>6</v>
      </c>
      <c r="O192" s="4">
        <v>45078</v>
      </c>
      <c r="P192" t="s">
        <v>89</v>
      </c>
      <c r="Q192" s="4">
        <v>45121</v>
      </c>
      <c r="S192" t="s">
        <v>4240</v>
      </c>
      <c r="U192">
        <v>2807.74</v>
      </c>
      <c r="V192">
        <v>0.40000142463333499</v>
      </c>
      <c r="W192" t="s">
        <v>16</v>
      </c>
      <c r="X192" t="s">
        <v>4215</v>
      </c>
      <c r="Z192" t="s">
        <v>89</v>
      </c>
      <c r="AA192" t="s">
        <v>89</v>
      </c>
      <c r="AC192" t="s">
        <v>89</v>
      </c>
      <c r="AD192" t="s">
        <v>89</v>
      </c>
      <c r="AE192" t="s">
        <v>3652</v>
      </c>
      <c r="AF192" s="4"/>
    </row>
    <row r="193" spans="1:32">
      <c r="A193" t="s">
        <v>9631</v>
      </c>
      <c r="B193" t="s">
        <v>9366</v>
      </c>
      <c r="C193" t="s">
        <v>4245</v>
      </c>
      <c r="D193" t="s">
        <v>54</v>
      </c>
      <c r="E193" t="s">
        <v>9545</v>
      </c>
      <c r="F193" t="s">
        <v>4243</v>
      </c>
      <c r="G193">
        <v>561.54999999999995</v>
      </c>
      <c r="I193">
        <v>561.54999999999995</v>
      </c>
      <c r="J193">
        <v>561.54999999999995</v>
      </c>
      <c r="K193" s="4">
        <v>45079</v>
      </c>
      <c r="L193" s="4">
        <v>45047</v>
      </c>
      <c r="M193">
        <v>2023</v>
      </c>
      <c r="N193">
        <v>6</v>
      </c>
      <c r="O193" s="4">
        <v>45078</v>
      </c>
      <c r="P193" t="s">
        <v>89</v>
      </c>
      <c r="Q193" s="4">
        <v>45121</v>
      </c>
      <c r="S193" t="s">
        <v>4244</v>
      </c>
      <c r="U193">
        <v>1403.87</v>
      </c>
      <c r="V193">
        <v>0.40000142463333499</v>
      </c>
      <c r="W193" t="s">
        <v>16</v>
      </c>
      <c r="X193" t="s">
        <v>4215</v>
      </c>
      <c r="Z193" t="s">
        <v>89</v>
      </c>
      <c r="AA193" t="s">
        <v>89</v>
      </c>
      <c r="AC193" t="s">
        <v>89</v>
      </c>
      <c r="AD193">
        <v>0</v>
      </c>
      <c r="AE193" t="s">
        <v>9251</v>
      </c>
      <c r="AF193" s="4"/>
    </row>
    <row r="194" spans="1:32">
      <c r="A194" t="s">
        <v>9632</v>
      </c>
      <c r="B194" t="s">
        <v>9366</v>
      </c>
      <c r="C194" t="s">
        <v>4249</v>
      </c>
      <c r="D194" t="s">
        <v>54</v>
      </c>
      <c r="E194" t="s">
        <v>9633</v>
      </c>
      <c r="F194" t="s">
        <v>4247</v>
      </c>
      <c r="G194">
        <v>561.54999999999995</v>
      </c>
      <c r="I194">
        <v>561.54999999999995</v>
      </c>
      <c r="J194">
        <v>561.54999999999995</v>
      </c>
      <c r="K194" s="4">
        <v>45079</v>
      </c>
      <c r="L194" s="4">
        <v>45047</v>
      </c>
      <c r="M194">
        <v>2023</v>
      </c>
      <c r="N194">
        <v>6</v>
      </c>
      <c r="O194" s="4">
        <v>45078</v>
      </c>
      <c r="P194" t="s">
        <v>89</v>
      </c>
      <c r="Q194" s="4">
        <v>45121</v>
      </c>
      <c r="S194" t="s">
        <v>4248</v>
      </c>
      <c r="U194">
        <v>1403.87</v>
      </c>
      <c r="V194">
        <v>0.40000142463333499</v>
      </c>
      <c r="W194" t="s">
        <v>16</v>
      </c>
      <c r="X194" t="s">
        <v>4215</v>
      </c>
      <c r="Z194" t="s">
        <v>89</v>
      </c>
      <c r="AA194" t="s">
        <v>89</v>
      </c>
      <c r="AC194" t="s">
        <v>89</v>
      </c>
      <c r="AD194">
        <v>0</v>
      </c>
      <c r="AE194" t="s">
        <v>9251</v>
      </c>
      <c r="AF194" s="4"/>
    </row>
    <row r="195" spans="1:32">
      <c r="A195" t="s">
        <v>9634</v>
      </c>
      <c r="B195" t="s">
        <v>9366</v>
      </c>
      <c r="C195" t="s">
        <v>4258</v>
      </c>
      <c r="D195" t="s">
        <v>54</v>
      </c>
      <c r="E195" t="s">
        <v>9566</v>
      </c>
      <c r="F195" t="s">
        <v>4256</v>
      </c>
      <c r="G195">
        <v>561.54999999999995</v>
      </c>
      <c r="I195">
        <v>561.54999999999995</v>
      </c>
      <c r="J195">
        <v>561.54999999999995</v>
      </c>
      <c r="K195" s="4">
        <v>45079</v>
      </c>
      <c r="L195" s="4">
        <v>45047</v>
      </c>
      <c r="M195">
        <v>2023</v>
      </c>
      <c r="N195">
        <v>6</v>
      </c>
      <c r="O195" s="4">
        <v>45078</v>
      </c>
      <c r="P195" t="s">
        <v>89</v>
      </c>
      <c r="Q195" s="4">
        <v>45121</v>
      </c>
      <c r="S195" t="s">
        <v>4257</v>
      </c>
      <c r="U195">
        <v>1403.87</v>
      </c>
      <c r="V195">
        <v>0.40000142463333499</v>
      </c>
      <c r="W195" t="s">
        <v>16</v>
      </c>
      <c r="X195" t="s">
        <v>4215</v>
      </c>
      <c r="Z195" t="s">
        <v>89</v>
      </c>
      <c r="AA195" t="s">
        <v>89</v>
      </c>
      <c r="AC195" t="s">
        <v>89</v>
      </c>
      <c r="AD195">
        <v>0</v>
      </c>
      <c r="AE195" t="s">
        <v>9251</v>
      </c>
      <c r="AF195" s="4"/>
    </row>
    <row r="196" spans="1:32">
      <c r="A196" t="s">
        <v>9635</v>
      </c>
      <c r="B196" t="s">
        <v>9366</v>
      </c>
      <c r="C196" t="s">
        <v>4262</v>
      </c>
      <c r="D196" t="s">
        <v>54</v>
      </c>
      <c r="E196" t="s">
        <v>9572</v>
      </c>
      <c r="F196" t="s">
        <v>4260</v>
      </c>
      <c r="G196">
        <v>561.54999999999995</v>
      </c>
      <c r="I196">
        <v>561.54999999999995</v>
      </c>
      <c r="J196">
        <v>561.54999999999995</v>
      </c>
      <c r="K196" s="4">
        <v>45079</v>
      </c>
      <c r="L196" s="4">
        <v>45047</v>
      </c>
      <c r="M196">
        <v>2023</v>
      </c>
      <c r="N196">
        <v>6</v>
      </c>
      <c r="O196" s="4">
        <v>45078</v>
      </c>
      <c r="P196" t="s">
        <v>89</v>
      </c>
      <c r="Q196" s="4">
        <v>45121</v>
      </c>
      <c r="S196" t="s">
        <v>4261</v>
      </c>
      <c r="U196">
        <v>1403.87</v>
      </c>
      <c r="V196">
        <v>0.40000142463333499</v>
      </c>
      <c r="W196" t="s">
        <v>16</v>
      </c>
      <c r="X196" t="s">
        <v>4215</v>
      </c>
      <c r="Z196" t="s">
        <v>89</v>
      </c>
      <c r="AA196" t="s">
        <v>89</v>
      </c>
      <c r="AC196" t="s">
        <v>89</v>
      </c>
      <c r="AD196">
        <v>0</v>
      </c>
      <c r="AE196" t="s">
        <v>9251</v>
      </c>
      <c r="AF196" s="4"/>
    </row>
    <row r="197" spans="1:32">
      <c r="A197" t="s">
        <v>9636</v>
      </c>
      <c r="B197" t="s">
        <v>9366</v>
      </c>
      <c r="C197" t="s">
        <v>4266</v>
      </c>
      <c r="D197" t="s">
        <v>54</v>
      </c>
      <c r="E197" t="s">
        <v>9592</v>
      </c>
      <c r="F197" t="s">
        <v>4264</v>
      </c>
      <c r="G197">
        <v>561.54999999999995</v>
      </c>
      <c r="I197">
        <v>561.54999999999995</v>
      </c>
      <c r="J197">
        <v>561.54999999999995</v>
      </c>
      <c r="K197" s="4">
        <v>45079</v>
      </c>
      <c r="L197" s="4">
        <v>45047</v>
      </c>
      <c r="M197">
        <v>2023</v>
      </c>
      <c r="N197">
        <v>6</v>
      </c>
      <c r="O197" s="4">
        <v>45078</v>
      </c>
      <c r="P197" t="s">
        <v>89</v>
      </c>
      <c r="Q197" s="4">
        <v>45121</v>
      </c>
      <c r="S197" t="s">
        <v>4265</v>
      </c>
      <c r="U197">
        <v>1403.87</v>
      </c>
      <c r="V197">
        <v>0.40000142463333499</v>
      </c>
      <c r="W197" t="s">
        <v>16</v>
      </c>
      <c r="X197" t="s">
        <v>4215</v>
      </c>
      <c r="Z197" t="s">
        <v>89</v>
      </c>
      <c r="AA197" t="s">
        <v>89</v>
      </c>
      <c r="AC197" t="s">
        <v>89</v>
      </c>
      <c r="AD197" t="s">
        <v>89</v>
      </c>
      <c r="AE197" t="s">
        <v>3652</v>
      </c>
      <c r="AF197" s="4"/>
    </row>
    <row r="198" spans="1:32">
      <c r="A198" t="s">
        <v>9637</v>
      </c>
      <c r="B198" t="s">
        <v>9366</v>
      </c>
      <c r="C198" t="s">
        <v>4298</v>
      </c>
      <c r="D198" t="s">
        <v>54</v>
      </c>
      <c r="E198" t="s">
        <v>9638</v>
      </c>
      <c r="F198" t="s">
        <v>4297</v>
      </c>
      <c r="G198">
        <v>74705.69</v>
      </c>
      <c r="I198">
        <v>74705.69</v>
      </c>
      <c r="K198" s="4">
        <v>45471</v>
      </c>
      <c r="L198" s="4">
        <v>45471</v>
      </c>
      <c r="M198">
        <v>2024</v>
      </c>
      <c r="N198">
        <v>6</v>
      </c>
      <c r="O198" s="4">
        <v>45444</v>
      </c>
      <c r="P198" t="s">
        <v>1473</v>
      </c>
      <c r="Q198" s="4"/>
      <c r="S198" t="s">
        <v>3492</v>
      </c>
      <c r="T198">
        <v>45551</v>
      </c>
      <c r="U198">
        <v>74705.69</v>
      </c>
      <c r="V198">
        <v>1</v>
      </c>
      <c r="W198" t="s">
        <v>16</v>
      </c>
      <c r="X198" t="s">
        <v>4109</v>
      </c>
      <c r="Z198">
        <v>81</v>
      </c>
      <c r="AA198">
        <v>81</v>
      </c>
      <c r="AB198" t="s">
        <v>9595</v>
      </c>
      <c r="AC198" t="s">
        <v>1473</v>
      </c>
      <c r="AD198" t="s">
        <v>1473</v>
      </c>
      <c r="AE198" t="s">
        <v>3652</v>
      </c>
      <c r="AF198" s="4"/>
    </row>
    <row r="199" spans="1:32">
      <c r="A199" t="s">
        <v>9639</v>
      </c>
      <c r="B199" t="s">
        <v>9366</v>
      </c>
      <c r="C199" t="s">
        <v>4301</v>
      </c>
      <c r="D199" t="s">
        <v>54</v>
      </c>
      <c r="E199" t="s">
        <v>9640</v>
      </c>
      <c r="F199" t="s">
        <v>4299</v>
      </c>
      <c r="G199">
        <v>4700.7780000000002</v>
      </c>
      <c r="I199">
        <v>4700.7780000000002</v>
      </c>
      <c r="J199">
        <v>4700.7780000000002</v>
      </c>
      <c r="K199" s="4">
        <v>45483</v>
      </c>
      <c r="L199" s="4">
        <v>45483</v>
      </c>
      <c r="M199">
        <v>2024</v>
      </c>
      <c r="N199">
        <v>2</v>
      </c>
      <c r="O199" s="4">
        <v>45323</v>
      </c>
      <c r="P199" t="s">
        <v>89</v>
      </c>
      <c r="Q199" s="4">
        <v>45534</v>
      </c>
      <c r="S199" t="s">
        <v>2615</v>
      </c>
      <c r="T199">
        <v>45512</v>
      </c>
      <c r="U199">
        <v>7834.63</v>
      </c>
      <c r="V199">
        <v>0.6</v>
      </c>
      <c r="W199" t="s">
        <v>16</v>
      </c>
      <c r="X199" t="s">
        <v>3932</v>
      </c>
      <c r="Z199" t="s">
        <v>89</v>
      </c>
      <c r="AA199" t="s">
        <v>89</v>
      </c>
      <c r="AB199" t="s">
        <v>9595</v>
      </c>
      <c r="AC199" t="s">
        <v>1848</v>
      </c>
      <c r="AD199" t="s">
        <v>1473</v>
      </c>
      <c r="AE199" t="s">
        <v>9251</v>
      </c>
      <c r="AF199" s="4"/>
    </row>
    <row r="200" spans="1:32">
      <c r="A200" t="s">
        <v>9641</v>
      </c>
      <c r="B200" t="s">
        <v>9366</v>
      </c>
      <c r="C200" t="s">
        <v>4305</v>
      </c>
      <c r="D200" t="s">
        <v>54</v>
      </c>
      <c r="E200" t="s">
        <v>9642</v>
      </c>
      <c r="F200" t="s">
        <v>4302</v>
      </c>
      <c r="G200">
        <v>4700.7780000000002</v>
      </c>
      <c r="I200">
        <v>4700.7780000000002</v>
      </c>
      <c r="J200">
        <v>4700.7780000000002</v>
      </c>
      <c r="K200" s="4">
        <v>45483</v>
      </c>
      <c r="L200" s="4">
        <v>45483</v>
      </c>
      <c r="M200">
        <v>2024</v>
      </c>
      <c r="N200">
        <v>2</v>
      </c>
      <c r="O200" s="4">
        <v>45323</v>
      </c>
      <c r="P200" t="s">
        <v>89</v>
      </c>
      <c r="Q200" s="4">
        <v>45534</v>
      </c>
      <c r="S200" t="s">
        <v>4303</v>
      </c>
      <c r="T200">
        <v>45512</v>
      </c>
      <c r="U200">
        <v>7834.63</v>
      </c>
      <c r="V200">
        <v>0.6</v>
      </c>
      <c r="W200" t="s">
        <v>16</v>
      </c>
      <c r="X200" t="s">
        <v>3932</v>
      </c>
      <c r="Z200" t="s">
        <v>89</v>
      </c>
      <c r="AA200" t="s">
        <v>89</v>
      </c>
      <c r="AB200" t="s">
        <v>9595</v>
      </c>
      <c r="AC200" t="s">
        <v>1848</v>
      </c>
      <c r="AD200" t="s">
        <v>1473</v>
      </c>
      <c r="AE200" t="s">
        <v>9251</v>
      </c>
      <c r="AF200" s="4"/>
    </row>
    <row r="201" spans="1:32">
      <c r="A201" t="s">
        <v>9643</v>
      </c>
      <c r="B201" t="s">
        <v>9366</v>
      </c>
      <c r="C201" t="s">
        <v>4278</v>
      </c>
      <c r="D201" t="s">
        <v>54</v>
      </c>
      <c r="E201" t="s">
        <v>9644</v>
      </c>
      <c r="F201" t="s">
        <v>4275</v>
      </c>
      <c r="G201">
        <v>3133.85</v>
      </c>
      <c r="I201">
        <v>3133.85</v>
      </c>
      <c r="K201" s="4">
        <v>45408</v>
      </c>
      <c r="L201" s="4">
        <v>45408</v>
      </c>
      <c r="M201">
        <v>2024</v>
      </c>
      <c r="N201">
        <v>4</v>
      </c>
      <c r="O201" s="4">
        <v>45383</v>
      </c>
      <c r="P201" t="s">
        <v>95</v>
      </c>
      <c r="Q201" s="4"/>
      <c r="R201" t="s">
        <v>9645</v>
      </c>
      <c r="S201" t="s">
        <v>2673</v>
      </c>
      <c r="T201">
        <v>45429</v>
      </c>
      <c r="U201">
        <v>5223.09</v>
      </c>
      <c r="V201">
        <v>0.59999923416981127</v>
      </c>
      <c r="W201" t="s">
        <v>16</v>
      </c>
      <c r="X201" t="s">
        <v>3932</v>
      </c>
      <c r="Z201">
        <v>144</v>
      </c>
      <c r="AA201">
        <v>144</v>
      </c>
      <c r="AC201" t="s">
        <v>95</v>
      </c>
      <c r="AD201" t="s">
        <v>95</v>
      </c>
      <c r="AE201" t="s">
        <v>3652</v>
      </c>
      <c r="AF201" s="4"/>
    </row>
    <row r="202" spans="1:32">
      <c r="A202" t="s">
        <v>9646</v>
      </c>
      <c r="B202" t="s">
        <v>9366</v>
      </c>
      <c r="C202" t="s">
        <v>4277</v>
      </c>
      <c r="D202" t="s">
        <v>54</v>
      </c>
      <c r="E202" t="s">
        <v>9644</v>
      </c>
      <c r="F202" t="s">
        <v>4275</v>
      </c>
      <c r="G202">
        <v>2089.2399999999998</v>
      </c>
      <c r="I202">
        <v>2089.2399999999998</v>
      </c>
      <c r="J202">
        <v>2089.2399999999998</v>
      </c>
      <c r="K202" s="4">
        <v>45079</v>
      </c>
      <c r="L202" s="4">
        <v>45079</v>
      </c>
      <c r="M202">
        <v>2023</v>
      </c>
      <c r="N202">
        <v>6</v>
      </c>
      <c r="O202" s="4">
        <v>45078</v>
      </c>
      <c r="P202" t="s">
        <v>89</v>
      </c>
      <c r="Q202" s="4">
        <v>45303</v>
      </c>
      <c r="S202" t="s">
        <v>2673</v>
      </c>
      <c r="U202">
        <v>5223.09</v>
      </c>
      <c r="V202">
        <v>0.40000076583018856</v>
      </c>
      <c r="W202" t="s">
        <v>16</v>
      </c>
      <c r="X202" t="s">
        <v>3932</v>
      </c>
      <c r="Z202" t="s">
        <v>89</v>
      </c>
      <c r="AA202" t="s">
        <v>89</v>
      </c>
      <c r="AC202" t="s">
        <v>89</v>
      </c>
      <c r="AD202" t="s">
        <v>89</v>
      </c>
      <c r="AE202" t="s">
        <v>3652</v>
      </c>
      <c r="AF202" s="4"/>
    </row>
    <row r="203" spans="1:32">
      <c r="A203" t="s">
        <v>9647</v>
      </c>
      <c r="B203" t="s">
        <v>9366</v>
      </c>
      <c r="C203" t="s">
        <v>4282</v>
      </c>
      <c r="D203" t="s">
        <v>54</v>
      </c>
      <c r="E203" t="s">
        <v>9648</v>
      </c>
      <c r="F203" t="s">
        <v>4280</v>
      </c>
      <c r="G203">
        <v>2089.2399999999998</v>
      </c>
      <c r="I203">
        <v>2089.2399999999998</v>
      </c>
      <c r="J203">
        <v>2089.2399999999998</v>
      </c>
      <c r="K203" s="4">
        <v>45079</v>
      </c>
      <c r="L203" s="4">
        <v>45079</v>
      </c>
      <c r="M203">
        <v>2023</v>
      </c>
      <c r="N203">
        <v>6</v>
      </c>
      <c r="O203" s="4">
        <v>45078</v>
      </c>
      <c r="P203" t="s">
        <v>89</v>
      </c>
      <c r="Q203" s="4">
        <v>45303</v>
      </c>
      <c r="S203" t="s">
        <v>4281</v>
      </c>
      <c r="U203">
        <v>5223.09</v>
      </c>
      <c r="V203">
        <v>0.40000076583018856</v>
      </c>
      <c r="W203" t="s">
        <v>16</v>
      </c>
      <c r="X203" t="s">
        <v>3932</v>
      </c>
      <c r="Z203" t="s">
        <v>89</v>
      </c>
      <c r="AA203" t="s">
        <v>89</v>
      </c>
      <c r="AC203" t="s">
        <v>89</v>
      </c>
      <c r="AD203">
        <v>0</v>
      </c>
      <c r="AE203" t="s">
        <v>9251</v>
      </c>
      <c r="AF203" s="4"/>
    </row>
    <row r="204" spans="1:32">
      <c r="A204" t="s">
        <v>9649</v>
      </c>
      <c r="B204" t="s">
        <v>9366</v>
      </c>
      <c r="C204" t="s">
        <v>4285</v>
      </c>
      <c r="D204" t="s">
        <v>54</v>
      </c>
      <c r="E204" t="s">
        <v>9650</v>
      </c>
      <c r="F204" t="s">
        <v>4283</v>
      </c>
      <c r="G204">
        <v>1566.92</v>
      </c>
      <c r="I204">
        <v>1566.92</v>
      </c>
      <c r="K204" s="4">
        <v>45408</v>
      </c>
      <c r="L204" s="4">
        <v>45408</v>
      </c>
      <c r="M204">
        <v>2024</v>
      </c>
      <c r="N204">
        <v>4</v>
      </c>
      <c r="O204" s="4">
        <v>45383</v>
      </c>
      <c r="P204" t="s">
        <v>95</v>
      </c>
      <c r="Q204" s="4"/>
      <c r="R204" t="s">
        <v>9645</v>
      </c>
      <c r="S204" t="s">
        <v>2624</v>
      </c>
      <c r="T204">
        <v>45429</v>
      </c>
      <c r="U204">
        <v>2611.54</v>
      </c>
      <c r="V204">
        <v>0.59999846833669024</v>
      </c>
      <c r="W204" t="s">
        <v>16</v>
      </c>
      <c r="X204" t="s">
        <v>3932</v>
      </c>
      <c r="Z204">
        <v>144</v>
      </c>
      <c r="AA204">
        <v>144</v>
      </c>
      <c r="AC204" t="s">
        <v>95</v>
      </c>
      <c r="AD204" t="s">
        <v>95</v>
      </c>
      <c r="AE204" t="s">
        <v>3652</v>
      </c>
      <c r="AF204" s="4"/>
    </row>
    <row r="205" spans="1:32">
      <c r="A205" t="s">
        <v>9651</v>
      </c>
      <c r="B205" t="s">
        <v>9366</v>
      </c>
      <c r="C205" t="s">
        <v>4284</v>
      </c>
      <c r="D205" t="s">
        <v>54</v>
      </c>
      <c r="E205" t="s">
        <v>9650</v>
      </c>
      <c r="F205" t="s">
        <v>4283</v>
      </c>
      <c r="G205">
        <v>1044.6199999999999</v>
      </c>
      <c r="I205">
        <v>1044.6199999999999</v>
      </c>
      <c r="J205">
        <v>1044.6199999999999</v>
      </c>
      <c r="K205" s="4">
        <v>45079</v>
      </c>
      <c r="L205" s="4">
        <v>45079</v>
      </c>
      <c r="M205">
        <v>2023</v>
      </c>
      <c r="N205">
        <v>6</v>
      </c>
      <c r="O205" s="4">
        <v>45078</v>
      </c>
      <c r="P205" t="s">
        <v>89</v>
      </c>
      <c r="Q205" s="4">
        <v>45303</v>
      </c>
      <c r="S205" t="s">
        <v>2624</v>
      </c>
      <c r="U205">
        <v>2611.54</v>
      </c>
      <c r="V205">
        <v>0.40000153166330976</v>
      </c>
      <c r="W205" t="s">
        <v>16</v>
      </c>
      <c r="X205" t="s">
        <v>3932</v>
      </c>
      <c r="Z205" t="s">
        <v>89</v>
      </c>
      <c r="AA205" t="s">
        <v>89</v>
      </c>
      <c r="AC205" t="s">
        <v>89</v>
      </c>
      <c r="AD205">
        <v>0</v>
      </c>
      <c r="AE205" t="s">
        <v>9251</v>
      </c>
      <c r="AF205" s="4"/>
    </row>
    <row r="206" spans="1:32">
      <c r="A206" t="s">
        <v>9652</v>
      </c>
      <c r="B206" t="s">
        <v>9366</v>
      </c>
      <c r="C206" t="s">
        <v>4288</v>
      </c>
      <c r="D206" t="s">
        <v>54</v>
      </c>
      <c r="E206" t="s">
        <v>9653</v>
      </c>
      <c r="F206" t="s">
        <v>4286</v>
      </c>
      <c r="G206">
        <v>1044.6199999999999</v>
      </c>
      <c r="I206">
        <v>1044.6199999999999</v>
      </c>
      <c r="J206">
        <v>1044.6199999999999</v>
      </c>
      <c r="K206" s="4">
        <v>45079</v>
      </c>
      <c r="L206" s="4">
        <v>45079</v>
      </c>
      <c r="M206">
        <v>2023</v>
      </c>
      <c r="N206">
        <v>6</v>
      </c>
      <c r="O206" s="4">
        <v>45078</v>
      </c>
      <c r="P206" t="s">
        <v>89</v>
      </c>
      <c r="Q206" s="4">
        <v>45303</v>
      </c>
      <c r="S206" t="s">
        <v>4287</v>
      </c>
      <c r="U206">
        <v>2611.54</v>
      </c>
      <c r="V206">
        <v>0.40000153166330976</v>
      </c>
      <c r="W206" t="s">
        <v>16</v>
      </c>
      <c r="X206" t="s">
        <v>3932</v>
      </c>
      <c r="Z206" t="s">
        <v>89</v>
      </c>
      <c r="AA206" t="s">
        <v>89</v>
      </c>
      <c r="AC206" t="s">
        <v>89</v>
      </c>
      <c r="AD206">
        <v>0</v>
      </c>
      <c r="AE206" t="s">
        <v>9251</v>
      </c>
      <c r="AF206" s="4"/>
    </row>
    <row r="207" spans="1:32">
      <c r="A207" t="s">
        <v>9654</v>
      </c>
      <c r="B207" t="s">
        <v>2193</v>
      </c>
      <c r="C207" t="s">
        <v>9655</v>
      </c>
      <c r="D207" t="s">
        <v>39</v>
      </c>
      <c r="E207">
        <v>4600000810</v>
      </c>
      <c r="F207" t="s">
        <v>9656</v>
      </c>
      <c r="G207">
        <v>10449.43</v>
      </c>
      <c r="I207">
        <v>10449.43</v>
      </c>
      <c r="J207">
        <v>10449.43</v>
      </c>
      <c r="K207" s="4">
        <v>45419</v>
      </c>
      <c r="L207" s="4">
        <v>45420</v>
      </c>
      <c r="M207">
        <v>2024</v>
      </c>
      <c r="N207">
        <v>5</v>
      </c>
      <c r="O207" s="4">
        <v>45413</v>
      </c>
      <c r="P207" t="s">
        <v>89</v>
      </c>
      <c r="Q207" s="4"/>
      <c r="S207" t="s">
        <v>2961</v>
      </c>
      <c r="X207" t="s">
        <v>2369</v>
      </c>
      <c r="Z207" t="s">
        <v>89</v>
      </c>
      <c r="AA207" t="s">
        <v>89</v>
      </c>
      <c r="AC207" t="s">
        <v>89</v>
      </c>
      <c r="AD207" t="s">
        <v>89</v>
      </c>
      <c r="AE207" t="s">
        <v>3652</v>
      </c>
      <c r="AF207" s="4">
        <v>45413</v>
      </c>
    </row>
    <row r="208" spans="1:32">
      <c r="A208" t="s">
        <v>9657</v>
      </c>
      <c r="B208" t="s">
        <v>2193</v>
      </c>
      <c r="C208" t="s">
        <v>9658</v>
      </c>
      <c r="D208" t="s">
        <v>39</v>
      </c>
      <c r="E208">
        <v>4600000810</v>
      </c>
      <c r="F208" t="s">
        <v>9659</v>
      </c>
      <c r="G208">
        <v>10355.89</v>
      </c>
      <c r="I208">
        <v>10355.89</v>
      </c>
      <c r="J208">
        <v>10355.89</v>
      </c>
      <c r="K208" s="4">
        <v>45419</v>
      </c>
      <c r="L208" s="4">
        <v>45420</v>
      </c>
      <c r="M208">
        <v>2024</v>
      </c>
      <c r="N208">
        <v>5</v>
      </c>
      <c r="O208" s="4">
        <v>45413</v>
      </c>
      <c r="P208" t="s">
        <v>89</v>
      </c>
      <c r="Q208" s="4"/>
      <c r="S208" t="s">
        <v>2951</v>
      </c>
      <c r="X208" t="s">
        <v>2369</v>
      </c>
      <c r="Z208" t="s">
        <v>89</v>
      </c>
      <c r="AA208" t="s">
        <v>89</v>
      </c>
      <c r="AC208" t="s">
        <v>89</v>
      </c>
      <c r="AD208" t="s">
        <v>89</v>
      </c>
      <c r="AE208" t="s">
        <v>3652</v>
      </c>
      <c r="AF208" s="4">
        <v>45413</v>
      </c>
    </row>
    <row r="209" spans="1:32">
      <c r="A209" t="s">
        <v>9657</v>
      </c>
      <c r="B209" t="s">
        <v>2193</v>
      </c>
      <c r="C209" t="s">
        <v>9660</v>
      </c>
      <c r="D209" t="s">
        <v>39</v>
      </c>
      <c r="E209">
        <v>4600000810</v>
      </c>
      <c r="F209" t="s">
        <v>9661</v>
      </c>
      <c r="G209">
        <v>10355.89</v>
      </c>
      <c r="I209">
        <v>10355.89</v>
      </c>
      <c r="J209">
        <v>10355.89</v>
      </c>
      <c r="K209" s="4">
        <v>45419</v>
      </c>
      <c r="L209" s="4">
        <v>45420</v>
      </c>
      <c r="M209">
        <v>2024</v>
      </c>
      <c r="N209">
        <v>5</v>
      </c>
      <c r="O209" s="4">
        <v>45413</v>
      </c>
      <c r="P209" t="s">
        <v>89</v>
      </c>
      <c r="Q209" s="4"/>
      <c r="S209" t="s">
        <v>2945</v>
      </c>
      <c r="X209" t="s">
        <v>2369</v>
      </c>
      <c r="Z209" t="s">
        <v>89</v>
      </c>
      <c r="AA209" t="s">
        <v>89</v>
      </c>
      <c r="AC209" t="s">
        <v>89</v>
      </c>
      <c r="AD209" t="s">
        <v>89</v>
      </c>
      <c r="AE209" t="s">
        <v>3652</v>
      </c>
      <c r="AF209" s="4">
        <v>45413</v>
      </c>
    </row>
    <row r="210" spans="1:32">
      <c r="A210" t="s">
        <v>9662</v>
      </c>
      <c r="B210" t="s">
        <v>2193</v>
      </c>
      <c r="C210" t="s">
        <v>9663</v>
      </c>
      <c r="D210" t="s">
        <v>39</v>
      </c>
      <c r="E210">
        <v>4600000757</v>
      </c>
      <c r="F210" t="s">
        <v>9664</v>
      </c>
      <c r="G210">
        <v>5357.52</v>
      </c>
      <c r="I210">
        <v>5357.52</v>
      </c>
      <c r="J210">
        <v>5357.52</v>
      </c>
      <c r="K210" s="4">
        <v>45419</v>
      </c>
      <c r="L210" s="4">
        <v>45420</v>
      </c>
      <c r="M210">
        <v>2024</v>
      </c>
      <c r="N210">
        <v>5</v>
      </c>
      <c r="O210" s="4">
        <v>45413</v>
      </c>
      <c r="P210" t="s">
        <v>89</v>
      </c>
      <c r="Q210" s="4"/>
      <c r="S210" t="s">
        <v>2923</v>
      </c>
      <c r="X210" t="s">
        <v>2369</v>
      </c>
      <c r="Z210" t="s">
        <v>89</v>
      </c>
      <c r="AA210" t="s">
        <v>89</v>
      </c>
      <c r="AC210" t="s">
        <v>89</v>
      </c>
      <c r="AD210" t="s">
        <v>89</v>
      </c>
      <c r="AE210" t="s">
        <v>3652</v>
      </c>
      <c r="AF210" s="4">
        <v>45413</v>
      </c>
    </row>
    <row r="211" spans="1:32">
      <c r="A211" t="s">
        <v>9662</v>
      </c>
      <c r="B211" t="s">
        <v>2193</v>
      </c>
      <c r="C211" t="s">
        <v>9665</v>
      </c>
      <c r="D211" t="s">
        <v>39</v>
      </c>
      <c r="E211">
        <v>4600000757</v>
      </c>
      <c r="F211" t="s">
        <v>9666</v>
      </c>
      <c r="G211">
        <v>5357.52</v>
      </c>
      <c r="I211">
        <v>5357.52</v>
      </c>
      <c r="J211">
        <v>5357.52</v>
      </c>
      <c r="K211" s="4">
        <v>45419</v>
      </c>
      <c r="L211" s="4">
        <v>45420</v>
      </c>
      <c r="M211">
        <v>2024</v>
      </c>
      <c r="N211">
        <v>5</v>
      </c>
      <c r="O211" s="4">
        <v>45413</v>
      </c>
      <c r="P211" t="s">
        <v>89</v>
      </c>
      <c r="Q211" s="4"/>
      <c r="S211" t="s">
        <v>2931</v>
      </c>
      <c r="X211" t="s">
        <v>2369</v>
      </c>
      <c r="Z211" t="s">
        <v>89</v>
      </c>
      <c r="AA211" t="s">
        <v>89</v>
      </c>
      <c r="AC211" t="s">
        <v>89</v>
      </c>
      <c r="AD211" t="s">
        <v>89</v>
      </c>
      <c r="AE211" t="s">
        <v>3652</v>
      </c>
      <c r="AF211" s="4">
        <v>45413</v>
      </c>
    </row>
    <row r="212" spans="1:32">
      <c r="A212" t="s">
        <v>9667</v>
      </c>
      <c r="B212" t="s">
        <v>2193</v>
      </c>
      <c r="C212" t="s">
        <v>9668</v>
      </c>
      <c r="D212" t="s">
        <v>47</v>
      </c>
      <c r="E212">
        <v>21883931</v>
      </c>
      <c r="F212" t="s">
        <v>9669</v>
      </c>
      <c r="G212">
        <v>324</v>
      </c>
      <c r="I212">
        <v>324</v>
      </c>
      <c r="K212" s="4">
        <v>45419</v>
      </c>
      <c r="L212" s="4">
        <v>45420</v>
      </c>
      <c r="M212">
        <v>2024</v>
      </c>
      <c r="N212">
        <v>5</v>
      </c>
      <c r="O212" s="4">
        <v>45413</v>
      </c>
      <c r="P212" t="s">
        <v>95</v>
      </c>
      <c r="Q212" s="4"/>
      <c r="S212" t="s">
        <v>9670</v>
      </c>
      <c r="X212" t="s">
        <v>3681</v>
      </c>
      <c r="Z212">
        <v>133</v>
      </c>
      <c r="AA212">
        <v>132</v>
      </c>
      <c r="AC212" t="s">
        <v>95</v>
      </c>
      <c r="AD212" t="s">
        <v>95</v>
      </c>
      <c r="AE212" t="s">
        <v>3652</v>
      </c>
      <c r="AF212" s="4"/>
    </row>
    <row r="213" spans="1:32">
      <c r="A213" t="s">
        <v>9667</v>
      </c>
      <c r="B213" t="s">
        <v>2193</v>
      </c>
      <c r="C213" t="s">
        <v>9671</v>
      </c>
      <c r="D213" t="s">
        <v>47</v>
      </c>
      <c r="E213">
        <v>21883931</v>
      </c>
      <c r="F213" t="s">
        <v>9672</v>
      </c>
      <c r="G213">
        <v>648</v>
      </c>
      <c r="I213">
        <v>648</v>
      </c>
      <c r="K213" s="4">
        <v>45419</v>
      </c>
      <c r="L213" s="4">
        <v>45420</v>
      </c>
      <c r="M213">
        <v>2024</v>
      </c>
      <c r="N213">
        <v>5</v>
      </c>
      <c r="O213" s="4">
        <v>45413</v>
      </c>
      <c r="P213" t="s">
        <v>95</v>
      </c>
      <c r="Q213" s="4"/>
      <c r="S213" t="s">
        <v>9673</v>
      </c>
      <c r="X213" t="s">
        <v>3681</v>
      </c>
      <c r="Z213">
        <v>133</v>
      </c>
      <c r="AA213">
        <v>132</v>
      </c>
      <c r="AC213" t="s">
        <v>95</v>
      </c>
      <c r="AD213" t="s">
        <v>95</v>
      </c>
      <c r="AE213" t="s">
        <v>3652</v>
      </c>
      <c r="AF213" s="4"/>
    </row>
    <row r="214" spans="1:32">
      <c r="A214" t="s">
        <v>9674</v>
      </c>
      <c r="B214" t="s">
        <v>2193</v>
      </c>
      <c r="C214" t="s">
        <v>9675</v>
      </c>
      <c r="D214" t="s">
        <v>55</v>
      </c>
      <c r="E214" t="s">
        <v>9676</v>
      </c>
      <c r="F214" t="s">
        <v>3565</v>
      </c>
      <c r="G214">
        <v>14000</v>
      </c>
      <c r="I214">
        <v>14000</v>
      </c>
      <c r="K214" s="4">
        <v>45414</v>
      </c>
      <c r="L214" s="4">
        <v>45415</v>
      </c>
      <c r="M214">
        <v>2024</v>
      </c>
      <c r="N214">
        <v>5</v>
      </c>
      <c r="O214" s="4">
        <v>45413</v>
      </c>
      <c r="P214" t="s">
        <v>89</v>
      </c>
      <c r="Q214" s="4"/>
      <c r="S214" t="s">
        <v>5485</v>
      </c>
      <c r="X214" t="s">
        <v>3711</v>
      </c>
      <c r="Z214" t="s">
        <v>89</v>
      </c>
      <c r="AA214" t="s">
        <v>89</v>
      </c>
      <c r="AC214" t="s">
        <v>89</v>
      </c>
      <c r="AD214" t="s">
        <v>89</v>
      </c>
      <c r="AE214" t="s">
        <v>3652</v>
      </c>
      <c r="AF214" s="4"/>
    </row>
    <row r="215" spans="1:32">
      <c r="A215" t="s">
        <v>9674</v>
      </c>
      <c r="B215" t="s">
        <v>2193</v>
      </c>
      <c r="C215" t="s">
        <v>9677</v>
      </c>
      <c r="D215" t="s">
        <v>55</v>
      </c>
      <c r="E215" t="s">
        <v>9676</v>
      </c>
      <c r="F215" t="s">
        <v>3565</v>
      </c>
      <c r="G215">
        <v>0</v>
      </c>
      <c r="H215">
        <v>0</v>
      </c>
      <c r="I215">
        <v>0</v>
      </c>
      <c r="K215" s="4">
        <v>45414</v>
      </c>
      <c r="L215" s="4">
        <v>45414</v>
      </c>
      <c r="M215">
        <v>2024</v>
      </c>
      <c r="N215">
        <v>5</v>
      </c>
      <c r="O215" s="4">
        <v>45413</v>
      </c>
      <c r="P215" t="s">
        <v>95</v>
      </c>
      <c r="Q215" s="4"/>
      <c r="R215" t="s">
        <v>9678</v>
      </c>
      <c r="S215" t="s">
        <v>5485</v>
      </c>
      <c r="X215" t="s">
        <v>3711</v>
      </c>
      <c r="Z215">
        <v>138</v>
      </c>
      <c r="AA215">
        <v>138</v>
      </c>
      <c r="AC215" t="s">
        <v>95</v>
      </c>
      <c r="AD215" t="s">
        <v>95</v>
      </c>
      <c r="AE215" t="s">
        <v>3652</v>
      </c>
      <c r="AF215" s="4"/>
    </row>
    <row r="216" spans="1:32">
      <c r="A216" t="s">
        <v>9679</v>
      </c>
      <c r="B216" t="s">
        <v>2193</v>
      </c>
      <c r="C216" t="s">
        <v>9680</v>
      </c>
      <c r="D216" t="s">
        <v>47</v>
      </c>
      <c r="E216">
        <v>21883931</v>
      </c>
      <c r="F216" t="s">
        <v>9681</v>
      </c>
      <c r="G216">
        <v>18212</v>
      </c>
      <c r="I216">
        <v>18212</v>
      </c>
      <c r="J216">
        <v>18212</v>
      </c>
      <c r="K216" s="4">
        <v>45413</v>
      </c>
      <c r="L216" s="4">
        <v>45413</v>
      </c>
      <c r="M216">
        <v>2024</v>
      </c>
      <c r="N216">
        <v>5</v>
      </c>
      <c r="O216" s="4">
        <v>45413</v>
      </c>
      <c r="P216" t="s">
        <v>89</v>
      </c>
      <c r="Q216" s="4"/>
      <c r="S216" t="s">
        <v>6145</v>
      </c>
      <c r="X216" t="s">
        <v>3681</v>
      </c>
      <c r="Z216" t="s">
        <v>89</v>
      </c>
      <c r="AA216" t="s">
        <v>89</v>
      </c>
      <c r="AC216" t="s">
        <v>89</v>
      </c>
      <c r="AD216" t="s">
        <v>89</v>
      </c>
      <c r="AE216" t="s">
        <v>3652</v>
      </c>
      <c r="AF216" s="4">
        <v>45474</v>
      </c>
    </row>
    <row r="217" spans="1:32">
      <c r="A217" t="s">
        <v>9682</v>
      </c>
      <c r="B217" t="s">
        <v>2193</v>
      </c>
      <c r="C217" t="s">
        <v>9683</v>
      </c>
      <c r="D217" t="s">
        <v>47</v>
      </c>
      <c r="E217">
        <v>21740607</v>
      </c>
      <c r="F217" t="s">
        <v>9684</v>
      </c>
      <c r="G217">
        <v>4693.2299999999996</v>
      </c>
      <c r="I217">
        <v>4693.2299999999996</v>
      </c>
      <c r="J217">
        <v>4693.2299999999996</v>
      </c>
      <c r="K217" s="4">
        <v>45413</v>
      </c>
      <c r="L217" s="4">
        <v>45413</v>
      </c>
      <c r="M217">
        <v>2024</v>
      </c>
      <c r="N217">
        <v>5</v>
      </c>
      <c r="O217" s="4">
        <v>45413</v>
      </c>
      <c r="P217" t="s">
        <v>89</v>
      </c>
      <c r="Q217" s="4"/>
      <c r="S217" t="s">
        <v>3056</v>
      </c>
      <c r="X217" t="s">
        <v>3681</v>
      </c>
      <c r="Z217" t="s">
        <v>89</v>
      </c>
      <c r="AA217" t="s">
        <v>89</v>
      </c>
      <c r="AC217" t="s">
        <v>89</v>
      </c>
      <c r="AD217" t="s">
        <v>1473</v>
      </c>
      <c r="AE217" t="s">
        <v>9251</v>
      </c>
      <c r="AF217" s="4">
        <v>45444</v>
      </c>
    </row>
    <row r="218" spans="1:32">
      <c r="A218" t="s">
        <v>9682</v>
      </c>
      <c r="B218" t="s">
        <v>2193</v>
      </c>
      <c r="C218" t="s">
        <v>9685</v>
      </c>
      <c r="D218" t="s">
        <v>47</v>
      </c>
      <c r="E218">
        <v>21740607</v>
      </c>
      <c r="F218" t="s">
        <v>9686</v>
      </c>
      <c r="G218">
        <v>4693.2299999999996</v>
      </c>
      <c r="I218">
        <v>4693.2299999999996</v>
      </c>
      <c r="J218">
        <v>4693.2299999999996</v>
      </c>
      <c r="K218" s="4">
        <v>45413</v>
      </c>
      <c r="L218" s="4">
        <v>45413</v>
      </c>
      <c r="M218">
        <v>2024</v>
      </c>
      <c r="N218">
        <v>5</v>
      </c>
      <c r="O218" s="4">
        <v>45413</v>
      </c>
      <c r="P218" t="s">
        <v>89</v>
      </c>
      <c r="Q218" s="4"/>
      <c r="S218" t="s">
        <v>3057</v>
      </c>
      <c r="X218" t="s">
        <v>3681</v>
      </c>
      <c r="Z218" t="s">
        <v>89</v>
      </c>
      <c r="AA218" t="s">
        <v>89</v>
      </c>
      <c r="AC218" t="s">
        <v>89</v>
      </c>
      <c r="AD218" t="s">
        <v>89</v>
      </c>
      <c r="AE218" t="s">
        <v>3652</v>
      </c>
      <c r="AF218" s="4">
        <v>45474</v>
      </c>
    </row>
    <row r="219" spans="1:32">
      <c r="A219" t="s">
        <v>9682</v>
      </c>
      <c r="B219" t="s">
        <v>2193</v>
      </c>
      <c r="C219" t="s">
        <v>9687</v>
      </c>
      <c r="D219" t="s">
        <v>47</v>
      </c>
      <c r="E219">
        <v>21740607</v>
      </c>
      <c r="F219" t="s">
        <v>9688</v>
      </c>
      <c r="G219">
        <v>4693.2299999999996</v>
      </c>
      <c r="I219">
        <v>4693.2299999999996</v>
      </c>
      <c r="J219">
        <v>4693.2299999999996</v>
      </c>
      <c r="K219" s="4">
        <v>45413</v>
      </c>
      <c r="L219" s="4">
        <v>45413</v>
      </c>
      <c r="M219">
        <v>2024</v>
      </c>
      <c r="N219">
        <v>5</v>
      </c>
      <c r="O219" s="4">
        <v>45413</v>
      </c>
      <c r="P219" t="s">
        <v>89</v>
      </c>
      <c r="Q219" s="4"/>
      <c r="S219" t="s">
        <v>3064</v>
      </c>
      <c r="X219" t="s">
        <v>3681</v>
      </c>
      <c r="Z219" t="s">
        <v>89</v>
      </c>
      <c r="AA219" t="s">
        <v>89</v>
      </c>
      <c r="AC219" t="s">
        <v>89</v>
      </c>
      <c r="AD219" t="s">
        <v>89</v>
      </c>
      <c r="AE219" t="s">
        <v>3652</v>
      </c>
      <c r="AF219" s="4">
        <v>45474</v>
      </c>
    </row>
    <row r="220" spans="1:32">
      <c r="A220" t="s">
        <v>9689</v>
      </c>
      <c r="B220" t="s">
        <v>9366</v>
      </c>
      <c r="C220" t="s">
        <v>4310</v>
      </c>
      <c r="D220" t="s">
        <v>54</v>
      </c>
      <c r="E220" t="s">
        <v>9690</v>
      </c>
      <c r="F220" t="s">
        <v>4308</v>
      </c>
      <c r="G220">
        <v>1039.5999999999999</v>
      </c>
      <c r="I220">
        <v>1039.5999999999999</v>
      </c>
      <c r="K220" s="4">
        <v>45520</v>
      </c>
      <c r="L220" s="4">
        <v>45520</v>
      </c>
      <c r="M220">
        <v>2024</v>
      </c>
      <c r="N220">
        <v>8</v>
      </c>
      <c r="O220" s="4">
        <v>45505</v>
      </c>
      <c r="P220" t="s">
        <v>1473</v>
      </c>
      <c r="Q220" s="4"/>
      <c r="S220" t="s">
        <v>3081</v>
      </c>
      <c r="T220">
        <v>45551</v>
      </c>
      <c r="U220">
        <v>1039.5999999999999</v>
      </c>
      <c r="V220">
        <v>1</v>
      </c>
      <c r="W220" t="s">
        <v>16</v>
      </c>
      <c r="X220" t="s">
        <v>3770</v>
      </c>
      <c r="Z220">
        <v>32</v>
      </c>
      <c r="AA220">
        <v>32</v>
      </c>
      <c r="AB220" t="s">
        <v>9368</v>
      </c>
      <c r="AE220" t="s">
        <v>9251</v>
      </c>
      <c r="AF220" s="4"/>
    </row>
    <row r="221" spans="1:32">
      <c r="A221" t="s">
        <v>9691</v>
      </c>
      <c r="B221" t="s">
        <v>9366</v>
      </c>
      <c r="C221" t="s">
        <v>4312</v>
      </c>
      <c r="D221" t="s">
        <v>54</v>
      </c>
      <c r="E221" t="s">
        <v>9692</v>
      </c>
      <c r="F221" t="s">
        <v>4311</v>
      </c>
      <c r="G221">
        <v>1039.5999999999999</v>
      </c>
      <c r="I221">
        <v>1039.5999999999999</v>
      </c>
      <c r="K221" s="4">
        <v>45520</v>
      </c>
      <c r="L221" s="4">
        <v>45520</v>
      </c>
      <c r="M221">
        <v>2024</v>
      </c>
      <c r="N221">
        <v>8</v>
      </c>
      <c r="O221" s="4">
        <v>45505</v>
      </c>
      <c r="P221" t="s">
        <v>1473</v>
      </c>
      <c r="Q221" s="4"/>
      <c r="S221" t="s">
        <v>3084</v>
      </c>
      <c r="T221">
        <v>45551</v>
      </c>
      <c r="U221">
        <v>1039.5999999999999</v>
      </c>
      <c r="V221">
        <v>1</v>
      </c>
      <c r="W221" t="s">
        <v>16</v>
      </c>
      <c r="X221" t="s">
        <v>3770</v>
      </c>
      <c r="Z221">
        <v>32</v>
      </c>
      <c r="AA221">
        <v>32</v>
      </c>
      <c r="AB221" t="s">
        <v>9368</v>
      </c>
      <c r="AE221" t="s">
        <v>9251</v>
      </c>
      <c r="AF221" s="4"/>
    </row>
    <row r="222" spans="1:32">
      <c r="A222" t="s">
        <v>9693</v>
      </c>
      <c r="B222" t="s">
        <v>2193</v>
      </c>
      <c r="C222" t="s">
        <v>9694</v>
      </c>
      <c r="D222" t="s">
        <v>47</v>
      </c>
      <c r="E222">
        <v>21740606</v>
      </c>
      <c r="F222" t="s">
        <v>9695</v>
      </c>
      <c r="G222">
        <v>11210.91</v>
      </c>
      <c r="I222">
        <v>11210.91</v>
      </c>
      <c r="J222">
        <v>11210.91</v>
      </c>
      <c r="K222" s="4">
        <v>45413</v>
      </c>
      <c r="L222" s="4">
        <v>45413</v>
      </c>
      <c r="M222">
        <v>2024</v>
      </c>
      <c r="N222">
        <v>5</v>
      </c>
      <c r="O222" s="4">
        <v>45413</v>
      </c>
      <c r="P222" t="s">
        <v>89</v>
      </c>
      <c r="Q222" s="4"/>
      <c r="S222" t="s">
        <v>3044</v>
      </c>
      <c r="X222" t="s">
        <v>3681</v>
      </c>
      <c r="Z222" t="s">
        <v>89</v>
      </c>
      <c r="AA222" t="s">
        <v>89</v>
      </c>
      <c r="AC222" t="s">
        <v>89</v>
      </c>
      <c r="AD222" t="s">
        <v>89</v>
      </c>
      <c r="AE222" t="s">
        <v>3652</v>
      </c>
      <c r="AF222" s="4">
        <v>45474</v>
      </c>
    </row>
    <row r="223" spans="1:32">
      <c r="A223" t="s">
        <v>9696</v>
      </c>
      <c r="B223" t="s">
        <v>2193</v>
      </c>
      <c r="C223" t="s">
        <v>9697</v>
      </c>
      <c r="D223" t="s">
        <v>47</v>
      </c>
      <c r="E223">
        <v>21740606</v>
      </c>
      <c r="F223" t="s">
        <v>9698</v>
      </c>
      <c r="G223">
        <v>11211.46</v>
      </c>
      <c r="I223">
        <v>11211.46</v>
      </c>
      <c r="J223">
        <v>11211.46</v>
      </c>
      <c r="K223" s="4">
        <v>45413</v>
      </c>
      <c r="L223" s="4">
        <v>45413</v>
      </c>
      <c r="M223">
        <v>2024</v>
      </c>
      <c r="N223">
        <v>5</v>
      </c>
      <c r="O223" s="4">
        <v>45413</v>
      </c>
      <c r="P223" t="s">
        <v>89</v>
      </c>
      <c r="Q223" s="4"/>
      <c r="S223" t="s">
        <v>3042</v>
      </c>
      <c r="X223" t="s">
        <v>3681</v>
      </c>
      <c r="Z223" t="s">
        <v>89</v>
      </c>
      <c r="AA223" t="s">
        <v>89</v>
      </c>
      <c r="AC223" t="s">
        <v>89</v>
      </c>
      <c r="AD223" t="s">
        <v>89</v>
      </c>
      <c r="AE223" t="s">
        <v>3652</v>
      </c>
      <c r="AF223" s="4">
        <v>45474</v>
      </c>
    </row>
    <row r="224" spans="1:32">
      <c r="A224" t="s">
        <v>9699</v>
      </c>
      <c r="B224" t="s">
        <v>2193</v>
      </c>
      <c r="C224" t="s">
        <v>9700</v>
      </c>
      <c r="D224" t="s">
        <v>47</v>
      </c>
      <c r="E224">
        <v>21740604</v>
      </c>
      <c r="F224" t="s">
        <v>9701</v>
      </c>
      <c r="G224">
        <v>2230.1999999999998</v>
      </c>
      <c r="I224">
        <v>2230.1999999999998</v>
      </c>
      <c r="J224">
        <v>2230.1999999999998</v>
      </c>
      <c r="K224" s="4">
        <v>45413</v>
      </c>
      <c r="L224" s="4">
        <v>45413</v>
      </c>
      <c r="M224">
        <v>2024</v>
      </c>
      <c r="N224">
        <v>5</v>
      </c>
      <c r="O224" s="4">
        <v>45413</v>
      </c>
      <c r="P224" t="s">
        <v>89</v>
      </c>
      <c r="Q224" s="4"/>
      <c r="S224" t="s">
        <v>3036</v>
      </c>
      <c r="X224" t="s">
        <v>3681</v>
      </c>
      <c r="Z224" t="s">
        <v>89</v>
      </c>
      <c r="AA224" t="s">
        <v>89</v>
      </c>
      <c r="AC224" t="s">
        <v>89</v>
      </c>
      <c r="AD224" t="s">
        <v>89</v>
      </c>
      <c r="AE224" t="s">
        <v>3652</v>
      </c>
      <c r="AF224" s="4">
        <v>45474</v>
      </c>
    </row>
    <row r="225" spans="1:32">
      <c r="A225" t="s">
        <v>9699</v>
      </c>
      <c r="B225" t="s">
        <v>2193</v>
      </c>
      <c r="C225" t="s">
        <v>9702</v>
      </c>
      <c r="D225" t="s">
        <v>47</v>
      </c>
      <c r="E225">
        <v>21740604</v>
      </c>
      <c r="F225" t="s">
        <v>9703</v>
      </c>
      <c r="G225">
        <v>2230.1999999999998</v>
      </c>
      <c r="I225">
        <v>2230.1999999999998</v>
      </c>
      <c r="J225">
        <v>2230.1999999999998</v>
      </c>
      <c r="K225" s="4">
        <v>45413</v>
      </c>
      <c r="L225" s="4">
        <v>45413</v>
      </c>
      <c r="M225">
        <v>2024</v>
      </c>
      <c r="N225">
        <v>5</v>
      </c>
      <c r="O225" s="4">
        <v>45413</v>
      </c>
      <c r="P225" t="s">
        <v>89</v>
      </c>
      <c r="Q225" s="4"/>
      <c r="S225" t="s">
        <v>3034</v>
      </c>
      <c r="X225" t="s">
        <v>2369</v>
      </c>
      <c r="Z225" t="s">
        <v>89</v>
      </c>
      <c r="AA225" t="s">
        <v>89</v>
      </c>
      <c r="AC225" t="s">
        <v>89</v>
      </c>
      <c r="AD225" t="s">
        <v>89</v>
      </c>
      <c r="AE225" t="s">
        <v>3652</v>
      </c>
      <c r="AF225" s="4">
        <v>45474</v>
      </c>
    </row>
    <row r="226" spans="1:32">
      <c r="A226" t="s">
        <v>9657</v>
      </c>
      <c r="B226" t="s">
        <v>2193</v>
      </c>
      <c r="C226" t="s">
        <v>9704</v>
      </c>
      <c r="D226" t="s">
        <v>39</v>
      </c>
      <c r="E226">
        <v>4600000810</v>
      </c>
      <c r="F226" t="s">
        <v>9705</v>
      </c>
      <c r="G226">
        <v>10355.89</v>
      </c>
      <c r="I226">
        <v>10355.89</v>
      </c>
      <c r="J226">
        <v>10355.89</v>
      </c>
      <c r="K226" s="4">
        <v>45413</v>
      </c>
      <c r="L226" s="4">
        <v>45413</v>
      </c>
      <c r="M226">
        <v>2024</v>
      </c>
      <c r="N226">
        <v>5</v>
      </c>
      <c r="O226" s="4">
        <v>45413</v>
      </c>
      <c r="P226" t="s">
        <v>89</v>
      </c>
      <c r="Q226" s="4"/>
      <c r="S226" t="s">
        <v>2949</v>
      </c>
      <c r="X226" t="s">
        <v>2369</v>
      </c>
      <c r="Z226" t="s">
        <v>89</v>
      </c>
      <c r="AA226" t="s">
        <v>89</v>
      </c>
      <c r="AC226" t="s">
        <v>89</v>
      </c>
      <c r="AD226" t="s">
        <v>89</v>
      </c>
      <c r="AE226" t="s">
        <v>3652</v>
      </c>
      <c r="AF226" s="4">
        <v>45413</v>
      </c>
    </row>
    <row r="227" spans="1:32">
      <c r="A227" t="s">
        <v>9657</v>
      </c>
      <c r="B227" t="s">
        <v>2193</v>
      </c>
      <c r="C227" t="s">
        <v>9706</v>
      </c>
      <c r="D227" t="s">
        <v>39</v>
      </c>
      <c r="E227">
        <v>4600000810</v>
      </c>
      <c r="F227" t="s">
        <v>9707</v>
      </c>
      <c r="G227">
        <v>10355.89</v>
      </c>
      <c r="I227">
        <v>10355.89</v>
      </c>
      <c r="J227">
        <v>10355.89</v>
      </c>
      <c r="K227" s="4">
        <v>45413</v>
      </c>
      <c r="L227" s="4">
        <v>45413</v>
      </c>
      <c r="M227">
        <v>2024</v>
      </c>
      <c r="N227">
        <v>5</v>
      </c>
      <c r="O227" s="4">
        <v>45413</v>
      </c>
      <c r="P227" t="s">
        <v>89</v>
      </c>
      <c r="Q227" s="4"/>
      <c r="S227" t="s">
        <v>2947</v>
      </c>
      <c r="X227" t="s">
        <v>2369</v>
      </c>
      <c r="Z227" t="s">
        <v>89</v>
      </c>
      <c r="AA227" t="s">
        <v>89</v>
      </c>
      <c r="AC227" t="s">
        <v>89</v>
      </c>
      <c r="AD227" t="s">
        <v>89</v>
      </c>
      <c r="AE227" t="s">
        <v>3652</v>
      </c>
      <c r="AF227" s="4">
        <v>45413</v>
      </c>
    </row>
    <row r="228" spans="1:32">
      <c r="A228" t="s">
        <v>9654</v>
      </c>
      <c r="B228" t="s">
        <v>2193</v>
      </c>
      <c r="C228" t="s">
        <v>9708</v>
      </c>
      <c r="D228" t="s">
        <v>39</v>
      </c>
      <c r="E228">
        <v>4600000810</v>
      </c>
      <c r="F228" t="s">
        <v>9709</v>
      </c>
      <c r="G228">
        <v>10449.43</v>
      </c>
      <c r="I228">
        <v>10449.43</v>
      </c>
      <c r="J228">
        <v>10449.43</v>
      </c>
      <c r="K228" s="4">
        <v>45413</v>
      </c>
      <c r="L228" s="4">
        <v>45413</v>
      </c>
      <c r="M228">
        <v>2024</v>
      </c>
      <c r="N228">
        <v>5</v>
      </c>
      <c r="O228" s="4">
        <v>45413</v>
      </c>
      <c r="P228" t="s">
        <v>89</v>
      </c>
      <c r="Q228" s="4"/>
      <c r="S228" t="s">
        <v>2943</v>
      </c>
      <c r="X228" t="s">
        <v>2369</v>
      </c>
      <c r="Z228" t="s">
        <v>89</v>
      </c>
      <c r="AA228" t="s">
        <v>89</v>
      </c>
      <c r="AC228" t="s">
        <v>89</v>
      </c>
      <c r="AD228" t="s">
        <v>89</v>
      </c>
      <c r="AE228" t="s">
        <v>3652</v>
      </c>
      <c r="AF228" s="4">
        <v>45413</v>
      </c>
    </row>
    <row r="229" spans="1:32">
      <c r="A229" t="s">
        <v>9657</v>
      </c>
      <c r="B229" t="s">
        <v>2193</v>
      </c>
      <c r="C229" t="s">
        <v>9710</v>
      </c>
      <c r="D229" t="s">
        <v>39</v>
      </c>
      <c r="E229">
        <v>4600000810</v>
      </c>
      <c r="F229" t="s">
        <v>9711</v>
      </c>
      <c r="G229">
        <v>10355.89</v>
      </c>
      <c r="I229">
        <v>10355.89</v>
      </c>
      <c r="J229">
        <v>10355.89</v>
      </c>
      <c r="K229" s="4">
        <v>45413</v>
      </c>
      <c r="L229" s="4">
        <v>45413</v>
      </c>
      <c r="M229">
        <v>2024</v>
      </c>
      <c r="N229">
        <v>5</v>
      </c>
      <c r="O229" s="4">
        <v>45413</v>
      </c>
      <c r="P229" t="s">
        <v>89</v>
      </c>
      <c r="Q229" s="4"/>
      <c r="S229" t="s">
        <v>2941</v>
      </c>
      <c r="X229" t="s">
        <v>2369</v>
      </c>
      <c r="Z229" t="s">
        <v>89</v>
      </c>
      <c r="AA229" t="s">
        <v>89</v>
      </c>
      <c r="AC229" t="s">
        <v>89</v>
      </c>
      <c r="AD229" t="s">
        <v>89</v>
      </c>
      <c r="AE229" t="s">
        <v>3652</v>
      </c>
      <c r="AF229" s="4">
        <v>45413</v>
      </c>
    </row>
    <row r="230" spans="1:32">
      <c r="A230" t="s">
        <v>9657</v>
      </c>
      <c r="B230" t="s">
        <v>2193</v>
      </c>
      <c r="C230" t="s">
        <v>9712</v>
      </c>
      <c r="D230" t="s">
        <v>39</v>
      </c>
      <c r="E230">
        <v>4600000810</v>
      </c>
      <c r="F230" t="s">
        <v>9713</v>
      </c>
      <c r="G230">
        <v>10355.89</v>
      </c>
      <c r="I230">
        <v>10355.89</v>
      </c>
      <c r="J230">
        <v>10355.89</v>
      </c>
      <c r="K230" s="4">
        <v>45413</v>
      </c>
      <c r="L230" s="4">
        <v>45413</v>
      </c>
      <c r="M230">
        <v>2024</v>
      </c>
      <c r="N230">
        <v>5</v>
      </c>
      <c r="O230" s="4">
        <v>45413</v>
      </c>
      <c r="P230" t="s">
        <v>89</v>
      </c>
      <c r="Q230" s="4"/>
      <c r="S230" t="s">
        <v>2937</v>
      </c>
      <c r="X230" t="s">
        <v>2369</v>
      </c>
      <c r="Z230" t="s">
        <v>89</v>
      </c>
      <c r="AA230" t="s">
        <v>89</v>
      </c>
      <c r="AC230" t="s">
        <v>89</v>
      </c>
      <c r="AD230" t="s">
        <v>89</v>
      </c>
      <c r="AE230" t="s">
        <v>3652</v>
      </c>
      <c r="AF230" s="4">
        <v>45413</v>
      </c>
    </row>
    <row r="231" spans="1:32">
      <c r="A231" t="s">
        <v>9654</v>
      </c>
      <c r="B231" t="s">
        <v>2193</v>
      </c>
      <c r="C231" t="s">
        <v>9714</v>
      </c>
      <c r="D231" t="s">
        <v>39</v>
      </c>
      <c r="E231">
        <v>4600000810</v>
      </c>
      <c r="F231" t="s">
        <v>9715</v>
      </c>
      <c r="G231">
        <v>10449.43</v>
      </c>
      <c r="I231">
        <v>10449.43</v>
      </c>
      <c r="J231">
        <v>10449.43</v>
      </c>
      <c r="K231" s="4">
        <v>45413</v>
      </c>
      <c r="L231" s="4">
        <v>45413</v>
      </c>
      <c r="M231">
        <v>2024</v>
      </c>
      <c r="N231">
        <v>5</v>
      </c>
      <c r="O231" s="4">
        <v>45413</v>
      </c>
      <c r="P231" t="s">
        <v>89</v>
      </c>
      <c r="Q231" s="4"/>
      <c r="S231" t="s">
        <v>2935</v>
      </c>
      <c r="X231" t="s">
        <v>2369</v>
      </c>
      <c r="Z231" t="s">
        <v>89</v>
      </c>
      <c r="AA231" t="s">
        <v>89</v>
      </c>
      <c r="AC231" t="s">
        <v>89</v>
      </c>
      <c r="AD231" t="s">
        <v>89</v>
      </c>
      <c r="AE231" t="s">
        <v>3652</v>
      </c>
      <c r="AF231" s="4">
        <v>45413</v>
      </c>
    </row>
    <row r="232" spans="1:32">
      <c r="A232" t="s">
        <v>9662</v>
      </c>
      <c r="B232" t="s">
        <v>2193</v>
      </c>
      <c r="C232" t="s">
        <v>9716</v>
      </c>
      <c r="D232" t="s">
        <v>39</v>
      </c>
      <c r="E232">
        <v>4600000757</v>
      </c>
      <c r="F232" t="s">
        <v>9717</v>
      </c>
      <c r="G232">
        <v>5357.52</v>
      </c>
      <c r="I232">
        <v>5357.52</v>
      </c>
      <c r="J232">
        <v>5357.52</v>
      </c>
      <c r="K232" s="4">
        <v>45413</v>
      </c>
      <c r="L232" s="4">
        <v>45413</v>
      </c>
      <c r="M232">
        <v>2024</v>
      </c>
      <c r="N232">
        <v>5</v>
      </c>
      <c r="O232" s="4">
        <v>45413</v>
      </c>
      <c r="P232" t="s">
        <v>89</v>
      </c>
      <c r="Q232" s="4"/>
      <c r="S232" t="s">
        <v>2927</v>
      </c>
      <c r="X232" t="s">
        <v>2369</v>
      </c>
      <c r="Z232" t="s">
        <v>89</v>
      </c>
      <c r="AA232" t="s">
        <v>89</v>
      </c>
      <c r="AC232" t="s">
        <v>89</v>
      </c>
      <c r="AD232" t="s">
        <v>89</v>
      </c>
      <c r="AE232" t="s">
        <v>3652</v>
      </c>
      <c r="AF232" s="4">
        <v>45413</v>
      </c>
    </row>
    <row r="233" spans="1:32">
      <c r="A233" t="s">
        <v>9662</v>
      </c>
      <c r="B233" t="s">
        <v>2193</v>
      </c>
      <c r="C233" t="s">
        <v>9718</v>
      </c>
      <c r="D233" t="s">
        <v>39</v>
      </c>
      <c r="E233">
        <v>4600000757</v>
      </c>
      <c r="F233" t="s">
        <v>9719</v>
      </c>
      <c r="G233">
        <v>5357.52</v>
      </c>
      <c r="I233">
        <v>5357.52</v>
      </c>
      <c r="J233">
        <v>5357.52</v>
      </c>
      <c r="K233" s="4">
        <v>45413</v>
      </c>
      <c r="L233" s="4">
        <v>45413</v>
      </c>
      <c r="M233">
        <v>2024</v>
      </c>
      <c r="N233">
        <v>5</v>
      </c>
      <c r="O233" s="4">
        <v>45413</v>
      </c>
      <c r="P233" t="s">
        <v>89</v>
      </c>
      <c r="Q233" s="4"/>
      <c r="S233" t="s">
        <v>2925</v>
      </c>
      <c r="X233" t="s">
        <v>2369</v>
      </c>
      <c r="Z233" t="s">
        <v>89</v>
      </c>
      <c r="AA233" t="s">
        <v>89</v>
      </c>
      <c r="AC233" t="s">
        <v>89</v>
      </c>
      <c r="AD233" t="s">
        <v>89</v>
      </c>
      <c r="AE233" t="s">
        <v>3652</v>
      </c>
      <c r="AF233" s="4">
        <v>45413</v>
      </c>
    </row>
    <row r="234" spans="1:32">
      <c r="A234" t="s">
        <v>9720</v>
      </c>
      <c r="B234" t="s">
        <v>2193</v>
      </c>
      <c r="C234" t="s">
        <v>9721</v>
      </c>
      <c r="D234" t="s">
        <v>47</v>
      </c>
      <c r="E234">
        <v>21740541</v>
      </c>
      <c r="F234" t="s">
        <v>9722</v>
      </c>
      <c r="G234">
        <v>4061.31</v>
      </c>
      <c r="I234">
        <v>4061.31</v>
      </c>
      <c r="J234">
        <v>4061.31</v>
      </c>
      <c r="K234" s="4">
        <v>45413</v>
      </c>
      <c r="L234" s="4">
        <v>45413</v>
      </c>
      <c r="M234">
        <v>2024</v>
      </c>
      <c r="N234">
        <v>5</v>
      </c>
      <c r="O234" s="4">
        <v>45413</v>
      </c>
      <c r="P234" t="s">
        <v>89</v>
      </c>
      <c r="Q234" s="4"/>
      <c r="S234" t="s">
        <v>3025</v>
      </c>
      <c r="X234" t="s">
        <v>2369</v>
      </c>
      <c r="Z234" t="s">
        <v>89</v>
      </c>
      <c r="AA234" t="s">
        <v>89</v>
      </c>
      <c r="AC234" t="s">
        <v>89</v>
      </c>
      <c r="AD234" t="s">
        <v>89</v>
      </c>
      <c r="AE234" t="s">
        <v>3652</v>
      </c>
      <c r="AF234" s="4">
        <v>45474</v>
      </c>
    </row>
    <row r="235" spans="1:32">
      <c r="A235" t="s">
        <v>9723</v>
      </c>
      <c r="B235" t="s">
        <v>2193</v>
      </c>
      <c r="C235" t="s">
        <v>9724</v>
      </c>
      <c r="D235" t="s">
        <v>50</v>
      </c>
      <c r="E235">
        <v>5314</v>
      </c>
      <c r="F235" t="s">
        <v>9725</v>
      </c>
      <c r="G235">
        <v>12318</v>
      </c>
      <c r="I235">
        <v>12318</v>
      </c>
      <c r="J235">
        <v>12318</v>
      </c>
      <c r="K235" s="4">
        <v>45413</v>
      </c>
      <c r="L235" s="4">
        <v>45413</v>
      </c>
      <c r="M235">
        <v>2024</v>
      </c>
      <c r="N235">
        <v>5</v>
      </c>
      <c r="O235" s="4">
        <v>45413</v>
      </c>
      <c r="P235" t="s">
        <v>89</v>
      </c>
      <c r="Q235" s="4"/>
      <c r="S235" t="s">
        <v>6151</v>
      </c>
      <c r="X235" t="s">
        <v>3681</v>
      </c>
      <c r="Z235" t="s">
        <v>89</v>
      </c>
      <c r="AA235" t="s">
        <v>89</v>
      </c>
      <c r="AC235" t="s">
        <v>89</v>
      </c>
      <c r="AD235" t="s">
        <v>89</v>
      </c>
      <c r="AE235" t="s">
        <v>3652</v>
      </c>
      <c r="AF235" s="4"/>
    </row>
    <row r="236" spans="1:32">
      <c r="A236" t="s">
        <v>9726</v>
      </c>
      <c r="B236" t="s">
        <v>2193</v>
      </c>
      <c r="C236" t="s">
        <v>9727</v>
      </c>
      <c r="D236" t="s">
        <v>3875</v>
      </c>
      <c r="E236">
        <v>2310543888</v>
      </c>
      <c r="F236" t="s">
        <v>9728</v>
      </c>
      <c r="G236">
        <v>4786.5600000000004</v>
      </c>
      <c r="I236">
        <v>4786.5600000000004</v>
      </c>
      <c r="J236">
        <v>4786.5600000000004</v>
      </c>
      <c r="K236" s="4">
        <v>45441</v>
      </c>
      <c r="L236" s="4">
        <v>45450</v>
      </c>
      <c r="M236">
        <v>2024</v>
      </c>
      <c r="N236">
        <v>5</v>
      </c>
      <c r="O236" s="4">
        <v>45413</v>
      </c>
      <c r="P236" t="s">
        <v>89</v>
      </c>
      <c r="Q236" s="4"/>
      <c r="S236" t="s">
        <v>2887</v>
      </c>
      <c r="X236" t="s">
        <v>2369</v>
      </c>
      <c r="Z236" t="s">
        <v>89</v>
      </c>
      <c r="AA236" t="s">
        <v>89</v>
      </c>
      <c r="AC236" t="s">
        <v>89</v>
      </c>
      <c r="AD236" t="s">
        <v>1473</v>
      </c>
      <c r="AE236" t="s">
        <v>9251</v>
      </c>
      <c r="AF236" s="4">
        <v>45505</v>
      </c>
    </row>
    <row r="237" spans="1:32">
      <c r="A237" t="s">
        <v>9726</v>
      </c>
      <c r="B237" t="s">
        <v>2193</v>
      </c>
      <c r="C237" t="s">
        <v>9729</v>
      </c>
      <c r="D237" t="s">
        <v>3875</v>
      </c>
      <c r="E237">
        <v>2310543888</v>
      </c>
      <c r="F237" t="s">
        <v>9730</v>
      </c>
      <c r="G237">
        <v>4786.5600000000004</v>
      </c>
      <c r="I237">
        <v>4786.5600000000004</v>
      </c>
      <c r="J237">
        <v>4786.5600000000004</v>
      </c>
      <c r="K237" s="4">
        <v>45441</v>
      </c>
      <c r="L237" s="4">
        <v>45450</v>
      </c>
      <c r="M237">
        <v>2024</v>
      </c>
      <c r="N237">
        <v>5</v>
      </c>
      <c r="O237" s="4">
        <v>45413</v>
      </c>
      <c r="P237" t="s">
        <v>89</v>
      </c>
      <c r="Q237" s="4"/>
      <c r="S237" t="s">
        <v>2885</v>
      </c>
      <c r="X237" t="s">
        <v>2369</v>
      </c>
      <c r="Z237" t="s">
        <v>89</v>
      </c>
      <c r="AA237" t="s">
        <v>89</v>
      </c>
      <c r="AC237" t="s">
        <v>89</v>
      </c>
      <c r="AD237" t="s">
        <v>1473</v>
      </c>
      <c r="AE237" t="s">
        <v>9251</v>
      </c>
      <c r="AF237" s="4">
        <v>45505</v>
      </c>
    </row>
    <row r="238" spans="1:32">
      <c r="A238" t="s">
        <v>9731</v>
      </c>
      <c r="B238" t="s">
        <v>9366</v>
      </c>
      <c r="C238" t="s">
        <v>4314</v>
      </c>
      <c r="D238" t="s">
        <v>54</v>
      </c>
      <c r="E238" t="s">
        <v>9732</v>
      </c>
      <c r="F238" t="s">
        <v>4313</v>
      </c>
      <c r="G238">
        <v>1039.5999999999999</v>
      </c>
      <c r="I238">
        <v>1039.5999999999999</v>
      </c>
      <c r="K238" s="4">
        <v>45520</v>
      </c>
      <c r="L238" s="4">
        <v>45520</v>
      </c>
      <c r="M238">
        <v>2024</v>
      </c>
      <c r="N238">
        <v>8</v>
      </c>
      <c r="O238" s="4">
        <v>45505</v>
      </c>
      <c r="P238" t="s">
        <v>1473</v>
      </c>
      <c r="Q238" s="4"/>
      <c r="S238" t="s">
        <v>3085</v>
      </c>
      <c r="T238">
        <v>45551</v>
      </c>
      <c r="U238">
        <v>1039.5999999999999</v>
      </c>
      <c r="V238">
        <v>1</v>
      </c>
      <c r="W238" t="s">
        <v>16</v>
      </c>
      <c r="X238" t="s">
        <v>3770</v>
      </c>
      <c r="Z238">
        <v>32</v>
      </c>
      <c r="AA238">
        <v>32</v>
      </c>
      <c r="AB238" t="s">
        <v>9368</v>
      </c>
      <c r="AE238" t="s">
        <v>9251</v>
      </c>
      <c r="AF238" s="4"/>
    </row>
    <row r="239" spans="1:32">
      <c r="A239" t="s">
        <v>9733</v>
      </c>
      <c r="B239" t="s">
        <v>9366</v>
      </c>
      <c r="C239" t="s">
        <v>4291</v>
      </c>
      <c r="D239" t="s">
        <v>54</v>
      </c>
      <c r="E239" t="s">
        <v>9734</v>
      </c>
      <c r="F239" t="s">
        <v>4289</v>
      </c>
      <c r="G239">
        <v>4700.78</v>
      </c>
      <c r="I239">
        <v>4700.78</v>
      </c>
      <c r="K239" s="4">
        <v>45408</v>
      </c>
      <c r="L239" s="4">
        <v>45408</v>
      </c>
      <c r="M239">
        <v>2024</v>
      </c>
      <c r="N239">
        <v>4</v>
      </c>
      <c r="O239" s="4">
        <v>45383</v>
      </c>
      <c r="P239" t="s">
        <v>95</v>
      </c>
      <c r="Q239" s="4"/>
      <c r="R239" t="s">
        <v>9645</v>
      </c>
      <c r="S239" t="s">
        <v>2693</v>
      </c>
      <c r="T239">
        <v>45429</v>
      </c>
      <c r="U239">
        <v>7834.63</v>
      </c>
      <c r="V239">
        <v>0.60000025527689238</v>
      </c>
      <c r="W239" t="s">
        <v>16</v>
      </c>
      <c r="X239" t="s">
        <v>3932</v>
      </c>
      <c r="Z239">
        <v>144</v>
      </c>
      <c r="AA239">
        <v>144</v>
      </c>
      <c r="AC239" t="s">
        <v>95</v>
      </c>
      <c r="AD239" t="s">
        <v>95</v>
      </c>
      <c r="AE239" t="s">
        <v>3652</v>
      </c>
      <c r="AF239" s="4"/>
    </row>
    <row r="240" spans="1:32">
      <c r="A240" t="s">
        <v>9735</v>
      </c>
      <c r="B240" t="s">
        <v>9366</v>
      </c>
      <c r="C240" t="s">
        <v>4290</v>
      </c>
      <c r="D240" t="s">
        <v>54</v>
      </c>
      <c r="E240" t="s">
        <v>9734</v>
      </c>
      <c r="F240" t="s">
        <v>4289</v>
      </c>
      <c r="G240">
        <v>3133.85</v>
      </c>
      <c r="I240">
        <v>3133.85</v>
      </c>
      <c r="J240">
        <v>3133.85</v>
      </c>
      <c r="K240" s="4">
        <v>45079</v>
      </c>
      <c r="L240" s="4">
        <v>45079</v>
      </c>
      <c r="M240">
        <v>2023</v>
      </c>
      <c r="N240">
        <v>6</v>
      </c>
      <c r="O240" s="4">
        <v>45078</v>
      </c>
      <c r="P240" t="s">
        <v>89</v>
      </c>
      <c r="Q240" s="4">
        <v>45303</v>
      </c>
      <c r="S240" t="s">
        <v>2693</v>
      </c>
      <c r="U240">
        <v>7834.63</v>
      </c>
      <c r="V240">
        <v>0.39999974472310751</v>
      </c>
      <c r="W240" t="s">
        <v>16</v>
      </c>
      <c r="X240" t="s">
        <v>3932</v>
      </c>
      <c r="Z240" t="s">
        <v>89</v>
      </c>
      <c r="AA240" t="s">
        <v>89</v>
      </c>
      <c r="AC240" t="s">
        <v>89</v>
      </c>
      <c r="AD240">
        <v>0</v>
      </c>
      <c r="AE240" t="s">
        <v>9251</v>
      </c>
      <c r="AF240" s="4"/>
    </row>
    <row r="241" spans="1:32">
      <c r="A241" t="s">
        <v>9736</v>
      </c>
      <c r="B241" t="s">
        <v>9366</v>
      </c>
      <c r="C241" t="s">
        <v>4319</v>
      </c>
      <c r="D241" t="s">
        <v>54</v>
      </c>
      <c r="E241" t="s">
        <v>9737</v>
      </c>
      <c r="F241" t="s">
        <v>4318</v>
      </c>
      <c r="G241">
        <v>1039.5999999999999</v>
      </c>
      <c r="I241">
        <v>1039.5999999999999</v>
      </c>
      <c r="K241" s="4">
        <v>45520</v>
      </c>
      <c r="L241" s="4">
        <v>45520</v>
      </c>
      <c r="M241">
        <v>2024</v>
      </c>
      <c r="N241">
        <v>8</v>
      </c>
      <c r="O241" s="4">
        <v>45505</v>
      </c>
      <c r="P241" t="s">
        <v>1473</v>
      </c>
      <c r="Q241" s="4"/>
      <c r="S241" t="s">
        <v>3087</v>
      </c>
      <c r="T241">
        <v>45551</v>
      </c>
      <c r="U241">
        <v>1039.5999999999999</v>
      </c>
      <c r="V241">
        <v>1</v>
      </c>
      <c r="W241" t="s">
        <v>16</v>
      </c>
      <c r="X241" t="s">
        <v>3770</v>
      </c>
      <c r="Z241">
        <v>32</v>
      </c>
      <c r="AA241">
        <v>32</v>
      </c>
      <c r="AB241" t="s">
        <v>9368</v>
      </c>
      <c r="AE241" t="s">
        <v>9251</v>
      </c>
      <c r="AF241" s="4"/>
    </row>
    <row r="242" spans="1:32">
      <c r="A242" t="s">
        <v>9738</v>
      </c>
      <c r="B242" t="s">
        <v>9366</v>
      </c>
      <c r="C242" t="s">
        <v>4327</v>
      </c>
      <c r="D242" t="s">
        <v>54</v>
      </c>
      <c r="E242" t="s">
        <v>9739</v>
      </c>
      <c r="F242" t="s">
        <v>4326</v>
      </c>
      <c r="G242">
        <v>343.07</v>
      </c>
      <c r="I242">
        <v>343.07</v>
      </c>
      <c r="K242" s="4">
        <v>45520</v>
      </c>
      <c r="L242" s="4">
        <v>45520</v>
      </c>
      <c r="M242">
        <v>2024</v>
      </c>
      <c r="N242">
        <v>8</v>
      </c>
      <c r="O242" s="4">
        <v>45505</v>
      </c>
      <c r="P242" t="s">
        <v>1473</v>
      </c>
      <c r="Q242" s="4"/>
      <c r="S242" t="s">
        <v>3100</v>
      </c>
      <c r="T242">
        <v>45551</v>
      </c>
      <c r="U242">
        <v>343.07</v>
      </c>
      <c r="V242">
        <v>1</v>
      </c>
      <c r="W242" t="s">
        <v>16</v>
      </c>
      <c r="X242" t="s">
        <v>3770</v>
      </c>
      <c r="Z242">
        <v>32</v>
      </c>
      <c r="AA242">
        <v>32</v>
      </c>
      <c r="AB242" t="s">
        <v>9368</v>
      </c>
      <c r="AE242" t="s">
        <v>9251</v>
      </c>
      <c r="AF242" s="4"/>
    </row>
    <row r="243" spans="1:32">
      <c r="A243" t="s">
        <v>9740</v>
      </c>
      <c r="B243" t="s">
        <v>9366</v>
      </c>
      <c r="C243" t="s">
        <v>4329</v>
      </c>
      <c r="D243" t="s">
        <v>54</v>
      </c>
      <c r="E243" t="s">
        <v>9741</v>
      </c>
      <c r="F243" t="s">
        <v>4328</v>
      </c>
      <c r="G243">
        <v>343.07</v>
      </c>
      <c r="I243">
        <v>343.07</v>
      </c>
      <c r="K243" s="4">
        <v>45471</v>
      </c>
      <c r="L243" s="4">
        <v>45544</v>
      </c>
      <c r="M243">
        <v>2024</v>
      </c>
      <c r="N243">
        <v>6</v>
      </c>
      <c r="O243" s="4">
        <v>45444</v>
      </c>
      <c r="P243" t="s">
        <v>1473</v>
      </c>
      <c r="Q243" s="4"/>
      <c r="R243" t="s">
        <v>9742</v>
      </c>
      <c r="S243" t="s">
        <v>3102</v>
      </c>
      <c r="T243">
        <v>45551</v>
      </c>
      <c r="U243">
        <v>343.07</v>
      </c>
      <c r="V243">
        <v>1</v>
      </c>
      <c r="W243" t="s">
        <v>16</v>
      </c>
      <c r="X243" t="s">
        <v>3770</v>
      </c>
      <c r="Z243">
        <v>81</v>
      </c>
      <c r="AA243">
        <v>8</v>
      </c>
      <c r="AB243" t="s">
        <v>9368</v>
      </c>
      <c r="AC243" t="s">
        <v>1473</v>
      </c>
      <c r="AD243" t="s">
        <v>1473</v>
      </c>
      <c r="AE243" t="s">
        <v>3652</v>
      </c>
      <c r="AF243" s="4"/>
    </row>
    <row r="244" spans="1:32">
      <c r="A244" t="s">
        <v>9743</v>
      </c>
      <c r="B244" t="s">
        <v>9366</v>
      </c>
      <c r="C244" t="s">
        <v>4331</v>
      </c>
      <c r="D244" t="s">
        <v>54</v>
      </c>
      <c r="E244" t="s">
        <v>9744</v>
      </c>
      <c r="F244" t="s">
        <v>4330</v>
      </c>
      <c r="G244">
        <v>343.07</v>
      </c>
      <c r="I244">
        <v>343.07</v>
      </c>
      <c r="K244" s="4">
        <v>45401</v>
      </c>
      <c r="L244" s="4">
        <v>45544</v>
      </c>
      <c r="M244">
        <v>2024</v>
      </c>
      <c r="N244">
        <v>4</v>
      </c>
      <c r="O244" s="4">
        <v>45383</v>
      </c>
      <c r="P244" t="s">
        <v>1473</v>
      </c>
      <c r="Q244" s="4"/>
      <c r="R244" t="s">
        <v>9742</v>
      </c>
      <c r="S244" t="s">
        <v>3135</v>
      </c>
      <c r="T244">
        <v>45551</v>
      </c>
      <c r="U244">
        <v>343.07</v>
      </c>
      <c r="V244">
        <v>1</v>
      </c>
      <c r="W244" t="s">
        <v>16</v>
      </c>
      <c r="X244" t="s">
        <v>3770</v>
      </c>
      <c r="Z244">
        <v>151</v>
      </c>
      <c r="AA244">
        <v>8</v>
      </c>
      <c r="AB244" t="s">
        <v>9368</v>
      </c>
      <c r="AC244" t="s">
        <v>837</v>
      </c>
      <c r="AD244" t="s">
        <v>837</v>
      </c>
      <c r="AE244" t="s">
        <v>9251</v>
      </c>
      <c r="AF244" s="4"/>
    </row>
    <row r="245" spans="1:32">
      <c r="A245" t="s">
        <v>9745</v>
      </c>
      <c r="B245" t="s">
        <v>9366</v>
      </c>
      <c r="C245" t="s">
        <v>4333</v>
      </c>
      <c r="D245" t="s">
        <v>54</v>
      </c>
      <c r="E245" t="s">
        <v>9746</v>
      </c>
      <c r="F245" t="s">
        <v>4332</v>
      </c>
      <c r="G245">
        <v>343.07</v>
      </c>
      <c r="I245">
        <v>343.07</v>
      </c>
      <c r="K245" s="4">
        <v>45401</v>
      </c>
      <c r="L245" s="4">
        <v>45544</v>
      </c>
      <c r="M245">
        <v>2024</v>
      </c>
      <c r="N245">
        <v>4</v>
      </c>
      <c r="O245" s="4">
        <v>45383</v>
      </c>
      <c r="P245" t="s">
        <v>1473</v>
      </c>
      <c r="Q245" s="4"/>
      <c r="R245" t="s">
        <v>9742</v>
      </c>
      <c r="S245" t="s">
        <v>3137</v>
      </c>
      <c r="T245">
        <v>45551</v>
      </c>
      <c r="U245">
        <v>343.07</v>
      </c>
      <c r="V245">
        <v>1</v>
      </c>
      <c r="W245" t="s">
        <v>16</v>
      </c>
      <c r="X245" t="s">
        <v>3770</v>
      </c>
      <c r="Z245">
        <v>151</v>
      </c>
      <c r="AA245">
        <v>8</v>
      </c>
      <c r="AB245" t="s">
        <v>9368</v>
      </c>
      <c r="AC245" t="s">
        <v>837</v>
      </c>
      <c r="AD245" t="s">
        <v>837</v>
      </c>
      <c r="AE245" t="s">
        <v>9251</v>
      </c>
      <c r="AF245" s="4"/>
    </row>
    <row r="246" spans="1:32">
      <c r="A246" t="s">
        <v>9747</v>
      </c>
      <c r="B246" t="s">
        <v>9366</v>
      </c>
      <c r="C246" t="s">
        <v>4335</v>
      </c>
      <c r="D246" t="s">
        <v>54</v>
      </c>
      <c r="E246" t="s">
        <v>9748</v>
      </c>
      <c r="F246" t="s">
        <v>4334</v>
      </c>
      <c r="G246">
        <v>343.07</v>
      </c>
      <c r="I246">
        <v>343.07</v>
      </c>
      <c r="K246" s="4">
        <v>45401</v>
      </c>
      <c r="L246" s="4">
        <v>45544</v>
      </c>
      <c r="M246">
        <v>2024</v>
      </c>
      <c r="N246">
        <v>4</v>
      </c>
      <c r="O246" s="4">
        <v>45383</v>
      </c>
      <c r="P246" t="s">
        <v>1473</v>
      </c>
      <c r="Q246" s="4"/>
      <c r="R246" t="s">
        <v>9742</v>
      </c>
      <c r="S246" t="s">
        <v>3138</v>
      </c>
      <c r="T246">
        <v>45551</v>
      </c>
      <c r="U246">
        <v>343.07</v>
      </c>
      <c r="V246">
        <v>1</v>
      </c>
      <c r="W246" t="s">
        <v>16</v>
      </c>
      <c r="X246" t="s">
        <v>3770</v>
      </c>
      <c r="Z246">
        <v>151</v>
      </c>
      <c r="AA246">
        <v>8</v>
      </c>
      <c r="AB246" t="s">
        <v>9368</v>
      </c>
      <c r="AC246" t="s">
        <v>837</v>
      </c>
      <c r="AD246" t="s">
        <v>837</v>
      </c>
      <c r="AE246" t="s">
        <v>9251</v>
      </c>
      <c r="AF246" s="4"/>
    </row>
    <row r="247" spans="1:32">
      <c r="A247" t="s">
        <v>9749</v>
      </c>
      <c r="B247" t="s">
        <v>9366</v>
      </c>
      <c r="C247" t="s">
        <v>4337</v>
      </c>
      <c r="D247" t="s">
        <v>54</v>
      </c>
      <c r="E247" t="s">
        <v>9750</v>
      </c>
      <c r="F247" t="s">
        <v>4336</v>
      </c>
      <c r="G247">
        <v>343.07</v>
      </c>
      <c r="I247">
        <v>343.07</v>
      </c>
      <c r="K247" s="4">
        <v>45401</v>
      </c>
      <c r="L247" s="4">
        <v>45544</v>
      </c>
      <c r="M247">
        <v>2024</v>
      </c>
      <c r="N247">
        <v>4</v>
      </c>
      <c r="O247" s="4">
        <v>45383</v>
      </c>
      <c r="P247" t="s">
        <v>1473</v>
      </c>
      <c r="Q247" s="4"/>
      <c r="R247" t="s">
        <v>9742</v>
      </c>
      <c r="S247" t="s">
        <v>3136</v>
      </c>
      <c r="T247">
        <v>45551</v>
      </c>
      <c r="U247">
        <v>343.07</v>
      </c>
      <c r="V247">
        <v>1</v>
      </c>
      <c r="W247" t="s">
        <v>16</v>
      </c>
      <c r="X247" t="s">
        <v>3770</v>
      </c>
      <c r="Z247">
        <v>151</v>
      </c>
      <c r="AA247">
        <v>8</v>
      </c>
      <c r="AB247" t="s">
        <v>9368</v>
      </c>
      <c r="AC247" t="s">
        <v>837</v>
      </c>
      <c r="AD247" t="s">
        <v>837</v>
      </c>
      <c r="AE247" t="s">
        <v>9251</v>
      </c>
      <c r="AF247" s="4"/>
    </row>
    <row r="248" spans="1:32">
      <c r="A248" t="s">
        <v>9751</v>
      </c>
      <c r="B248" t="s">
        <v>9366</v>
      </c>
      <c r="C248" t="s">
        <v>4300</v>
      </c>
      <c r="D248" t="s">
        <v>54</v>
      </c>
      <c r="E248" t="s">
        <v>9640</v>
      </c>
      <c r="F248" t="s">
        <v>4299</v>
      </c>
      <c r="G248">
        <v>3133.85</v>
      </c>
      <c r="I248">
        <v>3133.85</v>
      </c>
      <c r="J248">
        <v>3133.85</v>
      </c>
      <c r="K248" s="4">
        <v>45079</v>
      </c>
      <c r="L248" s="4">
        <v>45079</v>
      </c>
      <c r="M248">
        <v>2023</v>
      </c>
      <c r="N248">
        <v>6</v>
      </c>
      <c r="O248" s="4">
        <v>45078</v>
      </c>
      <c r="P248" t="s">
        <v>89</v>
      </c>
      <c r="Q248" s="4">
        <v>45303</v>
      </c>
      <c r="S248" t="s">
        <v>2615</v>
      </c>
      <c r="U248">
        <v>7834.63</v>
      </c>
      <c r="V248">
        <v>0.39999974472310751</v>
      </c>
      <c r="W248" t="s">
        <v>16</v>
      </c>
      <c r="X248" t="s">
        <v>3932</v>
      </c>
      <c r="Z248" t="s">
        <v>89</v>
      </c>
      <c r="AA248" t="s">
        <v>89</v>
      </c>
      <c r="AC248" t="s">
        <v>89</v>
      </c>
      <c r="AD248">
        <v>0</v>
      </c>
      <c r="AE248" t="s">
        <v>9251</v>
      </c>
      <c r="AF248" s="4"/>
    </row>
    <row r="249" spans="1:32">
      <c r="A249" t="s">
        <v>9752</v>
      </c>
      <c r="B249" t="s">
        <v>9366</v>
      </c>
      <c r="C249" t="s">
        <v>4339</v>
      </c>
      <c r="D249" t="s">
        <v>54</v>
      </c>
      <c r="E249" t="s">
        <v>9753</v>
      </c>
      <c r="F249" t="s">
        <v>4338</v>
      </c>
      <c r="G249">
        <v>343.07</v>
      </c>
      <c r="I249">
        <v>343.07</v>
      </c>
      <c r="K249" s="4">
        <v>45471</v>
      </c>
      <c r="L249" s="4">
        <v>45544</v>
      </c>
      <c r="M249">
        <v>2024</v>
      </c>
      <c r="N249">
        <v>6</v>
      </c>
      <c r="O249" s="4">
        <v>45444</v>
      </c>
      <c r="P249" t="s">
        <v>1473</v>
      </c>
      <c r="Q249" s="4"/>
      <c r="R249" t="s">
        <v>9742</v>
      </c>
      <c r="S249" t="s">
        <v>3103</v>
      </c>
      <c r="T249">
        <v>45551</v>
      </c>
      <c r="U249">
        <v>343.07</v>
      </c>
      <c r="V249">
        <v>1</v>
      </c>
      <c r="W249" t="s">
        <v>16</v>
      </c>
      <c r="X249" t="s">
        <v>3770</v>
      </c>
      <c r="Z249">
        <v>81</v>
      </c>
      <c r="AA249">
        <v>8</v>
      </c>
      <c r="AB249" t="s">
        <v>9368</v>
      </c>
      <c r="AC249" t="s">
        <v>1473</v>
      </c>
      <c r="AD249" t="s">
        <v>1473</v>
      </c>
      <c r="AE249" t="s">
        <v>3652</v>
      </c>
      <c r="AF249" s="4"/>
    </row>
    <row r="250" spans="1:32">
      <c r="A250" t="s">
        <v>9754</v>
      </c>
      <c r="B250" t="s">
        <v>9366</v>
      </c>
      <c r="C250" t="s">
        <v>4341</v>
      </c>
      <c r="D250" t="s">
        <v>54</v>
      </c>
      <c r="E250" t="s">
        <v>9755</v>
      </c>
      <c r="F250" t="s">
        <v>4340</v>
      </c>
      <c r="G250">
        <v>815.01</v>
      </c>
      <c r="I250">
        <v>815.01</v>
      </c>
      <c r="K250" s="4">
        <v>45520</v>
      </c>
      <c r="L250" s="4">
        <v>45520</v>
      </c>
      <c r="M250">
        <v>2024</v>
      </c>
      <c r="N250">
        <v>8</v>
      </c>
      <c r="O250" s="4">
        <v>45505</v>
      </c>
      <c r="P250" t="s">
        <v>1473</v>
      </c>
      <c r="Q250" s="4"/>
      <c r="S250" t="s">
        <v>3100</v>
      </c>
      <c r="T250">
        <v>45551</v>
      </c>
      <c r="U250">
        <v>815.01</v>
      </c>
      <c r="V250">
        <v>1</v>
      </c>
      <c r="W250" t="s">
        <v>16</v>
      </c>
      <c r="X250" t="s">
        <v>3770</v>
      </c>
      <c r="Z250">
        <v>32</v>
      </c>
      <c r="AA250">
        <v>32</v>
      </c>
      <c r="AB250" t="s">
        <v>9368</v>
      </c>
      <c r="AE250" t="s">
        <v>9251</v>
      </c>
      <c r="AF250" s="4"/>
    </row>
    <row r="251" spans="1:32">
      <c r="A251" t="s">
        <v>9756</v>
      </c>
      <c r="B251" t="s">
        <v>9366</v>
      </c>
      <c r="C251" t="s">
        <v>4304</v>
      </c>
      <c r="D251" t="s">
        <v>54</v>
      </c>
      <c r="E251" t="s">
        <v>9642</v>
      </c>
      <c r="F251" t="s">
        <v>4302</v>
      </c>
      <c r="G251">
        <v>3133.85</v>
      </c>
      <c r="I251">
        <v>3133.85</v>
      </c>
      <c r="J251">
        <v>3133.85</v>
      </c>
      <c r="K251" s="4">
        <v>45079</v>
      </c>
      <c r="L251" s="4">
        <v>45079</v>
      </c>
      <c r="M251">
        <v>2023</v>
      </c>
      <c r="N251">
        <v>6</v>
      </c>
      <c r="O251" s="4">
        <v>45078</v>
      </c>
      <c r="P251" t="s">
        <v>89</v>
      </c>
      <c r="Q251" s="4">
        <v>45303</v>
      </c>
      <c r="S251" t="s">
        <v>4303</v>
      </c>
      <c r="U251">
        <v>7834.63</v>
      </c>
      <c r="V251">
        <v>0.39999974472310751</v>
      </c>
      <c r="W251" t="s">
        <v>16</v>
      </c>
      <c r="X251" t="s">
        <v>3932</v>
      </c>
      <c r="Z251" t="s">
        <v>89</v>
      </c>
      <c r="AA251" t="s">
        <v>89</v>
      </c>
      <c r="AC251" t="s">
        <v>89</v>
      </c>
      <c r="AD251" t="s">
        <v>89</v>
      </c>
      <c r="AE251" t="s">
        <v>3652</v>
      </c>
      <c r="AF251" s="4"/>
    </row>
    <row r="252" spans="1:32">
      <c r="A252" t="s">
        <v>9757</v>
      </c>
      <c r="B252" t="s">
        <v>9366</v>
      </c>
      <c r="C252" t="s">
        <v>4307</v>
      </c>
      <c r="D252" t="s">
        <v>54</v>
      </c>
      <c r="E252" t="s">
        <v>9758</v>
      </c>
      <c r="F252" t="s">
        <v>4306</v>
      </c>
      <c r="G252">
        <v>3133.85</v>
      </c>
      <c r="I252">
        <v>3133.85</v>
      </c>
      <c r="J252">
        <v>3133.85</v>
      </c>
      <c r="K252" s="4">
        <v>45079</v>
      </c>
      <c r="L252" s="4">
        <v>45079</v>
      </c>
      <c r="M252">
        <v>2023</v>
      </c>
      <c r="N252">
        <v>6</v>
      </c>
      <c r="O252" s="4">
        <v>45078</v>
      </c>
      <c r="P252" t="s">
        <v>89</v>
      </c>
      <c r="Q252" s="4">
        <v>45303</v>
      </c>
      <c r="S252" t="s">
        <v>2606</v>
      </c>
      <c r="U252">
        <v>7834.63</v>
      </c>
      <c r="V252">
        <v>0.39999974472310751</v>
      </c>
      <c r="W252" t="s">
        <v>16</v>
      </c>
      <c r="X252" t="s">
        <v>3932</v>
      </c>
      <c r="Z252" t="s">
        <v>89</v>
      </c>
      <c r="AA252" t="s">
        <v>89</v>
      </c>
      <c r="AC252" t="s">
        <v>89</v>
      </c>
      <c r="AD252">
        <v>0</v>
      </c>
      <c r="AE252" t="s">
        <v>9251</v>
      </c>
      <c r="AF252" s="4"/>
    </row>
    <row r="253" spans="1:32">
      <c r="A253" t="s">
        <v>9759</v>
      </c>
      <c r="B253" t="s">
        <v>9366</v>
      </c>
      <c r="C253" t="s">
        <v>4317</v>
      </c>
      <c r="D253" t="s">
        <v>54</v>
      </c>
      <c r="E253" t="s">
        <v>9760</v>
      </c>
      <c r="F253" t="s">
        <v>4315</v>
      </c>
      <c r="G253">
        <v>1039.5999999999999</v>
      </c>
      <c r="I253">
        <v>1039.5999999999999</v>
      </c>
      <c r="J253">
        <v>1039.5999999999999</v>
      </c>
      <c r="K253" s="4">
        <v>45422</v>
      </c>
      <c r="L253" s="4">
        <v>45422</v>
      </c>
      <c r="M253">
        <v>2024</v>
      </c>
      <c r="N253">
        <v>5</v>
      </c>
      <c r="O253" s="4">
        <v>45413</v>
      </c>
      <c r="P253" t="s">
        <v>89</v>
      </c>
      <c r="Q253" s="4">
        <v>45519</v>
      </c>
      <c r="S253" t="s">
        <v>3086</v>
      </c>
      <c r="T253">
        <v>45505</v>
      </c>
      <c r="U253">
        <v>1039.5999999999999</v>
      </c>
      <c r="V253">
        <v>1</v>
      </c>
      <c r="W253" t="s">
        <v>16</v>
      </c>
      <c r="X253" t="s">
        <v>3770</v>
      </c>
      <c r="Z253" t="s">
        <v>89</v>
      </c>
      <c r="AA253" t="s">
        <v>89</v>
      </c>
      <c r="AB253" t="s">
        <v>9368</v>
      </c>
      <c r="AC253" t="s">
        <v>625</v>
      </c>
      <c r="AD253" t="s">
        <v>1473</v>
      </c>
      <c r="AE253" t="s">
        <v>9251</v>
      </c>
      <c r="AF253" s="4"/>
    </row>
    <row r="254" spans="1:32">
      <c r="A254" t="s">
        <v>9761</v>
      </c>
      <c r="B254" t="s">
        <v>9366</v>
      </c>
      <c r="C254" t="s">
        <v>4349</v>
      </c>
      <c r="D254" t="s">
        <v>54</v>
      </c>
      <c r="E254" t="s">
        <v>9762</v>
      </c>
      <c r="F254" t="s">
        <v>4348</v>
      </c>
      <c r="G254">
        <v>815.01</v>
      </c>
      <c r="I254">
        <v>815.01</v>
      </c>
      <c r="K254" s="4">
        <v>45471</v>
      </c>
      <c r="L254" s="4">
        <v>45471</v>
      </c>
      <c r="M254">
        <v>2024</v>
      </c>
      <c r="N254">
        <v>6</v>
      </c>
      <c r="O254" s="4">
        <v>45444</v>
      </c>
      <c r="P254" t="s">
        <v>837</v>
      </c>
      <c r="Q254" s="4"/>
      <c r="R254" t="s">
        <v>9763</v>
      </c>
      <c r="S254" t="s">
        <v>3103</v>
      </c>
      <c r="T254">
        <v>45551</v>
      </c>
      <c r="U254">
        <v>815.01</v>
      </c>
      <c r="V254">
        <v>1</v>
      </c>
      <c r="W254" t="s">
        <v>16</v>
      </c>
      <c r="X254" t="s">
        <v>3770</v>
      </c>
      <c r="Z254">
        <v>81</v>
      </c>
      <c r="AA254">
        <v>81</v>
      </c>
      <c r="AB254" t="s">
        <v>9368</v>
      </c>
      <c r="AC254" t="s">
        <v>1473</v>
      </c>
      <c r="AD254" t="s">
        <v>1473</v>
      </c>
      <c r="AE254" t="s">
        <v>9251</v>
      </c>
      <c r="AF254" s="4"/>
    </row>
    <row r="255" spans="1:32">
      <c r="A255" t="s">
        <v>9764</v>
      </c>
      <c r="B255" t="s">
        <v>9366</v>
      </c>
      <c r="C255" t="s">
        <v>4510</v>
      </c>
      <c r="D255" t="s">
        <v>54</v>
      </c>
      <c r="E255" t="s">
        <v>9765</v>
      </c>
      <c r="F255" t="s">
        <v>4508</v>
      </c>
      <c r="G255">
        <v>821.86</v>
      </c>
      <c r="I255">
        <v>821.86</v>
      </c>
      <c r="K255" s="4">
        <v>45498</v>
      </c>
      <c r="L255" s="4">
        <v>45498</v>
      </c>
      <c r="M255">
        <v>2024</v>
      </c>
      <c r="N255">
        <v>7</v>
      </c>
      <c r="O255" s="4">
        <v>45474</v>
      </c>
      <c r="P255" t="s">
        <v>625</v>
      </c>
      <c r="Q255" s="4"/>
      <c r="S255" t="s">
        <v>4509</v>
      </c>
      <c r="T255">
        <v>45539</v>
      </c>
      <c r="U255">
        <v>1369.77</v>
      </c>
      <c r="V255">
        <v>0.6</v>
      </c>
      <c r="W255" t="s">
        <v>16</v>
      </c>
      <c r="X255" t="s">
        <v>4823</v>
      </c>
      <c r="Z255">
        <v>54</v>
      </c>
      <c r="AA255">
        <v>54</v>
      </c>
      <c r="AB255" t="s">
        <v>9766</v>
      </c>
      <c r="AC255" t="s">
        <v>1848</v>
      </c>
      <c r="AE255" t="s">
        <v>9251</v>
      </c>
      <c r="AF255" s="4"/>
    </row>
    <row r="256" spans="1:32">
      <c r="A256" t="s">
        <v>9767</v>
      </c>
      <c r="B256" t="s">
        <v>9366</v>
      </c>
      <c r="C256" t="s">
        <v>4352</v>
      </c>
      <c r="D256" t="s">
        <v>54</v>
      </c>
      <c r="E256" t="s">
        <v>9768</v>
      </c>
      <c r="F256" t="s">
        <v>4350</v>
      </c>
      <c r="G256">
        <v>1164.3499999999999</v>
      </c>
      <c r="I256">
        <v>1164.3499999999999</v>
      </c>
      <c r="K256" s="4">
        <v>45520</v>
      </c>
      <c r="L256" s="4">
        <v>45520</v>
      </c>
      <c r="M256">
        <v>2024</v>
      </c>
      <c r="N256">
        <v>8</v>
      </c>
      <c r="O256" s="4">
        <v>45505</v>
      </c>
      <c r="P256" t="s">
        <v>1473</v>
      </c>
      <c r="Q256" s="4"/>
      <c r="S256" t="s">
        <v>3013</v>
      </c>
      <c r="T256">
        <v>45551</v>
      </c>
      <c r="U256">
        <v>1164.3499999999999</v>
      </c>
      <c r="V256">
        <v>1</v>
      </c>
      <c r="W256" t="s">
        <v>16</v>
      </c>
      <c r="X256" t="s">
        <v>3770</v>
      </c>
      <c r="Z256">
        <v>32</v>
      </c>
      <c r="AA256">
        <v>32</v>
      </c>
      <c r="AB256" t="s">
        <v>9368</v>
      </c>
      <c r="AE256" t="s">
        <v>9251</v>
      </c>
      <c r="AF256" s="4"/>
    </row>
    <row r="257" spans="1:32">
      <c r="A257" t="s">
        <v>9769</v>
      </c>
      <c r="B257" t="s">
        <v>9366</v>
      </c>
      <c r="C257" t="s">
        <v>4354</v>
      </c>
      <c r="D257" t="s">
        <v>54</v>
      </c>
      <c r="E257" t="s">
        <v>9770</v>
      </c>
      <c r="F257" t="s">
        <v>4353</v>
      </c>
      <c r="G257">
        <v>1164.3499999999999</v>
      </c>
      <c r="I257">
        <v>1164.3499999999999</v>
      </c>
      <c r="K257" s="4">
        <v>45520</v>
      </c>
      <c r="L257" s="4">
        <v>45520</v>
      </c>
      <c r="M257">
        <v>2024</v>
      </c>
      <c r="N257">
        <v>8</v>
      </c>
      <c r="O257" s="4">
        <v>45505</v>
      </c>
      <c r="P257" t="s">
        <v>1473</v>
      </c>
      <c r="Q257" s="4"/>
      <c r="S257" t="s">
        <v>3015</v>
      </c>
      <c r="T257">
        <v>45551</v>
      </c>
      <c r="U257">
        <v>1164.3499999999999</v>
      </c>
      <c r="V257">
        <v>1</v>
      </c>
      <c r="W257" t="s">
        <v>16</v>
      </c>
      <c r="X257" t="s">
        <v>3770</v>
      </c>
      <c r="Z257">
        <v>32</v>
      </c>
      <c r="AA257">
        <v>32</v>
      </c>
      <c r="AB257" t="s">
        <v>9368</v>
      </c>
      <c r="AE257" t="s">
        <v>9251</v>
      </c>
      <c r="AF257" s="4"/>
    </row>
    <row r="258" spans="1:32">
      <c r="A258" t="s">
        <v>9771</v>
      </c>
      <c r="B258" t="s">
        <v>9366</v>
      </c>
      <c r="C258" t="s">
        <v>9772</v>
      </c>
      <c r="D258" t="s">
        <v>54</v>
      </c>
      <c r="E258" t="s">
        <v>9773</v>
      </c>
      <c r="F258" t="s">
        <v>4268</v>
      </c>
      <c r="G258">
        <v>66930.91</v>
      </c>
      <c r="I258">
        <v>66930.91</v>
      </c>
      <c r="K258" s="4">
        <v>45133</v>
      </c>
      <c r="L258" s="4">
        <v>45133</v>
      </c>
      <c r="M258">
        <v>2023</v>
      </c>
      <c r="N258">
        <v>7</v>
      </c>
      <c r="O258" s="4">
        <v>45108</v>
      </c>
      <c r="P258" t="s">
        <v>837</v>
      </c>
      <c r="Q258" s="4"/>
      <c r="R258" t="s">
        <v>6718</v>
      </c>
      <c r="S258" t="s">
        <v>3322</v>
      </c>
      <c r="U258">
        <v>167327.26999999999</v>
      </c>
      <c r="V258">
        <v>0.40000001195262441</v>
      </c>
      <c r="W258" t="s">
        <v>16</v>
      </c>
      <c r="X258" t="s">
        <v>4109</v>
      </c>
      <c r="Z258">
        <v>419</v>
      </c>
      <c r="AA258">
        <v>419</v>
      </c>
      <c r="AC258" t="s">
        <v>837</v>
      </c>
      <c r="AD258" t="s">
        <v>837</v>
      </c>
      <c r="AE258" t="s">
        <v>3652</v>
      </c>
      <c r="AF258" s="4"/>
    </row>
    <row r="259" spans="1:32">
      <c r="A259" t="s">
        <v>9774</v>
      </c>
      <c r="B259" t="s">
        <v>9366</v>
      </c>
      <c r="C259" t="s">
        <v>4358</v>
      </c>
      <c r="D259" t="s">
        <v>54</v>
      </c>
      <c r="E259" t="s">
        <v>9775</v>
      </c>
      <c r="F259" t="s">
        <v>4357</v>
      </c>
      <c r="G259">
        <v>113844.96</v>
      </c>
      <c r="I259">
        <v>113844.96</v>
      </c>
      <c r="K259" s="4">
        <v>45520</v>
      </c>
      <c r="L259" s="4">
        <v>45520</v>
      </c>
      <c r="M259">
        <v>2024</v>
      </c>
      <c r="N259">
        <v>8</v>
      </c>
      <c r="O259" s="4">
        <v>45505</v>
      </c>
      <c r="P259" t="s">
        <v>1473</v>
      </c>
      <c r="Q259" s="4"/>
      <c r="S259" t="s">
        <v>3081</v>
      </c>
      <c r="T259">
        <v>45551</v>
      </c>
      <c r="U259">
        <v>113844.96</v>
      </c>
      <c r="V259">
        <v>1</v>
      </c>
      <c r="W259" t="s">
        <v>16</v>
      </c>
      <c r="X259" t="s">
        <v>3770</v>
      </c>
      <c r="Z259">
        <v>32</v>
      </c>
      <c r="AA259">
        <v>32</v>
      </c>
      <c r="AB259" t="s">
        <v>9368</v>
      </c>
      <c r="AE259" t="s">
        <v>9251</v>
      </c>
      <c r="AF259" s="4"/>
    </row>
    <row r="260" spans="1:32">
      <c r="A260" t="s">
        <v>9593</v>
      </c>
      <c r="B260" t="s">
        <v>9366</v>
      </c>
      <c r="C260" t="s">
        <v>9776</v>
      </c>
      <c r="D260" t="s">
        <v>54</v>
      </c>
      <c r="E260" t="s">
        <v>9594</v>
      </c>
      <c r="F260" t="s">
        <v>4272</v>
      </c>
      <c r="I260">
        <v>0</v>
      </c>
      <c r="K260" s="4">
        <v>45133</v>
      </c>
      <c r="L260" s="4">
        <v>45133</v>
      </c>
      <c r="M260">
        <v>2023</v>
      </c>
      <c r="N260">
        <v>7</v>
      </c>
      <c r="O260" s="4">
        <v>45108</v>
      </c>
      <c r="Q260" s="4"/>
      <c r="R260" t="s">
        <v>6718</v>
      </c>
      <c r="S260" t="s">
        <v>3167</v>
      </c>
      <c r="W260" t="s">
        <v>16</v>
      </c>
      <c r="X260" t="s">
        <v>4109</v>
      </c>
      <c r="AD260" t="s">
        <v>837</v>
      </c>
      <c r="AE260" t="s">
        <v>9251</v>
      </c>
      <c r="AF260" s="4"/>
    </row>
    <row r="261" spans="1:32">
      <c r="A261" t="s">
        <v>9777</v>
      </c>
      <c r="B261" t="s">
        <v>9366</v>
      </c>
      <c r="C261" t="s">
        <v>9778</v>
      </c>
      <c r="D261" t="s">
        <v>54</v>
      </c>
      <c r="E261" t="s">
        <v>9779</v>
      </c>
      <c r="F261" t="s">
        <v>4292</v>
      </c>
      <c r="G261">
        <v>27197.54</v>
      </c>
      <c r="I261">
        <v>27197.54</v>
      </c>
      <c r="K261" s="4">
        <v>45040</v>
      </c>
      <c r="L261" s="4">
        <v>45079</v>
      </c>
      <c r="M261">
        <v>2023</v>
      </c>
      <c r="N261">
        <v>4</v>
      </c>
      <c r="O261" s="4">
        <v>45017</v>
      </c>
      <c r="P261" t="s">
        <v>837</v>
      </c>
      <c r="Q261" s="4"/>
      <c r="R261" t="s">
        <v>6721</v>
      </c>
      <c r="S261" t="s">
        <v>2691</v>
      </c>
      <c r="U261">
        <v>67993.850000000006</v>
      </c>
      <c r="V261">
        <v>0.39999999999999997</v>
      </c>
      <c r="W261" t="s">
        <v>16</v>
      </c>
      <c r="X261" t="s">
        <v>3932</v>
      </c>
      <c r="Z261">
        <v>512</v>
      </c>
      <c r="AA261">
        <v>473</v>
      </c>
      <c r="AC261" t="s">
        <v>837</v>
      </c>
      <c r="AD261" t="s">
        <v>837</v>
      </c>
      <c r="AE261" t="s">
        <v>3652</v>
      </c>
      <c r="AF261" s="4"/>
    </row>
    <row r="262" spans="1:32">
      <c r="A262" t="s">
        <v>9780</v>
      </c>
      <c r="B262" t="s">
        <v>9366</v>
      </c>
      <c r="C262" t="s">
        <v>9781</v>
      </c>
      <c r="D262" t="s">
        <v>54</v>
      </c>
      <c r="E262" t="s">
        <v>9782</v>
      </c>
      <c r="F262" t="s">
        <v>4293</v>
      </c>
      <c r="G262">
        <v>27197.54</v>
      </c>
      <c r="I262">
        <v>27197.54</v>
      </c>
      <c r="K262" s="4">
        <v>45040</v>
      </c>
      <c r="L262" s="4">
        <v>45079</v>
      </c>
      <c r="M262">
        <v>2023</v>
      </c>
      <c r="N262">
        <v>4</v>
      </c>
      <c r="O262" s="4">
        <v>45017</v>
      </c>
      <c r="P262" t="s">
        <v>837</v>
      </c>
      <c r="Q262" s="4"/>
      <c r="R262" t="s">
        <v>6721</v>
      </c>
      <c r="S262" t="s">
        <v>4294</v>
      </c>
      <c r="U262">
        <v>67993.850000000006</v>
      </c>
      <c r="V262">
        <v>0.39999999999999997</v>
      </c>
      <c r="W262" t="s">
        <v>16</v>
      </c>
      <c r="X262" t="s">
        <v>3932</v>
      </c>
      <c r="Z262">
        <v>512</v>
      </c>
      <c r="AA262">
        <v>473</v>
      </c>
      <c r="AC262" t="s">
        <v>837</v>
      </c>
      <c r="AD262" t="s">
        <v>837</v>
      </c>
      <c r="AE262" t="s">
        <v>3652</v>
      </c>
      <c r="AF262" s="4"/>
    </row>
    <row r="263" spans="1:32">
      <c r="A263" t="s">
        <v>9783</v>
      </c>
      <c r="B263" t="s">
        <v>9366</v>
      </c>
      <c r="C263" t="s">
        <v>4360</v>
      </c>
      <c r="D263" t="s">
        <v>54</v>
      </c>
      <c r="E263" t="s">
        <v>9784</v>
      </c>
      <c r="F263" t="s">
        <v>4359</v>
      </c>
      <c r="G263">
        <v>113844.96</v>
      </c>
      <c r="I263">
        <v>113844.96</v>
      </c>
      <c r="K263" s="4">
        <v>45520</v>
      </c>
      <c r="L263" s="4">
        <v>45520</v>
      </c>
      <c r="M263">
        <v>2024</v>
      </c>
      <c r="N263">
        <v>8</v>
      </c>
      <c r="O263" s="4">
        <v>45505</v>
      </c>
      <c r="P263" t="s">
        <v>1473</v>
      </c>
      <c r="Q263" s="4"/>
      <c r="S263" t="s">
        <v>3085</v>
      </c>
      <c r="T263">
        <v>45551</v>
      </c>
      <c r="U263">
        <v>113844.96</v>
      </c>
      <c r="V263">
        <v>1</v>
      </c>
      <c r="W263" t="s">
        <v>16</v>
      </c>
      <c r="X263" t="s">
        <v>3770</v>
      </c>
      <c r="Z263">
        <v>32</v>
      </c>
      <c r="AA263">
        <v>32</v>
      </c>
      <c r="AB263" t="s">
        <v>9368</v>
      </c>
      <c r="AE263" t="s">
        <v>9251</v>
      </c>
      <c r="AF263" s="4"/>
    </row>
    <row r="264" spans="1:32">
      <c r="A264" t="s">
        <v>9613</v>
      </c>
      <c r="B264" t="s">
        <v>9366</v>
      </c>
      <c r="C264" t="s">
        <v>9785</v>
      </c>
      <c r="D264" t="s">
        <v>54</v>
      </c>
      <c r="E264" t="s">
        <v>9614</v>
      </c>
      <c r="F264" t="s">
        <v>4295</v>
      </c>
      <c r="I264">
        <v>0</v>
      </c>
      <c r="K264" s="4">
        <v>45133</v>
      </c>
      <c r="L264" s="4">
        <v>45133</v>
      </c>
      <c r="M264">
        <v>2023</v>
      </c>
      <c r="N264">
        <v>7</v>
      </c>
      <c r="O264" s="4">
        <v>45108</v>
      </c>
      <c r="Q264" s="4"/>
      <c r="R264" t="s">
        <v>6721</v>
      </c>
      <c r="S264" t="s">
        <v>3164</v>
      </c>
      <c r="W264" t="s">
        <v>16</v>
      </c>
      <c r="X264" t="s">
        <v>4109</v>
      </c>
      <c r="AD264" t="s">
        <v>837</v>
      </c>
      <c r="AE264" t="s">
        <v>9251</v>
      </c>
      <c r="AF264" s="4"/>
    </row>
    <row r="265" spans="1:32">
      <c r="A265" t="s">
        <v>9786</v>
      </c>
      <c r="B265" t="s">
        <v>9366</v>
      </c>
      <c r="C265" t="s">
        <v>4368</v>
      </c>
      <c r="D265" t="s">
        <v>54</v>
      </c>
      <c r="E265" t="s">
        <v>9787</v>
      </c>
      <c r="F265" t="s">
        <v>4367</v>
      </c>
      <c r="G265">
        <v>2584.79</v>
      </c>
      <c r="I265">
        <v>2584.79</v>
      </c>
      <c r="J265">
        <v>2584.79</v>
      </c>
      <c r="K265" s="4">
        <v>45401</v>
      </c>
      <c r="L265" s="4">
        <v>45401</v>
      </c>
      <c r="M265">
        <v>2024</v>
      </c>
      <c r="N265">
        <v>4</v>
      </c>
      <c r="O265" s="4">
        <v>45383</v>
      </c>
      <c r="P265" t="s">
        <v>89</v>
      </c>
      <c r="Q265" s="4">
        <v>45458</v>
      </c>
      <c r="S265" t="s">
        <v>3769</v>
      </c>
      <c r="T265">
        <v>45446</v>
      </c>
      <c r="U265">
        <v>4307.99</v>
      </c>
      <c r="V265">
        <v>0.5999990714927379</v>
      </c>
      <c r="W265" t="s">
        <v>16</v>
      </c>
      <c r="X265" t="s">
        <v>3770</v>
      </c>
      <c r="Z265" t="s">
        <v>89</v>
      </c>
      <c r="AA265" t="s">
        <v>89</v>
      </c>
      <c r="AC265" t="s">
        <v>89</v>
      </c>
      <c r="AD265" t="s">
        <v>89</v>
      </c>
      <c r="AE265" t="s">
        <v>3652</v>
      </c>
      <c r="AF265" s="4"/>
    </row>
    <row r="266" spans="1:32">
      <c r="A266" t="s">
        <v>9788</v>
      </c>
      <c r="B266" t="s">
        <v>2193</v>
      </c>
      <c r="C266" t="s">
        <v>9789</v>
      </c>
      <c r="D266" t="s">
        <v>53</v>
      </c>
      <c r="E266" t="s">
        <v>3549</v>
      </c>
      <c r="F266" t="s">
        <v>9790</v>
      </c>
      <c r="G266">
        <v>55341</v>
      </c>
      <c r="I266">
        <v>55341</v>
      </c>
      <c r="J266">
        <v>55341</v>
      </c>
      <c r="K266" s="4">
        <v>45408</v>
      </c>
      <c r="L266" s="4">
        <v>45408</v>
      </c>
      <c r="M266">
        <v>2024</v>
      </c>
      <c r="N266">
        <v>4</v>
      </c>
      <c r="O266" s="4">
        <v>45383</v>
      </c>
      <c r="P266" t="s">
        <v>89</v>
      </c>
      <c r="Q266" s="4"/>
      <c r="S266" t="s">
        <v>3550</v>
      </c>
      <c r="X266" t="s">
        <v>3681</v>
      </c>
      <c r="Z266" t="s">
        <v>89</v>
      </c>
      <c r="AA266" t="s">
        <v>89</v>
      </c>
      <c r="AC266" t="s">
        <v>89</v>
      </c>
      <c r="AD266" t="s">
        <v>625</v>
      </c>
      <c r="AE266" t="s">
        <v>9251</v>
      </c>
      <c r="AF266" s="4"/>
    </row>
    <row r="267" spans="1:32">
      <c r="A267" t="s">
        <v>9791</v>
      </c>
      <c r="B267" t="s">
        <v>2193</v>
      </c>
      <c r="C267" t="s">
        <v>9792</v>
      </c>
      <c r="D267" t="s">
        <v>49</v>
      </c>
      <c r="E267">
        <v>4800104873</v>
      </c>
      <c r="F267" t="s">
        <v>9793</v>
      </c>
      <c r="G267">
        <v>5662</v>
      </c>
      <c r="I267">
        <v>5662</v>
      </c>
      <c r="J267">
        <v>5662</v>
      </c>
      <c r="K267" s="4">
        <v>45408</v>
      </c>
      <c r="L267" s="4">
        <v>45408</v>
      </c>
      <c r="M267">
        <v>2024</v>
      </c>
      <c r="N267">
        <v>4</v>
      </c>
      <c r="O267" s="4">
        <v>45383</v>
      </c>
      <c r="P267" t="s">
        <v>89</v>
      </c>
      <c r="Q267" s="4"/>
      <c r="S267" t="s">
        <v>3502</v>
      </c>
      <c r="X267" t="s">
        <v>3681</v>
      </c>
      <c r="Z267" t="s">
        <v>89</v>
      </c>
      <c r="AA267" t="s">
        <v>89</v>
      </c>
      <c r="AC267" t="s">
        <v>89</v>
      </c>
      <c r="AD267" t="s">
        <v>89</v>
      </c>
      <c r="AE267" t="s">
        <v>3652</v>
      </c>
      <c r="AF267" s="4"/>
    </row>
    <row r="268" spans="1:32">
      <c r="A268" t="s">
        <v>9794</v>
      </c>
      <c r="B268" t="s">
        <v>2193</v>
      </c>
      <c r="C268" t="s">
        <v>9795</v>
      </c>
      <c r="D268" t="s">
        <v>49</v>
      </c>
      <c r="E268">
        <v>4800104873</v>
      </c>
      <c r="F268" t="s">
        <v>9796</v>
      </c>
      <c r="G268">
        <v>9361.19</v>
      </c>
      <c r="I268">
        <v>9361.19</v>
      </c>
      <c r="J268">
        <v>9361.19</v>
      </c>
      <c r="K268" s="4">
        <v>45408</v>
      </c>
      <c r="L268" s="4">
        <v>45408</v>
      </c>
      <c r="M268">
        <v>2024</v>
      </c>
      <c r="N268">
        <v>4</v>
      </c>
      <c r="O268" s="4">
        <v>45383</v>
      </c>
      <c r="P268" t="s">
        <v>89</v>
      </c>
      <c r="Q268" s="4"/>
      <c r="S268" t="s">
        <v>3506</v>
      </c>
      <c r="X268" t="s">
        <v>3681</v>
      </c>
      <c r="Z268" t="s">
        <v>89</v>
      </c>
      <c r="AA268" t="s">
        <v>89</v>
      </c>
      <c r="AC268" t="s">
        <v>89</v>
      </c>
      <c r="AD268" t="s">
        <v>89</v>
      </c>
      <c r="AE268" t="s">
        <v>3652</v>
      </c>
      <c r="AF268" s="4"/>
    </row>
    <row r="269" spans="1:32">
      <c r="A269" t="s">
        <v>9797</v>
      </c>
      <c r="B269" t="s">
        <v>2193</v>
      </c>
      <c r="C269" t="s">
        <v>9798</v>
      </c>
      <c r="D269" t="s">
        <v>49</v>
      </c>
      <c r="E269">
        <v>4800104873</v>
      </c>
      <c r="F269" t="s">
        <v>9799</v>
      </c>
      <c r="G269">
        <v>11593</v>
      </c>
      <c r="I269">
        <v>11593</v>
      </c>
      <c r="J269">
        <v>11593</v>
      </c>
      <c r="K269" s="4">
        <v>45408</v>
      </c>
      <c r="L269" s="4">
        <v>45408</v>
      </c>
      <c r="M269">
        <v>2024</v>
      </c>
      <c r="N269">
        <v>4</v>
      </c>
      <c r="O269" s="4">
        <v>45383</v>
      </c>
      <c r="P269" t="s">
        <v>89</v>
      </c>
      <c r="Q269" s="4"/>
      <c r="S269" t="s">
        <v>3504</v>
      </c>
      <c r="X269" t="s">
        <v>3681</v>
      </c>
      <c r="Z269" t="s">
        <v>89</v>
      </c>
      <c r="AA269" t="s">
        <v>89</v>
      </c>
      <c r="AC269" t="s">
        <v>89</v>
      </c>
      <c r="AD269" t="s">
        <v>89</v>
      </c>
      <c r="AE269" t="s">
        <v>3652</v>
      </c>
      <c r="AF269" s="4"/>
    </row>
    <row r="270" spans="1:32">
      <c r="A270" t="s">
        <v>9800</v>
      </c>
      <c r="B270" t="s">
        <v>2193</v>
      </c>
      <c r="C270" t="s">
        <v>9801</v>
      </c>
      <c r="D270" t="s">
        <v>49</v>
      </c>
      <c r="E270">
        <v>4800104873</v>
      </c>
      <c r="F270" t="s">
        <v>9802</v>
      </c>
      <c r="G270">
        <v>10638</v>
      </c>
      <c r="I270">
        <v>10638</v>
      </c>
      <c r="J270">
        <v>10638</v>
      </c>
      <c r="K270" s="4">
        <v>45408</v>
      </c>
      <c r="L270" s="4">
        <v>45408</v>
      </c>
      <c r="M270">
        <v>2024</v>
      </c>
      <c r="N270">
        <v>4</v>
      </c>
      <c r="O270" s="4">
        <v>45383</v>
      </c>
      <c r="P270" t="s">
        <v>89</v>
      </c>
      <c r="Q270" s="4"/>
      <c r="S270" t="s">
        <v>3478</v>
      </c>
      <c r="X270" t="s">
        <v>3681</v>
      </c>
      <c r="Z270" t="s">
        <v>89</v>
      </c>
      <c r="AA270" t="s">
        <v>89</v>
      </c>
      <c r="AC270" t="s">
        <v>89</v>
      </c>
      <c r="AD270" t="s">
        <v>89</v>
      </c>
      <c r="AE270" t="s">
        <v>3652</v>
      </c>
      <c r="AF270" s="4"/>
    </row>
    <row r="271" spans="1:32">
      <c r="A271" t="s">
        <v>9800</v>
      </c>
      <c r="B271" t="s">
        <v>2193</v>
      </c>
      <c r="C271" t="s">
        <v>9803</v>
      </c>
      <c r="D271" t="s">
        <v>49</v>
      </c>
      <c r="E271">
        <v>4800104873</v>
      </c>
      <c r="F271" t="s">
        <v>9804</v>
      </c>
      <c r="G271">
        <v>10638</v>
      </c>
      <c r="I271">
        <v>10638</v>
      </c>
      <c r="J271">
        <v>10638</v>
      </c>
      <c r="K271" s="4">
        <v>45408</v>
      </c>
      <c r="L271" s="4">
        <v>45408</v>
      </c>
      <c r="M271">
        <v>2024</v>
      </c>
      <c r="N271">
        <v>4</v>
      </c>
      <c r="O271" s="4">
        <v>45383</v>
      </c>
      <c r="P271" t="s">
        <v>89</v>
      </c>
      <c r="Q271" s="4"/>
      <c r="S271" t="s">
        <v>3480</v>
      </c>
      <c r="X271" t="s">
        <v>3681</v>
      </c>
      <c r="Z271" t="s">
        <v>89</v>
      </c>
      <c r="AA271" t="s">
        <v>89</v>
      </c>
      <c r="AC271" t="s">
        <v>89</v>
      </c>
      <c r="AD271" t="s">
        <v>89</v>
      </c>
      <c r="AE271" t="s">
        <v>3652</v>
      </c>
      <c r="AF271" s="4"/>
    </row>
    <row r="272" spans="1:32">
      <c r="A272" t="s">
        <v>9506</v>
      </c>
      <c r="B272" t="s">
        <v>2193</v>
      </c>
      <c r="C272" t="s">
        <v>9805</v>
      </c>
      <c r="D272" t="s">
        <v>49</v>
      </c>
      <c r="E272">
        <v>4800104873</v>
      </c>
      <c r="F272" t="s">
        <v>9806</v>
      </c>
      <c r="G272">
        <v>5880</v>
      </c>
      <c r="I272">
        <v>5880</v>
      </c>
      <c r="J272">
        <v>5880</v>
      </c>
      <c r="K272" s="4">
        <v>45408</v>
      </c>
      <c r="L272" s="4">
        <v>45408</v>
      </c>
      <c r="M272">
        <v>2024</v>
      </c>
      <c r="N272">
        <v>4</v>
      </c>
      <c r="O272" s="4">
        <v>45383</v>
      </c>
      <c r="P272" t="s">
        <v>89</v>
      </c>
      <c r="Q272" s="4"/>
      <c r="S272" t="s">
        <v>3471</v>
      </c>
      <c r="X272" t="s">
        <v>3681</v>
      </c>
      <c r="Z272" t="s">
        <v>89</v>
      </c>
      <c r="AA272" t="s">
        <v>89</v>
      </c>
      <c r="AC272" t="s">
        <v>89</v>
      </c>
      <c r="AD272" t="s">
        <v>89</v>
      </c>
      <c r="AE272" t="s">
        <v>3652</v>
      </c>
      <c r="AF272" s="4"/>
    </row>
    <row r="273" spans="1:32">
      <c r="A273" t="s">
        <v>9506</v>
      </c>
      <c r="B273" t="s">
        <v>2193</v>
      </c>
      <c r="C273" t="s">
        <v>9807</v>
      </c>
      <c r="D273" t="s">
        <v>49</v>
      </c>
      <c r="E273">
        <v>4800104873</v>
      </c>
      <c r="F273" t="s">
        <v>9808</v>
      </c>
      <c r="G273">
        <v>5880</v>
      </c>
      <c r="I273">
        <v>5880</v>
      </c>
      <c r="J273">
        <v>5880</v>
      </c>
      <c r="K273" s="4">
        <v>45408</v>
      </c>
      <c r="L273" s="4">
        <v>45408</v>
      </c>
      <c r="M273">
        <v>2024</v>
      </c>
      <c r="N273">
        <v>4</v>
      </c>
      <c r="O273" s="4">
        <v>45383</v>
      </c>
      <c r="P273" t="s">
        <v>89</v>
      </c>
      <c r="Q273" s="4"/>
      <c r="S273" t="s">
        <v>3476</v>
      </c>
      <c r="X273" t="s">
        <v>3681</v>
      </c>
      <c r="Z273" t="s">
        <v>89</v>
      </c>
      <c r="AA273" t="s">
        <v>89</v>
      </c>
      <c r="AC273" t="s">
        <v>89</v>
      </c>
      <c r="AD273" t="s">
        <v>89</v>
      </c>
      <c r="AE273" t="s">
        <v>3652</v>
      </c>
      <c r="AF273" s="4"/>
    </row>
    <row r="274" spans="1:32">
      <c r="A274" t="s">
        <v>9809</v>
      </c>
      <c r="B274" t="s">
        <v>2193</v>
      </c>
      <c r="C274" t="s">
        <v>9810</v>
      </c>
      <c r="D274" t="s">
        <v>49</v>
      </c>
      <c r="E274">
        <v>4800104873</v>
      </c>
      <c r="F274" t="s">
        <v>9811</v>
      </c>
      <c r="G274">
        <v>11576.16</v>
      </c>
      <c r="I274">
        <v>11576.16</v>
      </c>
      <c r="J274">
        <v>11576.16</v>
      </c>
      <c r="K274" s="4">
        <v>45408</v>
      </c>
      <c r="L274" s="4">
        <v>45408</v>
      </c>
      <c r="M274">
        <v>2024</v>
      </c>
      <c r="N274">
        <v>4</v>
      </c>
      <c r="O274" s="4">
        <v>45383</v>
      </c>
      <c r="P274" t="s">
        <v>89</v>
      </c>
      <c r="Q274" s="4"/>
      <c r="S274" t="s">
        <v>3482</v>
      </c>
      <c r="X274" t="s">
        <v>3681</v>
      </c>
      <c r="Z274" t="s">
        <v>89</v>
      </c>
      <c r="AA274" t="s">
        <v>89</v>
      </c>
      <c r="AC274" t="s">
        <v>89</v>
      </c>
      <c r="AD274" t="s">
        <v>89</v>
      </c>
      <c r="AE274" t="s">
        <v>3652</v>
      </c>
      <c r="AF274" s="4"/>
    </row>
    <row r="275" spans="1:32">
      <c r="A275" t="s">
        <v>9809</v>
      </c>
      <c r="B275" t="s">
        <v>2193</v>
      </c>
      <c r="C275" t="s">
        <v>9812</v>
      </c>
      <c r="D275" t="s">
        <v>49</v>
      </c>
      <c r="E275">
        <v>4800104873</v>
      </c>
      <c r="F275" t="s">
        <v>9813</v>
      </c>
      <c r="G275">
        <v>11576.16</v>
      </c>
      <c r="I275">
        <v>11576.16</v>
      </c>
      <c r="J275">
        <v>11576.16</v>
      </c>
      <c r="K275" s="4">
        <v>45408</v>
      </c>
      <c r="L275" s="4">
        <v>45408</v>
      </c>
      <c r="M275">
        <v>2024</v>
      </c>
      <c r="N275">
        <v>4</v>
      </c>
      <c r="O275" s="4">
        <v>45383</v>
      </c>
      <c r="P275" t="s">
        <v>89</v>
      </c>
      <c r="Q275" s="4"/>
      <c r="S275" t="s">
        <v>3488</v>
      </c>
      <c r="X275" t="s">
        <v>3681</v>
      </c>
      <c r="Z275" t="s">
        <v>89</v>
      </c>
      <c r="AA275" t="s">
        <v>89</v>
      </c>
      <c r="AC275" t="s">
        <v>89</v>
      </c>
      <c r="AD275" t="s">
        <v>89</v>
      </c>
      <c r="AE275" t="s">
        <v>3652</v>
      </c>
      <c r="AF275" s="4"/>
    </row>
    <row r="276" spans="1:32">
      <c r="A276" t="s">
        <v>9506</v>
      </c>
      <c r="B276" t="s">
        <v>2193</v>
      </c>
      <c r="C276" t="s">
        <v>9814</v>
      </c>
      <c r="D276" t="s">
        <v>49</v>
      </c>
      <c r="E276">
        <v>4800104873</v>
      </c>
      <c r="F276" t="s">
        <v>9815</v>
      </c>
      <c r="G276">
        <v>5880</v>
      </c>
      <c r="I276">
        <v>5880</v>
      </c>
      <c r="J276">
        <v>5880</v>
      </c>
      <c r="K276" s="4">
        <v>45408</v>
      </c>
      <c r="L276" s="4">
        <v>45408</v>
      </c>
      <c r="M276">
        <v>2024</v>
      </c>
      <c r="N276">
        <v>4</v>
      </c>
      <c r="O276" s="4">
        <v>45383</v>
      </c>
      <c r="P276" t="s">
        <v>89</v>
      </c>
      <c r="Q276" s="4"/>
      <c r="S276" t="s">
        <v>3445</v>
      </c>
      <c r="X276" t="s">
        <v>3681</v>
      </c>
      <c r="Z276" t="s">
        <v>89</v>
      </c>
      <c r="AA276" t="s">
        <v>89</v>
      </c>
      <c r="AC276" t="s">
        <v>89</v>
      </c>
      <c r="AD276" t="s">
        <v>89</v>
      </c>
      <c r="AE276" t="s">
        <v>3652</v>
      </c>
      <c r="AF276" s="4"/>
    </row>
    <row r="277" spans="1:32">
      <c r="A277" t="s">
        <v>9816</v>
      </c>
      <c r="B277" t="s">
        <v>2193</v>
      </c>
      <c r="C277" t="s">
        <v>9817</v>
      </c>
      <c r="D277" t="s">
        <v>49</v>
      </c>
      <c r="E277">
        <v>4800104873</v>
      </c>
      <c r="F277" t="s">
        <v>9818</v>
      </c>
      <c r="G277">
        <v>4473</v>
      </c>
      <c r="I277">
        <v>4473</v>
      </c>
      <c r="J277">
        <v>4473</v>
      </c>
      <c r="K277" s="4">
        <v>45408</v>
      </c>
      <c r="L277" s="4">
        <v>45408</v>
      </c>
      <c r="M277">
        <v>2024</v>
      </c>
      <c r="N277">
        <v>4</v>
      </c>
      <c r="O277" s="4">
        <v>45383</v>
      </c>
      <c r="P277" t="s">
        <v>89</v>
      </c>
      <c r="Q277" s="4"/>
      <c r="S277" t="s">
        <v>3297</v>
      </c>
      <c r="X277" t="s">
        <v>3681</v>
      </c>
      <c r="Z277" t="s">
        <v>89</v>
      </c>
      <c r="AA277" t="s">
        <v>89</v>
      </c>
      <c r="AC277" t="s">
        <v>89</v>
      </c>
      <c r="AD277" t="s">
        <v>89</v>
      </c>
      <c r="AE277" t="s">
        <v>3652</v>
      </c>
      <c r="AF277" s="4"/>
    </row>
    <row r="278" spans="1:32">
      <c r="A278" t="s">
        <v>9816</v>
      </c>
      <c r="B278" t="s">
        <v>2193</v>
      </c>
      <c r="C278" t="s">
        <v>9819</v>
      </c>
      <c r="D278" t="s">
        <v>49</v>
      </c>
      <c r="E278">
        <v>4800104873</v>
      </c>
      <c r="F278" t="s">
        <v>9820</v>
      </c>
      <c r="G278">
        <v>4473</v>
      </c>
      <c r="I278">
        <v>4473</v>
      </c>
      <c r="J278">
        <v>4473</v>
      </c>
      <c r="K278" s="4">
        <v>45408</v>
      </c>
      <c r="L278" s="4">
        <v>45408</v>
      </c>
      <c r="M278">
        <v>2024</v>
      </c>
      <c r="N278">
        <v>4</v>
      </c>
      <c r="O278" s="4">
        <v>45383</v>
      </c>
      <c r="P278" t="s">
        <v>89</v>
      </c>
      <c r="Q278" s="4"/>
      <c r="S278" t="s">
        <v>3316</v>
      </c>
      <c r="X278" t="s">
        <v>3681</v>
      </c>
      <c r="Z278" t="s">
        <v>89</v>
      </c>
      <c r="AA278" t="s">
        <v>89</v>
      </c>
      <c r="AC278" t="s">
        <v>89</v>
      </c>
      <c r="AD278" t="s">
        <v>89</v>
      </c>
      <c r="AE278" t="s">
        <v>3652</v>
      </c>
      <c r="AF278" s="4"/>
    </row>
    <row r="279" spans="1:32">
      <c r="A279" t="s">
        <v>9503</v>
      </c>
      <c r="B279" t="s">
        <v>2193</v>
      </c>
      <c r="C279" t="s">
        <v>9821</v>
      </c>
      <c r="D279" t="s">
        <v>49</v>
      </c>
      <c r="E279">
        <v>4800104873</v>
      </c>
      <c r="F279" t="s">
        <v>9822</v>
      </c>
      <c r="G279">
        <v>8695</v>
      </c>
      <c r="I279">
        <v>8695</v>
      </c>
      <c r="J279">
        <v>8695</v>
      </c>
      <c r="K279" s="4">
        <v>45408</v>
      </c>
      <c r="L279" s="4">
        <v>45408</v>
      </c>
      <c r="M279">
        <v>2024</v>
      </c>
      <c r="N279">
        <v>4</v>
      </c>
      <c r="O279" s="4">
        <v>45383</v>
      </c>
      <c r="P279" t="s">
        <v>89</v>
      </c>
      <c r="Q279" s="4"/>
      <c r="S279" t="s">
        <v>3256</v>
      </c>
      <c r="X279" t="s">
        <v>3681</v>
      </c>
      <c r="Z279" t="s">
        <v>89</v>
      </c>
      <c r="AA279" t="s">
        <v>89</v>
      </c>
      <c r="AC279" t="s">
        <v>89</v>
      </c>
      <c r="AD279" t="s">
        <v>89</v>
      </c>
      <c r="AE279" t="s">
        <v>3652</v>
      </c>
      <c r="AF279" s="4"/>
    </row>
    <row r="280" spans="1:32">
      <c r="A280" t="s">
        <v>9816</v>
      </c>
      <c r="B280" t="s">
        <v>2193</v>
      </c>
      <c r="C280" t="s">
        <v>9823</v>
      </c>
      <c r="D280" t="s">
        <v>49</v>
      </c>
      <c r="E280">
        <v>4800104873</v>
      </c>
      <c r="F280" t="s">
        <v>9824</v>
      </c>
      <c r="G280">
        <v>4473</v>
      </c>
      <c r="I280">
        <v>4473</v>
      </c>
      <c r="J280">
        <v>4473</v>
      </c>
      <c r="K280" s="4">
        <v>45408</v>
      </c>
      <c r="L280" s="4">
        <v>45408</v>
      </c>
      <c r="M280">
        <v>2024</v>
      </c>
      <c r="N280">
        <v>4</v>
      </c>
      <c r="O280" s="4">
        <v>45383</v>
      </c>
      <c r="P280" t="s">
        <v>89</v>
      </c>
      <c r="Q280" s="4"/>
      <c r="S280" t="s">
        <v>3291</v>
      </c>
      <c r="X280" t="s">
        <v>3681</v>
      </c>
      <c r="Z280" t="s">
        <v>89</v>
      </c>
      <c r="AA280" t="s">
        <v>89</v>
      </c>
      <c r="AC280" t="s">
        <v>89</v>
      </c>
      <c r="AD280" t="s">
        <v>89</v>
      </c>
      <c r="AE280" t="s">
        <v>3652</v>
      </c>
      <c r="AF280" s="4"/>
    </row>
    <row r="281" spans="1:32">
      <c r="A281" t="s">
        <v>9825</v>
      </c>
      <c r="B281" t="s">
        <v>2193</v>
      </c>
      <c r="C281" t="s">
        <v>9826</v>
      </c>
      <c r="D281" t="s">
        <v>49</v>
      </c>
      <c r="E281">
        <v>4800104873</v>
      </c>
      <c r="F281" t="s">
        <v>9827</v>
      </c>
      <c r="G281">
        <v>4908.3900000000003</v>
      </c>
      <c r="I281">
        <v>4908.3900000000003</v>
      </c>
      <c r="J281">
        <v>4908.3900000000003</v>
      </c>
      <c r="K281" s="4">
        <v>45408</v>
      </c>
      <c r="L281" s="4">
        <v>45408</v>
      </c>
      <c r="M281">
        <v>2024</v>
      </c>
      <c r="N281">
        <v>4</v>
      </c>
      <c r="O281" s="4">
        <v>45383</v>
      </c>
      <c r="P281" t="s">
        <v>89</v>
      </c>
      <c r="Q281" s="4"/>
      <c r="S281" t="s">
        <v>3490</v>
      </c>
      <c r="X281" t="s">
        <v>3681</v>
      </c>
      <c r="Z281" t="s">
        <v>89</v>
      </c>
      <c r="AA281" t="s">
        <v>89</v>
      </c>
      <c r="AC281" t="s">
        <v>89</v>
      </c>
      <c r="AD281" t="s">
        <v>89</v>
      </c>
      <c r="AE281" t="s">
        <v>3652</v>
      </c>
      <c r="AF281" s="4"/>
    </row>
    <row r="282" spans="1:32">
      <c r="A282" t="s">
        <v>9809</v>
      </c>
      <c r="B282" t="s">
        <v>2193</v>
      </c>
      <c r="C282" t="s">
        <v>9828</v>
      </c>
      <c r="D282" t="s">
        <v>49</v>
      </c>
      <c r="E282">
        <v>4800104873</v>
      </c>
      <c r="F282" t="s">
        <v>9829</v>
      </c>
      <c r="G282">
        <v>11576.16</v>
      </c>
      <c r="I282">
        <v>11576.16</v>
      </c>
      <c r="J282">
        <v>11576.16</v>
      </c>
      <c r="K282" s="4">
        <v>45408</v>
      </c>
      <c r="L282" s="4">
        <v>45408</v>
      </c>
      <c r="M282">
        <v>2024</v>
      </c>
      <c r="N282">
        <v>4</v>
      </c>
      <c r="O282" s="4">
        <v>45383</v>
      </c>
      <c r="P282" t="s">
        <v>89</v>
      </c>
      <c r="Q282" s="4"/>
      <c r="S282" t="s">
        <v>3486</v>
      </c>
      <c r="X282" t="s">
        <v>3681</v>
      </c>
      <c r="Z282" t="s">
        <v>89</v>
      </c>
      <c r="AA282" t="s">
        <v>89</v>
      </c>
      <c r="AC282" t="s">
        <v>89</v>
      </c>
      <c r="AD282" t="s">
        <v>89</v>
      </c>
      <c r="AE282" t="s">
        <v>3652</v>
      </c>
      <c r="AF282" s="4"/>
    </row>
    <row r="283" spans="1:32">
      <c r="A283" t="s">
        <v>9809</v>
      </c>
      <c r="B283" t="s">
        <v>2193</v>
      </c>
      <c r="C283" t="s">
        <v>9830</v>
      </c>
      <c r="D283" t="s">
        <v>49</v>
      </c>
      <c r="E283">
        <v>4800104873</v>
      </c>
      <c r="F283" t="s">
        <v>9831</v>
      </c>
      <c r="G283">
        <v>11576.16</v>
      </c>
      <c r="I283">
        <v>11576.16</v>
      </c>
      <c r="J283">
        <v>11576.16</v>
      </c>
      <c r="K283" s="4">
        <v>45408</v>
      </c>
      <c r="L283" s="4">
        <v>45408</v>
      </c>
      <c r="M283">
        <v>2024</v>
      </c>
      <c r="N283">
        <v>4</v>
      </c>
      <c r="O283" s="4">
        <v>45383</v>
      </c>
      <c r="P283" t="s">
        <v>89</v>
      </c>
      <c r="Q283" s="4"/>
      <c r="S283" t="s">
        <v>3484</v>
      </c>
      <c r="X283" t="s">
        <v>3681</v>
      </c>
      <c r="Z283" t="s">
        <v>89</v>
      </c>
      <c r="AA283" t="s">
        <v>89</v>
      </c>
      <c r="AC283" t="s">
        <v>89</v>
      </c>
      <c r="AD283" t="s">
        <v>89</v>
      </c>
      <c r="AE283" t="s">
        <v>3652</v>
      </c>
      <c r="AF283" s="4"/>
    </row>
    <row r="284" spans="1:32">
      <c r="A284" t="s">
        <v>9378</v>
      </c>
      <c r="B284" t="s">
        <v>2193</v>
      </c>
      <c r="C284" t="s">
        <v>9832</v>
      </c>
      <c r="D284" t="s">
        <v>39</v>
      </c>
      <c r="E284">
        <v>4600000721</v>
      </c>
      <c r="F284" t="s">
        <v>9833</v>
      </c>
      <c r="G284">
        <v>39638.94</v>
      </c>
      <c r="I284">
        <v>39638.94</v>
      </c>
      <c r="J284">
        <v>39638.94</v>
      </c>
      <c r="K284" s="4">
        <v>45408</v>
      </c>
      <c r="L284" s="4">
        <v>45408</v>
      </c>
      <c r="M284">
        <v>2024</v>
      </c>
      <c r="N284">
        <v>4</v>
      </c>
      <c r="O284" s="4">
        <v>45383</v>
      </c>
      <c r="P284" t="s">
        <v>89</v>
      </c>
      <c r="Q284" s="4"/>
      <c r="S284" t="s">
        <v>2921</v>
      </c>
      <c r="X284" t="s">
        <v>4823</v>
      </c>
      <c r="Z284" t="s">
        <v>89</v>
      </c>
      <c r="AA284" t="s">
        <v>89</v>
      </c>
      <c r="AC284" t="s">
        <v>89</v>
      </c>
      <c r="AD284" t="s">
        <v>89</v>
      </c>
      <c r="AE284" t="s">
        <v>3652</v>
      </c>
      <c r="AF284" s="4">
        <v>45413</v>
      </c>
    </row>
    <row r="285" spans="1:32">
      <c r="A285" t="s">
        <v>9834</v>
      </c>
      <c r="B285" t="s">
        <v>9366</v>
      </c>
      <c r="C285" t="s">
        <v>4362</v>
      </c>
      <c r="D285" t="s">
        <v>54</v>
      </c>
      <c r="E285" t="s">
        <v>9835</v>
      </c>
      <c r="F285" t="s">
        <v>4361</v>
      </c>
      <c r="G285">
        <v>113844.96</v>
      </c>
      <c r="I285">
        <v>113844.96</v>
      </c>
      <c r="K285" s="4">
        <v>45520</v>
      </c>
      <c r="L285" s="4">
        <v>45520</v>
      </c>
      <c r="M285">
        <v>2024</v>
      </c>
      <c r="N285">
        <v>8</v>
      </c>
      <c r="O285" s="4">
        <v>45505</v>
      </c>
      <c r="P285" t="s">
        <v>1473</v>
      </c>
      <c r="Q285" s="4"/>
      <c r="S285" t="s">
        <v>3084</v>
      </c>
      <c r="T285">
        <v>45551</v>
      </c>
      <c r="U285">
        <v>113844.96</v>
      </c>
      <c r="V285">
        <v>1</v>
      </c>
      <c r="W285" t="s">
        <v>16</v>
      </c>
      <c r="X285" t="s">
        <v>3770</v>
      </c>
      <c r="Z285">
        <v>32</v>
      </c>
      <c r="AA285">
        <v>32</v>
      </c>
      <c r="AB285" t="s">
        <v>9368</v>
      </c>
      <c r="AE285" t="s">
        <v>9251</v>
      </c>
      <c r="AF285" s="4"/>
    </row>
    <row r="286" spans="1:32">
      <c r="A286" t="s">
        <v>9836</v>
      </c>
      <c r="B286" t="s">
        <v>9366</v>
      </c>
      <c r="D286" t="s">
        <v>54</v>
      </c>
      <c r="E286" t="s">
        <v>9787</v>
      </c>
      <c r="F286" t="s">
        <v>4367</v>
      </c>
      <c r="G286">
        <v>1723.2</v>
      </c>
      <c r="I286">
        <v>1723.2</v>
      </c>
      <c r="J286">
        <v>1723.2</v>
      </c>
      <c r="K286" s="4">
        <v>45017</v>
      </c>
      <c r="L286" s="4">
        <v>45017</v>
      </c>
      <c r="M286">
        <v>2023</v>
      </c>
      <c r="N286">
        <v>4</v>
      </c>
      <c r="O286" s="4">
        <v>45017</v>
      </c>
      <c r="P286" t="s">
        <v>89</v>
      </c>
      <c r="Q286" s="4">
        <v>45245</v>
      </c>
      <c r="S286" t="s">
        <v>3769</v>
      </c>
      <c r="U286">
        <v>4307.99</v>
      </c>
      <c r="V286">
        <v>0.4000009285072621</v>
      </c>
      <c r="W286" t="s">
        <v>16</v>
      </c>
      <c r="X286" t="s">
        <v>3770</v>
      </c>
      <c r="Z286" t="s">
        <v>89</v>
      </c>
      <c r="AA286" t="s">
        <v>89</v>
      </c>
      <c r="AC286" t="s">
        <v>89</v>
      </c>
      <c r="AD286">
        <v>0</v>
      </c>
      <c r="AE286" t="s">
        <v>9251</v>
      </c>
      <c r="AF286" s="4"/>
    </row>
    <row r="287" spans="1:32">
      <c r="A287" t="s">
        <v>9837</v>
      </c>
      <c r="B287" t="s">
        <v>9366</v>
      </c>
      <c r="D287" t="s">
        <v>54</v>
      </c>
      <c r="E287" t="s">
        <v>9838</v>
      </c>
      <c r="F287" t="s">
        <v>4369</v>
      </c>
      <c r="G287">
        <v>5643.75</v>
      </c>
      <c r="I287">
        <v>5643.75</v>
      </c>
      <c r="J287">
        <v>5643.75</v>
      </c>
      <c r="K287" s="4">
        <v>45017</v>
      </c>
      <c r="L287" s="4">
        <v>45017</v>
      </c>
      <c r="M287">
        <v>2023</v>
      </c>
      <c r="N287">
        <v>4</v>
      </c>
      <c r="O287" s="4">
        <v>45017</v>
      </c>
      <c r="P287" t="s">
        <v>89</v>
      </c>
      <c r="Q287" s="4">
        <v>45245</v>
      </c>
      <c r="S287" t="s">
        <v>3808</v>
      </c>
      <c r="U287">
        <v>14109.38</v>
      </c>
      <c r="V287">
        <v>0.39999985825032713</v>
      </c>
      <c r="W287" t="s">
        <v>16</v>
      </c>
      <c r="X287" t="s">
        <v>3770</v>
      </c>
      <c r="Z287" t="s">
        <v>89</v>
      </c>
      <c r="AA287" t="s">
        <v>89</v>
      </c>
      <c r="AC287" t="s">
        <v>89</v>
      </c>
      <c r="AD287" t="s">
        <v>89</v>
      </c>
      <c r="AE287" t="s">
        <v>3652</v>
      </c>
      <c r="AF287" s="4"/>
    </row>
    <row r="288" spans="1:32">
      <c r="A288" t="s">
        <v>9637</v>
      </c>
      <c r="B288" t="s">
        <v>9366</v>
      </c>
      <c r="C288" t="s">
        <v>9839</v>
      </c>
      <c r="D288" t="s">
        <v>54</v>
      </c>
      <c r="E288" t="s">
        <v>9638</v>
      </c>
      <c r="F288" t="s">
        <v>4297</v>
      </c>
      <c r="I288">
        <v>0</v>
      </c>
      <c r="K288" s="4">
        <v>45133</v>
      </c>
      <c r="L288" s="4">
        <v>45133</v>
      </c>
      <c r="M288">
        <v>2023</v>
      </c>
      <c r="N288">
        <v>7</v>
      </c>
      <c r="O288" s="4">
        <v>45108</v>
      </c>
      <c r="Q288" s="4"/>
      <c r="R288" t="s">
        <v>6721</v>
      </c>
      <c r="S288" t="s">
        <v>3492</v>
      </c>
      <c r="W288" t="s">
        <v>16</v>
      </c>
      <c r="X288" t="s">
        <v>4109</v>
      </c>
      <c r="AD288" t="s">
        <v>837</v>
      </c>
      <c r="AE288" t="s">
        <v>9251</v>
      </c>
      <c r="AF288" s="4"/>
    </row>
    <row r="289" spans="1:32">
      <c r="A289" t="s">
        <v>9840</v>
      </c>
      <c r="B289" t="s">
        <v>9366</v>
      </c>
      <c r="D289" t="s">
        <v>54</v>
      </c>
      <c r="E289" t="s">
        <v>9841</v>
      </c>
      <c r="F289" t="s">
        <v>4372</v>
      </c>
      <c r="G289">
        <v>5643.75</v>
      </c>
      <c r="I289">
        <v>5643.75</v>
      </c>
      <c r="J289">
        <v>5643.75</v>
      </c>
      <c r="K289" s="4">
        <v>45017</v>
      </c>
      <c r="L289" s="4">
        <v>45017</v>
      </c>
      <c r="M289">
        <v>2023</v>
      </c>
      <c r="N289">
        <v>4</v>
      </c>
      <c r="O289" s="4">
        <v>45017</v>
      </c>
      <c r="P289" t="s">
        <v>89</v>
      </c>
      <c r="Q289" s="4">
        <v>45245</v>
      </c>
      <c r="S289" t="s">
        <v>3811</v>
      </c>
      <c r="U289">
        <v>14109.38</v>
      </c>
      <c r="V289">
        <v>0.39999985825032713</v>
      </c>
      <c r="W289" t="s">
        <v>16</v>
      </c>
      <c r="X289" t="s">
        <v>3770</v>
      </c>
      <c r="Z289" t="s">
        <v>89</v>
      </c>
      <c r="AA289" t="s">
        <v>89</v>
      </c>
      <c r="AC289" t="s">
        <v>89</v>
      </c>
      <c r="AD289" t="s">
        <v>89</v>
      </c>
      <c r="AE289" t="s">
        <v>3652</v>
      </c>
      <c r="AF289" s="4"/>
    </row>
    <row r="290" spans="1:32">
      <c r="A290" t="s">
        <v>9842</v>
      </c>
      <c r="B290" t="s">
        <v>9366</v>
      </c>
      <c r="C290" t="s">
        <v>4376</v>
      </c>
      <c r="D290" t="s">
        <v>54</v>
      </c>
      <c r="E290" t="s">
        <v>9843</v>
      </c>
      <c r="F290" t="s">
        <v>4374</v>
      </c>
      <c r="G290">
        <v>8465.6299999999992</v>
      </c>
      <c r="I290">
        <v>8465.6299999999992</v>
      </c>
      <c r="J290">
        <v>8465.6299999999992</v>
      </c>
      <c r="K290" s="4">
        <v>45401</v>
      </c>
      <c r="L290" s="4">
        <v>45401</v>
      </c>
      <c r="M290">
        <v>2024</v>
      </c>
      <c r="N290">
        <v>4</v>
      </c>
      <c r="O290" s="4">
        <v>45383</v>
      </c>
      <c r="P290" t="s">
        <v>89</v>
      </c>
      <c r="Q290" s="4">
        <v>45458</v>
      </c>
      <c r="S290" t="s">
        <v>4375</v>
      </c>
      <c r="T290">
        <v>45446</v>
      </c>
      <c r="U290">
        <v>14109.38</v>
      </c>
      <c r="V290">
        <v>0.60000014174967287</v>
      </c>
      <c r="W290" t="s">
        <v>16</v>
      </c>
      <c r="X290" t="s">
        <v>3770</v>
      </c>
      <c r="Z290" t="s">
        <v>89</v>
      </c>
      <c r="AA290" t="s">
        <v>89</v>
      </c>
      <c r="AC290" t="s">
        <v>89</v>
      </c>
      <c r="AD290" t="s">
        <v>89</v>
      </c>
      <c r="AE290" t="s">
        <v>3652</v>
      </c>
      <c r="AF290" s="4"/>
    </row>
    <row r="291" spans="1:32">
      <c r="A291" t="s">
        <v>9844</v>
      </c>
      <c r="B291" t="s">
        <v>9366</v>
      </c>
      <c r="D291" t="s">
        <v>54</v>
      </c>
      <c r="E291" t="s">
        <v>9843</v>
      </c>
      <c r="F291" t="s">
        <v>4374</v>
      </c>
      <c r="G291">
        <v>5643.75</v>
      </c>
      <c r="I291">
        <v>5643.75</v>
      </c>
      <c r="J291">
        <v>5643.75</v>
      </c>
      <c r="K291" s="4">
        <v>45017</v>
      </c>
      <c r="L291" s="4">
        <v>45017</v>
      </c>
      <c r="M291">
        <v>2023</v>
      </c>
      <c r="N291">
        <v>4</v>
      </c>
      <c r="O291" s="4">
        <v>45017</v>
      </c>
      <c r="P291" t="s">
        <v>89</v>
      </c>
      <c r="Q291" s="4">
        <v>45245</v>
      </c>
      <c r="S291" t="s">
        <v>4375</v>
      </c>
      <c r="U291">
        <v>14109.38</v>
      </c>
      <c r="V291">
        <v>0.39999985825032713</v>
      </c>
      <c r="W291" t="s">
        <v>16</v>
      </c>
      <c r="X291" t="s">
        <v>3770</v>
      </c>
      <c r="Z291" t="s">
        <v>89</v>
      </c>
      <c r="AA291" t="s">
        <v>89</v>
      </c>
      <c r="AC291" t="s">
        <v>89</v>
      </c>
      <c r="AD291">
        <v>0</v>
      </c>
      <c r="AE291" t="s">
        <v>9251</v>
      </c>
      <c r="AF291" s="4"/>
    </row>
    <row r="292" spans="1:32">
      <c r="A292" t="s">
        <v>9845</v>
      </c>
      <c r="B292" t="s">
        <v>9366</v>
      </c>
      <c r="C292" t="s">
        <v>4379</v>
      </c>
      <c r="D292" t="s">
        <v>54</v>
      </c>
      <c r="E292" t="s">
        <v>9846</v>
      </c>
      <c r="F292" t="s">
        <v>4377</v>
      </c>
      <c r="G292">
        <v>8465.6299999999992</v>
      </c>
      <c r="I292">
        <v>8465.6299999999992</v>
      </c>
      <c r="J292">
        <v>8465.6299999999992</v>
      </c>
      <c r="K292" s="4">
        <v>45401</v>
      </c>
      <c r="L292" s="4">
        <v>45401</v>
      </c>
      <c r="M292">
        <v>2024</v>
      </c>
      <c r="N292">
        <v>4</v>
      </c>
      <c r="O292" s="4">
        <v>45383</v>
      </c>
      <c r="P292" t="s">
        <v>89</v>
      </c>
      <c r="Q292" s="4">
        <v>45458</v>
      </c>
      <c r="S292" t="s">
        <v>4378</v>
      </c>
      <c r="T292">
        <v>45446</v>
      </c>
      <c r="U292">
        <v>14109.38</v>
      </c>
      <c r="V292">
        <v>0.60000014174967287</v>
      </c>
      <c r="W292" t="s">
        <v>16</v>
      </c>
      <c r="X292" t="s">
        <v>3770</v>
      </c>
      <c r="Z292" t="s">
        <v>89</v>
      </c>
      <c r="AA292" t="s">
        <v>89</v>
      </c>
      <c r="AC292" t="s">
        <v>89</v>
      </c>
      <c r="AD292" t="s">
        <v>89</v>
      </c>
      <c r="AE292" t="s">
        <v>3652</v>
      </c>
      <c r="AF292" s="4"/>
    </row>
    <row r="293" spans="1:32">
      <c r="A293" t="s">
        <v>9847</v>
      </c>
      <c r="B293" t="s">
        <v>9366</v>
      </c>
      <c r="D293" t="s">
        <v>54</v>
      </c>
      <c r="E293" t="s">
        <v>9846</v>
      </c>
      <c r="F293" t="s">
        <v>4377</v>
      </c>
      <c r="G293">
        <v>5643.75</v>
      </c>
      <c r="I293">
        <v>5643.75</v>
      </c>
      <c r="J293">
        <v>5643.75</v>
      </c>
      <c r="K293" s="4">
        <v>45017</v>
      </c>
      <c r="L293" s="4">
        <v>45017</v>
      </c>
      <c r="M293">
        <v>2023</v>
      </c>
      <c r="N293">
        <v>4</v>
      </c>
      <c r="O293" s="4">
        <v>45017</v>
      </c>
      <c r="P293" t="s">
        <v>89</v>
      </c>
      <c r="Q293" s="4">
        <v>45245</v>
      </c>
      <c r="S293" t="s">
        <v>4378</v>
      </c>
      <c r="U293">
        <v>14109.38</v>
      </c>
      <c r="V293">
        <v>0.39999985825032713</v>
      </c>
      <c r="W293" t="s">
        <v>16</v>
      </c>
      <c r="X293" t="s">
        <v>3770</v>
      </c>
      <c r="Z293" t="s">
        <v>89</v>
      </c>
      <c r="AA293" t="s">
        <v>89</v>
      </c>
      <c r="AC293" t="s">
        <v>89</v>
      </c>
      <c r="AD293">
        <v>0</v>
      </c>
      <c r="AE293" t="s">
        <v>9251</v>
      </c>
      <c r="AF293" s="4"/>
    </row>
    <row r="294" spans="1:32">
      <c r="A294" t="s">
        <v>9848</v>
      </c>
      <c r="B294" t="s">
        <v>9366</v>
      </c>
      <c r="C294" t="s">
        <v>4382</v>
      </c>
      <c r="D294" t="s">
        <v>54</v>
      </c>
      <c r="E294" t="s">
        <v>9849</v>
      </c>
      <c r="F294" t="s">
        <v>4380</v>
      </c>
      <c r="G294">
        <v>8465.6299999999992</v>
      </c>
      <c r="I294">
        <v>8465.6299999999992</v>
      </c>
      <c r="J294">
        <v>8465.6299999999992</v>
      </c>
      <c r="K294" s="4">
        <v>45401</v>
      </c>
      <c r="L294" s="4">
        <v>45401</v>
      </c>
      <c r="M294">
        <v>2024</v>
      </c>
      <c r="N294">
        <v>4</v>
      </c>
      <c r="O294" s="4">
        <v>45383</v>
      </c>
      <c r="P294" t="s">
        <v>89</v>
      </c>
      <c r="Q294" s="4">
        <v>45458</v>
      </c>
      <c r="S294" t="s">
        <v>4381</v>
      </c>
      <c r="T294">
        <v>45446</v>
      </c>
      <c r="U294">
        <v>14109.38</v>
      </c>
      <c r="V294">
        <v>0.60000014174967287</v>
      </c>
      <c r="W294" t="s">
        <v>16</v>
      </c>
      <c r="X294" t="s">
        <v>3770</v>
      </c>
      <c r="Z294" t="s">
        <v>89</v>
      </c>
      <c r="AA294" t="s">
        <v>89</v>
      </c>
      <c r="AC294" t="s">
        <v>89</v>
      </c>
      <c r="AD294" t="s">
        <v>89</v>
      </c>
      <c r="AE294" t="s">
        <v>3652</v>
      </c>
      <c r="AF294" s="4"/>
    </row>
    <row r="295" spans="1:32">
      <c r="A295" t="s">
        <v>9850</v>
      </c>
      <c r="B295" t="s">
        <v>9366</v>
      </c>
      <c r="D295" t="s">
        <v>54</v>
      </c>
      <c r="E295" t="s">
        <v>9849</v>
      </c>
      <c r="F295" t="s">
        <v>4380</v>
      </c>
      <c r="G295">
        <v>5643.75</v>
      </c>
      <c r="I295">
        <v>5643.75</v>
      </c>
      <c r="J295">
        <v>5643.75</v>
      </c>
      <c r="K295" s="4">
        <v>45017</v>
      </c>
      <c r="L295" s="4">
        <v>45017</v>
      </c>
      <c r="M295">
        <v>2023</v>
      </c>
      <c r="N295">
        <v>4</v>
      </c>
      <c r="O295" s="4">
        <v>45017</v>
      </c>
      <c r="P295" t="s">
        <v>89</v>
      </c>
      <c r="Q295" s="4">
        <v>45245</v>
      </c>
      <c r="S295" t="s">
        <v>4381</v>
      </c>
      <c r="U295">
        <v>14109.38</v>
      </c>
      <c r="V295">
        <v>0.39999985825032713</v>
      </c>
      <c r="W295" t="s">
        <v>16</v>
      </c>
      <c r="X295" t="s">
        <v>3770</v>
      </c>
      <c r="Z295" t="s">
        <v>89</v>
      </c>
      <c r="AA295" t="s">
        <v>89</v>
      </c>
      <c r="AC295" t="s">
        <v>89</v>
      </c>
      <c r="AD295">
        <v>0</v>
      </c>
      <c r="AE295" t="s">
        <v>9251</v>
      </c>
      <c r="AF295" s="4"/>
    </row>
    <row r="296" spans="1:32">
      <c r="A296" t="s">
        <v>9851</v>
      </c>
      <c r="B296" t="s">
        <v>9366</v>
      </c>
      <c r="C296" t="s">
        <v>4385</v>
      </c>
      <c r="D296" t="s">
        <v>54</v>
      </c>
      <c r="E296" t="s">
        <v>9852</v>
      </c>
      <c r="F296" t="s">
        <v>4383</v>
      </c>
      <c r="G296">
        <v>8465.6299999999992</v>
      </c>
      <c r="I296">
        <v>8465.6299999999992</v>
      </c>
      <c r="J296">
        <v>8465.6299999999992</v>
      </c>
      <c r="K296" s="4">
        <v>45401</v>
      </c>
      <c r="L296" s="4">
        <v>45401</v>
      </c>
      <c r="M296">
        <v>2024</v>
      </c>
      <c r="N296">
        <v>4</v>
      </c>
      <c r="O296" s="4">
        <v>45383</v>
      </c>
      <c r="P296" t="s">
        <v>89</v>
      </c>
      <c r="Q296" s="4">
        <v>45458</v>
      </c>
      <c r="S296" t="s">
        <v>4384</v>
      </c>
      <c r="T296">
        <v>45446</v>
      </c>
      <c r="U296">
        <v>14109.38</v>
      </c>
      <c r="V296">
        <v>0.60000014174967287</v>
      </c>
      <c r="W296" t="s">
        <v>16</v>
      </c>
      <c r="X296" t="s">
        <v>3770</v>
      </c>
      <c r="Z296" t="s">
        <v>89</v>
      </c>
      <c r="AA296" t="s">
        <v>89</v>
      </c>
      <c r="AC296" t="s">
        <v>89</v>
      </c>
      <c r="AD296" t="s">
        <v>89</v>
      </c>
      <c r="AE296" t="s">
        <v>3652</v>
      </c>
      <c r="AF296" s="4"/>
    </row>
    <row r="297" spans="1:32">
      <c r="A297" t="s">
        <v>9853</v>
      </c>
      <c r="B297" t="s">
        <v>9366</v>
      </c>
      <c r="D297" t="s">
        <v>54</v>
      </c>
      <c r="E297" t="s">
        <v>9852</v>
      </c>
      <c r="F297" t="s">
        <v>4383</v>
      </c>
      <c r="G297">
        <v>5643.75</v>
      </c>
      <c r="I297">
        <v>5643.75</v>
      </c>
      <c r="J297">
        <v>5643.75</v>
      </c>
      <c r="K297" s="4">
        <v>45017</v>
      </c>
      <c r="L297" s="4">
        <v>45017</v>
      </c>
      <c r="M297">
        <v>2023</v>
      </c>
      <c r="N297">
        <v>4</v>
      </c>
      <c r="O297" s="4">
        <v>45017</v>
      </c>
      <c r="P297" t="s">
        <v>89</v>
      </c>
      <c r="Q297" s="4">
        <v>45245</v>
      </c>
      <c r="S297" t="s">
        <v>4384</v>
      </c>
      <c r="U297">
        <v>14109.38</v>
      </c>
      <c r="V297">
        <v>0.39999985825032713</v>
      </c>
      <c r="W297" t="s">
        <v>16</v>
      </c>
      <c r="X297" t="s">
        <v>3770</v>
      </c>
      <c r="Z297" t="s">
        <v>89</v>
      </c>
      <c r="AA297" t="s">
        <v>89</v>
      </c>
      <c r="AC297" t="s">
        <v>89</v>
      </c>
      <c r="AD297">
        <v>0</v>
      </c>
      <c r="AE297" t="s">
        <v>9251</v>
      </c>
      <c r="AF297" s="4"/>
    </row>
    <row r="298" spans="1:32">
      <c r="A298" t="s">
        <v>9854</v>
      </c>
      <c r="B298" t="s">
        <v>9366</v>
      </c>
      <c r="C298" t="s">
        <v>4387</v>
      </c>
      <c r="D298" t="s">
        <v>54</v>
      </c>
      <c r="E298" t="s">
        <v>9855</v>
      </c>
      <c r="F298" t="s">
        <v>4386</v>
      </c>
      <c r="G298">
        <v>8465.6299999999992</v>
      </c>
      <c r="I298">
        <v>8465.6299999999992</v>
      </c>
      <c r="J298">
        <v>8465.6299999999992</v>
      </c>
      <c r="K298" s="4">
        <v>45401</v>
      </c>
      <c r="L298" s="4">
        <v>45401</v>
      </c>
      <c r="M298">
        <v>2024</v>
      </c>
      <c r="N298">
        <v>4</v>
      </c>
      <c r="O298" s="4">
        <v>45383</v>
      </c>
      <c r="P298" t="s">
        <v>89</v>
      </c>
      <c r="Q298" s="4">
        <v>45458</v>
      </c>
      <c r="S298" t="s">
        <v>3820</v>
      </c>
      <c r="T298">
        <v>45446</v>
      </c>
      <c r="U298">
        <v>14109.38</v>
      </c>
      <c r="V298">
        <v>0.60000014174967287</v>
      </c>
      <c r="W298" t="s">
        <v>16</v>
      </c>
      <c r="X298" t="s">
        <v>3770</v>
      </c>
      <c r="Z298" t="s">
        <v>89</v>
      </c>
      <c r="AA298" t="s">
        <v>89</v>
      </c>
      <c r="AC298" t="s">
        <v>89</v>
      </c>
      <c r="AD298" t="s">
        <v>89</v>
      </c>
      <c r="AE298" t="s">
        <v>3652</v>
      </c>
      <c r="AF298" s="4"/>
    </row>
    <row r="299" spans="1:32">
      <c r="A299" t="s">
        <v>9856</v>
      </c>
      <c r="B299" t="s">
        <v>9366</v>
      </c>
      <c r="D299" t="s">
        <v>54</v>
      </c>
      <c r="E299" t="s">
        <v>9855</v>
      </c>
      <c r="F299" t="s">
        <v>4386</v>
      </c>
      <c r="G299">
        <v>5643.75</v>
      </c>
      <c r="I299">
        <v>5643.75</v>
      </c>
      <c r="J299">
        <v>5643.75</v>
      </c>
      <c r="K299" s="4">
        <v>45017</v>
      </c>
      <c r="L299" s="4">
        <v>45017</v>
      </c>
      <c r="M299">
        <v>2023</v>
      </c>
      <c r="N299">
        <v>4</v>
      </c>
      <c r="O299" s="4">
        <v>45017</v>
      </c>
      <c r="P299" t="s">
        <v>89</v>
      </c>
      <c r="Q299" s="4">
        <v>45245</v>
      </c>
      <c r="S299" t="s">
        <v>3820</v>
      </c>
      <c r="U299">
        <v>14109.38</v>
      </c>
      <c r="V299">
        <v>0.39999985825032713</v>
      </c>
      <c r="W299" t="s">
        <v>16</v>
      </c>
      <c r="X299" t="s">
        <v>3770</v>
      </c>
      <c r="Z299" t="s">
        <v>89</v>
      </c>
      <c r="AA299" t="s">
        <v>89</v>
      </c>
      <c r="AC299" t="s">
        <v>89</v>
      </c>
      <c r="AD299">
        <v>0</v>
      </c>
      <c r="AE299" t="s">
        <v>9251</v>
      </c>
      <c r="AF299" s="4"/>
    </row>
    <row r="300" spans="1:32">
      <c r="A300" t="s">
        <v>9857</v>
      </c>
      <c r="B300" t="s">
        <v>9366</v>
      </c>
      <c r="C300" t="s">
        <v>4389</v>
      </c>
      <c r="D300" t="s">
        <v>54</v>
      </c>
      <c r="E300" t="s">
        <v>9858</v>
      </c>
      <c r="F300" t="s">
        <v>4388</v>
      </c>
      <c r="G300">
        <v>8465.6299999999992</v>
      </c>
      <c r="I300">
        <v>8465.6299999999992</v>
      </c>
      <c r="J300">
        <v>8465.6299999999992</v>
      </c>
      <c r="K300" s="4">
        <v>45401</v>
      </c>
      <c r="L300" s="4">
        <v>45401</v>
      </c>
      <c r="M300">
        <v>2024</v>
      </c>
      <c r="N300">
        <v>4</v>
      </c>
      <c r="O300" s="4">
        <v>45383</v>
      </c>
      <c r="P300" t="s">
        <v>89</v>
      </c>
      <c r="Q300" s="4">
        <v>45458</v>
      </c>
      <c r="S300" t="s">
        <v>3823</v>
      </c>
      <c r="T300">
        <v>45446</v>
      </c>
      <c r="U300">
        <v>14109.38</v>
      </c>
      <c r="V300">
        <v>0.60000014174967287</v>
      </c>
      <c r="W300" t="s">
        <v>16</v>
      </c>
      <c r="X300" t="s">
        <v>3770</v>
      </c>
      <c r="Z300" t="s">
        <v>89</v>
      </c>
      <c r="AA300" t="s">
        <v>89</v>
      </c>
      <c r="AC300" t="s">
        <v>89</v>
      </c>
      <c r="AD300" t="s">
        <v>89</v>
      </c>
      <c r="AE300" t="s">
        <v>3652</v>
      </c>
      <c r="AF300" s="4"/>
    </row>
    <row r="301" spans="1:32">
      <c r="A301" t="s">
        <v>9859</v>
      </c>
      <c r="B301" t="s">
        <v>9366</v>
      </c>
      <c r="D301" t="s">
        <v>54</v>
      </c>
      <c r="E301" t="s">
        <v>9858</v>
      </c>
      <c r="F301" t="s">
        <v>4388</v>
      </c>
      <c r="G301">
        <v>5643.75</v>
      </c>
      <c r="I301">
        <v>5643.75</v>
      </c>
      <c r="J301">
        <v>5643.75</v>
      </c>
      <c r="K301" s="4">
        <v>45017</v>
      </c>
      <c r="L301" s="4">
        <v>45017</v>
      </c>
      <c r="M301">
        <v>2023</v>
      </c>
      <c r="N301">
        <v>4</v>
      </c>
      <c r="O301" s="4">
        <v>45017</v>
      </c>
      <c r="P301" t="s">
        <v>89</v>
      </c>
      <c r="Q301" s="4">
        <v>45245</v>
      </c>
      <c r="S301" t="s">
        <v>3823</v>
      </c>
      <c r="U301">
        <v>14109.38</v>
      </c>
      <c r="V301">
        <v>0.39999985825032713</v>
      </c>
      <c r="W301" t="s">
        <v>16</v>
      </c>
      <c r="X301" t="s">
        <v>3770</v>
      </c>
      <c r="Z301" t="s">
        <v>89</v>
      </c>
      <c r="AA301" t="s">
        <v>89</v>
      </c>
      <c r="AC301" t="s">
        <v>89</v>
      </c>
      <c r="AD301">
        <v>0</v>
      </c>
      <c r="AE301" t="s">
        <v>9251</v>
      </c>
      <c r="AF301" s="4"/>
    </row>
    <row r="302" spans="1:32">
      <c r="A302" t="s">
        <v>9860</v>
      </c>
      <c r="B302" t="s">
        <v>9366</v>
      </c>
      <c r="C302" t="s">
        <v>4392</v>
      </c>
      <c r="D302" t="s">
        <v>54</v>
      </c>
      <c r="E302" t="s">
        <v>9861</v>
      </c>
      <c r="F302" t="s">
        <v>4390</v>
      </c>
      <c r="G302">
        <v>8465.6299999999992</v>
      </c>
      <c r="I302">
        <v>8465.6299999999992</v>
      </c>
      <c r="J302">
        <v>8465.6299999999992</v>
      </c>
      <c r="K302" s="4">
        <v>45401</v>
      </c>
      <c r="L302" s="4">
        <v>45401</v>
      </c>
      <c r="M302">
        <v>2024</v>
      </c>
      <c r="N302">
        <v>4</v>
      </c>
      <c r="O302" s="4">
        <v>45383</v>
      </c>
      <c r="P302" t="s">
        <v>89</v>
      </c>
      <c r="Q302" s="4">
        <v>45458</v>
      </c>
      <c r="S302" t="s">
        <v>4391</v>
      </c>
      <c r="T302">
        <v>45446</v>
      </c>
      <c r="U302">
        <v>14109.38</v>
      </c>
      <c r="V302">
        <v>0.60000014174967287</v>
      </c>
      <c r="W302" t="s">
        <v>16</v>
      </c>
      <c r="X302" t="s">
        <v>3770</v>
      </c>
      <c r="Z302" t="s">
        <v>89</v>
      </c>
      <c r="AA302" t="s">
        <v>89</v>
      </c>
      <c r="AC302" t="s">
        <v>89</v>
      </c>
      <c r="AD302" t="s">
        <v>89</v>
      </c>
      <c r="AE302" t="s">
        <v>3652</v>
      </c>
      <c r="AF302" s="4"/>
    </row>
    <row r="303" spans="1:32">
      <c r="A303" t="s">
        <v>9862</v>
      </c>
      <c r="B303" t="s">
        <v>9366</v>
      </c>
      <c r="D303" t="s">
        <v>54</v>
      </c>
      <c r="E303" t="s">
        <v>9861</v>
      </c>
      <c r="F303" t="s">
        <v>4390</v>
      </c>
      <c r="G303">
        <v>5643.75</v>
      </c>
      <c r="I303">
        <v>5643.75</v>
      </c>
      <c r="J303">
        <v>5643.75</v>
      </c>
      <c r="K303" s="4">
        <v>45017</v>
      </c>
      <c r="L303" s="4">
        <v>45017</v>
      </c>
      <c r="M303">
        <v>2023</v>
      </c>
      <c r="N303">
        <v>4</v>
      </c>
      <c r="O303" s="4">
        <v>45017</v>
      </c>
      <c r="P303" t="s">
        <v>89</v>
      </c>
      <c r="Q303" s="4">
        <v>45245</v>
      </c>
      <c r="S303" t="s">
        <v>4391</v>
      </c>
      <c r="U303">
        <v>14109.38</v>
      </c>
      <c r="V303">
        <v>0.39999985825032713</v>
      </c>
      <c r="W303" t="s">
        <v>16</v>
      </c>
      <c r="X303" t="s">
        <v>3770</v>
      </c>
      <c r="Z303" t="s">
        <v>89</v>
      </c>
      <c r="AA303" t="s">
        <v>89</v>
      </c>
      <c r="AC303" t="s">
        <v>89</v>
      </c>
      <c r="AD303">
        <v>0</v>
      </c>
      <c r="AE303" t="s">
        <v>9251</v>
      </c>
      <c r="AF303" s="4"/>
    </row>
    <row r="304" spans="1:32">
      <c r="A304" t="s">
        <v>9863</v>
      </c>
      <c r="B304" t="s">
        <v>9366</v>
      </c>
      <c r="C304" t="s">
        <v>4364</v>
      </c>
      <c r="D304" t="s">
        <v>54</v>
      </c>
      <c r="E304" t="s">
        <v>9864</v>
      </c>
      <c r="F304" t="s">
        <v>4363</v>
      </c>
      <c r="G304">
        <v>343.07</v>
      </c>
      <c r="I304">
        <v>343.07</v>
      </c>
      <c r="K304" s="4">
        <v>45401</v>
      </c>
      <c r="L304" s="4">
        <v>45401</v>
      </c>
      <c r="M304">
        <v>2024</v>
      </c>
      <c r="N304">
        <v>4</v>
      </c>
      <c r="O304" s="4">
        <v>45383</v>
      </c>
      <c r="P304" t="s">
        <v>625</v>
      </c>
      <c r="Q304" s="4"/>
      <c r="S304" t="s">
        <v>3140</v>
      </c>
      <c r="T304">
        <v>45551</v>
      </c>
      <c r="U304">
        <v>343.07</v>
      </c>
      <c r="V304">
        <v>1</v>
      </c>
      <c r="W304" t="s">
        <v>16</v>
      </c>
      <c r="X304" t="s">
        <v>3770</v>
      </c>
      <c r="Z304">
        <v>151</v>
      </c>
      <c r="AA304">
        <v>151</v>
      </c>
      <c r="AB304" t="s">
        <v>9433</v>
      </c>
      <c r="AC304" t="s">
        <v>1473</v>
      </c>
      <c r="AD304" t="s">
        <v>1473</v>
      </c>
      <c r="AE304" t="s">
        <v>9251</v>
      </c>
      <c r="AF304" s="4"/>
    </row>
    <row r="305" spans="1:32">
      <c r="A305" t="s">
        <v>9865</v>
      </c>
      <c r="B305" t="s">
        <v>9366</v>
      </c>
      <c r="D305" t="s">
        <v>54</v>
      </c>
      <c r="E305" t="s">
        <v>9866</v>
      </c>
      <c r="F305" t="s">
        <v>4393</v>
      </c>
      <c r="G305">
        <v>5480.75</v>
      </c>
      <c r="I305">
        <v>5480.75</v>
      </c>
      <c r="J305">
        <v>5480.75</v>
      </c>
      <c r="K305" s="4">
        <v>45017</v>
      </c>
      <c r="L305" s="4">
        <v>45017</v>
      </c>
      <c r="M305">
        <v>2023</v>
      </c>
      <c r="N305">
        <v>4</v>
      </c>
      <c r="O305" s="4">
        <v>45017</v>
      </c>
      <c r="P305" t="s">
        <v>89</v>
      </c>
      <c r="Q305" s="4">
        <v>45245</v>
      </c>
      <c r="S305" t="s">
        <v>3798</v>
      </c>
      <c r="U305">
        <v>13701.87</v>
      </c>
      <c r="V305">
        <v>0.40000014596547767</v>
      </c>
      <c r="W305" t="s">
        <v>16</v>
      </c>
      <c r="X305" t="s">
        <v>3770</v>
      </c>
      <c r="Z305" t="s">
        <v>89</v>
      </c>
      <c r="AA305" t="s">
        <v>89</v>
      </c>
      <c r="AC305" t="s">
        <v>89</v>
      </c>
      <c r="AD305">
        <v>0</v>
      </c>
      <c r="AE305" t="s">
        <v>9251</v>
      </c>
      <c r="AF305" s="4"/>
    </row>
    <row r="306" spans="1:32">
      <c r="A306" t="s">
        <v>9867</v>
      </c>
      <c r="B306" t="s">
        <v>9366</v>
      </c>
      <c r="C306" t="s">
        <v>4397</v>
      </c>
      <c r="D306" t="s">
        <v>54</v>
      </c>
      <c r="E306" t="s">
        <v>9868</v>
      </c>
      <c r="F306" t="s">
        <v>4395</v>
      </c>
      <c r="G306">
        <v>8465.6299999999992</v>
      </c>
      <c r="I306">
        <v>8465.6299999999992</v>
      </c>
      <c r="J306">
        <v>8465.6299999999992</v>
      </c>
      <c r="K306" s="4">
        <v>45401</v>
      </c>
      <c r="L306" s="4">
        <v>45401</v>
      </c>
      <c r="M306">
        <v>2024</v>
      </c>
      <c r="N306">
        <v>4</v>
      </c>
      <c r="O306" s="4">
        <v>45383</v>
      </c>
      <c r="P306" t="s">
        <v>89</v>
      </c>
      <c r="Q306" s="4">
        <v>45458</v>
      </c>
      <c r="S306" t="s">
        <v>4396</v>
      </c>
      <c r="T306">
        <v>45446</v>
      </c>
      <c r="U306">
        <v>14109.38</v>
      </c>
      <c r="V306">
        <v>0.60000014174967287</v>
      </c>
      <c r="W306" t="s">
        <v>16</v>
      </c>
      <c r="X306" t="s">
        <v>3770</v>
      </c>
      <c r="Z306" t="s">
        <v>89</v>
      </c>
      <c r="AA306" t="s">
        <v>89</v>
      </c>
      <c r="AC306" t="s">
        <v>89</v>
      </c>
      <c r="AD306" t="s">
        <v>89</v>
      </c>
      <c r="AE306" t="s">
        <v>3652</v>
      </c>
      <c r="AF306" s="4"/>
    </row>
    <row r="307" spans="1:32">
      <c r="A307" t="s">
        <v>9869</v>
      </c>
      <c r="B307" t="s">
        <v>9366</v>
      </c>
      <c r="D307" t="s">
        <v>54</v>
      </c>
      <c r="E307" t="s">
        <v>9868</v>
      </c>
      <c r="F307" t="s">
        <v>4395</v>
      </c>
      <c r="G307">
        <v>5643.75</v>
      </c>
      <c r="I307">
        <v>5643.75</v>
      </c>
      <c r="J307">
        <v>5643.75</v>
      </c>
      <c r="K307" s="4">
        <v>45017</v>
      </c>
      <c r="L307" s="4">
        <v>45017</v>
      </c>
      <c r="M307">
        <v>2023</v>
      </c>
      <c r="N307">
        <v>4</v>
      </c>
      <c r="O307" s="4">
        <v>45017</v>
      </c>
      <c r="P307" t="s">
        <v>89</v>
      </c>
      <c r="Q307" s="4">
        <v>45245</v>
      </c>
      <c r="S307" t="s">
        <v>4396</v>
      </c>
      <c r="U307">
        <v>14109.38</v>
      </c>
      <c r="V307">
        <v>0.39999985825032713</v>
      </c>
      <c r="W307" t="s">
        <v>16</v>
      </c>
      <c r="X307" t="s">
        <v>3770</v>
      </c>
      <c r="Z307" t="s">
        <v>89</v>
      </c>
      <c r="AA307" t="s">
        <v>89</v>
      </c>
      <c r="AC307" t="s">
        <v>89</v>
      </c>
      <c r="AD307">
        <v>0</v>
      </c>
      <c r="AE307" t="s">
        <v>9251</v>
      </c>
      <c r="AF307" s="4"/>
    </row>
    <row r="308" spans="1:32">
      <c r="A308" t="s">
        <v>9870</v>
      </c>
      <c r="B308" t="s">
        <v>9366</v>
      </c>
      <c r="C308" t="s">
        <v>4366</v>
      </c>
      <c r="D308" t="s">
        <v>54</v>
      </c>
      <c r="E308" t="s">
        <v>9871</v>
      </c>
      <c r="F308" t="s">
        <v>4365</v>
      </c>
      <c r="G308">
        <v>343.07</v>
      </c>
      <c r="I308">
        <v>343.07</v>
      </c>
      <c r="K308" s="4">
        <v>45541</v>
      </c>
      <c r="L308" s="4">
        <v>45541</v>
      </c>
      <c r="O308" s="4"/>
      <c r="P308" t="s">
        <v>1473</v>
      </c>
      <c r="Q308" s="4"/>
      <c r="S308" t="s">
        <v>3107</v>
      </c>
      <c r="T308">
        <v>45551</v>
      </c>
      <c r="U308">
        <v>343.07</v>
      </c>
      <c r="V308">
        <v>1</v>
      </c>
      <c r="W308" t="s">
        <v>16</v>
      </c>
      <c r="X308" t="s">
        <v>3770</v>
      </c>
      <c r="Z308">
        <v>11</v>
      </c>
      <c r="AA308">
        <v>11</v>
      </c>
      <c r="AB308" t="s">
        <v>9433</v>
      </c>
      <c r="AE308" t="s">
        <v>9251</v>
      </c>
      <c r="AF308" s="4"/>
    </row>
    <row r="309" spans="1:32">
      <c r="A309" t="s">
        <v>9872</v>
      </c>
      <c r="B309" t="s">
        <v>9366</v>
      </c>
      <c r="D309" t="s">
        <v>54</v>
      </c>
      <c r="E309" t="s">
        <v>9873</v>
      </c>
      <c r="F309" t="s">
        <v>4398</v>
      </c>
      <c r="G309">
        <v>5643.75</v>
      </c>
      <c r="I309">
        <v>5643.75</v>
      </c>
      <c r="J309">
        <v>5643.75</v>
      </c>
      <c r="K309" s="4">
        <v>45017</v>
      </c>
      <c r="L309" s="4">
        <v>45017</v>
      </c>
      <c r="M309">
        <v>2023</v>
      </c>
      <c r="N309">
        <v>4</v>
      </c>
      <c r="O309" s="4">
        <v>45017</v>
      </c>
      <c r="P309" t="s">
        <v>89</v>
      </c>
      <c r="Q309" s="4">
        <v>45245</v>
      </c>
      <c r="S309" t="s">
        <v>4399</v>
      </c>
      <c r="U309">
        <v>14109.38</v>
      </c>
      <c r="V309">
        <v>0.39999985825032713</v>
      </c>
      <c r="W309" t="s">
        <v>16</v>
      </c>
      <c r="X309" t="s">
        <v>3770</v>
      </c>
      <c r="Z309" t="s">
        <v>89</v>
      </c>
      <c r="AA309" t="s">
        <v>89</v>
      </c>
      <c r="AC309" t="s">
        <v>89</v>
      </c>
      <c r="AD309">
        <v>0</v>
      </c>
      <c r="AE309" t="s">
        <v>9251</v>
      </c>
      <c r="AF309" s="4"/>
    </row>
    <row r="310" spans="1:32">
      <c r="A310" t="s">
        <v>9874</v>
      </c>
      <c r="B310" t="s">
        <v>9366</v>
      </c>
      <c r="D310" t="s">
        <v>54</v>
      </c>
      <c r="E310" t="s">
        <v>9875</v>
      </c>
      <c r="F310" t="s">
        <v>4401</v>
      </c>
      <c r="G310">
        <v>5643.75</v>
      </c>
      <c r="I310">
        <v>5643.75</v>
      </c>
      <c r="J310">
        <v>5643.75</v>
      </c>
      <c r="K310" s="4">
        <v>45017</v>
      </c>
      <c r="L310" s="4">
        <v>45017</v>
      </c>
      <c r="M310">
        <v>2023</v>
      </c>
      <c r="N310">
        <v>4</v>
      </c>
      <c r="O310" s="4">
        <v>45017</v>
      </c>
      <c r="P310" t="s">
        <v>89</v>
      </c>
      <c r="Q310" s="4">
        <v>45245</v>
      </c>
      <c r="S310" t="s">
        <v>4402</v>
      </c>
      <c r="U310">
        <v>14109.38</v>
      </c>
      <c r="V310">
        <v>0.39999985825032713</v>
      </c>
      <c r="W310" t="s">
        <v>16</v>
      </c>
      <c r="X310" t="s">
        <v>3770</v>
      </c>
      <c r="Z310" t="s">
        <v>89</v>
      </c>
      <c r="AA310" t="s">
        <v>89</v>
      </c>
      <c r="AC310" t="s">
        <v>89</v>
      </c>
      <c r="AD310" t="s">
        <v>89</v>
      </c>
      <c r="AE310" t="s">
        <v>3652</v>
      </c>
      <c r="AF310" s="4"/>
    </row>
    <row r="311" spans="1:32">
      <c r="A311" t="s">
        <v>9876</v>
      </c>
      <c r="B311" t="s">
        <v>9366</v>
      </c>
      <c r="C311" t="s">
        <v>4406</v>
      </c>
      <c r="D311" t="s">
        <v>54</v>
      </c>
      <c r="E311" t="s">
        <v>9877</v>
      </c>
      <c r="F311" t="s">
        <v>4404</v>
      </c>
      <c r="G311">
        <v>8465.6299999999992</v>
      </c>
      <c r="I311">
        <v>8465.6299999999992</v>
      </c>
      <c r="J311">
        <v>8465.6299999999992</v>
      </c>
      <c r="K311" s="4">
        <v>45401</v>
      </c>
      <c r="L311" s="4">
        <v>45401</v>
      </c>
      <c r="M311">
        <v>2024</v>
      </c>
      <c r="N311">
        <v>4</v>
      </c>
      <c r="O311" s="4">
        <v>45383</v>
      </c>
      <c r="P311" t="s">
        <v>89</v>
      </c>
      <c r="Q311" s="4">
        <v>45458</v>
      </c>
      <c r="S311" t="s">
        <v>4405</v>
      </c>
      <c r="T311">
        <v>45446</v>
      </c>
      <c r="U311">
        <v>14109.38</v>
      </c>
      <c r="V311">
        <v>0.60000014174967287</v>
      </c>
      <c r="W311" t="s">
        <v>16</v>
      </c>
      <c r="X311" t="s">
        <v>3770</v>
      </c>
      <c r="Z311" t="s">
        <v>89</v>
      </c>
      <c r="AA311" t="s">
        <v>89</v>
      </c>
      <c r="AC311" t="s">
        <v>89</v>
      </c>
      <c r="AD311" t="s">
        <v>89</v>
      </c>
      <c r="AE311" t="s">
        <v>3652</v>
      </c>
      <c r="AF311" s="4"/>
    </row>
    <row r="312" spans="1:32">
      <c r="A312" t="s">
        <v>9878</v>
      </c>
      <c r="B312" t="s">
        <v>9366</v>
      </c>
      <c r="D312" t="s">
        <v>54</v>
      </c>
      <c r="E312" t="s">
        <v>9877</v>
      </c>
      <c r="F312" t="s">
        <v>4404</v>
      </c>
      <c r="G312">
        <v>5643.75</v>
      </c>
      <c r="I312">
        <v>5643.75</v>
      </c>
      <c r="J312">
        <v>5643.75</v>
      </c>
      <c r="K312" s="4">
        <v>45017</v>
      </c>
      <c r="L312" s="4">
        <v>45017</v>
      </c>
      <c r="M312">
        <v>2023</v>
      </c>
      <c r="N312">
        <v>4</v>
      </c>
      <c r="O312" s="4">
        <v>45017</v>
      </c>
      <c r="P312" t="s">
        <v>89</v>
      </c>
      <c r="Q312" s="4">
        <v>45245</v>
      </c>
      <c r="S312" t="s">
        <v>4405</v>
      </c>
      <c r="U312">
        <v>14109.38</v>
      </c>
      <c r="V312">
        <v>0.39999985825032713</v>
      </c>
      <c r="W312" t="s">
        <v>16</v>
      </c>
      <c r="X312" t="s">
        <v>3770</v>
      </c>
      <c r="Z312" t="s">
        <v>89</v>
      </c>
      <c r="AA312" t="s">
        <v>89</v>
      </c>
      <c r="AC312" t="s">
        <v>89</v>
      </c>
      <c r="AD312" t="s">
        <v>89</v>
      </c>
      <c r="AE312" t="s">
        <v>3652</v>
      </c>
      <c r="AF312" s="4"/>
    </row>
    <row r="313" spans="1:32">
      <c r="A313" t="s">
        <v>9879</v>
      </c>
      <c r="B313" t="s">
        <v>9366</v>
      </c>
      <c r="C313" t="s">
        <v>4370</v>
      </c>
      <c r="D313" t="s">
        <v>54</v>
      </c>
      <c r="E313" t="s">
        <v>9838</v>
      </c>
      <c r="F313" t="s">
        <v>4369</v>
      </c>
      <c r="G313">
        <v>8465.6279999999988</v>
      </c>
      <c r="I313">
        <v>8465.6279999999988</v>
      </c>
      <c r="K313" s="4">
        <v>45520</v>
      </c>
      <c r="L313" s="4">
        <v>45520</v>
      </c>
      <c r="M313">
        <v>2024</v>
      </c>
      <c r="N313">
        <v>8</v>
      </c>
      <c r="O313" s="4">
        <v>45505</v>
      </c>
      <c r="P313" t="s">
        <v>1473</v>
      </c>
      <c r="Q313" s="4"/>
      <c r="S313" t="s">
        <v>3808</v>
      </c>
      <c r="T313">
        <v>45551</v>
      </c>
      <c r="U313">
        <v>14109.38</v>
      </c>
      <c r="V313">
        <v>0.6</v>
      </c>
      <c r="W313" t="s">
        <v>16</v>
      </c>
      <c r="X313" t="s">
        <v>3770</v>
      </c>
      <c r="Z313">
        <v>32</v>
      </c>
      <c r="AA313">
        <v>32</v>
      </c>
      <c r="AB313" t="s">
        <v>9433</v>
      </c>
      <c r="AE313" t="s">
        <v>9251</v>
      </c>
      <c r="AF313" s="4"/>
    </row>
    <row r="314" spans="1:32">
      <c r="A314" t="s">
        <v>9880</v>
      </c>
      <c r="B314" t="s">
        <v>9366</v>
      </c>
      <c r="D314" t="s">
        <v>54</v>
      </c>
      <c r="E314" t="s">
        <v>9881</v>
      </c>
      <c r="F314" t="s">
        <v>4407</v>
      </c>
      <c r="G314">
        <v>5643.75</v>
      </c>
      <c r="I314">
        <v>5643.75</v>
      </c>
      <c r="J314">
        <v>5643.75</v>
      </c>
      <c r="K314" s="4">
        <v>45017</v>
      </c>
      <c r="L314" s="4">
        <v>45017</v>
      </c>
      <c r="M314">
        <v>2023</v>
      </c>
      <c r="N314">
        <v>4</v>
      </c>
      <c r="O314" s="4">
        <v>45017</v>
      </c>
      <c r="P314" t="s">
        <v>89</v>
      </c>
      <c r="Q314" s="4">
        <v>45245</v>
      </c>
      <c r="S314" t="s">
        <v>4408</v>
      </c>
      <c r="U314">
        <v>14109.38</v>
      </c>
      <c r="V314">
        <v>0.39999985825032713</v>
      </c>
      <c r="W314" t="s">
        <v>16</v>
      </c>
      <c r="X314" t="s">
        <v>3770</v>
      </c>
      <c r="Z314" t="s">
        <v>89</v>
      </c>
      <c r="AA314" t="s">
        <v>89</v>
      </c>
      <c r="AC314" t="s">
        <v>89</v>
      </c>
      <c r="AD314">
        <v>0</v>
      </c>
      <c r="AE314" t="s">
        <v>9251</v>
      </c>
      <c r="AF314" s="4"/>
    </row>
    <row r="315" spans="1:32">
      <c r="A315" t="s">
        <v>9882</v>
      </c>
      <c r="B315" t="s">
        <v>9366</v>
      </c>
      <c r="D315" t="s">
        <v>54</v>
      </c>
      <c r="E315" t="s">
        <v>9883</v>
      </c>
      <c r="F315" t="s">
        <v>4410</v>
      </c>
      <c r="G315">
        <v>5643.75</v>
      </c>
      <c r="I315">
        <v>5643.75</v>
      </c>
      <c r="J315">
        <v>5643.75</v>
      </c>
      <c r="K315" s="4">
        <v>45017</v>
      </c>
      <c r="L315" s="4">
        <v>45017</v>
      </c>
      <c r="M315">
        <v>2023</v>
      </c>
      <c r="N315">
        <v>4</v>
      </c>
      <c r="O315" s="4">
        <v>45017</v>
      </c>
      <c r="P315" t="s">
        <v>89</v>
      </c>
      <c r="Q315" s="4">
        <v>45245</v>
      </c>
      <c r="S315" t="s">
        <v>4411</v>
      </c>
      <c r="U315">
        <v>14109.38</v>
      </c>
      <c r="V315">
        <v>0.39999985825032713</v>
      </c>
      <c r="W315" t="s">
        <v>16</v>
      </c>
      <c r="X315" t="s">
        <v>3770</v>
      </c>
      <c r="Z315" t="s">
        <v>89</v>
      </c>
      <c r="AA315" t="s">
        <v>89</v>
      </c>
      <c r="AC315" t="s">
        <v>89</v>
      </c>
      <c r="AD315">
        <v>0</v>
      </c>
      <c r="AE315" t="s">
        <v>9251</v>
      </c>
      <c r="AF315" s="4"/>
    </row>
    <row r="316" spans="1:32">
      <c r="A316" t="s">
        <v>9884</v>
      </c>
      <c r="B316" t="s">
        <v>9366</v>
      </c>
      <c r="D316" t="s">
        <v>54</v>
      </c>
      <c r="E316" t="s">
        <v>9885</v>
      </c>
      <c r="F316" t="s">
        <v>4412</v>
      </c>
      <c r="G316">
        <v>5643.75</v>
      </c>
      <c r="I316">
        <v>5643.75</v>
      </c>
      <c r="J316">
        <v>5643.75</v>
      </c>
      <c r="K316" s="4">
        <v>45017</v>
      </c>
      <c r="L316" s="4">
        <v>45017</v>
      </c>
      <c r="M316">
        <v>2023</v>
      </c>
      <c r="N316">
        <v>4</v>
      </c>
      <c r="O316" s="4">
        <v>45017</v>
      </c>
      <c r="P316" t="s">
        <v>89</v>
      </c>
      <c r="Q316" s="4">
        <v>45245</v>
      </c>
      <c r="S316" t="s">
        <v>3783</v>
      </c>
      <c r="U316">
        <v>14109.38</v>
      </c>
      <c r="V316">
        <v>0.39999985825032713</v>
      </c>
      <c r="W316" t="s">
        <v>16</v>
      </c>
      <c r="X316" t="s">
        <v>3770</v>
      </c>
      <c r="Z316" t="s">
        <v>89</v>
      </c>
      <c r="AA316" t="s">
        <v>89</v>
      </c>
      <c r="AC316" t="s">
        <v>89</v>
      </c>
      <c r="AD316">
        <v>0</v>
      </c>
      <c r="AE316" t="s">
        <v>9251</v>
      </c>
      <c r="AF316" s="4"/>
    </row>
    <row r="317" spans="1:32">
      <c r="A317" t="s">
        <v>9886</v>
      </c>
      <c r="B317" t="s">
        <v>9366</v>
      </c>
      <c r="D317" t="s">
        <v>54</v>
      </c>
      <c r="E317" t="s">
        <v>9887</v>
      </c>
      <c r="F317" t="s">
        <v>4414</v>
      </c>
      <c r="G317">
        <v>8248.4599999999991</v>
      </c>
      <c r="I317">
        <v>8248.4599999999991</v>
      </c>
      <c r="J317">
        <v>8248.4599999999991</v>
      </c>
      <c r="K317" s="4">
        <v>45047</v>
      </c>
      <c r="L317" s="4">
        <v>45047</v>
      </c>
      <c r="M317">
        <v>2023</v>
      </c>
      <c r="N317">
        <v>5</v>
      </c>
      <c r="O317" s="4">
        <v>45047</v>
      </c>
      <c r="P317" t="s">
        <v>89</v>
      </c>
      <c r="Q317" s="4">
        <v>45168</v>
      </c>
      <c r="S317" t="s">
        <v>3783</v>
      </c>
      <c r="U317">
        <v>20621.14</v>
      </c>
      <c r="V317">
        <v>0.40000019397569675</v>
      </c>
      <c r="W317" t="s">
        <v>16</v>
      </c>
      <c r="X317" t="s">
        <v>3770</v>
      </c>
      <c r="Z317" t="s">
        <v>89</v>
      </c>
      <c r="AA317" t="s">
        <v>89</v>
      </c>
      <c r="AC317" t="s">
        <v>89</v>
      </c>
      <c r="AD317">
        <v>0</v>
      </c>
      <c r="AE317" t="s">
        <v>9251</v>
      </c>
      <c r="AF317" s="4"/>
    </row>
    <row r="318" spans="1:32">
      <c r="A318" t="s">
        <v>9888</v>
      </c>
      <c r="B318" t="s">
        <v>9366</v>
      </c>
      <c r="D318" t="s">
        <v>54</v>
      </c>
      <c r="E318" t="s">
        <v>9889</v>
      </c>
      <c r="F318" t="s">
        <v>4416</v>
      </c>
      <c r="G318">
        <v>5806.76</v>
      </c>
      <c r="I318">
        <v>5806.76</v>
      </c>
      <c r="J318">
        <v>5806.76</v>
      </c>
      <c r="K318" s="4">
        <v>45017</v>
      </c>
      <c r="L318" s="4">
        <v>45017</v>
      </c>
      <c r="M318">
        <v>2023</v>
      </c>
      <c r="N318">
        <v>4</v>
      </c>
      <c r="O318" s="4">
        <v>45017</v>
      </c>
      <c r="P318" t="s">
        <v>89</v>
      </c>
      <c r="Q318" s="4">
        <v>45245</v>
      </c>
      <c r="S318" t="s">
        <v>4417</v>
      </c>
      <c r="U318">
        <v>14516.89</v>
      </c>
      <c r="V318">
        <v>0.40000027554111112</v>
      </c>
      <c r="W318" t="s">
        <v>16</v>
      </c>
      <c r="X318" t="s">
        <v>3770</v>
      </c>
      <c r="Z318" t="s">
        <v>89</v>
      </c>
      <c r="AA318" t="s">
        <v>89</v>
      </c>
      <c r="AC318" t="s">
        <v>89</v>
      </c>
      <c r="AD318">
        <v>0</v>
      </c>
      <c r="AE318" t="s">
        <v>9251</v>
      </c>
      <c r="AF318" s="4"/>
    </row>
    <row r="319" spans="1:32">
      <c r="A319" t="s">
        <v>9890</v>
      </c>
      <c r="B319" t="s">
        <v>9366</v>
      </c>
      <c r="C319" t="s">
        <v>4373</v>
      </c>
      <c r="D319" t="s">
        <v>54</v>
      </c>
      <c r="E319" t="s">
        <v>9841</v>
      </c>
      <c r="F319" t="s">
        <v>4372</v>
      </c>
      <c r="G319">
        <v>8465.6299999999992</v>
      </c>
      <c r="I319">
        <v>8465.6299999999992</v>
      </c>
      <c r="K319" s="4">
        <v>45401</v>
      </c>
      <c r="L319" s="4">
        <v>45401</v>
      </c>
      <c r="M319">
        <v>2024</v>
      </c>
      <c r="N319">
        <v>4</v>
      </c>
      <c r="O319" s="4">
        <v>45383</v>
      </c>
      <c r="P319" t="s">
        <v>625</v>
      </c>
      <c r="Q319" s="4"/>
      <c r="S319" t="s">
        <v>3811</v>
      </c>
      <c r="T319">
        <v>45551</v>
      </c>
      <c r="U319">
        <v>14109.38</v>
      </c>
      <c r="V319">
        <v>0.60000014174967287</v>
      </c>
      <c r="W319" t="s">
        <v>16</v>
      </c>
      <c r="X319" t="s">
        <v>3770</v>
      </c>
      <c r="Z319">
        <v>151</v>
      </c>
      <c r="AA319">
        <v>151</v>
      </c>
      <c r="AB319" t="s">
        <v>9433</v>
      </c>
      <c r="AC319" t="s">
        <v>1848</v>
      </c>
      <c r="AD319" t="s">
        <v>1848</v>
      </c>
      <c r="AE319" t="s">
        <v>9251</v>
      </c>
      <c r="AF319" s="4"/>
    </row>
    <row r="320" spans="1:32">
      <c r="A320" t="s">
        <v>9891</v>
      </c>
      <c r="B320" t="s">
        <v>9366</v>
      </c>
      <c r="D320" t="s">
        <v>54</v>
      </c>
      <c r="E320" t="s">
        <v>9892</v>
      </c>
      <c r="F320" t="s">
        <v>4419</v>
      </c>
      <c r="G320">
        <v>5806.76</v>
      </c>
      <c r="I320">
        <v>5806.76</v>
      </c>
      <c r="J320">
        <v>5806.76</v>
      </c>
      <c r="K320" s="4">
        <v>45017</v>
      </c>
      <c r="L320" s="4">
        <v>45017</v>
      </c>
      <c r="M320">
        <v>2023</v>
      </c>
      <c r="N320">
        <v>4</v>
      </c>
      <c r="O320" s="4">
        <v>45017</v>
      </c>
      <c r="P320" t="s">
        <v>89</v>
      </c>
      <c r="Q320" s="4">
        <v>45245</v>
      </c>
      <c r="S320" t="s">
        <v>4420</v>
      </c>
      <c r="U320">
        <v>14516.89</v>
      </c>
      <c r="V320">
        <v>0.40000027554111112</v>
      </c>
      <c r="W320" t="s">
        <v>16</v>
      </c>
      <c r="X320" t="s">
        <v>3770</v>
      </c>
      <c r="Z320" t="s">
        <v>89</v>
      </c>
      <c r="AA320" t="s">
        <v>89</v>
      </c>
      <c r="AC320" t="s">
        <v>89</v>
      </c>
      <c r="AD320">
        <v>0</v>
      </c>
      <c r="AE320" t="s">
        <v>9251</v>
      </c>
      <c r="AF320" s="4"/>
    </row>
    <row r="321" spans="1:32">
      <c r="A321" t="s">
        <v>9893</v>
      </c>
      <c r="B321" t="s">
        <v>9366</v>
      </c>
      <c r="D321" t="s">
        <v>54</v>
      </c>
      <c r="E321" t="s">
        <v>9894</v>
      </c>
      <c r="F321" t="s">
        <v>4422</v>
      </c>
      <c r="G321">
        <v>5806.76</v>
      </c>
      <c r="I321">
        <v>5806.76</v>
      </c>
      <c r="J321">
        <v>5806.76</v>
      </c>
      <c r="K321" s="4">
        <v>45017</v>
      </c>
      <c r="L321" s="4">
        <v>45017</v>
      </c>
      <c r="M321">
        <v>2023</v>
      </c>
      <c r="N321">
        <v>4</v>
      </c>
      <c r="O321" s="4">
        <v>45017</v>
      </c>
      <c r="P321" t="s">
        <v>89</v>
      </c>
      <c r="Q321" s="4">
        <v>45245</v>
      </c>
      <c r="S321" t="s">
        <v>4423</v>
      </c>
      <c r="U321">
        <v>14516.89</v>
      </c>
      <c r="V321">
        <v>0.40000027554111112</v>
      </c>
      <c r="W321" t="s">
        <v>16</v>
      </c>
      <c r="X321" t="s">
        <v>3770</v>
      </c>
      <c r="Z321" t="s">
        <v>89</v>
      </c>
      <c r="AA321" t="s">
        <v>89</v>
      </c>
      <c r="AC321" t="s">
        <v>89</v>
      </c>
      <c r="AD321">
        <v>0</v>
      </c>
      <c r="AE321" t="s">
        <v>9251</v>
      </c>
      <c r="AF321" s="4"/>
    </row>
    <row r="322" spans="1:32">
      <c r="A322" t="s">
        <v>9895</v>
      </c>
      <c r="B322" t="s">
        <v>9366</v>
      </c>
      <c r="D322" t="s">
        <v>54</v>
      </c>
      <c r="E322" t="s">
        <v>9896</v>
      </c>
      <c r="F322" t="s">
        <v>4425</v>
      </c>
      <c r="G322">
        <v>8248.4599999999991</v>
      </c>
      <c r="I322">
        <v>8248.4599999999991</v>
      </c>
      <c r="J322">
        <v>8248.4599999999991</v>
      </c>
      <c r="K322" s="4">
        <v>45047</v>
      </c>
      <c r="L322" s="4">
        <v>45047</v>
      </c>
      <c r="M322">
        <v>2023</v>
      </c>
      <c r="N322">
        <v>5</v>
      </c>
      <c r="O322" s="4">
        <v>45047</v>
      </c>
      <c r="P322" t="s">
        <v>89</v>
      </c>
      <c r="Q322" s="4">
        <v>45168</v>
      </c>
      <c r="S322" t="s">
        <v>4417</v>
      </c>
      <c r="U322">
        <v>20621.14</v>
      </c>
      <c r="V322">
        <v>0.40000019397569675</v>
      </c>
      <c r="W322" t="s">
        <v>16</v>
      </c>
      <c r="X322" t="s">
        <v>3770</v>
      </c>
      <c r="Z322" t="s">
        <v>89</v>
      </c>
      <c r="AA322" t="s">
        <v>89</v>
      </c>
      <c r="AC322" t="s">
        <v>89</v>
      </c>
      <c r="AD322">
        <v>0</v>
      </c>
      <c r="AE322" t="s">
        <v>9251</v>
      </c>
      <c r="AF322" s="4"/>
    </row>
    <row r="323" spans="1:32">
      <c r="A323" t="s">
        <v>9897</v>
      </c>
      <c r="B323" t="s">
        <v>9366</v>
      </c>
      <c r="C323" t="s">
        <v>4394</v>
      </c>
      <c r="D323" t="s">
        <v>54</v>
      </c>
      <c r="E323" t="s">
        <v>9866</v>
      </c>
      <c r="F323" t="s">
        <v>4393</v>
      </c>
      <c r="G323">
        <v>8221.1219999999994</v>
      </c>
      <c r="I323">
        <v>8221.1219999999994</v>
      </c>
      <c r="K323" s="4">
        <v>45471</v>
      </c>
      <c r="L323" s="4">
        <v>45471</v>
      </c>
      <c r="M323">
        <v>2024</v>
      </c>
      <c r="N323">
        <v>2</v>
      </c>
      <c r="O323" s="4">
        <v>45323</v>
      </c>
      <c r="P323" t="s">
        <v>625</v>
      </c>
      <c r="Q323" s="4"/>
      <c r="S323" t="s">
        <v>3798</v>
      </c>
      <c r="T323">
        <v>45551</v>
      </c>
      <c r="U323">
        <v>13701.87</v>
      </c>
      <c r="V323">
        <v>0.6</v>
      </c>
      <c r="W323" t="s">
        <v>16</v>
      </c>
      <c r="X323" t="s">
        <v>3770</v>
      </c>
      <c r="Z323">
        <v>81</v>
      </c>
      <c r="AA323">
        <v>81</v>
      </c>
      <c r="AB323" t="s">
        <v>9433</v>
      </c>
      <c r="AC323" t="s">
        <v>1473</v>
      </c>
      <c r="AD323" t="s">
        <v>1473</v>
      </c>
      <c r="AE323" t="s">
        <v>9251</v>
      </c>
      <c r="AF323" s="4"/>
    </row>
    <row r="324" spans="1:32">
      <c r="A324" t="s">
        <v>9898</v>
      </c>
      <c r="B324" t="s">
        <v>9366</v>
      </c>
      <c r="D324" t="s">
        <v>54</v>
      </c>
      <c r="E324" t="s">
        <v>9899</v>
      </c>
      <c r="F324" t="s">
        <v>4427</v>
      </c>
      <c r="G324">
        <v>5480.75</v>
      </c>
      <c r="I324">
        <v>5480.75</v>
      </c>
      <c r="J324">
        <v>5480.75</v>
      </c>
      <c r="K324" s="4">
        <v>45017</v>
      </c>
      <c r="L324" s="4">
        <v>45017</v>
      </c>
      <c r="M324">
        <v>2023</v>
      </c>
      <c r="N324">
        <v>4</v>
      </c>
      <c r="O324" s="4">
        <v>45017</v>
      </c>
      <c r="P324" t="s">
        <v>89</v>
      </c>
      <c r="Q324" s="4">
        <v>45245</v>
      </c>
      <c r="S324" t="s">
        <v>3775</v>
      </c>
      <c r="U324">
        <v>13701.87</v>
      </c>
      <c r="V324">
        <v>0.40000014596547767</v>
      </c>
      <c r="W324" t="s">
        <v>16</v>
      </c>
      <c r="X324" t="s">
        <v>3770</v>
      </c>
      <c r="Z324" t="s">
        <v>89</v>
      </c>
      <c r="AA324" t="s">
        <v>89</v>
      </c>
      <c r="AC324" t="s">
        <v>89</v>
      </c>
      <c r="AD324">
        <v>0</v>
      </c>
      <c r="AE324" t="s">
        <v>9251</v>
      </c>
      <c r="AF324" s="4"/>
    </row>
    <row r="325" spans="1:32">
      <c r="A325" t="s">
        <v>9900</v>
      </c>
      <c r="B325" t="s">
        <v>9366</v>
      </c>
      <c r="C325" t="s">
        <v>4400</v>
      </c>
      <c r="D325" t="s">
        <v>54</v>
      </c>
      <c r="E325" t="s">
        <v>9873</v>
      </c>
      <c r="F325" t="s">
        <v>4398</v>
      </c>
      <c r="G325">
        <v>8465.6279999999988</v>
      </c>
      <c r="I325">
        <v>8465.6279999999988</v>
      </c>
      <c r="K325" s="4">
        <v>45471</v>
      </c>
      <c r="L325" s="4">
        <v>45471</v>
      </c>
      <c r="M325">
        <v>2024</v>
      </c>
      <c r="N325">
        <v>2</v>
      </c>
      <c r="O325" s="4">
        <v>45323</v>
      </c>
      <c r="P325" t="s">
        <v>625</v>
      </c>
      <c r="Q325" s="4"/>
      <c r="S325" t="s">
        <v>4399</v>
      </c>
      <c r="T325">
        <v>45551</v>
      </c>
      <c r="U325">
        <v>14109.38</v>
      </c>
      <c r="V325">
        <v>0.6</v>
      </c>
      <c r="W325" t="s">
        <v>16</v>
      </c>
      <c r="X325" t="s">
        <v>3770</v>
      </c>
      <c r="Z325">
        <v>81</v>
      </c>
      <c r="AA325">
        <v>81</v>
      </c>
      <c r="AB325" t="s">
        <v>9433</v>
      </c>
      <c r="AC325" t="s">
        <v>1473</v>
      </c>
      <c r="AD325" t="s">
        <v>1473</v>
      </c>
      <c r="AE325" t="s">
        <v>9251</v>
      </c>
      <c r="AF325" s="4"/>
    </row>
    <row r="326" spans="1:32">
      <c r="A326" t="s">
        <v>9901</v>
      </c>
      <c r="B326" t="s">
        <v>9366</v>
      </c>
      <c r="D326" t="s">
        <v>54</v>
      </c>
      <c r="E326" t="s">
        <v>9432</v>
      </c>
      <c r="F326" t="s">
        <v>4429</v>
      </c>
      <c r="G326">
        <v>5480.75</v>
      </c>
      <c r="I326">
        <v>5480.75</v>
      </c>
      <c r="J326">
        <v>5480.75</v>
      </c>
      <c r="K326" s="4">
        <v>45017</v>
      </c>
      <c r="L326" s="4">
        <v>45017</v>
      </c>
      <c r="M326">
        <v>2023</v>
      </c>
      <c r="N326">
        <v>4</v>
      </c>
      <c r="O326" s="4">
        <v>45017</v>
      </c>
      <c r="P326" t="s">
        <v>89</v>
      </c>
      <c r="Q326" s="4">
        <v>45245</v>
      </c>
      <c r="S326" t="s">
        <v>3778</v>
      </c>
      <c r="U326">
        <v>13701.87</v>
      </c>
      <c r="V326">
        <v>0.40000014596547767</v>
      </c>
      <c r="W326" t="s">
        <v>16</v>
      </c>
      <c r="X326" t="s">
        <v>3770</v>
      </c>
      <c r="Z326" t="s">
        <v>89</v>
      </c>
      <c r="AA326" t="s">
        <v>89</v>
      </c>
      <c r="AC326" t="s">
        <v>89</v>
      </c>
      <c r="AD326" t="s">
        <v>89</v>
      </c>
      <c r="AE326" t="s">
        <v>3652</v>
      </c>
      <c r="AF326" s="4"/>
    </row>
    <row r="327" spans="1:32">
      <c r="A327" t="s">
        <v>9902</v>
      </c>
      <c r="B327" t="s">
        <v>9366</v>
      </c>
      <c r="D327" t="s">
        <v>54</v>
      </c>
      <c r="E327" t="s">
        <v>9903</v>
      </c>
      <c r="F327" t="s">
        <v>4431</v>
      </c>
      <c r="G327">
        <v>5480.75</v>
      </c>
      <c r="I327">
        <v>5480.75</v>
      </c>
      <c r="J327">
        <v>5480.75</v>
      </c>
      <c r="K327" s="4">
        <v>45017</v>
      </c>
      <c r="L327" s="4">
        <v>45017</v>
      </c>
      <c r="M327">
        <v>2023</v>
      </c>
      <c r="N327">
        <v>4</v>
      </c>
      <c r="O327" s="4">
        <v>45017</v>
      </c>
      <c r="P327" t="s">
        <v>89</v>
      </c>
      <c r="Q327" s="4">
        <v>45153</v>
      </c>
      <c r="S327" t="s">
        <v>3792</v>
      </c>
      <c r="U327">
        <v>13701.87</v>
      </c>
      <c r="V327">
        <v>0.40000014596547767</v>
      </c>
      <c r="W327" t="s">
        <v>16</v>
      </c>
      <c r="X327" t="s">
        <v>3770</v>
      </c>
      <c r="Z327" t="s">
        <v>89</v>
      </c>
      <c r="AA327" t="s">
        <v>89</v>
      </c>
      <c r="AC327" t="s">
        <v>89</v>
      </c>
      <c r="AD327">
        <v>0</v>
      </c>
      <c r="AE327" t="s">
        <v>9251</v>
      </c>
      <c r="AF327" s="4"/>
    </row>
    <row r="328" spans="1:32">
      <c r="A328" t="s">
        <v>9904</v>
      </c>
      <c r="B328" t="s">
        <v>9366</v>
      </c>
      <c r="C328" t="s">
        <v>4434</v>
      </c>
      <c r="D328" t="s">
        <v>54</v>
      </c>
      <c r="E328" t="s">
        <v>9905</v>
      </c>
      <c r="F328" t="s">
        <v>4433</v>
      </c>
      <c r="G328">
        <v>8221.1200000000008</v>
      </c>
      <c r="I328">
        <v>8221.1200000000008</v>
      </c>
      <c r="J328">
        <v>8221.1200000000008</v>
      </c>
      <c r="K328" s="4">
        <v>45414</v>
      </c>
      <c r="L328" s="4">
        <v>45414</v>
      </c>
      <c r="M328">
        <v>2024</v>
      </c>
      <c r="N328">
        <v>5</v>
      </c>
      <c r="O328" s="4">
        <v>45413</v>
      </c>
      <c r="P328" t="s">
        <v>89</v>
      </c>
      <c r="Q328" s="4">
        <v>45458</v>
      </c>
      <c r="R328" t="s">
        <v>9906</v>
      </c>
      <c r="S328" t="s">
        <v>3795</v>
      </c>
      <c r="T328">
        <v>45446</v>
      </c>
      <c r="U328">
        <v>13701.87</v>
      </c>
      <c r="V328">
        <v>0.59999985403452227</v>
      </c>
      <c r="W328" t="s">
        <v>16</v>
      </c>
      <c r="X328" t="s">
        <v>3770</v>
      </c>
      <c r="Z328" t="s">
        <v>89</v>
      </c>
      <c r="AA328" t="s">
        <v>89</v>
      </c>
      <c r="AC328" t="s">
        <v>89</v>
      </c>
      <c r="AD328" t="s">
        <v>89</v>
      </c>
      <c r="AE328" t="s">
        <v>3652</v>
      </c>
      <c r="AF328" s="4"/>
    </row>
    <row r="329" spans="1:32">
      <c r="A329" t="s">
        <v>9907</v>
      </c>
      <c r="B329" t="s">
        <v>9366</v>
      </c>
      <c r="D329" t="s">
        <v>54</v>
      </c>
      <c r="E329" t="s">
        <v>9905</v>
      </c>
      <c r="F329" t="s">
        <v>4433</v>
      </c>
      <c r="G329">
        <v>5480.75</v>
      </c>
      <c r="I329">
        <v>5480.75</v>
      </c>
      <c r="J329">
        <v>5480.75</v>
      </c>
      <c r="K329" s="4">
        <v>45017</v>
      </c>
      <c r="L329" s="4">
        <v>45017</v>
      </c>
      <c r="M329">
        <v>2023</v>
      </c>
      <c r="N329">
        <v>4</v>
      </c>
      <c r="O329" s="4">
        <v>45017</v>
      </c>
      <c r="P329" t="s">
        <v>89</v>
      </c>
      <c r="Q329" s="4">
        <v>45245</v>
      </c>
      <c r="R329" t="s">
        <v>9906</v>
      </c>
      <c r="S329" t="s">
        <v>3795</v>
      </c>
      <c r="U329">
        <v>13701.87</v>
      </c>
      <c r="V329">
        <v>0.40000014596547767</v>
      </c>
      <c r="W329" t="s">
        <v>16</v>
      </c>
      <c r="X329" t="s">
        <v>3770</v>
      </c>
      <c r="Z329" t="s">
        <v>89</v>
      </c>
      <c r="AA329" t="s">
        <v>89</v>
      </c>
      <c r="AC329" t="s">
        <v>89</v>
      </c>
      <c r="AD329">
        <v>0</v>
      </c>
      <c r="AE329" t="s">
        <v>9251</v>
      </c>
      <c r="AF329" s="4"/>
    </row>
    <row r="330" spans="1:32">
      <c r="A330" t="s">
        <v>9908</v>
      </c>
      <c r="B330" t="s">
        <v>9366</v>
      </c>
      <c r="D330" t="s">
        <v>54</v>
      </c>
      <c r="E330" t="s">
        <v>9909</v>
      </c>
      <c r="F330" t="s">
        <v>4436</v>
      </c>
      <c r="G330">
        <v>2452.0500000000002</v>
      </c>
      <c r="I330">
        <v>2452.0500000000002</v>
      </c>
      <c r="J330">
        <v>2452.0500000000002</v>
      </c>
      <c r="K330" s="4">
        <v>45170</v>
      </c>
      <c r="L330" s="4">
        <v>45170</v>
      </c>
      <c r="M330">
        <v>2023</v>
      </c>
      <c r="N330">
        <v>9</v>
      </c>
      <c r="O330" s="4">
        <v>45170</v>
      </c>
      <c r="P330" t="s">
        <v>89</v>
      </c>
      <c r="Q330" s="4">
        <v>45303</v>
      </c>
      <c r="S330" t="s">
        <v>4438</v>
      </c>
      <c r="U330">
        <v>2452.0500000000002</v>
      </c>
      <c r="V330">
        <v>1</v>
      </c>
      <c r="W330" t="s">
        <v>16</v>
      </c>
      <c r="X330" t="s">
        <v>3681</v>
      </c>
      <c r="Z330" t="s">
        <v>89</v>
      </c>
      <c r="AA330" t="s">
        <v>89</v>
      </c>
      <c r="AC330" t="s">
        <v>89</v>
      </c>
      <c r="AD330" t="s">
        <v>89</v>
      </c>
      <c r="AE330" t="s">
        <v>3652</v>
      </c>
      <c r="AF330" s="4"/>
    </row>
    <row r="331" spans="1:32">
      <c r="A331" t="s">
        <v>9910</v>
      </c>
      <c r="B331" t="s">
        <v>9366</v>
      </c>
      <c r="C331" t="s">
        <v>4441</v>
      </c>
      <c r="D331" t="s">
        <v>54</v>
      </c>
      <c r="E331" t="s">
        <v>9911</v>
      </c>
      <c r="F331" t="s">
        <v>4439</v>
      </c>
      <c r="G331">
        <v>82970.73</v>
      </c>
      <c r="I331">
        <v>82970.73</v>
      </c>
      <c r="J331">
        <v>82970.73</v>
      </c>
      <c r="K331" s="4">
        <v>45408</v>
      </c>
      <c r="L331" s="4">
        <v>45408</v>
      </c>
      <c r="M331">
        <v>2024</v>
      </c>
      <c r="N331">
        <v>4</v>
      </c>
      <c r="O331" s="4">
        <v>45383</v>
      </c>
      <c r="P331" t="s">
        <v>89</v>
      </c>
      <c r="Q331" s="4">
        <v>45488</v>
      </c>
      <c r="S331" t="s">
        <v>2870</v>
      </c>
      <c r="T331">
        <v>45470</v>
      </c>
      <c r="U331">
        <v>82970.73</v>
      </c>
      <c r="V331">
        <v>1</v>
      </c>
      <c r="W331" t="s">
        <v>16</v>
      </c>
      <c r="X331" t="s">
        <v>3681</v>
      </c>
      <c r="Z331" t="s">
        <v>89</v>
      </c>
      <c r="AA331" t="s">
        <v>89</v>
      </c>
      <c r="AB331" t="s">
        <v>9471</v>
      </c>
      <c r="AC331" t="s">
        <v>89</v>
      </c>
      <c r="AD331" t="s">
        <v>89</v>
      </c>
      <c r="AE331" t="s">
        <v>3652</v>
      </c>
      <c r="AF331" s="4"/>
    </row>
    <row r="332" spans="1:32">
      <c r="A332" t="s">
        <v>9912</v>
      </c>
      <c r="B332" t="s">
        <v>9366</v>
      </c>
      <c r="D332" t="s">
        <v>54</v>
      </c>
      <c r="E332" t="s">
        <v>9913</v>
      </c>
      <c r="F332" t="s">
        <v>4443</v>
      </c>
      <c r="G332">
        <v>4964.3999999999996</v>
      </c>
      <c r="I332">
        <v>4964.3999999999996</v>
      </c>
      <c r="J332">
        <v>4964.3999999999996</v>
      </c>
      <c r="K332" s="4">
        <v>45108</v>
      </c>
      <c r="L332" s="4">
        <v>45108</v>
      </c>
      <c r="M332">
        <v>2023</v>
      </c>
      <c r="N332">
        <v>7</v>
      </c>
      <c r="O332" s="4">
        <v>45108</v>
      </c>
      <c r="P332" t="s">
        <v>89</v>
      </c>
      <c r="Q332" s="4">
        <v>45351</v>
      </c>
      <c r="S332" t="s">
        <v>3533</v>
      </c>
      <c r="U332">
        <v>12411</v>
      </c>
      <c r="V332">
        <v>0.39999999999999997</v>
      </c>
      <c r="W332" t="s">
        <v>16</v>
      </c>
      <c r="X332" t="s">
        <v>3681</v>
      </c>
      <c r="Z332" t="s">
        <v>89</v>
      </c>
      <c r="AA332" t="s">
        <v>89</v>
      </c>
      <c r="AC332" t="s">
        <v>89</v>
      </c>
      <c r="AD332">
        <v>0</v>
      </c>
      <c r="AE332" t="s">
        <v>9251</v>
      </c>
      <c r="AF332" s="4"/>
    </row>
    <row r="333" spans="1:32">
      <c r="A333" t="s">
        <v>9914</v>
      </c>
      <c r="B333" t="s">
        <v>9366</v>
      </c>
      <c r="D333" t="s">
        <v>54</v>
      </c>
      <c r="E333" t="s">
        <v>9915</v>
      </c>
      <c r="F333" t="s">
        <v>4448</v>
      </c>
      <c r="G333">
        <v>4964.3999999999996</v>
      </c>
      <c r="I333">
        <v>4964.3999999999996</v>
      </c>
      <c r="J333">
        <v>4964.3999999999996</v>
      </c>
      <c r="K333" s="4">
        <v>45108</v>
      </c>
      <c r="L333" s="4">
        <v>45108</v>
      </c>
      <c r="M333">
        <v>2023</v>
      </c>
      <c r="N333">
        <v>7</v>
      </c>
      <c r="O333" s="4">
        <v>45108</v>
      </c>
      <c r="P333" t="s">
        <v>89</v>
      </c>
      <c r="Q333" s="4">
        <v>45351</v>
      </c>
      <c r="S333" t="s">
        <v>3515</v>
      </c>
      <c r="U333">
        <v>12411</v>
      </c>
      <c r="V333">
        <v>0.39999999999999997</v>
      </c>
      <c r="W333" t="s">
        <v>16</v>
      </c>
      <c r="X333" t="s">
        <v>3681</v>
      </c>
      <c r="Z333" t="s">
        <v>89</v>
      </c>
      <c r="AA333" t="s">
        <v>89</v>
      </c>
      <c r="AC333" t="s">
        <v>89</v>
      </c>
      <c r="AD333">
        <v>0</v>
      </c>
      <c r="AE333" t="s">
        <v>9251</v>
      </c>
      <c r="AF333" s="4"/>
    </row>
    <row r="334" spans="1:32">
      <c r="A334" t="s">
        <v>9916</v>
      </c>
      <c r="B334" t="s">
        <v>9366</v>
      </c>
      <c r="C334" t="s">
        <v>4452</v>
      </c>
      <c r="D334" t="s">
        <v>54</v>
      </c>
      <c r="E334" t="s">
        <v>9917</v>
      </c>
      <c r="F334" t="s">
        <v>4450</v>
      </c>
      <c r="G334">
        <v>1471.23</v>
      </c>
      <c r="I334">
        <v>1471.23</v>
      </c>
      <c r="J334">
        <v>1471.23</v>
      </c>
      <c r="K334" s="4">
        <v>45372</v>
      </c>
      <c r="L334" s="4">
        <v>45372</v>
      </c>
      <c r="M334">
        <v>2024</v>
      </c>
      <c r="N334">
        <v>3</v>
      </c>
      <c r="O334" s="4">
        <v>45352</v>
      </c>
      <c r="P334" t="s">
        <v>89</v>
      </c>
      <c r="Q334" s="4">
        <v>45458</v>
      </c>
      <c r="R334" t="s">
        <v>4168</v>
      </c>
      <c r="S334" t="s">
        <v>4451</v>
      </c>
      <c r="T334">
        <v>45446</v>
      </c>
      <c r="U334">
        <v>2452.0500000000002</v>
      </c>
      <c r="V334">
        <v>0.6</v>
      </c>
      <c r="W334" t="s">
        <v>16</v>
      </c>
      <c r="X334" t="s">
        <v>3681</v>
      </c>
      <c r="Z334" t="s">
        <v>89</v>
      </c>
      <c r="AA334" t="s">
        <v>89</v>
      </c>
      <c r="AC334" t="s">
        <v>89</v>
      </c>
      <c r="AD334" t="s">
        <v>89</v>
      </c>
      <c r="AE334" t="s">
        <v>3652</v>
      </c>
      <c r="AF334" s="4"/>
    </row>
    <row r="335" spans="1:32">
      <c r="A335" t="s">
        <v>9918</v>
      </c>
      <c r="B335" t="s">
        <v>9366</v>
      </c>
      <c r="D335" t="s">
        <v>54</v>
      </c>
      <c r="E335" t="s">
        <v>9917</v>
      </c>
      <c r="F335" t="s">
        <v>4450</v>
      </c>
      <c r="G335">
        <v>980.82</v>
      </c>
      <c r="I335">
        <v>980.82</v>
      </c>
      <c r="J335">
        <v>980.82</v>
      </c>
      <c r="K335" s="4">
        <v>45047</v>
      </c>
      <c r="L335" s="4">
        <v>45047</v>
      </c>
      <c r="M335">
        <v>2023</v>
      </c>
      <c r="N335">
        <v>5</v>
      </c>
      <c r="O335" s="4">
        <v>45047</v>
      </c>
      <c r="P335" t="s">
        <v>89</v>
      </c>
      <c r="Q335" s="4">
        <v>45303</v>
      </c>
      <c r="S335" t="s">
        <v>4451</v>
      </c>
      <c r="U335">
        <v>2452.0500000000002</v>
      </c>
      <c r="V335">
        <v>0.39999999999999997</v>
      </c>
      <c r="W335" t="s">
        <v>16</v>
      </c>
      <c r="X335" t="s">
        <v>3681</v>
      </c>
      <c r="Z335" t="s">
        <v>89</v>
      </c>
      <c r="AA335" t="s">
        <v>89</v>
      </c>
      <c r="AC335" t="s">
        <v>89</v>
      </c>
      <c r="AD335">
        <v>0</v>
      </c>
      <c r="AE335" t="s">
        <v>9251</v>
      </c>
      <c r="AF335" s="4"/>
    </row>
    <row r="336" spans="1:32">
      <c r="A336" t="s">
        <v>9919</v>
      </c>
      <c r="B336" t="s">
        <v>9366</v>
      </c>
      <c r="C336" t="s">
        <v>4454</v>
      </c>
      <c r="D336" t="s">
        <v>54</v>
      </c>
      <c r="E336" t="s">
        <v>9920</v>
      </c>
      <c r="F336" t="s">
        <v>4453</v>
      </c>
      <c r="G336">
        <v>4031.82</v>
      </c>
      <c r="I336">
        <v>4031.82</v>
      </c>
      <c r="J336">
        <v>4031.82</v>
      </c>
      <c r="K336" s="4">
        <v>45345</v>
      </c>
      <c r="L336" s="4">
        <v>45345</v>
      </c>
      <c r="M336">
        <v>2024</v>
      </c>
      <c r="N336">
        <v>2</v>
      </c>
      <c r="O336" s="4">
        <v>45323</v>
      </c>
      <c r="P336" t="s">
        <v>89</v>
      </c>
      <c r="Q336" s="4">
        <v>45442</v>
      </c>
      <c r="S336" t="s">
        <v>2634</v>
      </c>
      <c r="T336">
        <v>45422</v>
      </c>
      <c r="U336">
        <v>6719.7</v>
      </c>
      <c r="V336">
        <v>0.60000000000000009</v>
      </c>
      <c r="W336" t="s">
        <v>16</v>
      </c>
      <c r="X336" t="s">
        <v>3681</v>
      </c>
      <c r="Z336" t="s">
        <v>89</v>
      </c>
      <c r="AA336" t="s">
        <v>89</v>
      </c>
      <c r="AC336" t="s">
        <v>89</v>
      </c>
      <c r="AD336" t="s">
        <v>89</v>
      </c>
      <c r="AE336" t="s">
        <v>3652</v>
      </c>
      <c r="AF336" s="4"/>
    </row>
    <row r="337" spans="1:32">
      <c r="A337" t="s">
        <v>9816</v>
      </c>
      <c r="B337" t="s">
        <v>2193</v>
      </c>
      <c r="C337" t="s">
        <v>9921</v>
      </c>
      <c r="D337" t="s">
        <v>49</v>
      </c>
      <c r="E337">
        <v>4800104873</v>
      </c>
      <c r="F337" t="s">
        <v>9922</v>
      </c>
      <c r="G337">
        <v>4473</v>
      </c>
      <c r="I337">
        <v>4473</v>
      </c>
      <c r="J337">
        <v>4473</v>
      </c>
      <c r="K337" s="4">
        <v>45394</v>
      </c>
      <c r="L337" s="4">
        <v>45394</v>
      </c>
      <c r="M337">
        <v>2024</v>
      </c>
      <c r="N337">
        <v>4</v>
      </c>
      <c r="O337" s="4">
        <v>45383</v>
      </c>
      <c r="P337" t="s">
        <v>89</v>
      </c>
      <c r="Q337" s="4"/>
      <c r="S337" t="s">
        <v>3195</v>
      </c>
      <c r="X337" t="s">
        <v>3665</v>
      </c>
      <c r="Z337" t="s">
        <v>89</v>
      </c>
      <c r="AA337" t="s">
        <v>89</v>
      </c>
      <c r="AC337" t="s">
        <v>89</v>
      </c>
      <c r="AD337" t="s">
        <v>89</v>
      </c>
      <c r="AE337" t="s">
        <v>3652</v>
      </c>
      <c r="AF337" s="4"/>
    </row>
    <row r="338" spans="1:32">
      <c r="A338" t="s">
        <v>9816</v>
      </c>
      <c r="B338" t="s">
        <v>2193</v>
      </c>
      <c r="C338" t="s">
        <v>9923</v>
      </c>
      <c r="D338" t="s">
        <v>49</v>
      </c>
      <c r="E338">
        <v>4800104873</v>
      </c>
      <c r="F338" t="s">
        <v>9924</v>
      </c>
      <c r="G338">
        <v>4473</v>
      </c>
      <c r="I338">
        <v>4473</v>
      </c>
      <c r="J338">
        <v>4473</v>
      </c>
      <c r="K338" s="4">
        <v>45394</v>
      </c>
      <c r="L338" s="4">
        <v>45394</v>
      </c>
      <c r="M338">
        <v>2024</v>
      </c>
      <c r="N338">
        <v>4</v>
      </c>
      <c r="O338" s="4">
        <v>45383</v>
      </c>
      <c r="P338" t="s">
        <v>89</v>
      </c>
      <c r="Q338" s="4"/>
      <c r="S338" t="s">
        <v>3363</v>
      </c>
      <c r="X338" t="s">
        <v>3681</v>
      </c>
      <c r="Z338" t="s">
        <v>89</v>
      </c>
      <c r="AA338" t="s">
        <v>89</v>
      </c>
      <c r="AC338" t="s">
        <v>89</v>
      </c>
      <c r="AD338" t="s">
        <v>89</v>
      </c>
      <c r="AE338" t="s">
        <v>3652</v>
      </c>
      <c r="AF338" s="4"/>
    </row>
    <row r="339" spans="1:32">
      <c r="A339" t="s">
        <v>9816</v>
      </c>
      <c r="B339" t="s">
        <v>2193</v>
      </c>
      <c r="C339" t="s">
        <v>9925</v>
      </c>
      <c r="D339" t="s">
        <v>49</v>
      </c>
      <c r="E339">
        <v>4800104873</v>
      </c>
      <c r="F339" t="s">
        <v>9926</v>
      </c>
      <c r="G339">
        <v>4473</v>
      </c>
      <c r="I339">
        <v>4473</v>
      </c>
      <c r="J339">
        <v>4473</v>
      </c>
      <c r="K339" s="4">
        <v>45394</v>
      </c>
      <c r="L339" s="4">
        <v>45394</v>
      </c>
      <c r="M339">
        <v>2024</v>
      </c>
      <c r="N339">
        <v>4</v>
      </c>
      <c r="O339" s="4">
        <v>45383</v>
      </c>
      <c r="P339" t="s">
        <v>89</v>
      </c>
      <c r="Q339" s="4"/>
      <c r="S339" t="s">
        <v>3193</v>
      </c>
      <c r="X339" t="s">
        <v>3681</v>
      </c>
      <c r="Z339" t="s">
        <v>89</v>
      </c>
      <c r="AA339" t="s">
        <v>89</v>
      </c>
      <c r="AC339" t="s">
        <v>89</v>
      </c>
      <c r="AD339" t="s">
        <v>89</v>
      </c>
      <c r="AE339" t="s">
        <v>3652</v>
      </c>
      <c r="AF339" s="4"/>
    </row>
    <row r="340" spans="1:32">
      <c r="A340" t="s">
        <v>9816</v>
      </c>
      <c r="B340" t="s">
        <v>2193</v>
      </c>
      <c r="C340" t="s">
        <v>9927</v>
      </c>
      <c r="D340" t="s">
        <v>49</v>
      </c>
      <c r="E340">
        <v>4800104873</v>
      </c>
      <c r="F340" t="s">
        <v>9928</v>
      </c>
      <c r="G340">
        <v>4473</v>
      </c>
      <c r="I340">
        <v>4473</v>
      </c>
      <c r="J340">
        <v>4473</v>
      </c>
      <c r="K340" s="4">
        <v>45394</v>
      </c>
      <c r="L340" s="4">
        <v>45394</v>
      </c>
      <c r="M340">
        <v>2024</v>
      </c>
      <c r="N340">
        <v>4</v>
      </c>
      <c r="O340" s="4">
        <v>45383</v>
      </c>
      <c r="P340" t="s">
        <v>89</v>
      </c>
      <c r="Q340" s="4"/>
      <c r="S340" t="s">
        <v>3293</v>
      </c>
      <c r="X340" t="s">
        <v>3681</v>
      </c>
      <c r="Z340" t="s">
        <v>89</v>
      </c>
      <c r="AA340" t="s">
        <v>89</v>
      </c>
      <c r="AC340" t="s">
        <v>89</v>
      </c>
      <c r="AD340" t="s">
        <v>89</v>
      </c>
      <c r="AE340" t="s">
        <v>3652</v>
      </c>
      <c r="AF340" s="4"/>
    </row>
    <row r="341" spans="1:32">
      <c r="A341" t="s">
        <v>9816</v>
      </c>
      <c r="B341" t="s">
        <v>2193</v>
      </c>
      <c r="C341" t="s">
        <v>9929</v>
      </c>
      <c r="D341" t="s">
        <v>49</v>
      </c>
      <c r="E341">
        <v>4800104873</v>
      </c>
      <c r="F341" t="s">
        <v>9930</v>
      </c>
      <c r="G341">
        <v>4473</v>
      </c>
      <c r="I341">
        <v>4473</v>
      </c>
      <c r="J341">
        <v>4473</v>
      </c>
      <c r="K341" s="4">
        <v>45394</v>
      </c>
      <c r="L341" s="4">
        <v>45394</v>
      </c>
      <c r="M341">
        <v>2024</v>
      </c>
      <c r="N341">
        <v>4</v>
      </c>
      <c r="O341" s="4">
        <v>45383</v>
      </c>
      <c r="P341" t="s">
        <v>89</v>
      </c>
      <c r="Q341" s="4"/>
      <c r="S341" t="s">
        <v>3204</v>
      </c>
      <c r="X341" t="s">
        <v>3681</v>
      </c>
      <c r="Z341" t="s">
        <v>89</v>
      </c>
      <c r="AA341" t="s">
        <v>89</v>
      </c>
      <c r="AC341" t="s">
        <v>89</v>
      </c>
      <c r="AD341" t="s">
        <v>89</v>
      </c>
      <c r="AE341" t="s">
        <v>3652</v>
      </c>
      <c r="AF341" s="4"/>
    </row>
    <row r="342" spans="1:32">
      <c r="A342" t="s">
        <v>9816</v>
      </c>
      <c r="B342" t="s">
        <v>2193</v>
      </c>
      <c r="C342" t="s">
        <v>9931</v>
      </c>
      <c r="D342" t="s">
        <v>49</v>
      </c>
      <c r="E342">
        <v>4800104873</v>
      </c>
      <c r="F342" t="s">
        <v>9932</v>
      </c>
      <c r="G342">
        <v>4473</v>
      </c>
      <c r="I342">
        <v>4473</v>
      </c>
      <c r="J342">
        <v>4473</v>
      </c>
      <c r="K342" s="4">
        <v>45394</v>
      </c>
      <c r="L342" s="4">
        <v>45394</v>
      </c>
      <c r="M342">
        <v>2024</v>
      </c>
      <c r="N342">
        <v>4</v>
      </c>
      <c r="O342" s="4">
        <v>45383</v>
      </c>
      <c r="P342" t="s">
        <v>89</v>
      </c>
      <c r="Q342" s="4"/>
      <c r="S342" t="s">
        <v>3405</v>
      </c>
      <c r="X342" t="s">
        <v>3681</v>
      </c>
      <c r="Z342" t="s">
        <v>89</v>
      </c>
      <c r="AA342" t="s">
        <v>89</v>
      </c>
      <c r="AC342" t="s">
        <v>89</v>
      </c>
      <c r="AD342" t="s">
        <v>89</v>
      </c>
      <c r="AE342" t="s">
        <v>3652</v>
      </c>
      <c r="AF342" s="4"/>
    </row>
    <row r="343" spans="1:32">
      <c r="A343" t="s">
        <v>9816</v>
      </c>
      <c r="B343" t="s">
        <v>2193</v>
      </c>
      <c r="C343" t="s">
        <v>9933</v>
      </c>
      <c r="D343" t="s">
        <v>49</v>
      </c>
      <c r="E343">
        <v>4800104873</v>
      </c>
      <c r="F343" t="s">
        <v>9934</v>
      </c>
      <c r="G343">
        <v>4473</v>
      </c>
      <c r="I343">
        <v>4473</v>
      </c>
      <c r="J343">
        <v>4473</v>
      </c>
      <c r="K343" s="4">
        <v>45394</v>
      </c>
      <c r="L343" s="4">
        <v>45394</v>
      </c>
      <c r="M343">
        <v>2024</v>
      </c>
      <c r="N343">
        <v>4</v>
      </c>
      <c r="O343" s="4">
        <v>45383</v>
      </c>
      <c r="P343" t="s">
        <v>89</v>
      </c>
      <c r="Q343" s="4"/>
      <c r="S343" t="s">
        <v>3206</v>
      </c>
      <c r="X343" t="s">
        <v>3681</v>
      </c>
      <c r="Z343" t="s">
        <v>89</v>
      </c>
      <c r="AA343" t="s">
        <v>89</v>
      </c>
      <c r="AC343" t="s">
        <v>89</v>
      </c>
      <c r="AD343" t="s">
        <v>89</v>
      </c>
      <c r="AE343" t="s">
        <v>3652</v>
      </c>
      <c r="AF343" s="4"/>
    </row>
    <row r="344" spans="1:32">
      <c r="A344" t="s">
        <v>9816</v>
      </c>
      <c r="B344" t="s">
        <v>2193</v>
      </c>
      <c r="C344" t="s">
        <v>9935</v>
      </c>
      <c r="D344" t="s">
        <v>49</v>
      </c>
      <c r="E344">
        <v>4800104873</v>
      </c>
      <c r="F344" t="s">
        <v>9936</v>
      </c>
      <c r="G344">
        <v>4473</v>
      </c>
      <c r="I344">
        <v>4473</v>
      </c>
      <c r="J344">
        <v>4473</v>
      </c>
      <c r="K344" s="4">
        <v>45394</v>
      </c>
      <c r="L344" s="4">
        <v>45394</v>
      </c>
      <c r="M344">
        <v>2024</v>
      </c>
      <c r="N344">
        <v>4</v>
      </c>
      <c r="O344" s="4">
        <v>45383</v>
      </c>
      <c r="P344" t="s">
        <v>89</v>
      </c>
      <c r="Q344" s="4"/>
      <c r="S344" t="s">
        <v>3440</v>
      </c>
      <c r="X344" t="s">
        <v>3681</v>
      </c>
      <c r="Z344" t="s">
        <v>89</v>
      </c>
      <c r="AA344" t="s">
        <v>89</v>
      </c>
      <c r="AC344" t="s">
        <v>89</v>
      </c>
      <c r="AD344" t="s">
        <v>89</v>
      </c>
      <c r="AE344" t="s">
        <v>3652</v>
      </c>
      <c r="AF344" s="4"/>
    </row>
    <row r="345" spans="1:32">
      <c r="A345" t="s">
        <v>9816</v>
      </c>
      <c r="B345" t="s">
        <v>2193</v>
      </c>
      <c r="C345" t="s">
        <v>9937</v>
      </c>
      <c r="D345" t="s">
        <v>49</v>
      </c>
      <c r="E345">
        <v>4800104873</v>
      </c>
      <c r="F345" t="s">
        <v>9938</v>
      </c>
      <c r="G345">
        <v>4473</v>
      </c>
      <c r="I345">
        <v>4473</v>
      </c>
      <c r="J345">
        <v>4473</v>
      </c>
      <c r="K345" s="4">
        <v>45394</v>
      </c>
      <c r="L345" s="4">
        <v>45394</v>
      </c>
      <c r="M345">
        <v>2024</v>
      </c>
      <c r="N345">
        <v>4</v>
      </c>
      <c r="O345" s="4">
        <v>45383</v>
      </c>
      <c r="P345" t="s">
        <v>89</v>
      </c>
      <c r="Q345" s="4"/>
      <c r="S345" t="s">
        <v>3295</v>
      </c>
      <c r="X345" t="s">
        <v>3681</v>
      </c>
      <c r="Z345" t="s">
        <v>89</v>
      </c>
      <c r="AA345" t="s">
        <v>89</v>
      </c>
      <c r="AC345" t="s">
        <v>89</v>
      </c>
      <c r="AD345" t="s">
        <v>89</v>
      </c>
      <c r="AE345" t="s">
        <v>3652</v>
      </c>
      <c r="AF345" s="4"/>
    </row>
    <row r="346" spans="1:32">
      <c r="A346" t="s">
        <v>9816</v>
      </c>
      <c r="B346" t="s">
        <v>2193</v>
      </c>
      <c r="C346" t="s">
        <v>9939</v>
      </c>
      <c r="D346" t="s">
        <v>49</v>
      </c>
      <c r="E346">
        <v>4800104873</v>
      </c>
      <c r="F346" t="s">
        <v>9940</v>
      </c>
      <c r="G346">
        <v>4473</v>
      </c>
      <c r="I346">
        <v>4473</v>
      </c>
      <c r="J346">
        <v>4473</v>
      </c>
      <c r="K346" s="4">
        <v>45394</v>
      </c>
      <c r="L346" s="4">
        <v>45394</v>
      </c>
      <c r="M346">
        <v>2024</v>
      </c>
      <c r="N346">
        <v>4</v>
      </c>
      <c r="O346" s="4">
        <v>45383</v>
      </c>
      <c r="P346" t="s">
        <v>89</v>
      </c>
      <c r="Q346" s="4"/>
      <c r="S346" t="s">
        <v>3197</v>
      </c>
      <c r="X346" t="s">
        <v>3681</v>
      </c>
      <c r="Z346" t="s">
        <v>89</v>
      </c>
      <c r="AA346" t="s">
        <v>89</v>
      </c>
      <c r="AC346" t="s">
        <v>89</v>
      </c>
      <c r="AD346" t="s">
        <v>89</v>
      </c>
      <c r="AE346" t="s">
        <v>3652</v>
      </c>
      <c r="AF346" s="4"/>
    </row>
    <row r="347" spans="1:32">
      <c r="A347" t="s">
        <v>9816</v>
      </c>
      <c r="B347" t="s">
        <v>2193</v>
      </c>
      <c r="C347" t="s">
        <v>9941</v>
      </c>
      <c r="D347" t="s">
        <v>49</v>
      </c>
      <c r="E347">
        <v>4800104873</v>
      </c>
      <c r="F347" t="s">
        <v>9942</v>
      </c>
      <c r="G347">
        <v>4473</v>
      </c>
      <c r="I347">
        <v>4473</v>
      </c>
      <c r="J347">
        <v>4473</v>
      </c>
      <c r="K347" s="4">
        <v>45394</v>
      </c>
      <c r="L347" s="4">
        <v>45394</v>
      </c>
      <c r="M347">
        <v>2024</v>
      </c>
      <c r="N347">
        <v>4</v>
      </c>
      <c r="O347" s="4">
        <v>45383</v>
      </c>
      <c r="P347" t="s">
        <v>89</v>
      </c>
      <c r="Q347" s="4"/>
      <c r="S347" t="s">
        <v>3365</v>
      </c>
      <c r="X347" t="s">
        <v>3681</v>
      </c>
      <c r="Z347" t="s">
        <v>89</v>
      </c>
      <c r="AA347" t="s">
        <v>89</v>
      </c>
      <c r="AC347" t="s">
        <v>89</v>
      </c>
      <c r="AD347" t="s">
        <v>89</v>
      </c>
      <c r="AE347" t="s">
        <v>3652</v>
      </c>
      <c r="AF347" s="4"/>
    </row>
    <row r="348" spans="1:32">
      <c r="A348" t="s">
        <v>9816</v>
      </c>
      <c r="B348" t="s">
        <v>2193</v>
      </c>
      <c r="C348" t="s">
        <v>9943</v>
      </c>
      <c r="D348" t="s">
        <v>49</v>
      </c>
      <c r="E348">
        <v>4800104873</v>
      </c>
      <c r="F348" t="s">
        <v>9944</v>
      </c>
      <c r="G348">
        <v>4473</v>
      </c>
      <c r="I348">
        <v>4473</v>
      </c>
      <c r="J348">
        <v>4473</v>
      </c>
      <c r="K348" s="4">
        <v>45394</v>
      </c>
      <c r="L348" s="4">
        <v>45394</v>
      </c>
      <c r="M348">
        <v>2024</v>
      </c>
      <c r="N348">
        <v>4</v>
      </c>
      <c r="O348" s="4">
        <v>45383</v>
      </c>
      <c r="P348" t="s">
        <v>89</v>
      </c>
      <c r="Q348" s="4"/>
      <c r="S348" t="s">
        <v>3326</v>
      </c>
      <c r="X348" t="s">
        <v>3681</v>
      </c>
      <c r="Z348" t="s">
        <v>89</v>
      </c>
      <c r="AA348" t="s">
        <v>89</v>
      </c>
      <c r="AC348" t="s">
        <v>89</v>
      </c>
      <c r="AD348" t="s">
        <v>89</v>
      </c>
      <c r="AE348" t="s">
        <v>3652</v>
      </c>
      <c r="AF348" s="4"/>
    </row>
    <row r="349" spans="1:32">
      <c r="A349" t="s">
        <v>9816</v>
      </c>
      <c r="B349" t="s">
        <v>2193</v>
      </c>
      <c r="C349" t="s">
        <v>9945</v>
      </c>
      <c r="D349" t="s">
        <v>49</v>
      </c>
      <c r="E349">
        <v>4800104873</v>
      </c>
      <c r="F349" t="s">
        <v>9946</v>
      </c>
      <c r="G349">
        <v>4473</v>
      </c>
      <c r="I349">
        <v>4473</v>
      </c>
      <c r="J349">
        <v>4473</v>
      </c>
      <c r="K349" s="4">
        <v>45394</v>
      </c>
      <c r="L349" s="4">
        <v>45394</v>
      </c>
      <c r="M349">
        <v>2024</v>
      </c>
      <c r="N349">
        <v>4</v>
      </c>
      <c r="O349" s="4">
        <v>45383</v>
      </c>
      <c r="P349" t="s">
        <v>89</v>
      </c>
      <c r="Q349" s="4"/>
      <c r="S349" t="s">
        <v>3307</v>
      </c>
      <c r="X349" t="s">
        <v>3681</v>
      </c>
      <c r="Z349" t="s">
        <v>89</v>
      </c>
      <c r="AA349" t="s">
        <v>89</v>
      </c>
      <c r="AC349" t="s">
        <v>89</v>
      </c>
      <c r="AD349" t="s">
        <v>89</v>
      </c>
      <c r="AE349" t="s">
        <v>3652</v>
      </c>
      <c r="AF349" s="4"/>
    </row>
    <row r="350" spans="1:32">
      <c r="A350" t="s">
        <v>9816</v>
      </c>
      <c r="B350" t="s">
        <v>2193</v>
      </c>
      <c r="C350" t="s">
        <v>9947</v>
      </c>
      <c r="D350" t="s">
        <v>49</v>
      </c>
      <c r="E350">
        <v>4800104873</v>
      </c>
      <c r="F350" t="s">
        <v>9948</v>
      </c>
      <c r="G350">
        <v>921</v>
      </c>
      <c r="I350">
        <v>921</v>
      </c>
      <c r="J350">
        <v>4473</v>
      </c>
      <c r="K350" s="4">
        <v>45394</v>
      </c>
      <c r="L350" s="4">
        <v>45394</v>
      </c>
      <c r="M350">
        <v>2024</v>
      </c>
      <c r="N350">
        <v>4</v>
      </c>
      <c r="O350" s="4">
        <v>45383</v>
      </c>
      <c r="P350" t="s">
        <v>89</v>
      </c>
      <c r="Q350" s="4"/>
      <c r="S350" t="s">
        <v>3275</v>
      </c>
      <c r="X350" t="s">
        <v>3681</v>
      </c>
      <c r="Z350" t="s">
        <v>89</v>
      </c>
      <c r="AA350" t="s">
        <v>89</v>
      </c>
      <c r="AC350" t="s">
        <v>89</v>
      </c>
      <c r="AD350" t="s">
        <v>89</v>
      </c>
      <c r="AE350" t="s">
        <v>3652</v>
      </c>
      <c r="AF350" s="4"/>
    </row>
    <row r="351" spans="1:32">
      <c r="A351" t="s">
        <v>9949</v>
      </c>
      <c r="B351" t="s">
        <v>9366</v>
      </c>
      <c r="C351" t="s">
        <v>4403</v>
      </c>
      <c r="D351" t="s">
        <v>54</v>
      </c>
      <c r="E351" t="s">
        <v>9875</v>
      </c>
      <c r="F351" t="s">
        <v>4401</v>
      </c>
      <c r="G351">
        <v>8465.6279999999988</v>
      </c>
      <c r="I351">
        <v>8465.6279999999988</v>
      </c>
      <c r="K351" s="4">
        <v>45520</v>
      </c>
      <c r="L351" s="4">
        <v>45520</v>
      </c>
      <c r="M351">
        <v>2024</v>
      </c>
      <c r="N351">
        <v>8</v>
      </c>
      <c r="O351" s="4">
        <v>45505</v>
      </c>
      <c r="P351" t="s">
        <v>1473</v>
      </c>
      <c r="Q351" s="4"/>
      <c r="S351" t="s">
        <v>4402</v>
      </c>
      <c r="T351">
        <v>45551</v>
      </c>
      <c r="U351">
        <v>14109.38</v>
      </c>
      <c r="V351">
        <v>0.6</v>
      </c>
      <c r="W351" t="s">
        <v>16</v>
      </c>
      <c r="X351" t="s">
        <v>3770</v>
      </c>
      <c r="Z351">
        <v>32</v>
      </c>
      <c r="AA351">
        <v>32</v>
      </c>
      <c r="AB351" t="s">
        <v>9433</v>
      </c>
      <c r="AE351" t="s">
        <v>9251</v>
      </c>
      <c r="AF351" s="4"/>
    </row>
    <row r="352" spans="1:32">
      <c r="A352" t="s">
        <v>9950</v>
      </c>
      <c r="B352" t="s">
        <v>9366</v>
      </c>
      <c r="C352" t="s">
        <v>4409</v>
      </c>
      <c r="D352" t="s">
        <v>54</v>
      </c>
      <c r="E352" t="s">
        <v>9881</v>
      </c>
      <c r="F352" t="s">
        <v>4407</v>
      </c>
      <c r="G352">
        <v>8465.6279999999988</v>
      </c>
      <c r="I352">
        <v>8465.6279999999988</v>
      </c>
      <c r="K352" s="4">
        <v>45436</v>
      </c>
      <c r="L352" s="4">
        <v>45436</v>
      </c>
      <c r="M352">
        <v>2024</v>
      </c>
      <c r="N352">
        <v>5</v>
      </c>
      <c r="O352" s="4">
        <v>45413</v>
      </c>
      <c r="P352" t="s">
        <v>625</v>
      </c>
      <c r="Q352" s="4"/>
      <c r="S352" t="s">
        <v>4408</v>
      </c>
      <c r="T352">
        <v>45551</v>
      </c>
      <c r="U352">
        <v>14109.38</v>
      </c>
      <c r="V352">
        <v>0.6</v>
      </c>
      <c r="W352" t="s">
        <v>16</v>
      </c>
      <c r="X352" t="s">
        <v>3770</v>
      </c>
      <c r="Z352">
        <v>116</v>
      </c>
      <c r="AA352">
        <v>116</v>
      </c>
      <c r="AB352" t="s">
        <v>9433</v>
      </c>
      <c r="AC352" t="s">
        <v>1473</v>
      </c>
      <c r="AD352" t="s">
        <v>1473</v>
      </c>
      <c r="AE352" t="s">
        <v>9251</v>
      </c>
      <c r="AF352" s="4"/>
    </row>
    <row r="353" spans="1:32">
      <c r="A353" t="s">
        <v>9503</v>
      </c>
      <c r="B353" t="s">
        <v>2193</v>
      </c>
      <c r="C353" t="s">
        <v>9951</v>
      </c>
      <c r="D353" t="s">
        <v>49</v>
      </c>
      <c r="E353">
        <v>4800104873</v>
      </c>
      <c r="F353" t="s">
        <v>9952</v>
      </c>
      <c r="G353">
        <v>8695</v>
      </c>
      <c r="I353">
        <v>8695</v>
      </c>
      <c r="J353">
        <v>8695</v>
      </c>
      <c r="K353" s="4">
        <v>45393</v>
      </c>
      <c r="L353" s="4">
        <v>45393</v>
      </c>
      <c r="M353">
        <v>2024</v>
      </c>
      <c r="N353">
        <v>4</v>
      </c>
      <c r="O353" s="4">
        <v>45383</v>
      </c>
      <c r="P353" t="s">
        <v>89</v>
      </c>
      <c r="Q353" s="4"/>
      <c r="S353" t="s">
        <v>3273</v>
      </c>
      <c r="X353" t="s">
        <v>3681</v>
      </c>
      <c r="Z353" t="s">
        <v>89</v>
      </c>
      <c r="AA353" t="s">
        <v>89</v>
      </c>
      <c r="AC353" t="s">
        <v>89</v>
      </c>
      <c r="AD353" t="s">
        <v>89</v>
      </c>
      <c r="AE353" t="s">
        <v>3652</v>
      </c>
      <c r="AF353" s="4"/>
    </row>
    <row r="354" spans="1:32">
      <c r="A354" t="s">
        <v>9506</v>
      </c>
      <c r="B354" t="s">
        <v>2193</v>
      </c>
      <c r="C354" t="s">
        <v>9953</v>
      </c>
      <c r="D354" t="s">
        <v>49</v>
      </c>
      <c r="E354">
        <v>4800104873</v>
      </c>
      <c r="F354" t="s">
        <v>9954</v>
      </c>
      <c r="G354">
        <v>5880</v>
      </c>
      <c r="I354">
        <v>5880</v>
      </c>
      <c r="J354">
        <v>5880</v>
      </c>
      <c r="K354" s="4">
        <v>45393</v>
      </c>
      <c r="L354" s="4">
        <v>45393</v>
      </c>
      <c r="M354">
        <v>2024</v>
      </c>
      <c r="N354">
        <v>4</v>
      </c>
      <c r="O354" s="4">
        <v>45383</v>
      </c>
      <c r="P354" t="s">
        <v>89</v>
      </c>
      <c r="Q354" s="4"/>
      <c r="S354" t="s">
        <v>3246</v>
      </c>
      <c r="X354" t="s">
        <v>3681</v>
      </c>
      <c r="Z354" t="s">
        <v>89</v>
      </c>
      <c r="AA354" t="s">
        <v>89</v>
      </c>
      <c r="AC354" t="s">
        <v>89</v>
      </c>
      <c r="AD354" t="s">
        <v>89</v>
      </c>
      <c r="AE354" t="s">
        <v>3652</v>
      </c>
      <c r="AF354" s="4"/>
    </row>
    <row r="355" spans="1:32">
      <c r="A355" t="s">
        <v>9955</v>
      </c>
      <c r="B355" t="s">
        <v>2193</v>
      </c>
      <c r="C355" t="s">
        <v>9956</v>
      </c>
      <c r="D355" t="s">
        <v>49</v>
      </c>
      <c r="E355">
        <v>4800104873</v>
      </c>
      <c r="F355" t="s">
        <v>9957</v>
      </c>
      <c r="G355">
        <v>1340</v>
      </c>
      <c r="I355">
        <v>1340</v>
      </c>
      <c r="J355">
        <v>1340</v>
      </c>
      <c r="K355" s="4">
        <v>45393</v>
      </c>
      <c r="L355" s="4">
        <v>45393</v>
      </c>
      <c r="M355">
        <v>2024</v>
      </c>
      <c r="N355">
        <v>4</v>
      </c>
      <c r="O355" s="4">
        <v>45383</v>
      </c>
      <c r="P355" t="s">
        <v>89</v>
      </c>
      <c r="Q355" s="4"/>
      <c r="S355" t="s">
        <v>3500</v>
      </c>
      <c r="X355" t="s">
        <v>4109</v>
      </c>
      <c r="Z355" t="s">
        <v>89</v>
      </c>
      <c r="AA355" t="s">
        <v>89</v>
      </c>
      <c r="AC355" t="s">
        <v>89</v>
      </c>
      <c r="AD355" t="s">
        <v>89</v>
      </c>
      <c r="AE355" t="s">
        <v>3652</v>
      </c>
      <c r="AF355" s="4"/>
    </row>
    <row r="356" spans="1:32">
      <c r="A356" t="s">
        <v>9485</v>
      </c>
      <c r="B356" t="s">
        <v>2193</v>
      </c>
      <c r="C356" t="s">
        <v>9958</v>
      </c>
      <c r="D356" t="s">
        <v>49</v>
      </c>
      <c r="E356">
        <v>4800104873</v>
      </c>
      <c r="F356" t="s">
        <v>9959</v>
      </c>
      <c r="G356">
        <v>670</v>
      </c>
      <c r="I356">
        <v>670</v>
      </c>
      <c r="J356">
        <v>670</v>
      </c>
      <c r="K356" s="4">
        <v>45393</v>
      </c>
      <c r="L356" s="4">
        <v>45393</v>
      </c>
      <c r="M356">
        <v>2024</v>
      </c>
      <c r="N356">
        <v>4</v>
      </c>
      <c r="O356" s="4">
        <v>45383</v>
      </c>
      <c r="P356" t="s">
        <v>89</v>
      </c>
      <c r="Q356" s="4"/>
      <c r="S356" t="s">
        <v>3496</v>
      </c>
      <c r="X356" t="s">
        <v>4109</v>
      </c>
      <c r="Z356" t="s">
        <v>89</v>
      </c>
      <c r="AA356" t="s">
        <v>89</v>
      </c>
      <c r="AC356" t="s">
        <v>89</v>
      </c>
      <c r="AD356" t="s">
        <v>89</v>
      </c>
      <c r="AE356" t="s">
        <v>3652</v>
      </c>
      <c r="AF356" s="4"/>
    </row>
    <row r="357" spans="1:32">
      <c r="A357" t="s">
        <v>9960</v>
      </c>
      <c r="B357" t="s">
        <v>2193</v>
      </c>
      <c r="C357" t="s">
        <v>9961</v>
      </c>
      <c r="D357" t="s">
        <v>49</v>
      </c>
      <c r="E357">
        <v>4800104873</v>
      </c>
      <c r="F357" t="s">
        <v>9962</v>
      </c>
      <c r="G357">
        <v>11257.81</v>
      </c>
      <c r="I357">
        <v>11257.81</v>
      </c>
      <c r="J357">
        <v>11257.81</v>
      </c>
      <c r="K357" s="4">
        <v>45393</v>
      </c>
      <c r="L357" s="4">
        <v>45393</v>
      </c>
      <c r="M357">
        <v>2024</v>
      </c>
      <c r="N357">
        <v>4</v>
      </c>
      <c r="O357" s="4">
        <v>45383</v>
      </c>
      <c r="P357" t="s">
        <v>89</v>
      </c>
      <c r="Q357" s="4"/>
      <c r="S357" t="s">
        <v>3494</v>
      </c>
      <c r="X357" t="s">
        <v>4109</v>
      </c>
      <c r="Z357" t="s">
        <v>89</v>
      </c>
      <c r="AA357" t="s">
        <v>89</v>
      </c>
      <c r="AC357" t="s">
        <v>89</v>
      </c>
      <c r="AD357" t="s">
        <v>89</v>
      </c>
      <c r="AE357" t="s">
        <v>3652</v>
      </c>
      <c r="AF357" s="4"/>
    </row>
    <row r="358" spans="1:32">
      <c r="A358" t="s">
        <v>9485</v>
      </c>
      <c r="B358" t="s">
        <v>2193</v>
      </c>
      <c r="C358" t="s">
        <v>9963</v>
      </c>
      <c r="D358" t="s">
        <v>49</v>
      </c>
      <c r="E358">
        <v>4800104873</v>
      </c>
      <c r="F358" t="s">
        <v>9964</v>
      </c>
      <c r="G358">
        <v>670</v>
      </c>
      <c r="I358">
        <v>670</v>
      </c>
      <c r="J358">
        <v>670</v>
      </c>
      <c r="K358" s="4">
        <v>45393</v>
      </c>
      <c r="L358" s="4">
        <v>45393</v>
      </c>
      <c r="M358">
        <v>2024</v>
      </c>
      <c r="N358">
        <v>4</v>
      </c>
      <c r="O358" s="4">
        <v>45383</v>
      </c>
      <c r="P358" t="s">
        <v>89</v>
      </c>
      <c r="Q358" s="4"/>
      <c r="S358" t="s">
        <v>3498</v>
      </c>
      <c r="X358" t="s">
        <v>3681</v>
      </c>
      <c r="Z358" t="s">
        <v>89</v>
      </c>
      <c r="AA358" t="s">
        <v>89</v>
      </c>
      <c r="AC358" t="s">
        <v>89</v>
      </c>
      <c r="AD358" t="s">
        <v>89</v>
      </c>
      <c r="AE358" t="s">
        <v>3652</v>
      </c>
      <c r="AF358" s="4"/>
    </row>
    <row r="359" spans="1:32">
      <c r="A359" t="s">
        <v>9965</v>
      </c>
      <c r="B359" t="s">
        <v>2193</v>
      </c>
      <c r="C359" t="s">
        <v>9966</v>
      </c>
      <c r="D359" t="s">
        <v>49</v>
      </c>
      <c r="E359">
        <v>4800104873</v>
      </c>
      <c r="F359" t="s">
        <v>9967</v>
      </c>
      <c r="G359">
        <v>17959.75</v>
      </c>
      <c r="I359">
        <v>17959.75</v>
      </c>
      <c r="J359">
        <v>17959.75</v>
      </c>
      <c r="K359" s="4">
        <v>45393</v>
      </c>
      <c r="L359" s="4">
        <v>45393</v>
      </c>
      <c r="M359">
        <v>2024</v>
      </c>
      <c r="N359">
        <v>4</v>
      </c>
      <c r="O359" s="4">
        <v>45383</v>
      </c>
      <c r="P359" t="s">
        <v>89</v>
      </c>
      <c r="Q359" s="4"/>
      <c r="S359" t="s">
        <v>3492</v>
      </c>
      <c r="X359" t="s">
        <v>4109</v>
      </c>
      <c r="Z359" t="s">
        <v>89</v>
      </c>
      <c r="AA359" t="s">
        <v>89</v>
      </c>
      <c r="AC359" t="s">
        <v>89</v>
      </c>
      <c r="AD359" t="s">
        <v>89</v>
      </c>
      <c r="AE359" t="s">
        <v>3652</v>
      </c>
      <c r="AF359" s="4"/>
    </row>
    <row r="360" spans="1:32">
      <c r="A360" t="s">
        <v>9699</v>
      </c>
      <c r="B360" t="s">
        <v>2193</v>
      </c>
      <c r="C360" t="s">
        <v>9968</v>
      </c>
      <c r="D360" t="s">
        <v>47</v>
      </c>
      <c r="E360">
        <v>21740604</v>
      </c>
      <c r="F360" t="s">
        <v>9969</v>
      </c>
      <c r="G360">
        <v>2230.1999999999998</v>
      </c>
      <c r="I360">
        <v>2230.1999999999998</v>
      </c>
      <c r="J360">
        <v>2230.1999999999998</v>
      </c>
      <c r="K360" s="4">
        <v>45393</v>
      </c>
      <c r="L360" s="4">
        <v>45393</v>
      </c>
      <c r="M360">
        <v>2024</v>
      </c>
      <c r="N360">
        <v>4</v>
      </c>
      <c r="O360" s="4">
        <v>45383</v>
      </c>
      <c r="P360" t="s">
        <v>89</v>
      </c>
      <c r="Q360" s="4"/>
      <c r="S360" t="s">
        <v>3041</v>
      </c>
      <c r="X360" t="s">
        <v>2369</v>
      </c>
      <c r="Z360" t="s">
        <v>89</v>
      </c>
      <c r="AA360" t="s">
        <v>89</v>
      </c>
      <c r="AC360" t="s">
        <v>89</v>
      </c>
      <c r="AD360" t="s">
        <v>89</v>
      </c>
      <c r="AE360" t="s">
        <v>3652</v>
      </c>
      <c r="AF360" s="4">
        <v>45474</v>
      </c>
    </row>
    <row r="361" spans="1:32">
      <c r="A361" t="s">
        <v>9970</v>
      </c>
      <c r="B361" t="s">
        <v>2193</v>
      </c>
      <c r="C361" t="s">
        <v>9971</v>
      </c>
      <c r="D361" t="s">
        <v>47</v>
      </c>
      <c r="E361">
        <v>21784625</v>
      </c>
      <c r="F361" t="s">
        <v>9972</v>
      </c>
      <c r="G361">
        <v>2230.1999999999998</v>
      </c>
      <c r="I361">
        <v>2230.1999999999998</v>
      </c>
      <c r="J361">
        <v>2230.1999999999998</v>
      </c>
      <c r="K361" s="4">
        <v>45393</v>
      </c>
      <c r="L361" s="4">
        <v>45393</v>
      </c>
      <c r="M361">
        <v>2024</v>
      </c>
      <c r="N361">
        <v>4</v>
      </c>
      <c r="O361" s="4">
        <v>45383</v>
      </c>
      <c r="P361" t="s">
        <v>89</v>
      </c>
      <c r="Q361" s="4"/>
      <c r="S361" t="s">
        <v>3074</v>
      </c>
      <c r="X361" t="s">
        <v>2369</v>
      </c>
      <c r="Z361" t="s">
        <v>89</v>
      </c>
      <c r="AA361" t="s">
        <v>89</v>
      </c>
      <c r="AC361" t="s">
        <v>89</v>
      </c>
      <c r="AD361" t="s">
        <v>89</v>
      </c>
      <c r="AE361" t="s">
        <v>3652</v>
      </c>
      <c r="AF361" s="4">
        <v>45474</v>
      </c>
    </row>
    <row r="362" spans="1:32">
      <c r="A362" t="s">
        <v>9973</v>
      </c>
      <c r="B362" t="s">
        <v>2193</v>
      </c>
      <c r="C362" t="s">
        <v>9974</v>
      </c>
      <c r="D362" t="s">
        <v>47</v>
      </c>
      <c r="E362">
        <v>21740607</v>
      </c>
      <c r="F362" t="s">
        <v>9975</v>
      </c>
      <c r="G362">
        <v>8732.98</v>
      </c>
      <c r="I362">
        <v>8732.98</v>
      </c>
      <c r="J362">
        <v>8732.98</v>
      </c>
      <c r="K362" s="4">
        <v>45393</v>
      </c>
      <c r="L362" s="4">
        <v>45393</v>
      </c>
      <c r="M362">
        <v>2024</v>
      </c>
      <c r="N362">
        <v>4</v>
      </c>
      <c r="O362" s="4">
        <v>45383</v>
      </c>
      <c r="P362" t="s">
        <v>89</v>
      </c>
      <c r="Q362" s="4"/>
      <c r="S362" t="s">
        <v>3048</v>
      </c>
      <c r="X362" t="s">
        <v>2369</v>
      </c>
      <c r="Z362" t="s">
        <v>89</v>
      </c>
      <c r="AA362" t="s">
        <v>89</v>
      </c>
      <c r="AC362" t="s">
        <v>89</v>
      </c>
      <c r="AD362" t="s">
        <v>89</v>
      </c>
      <c r="AE362" t="s">
        <v>3652</v>
      </c>
      <c r="AF362" s="4">
        <v>45474</v>
      </c>
    </row>
    <row r="363" spans="1:32">
      <c r="A363" t="s">
        <v>9976</v>
      </c>
      <c r="B363" t="s">
        <v>2193</v>
      </c>
      <c r="C363" t="s">
        <v>9977</v>
      </c>
      <c r="D363" t="s">
        <v>47</v>
      </c>
      <c r="E363">
        <v>21740607</v>
      </c>
      <c r="F363" t="s">
        <v>9688</v>
      </c>
      <c r="G363">
        <v>4693.22</v>
      </c>
      <c r="I363">
        <v>4693.22</v>
      </c>
      <c r="K363" s="4">
        <v>45393</v>
      </c>
      <c r="L363" s="4">
        <v>45393</v>
      </c>
      <c r="M363">
        <v>2024</v>
      </c>
      <c r="N363">
        <v>4</v>
      </c>
      <c r="O363" s="4">
        <v>45383</v>
      </c>
      <c r="P363" t="s">
        <v>95</v>
      </c>
      <c r="Q363" s="4"/>
      <c r="S363" t="s">
        <v>3064</v>
      </c>
      <c r="X363" t="s">
        <v>2369</v>
      </c>
      <c r="Z363">
        <v>159</v>
      </c>
      <c r="AA363">
        <v>159</v>
      </c>
      <c r="AC363" t="s">
        <v>95</v>
      </c>
      <c r="AD363" t="s">
        <v>95</v>
      </c>
      <c r="AE363" t="s">
        <v>3652</v>
      </c>
      <c r="AF363" s="4"/>
    </row>
    <row r="364" spans="1:32">
      <c r="A364" t="s">
        <v>9978</v>
      </c>
      <c r="B364" t="s">
        <v>2193</v>
      </c>
      <c r="C364" t="s">
        <v>9979</v>
      </c>
      <c r="D364" t="s">
        <v>47</v>
      </c>
      <c r="E364">
        <v>21772870</v>
      </c>
      <c r="F364" t="s">
        <v>9980</v>
      </c>
      <c r="G364">
        <v>4429</v>
      </c>
      <c r="I364">
        <v>4429</v>
      </c>
      <c r="J364">
        <v>4429</v>
      </c>
      <c r="K364" s="4">
        <v>45393</v>
      </c>
      <c r="L364" s="4">
        <v>45393</v>
      </c>
      <c r="M364">
        <v>2024</v>
      </c>
      <c r="N364">
        <v>4</v>
      </c>
      <c r="O364" s="4">
        <v>45383</v>
      </c>
      <c r="P364" t="s">
        <v>89</v>
      </c>
      <c r="Q364" s="4"/>
      <c r="S364" t="s">
        <v>3072</v>
      </c>
      <c r="X364" t="s">
        <v>2369</v>
      </c>
      <c r="Z364" t="s">
        <v>89</v>
      </c>
      <c r="AA364" t="s">
        <v>89</v>
      </c>
      <c r="AC364" t="s">
        <v>89</v>
      </c>
      <c r="AD364" t="s">
        <v>89</v>
      </c>
      <c r="AE364" t="s">
        <v>3652</v>
      </c>
      <c r="AF364" s="4">
        <v>45474</v>
      </c>
    </row>
    <row r="365" spans="1:32">
      <c r="A365" t="s">
        <v>9981</v>
      </c>
      <c r="B365" t="s">
        <v>9366</v>
      </c>
      <c r="C365" t="s">
        <v>4413</v>
      </c>
      <c r="D365" t="s">
        <v>54</v>
      </c>
      <c r="E365" t="s">
        <v>9885</v>
      </c>
      <c r="F365" t="s">
        <v>4412</v>
      </c>
      <c r="G365">
        <v>8465.6279999999988</v>
      </c>
      <c r="I365">
        <v>8465.6279999999988</v>
      </c>
      <c r="K365" s="4">
        <v>45520</v>
      </c>
      <c r="L365" s="4">
        <v>45520</v>
      </c>
      <c r="M365">
        <v>2024</v>
      </c>
      <c r="N365">
        <v>8</v>
      </c>
      <c r="O365" s="4">
        <v>45505</v>
      </c>
      <c r="P365" t="s">
        <v>1473</v>
      </c>
      <c r="Q365" s="4"/>
      <c r="S365" t="s">
        <v>3783</v>
      </c>
      <c r="T365">
        <v>45551</v>
      </c>
      <c r="U365">
        <v>14109.38</v>
      </c>
      <c r="V365">
        <v>0.6</v>
      </c>
      <c r="W365" t="s">
        <v>16</v>
      </c>
      <c r="X365" t="s">
        <v>3770</v>
      </c>
      <c r="Z365">
        <v>32</v>
      </c>
      <c r="AA365">
        <v>32</v>
      </c>
      <c r="AB365" t="s">
        <v>9433</v>
      </c>
      <c r="AE365" t="s">
        <v>9251</v>
      </c>
      <c r="AF365" s="4"/>
    </row>
    <row r="366" spans="1:32">
      <c r="A366" t="s">
        <v>9982</v>
      </c>
      <c r="B366" t="s">
        <v>2193</v>
      </c>
      <c r="C366" t="s">
        <v>9983</v>
      </c>
      <c r="D366" t="s">
        <v>48</v>
      </c>
      <c r="E366">
        <v>18614</v>
      </c>
      <c r="F366" t="s">
        <v>9984</v>
      </c>
      <c r="G366">
        <v>39813.79</v>
      </c>
      <c r="I366">
        <v>39813.79</v>
      </c>
      <c r="J366">
        <v>39813.79</v>
      </c>
      <c r="K366" s="4">
        <v>45391</v>
      </c>
      <c r="L366" s="4">
        <v>45391</v>
      </c>
      <c r="M366">
        <v>2024</v>
      </c>
      <c r="N366">
        <v>4</v>
      </c>
      <c r="O366" s="4">
        <v>45383</v>
      </c>
      <c r="P366" t="s">
        <v>89</v>
      </c>
      <c r="Q366" s="4"/>
      <c r="S366" t="s">
        <v>3136</v>
      </c>
      <c r="X366" t="s">
        <v>3770</v>
      </c>
      <c r="Z366" t="s">
        <v>89</v>
      </c>
      <c r="AA366" t="s">
        <v>89</v>
      </c>
      <c r="AC366" t="s">
        <v>89</v>
      </c>
      <c r="AD366" t="s">
        <v>89</v>
      </c>
      <c r="AE366" t="s">
        <v>3652</v>
      </c>
      <c r="AF366" s="4"/>
    </row>
    <row r="367" spans="1:32">
      <c r="A367" t="s">
        <v>9985</v>
      </c>
      <c r="B367" t="s">
        <v>2193</v>
      </c>
      <c r="C367" t="s">
        <v>9986</v>
      </c>
      <c r="D367" t="s">
        <v>48</v>
      </c>
      <c r="E367">
        <v>18616</v>
      </c>
      <c r="F367" t="s">
        <v>9987</v>
      </c>
      <c r="G367">
        <v>39306.19</v>
      </c>
      <c r="I367">
        <v>39306.19</v>
      </c>
      <c r="J367">
        <v>39306.19</v>
      </c>
      <c r="K367" s="4">
        <v>45391</v>
      </c>
      <c r="L367" s="4">
        <v>45391</v>
      </c>
      <c r="M367">
        <v>2024</v>
      </c>
      <c r="N367">
        <v>4</v>
      </c>
      <c r="O367" s="4">
        <v>45383</v>
      </c>
      <c r="P367" t="s">
        <v>89</v>
      </c>
      <c r="Q367" s="4"/>
      <c r="S367" t="s">
        <v>3140</v>
      </c>
      <c r="X367" t="s">
        <v>3770</v>
      </c>
      <c r="Z367" t="s">
        <v>89</v>
      </c>
      <c r="AA367" t="s">
        <v>89</v>
      </c>
      <c r="AC367" t="s">
        <v>89</v>
      </c>
      <c r="AD367" t="s">
        <v>89</v>
      </c>
      <c r="AE367" t="s">
        <v>3652</v>
      </c>
      <c r="AF367" s="4"/>
    </row>
    <row r="368" spans="1:32">
      <c r="A368" t="s">
        <v>9982</v>
      </c>
      <c r="B368" t="s">
        <v>2193</v>
      </c>
      <c r="C368" t="s">
        <v>9988</v>
      </c>
      <c r="D368" t="s">
        <v>48</v>
      </c>
      <c r="E368">
        <v>18614</v>
      </c>
      <c r="F368" t="s">
        <v>9989</v>
      </c>
      <c r="G368">
        <v>39813.79</v>
      </c>
      <c r="I368">
        <v>39813.79</v>
      </c>
      <c r="J368">
        <v>39813.79</v>
      </c>
      <c r="K368" s="4">
        <v>45391</v>
      </c>
      <c r="L368" s="4">
        <v>45391</v>
      </c>
      <c r="M368">
        <v>2024</v>
      </c>
      <c r="N368">
        <v>4</v>
      </c>
      <c r="O368" s="4">
        <v>45383</v>
      </c>
      <c r="P368" t="s">
        <v>89</v>
      </c>
      <c r="Q368" s="4"/>
      <c r="S368" t="s">
        <v>3137</v>
      </c>
      <c r="X368" t="s">
        <v>3770</v>
      </c>
      <c r="Z368" t="s">
        <v>89</v>
      </c>
      <c r="AA368" t="s">
        <v>89</v>
      </c>
      <c r="AC368" t="s">
        <v>89</v>
      </c>
      <c r="AD368" t="s">
        <v>89</v>
      </c>
      <c r="AE368" t="s">
        <v>3652</v>
      </c>
      <c r="AF368" s="4"/>
    </row>
    <row r="369" spans="1:32">
      <c r="A369" t="s">
        <v>9990</v>
      </c>
      <c r="B369" t="s">
        <v>2193</v>
      </c>
      <c r="C369" t="s">
        <v>9991</v>
      </c>
      <c r="D369" t="s">
        <v>48</v>
      </c>
      <c r="E369">
        <v>18615</v>
      </c>
      <c r="F369" t="s">
        <v>9992</v>
      </c>
      <c r="G369">
        <v>38949.79</v>
      </c>
      <c r="I369">
        <v>38949.79</v>
      </c>
      <c r="J369">
        <v>38949.79</v>
      </c>
      <c r="K369" s="4">
        <v>45391</v>
      </c>
      <c r="L369" s="4">
        <v>45391</v>
      </c>
      <c r="M369">
        <v>2024</v>
      </c>
      <c r="N369">
        <v>4</v>
      </c>
      <c r="O369" s="4">
        <v>45383</v>
      </c>
      <c r="P369" t="s">
        <v>89</v>
      </c>
      <c r="Q369" s="4"/>
      <c r="S369" t="s">
        <v>3138</v>
      </c>
      <c r="X369" t="s">
        <v>3770</v>
      </c>
      <c r="Z369" t="s">
        <v>89</v>
      </c>
      <c r="AA369" t="s">
        <v>89</v>
      </c>
      <c r="AC369" t="s">
        <v>89</v>
      </c>
      <c r="AD369" t="s">
        <v>89</v>
      </c>
      <c r="AE369" t="s">
        <v>3652</v>
      </c>
      <c r="AF369" s="4"/>
    </row>
    <row r="370" spans="1:32">
      <c r="A370" t="s">
        <v>9982</v>
      </c>
      <c r="B370" t="s">
        <v>2193</v>
      </c>
      <c r="C370" t="s">
        <v>9993</v>
      </c>
      <c r="D370" t="s">
        <v>48</v>
      </c>
      <c r="E370">
        <v>18614</v>
      </c>
      <c r="F370" t="s">
        <v>9994</v>
      </c>
      <c r="G370">
        <v>39813.79</v>
      </c>
      <c r="I370">
        <v>39813.79</v>
      </c>
      <c r="J370">
        <v>39813.79</v>
      </c>
      <c r="K370" s="4">
        <v>45391</v>
      </c>
      <c r="L370" s="4">
        <v>45391</v>
      </c>
      <c r="M370">
        <v>2024</v>
      </c>
      <c r="N370">
        <v>4</v>
      </c>
      <c r="O370" s="4">
        <v>45383</v>
      </c>
      <c r="P370" t="s">
        <v>89</v>
      </c>
      <c r="Q370" s="4"/>
      <c r="S370" t="s">
        <v>3135</v>
      </c>
      <c r="X370" t="s">
        <v>3770</v>
      </c>
      <c r="Z370" t="s">
        <v>89</v>
      </c>
      <c r="AA370" t="s">
        <v>89</v>
      </c>
      <c r="AC370" t="s">
        <v>89</v>
      </c>
      <c r="AD370" t="s">
        <v>89</v>
      </c>
      <c r="AE370" t="s">
        <v>3652</v>
      </c>
      <c r="AF370" s="4"/>
    </row>
    <row r="371" spans="1:32">
      <c r="A371" t="s">
        <v>9995</v>
      </c>
      <c r="B371" t="s">
        <v>2193</v>
      </c>
      <c r="C371" t="s">
        <v>9996</v>
      </c>
      <c r="D371" t="s">
        <v>48</v>
      </c>
      <c r="E371">
        <v>18612</v>
      </c>
      <c r="F371" t="s">
        <v>9997</v>
      </c>
      <c r="G371">
        <v>14704.51</v>
      </c>
      <c r="I371">
        <v>14704.51</v>
      </c>
      <c r="J371">
        <v>14704.51</v>
      </c>
      <c r="K371" s="4">
        <v>45391</v>
      </c>
      <c r="L371" s="4">
        <v>45391</v>
      </c>
      <c r="M371">
        <v>2024</v>
      </c>
      <c r="N371">
        <v>4</v>
      </c>
      <c r="O371" s="4">
        <v>45383</v>
      </c>
      <c r="P371" t="s">
        <v>89</v>
      </c>
      <c r="Q371" s="4"/>
      <c r="S371" t="s">
        <v>3084</v>
      </c>
      <c r="X371" t="s">
        <v>3681</v>
      </c>
      <c r="Z371" t="s">
        <v>89</v>
      </c>
      <c r="AA371" t="s">
        <v>89</v>
      </c>
      <c r="AC371" t="s">
        <v>89</v>
      </c>
      <c r="AD371" t="s">
        <v>89</v>
      </c>
      <c r="AE371" t="s">
        <v>3652</v>
      </c>
      <c r="AF371" s="4"/>
    </row>
    <row r="372" spans="1:32">
      <c r="A372" t="s">
        <v>9995</v>
      </c>
      <c r="B372" t="s">
        <v>2193</v>
      </c>
      <c r="C372" t="s">
        <v>9998</v>
      </c>
      <c r="D372" t="s">
        <v>48</v>
      </c>
      <c r="E372">
        <v>18612</v>
      </c>
      <c r="F372" t="s">
        <v>9999</v>
      </c>
      <c r="G372">
        <v>14704.51</v>
      </c>
      <c r="I372">
        <v>14704.51</v>
      </c>
      <c r="J372">
        <v>14704.51</v>
      </c>
      <c r="K372" s="4">
        <v>45391</v>
      </c>
      <c r="L372" s="4">
        <v>45391</v>
      </c>
      <c r="M372">
        <v>2024</v>
      </c>
      <c r="N372">
        <v>4</v>
      </c>
      <c r="O372" s="4">
        <v>45383</v>
      </c>
      <c r="P372" t="s">
        <v>89</v>
      </c>
      <c r="Q372" s="4"/>
      <c r="S372" t="s">
        <v>3081</v>
      </c>
      <c r="X372" t="s">
        <v>3681</v>
      </c>
      <c r="Z372" t="s">
        <v>89</v>
      </c>
      <c r="AA372" t="s">
        <v>89</v>
      </c>
      <c r="AC372" t="s">
        <v>89</v>
      </c>
      <c r="AD372" t="s">
        <v>89</v>
      </c>
      <c r="AE372" t="s">
        <v>3652</v>
      </c>
      <c r="AF372" s="4"/>
    </row>
    <row r="373" spans="1:32">
      <c r="A373" t="s">
        <v>9995</v>
      </c>
      <c r="B373" t="s">
        <v>2193</v>
      </c>
      <c r="C373" t="s">
        <v>10000</v>
      </c>
      <c r="D373" t="s">
        <v>48</v>
      </c>
      <c r="E373">
        <v>18612</v>
      </c>
      <c r="F373" t="s">
        <v>10001</v>
      </c>
      <c r="G373">
        <v>14704.51</v>
      </c>
      <c r="I373">
        <v>14704.51</v>
      </c>
      <c r="J373">
        <v>14704.51</v>
      </c>
      <c r="K373" s="4">
        <v>45391</v>
      </c>
      <c r="L373" s="4">
        <v>45391</v>
      </c>
      <c r="M373">
        <v>2024</v>
      </c>
      <c r="N373">
        <v>4</v>
      </c>
      <c r="O373" s="4">
        <v>45383</v>
      </c>
      <c r="P373" t="s">
        <v>89</v>
      </c>
      <c r="Q373" s="4"/>
      <c r="S373" t="s">
        <v>3085</v>
      </c>
      <c r="X373" t="s">
        <v>3681</v>
      </c>
      <c r="Z373" t="s">
        <v>89</v>
      </c>
      <c r="AA373" t="s">
        <v>89</v>
      </c>
      <c r="AC373" t="s">
        <v>89</v>
      </c>
      <c r="AD373" t="s">
        <v>89</v>
      </c>
      <c r="AE373" t="s">
        <v>3652</v>
      </c>
      <c r="AF373" s="4"/>
    </row>
    <row r="374" spans="1:32">
      <c r="A374" t="s">
        <v>9995</v>
      </c>
      <c r="B374" t="s">
        <v>2193</v>
      </c>
      <c r="C374" t="s">
        <v>10002</v>
      </c>
      <c r="D374" t="s">
        <v>48</v>
      </c>
      <c r="E374">
        <v>18612</v>
      </c>
      <c r="F374" t="s">
        <v>10003</v>
      </c>
      <c r="G374">
        <v>14704.51</v>
      </c>
      <c r="I374">
        <v>14704.51</v>
      </c>
      <c r="J374">
        <v>14704.51</v>
      </c>
      <c r="K374" s="4">
        <v>45391</v>
      </c>
      <c r="L374" s="4">
        <v>45391</v>
      </c>
      <c r="M374">
        <v>2024</v>
      </c>
      <c r="N374">
        <v>4</v>
      </c>
      <c r="O374" s="4">
        <v>45383</v>
      </c>
      <c r="P374" t="s">
        <v>89</v>
      </c>
      <c r="Q374" s="4"/>
      <c r="S374" t="s">
        <v>3087</v>
      </c>
      <c r="X374" t="s">
        <v>3681</v>
      </c>
      <c r="Z374" t="s">
        <v>89</v>
      </c>
      <c r="AA374" t="s">
        <v>89</v>
      </c>
      <c r="AC374" t="s">
        <v>89</v>
      </c>
      <c r="AD374" t="s">
        <v>89</v>
      </c>
      <c r="AE374" t="s">
        <v>3652</v>
      </c>
      <c r="AF374" s="4"/>
    </row>
    <row r="375" spans="1:32">
      <c r="A375" t="s">
        <v>10004</v>
      </c>
      <c r="B375" t="s">
        <v>2193</v>
      </c>
      <c r="C375" t="s">
        <v>10005</v>
      </c>
      <c r="D375" t="s">
        <v>48</v>
      </c>
      <c r="E375">
        <v>18617</v>
      </c>
      <c r="F375" t="s">
        <v>10006</v>
      </c>
      <c r="G375">
        <v>7752.53</v>
      </c>
      <c r="I375">
        <v>7752.53</v>
      </c>
      <c r="J375">
        <v>7752.53</v>
      </c>
      <c r="K375" s="4">
        <v>45391</v>
      </c>
      <c r="L375" s="4">
        <v>45391</v>
      </c>
      <c r="M375">
        <v>2024</v>
      </c>
      <c r="N375">
        <v>4</v>
      </c>
      <c r="O375" s="4">
        <v>45383</v>
      </c>
      <c r="P375" t="s">
        <v>89</v>
      </c>
      <c r="Q375" s="4"/>
      <c r="S375" t="s">
        <v>3141</v>
      </c>
      <c r="X375" t="s">
        <v>4784</v>
      </c>
      <c r="Z375" t="s">
        <v>89</v>
      </c>
      <c r="AA375" t="s">
        <v>89</v>
      </c>
      <c r="AC375" t="s">
        <v>89</v>
      </c>
      <c r="AD375" t="s">
        <v>89</v>
      </c>
      <c r="AE375" t="s">
        <v>3652</v>
      </c>
      <c r="AF375" s="4"/>
    </row>
    <row r="376" spans="1:32">
      <c r="A376" t="s">
        <v>10007</v>
      </c>
      <c r="B376" t="s">
        <v>2193</v>
      </c>
      <c r="C376" t="s">
        <v>10008</v>
      </c>
      <c r="D376" t="s">
        <v>48</v>
      </c>
      <c r="E376">
        <v>18618</v>
      </c>
      <c r="F376" t="s">
        <v>10009</v>
      </c>
      <c r="G376">
        <v>3461.33</v>
      </c>
      <c r="I376">
        <v>3461.33</v>
      </c>
      <c r="J376">
        <v>3461.33</v>
      </c>
      <c r="K376" s="4">
        <v>45391</v>
      </c>
      <c r="L376" s="4">
        <v>45391</v>
      </c>
      <c r="M376">
        <v>2024</v>
      </c>
      <c r="N376">
        <v>4</v>
      </c>
      <c r="O376" s="4">
        <v>45383</v>
      </c>
      <c r="P376" t="s">
        <v>89</v>
      </c>
      <c r="Q376" s="4"/>
      <c r="S376" t="s">
        <v>3144</v>
      </c>
      <c r="X376" t="s">
        <v>4784</v>
      </c>
      <c r="Z376" t="s">
        <v>89</v>
      </c>
      <c r="AA376" t="s">
        <v>89</v>
      </c>
      <c r="AC376" t="s">
        <v>89</v>
      </c>
      <c r="AD376" t="s">
        <v>89</v>
      </c>
      <c r="AE376" t="s">
        <v>3652</v>
      </c>
      <c r="AF376" s="4"/>
    </row>
    <row r="377" spans="1:32">
      <c r="A377" t="s">
        <v>10007</v>
      </c>
      <c r="B377" t="s">
        <v>2193</v>
      </c>
      <c r="C377" t="s">
        <v>10010</v>
      </c>
      <c r="D377" t="s">
        <v>48</v>
      </c>
      <c r="E377">
        <v>18618</v>
      </c>
      <c r="F377" t="s">
        <v>10011</v>
      </c>
      <c r="G377">
        <v>3461.33</v>
      </c>
      <c r="I377">
        <v>3461.33</v>
      </c>
      <c r="J377">
        <v>3461.33</v>
      </c>
      <c r="K377" s="4">
        <v>45391</v>
      </c>
      <c r="L377" s="4">
        <v>45391</v>
      </c>
      <c r="M377">
        <v>2024</v>
      </c>
      <c r="N377">
        <v>4</v>
      </c>
      <c r="O377" s="4">
        <v>45383</v>
      </c>
      <c r="P377" t="s">
        <v>89</v>
      </c>
      <c r="Q377" s="4"/>
      <c r="S377" t="s">
        <v>3142</v>
      </c>
      <c r="X377" t="s">
        <v>4784</v>
      </c>
      <c r="Z377" t="s">
        <v>89</v>
      </c>
      <c r="AA377" t="s">
        <v>89</v>
      </c>
      <c r="AC377" t="s">
        <v>89</v>
      </c>
      <c r="AD377" t="s">
        <v>89</v>
      </c>
      <c r="AE377" t="s">
        <v>3652</v>
      </c>
      <c r="AF377" s="4"/>
    </row>
    <row r="378" spans="1:32">
      <c r="A378" t="s">
        <v>10007</v>
      </c>
      <c r="B378" t="s">
        <v>2193</v>
      </c>
      <c r="C378" t="s">
        <v>10012</v>
      </c>
      <c r="D378" t="s">
        <v>48</v>
      </c>
      <c r="E378">
        <v>18618</v>
      </c>
      <c r="F378" t="s">
        <v>10013</v>
      </c>
      <c r="G378">
        <v>3461.33</v>
      </c>
      <c r="I378">
        <v>3461.33</v>
      </c>
      <c r="J378">
        <v>3461.33</v>
      </c>
      <c r="K378" s="4">
        <v>45391</v>
      </c>
      <c r="L378" s="4">
        <v>45391</v>
      </c>
      <c r="M378">
        <v>2024</v>
      </c>
      <c r="N378">
        <v>4</v>
      </c>
      <c r="O378" s="4">
        <v>45383</v>
      </c>
      <c r="P378" t="s">
        <v>89</v>
      </c>
      <c r="Q378" s="4"/>
      <c r="S378" t="s">
        <v>3143</v>
      </c>
      <c r="X378" t="s">
        <v>4784</v>
      </c>
      <c r="Z378" t="s">
        <v>89</v>
      </c>
      <c r="AA378" t="s">
        <v>89</v>
      </c>
      <c r="AC378" t="s">
        <v>89</v>
      </c>
      <c r="AD378" t="s">
        <v>89</v>
      </c>
      <c r="AE378" t="s">
        <v>3652</v>
      </c>
      <c r="AF378" s="4"/>
    </row>
    <row r="379" spans="1:32">
      <c r="A379" t="s">
        <v>9654</v>
      </c>
      <c r="B379" t="s">
        <v>2193</v>
      </c>
      <c r="C379" t="s">
        <v>10014</v>
      </c>
      <c r="D379" t="s">
        <v>39</v>
      </c>
      <c r="E379">
        <v>4600000810</v>
      </c>
      <c r="F379" t="s">
        <v>10015</v>
      </c>
      <c r="G379">
        <v>10449.43</v>
      </c>
      <c r="I379">
        <v>10449.43</v>
      </c>
      <c r="J379">
        <v>10449.43</v>
      </c>
      <c r="K379" s="4">
        <v>45391</v>
      </c>
      <c r="L379" s="4">
        <v>45391</v>
      </c>
      <c r="M379">
        <v>2024</v>
      </c>
      <c r="N379">
        <v>4</v>
      </c>
      <c r="O379" s="4">
        <v>45383</v>
      </c>
      <c r="P379" t="s">
        <v>89</v>
      </c>
      <c r="Q379" s="4"/>
      <c r="S379" t="s">
        <v>2963</v>
      </c>
      <c r="X379" t="s">
        <v>2369</v>
      </c>
      <c r="Z379" t="s">
        <v>89</v>
      </c>
      <c r="AA379" t="s">
        <v>89</v>
      </c>
      <c r="AC379" t="s">
        <v>89</v>
      </c>
      <c r="AD379" t="s">
        <v>89</v>
      </c>
      <c r="AE379" t="s">
        <v>3652</v>
      </c>
      <c r="AF379" s="4"/>
    </row>
    <row r="380" spans="1:32">
      <c r="A380" t="s">
        <v>9657</v>
      </c>
      <c r="B380" t="s">
        <v>2193</v>
      </c>
      <c r="C380" t="s">
        <v>10016</v>
      </c>
      <c r="D380" t="s">
        <v>39</v>
      </c>
      <c r="E380">
        <v>4600000810</v>
      </c>
      <c r="F380" t="s">
        <v>10017</v>
      </c>
      <c r="G380">
        <v>10355.89</v>
      </c>
      <c r="I380">
        <v>10355.89</v>
      </c>
      <c r="J380">
        <v>10355.89</v>
      </c>
      <c r="K380" s="4">
        <v>45391</v>
      </c>
      <c r="L380" s="4">
        <v>45391</v>
      </c>
      <c r="M380">
        <v>2024</v>
      </c>
      <c r="N380">
        <v>4</v>
      </c>
      <c r="O380" s="4">
        <v>45383</v>
      </c>
      <c r="P380" t="s">
        <v>89</v>
      </c>
      <c r="Q380" s="4"/>
      <c r="S380" t="s">
        <v>2939</v>
      </c>
      <c r="X380" t="s">
        <v>2369</v>
      </c>
      <c r="Z380" t="s">
        <v>89</v>
      </c>
      <c r="AA380" t="s">
        <v>89</v>
      </c>
      <c r="AC380" t="s">
        <v>89</v>
      </c>
      <c r="AD380" t="s">
        <v>89</v>
      </c>
      <c r="AE380" t="s">
        <v>3652</v>
      </c>
      <c r="AF380" s="4"/>
    </row>
    <row r="381" spans="1:32">
      <c r="A381" t="s">
        <v>10018</v>
      </c>
      <c r="B381" t="s">
        <v>2193</v>
      </c>
      <c r="C381" t="s">
        <v>10019</v>
      </c>
      <c r="D381" t="s">
        <v>39</v>
      </c>
      <c r="E381">
        <v>4600000721</v>
      </c>
      <c r="F381" t="s">
        <v>10020</v>
      </c>
      <c r="G381">
        <v>39470.980000000003</v>
      </c>
      <c r="I381">
        <v>39470.980000000003</v>
      </c>
      <c r="J381">
        <v>39470.980000000003</v>
      </c>
      <c r="K381" s="4">
        <v>45391</v>
      </c>
      <c r="L381" s="4">
        <v>45391</v>
      </c>
      <c r="M381">
        <v>2024</v>
      </c>
      <c r="N381">
        <v>4</v>
      </c>
      <c r="O381" s="4">
        <v>45383</v>
      </c>
      <c r="P381" t="s">
        <v>89</v>
      </c>
      <c r="Q381" s="4"/>
      <c r="S381" t="s">
        <v>2915</v>
      </c>
      <c r="X381" t="s">
        <v>4823</v>
      </c>
      <c r="Z381" t="s">
        <v>89</v>
      </c>
      <c r="AA381" t="s">
        <v>89</v>
      </c>
      <c r="AC381" t="s">
        <v>89</v>
      </c>
      <c r="AD381" t="s">
        <v>89</v>
      </c>
      <c r="AE381" t="s">
        <v>3652</v>
      </c>
      <c r="AF381" s="4"/>
    </row>
    <row r="382" spans="1:32">
      <c r="A382" t="s">
        <v>10021</v>
      </c>
      <c r="B382" t="s">
        <v>2193</v>
      </c>
      <c r="C382" t="s">
        <v>10022</v>
      </c>
      <c r="D382" t="s">
        <v>32</v>
      </c>
      <c r="E382">
        <v>4900168024</v>
      </c>
      <c r="F382" t="s">
        <v>10023</v>
      </c>
      <c r="G382">
        <v>18576</v>
      </c>
      <c r="I382">
        <v>18576</v>
      </c>
      <c r="J382">
        <v>18576</v>
      </c>
      <c r="K382" s="4">
        <v>45391</v>
      </c>
      <c r="L382" s="4">
        <v>45391</v>
      </c>
      <c r="M382">
        <v>2024</v>
      </c>
      <c r="N382">
        <v>4</v>
      </c>
      <c r="O382" s="4">
        <v>45383</v>
      </c>
      <c r="P382" t="s">
        <v>89</v>
      </c>
      <c r="Q382" s="4"/>
      <c r="S382" t="s">
        <v>2842</v>
      </c>
      <c r="X382" t="s">
        <v>4109</v>
      </c>
      <c r="Z382" t="s">
        <v>89</v>
      </c>
      <c r="AA382" t="s">
        <v>89</v>
      </c>
      <c r="AC382" t="s">
        <v>89</v>
      </c>
      <c r="AD382" t="s">
        <v>89</v>
      </c>
      <c r="AE382" t="s">
        <v>3652</v>
      </c>
      <c r="AF382" s="4"/>
    </row>
    <row r="383" spans="1:32">
      <c r="A383" t="s">
        <v>10024</v>
      </c>
      <c r="B383" t="s">
        <v>2193</v>
      </c>
      <c r="C383" t="s">
        <v>10025</v>
      </c>
      <c r="D383" t="s">
        <v>32</v>
      </c>
      <c r="E383">
        <v>4900167879</v>
      </c>
      <c r="F383" t="s">
        <v>10026</v>
      </c>
      <c r="G383">
        <v>18576</v>
      </c>
      <c r="I383">
        <v>18576</v>
      </c>
      <c r="J383">
        <v>18576</v>
      </c>
      <c r="K383" s="4">
        <v>45391</v>
      </c>
      <c r="L383" s="4">
        <v>45391</v>
      </c>
      <c r="M383">
        <v>2024</v>
      </c>
      <c r="N383">
        <v>4</v>
      </c>
      <c r="O383" s="4">
        <v>45383</v>
      </c>
      <c r="P383" t="s">
        <v>89</v>
      </c>
      <c r="Q383" s="4"/>
      <c r="S383" t="s">
        <v>2813</v>
      </c>
      <c r="X383" t="s">
        <v>4109</v>
      </c>
      <c r="Z383" t="s">
        <v>89</v>
      </c>
      <c r="AA383" t="s">
        <v>89</v>
      </c>
      <c r="AC383" t="s">
        <v>89</v>
      </c>
      <c r="AD383" t="s">
        <v>89</v>
      </c>
      <c r="AE383" t="s">
        <v>3652</v>
      </c>
      <c r="AF383" s="4"/>
    </row>
    <row r="384" spans="1:32">
      <c r="A384" t="s">
        <v>10027</v>
      </c>
      <c r="B384" t="s">
        <v>2193</v>
      </c>
      <c r="C384" t="s">
        <v>10028</v>
      </c>
      <c r="D384" t="s">
        <v>32</v>
      </c>
      <c r="E384">
        <v>4900167880</v>
      </c>
      <c r="F384" t="s">
        <v>10029</v>
      </c>
      <c r="G384">
        <v>21875.4</v>
      </c>
      <c r="I384">
        <v>21875.4</v>
      </c>
      <c r="J384">
        <v>21875.4</v>
      </c>
      <c r="K384" s="4">
        <v>45391</v>
      </c>
      <c r="L384" s="4">
        <v>45391</v>
      </c>
      <c r="M384">
        <v>2024</v>
      </c>
      <c r="N384">
        <v>4</v>
      </c>
      <c r="O384" s="4">
        <v>45383</v>
      </c>
      <c r="P384" t="s">
        <v>89</v>
      </c>
      <c r="Q384" s="4"/>
      <c r="S384" t="s">
        <v>2815</v>
      </c>
      <c r="X384" t="s">
        <v>4109</v>
      </c>
      <c r="Z384" t="s">
        <v>89</v>
      </c>
      <c r="AA384" t="s">
        <v>89</v>
      </c>
      <c r="AC384" t="s">
        <v>89</v>
      </c>
      <c r="AD384" t="s">
        <v>89</v>
      </c>
      <c r="AE384" t="s">
        <v>3652</v>
      </c>
      <c r="AF384" s="4"/>
    </row>
    <row r="385" spans="1:32">
      <c r="A385" t="s">
        <v>10030</v>
      </c>
      <c r="B385" t="s">
        <v>2193</v>
      </c>
      <c r="C385" t="s">
        <v>10031</v>
      </c>
      <c r="D385" t="s">
        <v>32</v>
      </c>
      <c r="E385">
        <v>4900167885</v>
      </c>
      <c r="F385" t="s">
        <v>10032</v>
      </c>
      <c r="G385">
        <v>31799.63</v>
      </c>
      <c r="I385">
        <v>31799.63</v>
      </c>
      <c r="J385">
        <v>31799.63</v>
      </c>
      <c r="K385" s="4">
        <v>45391</v>
      </c>
      <c r="L385" s="4">
        <v>45391</v>
      </c>
      <c r="M385">
        <v>2024</v>
      </c>
      <c r="N385">
        <v>4</v>
      </c>
      <c r="O385" s="4">
        <v>45383</v>
      </c>
      <c r="P385" t="s">
        <v>89</v>
      </c>
      <c r="Q385" s="4"/>
      <c r="S385" t="s">
        <v>2828</v>
      </c>
      <c r="X385" t="s">
        <v>4102</v>
      </c>
      <c r="Z385" t="s">
        <v>89</v>
      </c>
      <c r="AA385" t="s">
        <v>89</v>
      </c>
      <c r="AC385" t="s">
        <v>89</v>
      </c>
      <c r="AD385" t="s">
        <v>1473</v>
      </c>
      <c r="AE385" t="s">
        <v>9251</v>
      </c>
      <c r="AF385" s="4">
        <v>45444</v>
      </c>
    </row>
    <row r="386" spans="1:32">
      <c r="A386" t="s">
        <v>10033</v>
      </c>
      <c r="B386" t="s">
        <v>2193</v>
      </c>
      <c r="C386" t="s">
        <v>10034</v>
      </c>
      <c r="D386" t="s">
        <v>32</v>
      </c>
      <c r="E386">
        <v>4900168010</v>
      </c>
      <c r="F386" t="s">
        <v>10035</v>
      </c>
      <c r="K386" s="4">
        <v>45391</v>
      </c>
      <c r="L386" s="4">
        <v>45391</v>
      </c>
      <c r="M386">
        <v>2024</v>
      </c>
      <c r="N386">
        <v>4</v>
      </c>
      <c r="O386" s="4">
        <v>45383</v>
      </c>
      <c r="P386" t="s">
        <v>95</v>
      </c>
      <c r="Q386" s="4"/>
      <c r="R386" t="s">
        <v>10036</v>
      </c>
      <c r="S386" t="s">
        <v>2828</v>
      </c>
      <c r="X386" t="s">
        <v>4102</v>
      </c>
      <c r="Z386">
        <v>161</v>
      </c>
      <c r="AA386">
        <v>161</v>
      </c>
      <c r="AC386" t="s">
        <v>95</v>
      </c>
      <c r="AD386" t="s">
        <v>95</v>
      </c>
      <c r="AE386" t="s">
        <v>3652</v>
      </c>
      <c r="AF386" s="4"/>
    </row>
    <row r="387" spans="1:32">
      <c r="A387" t="s">
        <v>10037</v>
      </c>
      <c r="B387" t="s">
        <v>9366</v>
      </c>
      <c r="D387" t="s">
        <v>54</v>
      </c>
      <c r="E387" t="s">
        <v>9920</v>
      </c>
      <c r="F387" t="s">
        <v>4453</v>
      </c>
      <c r="G387">
        <v>2687.88</v>
      </c>
      <c r="I387">
        <v>2687.88</v>
      </c>
      <c r="J387">
        <v>2687.88</v>
      </c>
      <c r="K387" s="4">
        <v>45078</v>
      </c>
      <c r="L387" s="4">
        <v>45078</v>
      </c>
      <c r="M387">
        <v>2023</v>
      </c>
      <c r="N387">
        <v>6</v>
      </c>
      <c r="O387" s="4">
        <v>45078</v>
      </c>
      <c r="P387" t="s">
        <v>89</v>
      </c>
      <c r="Q387" s="4">
        <v>45351</v>
      </c>
      <c r="S387" t="s">
        <v>2634</v>
      </c>
      <c r="U387">
        <v>6719.7</v>
      </c>
      <c r="V387">
        <v>0.4</v>
      </c>
      <c r="W387" t="s">
        <v>16</v>
      </c>
      <c r="X387" t="s">
        <v>3681</v>
      </c>
      <c r="Z387" t="s">
        <v>89</v>
      </c>
      <c r="AA387" t="s">
        <v>89</v>
      </c>
      <c r="AC387" t="s">
        <v>89</v>
      </c>
      <c r="AD387" t="s">
        <v>89</v>
      </c>
      <c r="AE387" t="s">
        <v>3652</v>
      </c>
      <c r="AF387" s="4"/>
    </row>
    <row r="388" spans="1:32">
      <c r="A388" t="s">
        <v>10038</v>
      </c>
      <c r="B388" t="s">
        <v>9366</v>
      </c>
      <c r="D388" t="s">
        <v>54</v>
      </c>
      <c r="E388" t="s">
        <v>10039</v>
      </c>
      <c r="F388" t="s">
        <v>4455</v>
      </c>
      <c r="G388">
        <v>2687.88</v>
      </c>
      <c r="I388">
        <v>2687.88</v>
      </c>
      <c r="J388">
        <v>2687.88</v>
      </c>
      <c r="K388" s="4">
        <v>45047</v>
      </c>
      <c r="L388" s="4">
        <v>45047</v>
      </c>
      <c r="M388">
        <v>2023</v>
      </c>
      <c r="N388">
        <v>5</v>
      </c>
      <c r="O388" s="4">
        <v>45047</v>
      </c>
      <c r="P388" t="s">
        <v>89</v>
      </c>
      <c r="Q388" s="4">
        <v>45303</v>
      </c>
      <c r="S388" t="s">
        <v>4456</v>
      </c>
      <c r="U388">
        <v>6719.7</v>
      </c>
      <c r="V388">
        <v>0.4</v>
      </c>
      <c r="W388" t="s">
        <v>16</v>
      </c>
      <c r="X388" t="s">
        <v>3681</v>
      </c>
      <c r="Z388" t="s">
        <v>89</v>
      </c>
      <c r="AA388" t="s">
        <v>89</v>
      </c>
      <c r="AC388" t="s">
        <v>89</v>
      </c>
      <c r="AD388" t="s">
        <v>89</v>
      </c>
      <c r="AE388" t="s">
        <v>3652</v>
      </c>
      <c r="AF388" s="4"/>
    </row>
    <row r="389" spans="1:32">
      <c r="A389" t="s">
        <v>10040</v>
      </c>
      <c r="B389" t="s">
        <v>9366</v>
      </c>
      <c r="C389" t="s">
        <v>4415</v>
      </c>
      <c r="D389" t="s">
        <v>54</v>
      </c>
      <c r="E389" t="s">
        <v>9887</v>
      </c>
      <c r="F389" t="s">
        <v>4414</v>
      </c>
      <c r="G389">
        <v>12372.683999999999</v>
      </c>
      <c r="I389">
        <v>12372.683999999999</v>
      </c>
      <c r="K389" s="4">
        <v>45520</v>
      </c>
      <c r="L389" s="4">
        <v>45520</v>
      </c>
      <c r="M389">
        <v>2024</v>
      </c>
      <c r="N389">
        <v>8</v>
      </c>
      <c r="O389" s="4">
        <v>45505</v>
      </c>
      <c r="P389" t="s">
        <v>1473</v>
      </c>
      <c r="Q389" s="4"/>
      <c r="S389" t="s">
        <v>3783</v>
      </c>
      <c r="T389">
        <v>45551</v>
      </c>
      <c r="U389">
        <v>20621.14</v>
      </c>
      <c r="V389">
        <v>0.6</v>
      </c>
      <c r="W389" t="s">
        <v>16</v>
      </c>
      <c r="X389" t="s">
        <v>3770</v>
      </c>
      <c r="Z389">
        <v>32</v>
      </c>
      <c r="AA389">
        <v>32</v>
      </c>
      <c r="AB389" t="s">
        <v>9433</v>
      </c>
      <c r="AE389" t="s">
        <v>9251</v>
      </c>
      <c r="AF389" s="4"/>
    </row>
    <row r="390" spans="1:32">
      <c r="A390" t="s">
        <v>10041</v>
      </c>
      <c r="B390" t="s">
        <v>9366</v>
      </c>
      <c r="D390" t="s">
        <v>54</v>
      </c>
      <c r="E390" t="s">
        <v>9470</v>
      </c>
      <c r="F390" t="s">
        <v>4457</v>
      </c>
      <c r="G390">
        <v>2687.88</v>
      </c>
      <c r="I390">
        <v>2687.88</v>
      </c>
      <c r="J390">
        <v>2687.88</v>
      </c>
      <c r="K390" s="4">
        <v>45047</v>
      </c>
      <c r="L390" s="4">
        <v>45047</v>
      </c>
      <c r="M390">
        <v>2023</v>
      </c>
      <c r="N390">
        <v>5</v>
      </c>
      <c r="O390" s="4">
        <v>45047</v>
      </c>
      <c r="P390" t="s">
        <v>89</v>
      </c>
      <c r="Q390" s="4">
        <v>45303</v>
      </c>
      <c r="S390" t="s">
        <v>2763</v>
      </c>
      <c r="U390">
        <v>6719.7</v>
      </c>
      <c r="V390">
        <v>0.4</v>
      </c>
      <c r="W390" t="s">
        <v>16</v>
      </c>
      <c r="X390" t="s">
        <v>3681</v>
      </c>
      <c r="Z390" t="s">
        <v>89</v>
      </c>
      <c r="AA390" t="s">
        <v>89</v>
      </c>
      <c r="AC390" t="s">
        <v>89</v>
      </c>
      <c r="AD390" t="s">
        <v>89</v>
      </c>
      <c r="AE390" t="s">
        <v>3652</v>
      </c>
      <c r="AF390" s="4"/>
    </row>
    <row r="391" spans="1:32">
      <c r="A391" t="s">
        <v>10042</v>
      </c>
      <c r="B391" t="s">
        <v>9366</v>
      </c>
      <c r="D391" t="s">
        <v>54</v>
      </c>
      <c r="E391" t="s">
        <v>10043</v>
      </c>
      <c r="F391" t="s">
        <v>4459</v>
      </c>
      <c r="G391">
        <v>2687.88</v>
      </c>
      <c r="I391">
        <v>2687.88</v>
      </c>
      <c r="J391">
        <v>2687.88</v>
      </c>
      <c r="K391" s="4">
        <v>45047</v>
      </c>
      <c r="L391" s="4">
        <v>45047</v>
      </c>
      <c r="M391">
        <v>2023</v>
      </c>
      <c r="N391">
        <v>5</v>
      </c>
      <c r="O391" s="4">
        <v>45047</v>
      </c>
      <c r="P391" t="s">
        <v>89</v>
      </c>
      <c r="Q391" s="4">
        <v>45303</v>
      </c>
      <c r="S391" t="s">
        <v>2737</v>
      </c>
      <c r="U391">
        <v>6719.7</v>
      </c>
      <c r="V391">
        <v>0.4</v>
      </c>
      <c r="W391" t="s">
        <v>16</v>
      </c>
      <c r="X391" t="s">
        <v>3681</v>
      </c>
      <c r="Z391" t="s">
        <v>89</v>
      </c>
      <c r="AA391" t="s">
        <v>89</v>
      </c>
      <c r="AC391" t="s">
        <v>89</v>
      </c>
      <c r="AD391">
        <v>0</v>
      </c>
      <c r="AE391" t="s">
        <v>9251</v>
      </c>
      <c r="AF391" s="4"/>
    </row>
    <row r="392" spans="1:32">
      <c r="A392" t="s">
        <v>10044</v>
      </c>
      <c r="B392" t="s">
        <v>9366</v>
      </c>
      <c r="D392" t="s">
        <v>54</v>
      </c>
      <c r="E392" t="s">
        <v>10045</v>
      </c>
      <c r="F392" t="s">
        <v>4461</v>
      </c>
      <c r="G392">
        <v>2687.88</v>
      </c>
      <c r="I392">
        <v>2687.88</v>
      </c>
      <c r="J392">
        <v>2687.88</v>
      </c>
      <c r="K392" s="4">
        <v>45047</v>
      </c>
      <c r="L392" s="4">
        <v>45047</v>
      </c>
      <c r="M392">
        <v>2023</v>
      </c>
      <c r="N392">
        <v>5</v>
      </c>
      <c r="O392" s="4">
        <v>45047</v>
      </c>
      <c r="P392" t="s">
        <v>89</v>
      </c>
      <c r="Q392" s="4">
        <v>45303</v>
      </c>
      <c r="S392" t="s">
        <v>2585</v>
      </c>
      <c r="U392">
        <v>6719.7</v>
      </c>
      <c r="V392">
        <v>0.4</v>
      </c>
      <c r="W392" t="s">
        <v>16</v>
      </c>
      <c r="X392" t="s">
        <v>3681</v>
      </c>
      <c r="Z392" t="s">
        <v>89</v>
      </c>
      <c r="AA392" t="s">
        <v>89</v>
      </c>
      <c r="AC392" t="s">
        <v>89</v>
      </c>
      <c r="AD392">
        <v>0</v>
      </c>
      <c r="AE392" t="s">
        <v>9251</v>
      </c>
      <c r="AF392" s="4"/>
    </row>
    <row r="393" spans="1:32">
      <c r="A393" t="s">
        <v>10046</v>
      </c>
      <c r="B393" t="s">
        <v>9366</v>
      </c>
      <c r="D393" t="s">
        <v>54</v>
      </c>
      <c r="E393" t="s">
        <v>10047</v>
      </c>
      <c r="F393" t="s">
        <v>4462</v>
      </c>
      <c r="G393">
        <v>2687.88</v>
      </c>
      <c r="I393">
        <v>2687.88</v>
      </c>
      <c r="J393">
        <v>2687.88</v>
      </c>
      <c r="K393" s="4">
        <v>45047</v>
      </c>
      <c r="L393" s="4">
        <v>45047</v>
      </c>
      <c r="M393">
        <v>2023</v>
      </c>
      <c r="N393">
        <v>5</v>
      </c>
      <c r="O393" s="4">
        <v>45047</v>
      </c>
      <c r="P393" t="s">
        <v>89</v>
      </c>
      <c r="Q393" s="4">
        <v>45303</v>
      </c>
      <c r="S393" t="s">
        <v>2637</v>
      </c>
      <c r="U393">
        <v>6719.7</v>
      </c>
      <c r="V393">
        <v>0.4</v>
      </c>
      <c r="W393" t="s">
        <v>16</v>
      </c>
      <c r="X393" t="s">
        <v>3681</v>
      </c>
      <c r="Z393" t="s">
        <v>89</v>
      </c>
      <c r="AA393" t="s">
        <v>89</v>
      </c>
      <c r="AC393" t="s">
        <v>89</v>
      </c>
      <c r="AD393">
        <v>0</v>
      </c>
      <c r="AE393" t="s">
        <v>9251</v>
      </c>
      <c r="AF393" s="4"/>
    </row>
    <row r="394" spans="1:32">
      <c r="A394" t="s">
        <v>10048</v>
      </c>
      <c r="B394" t="s">
        <v>9366</v>
      </c>
      <c r="C394" t="s">
        <v>4464</v>
      </c>
      <c r="D394" t="s">
        <v>54</v>
      </c>
      <c r="E394" t="s">
        <v>10049</v>
      </c>
      <c r="F394" t="s">
        <v>4463</v>
      </c>
      <c r="G394">
        <v>1007.96</v>
      </c>
      <c r="I394">
        <v>1007.96</v>
      </c>
      <c r="J394">
        <v>1007.96</v>
      </c>
      <c r="K394" s="4">
        <v>45372</v>
      </c>
      <c r="L394" s="4">
        <v>45372</v>
      </c>
      <c r="M394">
        <v>2024</v>
      </c>
      <c r="N394">
        <v>3</v>
      </c>
      <c r="O394" s="4">
        <v>45352</v>
      </c>
      <c r="P394" t="s">
        <v>89</v>
      </c>
      <c r="Q394" s="4">
        <v>45458</v>
      </c>
      <c r="R394" t="s">
        <v>4168</v>
      </c>
      <c r="S394" t="s">
        <v>2602</v>
      </c>
      <c r="T394">
        <v>45446</v>
      </c>
      <c r="U394">
        <v>1679.93</v>
      </c>
      <c r="V394">
        <v>0.6000011905257957</v>
      </c>
      <c r="W394" t="s">
        <v>16</v>
      </c>
      <c r="X394" t="s">
        <v>3681</v>
      </c>
      <c r="Z394" t="s">
        <v>89</v>
      </c>
      <c r="AA394" t="s">
        <v>89</v>
      </c>
      <c r="AC394" t="s">
        <v>89</v>
      </c>
      <c r="AD394" t="s">
        <v>89</v>
      </c>
      <c r="AE394" t="s">
        <v>3652</v>
      </c>
      <c r="AF394" s="4"/>
    </row>
    <row r="395" spans="1:32">
      <c r="A395" t="s">
        <v>10050</v>
      </c>
      <c r="B395" t="s">
        <v>9366</v>
      </c>
      <c r="D395" t="s">
        <v>54</v>
      </c>
      <c r="E395" t="s">
        <v>10049</v>
      </c>
      <c r="F395" t="s">
        <v>4463</v>
      </c>
      <c r="G395">
        <v>671.97</v>
      </c>
      <c r="I395">
        <v>671.97</v>
      </c>
      <c r="J395">
        <v>671.97</v>
      </c>
      <c r="K395" s="4">
        <v>45047</v>
      </c>
      <c r="L395" s="4">
        <v>45047</v>
      </c>
      <c r="M395">
        <v>2023</v>
      </c>
      <c r="N395">
        <v>5</v>
      </c>
      <c r="O395" s="4">
        <v>45047</v>
      </c>
      <c r="P395" t="s">
        <v>89</v>
      </c>
      <c r="Q395" s="4">
        <v>45303</v>
      </c>
      <c r="S395" t="s">
        <v>2602</v>
      </c>
      <c r="U395">
        <v>1679.93</v>
      </c>
      <c r="V395">
        <v>0.3999988094742043</v>
      </c>
      <c r="W395" t="s">
        <v>16</v>
      </c>
      <c r="X395" t="s">
        <v>3681</v>
      </c>
      <c r="Z395" t="s">
        <v>89</v>
      </c>
      <c r="AA395" t="s">
        <v>89</v>
      </c>
      <c r="AC395" t="s">
        <v>89</v>
      </c>
      <c r="AD395">
        <v>0</v>
      </c>
      <c r="AE395" t="s">
        <v>9251</v>
      </c>
      <c r="AF395" s="4"/>
    </row>
    <row r="396" spans="1:32">
      <c r="A396" t="s">
        <v>10051</v>
      </c>
      <c r="B396" t="s">
        <v>9366</v>
      </c>
      <c r="D396" t="s">
        <v>54</v>
      </c>
      <c r="E396" t="s">
        <v>10052</v>
      </c>
      <c r="F396" t="s">
        <v>4465</v>
      </c>
      <c r="G396">
        <v>671.97</v>
      </c>
      <c r="I396">
        <v>671.97</v>
      </c>
      <c r="J396">
        <v>671.97</v>
      </c>
      <c r="K396" s="4">
        <v>45047</v>
      </c>
      <c r="L396" s="4">
        <v>45047</v>
      </c>
      <c r="M396">
        <v>2023</v>
      </c>
      <c r="N396">
        <v>5</v>
      </c>
      <c r="O396" s="4">
        <v>45047</v>
      </c>
      <c r="P396" t="s">
        <v>89</v>
      </c>
      <c r="Q396" s="4">
        <v>45303</v>
      </c>
      <c r="S396" t="s">
        <v>4466</v>
      </c>
      <c r="U396">
        <v>1679.93</v>
      </c>
      <c r="V396">
        <v>0.3999988094742043</v>
      </c>
      <c r="W396" t="s">
        <v>16</v>
      </c>
      <c r="X396" t="s">
        <v>3681</v>
      </c>
      <c r="Z396" t="s">
        <v>89</v>
      </c>
      <c r="AA396" t="s">
        <v>89</v>
      </c>
      <c r="AC396" t="s">
        <v>89</v>
      </c>
      <c r="AD396">
        <v>0</v>
      </c>
      <c r="AE396" t="s">
        <v>9251</v>
      </c>
      <c r="AF396" s="4"/>
    </row>
    <row r="397" spans="1:32">
      <c r="A397" t="s">
        <v>10053</v>
      </c>
      <c r="B397" t="s">
        <v>9366</v>
      </c>
      <c r="D397" t="s">
        <v>54</v>
      </c>
      <c r="E397" t="s">
        <v>10054</v>
      </c>
      <c r="F397" t="s">
        <v>4481</v>
      </c>
      <c r="G397">
        <v>1563.25</v>
      </c>
      <c r="I397">
        <v>1563.25</v>
      </c>
      <c r="J397">
        <v>1563.25</v>
      </c>
      <c r="K397" s="4">
        <v>45047</v>
      </c>
      <c r="L397" s="4">
        <v>45047</v>
      </c>
      <c r="M397">
        <v>2023</v>
      </c>
      <c r="N397">
        <v>5</v>
      </c>
      <c r="O397" s="4">
        <v>45047</v>
      </c>
      <c r="P397" t="s">
        <v>89</v>
      </c>
      <c r="Q397" s="4">
        <v>45153</v>
      </c>
      <c r="S397" t="s">
        <v>4483</v>
      </c>
      <c r="U397">
        <v>3908.12</v>
      </c>
      <c r="V397">
        <v>0.40000051175501267</v>
      </c>
      <c r="W397" t="s">
        <v>16</v>
      </c>
      <c r="X397" t="s">
        <v>3665</v>
      </c>
      <c r="Z397" t="s">
        <v>89</v>
      </c>
      <c r="AA397" t="s">
        <v>89</v>
      </c>
      <c r="AC397" t="s">
        <v>89</v>
      </c>
      <c r="AD397" t="s">
        <v>89</v>
      </c>
      <c r="AE397" t="s">
        <v>3652</v>
      </c>
      <c r="AF397" s="4"/>
    </row>
    <row r="398" spans="1:32">
      <c r="A398" t="s">
        <v>10055</v>
      </c>
      <c r="B398" t="s">
        <v>9366</v>
      </c>
      <c r="D398" t="s">
        <v>54</v>
      </c>
      <c r="E398" t="s">
        <v>10056</v>
      </c>
      <c r="F398" t="s">
        <v>4485</v>
      </c>
      <c r="G398">
        <v>1563.25</v>
      </c>
      <c r="I398">
        <v>1563.25</v>
      </c>
      <c r="J398">
        <v>1563.25</v>
      </c>
      <c r="K398" s="4">
        <v>45047</v>
      </c>
      <c r="L398" s="4">
        <v>45047</v>
      </c>
      <c r="M398">
        <v>2023</v>
      </c>
      <c r="N398">
        <v>5</v>
      </c>
      <c r="O398" s="4">
        <v>45047</v>
      </c>
      <c r="P398" t="s">
        <v>89</v>
      </c>
      <c r="Q398" s="4">
        <v>45153</v>
      </c>
      <c r="S398" t="s">
        <v>4487</v>
      </c>
      <c r="U398">
        <v>3908.12</v>
      </c>
      <c r="V398">
        <v>0.40000051175501267</v>
      </c>
      <c r="W398" t="s">
        <v>16</v>
      </c>
      <c r="X398" t="s">
        <v>3665</v>
      </c>
      <c r="Z398" t="s">
        <v>89</v>
      </c>
      <c r="AA398" t="s">
        <v>89</v>
      </c>
      <c r="AC398" t="s">
        <v>89</v>
      </c>
      <c r="AD398" t="s">
        <v>89</v>
      </c>
      <c r="AE398" t="s">
        <v>3652</v>
      </c>
      <c r="AF398" s="4"/>
    </row>
    <row r="399" spans="1:32">
      <c r="A399" t="s">
        <v>10057</v>
      </c>
      <c r="B399" t="s">
        <v>9366</v>
      </c>
      <c r="D399" t="s">
        <v>54</v>
      </c>
      <c r="E399" t="s">
        <v>10058</v>
      </c>
      <c r="F399" t="s">
        <v>4489</v>
      </c>
      <c r="G399">
        <v>1563.25</v>
      </c>
      <c r="I399">
        <v>1563.25</v>
      </c>
      <c r="J399">
        <v>1563.25</v>
      </c>
      <c r="K399" s="4">
        <v>45047</v>
      </c>
      <c r="L399" s="4">
        <v>45047</v>
      </c>
      <c r="M399">
        <v>2023</v>
      </c>
      <c r="N399">
        <v>5</v>
      </c>
      <c r="O399" s="4">
        <v>45047</v>
      </c>
      <c r="P399" t="s">
        <v>89</v>
      </c>
      <c r="Q399" s="4">
        <v>45153</v>
      </c>
      <c r="S399" t="s">
        <v>4490</v>
      </c>
      <c r="U399">
        <v>3908.12</v>
      </c>
      <c r="V399">
        <v>0.40000051175501267</v>
      </c>
      <c r="W399" t="s">
        <v>16</v>
      </c>
      <c r="X399" t="s">
        <v>3665</v>
      </c>
      <c r="Z399" t="s">
        <v>89</v>
      </c>
      <c r="AA399" t="s">
        <v>89</v>
      </c>
      <c r="AC399" t="s">
        <v>89</v>
      </c>
      <c r="AD399" t="s">
        <v>89</v>
      </c>
      <c r="AE399" t="s">
        <v>3652</v>
      </c>
      <c r="AF399" s="4"/>
    </row>
    <row r="400" spans="1:32">
      <c r="A400" t="s">
        <v>10059</v>
      </c>
      <c r="B400" t="s">
        <v>9366</v>
      </c>
      <c r="D400" t="s">
        <v>54</v>
      </c>
      <c r="E400" t="s">
        <v>10060</v>
      </c>
      <c r="F400" t="s">
        <v>4492</v>
      </c>
      <c r="G400">
        <v>1563.25</v>
      </c>
      <c r="I400">
        <v>1563.25</v>
      </c>
      <c r="J400">
        <v>1563.25</v>
      </c>
      <c r="K400" s="4">
        <v>45047</v>
      </c>
      <c r="L400" s="4">
        <v>45047</v>
      </c>
      <c r="M400">
        <v>2023</v>
      </c>
      <c r="N400">
        <v>5</v>
      </c>
      <c r="O400" s="4">
        <v>45047</v>
      </c>
      <c r="P400" t="s">
        <v>89</v>
      </c>
      <c r="Q400" s="4">
        <v>45153</v>
      </c>
      <c r="S400" t="s">
        <v>4493</v>
      </c>
      <c r="U400">
        <v>3908.12</v>
      </c>
      <c r="V400">
        <v>0.40000051175501267</v>
      </c>
      <c r="W400" t="s">
        <v>16</v>
      </c>
      <c r="X400" t="s">
        <v>3665</v>
      </c>
      <c r="Z400" t="s">
        <v>89</v>
      </c>
      <c r="AA400" t="s">
        <v>89</v>
      </c>
      <c r="AC400" t="s">
        <v>89</v>
      </c>
      <c r="AD400">
        <v>0</v>
      </c>
      <c r="AE400" t="s">
        <v>9251</v>
      </c>
      <c r="AF400" s="4"/>
    </row>
    <row r="401" spans="1:32">
      <c r="A401" t="s">
        <v>10061</v>
      </c>
      <c r="B401" t="s">
        <v>9366</v>
      </c>
      <c r="D401" t="s">
        <v>54</v>
      </c>
      <c r="E401" t="s">
        <v>10062</v>
      </c>
      <c r="F401" t="s">
        <v>4495</v>
      </c>
      <c r="G401">
        <v>547.91</v>
      </c>
      <c r="I401">
        <v>547.91</v>
      </c>
      <c r="J401">
        <v>547.91</v>
      </c>
      <c r="K401" s="4">
        <v>45108</v>
      </c>
      <c r="L401" s="4">
        <v>45108</v>
      </c>
      <c r="M401">
        <v>2023</v>
      </c>
      <c r="N401">
        <v>7</v>
      </c>
      <c r="O401" s="4">
        <v>45108</v>
      </c>
      <c r="P401" t="s">
        <v>89</v>
      </c>
      <c r="Q401" s="4">
        <v>45229</v>
      </c>
      <c r="S401" t="s">
        <v>4496</v>
      </c>
      <c r="U401">
        <v>1369.77</v>
      </c>
      <c r="V401">
        <v>0.40000146009914073</v>
      </c>
      <c r="W401" t="s">
        <v>16</v>
      </c>
      <c r="X401" t="s">
        <v>3665</v>
      </c>
      <c r="Z401" t="s">
        <v>89</v>
      </c>
      <c r="AA401" t="s">
        <v>89</v>
      </c>
      <c r="AC401" t="s">
        <v>89</v>
      </c>
      <c r="AD401" t="s">
        <v>89</v>
      </c>
      <c r="AE401" t="s">
        <v>3652</v>
      </c>
      <c r="AF401" s="4"/>
    </row>
    <row r="402" spans="1:32">
      <c r="A402" t="s">
        <v>10063</v>
      </c>
      <c r="B402" t="s">
        <v>9366</v>
      </c>
      <c r="D402" t="s">
        <v>54</v>
      </c>
      <c r="E402" t="s">
        <v>10064</v>
      </c>
      <c r="F402" t="s">
        <v>4498</v>
      </c>
      <c r="G402">
        <v>547.91</v>
      </c>
      <c r="I402">
        <v>547.91</v>
      </c>
      <c r="J402">
        <v>547.91</v>
      </c>
      <c r="K402" s="4">
        <v>45047</v>
      </c>
      <c r="L402" s="4">
        <v>45047</v>
      </c>
      <c r="M402">
        <v>2023</v>
      </c>
      <c r="N402">
        <v>5</v>
      </c>
      <c r="O402" s="4">
        <v>45047</v>
      </c>
      <c r="P402" t="s">
        <v>89</v>
      </c>
      <c r="Q402" s="4">
        <v>45153</v>
      </c>
      <c r="S402" t="s">
        <v>4499</v>
      </c>
      <c r="U402">
        <v>1369.77</v>
      </c>
      <c r="V402">
        <v>0.40000146009914073</v>
      </c>
      <c r="W402" t="s">
        <v>16</v>
      </c>
      <c r="X402" t="s">
        <v>3665</v>
      </c>
      <c r="Z402" t="s">
        <v>89</v>
      </c>
      <c r="AA402" t="s">
        <v>89</v>
      </c>
      <c r="AC402" t="s">
        <v>89</v>
      </c>
      <c r="AD402">
        <v>0</v>
      </c>
      <c r="AE402" t="s">
        <v>9251</v>
      </c>
      <c r="AF402" s="4"/>
    </row>
    <row r="403" spans="1:32">
      <c r="A403" t="s">
        <v>10065</v>
      </c>
      <c r="B403" t="s">
        <v>9366</v>
      </c>
      <c r="D403" t="s">
        <v>54</v>
      </c>
      <c r="E403" t="s">
        <v>10066</v>
      </c>
      <c r="F403" t="s">
        <v>4501</v>
      </c>
      <c r="G403">
        <v>547.91</v>
      </c>
      <c r="I403">
        <v>547.91</v>
      </c>
      <c r="J403">
        <v>547.91</v>
      </c>
      <c r="K403" s="4">
        <v>45047</v>
      </c>
      <c r="L403" s="4">
        <v>45047</v>
      </c>
      <c r="M403">
        <v>2023</v>
      </c>
      <c r="N403">
        <v>5</v>
      </c>
      <c r="O403" s="4">
        <v>45047</v>
      </c>
      <c r="P403" t="s">
        <v>89</v>
      </c>
      <c r="Q403" s="4">
        <v>45153</v>
      </c>
      <c r="S403" t="s">
        <v>4502</v>
      </c>
      <c r="U403">
        <v>1369.77</v>
      </c>
      <c r="V403">
        <v>0.40000146009914073</v>
      </c>
      <c r="W403" t="s">
        <v>16</v>
      </c>
      <c r="X403" t="s">
        <v>3665</v>
      </c>
      <c r="Z403" t="s">
        <v>89</v>
      </c>
      <c r="AA403" t="s">
        <v>89</v>
      </c>
      <c r="AC403" t="s">
        <v>89</v>
      </c>
      <c r="AD403" t="s">
        <v>89</v>
      </c>
      <c r="AE403" t="s">
        <v>3652</v>
      </c>
      <c r="AF403" s="4"/>
    </row>
    <row r="404" spans="1:32">
      <c r="A404" t="s">
        <v>10067</v>
      </c>
      <c r="B404" t="s">
        <v>9366</v>
      </c>
      <c r="D404" t="s">
        <v>54</v>
      </c>
      <c r="E404" t="s">
        <v>10068</v>
      </c>
      <c r="F404" t="s">
        <v>4503</v>
      </c>
      <c r="G404">
        <v>547.91</v>
      </c>
      <c r="I404">
        <v>547.91</v>
      </c>
      <c r="J404">
        <v>547.91</v>
      </c>
      <c r="K404" s="4">
        <v>45047</v>
      </c>
      <c r="L404" s="4">
        <v>45047</v>
      </c>
      <c r="M404">
        <v>2023</v>
      </c>
      <c r="N404">
        <v>5</v>
      </c>
      <c r="O404" s="4">
        <v>45047</v>
      </c>
      <c r="P404" t="s">
        <v>89</v>
      </c>
      <c r="Q404" s="4">
        <v>45153</v>
      </c>
      <c r="S404" t="s">
        <v>4150</v>
      </c>
      <c r="U404">
        <v>1369.77</v>
      </c>
      <c r="V404">
        <v>0.40000146009914073</v>
      </c>
      <c r="W404" t="s">
        <v>16</v>
      </c>
      <c r="X404" t="s">
        <v>3665</v>
      </c>
      <c r="Z404" t="s">
        <v>89</v>
      </c>
      <c r="AA404" t="s">
        <v>89</v>
      </c>
      <c r="AC404" t="s">
        <v>89</v>
      </c>
      <c r="AD404" t="s">
        <v>89</v>
      </c>
      <c r="AE404" t="s">
        <v>3652</v>
      </c>
      <c r="AF404" s="4"/>
    </row>
    <row r="405" spans="1:32">
      <c r="A405" t="s">
        <v>10069</v>
      </c>
      <c r="B405" t="s">
        <v>9366</v>
      </c>
      <c r="D405" t="s">
        <v>54</v>
      </c>
      <c r="E405" t="s">
        <v>10070</v>
      </c>
      <c r="F405" t="s">
        <v>4505</v>
      </c>
      <c r="G405">
        <v>547.91</v>
      </c>
      <c r="I405">
        <v>547.91</v>
      </c>
      <c r="J405">
        <v>547.91</v>
      </c>
      <c r="K405" s="4">
        <v>45047</v>
      </c>
      <c r="L405" s="4">
        <v>45047</v>
      </c>
      <c r="M405">
        <v>2023</v>
      </c>
      <c r="N405">
        <v>5</v>
      </c>
      <c r="O405" s="4">
        <v>45047</v>
      </c>
      <c r="P405" t="s">
        <v>89</v>
      </c>
      <c r="Q405" s="4">
        <v>45153</v>
      </c>
      <c r="S405" t="s">
        <v>4506</v>
      </c>
      <c r="U405">
        <v>1369.77</v>
      </c>
      <c r="V405">
        <v>0.40000146009914073</v>
      </c>
      <c r="W405" t="s">
        <v>16</v>
      </c>
      <c r="X405" t="s">
        <v>3665</v>
      </c>
      <c r="Z405" t="s">
        <v>89</v>
      </c>
      <c r="AA405" t="s">
        <v>89</v>
      </c>
      <c r="AC405" t="s">
        <v>89</v>
      </c>
      <c r="AD405">
        <v>0</v>
      </c>
      <c r="AE405" t="s">
        <v>9251</v>
      </c>
      <c r="AF405" s="4"/>
    </row>
    <row r="406" spans="1:32">
      <c r="A406" t="s">
        <v>10071</v>
      </c>
      <c r="B406" t="s">
        <v>9366</v>
      </c>
      <c r="D406" t="s">
        <v>54</v>
      </c>
      <c r="E406" t="s">
        <v>9765</v>
      </c>
      <c r="F406" t="s">
        <v>4508</v>
      </c>
      <c r="G406">
        <v>547.91</v>
      </c>
      <c r="I406">
        <v>547.91</v>
      </c>
      <c r="J406">
        <v>547.91</v>
      </c>
      <c r="K406" s="4">
        <v>45047</v>
      </c>
      <c r="L406" s="4">
        <v>45047</v>
      </c>
      <c r="M406">
        <v>2023</v>
      </c>
      <c r="N406">
        <v>5</v>
      </c>
      <c r="O406" s="4">
        <v>45047</v>
      </c>
      <c r="P406" t="s">
        <v>89</v>
      </c>
      <c r="Q406" s="4">
        <v>45153</v>
      </c>
      <c r="S406" t="s">
        <v>4509</v>
      </c>
      <c r="U406">
        <v>1369.77</v>
      </c>
      <c r="V406">
        <v>0.40000146009914073</v>
      </c>
      <c r="W406" t="s">
        <v>16</v>
      </c>
      <c r="X406" t="s">
        <v>3665</v>
      </c>
      <c r="Z406" t="s">
        <v>89</v>
      </c>
      <c r="AA406" t="s">
        <v>89</v>
      </c>
      <c r="AC406" t="s">
        <v>89</v>
      </c>
      <c r="AD406">
        <v>0</v>
      </c>
      <c r="AE406" t="s">
        <v>9251</v>
      </c>
      <c r="AF406" s="4"/>
    </row>
    <row r="407" spans="1:32">
      <c r="A407" t="s">
        <v>10072</v>
      </c>
      <c r="B407" t="s">
        <v>9366</v>
      </c>
      <c r="D407" t="s">
        <v>54</v>
      </c>
      <c r="E407" t="s">
        <v>10073</v>
      </c>
      <c r="F407" t="s">
        <v>4511</v>
      </c>
      <c r="G407">
        <v>1522.58</v>
      </c>
      <c r="I407">
        <v>1522.58</v>
      </c>
      <c r="J407">
        <v>1522.58</v>
      </c>
      <c r="K407" s="4">
        <v>45047</v>
      </c>
      <c r="L407" s="4">
        <v>45047</v>
      </c>
      <c r="M407">
        <v>2023</v>
      </c>
      <c r="N407">
        <v>5</v>
      </c>
      <c r="O407" s="4">
        <v>45047</v>
      </c>
      <c r="P407" t="s">
        <v>89</v>
      </c>
      <c r="Q407" s="4">
        <v>45153</v>
      </c>
      <c r="S407" t="s">
        <v>2571</v>
      </c>
      <c r="U407">
        <v>3806.44</v>
      </c>
      <c r="V407">
        <v>0.40000105085066356</v>
      </c>
      <c r="W407" t="s">
        <v>16</v>
      </c>
      <c r="X407" t="s">
        <v>3665</v>
      </c>
      <c r="Z407" t="s">
        <v>89</v>
      </c>
      <c r="AA407" t="s">
        <v>89</v>
      </c>
      <c r="AC407" t="s">
        <v>89</v>
      </c>
      <c r="AD407">
        <v>0</v>
      </c>
      <c r="AE407" t="s">
        <v>9251</v>
      </c>
      <c r="AF407" s="4"/>
    </row>
    <row r="408" spans="1:32">
      <c r="A408" t="s">
        <v>10074</v>
      </c>
      <c r="B408" t="s">
        <v>9366</v>
      </c>
      <c r="D408" t="s">
        <v>54</v>
      </c>
      <c r="E408" t="s">
        <v>10075</v>
      </c>
      <c r="F408" t="s">
        <v>4512</v>
      </c>
      <c r="G408">
        <v>547.91</v>
      </c>
      <c r="I408">
        <v>547.91</v>
      </c>
      <c r="J408">
        <v>547.91</v>
      </c>
      <c r="K408" s="4">
        <v>45047</v>
      </c>
      <c r="L408" s="4">
        <v>45047</v>
      </c>
      <c r="M408">
        <v>2023</v>
      </c>
      <c r="N408">
        <v>5</v>
      </c>
      <c r="O408" s="4">
        <v>45047</v>
      </c>
      <c r="P408" t="s">
        <v>89</v>
      </c>
      <c r="Q408" s="4">
        <v>45153</v>
      </c>
      <c r="S408" t="s">
        <v>2598</v>
      </c>
      <c r="U408">
        <v>1369.77</v>
      </c>
      <c r="V408">
        <v>0.40000146009914073</v>
      </c>
      <c r="W408" t="s">
        <v>16</v>
      </c>
      <c r="X408" t="s">
        <v>3665</v>
      </c>
      <c r="Z408" t="s">
        <v>89</v>
      </c>
      <c r="AA408" t="s">
        <v>89</v>
      </c>
      <c r="AC408" t="s">
        <v>89</v>
      </c>
      <c r="AD408">
        <v>0</v>
      </c>
      <c r="AE408" t="s">
        <v>9251</v>
      </c>
      <c r="AF408" s="4"/>
    </row>
    <row r="409" spans="1:32">
      <c r="A409" t="s">
        <v>10076</v>
      </c>
      <c r="B409" t="s">
        <v>9366</v>
      </c>
      <c r="D409" t="s">
        <v>54</v>
      </c>
      <c r="E409" t="s">
        <v>10077</v>
      </c>
      <c r="F409" t="s">
        <v>4513</v>
      </c>
      <c r="G409">
        <v>547.91</v>
      </c>
      <c r="I409">
        <v>547.91</v>
      </c>
      <c r="J409">
        <v>547.91</v>
      </c>
      <c r="K409" s="4">
        <v>45047</v>
      </c>
      <c r="L409" s="4">
        <v>45047</v>
      </c>
      <c r="M409">
        <v>2023</v>
      </c>
      <c r="N409">
        <v>5</v>
      </c>
      <c r="O409" s="4">
        <v>45047</v>
      </c>
      <c r="P409" t="s">
        <v>89</v>
      </c>
      <c r="Q409" s="4">
        <v>45153</v>
      </c>
      <c r="S409" t="s">
        <v>2580</v>
      </c>
      <c r="U409">
        <v>1369.77</v>
      </c>
      <c r="V409">
        <v>0.40000146009914073</v>
      </c>
      <c r="W409" t="s">
        <v>16</v>
      </c>
      <c r="X409" t="s">
        <v>3665</v>
      </c>
      <c r="Z409" t="s">
        <v>89</v>
      </c>
      <c r="AA409" t="s">
        <v>89</v>
      </c>
      <c r="AC409" t="s">
        <v>89</v>
      </c>
      <c r="AD409">
        <v>0</v>
      </c>
      <c r="AE409" t="s">
        <v>9251</v>
      </c>
      <c r="AF409" s="4"/>
    </row>
    <row r="410" spans="1:32">
      <c r="A410" t="s">
        <v>10078</v>
      </c>
      <c r="B410" t="s">
        <v>9366</v>
      </c>
      <c r="D410" t="s">
        <v>54</v>
      </c>
      <c r="E410" t="s">
        <v>10079</v>
      </c>
      <c r="F410" t="s">
        <v>4514</v>
      </c>
      <c r="G410">
        <v>547.91</v>
      </c>
      <c r="I410">
        <v>547.91</v>
      </c>
      <c r="J410">
        <v>547.91</v>
      </c>
      <c r="K410" s="4">
        <v>45047</v>
      </c>
      <c r="L410" s="4">
        <v>45047</v>
      </c>
      <c r="M410">
        <v>2023</v>
      </c>
      <c r="N410">
        <v>5</v>
      </c>
      <c r="O410" s="4">
        <v>45047</v>
      </c>
      <c r="P410" t="s">
        <v>89</v>
      </c>
      <c r="Q410" s="4">
        <v>45153</v>
      </c>
      <c r="S410" t="s">
        <v>4515</v>
      </c>
      <c r="U410">
        <v>1369.77</v>
      </c>
      <c r="V410">
        <v>0.40000146009914073</v>
      </c>
      <c r="W410" t="s">
        <v>16</v>
      </c>
      <c r="X410" t="s">
        <v>3665</v>
      </c>
      <c r="Z410" t="s">
        <v>89</v>
      </c>
      <c r="AA410" t="s">
        <v>89</v>
      </c>
      <c r="AC410" t="s">
        <v>89</v>
      </c>
      <c r="AD410" t="s">
        <v>89</v>
      </c>
      <c r="AE410" t="s">
        <v>3652</v>
      </c>
      <c r="AF410" s="4"/>
    </row>
    <row r="411" spans="1:32">
      <c r="A411" t="s">
        <v>10080</v>
      </c>
      <c r="B411" t="s">
        <v>9366</v>
      </c>
      <c r="D411" t="s">
        <v>54</v>
      </c>
      <c r="E411" t="s">
        <v>10081</v>
      </c>
      <c r="F411" t="s">
        <v>4516</v>
      </c>
      <c r="G411">
        <v>1035.46</v>
      </c>
      <c r="I411">
        <v>1035.46</v>
      </c>
      <c r="J411">
        <v>1035.46</v>
      </c>
      <c r="K411" s="4">
        <v>45047</v>
      </c>
      <c r="L411" s="4">
        <v>45047</v>
      </c>
      <c r="M411">
        <v>2023</v>
      </c>
      <c r="N411">
        <v>5</v>
      </c>
      <c r="O411" s="4">
        <v>45047</v>
      </c>
      <c r="P411" t="s">
        <v>89</v>
      </c>
      <c r="Q411" s="4">
        <v>45168</v>
      </c>
      <c r="S411" t="s">
        <v>3193</v>
      </c>
      <c r="U411">
        <v>2588.64</v>
      </c>
      <c r="V411">
        <v>0.40000154521293035</v>
      </c>
      <c r="W411" t="s">
        <v>16</v>
      </c>
      <c r="X411" t="s">
        <v>3665</v>
      </c>
      <c r="Z411" t="s">
        <v>89</v>
      </c>
      <c r="AA411" t="s">
        <v>89</v>
      </c>
      <c r="AC411" t="s">
        <v>89</v>
      </c>
      <c r="AD411">
        <v>0</v>
      </c>
      <c r="AE411" t="s">
        <v>9251</v>
      </c>
      <c r="AF411" s="4"/>
    </row>
    <row r="412" spans="1:32">
      <c r="A412" t="s">
        <v>10082</v>
      </c>
      <c r="B412" t="s">
        <v>9366</v>
      </c>
      <c r="D412" t="s">
        <v>54</v>
      </c>
      <c r="E412" t="s">
        <v>10083</v>
      </c>
      <c r="F412" t="s">
        <v>4520</v>
      </c>
      <c r="G412">
        <v>1035.46</v>
      </c>
      <c r="I412">
        <v>1035.46</v>
      </c>
      <c r="J412">
        <v>1035.46</v>
      </c>
      <c r="K412" s="4">
        <v>45047</v>
      </c>
      <c r="L412" s="4">
        <v>45047</v>
      </c>
      <c r="M412">
        <v>2023</v>
      </c>
      <c r="N412">
        <v>5</v>
      </c>
      <c r="O412" s="4">
        <v>45047</v>
      </c>
      <c r="P412" t="s">
        <v>89</v>
      </c>
      <c r="Q412" s="4">
        <v>45168</v>
      </c>
      <c r="S412" t="s">
        <v>3291</v>
      </c>
      <c r="U412">
        <v>2588.64</v>
      </c>
      <c r="V412">
        <v>0.40000154521293035</v>
      </c>
      <c r="W412" t="s">
        <v>16</v>
      </c>
      <c r="X412" t="s">
        <v>3665</v>
      </c>
      <c r="Z412" t="s">
        <v>89</v>
      </c>
      <c r="AA412" t="s">
        <v>89</v>
      </c>
      <c r="AC412" t="s">
        <v>89</v>
      </c>
      <c r="AD412">
        <v>0</v>
      </c>
      <c r="AE412" t="s">
        <v>9251</v>
      </c>
      <c r="AF412" s="4"/>
    </row>
    <row r="413" spans="1:32">
      <c r="A413" t="s">
        <v>10084</v>
      </c>
      <c r="B413" t="s">
        <v>9366</v>
      </c>
      <c r="D413" t="s">
        <v>54</v>
      </c>
      <c r="E413" t="s">
        <v>10085</v>
      </c>
      <c r="F413" t="s">
        <v>4522</v>
      </c>
      <c r="G413">
        <v>1035.46</v>
      </c>
      <c r="I413">
        <v>1035.46</v>
      </c>
      <c r="J413">
        <v>1035.46</v>
      </c>
      <c r="K413" s="4">
        <v>45047</v>
      </c>
      <c r="L413" s="4">
        <v>45047</v>
      </c>
      <c r="M413">
        <v>2023</v>
      </c>
      <c r="N413">
        <v>5</v>
      </c>
      <c r="O413" s="4">
        <v>45047</v>
      </c>
      <c r="P413" t="s">
        <v>89</v>
      </c>
      <c r="Q413" s="4">
        <v>45168</v>
      </c>
      <c r="S413" t="s">
        <v>3440</v>
      </c>
      <c r="U413">
        <v>2588.64</v>
      </c>
      <c r="V413">
        <v>0.40000154521293035</v>
      </c>
      <c r="W413" t="s">
        <v>16</v>
      </c>
      <c r="X413" t="s">
        <v>3665</v>
      </c>
      <c r="Z413" t="s">
        <v>89</v>
      </c>
      <c r="AA413" t="s">
        <v>89</v>
      </c>
      <c r="AC413" t="s">
        <v>89</v>
      </c>
      <c r="AD413">
        <v>0</v>
      </c>
      <c r="AE413" t="s">
        <v>9251</v>
      </c>
      <c r="AF413" s="4"/>
    </row>
    <row r="414" spans="1:32">
      <c r="A414" t="s">
        <v>10086</v>
      </c>
      <c r="B414" t="s">
        <v>9366</v>
      </c>
      <c r="D414" t="s">
        <v>54</v>
      </c>
      <c r="E414" t="s">
        <v>10087</v>
      </c>
      <c r="F414" t="s">
        <v>4524</v>
      </c>
      <c r="G414">
        <v>1035.46</v>
      </c>
      <c r="I414">
        <v>1035.46</v>
      </c>
      <c r="J414">
        <v>1035.46</v>
      </c>
      <c r="K414" s="4">
        <v>45047</v>
      </c>
      <c r="L414" s="4">
        <v>45047</v>
      </c>
      <c r="M414">
        <v>2023</v>
      </c>
      <c r="N414">
        <v>5</v>
      </c>
      <c r="O414" s="4">
        <v>45047</v>
      </c>
      <c r="P414" t="s">
        <v>89</v>
      </c>
      <c r="Q414" s="4">
        <v>45168</v>
      </c>
      <c r="S414" t="s">
        <v>3405</v>
      </c>
      <c r="U414">
        <v>2588.64</v>
      </c>
      <c r="V414">
        <v>0.40000154521293035</v>
      </c>
      <c r="W414" t="s">
        <v>16</v>
      </c>
      <c r="X414" t="s">
        <v>3665</v>
      </c>
      <c r="Z414" t="s">
        <v>89</v>
      </c>
      <c r="AA414" t="s">
        <v>89</v>
      </c>
      <c r="AC414" t="s">
        <v>89</v>
      </c>
      <c r="AD414">
        <v>0</v>
      </c>
      <c r="AE414" t="s">
        <v>9251</v>
      </c>
      <c r="AF414" s="4"/>
    </row>
    <row r="415" spans="1:32">
      <c r="A415" t="s">
        <v>10088</v>
      </c>
      <c r="B415" t="s">
        <v>9366</v>
      </c>
      <c r="D415" t="s">
        <v>54</v>
      </c>
      <c r="E415" t="s">
        <v>10089</v>
      </c>
      <c r="F415" t="s">
        <v>4526</v>
      </c>
      <c r="G415">
        <v>1035.46</v>
      </c>
      <c r="I415">
        <v>1035.46</v>
      </c>
      <c r="J415">
        <v>1035.46</v>
      </c>
      <c r="K415" s="4">
        <v>45108</v>
      </c>
      <c r="L415" s="4">
        <v>45108</v>
      </c>
      <c r="M415">
        <v>2023</v>
      </c>
      <c r="N415">
        <v>7</v>
      </c>
      <c r="O415" s="4">
        <v>45108</v>
      </c>
      <c r="P415" t="s">
        <v>89</v>
      </c>
      <c r="Q415" s="4">
        <v>45168</v>
      </c>
      <c r="S415" t="s">
        <v>3206</v>
      </c>
      <c r="U415">
        <v>2588.64</v>
      </c>
      <c r="V415">
        <v>0.40000154521293035</v>
      </c>
      <c r="W415" t="s">
        <v>16</v>
      </c>
      <c r="X415" t="s">
        <v>3665</v>
      </c>
      <c r="Z415" t="s">
        <v>89</v>
      </c>
      <c r="AA415" t="s">
        <v>89</v>
      </c>
      <c r="AC415" t="s">
        <v>89</v>
      </c>
      <c r="AD415" t="s">
        <v>89</v>
      </c>
      <c r="AE415" t="s">
        <v>3652</v>
      </c>
      <c r="AF415" s="4"/>
    </row>
    <row r="416" spans="1:32">
      <c r="A416" t="s">
        <v>10090</v>
      </c>
      <c r="B416" t="s">
        <v>9366</v>
      </c>
      <c r="D416" t="s">
        <v>54</v>
      </c>
      <c r="E416" t="s">
        <v>10091</v>
      </c>
      <c r="F416" t="s">
        <v>4529</v>
      </c>
      <c r="G416">
        <v>527.79</v>
      </c>
      <c r="I416">
        <v>527.79</v>
      </c>
      <c r="J416">
        <v>527.79</v>
      </c>
      <c r="K416" s="4">
        <v>45047</v>
      </c>
      <c r="L416" s="4">
        <v>45047</v>
      </c>
      <c r="M416">
        <v>2023</v>
      </c>
      <c r="N416">
        <v>5</v>
      </c>
      <c r="O416" s="4">
        <v>45047</v>
      </c>
      <c r="P416" t="s">
        <v>89</v>
      </c>
      <c r="Q416" s="4">
        <v>45168</v>
      </c>
      <c r="S416" t="s">
        <v>3275</v>
      </c>
      <c r="U416">
        <v>1319.47</v>
      </c>
      <c r="V416">
        <v>0.40000151576011578</v>
      </c>
      <c r="W416" t="s">
        <v>16</v>
      </c>
      <c r="X416" t="s">
        <v>3665</v>
      </c>
      <c r="Z416" t="s">
        <v>89</v>
      </c>
      <c r="AA416" t="s">
        <v>89</v>
      </c>
      <c r="AC416" t="s">
        <v>89</v>
      </c>
      <c r="AD416" t="s">
        <v>89</v>
      </c>
      <c r="AE416" t="s">
        <v>3652</v>
      </c>
      <c r="AF416" s="4"/>
    </row>
    <row r="417" spans="1:32">
      <c r="A417" t="s">
        <v>10092</v>
      </c>
      <c r="B417" t="s">
        <v>9366</v>
      </c>
      <c r="D417" t="s">
        <v>54</v>
      </c>
      <c r="E417" t="s">
        <v>10093</v>
      </c>
      <c r="F417" t="s">
        <v>4531</v>
      </c>
      <c r="G417">
        <v>527.79</v>
      </c>
      <c r="I417">
        <v>527.79</v>
      </c>
      <c r="J417">
        <v>527.79</v>
      </c>
      <c r="K417" s="4">
        <v>45108</v>
      </c>
      <c r="L417" s="4">
        <v>45108</v>
      </c>
      <c r="M417">
        <v>2023</v>
      </c>
      <c r="N417">
        <v>7</v>
      </c>
      <c r="O417" s="4">
        <v>45108</v>
      </c>
      <c r="P417" t="s">
        <v>89</v>
      </c>
      <c r="Q417" s="4">
        <v>45168</v>
      </c>
      <c r="S417" t="s">
        <v>3185</v>
      </c>
      <c r="U417">
        <v>1319.47</v>
      </c>
      <c r="V417">
        <v>0.40000151576011578</v>
      </c>
      <c r="W417" t="s">
        <v>16</v>
      </c>
      <c r="X417" t="s">
        <v>3665</v>
      </c>
      <c r="Z417" t="s">
        <v>89</v>
      </c>
      <c r="AA417" t="s">
        <v>89</v>
      </c>
      <c r="AC417" t="s">
        <v>89</v>
      </c>
      <c r="AD417">
        <v>0</v>
      </c>
      <c r="AE417" t="s">
        <v>9251</v>
      </c>
      <c r="AF417" s="4"/>
    </row>
    <row r="418" spans="1:32">
      <c r="A418" t="s">
        <v>10094</v>
      </c>
      <c r="B418" t="s">
        <v>9366</v>
      </c>
      <c r="D418" t="s">
        <v>54</v>
      </c>
      <c r="E418" t="s">
        <v>10095</v>
      </c>
      <c r="F418" t="s">
        <v>4532</v>
      </c>
      <c r="G418">
        <v>1035.46</v>
      </c>
      <c r="I418">
        <v>1035.46</v>
      </c>
      <c r="J418">
        <v>1035.46</v>
      </c>
      <c r="K418" s="4">
        <v>45047</v>
      </c>
      <c r="L418" s="4">
        <v>45047</v>
      </c>
      <c r="M418">
        <v>2023</v>
      </c>
      <c r="N418">
        <v>5</v>
      </c>
      <c r="O418" s="4">
        <v>45047</v>
      </c>
      <c r="P418" t="s">
        <v>89</v>
      </c>
      <c r="Q418" s="4">
        <v>45168</v>
      </c>
      <c r="S418" t="s">
        <v>3295</v>
      </c>
      <c r="U418">
        <v>2588.64</v>
      </c>
      <c r="V418">
        <v>0.40000154521293035</v>
      </c>
      <c r="W418" t="s">
        <v>16</v>
      </c>
      <c r="X418" t="s">
        <v>3665</v>
      </c>
      <c r="Z418" t="s">
        <v>89</v>
      </c>
      <c r="AA418" t="s">
        <v>89</v>
      </c>
      <c r="AC418" t="s">
        <v>89</v>
      </c>
      <c r="AD418" t="s">
        <v>89</v>
      </c>
      <c r="AE418" t="s">
        <v>3652</v>
      </c>
      <c r="AF418" s="4"/>
    </row>
    <row r="419" spans="1:32">
      <c r="A419" t="s">
        <v>10096</v>
      </c>
      <c r="B419" t="s">
        <v>9366</v>
      </c>
      <c r="D419" t="s">
        <v>54</v>
      </c>
      <c r="E419" t="s">
        <v>10097</v>
      </c>
      <c r="F419" t="s">
        <v>4534</v>
      </c>
      <c r="G419">
        <v>1035.46</v>
      </c>
      <c r="I419">
        <v>1035.46</v>
      </c>
      <c r="J419">
        <v>1035.46</v>
      </c>
      <c r="K419" s="4">
        <v>45047</v>
      </c>
      <c r="L419" s="4">
        <v>45047</v>
      </c>
      <c r="M419">
        <v>2023</v>
      </c>
      <c r="N419">
        <v>5</v>
      </c>
      <c r="O419" s="4">
        <v>45047</v>
      </c>
      <c r="P419" t="s">
        <v>89</v>
      </c>
      <c r="Q419" s="4">
        <v>45168</v>
      </c>
      <c r="S419" t="s">
        <v>3297</v>
      </c>
      <c r="U419">
        <v>2588.64</v>
      </c>
      <c r="V419">
        <v>0.40000154521293035</v>
      </c>
      <c r="W419" t="s">
        <v>16</v>
      </c>
      <c r="X419" t="s">
        <v>3665</v>
      </c>
      <c r="Z419" t="s">
        <v>89</v>
      </c>
      <c r="AA419" t="s">
        <v>89</v>
      </c>
      <c r="AC419" t="s">
        <v>89</v>
      </c>
      <c r="AD419">
        <v>0</v>
      </c>
      <c r="AE419" t="s">
        <v>9251</v>
      </c>
      <c r="AF419" s="4"/>
    </row>
    <row r="420" spans="1:32">
      <c r="A420" t="s">
        <v>10098</v>
      </c>
      <c r="B420" t="s">
        <v>9366</v>
      </c>
      <c r="D420" t="s">
        <v>54</v>
      </c>
      <c r="E420" t="s">
        <v>10099</v>
      </c>
      <c r="F420" t="s">
        <v>4536</v>
      </c>
      <c r="G420">
        <v>1035.46</v>
      </c>
      <c r="I420">
        <v>1035.46</v>
      </c>
      <c r="J420">
        <v>1035.46</v>
      </c>
      <c r="K420" s="4">
        <v>45047</v>
      </c>
      <c r="L420" s="4">
        <v>45047</v>
      </c>
      <c r="M420">
        <v>2023</v>
      </c>
      <c r="N420">
        <v>5</v>
      </c>
      <c r="O420" s="4">
        <v>45047</v>
      </c>
      <c r="P420" t="s">
        <v>89</v>
      </c>
      <c r="Q420" s="4">
        <v>45168</v>
      </c>
      <c r="S420" t="s">
        <v>3197</v>
      </c>
      <c r="U420">
        <v>2588.64</v>
      </c>
      <c r="V420">
        <v>0.40000154521293035</v>
      </c>
      <c r="W420" t="s">
        <v>16</v>
      </c>
      <c r="X420" t="s">
        <v>3665</v>
      </c>
      <c r="Z420" t="s">
        <v>89</v>
      </c>
      <c r="AA420" t="s">
        <v>89</v>
      </c>
      <c r="AC420" t="s">
        <v>89</v>
      </c>
      <c r="AD420">
        <v>0</v>
      </c>
      <c r="AE420" t="s">
        <v>9251</v>
      </c>
      <c r="AF420" s="4"/>
    </row>
    <row r="421" spans="1:32">
      <c r="A421" t="s">
        <v>10100</v>
      </c>
      <c r="B421" t="s">
        <v>9366</v>
      </c>
      <c r="D421" t="s">
        <v>54</v>
      </c>
      <c r="E421" t="s">
        <v>10101</v>
      </c>
      <c r="F421" t="s">
        <v>4538</v>
      </c>
      <c r="G421">
        <v>1035.46</v>
      </c>
      <c r="I421">
        <v>1035.46</v>
      </c>
      <c r="J421">
        <v>1035.46</v>
      </c>
      <c r="K421" s="4">
        <v>45047</v>
      </c>
      <c r="L421" s="4">
        <v>45047</v>
      </c>
      <c r="M421">
        <v>2023</v>
      </c>
      <c r="N421">
        <v>5</v>
      </c>
      <c r="O421" s="4">
        <v>45047</v>
      </c>
      <c r="P421" t="s">
        <v>89</v>
      </c>
      <c r="Q421" s="4">
        <v>45168</v>
      </c>
      <c r="S421" t="s">
        <v>3199</v>
      </c>
      <c r="U421">
        <v>2588.64</v>
      </c>
      <c r="V421">
        <v>0.40000154521293035</v>
      </c>
      <c r="W421" t="s">
        <v>16</v>
      </c>
      <c r="X421" t="s">
        <v>3665</v>
      </c>
      <c r="Z421" t="s">
        <v>89</v>
      </c>
      <c r="AA421" t="s">
        <v>89</v>
      </c>
      <c r="AC421" t="s">
        <v>89</v>
      </c>
      <c r="AD421">
        <v>0</v>
      </c>
      <c r="AE421" t="s">
        <v>9251</v>
      </c>
      <c r="AF421" s="4"/>
    </row>
    <row r="422" spans="1:32">
      <c r="A422" t="s">
        <v>10102</v>
      </c>
      <c r="B422" t="s">
        <v>9366</v>
      </c>
      <c r="D422" t="s">
        <v>54</v>
      </c>
      <c r="E422" t="s">
        <v>10103</v>
      </c>
      <c r="F422" t="s">
        <v>4539</v>
      </c>
      <c r="G422">
        <v>1035.46</v>
      </c>
      <c r="I422">
        <v>1035.46</v>
      </c>
      <c r="J422">
        <v>1035.46</v>
      </c>
      <c r="K422" s="4">
        <v>45047</v>
      </c>
      <c r="L422" s="4">
        <v>45047</v>
      </c>
      <c r="M422">
        <v>2023</v>
      </c>
      <c r="N422">
        <v>5</v>
      </c>
      <c r="O422" s="4">
        <v>45047</v>
      </c>
      <c r="P422" t="s">
        <v>89</v>
      </c>
      <c r="Q422" s="4">
        <v>45168</v>
      </c>
      <c r="S422" t="s">
        <v>3293</v>
      </c>
      <c r="U422">
        <v>2588.64</v>
      </c>
      <c r="V422">
        <v>0.40000154521293035</v>
      </c>
      <c r="W422" t="s">
        <v>16</v>
      </c>
      <c r="X422" t="s">
        <v>3665</v>
      </c>
      <c r="Z422" t="s">
        <v>89</v>
      </c>
      <c r="AA422" t="s">
        <v>89</v>
      </c>
      <c r="AC422" t="s">
        <v>89</v>
      </c>
      <c r="AD422">
        <v>0</v>
      </c>
      <c r="AE422" t="s">
        <v>9251</v>
      </c>
      <c r="AF422" s="4"/>
    </row>
    <row r="423" spans="1:32">
      <c r="A423" t="s">
        <v>10104</v>
      </c>
      <c r="B423" t="s">
        <v>9366</v>
      </c>
      <c r="C423" t="s">
        <v>4418</v>
      </c>
      <c r="D423" t="s">
        <v>54</v>
      </c>
      <c r="E423" t="s">
        <v>9889</v>
      </c>
      <c r="F423" t="s">
        <v>4416</v>
      </c>
      <c r="G423">
        <v>8710.134</v>
      </c>
      <c r="I423">
        <v>8710.134</v>
      </c>
      <c r="K423" s="4">
        <v>45520</v>
      </c>
      <c r="L423" s="4">
        <v>45520</v>
      </c>
      <c r="M423">
        <v>2024</v>
      </c>
      <c r="N423">
        <v>8</v>
      </c>
      <c r="O423" s="4">
        <v>45505</v>
      </c>
      <c r="P423" t="s">
        <v>1473</v>
      </c>
      <c r="Q423" s="4"/>
      <c r="S423" t="s">
        <v>4417</v>
      </c>
      <c r="T423">
        <v>45551</v>
      </c>
      <c r="U423">
        <v>14516.89</v>
      </c>
      <c r="V423">
        <v>0.6</v>
      </c>
      <c r="W423" t="s">
        <v>16</v>
      </c>
      <c r="X423" t="s">
        <v>3770</v>
      </c>
      <c r="Z423">
        <v>32</v>
      </c>
      <c r="AA423">
        <v>32</v>
      </c>
      <c r="AB423" t="s">
        <v>9433</v>
      </c>
      <c r="AE423" t="s">
        <v>9251</v>
      </c>
      <c r="AF423" s="4"/>
    </row>
    <row r="424" spans="1:32">
      <c r="A424" t="s">
        <v>10105</v>
      </c>
      <c r="B424" t="s">
        <v>9366</v>
      </c>
      <c r="D424" t="s">
        <v>54</v>
      </c>
      <c r="E424" t="s">
        <v>10106</v>
      </c>
      <c r="F424" t="s">
        <v>4544</v>
      </c>
      <c r="G424">
        <v>1035.46</v>
      </c>
      <c r="I424">
        <v>1035.46</v>
      </c>
      <c r="J424">
        <v>1035.46</v>
      </c>
      <c r="K424" s="4">
        <v>45047</v>
      </c>
      <c r="L424" s="4">
        <v>45047</v>
      </c>
      <c r="M424">
        <v>2023</v>
      </c>
      <c r="N424">
        <v>5</v>
      </c>
      <c r="O424" s="4">
        <v>45047</v>
      </c>
      <c r="P424" t="s">
        <v>89</v>
      </c>
      <c r="Q424" s="4">
        <v>45168</v>
      </c>
      <c r="S424" t="s">
        <v>3307</v>
      </c>
      <c r="U424">
        <v>2588.64</v>
      </c>
      <c r="V424">
        <v>0.40000154521293035</v>
      </c>
      <c r="W424" t="s">
        <v>16</v>
      </c>
      <c r="X424" t="s">
        <v>3665</v>
      </c>
      <c r="Z424" t="s">
        <v>89</v>
      </c>
      <c r="AA424" t="s">
        <v>89</v>
      </c>
      <c r="AC424" t="s">
        <v>89</v>
      </c>
      <c r="AD424">
        <v>0</v>
      </c>
      <c r="AE424" t="s">
        <v>9251</v>
      </c>
      <c r="AF424" s="4"/>
    </row>
    <row r="425" spans="1:32">
      <c r="A425" t="s">
        <v>10107</v>
      </c>
      <c r="B425" t="s">
        <v>9366</v>
      </c>
      <c r="D425" t="s">
        <v>54</v>
      </c>
      <c r="E425" t="s">
        <v>10108</v>
      </c>
      <c r="F425" t="s">
        <v>4546</v>
      </c>
      <c r="G425">
        <v>1035.46</v>
      </c>
      <c r="I425">
        <v>1035.46</v>
      </c>
      <c r="J425">
        <v>1035.46</v>
      </c>
      <c r="K425" s="4">
        <v>45047</v>
      </c>
      <c r="L425" s="4">
        <v>45047</v>
      </c>
      <c r="M425">
        <v>2023</v>
      </c>
      <c r="N425">
        <v>5</v>
      </c>
      <c r="O425" s="4">
        <v>45047</v>
      </c>
      <c r="P425" t="s">
        <v>89</v>
      </c>
      <c r="Q425" s="4">
        <v>45168</v>
      </c>
      <c r="S425" t="s">
        <v>3316</v>
      </c>
      <c r="U425">
        <v>2588.64</v>
      </c>
      <c r="V425">
        <v>0.40000154521293035</v>
      </c>
      <c r="W425" t="s">
        <v>16</v>
      </c>
      <c r="X425" t="s">
        <v>3665</v>
      </c>
      <c r="Z425" t="s">
        <v>89</v>
      </c>
      <c r="AA425" t="s">
        <v>89</v>
      </c>
      <c r="AC425" t="s">
        <v>89</v>
      </c>
      <c r="AD425" t="s">
        <v>89</v>
      </c>
      <c r="AE425" t="s">
        <v>3652</v>
      </c>
      <c r="AF425" s="4"/>
    </row>
    <row r="426" spans="1:32">
      <c r="A426" t="s">
        <v>10109</v>
      </c>
      <c r="B426" t="s">
        <v>9366</v>
      </c>
      <c r="D426" t="s">
        <v>54</v>
      </c>
      <c r="E426" t="s">
        <v>10110</v>
      </c>
      <c r="F426" t="s">
        <v>4548</v>
      </c>
      <c r="G426">
        <v>1035.46</v>
      </c>
      <c r="I426">
        <v>1035.46</v>
      </c>
      <c r="J426">
        <v>1035.46</v>
      </c>
      <c r="K426" s="4">
        <v>45047</v>
      </c>
      <c r="L426" s="4">
        <v>45047</v>
      </c>
      <c r="M426">
        <v>2023</v>
      </c>
      <c r="N426">
        <v>5</v>
      </c>
      <c r="O426" s="4">
        <v>45047</v>
      </c>
      <c r="P426" t="s">
        <v>89</v>
      </c>
      <c r="Q426" s="4">
        <v>45168</v>
      </c>
      <c r="S426" t="s">
        <v>3326</v>
      </c>
      <c r="U426">
        <v>2588.64</v>
      </c>
      <c r="V426">
        <v>0.40000154521293035</v>
      </c>
      <c r="W426" t="s">
        <v>16</v>
      </c>
      <c r="X426" t="s">
        <v>3665</v>
      </c>
      <c r="Z426" t="s">
        <v>89</v>
      </c>
      <c r="AA426" t="s">
        <v>89</v>
      </c>
      <c r="AC426" t="s">
        <v>89</v>
      </c>
      <c r="AD426">
        <v>0</v>
      </c>
      <c r="AE426" t="s">
        <v>9251</v>
      </c>
      <c r="AF426" s="4"/>
    </row>
    <row r="427" spans="1:32">
      <c r="A427" t="s">
        <v>10111</v>
      </c>
      <c r="B427" t="s">
        <v>9366</v>
      </c>
      <c r="D427" t="s">
        <v>54</v>
      </c>
      <c r="E427" t="s">
        <v>10112</v>
      </c>
      <c r="F427" t="s">
        <v>4550</v>
      </c>
      <c r="G427">
        <v>1035.46</v>
      </c>
      <c r="I427">
        <v>1035.46</v>
      </c>
      <c r="J427">
        <v>1035.46</v>
      </c>
      <c r="K427" s="4">
        <v>45047</v>
      </c>
      <c r="L427" s="4">
        <v>45047</v>
      </c>
      <c r="M427">
        <v>2023</v>
      </c>
      <c r="N427">
        <v>5</v>
      </c>
      <c r="O427" s="4">
        <v>45047</v>
      </c>
      <c r="P427" t="s">
        <v>89</v>
      </c>
      <c r="Q427" s="4">
        <v>45168</v>
      </c>
      <c r="S427" t="s">
        <v>3363</v>
      </c>
      <c r="U427">
        <v>2588.64</v>
      </c>
      <c r="V427">
        <v>0.40000154521293035</v>
      </c>
      <c r="W427" t="s">
        <v>16</v>
      </c>
      <c r="X427" t="s">
        <v>3665</v>
      </c>
      <c r="Z427" t="s">
        <v>89</v>
      </c>
      <c r="AA427" t="s">
        <v>89</v>
      </c>
      <c r="AC427" t="s">
        <v>89</v>
      </c>
      <c r="AD427">
        <v>0</v>
      </c>
      <c r="AE427" t="s">
        <v>9251</v>
      </c>
      <c r="AF427" s="4"/>
    </row>
    <row r="428" spans="1:32">
      <c r="A428" t="s">
        <v>10113</v>
      </c>
      <c r="B428" t="s">
        <v>9366</v>
      </c>
      <c r="D428" t="s">
        <v>54</v>
      </c>
      <c r="E428" t="s">
        <v>10114</v>
      </c>
      <c r="F428" t="s">
        <v>4552</v>
      </c>
      <c r="G428">
        <v>1035.46</v>
      </c>
      <c r="I428">
        <v>1035.46</v>
      </c>
      <c r="J428">
        <v>1035.46</v>
      </c>
      <c r="K428" s="4">
        <v>45108</v>
      </c>
      <c r="L428" s="4">
        <v>45108</v>
      </c>
      <c r="M428">
        <v>2023</v>
      </c>
      <c r="N428">
        <v>7</v>
      </c>
      <c r="O428" s="4">
        <v>45108</v>
      </c>
      <c r="P428" t="s">
        <v>89</v>
      </c>
      <c r="Q428" s="4">
        <v>45168</v>
      </c>
      <c r="S428" t="s">
        <v>3149</v>
      </c>
      <c r="U428">
        <v>2588.64</v>
      </c>
      <c r="V428">
        <v>0.40000154521293035</v>
      </c>
      <c r="W428" t="s">
        <v>16</v>
      </c>
      <c r="X428" t="s">
        <v>3665</v>
      </c>
      <c r="Z428" t="s">
        <v>89</v>
      </c>
      <c r="AA428" t="s">
        <v>89</v>
      </c>
      <c r="AC428" t="s">
        <v>89</v>
      </c>
      <c r="AD428">
        <v>0</v>
      </c>
      <c r="AE428" t="s">
        <v>9251</v>
      </c>
      <c r="AF428" s="4"/>
    </row>
    <row r="429" spans="1:32">
      <c r="A429" t="s">
        <v>10115</v>
      </c>
      <c r="B429" t="s">
        <v>9366</v>
      </c>
      <c r="D429" t="s">
        <v>54</v>
      </c>
      <c r="E429" t="s">
        <v>10116</v>
      </c>
      <c r="F429" t="s">
        <v>4554</v>
      </c>
      <c r="G429">
        <v>1035.46</v>
      </c>
      <c r="I429">
        <v>1035.46</v>
      </c>
      <c r="J429">
        <v>1035.46</v>
      </c>
      <c r="K429" s="4">
        <v>45108</v>
      </c>
      <c r="L429" s="4">
        <v>45108</v>
      </c>
      <c r="M429">
        <v>2023</v>
      </c>
      <c r="N429">
        <v>7</v>
      </c>
      <c r="O429" s="4">
        <v>45108</v>
      </c>
      <c r="P429" t="s">
        <v>89</v>
      </c>
      <c r="Q429" s="4">
        <v>45168</v>
      </c>
      <c r="S429" t="s">
        <v>3204</v>
      </c>
      <c r="U429">
        <v>2588.64</v>
      </c>
      <c r="V429">
        <v>0.40000154521293035</v>
      </c>
      <c r="W429" t="s">
        <v>16</v>
      </c>
      <c r="X429" t="s">
        <v>3665</v>
      </c>
      <c r="Z429" t="s">
        <v>89</v>
      </c>
      <c r="AA429" t="s">
        <v>89</v>
      </c>
      <c r="AC429" t="s">
        <v>89</v>
      </c>
      <c r="AD429">
        <v>0</v>
      </c>
      <c r="AE429" t="s">
        <v>9251</v>
      </c>
      <c r="AF429" s="4"/>
    </row>
    <row r="430" spans="1:32">
      <c r="A430" t="s">
        <v>10117</v>
      </c>
      <c r="B430" t="s">
        <v>9366</v>
      </c>
      <c r="D430" t="s">
        <v>54</v>
      </c>
      <c r="E430" t="s">
        <v>10118</v>
      </c>
      <c r="F430" t="s">
        <v>4556</v>
      </c>
      <c r="G430">
        <v>1035.46</v>
      </c>
      <c r="I430">
        <v>1035.46</v>
      </c>
      <c r="J430">
        <v>1035.46</v>
      </c>
      <c r="K430" s="4">
        <v>45108</v>
      </c>
      <c r="L430" s="4">
        <v>45108</v>
      </c>
      <c r="M430">
        <v>2023</v>
      </c>
      <c r="N430">
        <v>7</v>
      </c>
      <c r="O430" s="4">
        <v>45108</v>
      </c>
      <c r="P430" t="s">
        <v>89</v>
      </c>
      <c r="Q430" s="4">
        <v>45168</v>
      </c>
      <c r="S430" t="s">
        <v>3365</v>
      </c>
      <c r="U430">
        <v>2588.64</v>
      </c>
      <c r="V430">
        <v>0.40000154521293035</v>
      </c>
      <c r="W430" t="s">
        <v>16</v>
      </c>
      <c r="X430" t="s">
        <v>3665</v>
      </c>
      <c r="Z430" t="s">
        <v>89</v>
      </c>
      <c r="AA430" t="s">
        <v>89</v>
      </c>
      <c r="AC430" t="s">
        <v>89</v>
      </c>
      <c r="AD430">
        <v>0</v>
      </c>
      <c r="AE430" t="s">
        <v>9251</v>
      </c>
      <c r="AF430" s="4"/>
    </row>
    <row r="431" spans="1:32">
      <c r="A431" t="s">
        <v>10119</v>
      </c>
      <c r="B431" t="s">
        <v>9366</v>
      </c>
      <c r="C431" t="s">
        <v>4421</v>
      </c>
      <c r="D431" t="s">
        <v>54</v>
      </c>
      <c r="E431" t="s">
        <v>9892</v>
      </c>
      <c r="F431" t="s">
        <v>4419</v>
      </c>
      <c r="G431">
        <v>8710.134</v>
      </c>
      <c r="I431">
        <v>8710.134</v>
      </c>
      <c r="K431" s="4">
        <v>45422</v>
      </c>
      <c r="L431" s="4">
        <v>45422</v>
      </c>
      <c r="M431">
        <v>2024</v>
      </c>
      <c r="N431">
        <v>5</v>
      </c>
      <c r="O431" s="4">
        <v>45413</v>
      </c>
      <c r="P431" t="s">
        <v>625</v>
      </c>
      <c r="Q431" s="4"/>
      <c r="S431" t="s">
        <v>4420</v>
      </c>
      <c r="T431">
        <v>45551</v>
      </c>
      <c r="U431">
        <v>14516.89</v>
      </c>
      <c r="V431">
        <v>0.6</v>
      </c>
      <c r="W431" t="s">
        <v>16</v>
      </c>
      <c r="X431" t="s">
        <v>3770</v>
      </c>
      <c r="Z431">
        <v>130</v>
      </c>
      <c r="AA431">
        <v>130</v>
      </c>
      <c r="AB431" t="s">
        <v>9433</v>
      </c>
      <c r="AC431" t="s">
        <v>1473</v>
      </c>
      <c r="AD431" t="s">
        <v>1473</v>
      </c>
      <c r="AE431" t="s">
        <v>9251</v>
      </c>
      <c r="AF431" s="4"/>
    </row>
    <row r="432" spans="1:32">
      <c r="A432" t="s">
        <v>10120</v>
      </c>
      <c r="B432" t="s">
        <v>9366</v>
      </c>
      <c r="D432" t="s">
        <v>54</v>
      </c>
      <c r="E432" t="s">
        <v>10121</v>
      </c>
      <c r="F432" t="s">
        <v>4558</v>
      </c>
      <c r="G432">
        <v>496.28</v>
      </c>
      <c r="I432">
        <v>496.28</v>
      </c>
      <c r="J432">
        <v>496.28</v>
      </c>
      <c r="K432" s="4">
        <v>45108</v>
      </c>
      <c r="L432" s="4">
        <v>45108</v>
      </c>
      <c r="M432">
        <v>2023</v>
      </c>
      <c r="N432">
        <v>7</v>
      </c>
      <c r="O432" s="4">
        <v>45108</v>
      </c>
      <c r="P432" t="s">
        <v>89</v>
      </c>
      <c r="Q432" s="4">
        <v>45212</v>
      </c>
      <c r="S432" t="s">
        <v>3480</v>
      </c>
      <c r="U432">
        <v>1240.69</v>
      </c>
      <c r="V432">
        <v>0.40000322401244465</v>
      </c>
      <c r="W432" t="s">
        <v>16</v>
      </c>
      <c r="X432" t="s">
        <v>3828</v>
      </c>
      <c r="Z432" t="s">
        <v>89</v>
      </c>
      <c r="AA432" t="s">
        <v>89</v>
      </c>
      <c r="AC432" t="s">
        <v>89</v>
      </c>
      <c r="AD432" t="s">
        <v>89</v>
      </c>
      <c r="AE432" t="s">
        <v>3652</v>
      </c>
      <c r="AF432" s="4"/>
    </row>
    <row r="433" spans="1:32">
      <c r="A433" t="s">
        <v>10122</v>
      </c>
      <c r="B433" t="s">
        <v>9366</v>
      </c>
      <c r="C433" t="s">
        <v>4424</v>
      </c>
      <c r="D433" t="s">
        <v>54</v>
      </c>
      <c r="E433" t="s">
        <v>9894</v>
      </c>
      <c r="F433" t="s">
        <v>4422</v>
      </c>
      <c r="G433">
        <v>8710.134</v>
      </c>
      <c r="I433">
        <v>8710.134</v>
      </c>
      <c r="K433" s="4">
        <v>45520</v>
      </c>
      <c r="L433" s="4">
        <v>45520</v>
      </c>
      <c r="M433">
        <v>2024</v>
      </c>
      <c r="N433">
        <v>8</v>
      </c>
      <c r="O433" s="4">
        <v>45505</v>
      </c>
      <c r="P433" t="s">
        <v>1473</v>
      </c>
      <c r="Q433" s="4"/>
      <c r="S433" t="s">
        <v>4423</v>
      </c>
      <c r="T433">
        <v>45551</v>
      </c>
      <c r="U433">
        <v>14516.89</v>
      </c>
      <c r="V433">
        <v>0.6</v>
      </c>
      <c r="W433" t="s">
        <v>16</v>
      </c>
      <c r="X433" t="s">
        <v>3770</v>
      </c>
      <c r="Z433">
        <v>32</v>
      </c>
      <c r="AA433">
        <v>32</v>
      </c>
      <c r="AB433" t="s">
        <v>9433</v>
      </c>
      <c r="AE433" t="s">
        <v>9251</v>
      </c>
      <c r="AF433" s="4"/>
    </row>
    <row r="434" spans="1:32">
      <c r="A434" t="s">
        <v>10123</v>
      </c>
      <c r="B434" t="s">
        <v>9366</v>
      </c>
      <c r="D434" t="s">
        <v>54</v>
      </c>
      <c r="E434" t="s">
        <v>10124</v>
      </c>
      <c r="F434" t="s">
        <v>4562</v>
      </c>
      <c r="G434">
        <v>496.28</v>
      </c>
      <c r="I434">
        <v>496.28</v>
      </c>
      <c r="J434">
        <v>496.28</v>
      </c>
      <c r="K434" s="4">
        <v>45108</v>
      </c>
      <c r="L434" s="4">
        <v>45108</v>
      </c>
      <c r="M434">
        <v>2023</v>
      </c>
      <c r="N434">
        <v>7</v>
      </c>
      <c r="O434" s="4">
        <v>45108</v>
      </c>
      <c r="P434" t="s">
        <v>89</v>
      </c>
      <c r="Q434" s="4">
        <v>45212</v>
      </c>
      <c r="S434" t="s">
        <v>3155</v>
      </c>
      <c r="U434">
        <v>1240.69</v>
      </c>
      <c r="V434">
        <v>0.40000322401244465</v>
      </c>
      <c r="W434" t="s">
        <v>16</v>
      </c>
      <c r="X434" t="s">
        <v>3828</v>
      </c>
      <c r="Z434" t="s">
        <v>89</v>
      </c>
      <c r="AA434" t="s">
        <v>89</v>
      </c>
      <c r="AC434" t="s">
        <v>89</v>
      </c>
      <c r="AD434">
        <v>0</v>
      </c>
      <c r="AE434" t="s">
        <v>9251</v>
      </c>
      <c r="AF434" s="4"/>
    </row>
    <row r="435" spans="1:32">
      <c r="A435" t="s">
        <v>10125</v>
      </c>
      <c r="B435" t="s">
        <v>9366</v>
      </c>
      <c r="C435" t="s">
        <v>4426</v>
      </c>
      <c r="D435" t="s">
        <v>54</v>
      </c>
      <c r="E435" t="s">
        <v>9896</v>
      </c>
      <c r="F435" t="s">
        <v>4425</v>
      </c>
      <c r="G435">
        <v>12372.683999999999</v>
      </c>
      <c r="I435">
        <v>12372.683999999999</v>
      </c>
      <c r="K435" s="4">
        <v>45520</v>
      </c>
      <c r="L435" s="4">
        <v>45520</v>
      </c>
      <c r="M435">
        <v>2024</v>
      </c>
      <c r="N435">
        <v>8</v>
      </c>
      <c r="O435" s="4">
        <v>45505</v>
      </c>
      <c r="P435" t="s">
        <v>1473</v>
      </c>
      <c r="Q435" s="4"/>
      <c r="S435" t="s">
        <v>4417</v>
      </c>
      <c r="T435">
        <v>45551</v>
      </c>
      <c r="U435">
        <v>20621.14</v>
      </c>
      <c r="V435">
        <v>0.6</v>
      </c>
      <c r="W435" t="s">
        <v>16</v>
      </c>
      <c r="X435" t="s">
        <v>3770</v>
      </c>
      <c r="Z435">
        <v>32</v>
      </c>
      <c r="AA435">
        <v>32</v>
      </c>
      <c r="AB435" t="s">
        <v>9433</v>
      </c>
      <c r="AE435" t="s">
        <v>9251</v>
      </c>
      <c r="AF435" s="4"/>
    </row>
    <row r="436" spans="1:32">
      <c r="A436" t="s">
        <v>10126</v>
      </c>
      <c r="B436" t="s">
        <v>9366</v>
      </c>
      <c r="D436" t="s">
        <v>54</v>
      </c>
      <c r="E436" t="s">
        <v>10127</v>
      </c>
      <c r="F436" t="s">
        <v>4565</v>
      </c>
      <c r="G436">
        <v>496.28</v>
      </c>
      <c r="I436">
        <v>496.28</v>
      </c>
      <c r="J436">
        <v>496.28</v>
      </c>
      <c r="K436" s="4">
        <v>45108</v>
      </c>
      <c r="L436" s="4">
        <v>45108</v>
      </c>
      <c r="M436">
        <v>2023</v>
      </c>
      <c r="N436">
        <v>7</v>
      </c>
      <c r="O436" s="4">
        <v>45108</v>
      </c>
      <c r="P436" t="s">
        <v>89</v>
      </c>
      <c r="Q436" s="4">
        <v>45212</v>
      </c>
      <c r="S436" t="s">
        <v>3478</v>
      </c>
      <c r="U436">
        <v>1240.69</v>
      </c>
      <c r="V436">
        <v>0.40000322401244465</v>
      </c>
      <c r="W436" t="s">
        <v>16</v>
      </c>
      <c r="X436" t="s">
        <v>3828</v>
      </c>
      <c r="Z436" t="s">
        <v>89</v>
      </c>
      <c r="AA436" t="s">
        <v>89</v>
      </c>
      <c r="AC436" t="s">
        <v>89</v>
      </c>
      <c r="AD436" t="s">
        <v>89</v>
      </c>
      <c r="AE436" t="s">
        <v>3652</v>
      </c>
      <c r="AF436" s="4"/>
    </row>
    <row r="437" spans="1:32">
      <c r="A437" t="s">
        <v>10128</v>
      </c>
      <c r="B437" t="s">
        <v>9366</v>
      </c>
      <c r="C437" t="s">
        <v>4428</v>
      </c>
      <c r="D437" t="s">
        <v>54</v>
      </c>
      <c r="E437" t="s">
        <v>9899</v>
      </c>
      <c r="F437" t="s">
        <v>4427</v>
      </c>
      <c r="G437">
        <v>8221.1200000000008</v>
      </c>
      <c r="I437">
        <v>8221.1200000000008</v>
      </c>
      <c r="K437" s="4">
        <v>45401</v>
      </c>
      <c r="L437" s="4">
        <v>45401</v>
      </c>
      <c r="M437">
        <v>2024</v>
      </c>
      <c r="N437">
        <v>4</v>
      </c>
      <c r="O437" s="4">
        <v>45383</v>
      </c>
      <c r="P437" t="s">
        <v>625</v>
      </c>
      <c r="Q437" s="4"/>
      <c r="S437" t="s">
        <v>3775</v>
      </c>
      <c r="T437">
        <v>45551</v>
      </c>
      <c r="U437">
        <v>13701.87</v>
      </c>
      <c r="V437">
        <v>0.59999985403452227</v>
      </c>
      <c r="W437" t="s">
        <v>16</v>
      </c>
      <c r="X437" t="s">
        <v>3770</v>
      </c>
      <c r="Z437">
        <v>151</v>
      </c>
      <c r="AA437">
        <v>151</v>
      </c>
      <c r="AB437" t="s">
        <v>9433</v>
      </c>
      <c r="AC437" t="s">
        <v>1848</v>
      </c>
      <c r="AD437" t="s">
        <v>1848</v>
      </c>
      <c r="AE437" t="s">
        <v>9251</v>
      </c>
      <c r="AF437" s="4"/>
    </row>
    <row r="438" spans="1:32">
      <c r="A438" t="s">
        <v>10129</v>
      </c>
      <c r="B438" t="s">
        <v>9366</v>
      </c>
      <c r="D438" t="s">
        <v>54</v>
      </c>
      <c r="E438" t="s">
        <v>10130</v>
      </c>
      <c r="F438" t="s">
        <v>4567</v>
      </c>
      <c r="G438">
        <v>496.28</v>
      </c>
      <c r="I438">
        <v>496.28</v>
      </c>
      <c r="J438">
        <v>496.28</v>
      </c>
      <c r="K438" s="4">
        <v>45108</v>
      </c>
      <c r="L438" s="4">
        <v>45108</v>
      </c>
      <c r="M438">
        <v>2023</v>
      </c>
      <c r="N438">
        <v>7</v>
      </c>
      <c r="O438" s="4">
        <v>45108</v>
      </c>
      <c r="P438" t="s">
        <v>89</v>
      </c>
      <c r="Q438" s="4">
        <v>45212</v>
      </c>
      <c r="S438" t="s">
        <v>3273</v>
      </c>
      <c r="U438">
        <v>1240.69</v>
      </c>
      <c r="V438">
        <v>0.40000322401244465</v>
      </c>
      <c r="W438" t="s">
        <v>16</v>
      </c>
      <c r="X438" t="s">
        <v>3828</v>
      </c>
      <c r="Z438" t="s">
        <v>89</v>
      </c>
      <c r="AA438" t="s">
        <v>89</v>
      </c>
      <c r="AC438" t="s">
        <v>89</v>
      </c>
      <c r="AD438">
        <v>0</v>
      </c>
      <c r="AE438" t="s">
        <v>9251</v>
      </c>
      <c r="AF438" s="4"/>
    </row>
    <row r="439" spans="1:32">
      <c r="A439" t="s">
        <v>10131</v>
      </c>
      <c r="B439" t="s">
        <v>9366</v>
      </c>
      <c r="D439" t="s">
        <v>54</v>
      </c>
      <c r="E439" t="s">
        <v>10132</v>
      </c>
      <c r="F439" t="s">
        <v>4569</v>
      </c>
      <c r="G439">
        <v>983.82</v>
      </c>
      <c r="I439">
        <v>983.82</v>
      </c>
      <c r="J439">
        <v>983.82</v>
      </c>
      <c r="K439" s="4">
        <v>45108</v>
      </c>
      <c r="L439" s="4">
        <v>45108</v>
      </c>
      <c r="M439">
        <v>2023</v>
      </c>
      <c r="N439">
        <v>7</v>
      </c>
      <c r="O439" s="4">
        <v>45108</v>
      </c>
      <c r="P439" t="s">
        <v>89</v>
      </c>
      <c r="Q439" s="4">
        <v>45212</v>
      </c>
      <c r="S439" t="s">
        <v>3152</v>
      </c>
      <c r="U439">
        <v>2459.56</v>
      </c>
      <c r="V439">
        <v>0.39999837369285568</v>
      </c>
      <c r="W439" t="s">
        <v>16</v>
      </c>
      <c r="X439" t="s">
        <v>3828</v>
      </c>
      <c r="Z439" t="s">
        <v>89</v>
      </c>
      <c r="AA439" t="s">
        <v>89</v>
      </c>
      <c r="AC439" t="s">
        <v>89</v>
      </c>
      <c r="AD439">
        <v>0</v>
      </c>
      <c r="AE439" t="s">
        <v>9251</v>
      </c>
      <c r="AF439" s="4"/>
    </row>
    <row r="440" spans="1:32">
      <c r="A440" t="s">
        <v>10133</v>
      </c>
      <c r="B440" t="s">
        <v>9366</v>
      </c>
      <c r="D440" t="s">
        <v>54</v>
      </c>
      <c r="E440" t="s">
        <v>10134</v>
      </c>
      <c r="F440" t="s">
        <v>4571</v>
      </c>
      <c r="G440">
        <v>983.82</v>
      </c>
      <c r="I440">
        <v>983.82</v>
      </c>
      <c r="J440">
        <v>983.82</v>
      </c>
      <c r="K440" s="4">
        <v>45108</v>
      </c>
      <c r="L440" s="4">
        <v>45108</v>
      </c>
      <c r="M440">
        <v>2023</v>
      </c>
      <c r="N440">
        <v>7</v>
      </c>
      <c r="O440" s="4">
        <v>45108</v>
      </c>
      <c r="P440" t="s">
        <v>89</v>
      </c>
      <c r="Q440" s="4">
        <v>45212</v>
      </c>
      <c r="S440" t="s">
        <v>3476</v>
      </c>
      <c r="U440">
        <v>2459.56</v>
      </c>
      <c r="V440">
        <v>0.39999837369285568</v>
      </c>
      <c r="W440" t="s">
        <v>16</v>
      </c>
      <c r="X440" t="s">
        <v>3828</v>
      </c>
      <c r="Z440" t="s">
        <v>89</v>
      </c>
      <c r="AA440" t="s">
        <v>89</v>
      </c>
      <c r="AC440" t="s">
        <v>89</v>
      </c>
      <c r="AD440">
        <v>0</v>
      </c>
      <c r="AE440" t="s">
        <v>9251</v>
      </c>
      <c r="AF440" s="4"/>
    </row>
    <row r="441" spans="1:32">
      <c r="A441" t="s">
        <v>10135</v>
      </c>
      <c r="B441" t="s">
        <v>9366</v>
      </c>
      <c r="D441" t="s">
        <v>54</v>
      </c>
      <c r="E441" t="s">
        <v>10136</v>
      </c>
      <c r="F441" t="s">
        <v>4573</v>
      </c>
      <c r="G441">
        <v>983.82</v>
      </c>
      <c r="I441">
        <v>983.82</v>
      </c>
      <c r="J441">
        <v>983.82</v>
      </c>
      <c r="K441" s="4">
        <v>45108</v>
      </c>
      <c r="L441" s="4">
        <v>45108</v>
      </c>
      <c r="M441">
        <v>2023</v>
      </c>
      <c r="N441">
        <v>7</v>
      </c>
      <c r="O441" s="4">
        <v>45108</v>
      </c>
      <c r="P441" t="s">
        <v>89</v>
      </c>
      <c r="Q441" s="4">
        <v>45212</v>
      </c>
      <c r="S441" t="s">
        <v>3471</v>
      </c>
      <c r="U441">
        <v>2459.56</v>
      </c>
      <c r="V441">
        <v>0.39999837369285568</v>
      </c>
      <c r="W441" t="s">
        <v>16</v>
      </c>
      <c r="X441" t="s">
        <v>3828</v>
      </c>
      <c r="Z441" t="s">
        <v>89</v>
      </c>
      <c r="AA441" t="s">
        <v>89</v>
      </c>
      <c r="AC441" t="s">
        <v>89</v>
      </c>
      <c r="AD441" t="s">
        <v>89</v>
      </c>
      <c r="AE441" t="s">
        <v>3652</v>
      </c>
      <c r="AF441" s="4"/>
    </row>
    <row r="442" spans="1:32">
      <c r="A442" t="s">
        <v>10137</v>
      </c>
      <c r="B442" t="s">
        <v>9366</v>
      </c>
      <c r="D442" t="s">
        <v>54</v>
      </c>
      <c r="E442" t="s">
        <v>10138</v>
      </c>
      <c r="F442" t="s">
        <v>4575</v>
      </c>
      <c r="G442">
        <v>496.28</v>
      </c>
      <c r="I442">
        <v>496.28</v>
      </c>
      <c r="J442">
        <v>496.28</v>
      </c>
      <c r="K442" s="4">
        <v>45108</v>
      </c>
      <c r="L442" s="4">
        <v>45108</v>
      </c>
      <c r="M442">
        <v>2023</v>
      </c>
      <c r="N442">
        <v>7</v>
      </c>
      <c r="O442" s="4">
        <v>45108</v>
      </c>
      <c r="P442" t="s">
        <v>89</v>
      </c>
      <c r="Q442" s="4">
        <v>45212</v>
      </c>
      <c r="S442" t="s">
        <v>3161</v>
      </c>
      <c r="U442">
        <v>1240.69</v>
      </c>
      <c r="V442">
        <v>0.40000322401244465</v>
      </c>
      <c r="W442" t="s">
        <v>16</v>
      </c>
      <c r="X442" t="s">
        <v>3828</v>
      </c>
      <c r="Z442" t="s">
        <v>89</v>
      </c>
      <c r="AA442" t="s">
        <v>89</v>
      </c>
      <c r="AC442" t="s">
        <v>89</v>
      </c>
      <c r="AD442" t="s">
        <v>89</v>
      </c>
      <c r="AE442" t="s">
        <v>3652</v>
      </c>
      <c r="AF442" s="4"/>
    </row>
    <row r="443" spans="1:32">
      <c r="A443" t="s">
        <v>10139</v>
      </c>
      <c r="B443" t="s">
        <v>9366</v>
      </c>
      <c r="D443" t="s">
        <v>54</v>
      </c>
      <c r="E443" t="s">
        <v>10140</v>
      </c>
      <c r="F443" t="s">
        <v>4577</v>
      </c>
      <c r="G443">
        <v>496.28</v>
      </c>
      <c r="I443">
        <v>496.28</v>
      </c>
      <c r="J443">
        <v>496.28</v>
      </c>
      <c r="K443" s="4">
        <v>45108</v>
      </c>
      <c r="L443" s="4">
        <v>45108</v>
      </c>
      <c r="M443">
        <v>2023</v>
      </c>
      <c r="N443">
        <v>7</v>
      </c>
      <c r="O443" s="4">
        <v>45108</v>
      </c>
      <c r="P443" t="s">
        <v>89</v>
      </c>
      <c r="Q443" s="4">
        <v>45212</v>
      </c>
      <c r="S443" t="s">
        <v>3490</v>
      </c>
      <c r="U443">
        <v>1240.69</v>
      </c>
      <c r="V443">
        <v>0.40000322401244465</v>
      </c>
      <c r="W443" t="s">
        <v>16</v>
      </c>
      <c r="X443" t="s">
        <v>3828</v>
      </c>
      <c r="Z443" t="s">
        <v>89</v>
      </c>
      <c r="AA443" t="s">
        <v>89</v>
      </c>
      <c r="AC443" t="s">
        <v>89</v>
      </c>
      <c r="AD443">
        <v>0</v>
      </c>
      <c r="AE443" t="s">
        <v>9251</v>
      </c>
      <c r="AF443" s="4"/>
    </row>
    <row r="444" spans="1:32">
      <c r="A444" t="s">
        <v>10141</v>
      </c>
      <c r="B444" t="s">
        <v>9366</v>
      </c>
      <c r="D444" t="s">
        <v>54</v>
      </c>
      <c r="E444" t="s">
        <v>10142</v>
      </c>
      <c r="F444" t="s">
        <v>4579</v>
      </c>
      <c r="G444">
        <v>496.28</v>
      </c>
      <c r="I444">
        <v>496.28</v>
      </c>
      <c r="J444">
        <v>496.28</v>
      </c>
      <c r="K444" s="4">
        <v>45108</v>
      </c>
      <c r="L444" s="4">
        <v>45108</v>
      </c>
      <c r="M444">
        <v>2023</v>
      </c>
      <c r="N444">
        <v>7</v>
      </c>
      <c r="O444" s="4">
        <v>45108</v>
      </c>
      <c r="P444" t="s">
        <v>89</v>
      </c>
      <c r="Q444" s="4">
        <v>45212</v>
      </c>
      <c r="S444" t="s">
        <v>3309</v>
      </c>
      <c r="U444">
        <v>1240.69</v>
      </c>
      <c r="V444">
        <v>0.40000322401244465</v>
      </c>
      <c r="W444" t="s">
        <v>16</v>
      </c>
      <c r="X444" t="s">
        <v>3828</v>
      </c>
      <c r="Z444" t="s">
        <v>89</v>
      </c>
      <c r="AA444" t="s">
        <v>89</v>
      </c>
      <c r="AC444" t="s">
        <v>89</v>
      </c>
      <c r="AD444">
        <v>0</v>
      </c>
      <c r="AE444" t="s">
        <v>9251</v>
      </c>
      <c r="AF444" s="4"/>
    </row>
    <row r="445" spans="1:32">
      <c r="A445" t="s">
        <v>10143</v>
      </c>
      <c r="B445" t="s">
        <v>9366</v>
      </c>
      <c r="C445" t="s">
        <v>4432</v>
      </c>
      <c r="D445" t="s">
        <v>54</v>
      </c>
      <c r="E445" t="s">
        <v>9903</v>
      </c>
      <c r="F445" t="s">
        <v>4431</v>
      </c>
      <c r="G445">
        <v>8221.1219999999994</v>
      </c>
      <c r="I445">
        <v>8221.1219999999994</v>
      </c>
      <c r="K445" s="4">
        <v>45520</v>
      </c>
      <c r="L445" s="4">
        <v>45520</v>
      </c>
      <c r="M445">
        <v>2024</v>
      </c>
      <c r="N445">
        <v>8</v>
      </c>
      <c r="O445" s="4">
        <v>45505</v>
      </c>
      <c r="P445" t="s">
        <v>1473</v>
      </c>
      <c r="Q445" s="4"/>
      <c r="S445" t="s">
        <v>3792</v>
      </c>
      <c r="T445">
        <v>45551</v>
      </c>
      <c r="U445">
        <v>13701.87</v>
      </c>
      <c r="V445">
        <v>0.6</v>
      </c>
      <c r="W445" t="s">
        <v>16</v>
      </c>
      <c r="X445" t="s">
        <v>3770</v>
      </c>
      <c r="Z445">
        <v>32</v>
      </c>
      <c r="AA445">
        <v>32</v>
      </c>
      <c r="AB445" t="s">
        <v>9433</v>
      </c>
      <c r="AE445" t="s">
        <v>9251</v>
      </c>
      <c r="AF445" s="4"/>
    </row>
    <row r="446" spans="1:32">
      <c r="A446" t="s">
        <v>10144</v>
      </c>
      <c r="B446" t="s">
        <v>9366</v>
      </c>
      <c r="D446" t="s">
        <v>54</v>
      </c>
      <c r="E446" t="s">
        <v>10145</v>
      </c>
      <c r="F446" t="s">
        <v>4581</v>
      </c>
      <c r="G446">
        <v>496.28</v>
      </c>
      <c r="I446">
        <v>496.28</v>
      </c>
      <c r="J446">
        <v>496.28</v>
      </c>
      <c r="K446" s="4">
        <v>45108</v>
      </c>
      <c r="L446" s="4">
        <v>45108</v>
      </c>
      <c r="M446">
        <v>2023</v>
      </c>
      <c r="N446">
        <v>7</v>
      </c>
      <c r="O446" s="4">
        <v>45108</v>
      </c>
      <c r="P446" t="s">
        <v>89</v>
      </c>
      <c r="Q446" s="4">
        <v>45212</v>
      </c>
      <c r="S446" t="s">
        <v>3482</v>
      </c>
      <c r="U446">
        <v>1240.69</v>
      </c>
      <c r="V446">
        <v>0.40000322401244465</v>
      </c>
      <c r="W446" t="s">
        <v>16</v>
      </c>
      <c r="X446" t="s">
        <v>3828</v>
      </c>
      <c r="Z446" t="s">
        <v>89</v>
      </c>
      <c r="AA446" t="s">
        <v>89</v>
      </c>
      <c r="AC446" t="s">
        <v>89</v>
      </c>
      <c r="AD446">
        <v>0</v>
      </c>
      <c r="AE446" t="s">
        <v>9251</v>
      </c>
      <c r="AF446" s="4"/>
    </row>
    <row r="447" spans="1:32">
      <c r="A447" t="s">
        <v>10146</v>
      </c>
      <c r="B447" t="s">
        <v>9366</v>
      </c>
      <c r="C447" t="s">
        <v>4484</v>
      </c>
      <c r="D447" t="s">
        <v>54</v>
      </c>
      <c r="E447" t="s">
        <v>10054</v>
      </c>
      <c r="F447" t="s">
        <v>4481</v>
      </c>
      <c r="G447">
        <v>2344.8719999999998</v>
      </c>
      <c r="I447">
        <v>2344.8719999999998</v>
      </c>
      <c r="K447" s="4">
        <v>45506</v>
      </c>
      <c r="L447" s="4">
        <v>45509</v>
      </c>
      <c r="M447">
        <v>2024</v>
      </c>
      <c r="N447">
        <v>8</v>
      </c>
      <c r="O447" s="4">
        <v>45505</v>
      </c>
      <c r="P447" t="s">
        <v>625</v>
      </c>
      <c r="Q447" s="4"/>
      <c r="S447" t="s">
        <v>4483</v>
      </c>
      <c r="T447">
        <v>45551</v>
      </c>
      <c r="U447">
        <v>3908.12</v>
      </c>
      <c r="V447">
        <v>0.6</v>
      </c>
      <c r="W447" t="s">
        <v>16</v>
      </c>
      <c r="X447" t="s">
        <v>3665</v>
      </c>
      <c r="Z447">
        <v>46</v>
      </c>
      <c r="AA447">
        <v>43</v>
      </c>
      <c r="AB447" t="s">
        <v>9766</v>
      </c>
      <c r="AE447" t="s">
        <v>9251</v>
      </c>
      <c r="AF447" s="4"/>
    </row>
    <row r="448" spans="1:32">
      <c r="A448" t="s">
        <v>9374</v>
      </c>
      <c r="B448" t="s">
        <v>2193</v>
      </c>
      <c r="C448" t="s">
        <v>5603</v>
      </c>
      <c r="D448" t="s">
        <v>36</v>
      </c>
      <c r="E448" t="s">
        <v>2906</v>
      </c>
      <c r="F448" t="s">
        <v>2908</v>
      </c>
      <c r="G448">
        <v>0</v>
      </c>
      <c r="H448">
        <v>0</v>
      </c>
      <c r="I448">
        <v>0</v>
      </c>
      <c r="K448" s="4"/>
      <c r="L448" s="4"/>
      <c r="M448">
        <v>2024</v>
      </c>
      <c r="N448">
        <v>2</v>
      </c>
      <c r="O448" s="4">
        <v>45323</v>
      </c>
      <c r="P448" t="s">
        <v>95</v>
      </c>
      <c r="Q448" s="4"/>
      <c r="R448" t="s">
        <v>10147</v>
      </c>
      <c r="X448" t="s">
        <v>9314</v>
      </c>
      <c r="Z448">
        <v>205</v>
      </c>
      <c r="AA448">
        <v>205</v>
      </c>
      <c r="AC448" t="s">
        <v>95</v>
      </c>
      <c r="AD448" t="s">
        <v>89</v>
      </c>
      <c r="AE448" t="s">
        <v>9251</v>
      </c>
      <c r="AF448" s="4"/>
    </row>
    <row r="449" spans="1:32">
      <c r="A449" t="s">
        <v>10148</v>
      </c>
      <c r="B449" t="s">
        <v>9366</v>
      </c>
      <c r="D449" t="s">
        <v>54</v>
      </c>
      <c r="E449" t="s">
        <v>10149</v>
      </c>
      <c r="F449" t="s">
        <v>4583</v>
      </c>
      <c r="G449">
        <v>496.28</v>
      </c>
      <c r="I449">
        <v>496.28</v>
      </c>
      <c r="J449">
        <v>496.28</v>
      </c>
      <c r="K449" s="4">
        <v>45108</v>
      </c>
      <c r="L449" s="4">
        <v>45108</v>
      </c>
      <c r="M449">
        <v>2023</v>
      </c>
      <c r="N449">
        <v>7</v>
      </c>
      <c r="O449" s="4">
        <v>45108</v>
      </c>
      <c r="P449" t="s">
        <v>89</v>
      </c>
      <c r="Q449" s="4">
        <v>45212</v>
      </c>
      <c r="S449" t="s">
        <v>3486</v>
      </c>
      <c r="U449">
        <v>1240.69</v>
      </c>
      <c r="V449">
        <v>0.40000322401244465</v>
      </c>
      <c r="W449" t="s">
        <v>16</v>
      </c>
      <c r="X449" t="s">
        <v>3828</v>
      </c>
      <c r="Z449" t="s">
        <v>89</v>
      </c>
      <c r="AA449" t="s">
        <v>89</v>
      </c>
      <c r="AC449" t="s">
        <v>89</v>
      </c>
      <c r="AD449">
        <v>0</v>
      </c>
      <c r="AE449" t="s">
        <v>9251</v>
      </c>
      <c r="AF449" s="4"/>
    </row>
    <row r="450" spans="1:32">
      <c r="A450" t="s">
        <v>10150</v>
      </c>
      <c r="B450" t="s">
        <v>9366</v>
      </c>
      <c r="D450" t="s">
        <v>54</v>
      </c>
      <c r="E450" t="s">
        <v>10151</v>
      </c>
      <c r="F450" t="s">
        <v>4585</v>
      </c>
      <c r="G450">
        <v>496.28</v>
      </c>
      <c r="I450">
        <v>496.28</v>
      </c>
      <c r="J450">
        <v>496.28</v>
      </c>
      <c r="K450" s="4">
        <v>45108</v>
      </c>
      <c r="L450" s="4">
        <v>45108</v>
      </c>
      <c r="M450">
        <v>2023</v>
      </c>
      <c r="N450">
        <v>7</v>
      </c>
      <c r="O450" s="4">
        <v>45108</v>
      </c>
      <c r="P450" t="s">
        <v>89</v>
      </c>
      <c r="Q450" s="4">
        <v>45212</v>
      </c>
      <c r="S450" t="s">
        <v>3301</v>
      </c>
      <c r="U450">
        <v>1240.69</v>
      </c>
      <c r="V450">
        <v>0.40000322401244465</v>
      </c>
      <c r="W450" t="s">
        <v>16</v>
      </c>
      <c r="X450" t="s">
        <v>3828</v>
      </c>
      <c r="Z450" t="s">
        <v>89</v>
      </c>
      <c r="AA450" t="s">
        <v>89</v>
      </c>
      <c r="AC450" t="s">
        <v>89</v>
      </c>
      <c r="AD450">
        <v>0</v>
      </c>
      <c r="AE450" t="s">
        <v>9251</v>
      </c>
      <c r="AF450" s="4"/>
    </row>
    <row r="451" spans="1:32">
      <c r="A451" t="s">
        <v>10152</v>
      </c>
      <c r="B451" t="s">
        <v>9366</v>
      </c>
      <c r="C451" t="s">
        <v>4497</v>
      </c>
      <c r="D451" t="s">
        <v>54</v>
      </c>
      <c r="E451" t="s">
        <v>10062</v>
      </c>
      <c r="F451" t="s">
        <v>4495</v>
      </c>
      <c r="G451">
        <v>821.86199999999997</v>
      </c>
      <c r="I451">
        <v>821.86199999999997</v>
      </c>
      <c r="K451" s="4">
        <v>45506</v>
      </c>
      <c r="L451" s="4">
        <v>45509</v>
      </c>
      <c r="M451">
        <v>2024</v>
      </c>
      <c r="N451">
        <v>8</v>
      </c>
      <c r="O451" s="4">
        <v>45505</v>
      </c>
      <c r="P451" t="s">
        <v>625</v>
      </c>
      <c r="Q451" s="4"/>
      <c r="S451" t="s">
        <v>4496</v>
      </c>
      <c r="T451">
        <v>45551</v>
      </c>
      <c r="U451">
        <v>1369.77</v>
      </c>
      <c r="V451">
        <v>0.6</v>
      </c>
      <c r="W451" t="s">
        <v>16</v>
      </c>
      <c r="X451" t="s">
        <v>3665</v>
      </c>
      <c r="Z451">
        <v>46</v>
      </c>
      <c r="AA451">
        <v>43</v>
      </c>
      <c r="AB451" t="s">
        <v>9766</v>
      </c>
      <c r="AE451" t="s">
        <v>9251</v>
      </c>
      <c r="AF451" s="4"/>
    </row>
    <row r="452" spans="1:32">
      <c r="A452" t="s">
        <v>10153</v>
      </c>
      <c r="B452" t="s">
        <v>9366</v>
      </c>
      <c r="D452" t="s">
        <v>54</v>
      </c>
      <c r="E452" t="s">
        <v>10154</v>
      </c>
      <c r="F452" t="s">
        <v>4586</v>
      </c>
      <c r="G452">
        <v>496.28</v>
      </c>
      <c r="I452">
        <v>496.28</v>
      </c>
      <c r="J452">
        <v>496.28</v>
      </c>
      <c r="K452" s="4">
        <v>45108</v>
      </c>
      <c r="L452" s="4">
        <v>45108</v>
      </c>
      <c r="M452">
        <v>2023</v>
      </c>
      <c r="N452">
        <v>7</v>
      </c>
      <c r="O452" s="4">
        <v>45108</v>
      </c>
      <c r="P452" t="s">
        <v>89</v>
      </c>
      <c r="Q452" s="4">
        <v>45212</v>
      </c>
      <c r="S452" t="s">
        <v>3488</v>
      </c>
      <c r="U452">
        <v>1240.69</v>
      </c>
      <c r="V452">
        <v>0.40000322401244465</v>
      </c>
      <c r="W452" t="s">
        <v>16</v>
      </c>
      <c r="X452" t="s">
        <v>3828</v>
      </c>
      <c r="Z452" t="s">
        <v>89</v>
      </c>
      <c r="AA452" t="s">
        <v>89</v>
      </c>
      <c r="AC452" t="s">
        <v>89</v>
      </c>
      <c r="AD452">
        <v>0</v>
      </c>
      <c r="AE452" t="s">
        <v>9251</v>
      </c>
      <c r="AF452" s="4"/>
    </row>
    <row r="453" spans="1:32">
      <c r="A453" t="s">
        <v>10155</v>
      </c>
      <c r="B453" t="s">
        <v>9366</v>
      </c>
      <c r="D453" t="s">
        <v>54</v>
      </c>
      <c r="E453" t="s">
        <v>10156</v>
      </c>
      <c r="F453" t="s">
        <v>4588</v>
      </c>
      <c r="G453">
        <v>496.28</v>
      </c>
      <c r="I453">
        <v>496.28</v>
      </c>
      <c r="J453">
        <v>496.28</v>
      </c>
      <c r="K453" s="4">
        <v>45108</v>
      </c>
      <c r="L453" s="4">
        <v>45108</v>
      </c>
      <c r="M453">
        <v>2023</v>
      </c>
      <c r="N453">
        <v>7</v>
      </c>
      <c r="O453" s="4">
        <v>45108</v>
      </c>
      <c r="P453" t="s">
        <v>89</v>
      </c>
      <c r="Q453" s="4">
        <v>45212</v>
      </c>
      <c r="S453" t="s">
        <v>3158</v>
      </c>
      <c r="U453">
        <v>1240.69</v>
      </c>
      <c r="V453">
        <v>0.40000322401244465</v>
      </c>
      <c r="W453" t="s">
        <v>16</v>
      </c>
      <c r="X453" t="s">
        <v>3828</v>
      </c>
      <c r="Z453" t="s">
        <v>89</v>
      </c>
      <c r="AA453" t="s">
        <v>89</v>
      </c>
      <c r="AC453" t="s">
        <v>89</v>
      </c>
      <c r="AD453">
        <v>0</v>
      </c>
      <c r="AE453" t="s">
        <v>9251</v>
      </c>
      <c r="AF453" s="4"/>
    </row>
    <row r="454" spans="1:32">
      <c r="A454" t="s">
        <v>10157</v>
      </c>
      <c r="B454" t="s">
        <v>9366</v>
      </c>
      <c r="C454" t="s">
        <v>4500</v>
      </c>
      <c r="D454" t="s">
        <v>54</v>
      </c>
      <c r="E454" t="s">
        <v>10064</v>
      </c>
      <c r="F454" t="s">
        <v>4498</v>
      </c>
      <c r="G454">
        <v>821.86199999999997</v>
      </c>
      <c r="I454">
        <v>821.86199999999997</v>
      </c>
      <c r="K454" s="4">
        <v>45527</v>
      </c>
      <c r="L454" s="4">
        <v>45527</v>
      </c>
      <c r="O454" s="4"/>
      <c r="P454" t="s">
        <v>1473</v>
      </c>
      <c r="Q454" s="4"/>
      <c r="S454" t="s">
        <v>4499</v>
      </c>
      <c r="T454">
        <v>45551</v>
      </c>
      <c r="U454">
        <v>1369.77</v>
      </c>
      <c r="V454">
        <v>0.6</v>
      </c>
      <c r="W454" t="s">
        <v>16</v>
      </c>
      <c r="X454" t="s">
        <v>3665</v>
      </c>
      <c r="Z454">
        <v>25</v>
      </c>
      <c r="AA454">
        <v>25</v>
      </c>
      <c r="AB454" t="s">
        <v>9766</v>
      </c>
      <c r="AE454" t="s">
        <v>9251</v>
      </c>
      <c r="AF454" s="4"/>
    </row>
    <row r="455" spans="1:32">
      <c r="A455" t="s">
        <v>10158</v>
      </c>
      <c r="B455" t="s">
        <v>9366</v>
      </c>
      <c r="D455" t="s">
        <v>54</v>
      </c>
      <c r="E455" t="s">
        <v>10159</v>
      </c>
      <c r="F455" t="s">
        <v>4590</v>
      </c>
      <c r="G455">
        <v>496.28</v>
      </c>
      <c r="I455">
        <v>496.28</v>
      </c>
      <c r="J455">
        <v>496.28</v>
      </c>
      <c r="K455" s="4">
        <v>45108</v>
      </c>
      <c r="L455" s="4">
        <v>45108</v>
      </c>
      <c r="M455">
        <v>2023</v>
      </c>
      <c r="N455">
        <v>7</v>
      </c>
      <c r="O455" s="4">
        <v>45108</v>
      </c>
      <c r="P455" t="s">
        <v>89</v>
      </c>
      <c r="Q455" s="4">
        <v>45212</v>
      </c>
      <c r="S455" t="s">
        <v>3484</v>
      </c>
      <c r="U455">
        <v>1240.69</v>
      </c>
      <c r="V455">
        <v>0.40000322401244465</v>
      </c>
      <c r="W455" t="s">
        <v>16</v>
      </c>
      <c r="X455" t="s">
        <v>3828</v>
      </c>
      <c r="Z455" t="s">
        <v>89</v>
      </c>
      <c r="AA455" t="s">
        <v>89</v>
      </c>
      <c r="AC455" t="s">
        <v>89</v>
      </c>
      <c r="AD455" t="s">
        <v>89</v>
      </c>
      <c r="AE455" t="s">
        <v>3652</v>
      </c>
      <c r="AF455" s="4"/>
    </row>
    <row r="456" spans="1:32">
      <c r="A456" t="s">
        <v>10160</v>
      </c>
      <c r="B456" t="s">
        <v>9366</v>
      </c>
      <c r="D456" t="s">
        <v>54</v>
      </c>
      <c r="E456" t="s">
        <v>10161</v>
      </c>
      <c r="F456" t="s">
        <v>4592</v>
      </c>
      <c r="G456">
        <v>333.76</v>
      </c>
      <c r="I456">
        <v>333.76</v>
      </c>
      <c r="J456">
        <v>333.76</v>
      </c>
      <c r="K456" s="4">
        <v>45108</v>
      </c>
      <c r="L456" s="4">
        <v>45108</v>
      </c>
      <c r="M456">
        <v>2023</v>
      </c>
      <c r="N456">
        <v>7</v>
      </c>
      <c r="O456" s="4">
        <v>45108</v>
      </c>
      <c r="P456" t="s">
        <v>89</v>
      </c>
      <c r="Q456" s="4">
        <v>45212</v>
      </c>
      <c r="S456" t="s">
        <v>2596</v>
      </c>
      <c r="U456">
        <v>834.4</v>
      </c>
      <c r="V456">
        <v>0.4</v>
      </c>
      <c r="W456" t="s">
        <v>16</v>
      </c>
      <c r="X456" t="s">
        <v>3828</v>
      </c>
      <c r="Z456" t="s">
        <v>89</v>
      </c>
      <c r="AA456" t="s">
        <v>89</v>
      </c>
      <c r="AC456" t="s">
        <v>89</v>
      </c>
      <c r="AD456">
        <v>0</v>
      </c>
      <c r="AE456" t="s">
        <v>9251</v>
      </c>
      <c r="AF456" s="4"/>
    </row>
    <row r="457" spans="1:32">
      <c r="A457" t="s">
        <v>10162</v>
      </c>
      <c r="B457" t="s">
        <v>9366</v>
      </c>
      <c r="D457" t="s">
        <v>54</v>
      </c>
      <c r="E457" t="s">
        <v>10163</v>
      </c>
      <c r="F457" t="s">
        <v>4594</v>
      </c>
      <c r="G457">
        <v>496.28</v>
      </c>
      <c r="I457">
        <v>496.28</v>
      </c>
      <c r="J457">
        <v>496.28</v>
      </c>
      <c r="K457" s="4">
        <v>45108</v>
      </c>
      <c r="L457" s="4">
        <v>45108</v>
      </c>
      <c r="M457">
        <v>2023</v>
      </c>
      <c r="N457">
        <v>7</v>
      </c>
      <c r="O457" s="4">
        <v>45108</v>
      </c>
      <c r="P457" t="s">
        <v>89</v>
      </c>
      <c r="Q457" s="4">
        <v>45212</v>
      </c>
      <c r="S457" t="s">
        <v>4595</v>
      </c>
      <c r="U457">
        <v>1240.69</v>
      </c>
      <c r="V457">
        <v>0.40000322401244465</v>
      </c>
      <c r="W457" t="s">
        <v>16</v>
      </c>
      <c r="X457" t="s">
        <v>3828</v>
      </c>
      <c r="Z457" t="s">
        <v>89</v>
      </c>
      <c r="AA457" t="s">
        <v>89</v>
      </c>
      <c r="AC457" t="s">
        <v>89</v>
      </c>
      <c r="AD457">
        <v>0</v>
      </c>
      <c r="AE457" t="s">
        <v>9251</v>
      </c>
      <c r="AF457" s="4"/>
    </row>
    <row r="458" spans="1:32">
      <c r="A458" t="s">
        <v>10164</v>
      </c>
      <c r="B458" t="s">
        <v>9366</v>
      </c>
      <c r="D458" t="s">
        <v>54</v>
      </c>
      <c r="E458" t="s">
        <v>10165</v>
      </c>
      <c r="F458" t="s">
        <v>4596</v>
      </c>
      <c r="G458">
        <v>333.76</v>
      </c>
      <c r="I458">
        <v>333.76</v>
      </c>
      <c r="J458">
        <v>333.76</v>
      </c>
      <c r="K458" s="4">
        <v>45108</v>
      </c>
      <c r="L458" s="4">
        <v>45108</v>
      </c>
      <c r="M458">
        <v>2023</v>
      </c>
      <c r="N458">
        <v>7</v>
      </c>
      <c r="O458" s="4">
        <v>45108</v>
      </c>
      <c r="P458" t="s">
        <v>89</v>
      </c>
      <c r="Q458" s="4">
        <v>45212</v>
      </c>
      <c r="S458" t="s">
        <v>2576</v>
      </c>
      <c r="U458">
        <v>834.4</v>
      </c>
      <c r="V458">
        <v>0.4</v>
      </c>
      <c r="W458" t="s">
        <v>16</v>
      </c>
      <c r="X458" t="s">
        <v>3828</v>
      </c>
      <c r="Z458" t="s">
        <v>89</v>
      </c>
      <c r="AA458" t="s">
        <v>89</v>
      </c>
      <c r="AC458" t="s">
        <v>89</v>
      </c>
      <c r="AD458" t="s">
        <v>89</v>
      </c>
      <c r="AE458" t="s">
        <v>3652</v>
      </c>
      <c r="AF458" s="4"/>
    </row>
    <row r="459" spans="1:32">
      <c r="A459" t="s">
        <v>10166</v>
      </c>
      <c r="B459" t="s">
        <v>9366</v>
      </c>
      <c r="D459" t="s">
        <v>54</v>
      </c>
      <c r="E459" t="s">
        <v>10167</v>
      </c>
      <c r="F459" t="s">
        <v>4597</v>
      </c>
      <c r="G459">
        <v>496.28</v>
      </c>
      <c r="I459">
        <v>496.28</v>
      </c>
      <c r="J459">
        <v>496.28</v>
      </c>
      <c r="K459" s="4">
        <v>45108</v>
      </c>
      <c r="L459" s="4">
        <v>45108</v>
      </c>
      <c r="M459">
        <v>2023</v>
      </c>
      <c r="N459">
        <v>7</v>
      </c>
      <c r="O459" s="4">
        <v>45108</v>
      </c>
      <c r="P459" t="s">
        <v>89</v>
      </c>
      <c r="Q459" s="4">
        <v>45212</v>
      </c>
      <c r="S459" t="s">
        <v>4598</v>
      </c>
      <c r="U459">
        <v>1240.69</v>
      </c>
      <c r="V459">
        <v>0.40000322401244465</v>
      </c>
      <c r="W459" t="s">
        <v>16</v>
      </c>
      <c r="X459" t="s">
        <v>3828</v>
      </c>
      <c r="Z459" t="s">
        <v>89</v>
      </c>
      <c r="AA459" t="s">
        <v>89</v>
      </c>
      <c r="AC459" t="s">
        <v>89</v>
      </c>
      <c r="AD459" t="s">
        <v>89</v>
      </c>
      <c r="AE459" t="s">
        <v>3652</v>
      </c>
      <c r="AF459" s="4"/>
    </row>
    <row r="460" spans="1:32">
      <c r="A460" t="s">
        <v>10168</v>
      </c>
      <c r="B460" t="s">
        <v>9366</v>
      </c>
      <c r="D460" t="s">
        <v>54</v>
      </c>
      <c r="E460" t="s">
        <v>10169</v>
      </c>
      <c r="F460" t="s">
        <v>4601</v>
      </c>
      <c r="G460">
        <v>496.28</v>
      </c>
      <c r="I460">
        <v>496.28</v>
      </c>
      <c r="J460">
        <v>496.28</v>
      </c>
      <c r="K460" s="4">
        <v>45108</v>
      </c>
      <c r="L460" s="4">
        <v>45108</v>
      </c>
      <c r="M460">
        <v>2023</v>
      </c>
      <c r="N460">
        <v>7</v>
      </c>
      <c r="O460" s="4">
        <v>45108</v>
      </c>
      <c r="P460" t="s">
        <v>89</v>
      </c>
      <c r="Q460" s="4">
        <v>45212</v>
      </c>
      <c r="S460" t="s">
        <v>4602</v>
      </c>
      <c r="U460">
        <v>1240.69</v>
      </c>
      <c r="V460">
        <v>0.40000322401244465</v>
      </c>
      <c r="W460" t="s">
        <v>16</v>
      </c>
      <c r="X460" t="s">
        <v>3828</v>
      </c>
      <c r="Z460" t="s">
        <v>89</v>
      </c>
      <c r="AA460" t="s">
        <v>89</v>
      </c>
      <c r="AC460" t="s">
        <v>89</v>
      </c>
      <c r="AD460">
        <v>0</v>
      </c>
      <c r="AE460" t="s">
        <v>9251</v>
      </c>
      <c r="AF460" s="4"/>
    </row>
    <row r="461" spans="1:32">
      <c r="A461" t="s">
        <v>10170</v>
      </c>
      <c r="B461" t="s">
        <v>9366</v>
      </c>
      <c r="D461" t="s">
        <v>54</v>
      </c>
      <c r="E461" t="s">
        <v>10171</v>
      </c>
      <c r="F461" t="s">
        <v>4604</v>
      </c>
      <c r="G461">
        <v>496.28</v>
      </c>
      <c r="I461">
        <v>496.28</v>
      </c>
      <c r="J461">
        <v>496.28</v>
      </c>
      <c r="K461" s="4">
        <v>45108</v>
      </c>
      <c r="L461" s="4">
        <v>45108</v>
      </c>
      <c r="M461">
        <v>2023</v>
      </c>
      <c r="N461">
        <v>7</v>
      </c>
      <c r="O461" s="4">
        <v>45108</v>
      </c>
      <c r="P461" t="s">
        <v>89</v>
      </c>
      <c r="Q461" s="4">
        <v>45212</v>
      </c>
      <c r="S461" t="s">
        <v>4605</v>
      </c>
      <c r="U461">
        <v>1240.69</v>
      </c>
      <c r="V461">
        <v>0.40000322401244465</v>
      </c>
      <c r="W461" t="s">
        <v>16</v>
      </c>
      <c r="X461" t="s">
        <v>3828</v>
      </c>
      <c r="Z461" t="s">
        <v>89</v>
      </c>
      <c r="AA461" t="s">
        <v>89</v>
      </c>
      <c r="AC461" t="s">
        <v>89</v>
      </c>
      <c r="AD461">
        <v>0</v>
      </c>
      <c r="AE461" t="s">
        <v>9251</v>
      </c>
      <c r="AF461" s="4"/>
    </row>
    <row r="462" spans="1:32">
      <c r="A462" t="s">
        <v>10172</v>
      </c>
      <c r="B462" t="s">
        <v>9366</v>
      </c>
      <c r="D462" t="s">
        <v>54</v>
      </c>
      <c r="E462" t="s">
        <v>10173</v>
      </c>
      <c r="F462" t="s">
        <v>4607</v>
      </c>
      <c r="G462">
        <v>1481.85</v>
      </c>
      <c r="I462">
        <v>1481.85</v>
      </c>
      <c r="J462">
        <v>1481.85</v>
      </c>
      <c r="K462" s="4">
        <v>45108</v>
      </c>
      <c r="L462" s="4">
        <v>45108</v>
      </c>
      <c r="M462">
        <v>2023</v>
      </c>
      <c r="N462">
        <v>7</v>
      </c>
      <c r="O462" s="4">
        <v>45108</v>
      </c>
      <c r="P462" t="s">
        <v>89</v>
      </c>
      <c r="Q462" s="4">
        <v>45212</v>
      </c>
      <c r="S462" t="s">
        <v>2921</v>
      </c>
      <c r="U462">
        <v>3704.62</v>
      </c>
      <c r="V462">
        <v>0.40000053986643702</v>
      </c>
      <c r="W462" t="s">
        <v>16</v>
      </c>
      <c r="X462" t="s">
        <v>3828</v>
      </c>
      <c r="Z462" t="s">
        <v>89</v>
      </c>
      <c r="AA462" t="s">
        <v>89</v>
      </c>
      <c r="AC462" t="s">
        <v>89</v>
      </c>
      <c r="AD462">
        <v>0</v>
      </c>
      <c r="AE462" t="s">
        <v>9251</v>
      </c>
      <c r="AF462" s="4"/>
    </row>
    <row r="463" spans="1:32">
      <c r="A463" t="s">
        <v>10174</v>
      </c>
      <c r="B463" t="s">
        <v>9366</v>
      </c>
      <c r="C463" t="s">
        <v>4504</v>
      </c>
      <c r="D463" t="s">
        <v>54</v>
      </c>
      <c r="E463" t="s">
        <v>10068</v>
      </c>
      <c r="F463" t="s">
        <v>4503</v>
      </c>
      <c r="G463">
        <v>821.86199999999997</v>
      </c>
      <c r="I463">
        <v>821.86199999999997</v>
      </c>
      <c r="K463" s="4">
        <v>45506</v>
      </c>
      <c r="L463" s="4">
        <v>45509</v>
      </c>
      <c r="M463">
        <v>2024</v>
      </c>
      <c r="N463">
        <v>8</v>
      </c>
      <c r="O463" s="4">
        <v>45505</v>
      </c>
      <c r="P463" t="s">
        <v>625</v>
      </c>
      <c r="Q463" s="4"/>
      <c r="S463" t="s">
        <v>4150</v>
      </c>
      <c r="T463">
        <v>45551</v>
      </c>
      <c r="U463">
        <v>1369.77</v>
      </c>
      <c r="V463">
        <v>0.6</v>
      </c>
      <c r="W463" t="s">
        <v>16</v>
      </c>
      <c r="X463" t="s">
        <v>3665</v>
      </c>
      <c r="Z463">
        <v>46</v>
      </c>
      <c r="AA463">
        <v>43</v>
      </c>
      <c r="AB463" t="s">
        <v>9766</v>
      </c>
      <c r="AE463" t="s">
        <v>9251</v>
      </c>
      <c r="AF463" s="4"/>
    </row>
    <row r="464" spans="1:32">
      <c r="A464" t="s">
        <v>10175</v>
      </c>
      <c r="B464" t="s">
        <v>9366</v>
      </c>
      <c r="D464" t="s">
        <v>54</v>
      </c>
      <c r="E464" t="s">
        <v>10176</v>
      </c>
      <c r="F464" t="s">
        <v>4609</v>
      </c>
      <c r="G464">
        <v>1481.85</v>
      </c>
      <c r="I464">
        <v>1481.85</v>
      </c>
      <c r="J464">
        <v>1481.85</v>
      </c>
      <c r="K464" s="4">
        <v>45108</v>
      </c>
      <c r="L464" s="4">
        <v>45108</v>
      </c>
      <c r="M464">
        <v>2023</v>
      </c>
      <c r="N464">
        <v>7</v>
      </c>
      <c r="O464" s="4">
        <v>45108</v>
      </c>
      <c r="P464" t="s">
        <v>89</v>
      </c>
      <c r="Q464" s="4">
        <v>45212</v>
      </c>
      <c r="S464" t="s">
        <v>2919</v>
      </c>
      <c r="U464">
        <v>3704.62</v>
      </c>
      <c r="V464">
        <v>0.40000053986643702</v>
      </c>
      <c r="W464" t="s">
        <v>16</v>
      </c>
      <c r="X464" t="s">
        <v>3828</v>
      </c>
      <c r="Z464" t="s">
        <v>89</v>
      </c>
      <c r="AA464" t="s">
        <v>89</v>
      </c>
      <c r="AC464" t="s">
        <v>89</v>
      </c>
      <c r="AD464">
        <v>0</v>
      </c>
      <c r="AE464" t="s">
        <v>9251</v>
      </c>
      <c r="AF464" s="4"/>
    </row>
    <row r="465" spans="1:32">
      <c r="A465" t="s">
        <v>10177</v>
      </c>
      <c r="B465" t="s">
        <v>9366</v>
      </c>
      <c r="C465" t="s">
        <v>4650</v>
      </c>
      <c r="D465" t="s">
        <v>54</v>
      </c>
      <c r="E465" t="s">
        <v>10178</v>
      </c>
      <c r="F465" t="s">
        <v>4647</v>
      </c>
      <c r="G465">
        <v>2832.4199999999996</v>
      </c>
      <c r="I465">
        <v>2832.4199999999996</v>
      </c>
      <c r="J465">
        <v>2832.4199999999996</v>
      </c>
      <c r="K465" s="4">
        <v>45422</v>
      </c>
      <c r="L465" s="4">
        <v>45422</v>
      </c>
      <c r="M465">
        <v>2024</v>
      </c>
      <c r="N465">
        <v>5</v>
      </c>
      <c r="O465" s="4">
        <v>45413</v>
      </c>
      <c r="P465" t="s">
        <v>89</v>
      </c>
      <c r="Q465" s="4">
        <v>45534</v>
      </c>
      <c r="S465" t="s">
        <v>4649</v>
      </c>
      <c r="T465">
        <v>45505</v>
      </c>
      <c r="U465">
        <v>4720.7</v>
      </c>
      <c r="V465">
        <v>0.6</v>
      </c>
      <c r="W465" t="s">
        <v>16</v>
      </c>
      <c r="X465" t="s">
        <v>3711</v>
      </c>
      <c r="Z465" t="s">
        <v>89</v>
      </c>
      <c r="AA465" t="s">
        <v>89</v>
      </c>
      <c r="AB465" t="s">
        <v>10179</v>
      </c>
      <c r="AC465" t="s">
        <v>625</v>
      </c>
      <c r="AD465" t="s">
        <v>1848</v>
      </c>
      <c r="AE465" t="s">
        <v>9251</v>
      </c>
      <c r="AF465" s="4"/>
    </row>
    <row r="466" spans="1:32">
      <c r="A466" t="s">
        <v>10180</v>
      </c>
      <c r="B466" t="s">
        <v>9366</v>
      </c>
      <c r="D466" t="s">
        <v>54</v>
      </c>
      <c r="E466" t="s">
        <v>10181</v>
      </c>
      <c r="F466" t="s">
        <v>4612</v>
      </c>
      <c r="G466">
        <v>1319.33</v>
      </c>
      <c r="I466">
        <v>1319.33</v>
      </c>
      <c r="J466">
        <v>1319.33</v>
      </c>
      <c r="K466" s="4">
        <v>45108</v>
      </c>
      <c r="L466" s="4">
        <v>45108</v>
      </c>
      <c r="M466">
        <v>2023</v>
      </c>
      <c r="N466">
        <v>7</v>
      </c>
      <c r="O466" s="4">
        <v>45108</v>
      </c>
      <c r="P466" t="s">
        <v>89</v>
      </c>
      <c r="Q466" s="4">
        <v>45212</v>
      </c>
      <c r="S466" t="s">
        <v>2917</v>
      </c>
      <c r="U466">
        <v>3298.32</v>
      </c>
      <c r="V466">
        <v>0.40000060636930312</v>
      </c>
      <c r="W466" t="s">
        <v>16</v>
      </c>
      <c r="X466" t="s">
        <v>3828</v>
      </c>
      <c r="Z466" t="s">
        <v>89</v>
      </c>
      <c r="AA466" t="s">
        <v>89</v>
      </c>
      <c r="AC466" t="s">
        <v>89</v>
      </c>
      <c r="AD466">
        <v>0</v>
      </c>
      <c r="AE466" t="s">
        <v>9251</v>
      </c>
      <c r="AF466" s="4"/>
    </row>
    <row r="467" spans="1:32">
      <c r="A467" t="s">
        <v>10182</v>
      </c>
      <c r="B467" t="s">
        <v>9366</v>
      </c>
      <c r="C467" t="s">
        <v>4653</v>
      </c>
      <c r="D467" t="s">
        <v>54</v>
      </c>
      <c r="E467" t="s">
        <v>10183</v>
      </c>
      <c r="F467" t="s">
        <v>4651</v>
      </c>
      <c r="G467">
        <v>2832.4199999999996</v>
      </c>
      <c r="I467">
        <v>2832.4199999999996</v>
      </c>
      <c r="J467">
        <v>2832.4199999999996</v>
      </c>
      <c r="K467" s="4">
        <v>45471</v>
      </c>
      <c r="L467" s="4">
        <v>45471</v>
      </c>
      <c r="M467">
        <v>2024</v>
      </c>
      <c r="N467">
        <v>6</v>
      </c>
      <c r="O467" s="4">
        <v>45444</v>
      </c>
      <c r="P467" t="s">
        <v>89</v>
      </c>
      <c r="Q467" s="4">
        <v>45534</v>
      </c>
      <c r="S467" t="s">
        <v>4652</v>
      </c>
      <c r="T467">
        <v>45505</v>
      </c>
      <c r="U467">
        <v>4720.7</v>
      </c>
      <c r="V467">
        <v>0.6</v>
      </c>
      <c r="W467" t="s">
        <v>16</v>
      </c>
      <c r="X467" t="s">
        <v>3711</v>
      </c>
      <c r="Z467" t="s">
        <v>89</v>
      </c>
      <c r="AA467" t="s">
        <v>89</v>
      </c>
      <c r="AB467" t="s">
        <v>10179</v>
      </c>
      <c r="AC467" t="s">
        <v>625</v>
      </c>
      <c r="AD467" t="s">
        <v>1848</v>
      </c>
      <c r="AE467" t="s">
        <v>9251</v>
      </c>
      <c r="AF467" s="4"/>
    </row>
    <row r="468" spans="1:32">
      <c r="A468" t="s">
        <v>10184</v>
      </c>
      <c r="B468" t="s">
        <v>9366</v>
      </c>
      <c r="D468" t="s">
        <v>54</v>
      </c>
      <c r="E468" t="s">
        <v>10185</v>
      </c>
      <c r="F468" t="s">
        <v>4614</v>
      </c>
      <c r="G468">
        <v>1319.33</v>
      </c>
      <c r="I468">
        <v>1319.33</v>
      </c>
      <c r="J468">
        <v>1319.33</v>
      </c>
      <c r="K468" s="4">
        <v>45108</v>
      </c>
      <c r="L468" s="4">
        <v>45108</v>
      </c>
      <c r="M468">
        <v>2023</v>
      </c>
      <c r="N468">
        <v>7</v>
      </c>
      <c r="O468" s="4">
        <v>45108</v>
      </c>
      <c r="P468" t="s">
        <v>89</v>
      </c>
      <c r="Q468" s="4">
        <v>45212</v>
      </c>
      <c r="S468" t="s">
        <v>2915</v>
      </c>
      <c r="U468">
        <v>3298.32</v>
      </c>
      <c r="V468">
        <v>0.40000060636930312</v>
      </c>
      <c r="W468" t="s">
        <v>16</v>
      </c>
      <c r="X468" t="s">
        <v>3828</v>
      </c>
      <c r="Z468" t="s">
        <v>89</v>
      </c>
      <c r="AA468" t="s">
        <v>89</v>
      </c>
      <c r="AC468" t="s">
        <v>89</v>
      </c>
      <c r="AD468">
        <v>0</v>
      </c>
      <c r="AE468" t="s">
        <v>9251</v>
      </c>
      <c r="AF468" s="4"/>
    </row>
    <row r="469" spans="1:32">
      <c r="A469" t="s">
        <v>10186</v>
      </c>
      <c r="B469" t="s">
        <v>9366</v>
      </c>
      <c r="C469" t="s">
        <v>10187</v>
      </c>
      <c r="D469" t="s">
        <v>54</v>
      </c>
      <c r="E469" t="s">
        <v>10188</v>
      </c>
      <c r="F469" t="s">
        <v>4541</v>
      </c>
      <c r="G469">
        <v>1035.46</v>
      </c>
      <c r="I469">
        <v>1035.46</v>
      </c>
      <c r="K469" s="4">
        <v>45079</v>
      </c>
      <c r="L469" s="4">
        <v>45082</v>
      </c>
      <c r="M469">
        <v>2023</v>
      </c>
      <c r="N469">
        <v>6</v>
      </c>
      <c r="O469" s="4">
        <v>45078</v>
      </c>
      <c r="P469" t="s">
        <v>837</v>
      </c>
      <c r="Q469" s="4"/>
      <c r="R469" t="s">
        <v>4543</v>
      </c>
      <c r="S469" t="s">
        <v>3195</v>
      </c>
      <c r="U469">
        <v>2588.64</v>
      </c>
      <c r="V469">
        <v>0.40000154521293035</v>
      </c>
      <c r="W469" t="s">
        <v>16</v>
      </c>
      <c r="X469" t="s">
        <v>3665</v>
      </c>
      <c r="Z469">
        <v>473</v>
      </c>
      <c r="AA469">
        <v>470</v>
      </c>
      <c r="AC469" t="s">
        <v>837</v>
      </c>
      <c r="AD469" t="s">
        <v>837</v>
      </c>
      <c r="AE469" t="s">
        <v>3652</v>
      </c>
      <c r="AF469" s="4"/>
    </row>
    <row r="470" spans="1:32">
      <c r="A470" t="s">
        <v>10189</v>
      </c>
      <c r="B470" t="s">
        <v>9366</v>
      </c>
      <c r="D470" t="s">
        <v>54</v>
      </c>
      <c r="E470" t="s">
        <v>10190</v>
      </c>
      <c r="F470" t="s">
        <v>4616</v>
      </c>
      <c r="G470">
        <v>496.28</v>
      </c>
      <c r="I470">
        <v>496.28</v>
      </c>
      <c r="J470">
        <v>496.28</v>
      </c>
      <c r="K470" s="4">
        <v>45108</v>
      </c>
      <c r="L470" s="4">
        <v>45108</v>
      </c>
      <c r="M470">
        <v>2023</v>
      </c>
      <c r="N470">
        <v>7</v>
      </c>
      <c r="O470" s="4">
        <v>45108</v>
      </c>
      <c r="P470" t="s">
        <v>89</v>
      </c>
      <c r="Q470" s="4">
        <v>45212</v>
      </c>
      <c r="S470" t="s">
        <v>3518</v>
      </c>
      <c r="U470">
        <v>1240.69</v>
      </c>
      <c r="V470">
        <v>0.40000322401244465</v>
      </c>
      <c r="W470" t="s">
        <v>16</v>
      </c>
      <c r="X470" t="s">
        <v>3828</v>
      </c>
      <c r="Z470" t="s">
        <v>89</v>
      </c>
      <c r="AA470" t="s">
        <v>89</v>
      </c>
      <c r="AC470" t="s">
        <v>89</v>
      </c>
      <c r="AD470">
        <v>0</v>
      </c>
      <c r="AE470" t="s">
        <v>9251</v>
      </c>
      <c r="AF470" s="4"/>
    </row>
    <row r="471" spans="1:32">
      <c r="A471" t="s">
        <v>10191</v>
      </c>
      <c r="B471" t="s">
        <v>9366</v>
      </c>
      <c r="D471" t="s">
        <v>54</v>
      </c>
      <c r="E471" t="s">
        <v>10192</v>
      </c>
      <c r="F471" t="s">
        <v>4618</v>
      </c>
      <c r="G471">
        <v>496.28</v>
      </c>
      <c r="I471">
        <v>496.28</v>
      </c>
      <c r="J471">
        <v>496.28</v>
      </c>
      <c r="K471" s="4">
        <v>45108</v>
      </c>
      <c r="L471" s="4">
        <v>45108</v>
      </c>
      <c r="M471">
        <v>2023</v>
      </c>
      <c r="N471">
        <v>7</v>
      </c>
      <c r="O471" s="4">
        <v>45108</v>
      </c>
      <c r="P471" t="s">
        <v>89</v>
      </c>
      <c r="Q471" s="4">
        <v>45212</v>
      </c>
      <c r="S471" t="s">
        <v>3520</v>
      </c>
      <c r="U471">
        <v>1240.69</v>
      </c>
      <c r="V471">
        <v>0.40000322401244465</v>
      </c>
      <c r="W471" t="s">
        <v>16</v>
      </c>
      <c r="X471" t="s">
        <v>3828</v>
      </c>
      <c r="Z471" t="s">
        <v>89</v>
      </c>
      <c r="AA471" t="s">
        <v>89</v>
      </c>
      <c r="AC471" t="s">
        <v>89</v>
      </c>
      <c r="AD471">
        <v>0</v>
      </c>
      <c r="AE471" t="s">
        <v>9251</v>
      </c>
      <c r="AF471" s="4"/>
    </row>
    <row r="472" spans="1:32">
      <c r="A472" t="s">
        <v>10193</v>
      </c>
      <c r="B472" t="s">
        <v>9366</v>
      </c>
      <c r="C472" t="s">
        <v>4656</v>
      </c>
      <c r="D472" t="s">
        <v>54</v>
      </c>
      <c r="E472" t="s">
        <v>10194</v>
      </c>
      <c r="F472" t="s">
        <v>4654</v>
      </c>
      <c r="G472">
        <v>2832.4199999999996</v>
      </c>
      <c r="I472">
        <v>2832.4199999999996</v>
      </c>
      <c r="J472">
        <v>2832.4199999999996</v>
      </c>
      <c r="K472" s="4">
        <v>45471</v>
      </c>
      <c r="L472" s="4">
        <v>45471</v>
      </c>
      <c r="M472">
        <v>2024</v>
      </c>
      <c r="N472">
        <v>6</v>
      </c>
      <c r="O472" s="4">
        <v>45444</v>
      </c>
      <c r="P472" t="s">
        <v>89</v>
      </c>
      <c r="Q472" s="4">
        <v>45534</v>
      </c>
      <c r="S472" t="s">
        <v>4655</v>
      </c>
      <c r="T472">
        <v>45505</v>
      </c>
      <c r="U472">
        <v>4720.7</v>
      </c>
      <c r="V472">
        <v>0.6</v>
      </c>
      <c r="W472" t="s">
        <v>16</v>
      </c>
      <c r="X472" t="s">
        <v>3711</v>
      </c>
      <c r="Z472" t="s">
        <v>89</v>
      </c>
      <c r="AA472" t="s">
        <v>89</v>
      </c>
      <c r="AB472" t="s">
        <v>10179</v>
      </c>
      <c r="AC472" t="s">
        <v>625</v>
      </c>
      <c r="AD472" t="s">
        <v>1848</v>
      </c>
      <c r="AE472" t="s">
        <v>9251</v>
      </c>
      <c r="AF472" s="4"/>
    </row>
    <row r="473" spans="1:32">
      <c r="A473" t="s">
        <v>10195</v>
      </c>
      <c r="B473" t="s">
        <v>9366</v>
      </c>
      <c r="D473" t="s">
        <v>54</v>
      </c>
      <c r="E473" t="s">
        <v>10196</v>
      </c>
      <c r="F473" t="s">
        <v>4620</v>
      </c>
      <c r="G473">
        <v>496.28</v>
      </c>
      <c r="I473">
        <v>496.28</v>
      </c>
      <c r="J473">
        <v>496.28</v>
      </c>
      <c r="K473" s="4">
        <v>45108</v>
      </c>
      <c r="L473" s="4">
        <v>45108</v>
      </c>
      <c r="M473">
        <v>2023</v>
      </c>
      <c r="N473">
        <v>7</v>
      </c>
      <c r="O473" s="4">
        <v>45108</v>
      </c>
      <c r="P473" t="s">
        <v>89</v>
      </c>
      <c r="Q473" s="4">
        <v>45212</v>
      </c>
      <c r="S473" t="s">
        <v>3522</v>
      </c>
      <c r="U473">
        <v>1240.69</v>
      </c>
      <c r="V473">
        <v>0.40000322401244465</v>
      </c>
      <c r="W473" t="s">
        <v>16</v>
      </c>
      <c r="X473" t="s">
        <v>3828</v>
      </c>
      <c r="Z473" t="s">
        <v>89</v>
      </c>
      <c r="AA473" t="s">
        <v>89</v>
      </c>
      <c r="AC473" t="s">
        <v>89</v>
      </c>
      <c r="AD473">
        <v>0</v>
      </c>
      <c r="AE473" t="s">
        <v>9251</v>
      </c>
      <c r="AF473" s="4"/>
    </row>
    <row r="474" spans="1:32">
      <c r="A474" t="s">
        <v>10197</v>
      </c>
      <c r="B474" t="s">
        <v>9366</v>
      </c>
      <c r="C474" t="s">
        <v>4661</v>
      </c>
      <c r="D474" t="s">
        <v>54</v>
      </c>
      <c r="E474" t="s">
        <v>10198</v>
      </c>
      <c r="F474" t="s">
        <v>4659</v>
      </c>
      <c r="G474">
        <v>2832.4199999999996</v>
      </c>
      <c r="I474">
        <v>2832.4199999999996</v>
      </c>
      <c r="J474">
        <v>2832.4199999999996</v>
      </c>
      <c r="K474" s="4">
        <v>45471</v>
      </c>
      <c r="L474" s="4">
        <v>45471</v>
      </c>
      <c r="M474">
        <v>2024</v>
      </c>
      <c r="N474">
        <v>6</v>
      </c>
      <c r="O474" s="4">
        <v>45444</v>
      </c>
      <c r="P474" t="s">
        <v>89</v>
      </c>
      <c r="Q474" s="4">
        <v>45534</v>
      </c>
      <c r="S474" t="s">
        <v>4660</v>
      </c>
      <c r="T474">
        <v>45505</v>
      </c>
      <c r="U474">
        <v>4720.7</v>
      </c>
      <c r="V474">
        <v>0.6</v>
      </c>
      <c r="W474" t="s">
        <v>16</v>
      </c>
      <c r="X474" t="s">
        <v>3711</v>
      </c>
      <c r="Z474" t="s">
        <v>89</v>
      </c>
      <c r="AA474" t="s">
        <v>89</v>
      </c>
      <c r="AB474" t="s">
        <v>10179</v>
      </c>
      <c r="AC474" t="s">
        <v>625</v>
      </c>
      <c r="AD474" t="s">
        <v>1848</v>
      </c>
      <c r="AE474" t="s">
        <v>9251</v>
      </c>
      <c r="AF474" s="4"/>
    </row>
    <row r="475" spans="1:32">
      <c r="A475" t="s">
        <v>10199</v>
      </c>
      <c r="B475" t="s">
        <v>2193</v>
      </c>
      <c r="C475" t="s">
        <v>10200</v>
      </c>
      <c r="D475" t="s">
        <v>46</v>
      </c>
      <c r="E475" t="s">
        <v>3019</v>
      </c>
      <c r="F475" t="s">
        <v>10201</v>
      </c>
      <c r="G475">
        <v>64087.199999999997</v>
      </c>
      <c r="H475">
        <v>3589</v>
      </c>
      <c r="I475">
        <v>67676.2</v>
      </c>
      <c r="K475" s="4">
        <v>45078</v>
      </c>
      <c r="L475" s="4">
        <v>45078</v>
      </c>
      <c r="M475">
        <v>2023</v>
      </c>
      <c r="N475">
        <v>6</v>
      </c>
      <c r="O475" s="4">
        <v>45078</v>
      </c>
      <c r="P475" t="s">
        <v>89</v>
      </c>
      <c r="Q475" s="4"/>
      <c r="X475" t="s">
        <v>9314</v>
      </c>
      <c r="Z475" t="s">
        <v>89</v>
      </c>
      <c r="AA475" t="s">
        <v>89</v>
      </c>
      <c r="AC475" t="s">
        <v>89</v>
      </c>
      <c r="AD475" t="s">
        <v>89</v>
      </c>
      <c r="AE475" t="s">
        <v>3652</v>
      </c>
      <c r="AF475" s="4"/>
    </row>
    <row r="476" spans="1:32">
      <c r="A476" t="s">
        <v>10202</v>
      </c>
      <c r="B476" t="s">
        <v>9366</v>
      </c>
      <c r="C476" t="s">
        <v>4664</v>
      </c>
      <c r="D476" t="s">
        <v>54</v>
      </c>
      <c r="E476" t="s">
        <v>10203</v>
      </c>
      <c r="F476" t="s">
        <v>4662</v>
      </c>
      <c r="G476">
        <v>2832.4199999999996</v>
      </c>
      <c r="I476">
        <v>2832.4199999999996</v>
      </c>
      <c r="J476">
        <v>2832.4199999999996</v>
      </c>
      <c r="K476" s="4">
        <v>45471</v>
      </c>
      <c r="L476" s="4">
        <v>45471</v>
      </c>
      <c r="M476">
        <v>2024</v>
      </c>
      <c r="N476">
        <v>6</v>
      </c>
      <c r="O476" s="4">
        <v>45444</v>
      </c>
      <c r="P476" t="s">
        <v>89</v>
      </c>
      <c r="Q476" s="4">
        <v>45534</v>
      </c>
      <c r="S476" t="s">
        <v>4663</v>
      </c>
      <c r="T476">
        <v>45505</v>
      </c>
      <c r="U476">
        <v>4720.7</v>
      </c>
      <c r="V476">
        <v>0.6</v>
      </c>
      <c r="W476" t="s">
        <v>16</v>
      </c>
      <c r="X476" t="s">
        <v>3711</v>
      </c>
      <c r="Z476" t="s">
        <v>89</v>
      </c>
      <c r="AA476" t="s">
        <v>89</v>
      </c>
      <c r="AB476" t="s">
        <v>10179</v>
      </c>
      <c r="AC476" t="s">
        <v>625</v>
      </c>
      <c r="AD476" t="s">
        <v>1848</v>
      </c>
      <c r="AE476" t="s">
        <v>9251</v>
      </c>
      <c r="AF476" s="4"/>
    </row>
    <row r="477" spans="1:32">
      <c r="A477" t="s">
        <v>10204</v>
      </c>
      <c r="B477" t="s">
        <v>9366</v>
      </c>
      <c r="C477" t="s">
        <v>3656</v>
      </c>
      <c r="D477" t="s">
        <v>54</v>
      </c>
      <c r="E477" t="s">
        <v>10205</v>
      </c>
      <c r="F477" t="s">
        <v>3649</v>
      </c>
      <c r="G477">
        <v>5991.26</v>
      </c>
      <c r="I477">
        <v>5991.26</v>
      </c>
      <c r="J477">
        <v>5991.26</v>
      </c>
      <c r="K477" s="4">
        <v>45491</v>
      </c>
      <c r="L477" s="4">
        <v>45491</v>
      </c>
      <c r="M477">
        <v>2024</v>
      </c>
      <c r="N477">
        <v>7</v>
      </c>
      <c r="O477" s="4">
        <v>45474</v>
      </c>
      <c r="P477" t="s">
        <v>89</v>
      </c>
      <c r="Q477" s="4">
        <v>45519</v>
      </c>
      <c r="R477" t="s">
        <v>10206</v>
      </c>
      <c r="S477" t="s">
        <v>10207</v>
      </c>
      <c r="T477">
        <v>45505</v>
      </c>
      <c r="V477">
        <v>5.4899999999999997E-2</v>
      </c>
      <c r="W477" t="s">
        <v>10</v>
      </c>
      <c r="X477" t="s">
        <v>10</v>
      </c>
      <c r="Z477" t="s">
        <v>89</v>
      </c>
      <c r="AA477" t="s">
        <v>89</v>
      </c>
      <c r="AB477" t="s">
        <v>10208</v>
      </c>
      <c r="AC477" t="s">
        <v>625</v>
      </c>
      <c r="AD477" t="s">
        <v>10209</v>
      </c>
      <c r="AE477" t="s">
        <v>9251</v>
      </c>
      <c r="AF477" s="4"/>
    </row>
    <row r="478" spans="1:32">
      <c r="A478" t="s">
        <v>10210</v>
      </c>
      <c r="B478" t="s">
        <v>9366</v>
      </c>
      <c r="C478" t="s">
        <v>4667</v>
      </c>
      <c r="D478" t="s">
        <v>54</v>
      </c>
      <c r="E478" t="s">
        <v>10211</v>
      </c>
      <c r="F478" t="s">
        <v>4665</v>
      </c>
      <c r="G478">
        <v>2832.4199999999996</v>
      </c>
      <c r="I478">
        <v>2832.4199999999996</v>
      </c>
      <c r="J478">
        <v>2832.4199999999996</v>
      </c>
      <c r="K478" s="4">
        <v>45471</v>
      </c>
      <c r="L478" s="4">
        <v>45471</v>
      </c>
      <c r="M478">
        <v>2024</v>
      </c>
      <c r="N478">
        <v>6</v>
      </c>
      <c r="O478" s="4">
        <v>45444</v>
      </c>
      <c r="P478" t="s">
        <v>89</v>
      </c>
      <c r="Q478" s="4">
        <v>45534</v>
      </c>
      <c r="S478" t="s">
        <v>4666</v>
      </c>
      <c r="T478">
        <v>45505</v>
      </c>
      <c r="U478">
        <v>4720.7</v>
      </c>
      <c r="V478">
        <v>0.6</v>
      </c>
      <c r="W478" t="s">
        <v>16</v>
      </c>
      <c r="X478" t="s">
        <v>3711</v>
      </c>
      <c r="Z478" t="s">
        <v>89</v>
      </c>
      <c r="AA478" t="s">
        <v>89</v>
      </c>
      <c r="AB478" t="s">
        <v>10179</v>
      </c>
      <c r="AC478" t="s">
        <v>625</v>
      </c>
      <c r="AD478" t="s">
        <v>1848</v>
      </c>
      <c r="AE478" t="s">
        <v>9251</v>
      </c>
      <c r="AF478" s="4"/>
    </row>
    <row r="479" spans="1:32">
      <c r="A479" t="s">
        <v>10212</v>
      </c>
      <c r="B479" t="s">
        <v>9366</v>
      </c>
      <c r="D479" t="s">
        <v>54</v>
      </c>
      <c r="E479" t="s">
        <v>10213</v>
      </c>
      <c r="F479" t="s">
        <v>4634</v>
      </c>
      <c r="G479">
        <v>496.54</v>
      </c>
      <c r="I479">
        <v>496.54</v>
      </c>
      <c r="J479">
        <v>496.54</v>
      </c>
      <c r="K479" s="4">
        <v>45108</v>
      </c>
      <c r="L479" s="4">
        <v>45108</v>
      </c>
      <c r="M479">
        <v>2023</v>
      </c>
      <c r="N479">
        <v>7</v>
      </c>
      <c r="O479" s="4">
        <v>45108</v>
      </c>
      <c r="P479" t="s">
        <v>89</v>
      </c>
      <c r="Q479" s="4">
        <v>45212</v>
      </c>
      <c r="S479" t="s">
        <v>4635</v>
      </c>
      <c r="U479">
        <v>1241.3499999999999</v>
      </c>
      <c r="V479">
        <v>0.4</v>
      </c>
      <c r="W479" t="s">
        <v>16</v>
      </c>
      <c r="X479" t="s">
        <v>3828</v>
      </c>
      <c r="Z479" t="s">
        <v>89</v>
      </c>
      <c r="AA479" t="s">
        <v>89</v>
      </c>
      <c r="AC479" t="s">
        <v>89</v>
      </c>
      <c r="AD479">
        <v>0</v>
      </c>
      <c r="AE479" t="s">
        <v>9251</v>
      </c>
      <c r="AF479" s="4"/>
    </row>
    <row r="480" spans="1:32">
      <c r="A480" t="s">
        <v>10214</v>
      </c>
      <c r="B480" t="s">
        <v>9366</v>
      </c>
      <c r="D480" t="s">
        <v>54</v>
      </c>
      <c r="E480" t="s">
        <v>10215</v>
      </c>
      <c r="F480" t="s">
        <v>4637</v>
      </c>
      <c r="G480">
        <v>1810.64</v>
      </c>
      <c r="I480">
        <v>1810.64</v>
      </c>
      <c r="J480">
        <v>1810.64</v>
      </c>
      <c r="K480" s="4">
        <v>45108</v>
      </c>
      <c r="L480" s="4">
        <v>45108</v>
      </c>
      <c r="M480">
        <v>2023</v>
      </c>
      <c r="N480">
        <v>7</v>
      </c>
      <c r="O480" s="4">
        <v>45108</v>
      </c>
      <c r="P480" t="s">
        <v>89</v>
      </c>
      <c r="Q480" s="4">
        <v>45212</v>
      </c>
      <c r="S480" t="s">
        <v>4638</v>
      </c>
      <c r="U480">
        <v>4526.59</v>
      </c>
      <c r="V480">
        <v>0.40000088366739645</v>
      </c>
      <c r="W480" t="s">
        <v>16</v>
      </c>
      <c r="X480" t="s">
        <v>3828</v>
      </c>
      <c r="Z480" t="s">
        <v>89</v>
      </c>
      <c r="AA480" t="s">
        <v>89</v>
      </c>
      <c r="AC480" t="s">
        <v>89</v>
      </c>
      <c r="AD480" t="s">
        <v>89</v>
      </c>
      <c r="AE480" t="s">
        <v>3652</v>
      </c>
      <c r="AF480" s="4"/>
    </row>
    <row r="481" spans="1:32">
      <c r="A481" t="s">
        <v>10216</v>
      </c>
      <c r="B481" t="s">
        <v>9366</v>
      </c>
      <c r="D481" t="s">
        <v>54</v>
      </c>
      <c r="E481" t="s">
        <v>10217</v>
      </c>
      <c r="F481" t="s">
        <v>4640</v>
      </c>
      <c r="G481">
        <v>1810.64</v>
      </c>
      <c r="I481">
        <v>1810.64</v>
      </c>
      <c r="J481">
        <v>1810.64</v>
      </c>
      <c r="K481" s="4">
        <v>45108</v>
      </c>
      <c r="L481" s="4">
        <v>45108</v>
      </c>
      <c r="M481">
        <v>2023</v>
      </c>
      <c r="N481">
        <v>7</v>
      </c>
      <c r="O481" s="4">
        <v>45108</v>
      </c>
      <c r="P481" t="s">
        <v>89</v>
      </c>
      <c r="Q481" s="4">
        <v>45212</v>
      </c>
      <c r="S481" t="s">
        <v>4641</v>
      </c>
      <c r="U481">
        <v>4526.59</v>
      </c>
      <c r="V481">
        <v>0.40000088366739645</v>
      </c>
      <c r="W481" t="s">
        <v>16</v>
      </c>
      <c r="X481" t="s">
        <v>3828</v>
      </c>
      <c r="Z481" t="s">
        <v>89</v>
      </c>
      <c r="AA481" t="s">
        <v>89</v>
      </c>
      <c r="AC481" t="s">
        <v>89</v>
      </c>
      <c r="AD481" t="s">
        <v>89</v>
      </c>
      <c r="AE481" t="s">
        <v>3652</v>
      </c>
      <c r="AF481" s="4"/>
    </row>
    <row r="482" spans="1:32">
      <c r="A482" t="s">
        <v>10218</v>
      </c>
      <c r="B482" t="s">
        <v>9366</v>
      </c>
      <c r="C482" t="s">
        <v>4670</v>
      </c>
      <c r="D482" t="s">
        <v>54</v>
      </c>
      <c r="E482" t="s">
        <v>10219</v>
      </c>
      <c r="F482" t="s">
        <v>4668</v>
      </c>
      <c r="G482">
        <v>2832.4199999999996</v>
      </c>
      <c r="I482">
        <v>2832.4199999999996</v>
      </c>
      <c r="J482">
        <v>2832.4199999999996</v>
      </c>
      <c r="K482" s="4">
        <v>45471</v>
      </c>
      <c r="L482" s="4">
        <v>45471</v>
      </c>
      <c r="M482">
        <v>2024</v>
      </c>
      <c r="N482">
        <v>6</v>
      </c>
      <c r="O482" s="4">
        <v>45444</v>
      </c>
      <c r="P482" t="s">
        <v>89</v>
      </c>
      <c r="Q482" s="4">
        <v>45534</v>
      </c>
      <c r="S482" t="s">
        <v>4669</v>
      </c>
      <c r="T482">
        <v>45505</v>
      </c>
      <c r="U482">
        <v>4720.7</v>
      </c>
      <c r="V482">
        <v>0.6</v>
      </c>
      <c r="W482" t="s">
        <v>16</v>
      </c>
      <c r="X482" t="s">
        <v>3711</v>
      </c>
      <c r="Z482" t="s">
        <v>89</v>
      </c>
      <c r="AA482" t="s">
        <v>89</v>
      </c>
      <c r="AB482" t="s">
        <v>10179</v>
      </c>
      <c r="AC482" t="s">
        <v>625</v>
      </c>
      <c r="AD482" t="s">
        <v>1848</v>
      </c>
      <c r="AE482" t="s">
        <v>9251</v>
      </c>
      <c r="AF482" s="4"/>
    </row>
    <row r="483" spans="1:32">
      <c r="A483" t="s">
        <v>10220</v>
      </c>
      <c r="B483" t="s">
        <v>9366</v>
      </c>
      <c r="D483" t="s">
        <v>54</v>
      </c>
      <c r="E483" t="s">
        <v>6748</v>
      </c>
      <c r="F483" t="s">
        <v>4643</v>
      </c>
      <c r="G483">
        <v>1485.39</v>
      </c>
      <c r="I483">
        <v>1485.39</v>
      </c>
      <c r="J483">
        <v>1485.39</v>
      </c>
      <c r="K483" s="4">
        <v>45108</v>
      </c>
      <c r="L483" s="4">
        <v>45108</v>
      </c>
      <c r="M483">
        <v>2023</v>
      </c>
      <c r="N483">
        <v>7</v>
      </c>
      <c r="O483" s="4">
        <v>45108</v>
      </c>
      <c r="P483" t="s">
        <v>89</v>
      </c>
      <c r="Q483" s="4">
        <v>45212</v>
      </c>
      <c r="S483" t="s">
        <v>3827</v>
      </c>
      <c r="U483">
        <v>3713.47</v>
      </c>
      <c r="V483">
        <v>0.40000053857981893</v>
      </c>
      <c r="W483" t="s">
        <v>16</v>
      </c>
      <c r="X483" t="s">
        <v>3828</v>
      </c>
      <c r="Z483" t="s">
        <v>89</v>
      </c>
      <c r="AA483" t="s">
        <v>89</v>
      </c>
      <c r="AC483" t="s">
        <v>89</v>
      </c>
      <c r="AD483">
        <v>0</v>
      </c>
      <c r="AE483" t="s">
        <v>9251</v>
      </c>
      <c r="AF483" s="4"/>
    </row>
    <row r="484" spans="1:32">
      <c r="A484" t="s">
        <v>10221</v>
      </c>
      <c r="B484" t="s">
        <v>9366</v>
      </c>
      <c r="D484" t="s">
        <v>54</v>
      </c>
      <c r="E484" t="s">
        <v>10222</v>
      </c>
      <c r="F484" t="s">
        <v>4645</v>
      </c>
      <c r="G484">
        <v>1810.42</v>
      </c>
      <c r="I484">
        <v>1810.42</v>
      </c>
      <c r="J484">
        <v>1810.42</v>
      </c>
      <c r="K484" s="4">
        <v>45108</v>
      </c>
      <c r="L484" s="4">
        <v>45108</v>
      </c>
      <c r="M484">
        <v>2023</v>
      </c>
      <c r="N484">
        <v>7</v>
      </c>
      <c r="O484" s="4">
        <v>45108</v>
      </c>
      <c r="P484" t="s">
        <v>89</v>
      </c>
      <c r="Q484" s="4">
        <v>45212</v>
      </c>
      <c r="S484" t="s">
        <v>4091</v>
      </c>
      <c r="U484">
        <v>4526.0600000000004</v>
      </c>
      <c r="V484">
        <v>0.39999911622912643</v>
      </c>
      <c r="W484" t="s">
        <v>16</v>
      </c>
      <c r="X484" t="s">
        <v>3828</v>
      </c>
      <c r="Z484" t="s">
        <v>89</v>
      </c>
      <c r="AA484" t="s">
        <v>89</v>
      </c>
      <c r="AC484" t="s">
        <v>89</v>
      </c>
      <c r="AD484">
        <v>0</v>
      </c>
      <c r="AE484" t="s">
        <v>9251</v>
      </c>
      <c r="AF484" s="4"/>
    </row>
    <row r="485" spans="1:32">
      <c r="A485" t="s">
        <v>10223</v>
      </c>
      <c r="B485" t="s">
        <v>9366</v>
      </c>
      <c r="C485" t="s">
        <v>4952</v>
      </c>
      <c r="D485" t="s">
        <v>54</v>
      </c>
      <c r="E485" t="s">
        <v>10224</v>
      </c>
      <c r="F485" t="s">
        <v>4951</v>
      </c>
      <c r="G485">
        <v>13701.87</v>
      </c>
      <c r="I485">
        <v>13701.87</v>
      </c>
      <c r="J485">
        <v>13701.87</v>
      </c>
      <c r="K485" s="4">
        <v>45471</v>
      </c>
      <c r="L485" s="4">
        <v>45471</v>
      </c>
      <c r="M485">
        <v>2024</v>
      </c>
      <c r="N485">
        <v>6</v>
      </c>
      <c r="O485" s="4">
        <v>45444</v>
      </c>
      <c r="P485" t="s">
        <v>89</v>
      </c>
      <c r="Q485" s="4">
        <v>45519</v>
      </c>
      <c r="S485" t="s">
        <v>3803</v>
      </c>
      <c r="T485">
        <v>45505</v>
      </c>
      <c r="U485">
        <v>13701.87</v>
      </c>
      <c r="V485">
        <v>1</v>
      </c>
      <c r="W485" t="s">
        <v>16</v>
      </c>
      <c r="X485" t="s">
        <v>3770</v>
      </c>
      <c r="Z485" t="s">
        <v>89</v>
      </c>
      <c r="AA485" t="s">
        <v>89</v>
      </c>
      <c r="AB485" t="s">
        <v>10225</v>
      </c>
      <c r="AC485" t="s">
        <v>625</v>
      </c>
      <c r="AD485" t="s">
        <v>1473</v>
      </c>
      <c r="AE485" t="s">
        <v>9251</v>
      </c>
      <c r="AF485" s="4"/>
    </row>
    <row r="486" spans="1:32">
      <c r="A486" t="s">
        <v>10226</v>
      </c>
      <c r="B486" t="s">
        <v>9366</v>
      </c>
      <c r="D486" t="s">
        <v>54</v>
      </c>
      <c r="E486" t="s">
        <v>10178</v>
      </c>
      <c r="F486" t="s">
        <v>4647</v>
      </c>
      <c r="G486">
        <v>1888.28</v>
      </c>
      <c r="I486">
        <v>1888.28</v>
      </c>
      <c r="J486">
        <v>1888.28</v>
      </c>
      <c r="K486" s="4">
        <v>45047</v>
      </c>
      <c r="L486" s="4">
        <v>45047</v>
      </c>
      <c r="M486">
        <v>2023</v>
      </c>
      <c r="N486">
        <v>5</v>
      </c>
      <c r="O486" s="4">
        <v>45047</v>
      </c>
      <c r="P486" t="s">
        <v>89</v>
      </c>
      <c r="Q486" s="4">
        <v>45153</v>
      </c>
      <c r="S486" t="s">
        <v>4649</v>
      </c>
      <c r="U486">
        <v>4720.7</v>
      </c>
      <c r="V486">
        <v>0.4</v>
      </c>
      <c r="W486" t="s">
        <v>16</v>
      </c>
      <c r="X486" t="s">
        <v>3711</v>
      </c>
      <c r="Z486" t="s">
        <v>89</v>
      </c>
      <c r="AA486" t="s">
        <v>89</v>
      </c>
      <c r="AC486" t="s">
        <v>89</v>
      </c>
      <c r="AD486">
        <v>0</v>
      </c>
      <c r="AE486" t="s">
        <v>9251</v>
      </c>
      <c r="AF486" s="4"/>
    </row>
    <row r="487" spans="1:32">
      <c r="A487" t="s">
        <v>10227</v>
      </c>
      <c r="B487" t="s">
        <v>9366</v>
      </c>
      <c r="C487" t="s">
        <v>4673</v>
      </c>
      <c r="D487" t="s">
        <v>54</v>
      </c>
      <c r="E487" t="s">
        <v>10228</v>
      </c>
      <c r="F487" t="s">
        <v>4671</v>
      </c>
      <c r="G487">
        <v>2832.4199999999996</v>
      </c>
      <c r="I487">
        <v>2832.4199999999996</v>
      </c>
      <c r="J487">
        <v>2832.4199999999996</v>
      </c>
      <c r="K487" s="4">
        <v>45471</v>
      </c>
      <c r="L487" s="4">
        <v>45471</v>
      </c>
      <c r="M487">
        <v>2024</v>
      </c>
      <c r="N487">
        <v>6</v>
      </c>
      <c r="O487" s="4">
        <v>45444</v>
      </c>
      <c r="P487" t="s">
        <v>89</v>
      </c>
      <c r="Q487" s="4">
        <v>45534</v>
      </c>
      <c r="S487" t="s">
        <v>4672</v>
      </c>
      <c r="T487">
        <v>45505</v>
      </c>
      <c r="U487">
        <v>4720.7</v>
      </c>
      <c r="V487">
        <v>0.6</v>
      </c>
      <c r="W487" t="s">
        <v>16</v>
      </c>
      <c r="X487" t="s">
        <v>3711</v>
      </c>
      <c r="Z487" t="s">
        <v>89</v>
      </c>
      <c r="AA487" t="s">
        <v>89</v>
      </c>
      <c r="AB487" t="s">
        <v>10179</v>
      </c>
      <c r="AC487" t="s">
        <v>625</v>
      </c>
      <c r="AD487" t="s">
        <v>1848</v>
      </c>
      <c r="AE487" t="s">
        <v>9251</v>
      </c>
      <c r="AF487" s="4"/>
    </row>
    <row r="488" spans="1:32">
      <c r="A488" t="s">
        <v>10229</v>
      </c>
      <c r="B488" t="s">
        <v>9366</v>
      </c>
      <c r="D488" t="s">
        <v>54</v>
      </c>
      <c r="E488" t="s">
        <v>10183</v>
      </c>
      <c r="F488" t="s">
        <v>4651</v>
      </c>
      <c r="G488">
        <v>1888.28</v>
      </c>
      <c r="I488">
        <v>1888.28</v>
      </c>
      <c r="J488">
        <v>1888.28</v>
      </c>
      <c r="K488" s="4">
        <v>45047</v>
      </c>
      <c r="L488" s="4">
        <v>45047</v>
      </c>
      <c r="M488">
        <v>2023</v>
      </c>
      <c r="N488">
        <v>5</v>
      </c>
      <c r="O488" s="4">
        <v>45047</v>
      </c>
      <c r="P488" t="s">
        <v>89</v>
      </c>
      <c r="Q488" s="4">
        <v>45153</v>
      </c>
      <c r="S488" t="s">
        <v>4652</v>
      </c>
      <c r="U488">
        <v>4720.7</v>
      </c>
      <c r="V488">
        <v>0.4</v>
      </c>
      <c r="W488" t="s">
        <v>16</v>
      </c>
      <c r="X488" t="s">
        <v>3711</v>
      </c>
      <c r="Z488" t="s">
        <v>89</v>
      </c>
      <c r="AA488" t="s">
        <v>89</v>
      </c>
      <c r="AC488" t="s">
        <v>89</v>
      </c>
      <c r="AD488">
        <v>0</v>
      </c>
      <c r="AE488" t="s">
        <v>9251</v>
      </c>
      <c r="AF488" s="4"/>
    </row>
    <row r="489" spans="1:32">
      <c r="A489" t="s">
        <v>10230</v>
      </c>
      <c r="B489" t="s">
        <v>9366</v>
      </c>
      <c r="C489" t="s">
        <v>4676</v>
      </c>
      <c r="D489" t="s">
        <v>54</v>
      </c>
      <c r="E489" t="s">
        <v>10231</v>
      </c>
      <c r="F489" t="s">
        <v>4674</v>
      </c>
      <c r="G489">
        <v>2832.4199999999996</v>
      </c>
      <c r="I489">
        <v>2832.4199999999996</v>
      </c>
      <c r="J489">
        <v>2832.4199999999996</v>
      </c>
      <c r="K489" s="4">
        <v>45471</v>
      </c>
      <c r="L489" s="4">
        <v>45471</v>
      </c>
      <c r="M489">
        <v>2024</v>
      </c>
      <c r="N489">
        <v>6</v>
      </c>
      <c r="O489" s="4">
        <v>45444</v>
      </c>
      <c r="P489" t="s">
        <v>89</v>
      </c>
      <c r="Q489" s="4">
        <v>45534</v>
      </c>
      <c r="S489" t="s">
        <v>4675</v>
      </c>
      <c r="T489">
        <v>45505</v>
      </c>
      <c r="U489">
        <v>4720.7</v>
      </c>
      <c r="V489">
        <v>0.6</v>
      </c>
      <c r="W489" t="s">
        <v>16</v>
      </c>
      <c r="X489" t="s">
        <v>3711</v>
      </c>
      <c r="Z489" t="s">
        <v>89</v>
      </c>
      <c r="AA489" t="s">
        <v>89</v>
      </c>
      <c r="AB489" t="s">
        <v>10179</v>
      </c>
      <c r="AC489" t="s">
        <v>625</v>
      </c>
      <c r="AD489" t="s">
        <v>1848</v>
      </c>
      <c r="AE489" t="s">
        <v>9251</v>
      </c>
      <c r="AF489" s="4"/>
    </row>
    <row r="490" spans="1:32">
      <c r="A490" t="s">
        <v>10232</v>
      </c>
      <c r="B490" t="s">
        <v>9366</v>
      </c>
      <c r="D490" t="s">
        <v>54</v>
      </c>
      <c r="E490" t="s">
        <v>10194</v>
      </c>
      <c r="F490" t="s">
        <v>4654</v>
      </c>
      <c r="G490">
        <v>1888.28</v>
      </c>
      <c r="I490">
        <v>1888.28</v>
      </c>
      <c r="J490">
        <v>1888.28</v>
      </c>
      <c r="K490" s="4">
        <v>45047</v>
      </c>
      <c r="L490" s="4">
        <v>45047</v>
      </c>
      <c r="M490">
        <v>2023</v>
      </c>
      <c r="N490">
        <v>5</v>
      </c>
      <c r="O490" s="4">
        <v>45047</v>
      </c>
      <c r="P490" t="s">
        <v>89</v>
      </c>
      <c r="Q490" s="4">
        <v>45153</v>
      </c>
      <c r="S490" t="s">
        <v>4655</v>
      </c>
      <c r="U490">
        <v>4720.7</v>
      </c>
      <c r="V490">
        <v>0.4</v>
      </c>
      <c r="W490" t="s">
        <v>16</v>
      </c>
      <c r="X490" t="s">
        <v>3711</v>
      </c>
      <c r="Z490" t="s">
        <v>89</v>
      </c>
      <c r="AA490" t="s">
        <v>89</v>
      </c>
      <c r="AC490" t="s">
        <v>89</v>
      </c>
      <c r="AD490" t="s">
        <v>89</v>
      </c>
      <c r="AE490" t="s">
        <v>3652</v>
      </c>
      <c r="AF490" s="4"/>
    </row>
    <row r="491" spans="1:32">
      <c r="A491" t="s">
        <v>10233</v>
      </c>
      <c r="B491" t="s">
        <v>9366</v>
      </c>
      <c r="D491" t="s">
        <v>54</v>
      </c>
      <c r="E491" t="s">
        <v>10234</v>
      </c>
      <c r="F491" t="s">
        <v>4657</v>
      </c>
      <c r="G491">
        <v>1888.28</v>
      </c>
      <c r="I491">
        <v>1888.28</v>
      </c>
      <c r="J491">
        <v>1888.28</v>
      </c>
      <c r="K491" s="4">
        <v>45047</v>
      </c>
      <c r="L491" s="4">
        <v>45047</v>
      </c>
      <c r="M491">
        <v>2023</v>
      </c>
      <c r="N491">
        <v>5</v>
      </c>
      <c r="O491" s="4">
        <v>45047</v>
      </c>
      <c r="P491" t="s">
        <v>89</v>
      </c>
      <c r="Q491" s="4">
        <v>45153</v>
      </c>
      <c r="S491" t="s">
        <v>4658</v>
      </c>
      <c r="U491">
        <v>4720.7</v>
      </c>
      <c r="V491">
        <v>0.4</v>
      </c>
      <c r="W491" t="s">
        <v>16</v>
      </c>
      <c r="X491" t="s">
        <v>3711</v>
      </c>
      <c r="Z491" t="s">
        <v>89</v>
      </c>
      <c r="AA491" t="s">
        <v>89</v>
      </c>
      <c r="AC491" t="s">
        <v>89</v>
      </c>
      <c r="AD491" t="s">
        <v>89</v>
      </c>
      <c r="AE491" t="s">
        <v>3652</v>
      </c>
      <c r="AF491" s="4"/>
    </row>
    <row r="492" spans="1:32">
      <c r="A492" t="s">
        <v>10235</v>
      </c>
      <c r="B492" t="s">
        <v>9366</v>
      </c>
      <c r="C492" t="s">
        <v>4679</v>
      </c>
      <c r="D492" t="s">
        <v>54</v>
      </c>
      <c r="E492" t="s">
        <v>10236</v>
      </c>
      <c r="F492" t="s">
        <v>4677</v>
      </c>
      <c r="G492">
        <v>2832.4199999999996</v>
      </c>
      <c r="I492">
        <v>2832.4199999999996</v>
      </c>
      <c r="J492">
        <v>2832.4199999999996</v>
      </c>
      <c r="K492" s="4">
        <v>45471</v>
      </c>
      <c r="L492" s="4">
        <v>45471</v>
      </c>
      <c r="M492">
        <v>2024</v>
      </c>
      <c r="N492">
        <v>6</v>
      </c>
      <c r="O492" s="4">
        <v>45444</v>
      </c>
      <c r="P492" t="s">
        <v>89</v>
      </c>
      <c r="Q492" s="4">
        <v>45534</v>
      </c>
      <c r="S492" t="s">
        <v>4678</v>
      </c>
      <c r="T492">
        <v>45505</v>
      </c>
      <c r="U492">
        <v>4720.7</v>
      </c>
      <c r="V492">
        <v>0.6</v>
      </c>
      <c r="W492" t="s">
        <v>16</v>
      </c>
      <c r="X492" t="s">
        <v>3711</v>
      </c>
      <c r="Z492" t="s">
        <v>89</v>
      </c>
      <c r="AA492" t="s">
        <v>89</v>
      </c>
      <c r="AB492" t="s">
        <v>10179</v>
      </c>
      <c r="AC492" t="s">
        <v>625</v>
      </c>
      <c r="AD492" t="s">
        <v>1848</v>
      </c>
      <c r="AE492" t="s">
        <v>9251</v>
      </c>
      <c r="AF492" s="4"/>
    </row>
    <row r="493" spans="1:32">
      <c r="A493" t="s">
        <v>10237</v>
      </c>
      <c r="B493" t="s">
        <v>9366</v>
      </c>
      <c r="D493" t="s">
        <v>54</v>
      </c>
      <c r="E493" t="s">
        <v>10198</v>
      </c>
      <c r="F493" t="s">
        <v>4659</v>
      </c>
      <c r="G493">
        <v>1888.28</v>
      </c>
      <c r="I493">
        <v>1888.28</v>
      </c>
      <c r="J493">
        <v>1888.28</v>
      </c>
      <c r="K493" s="4">
        <v>45047</v>
      </c>
      <c r="L493" s="4">
        <v>45047</v>
      </c>
      <c r="M493">
        <v>2023</v>
      </c>
      <c r="N493">
        <v>5</v>
      </c>
      <c r="O493" s="4">
        <v>45047</v>
      </c>
      <c r="P493" t="s">
        <v>89</v>
      </c>
      <c r="Q493" s="4">
        <v>45153</v>
      </c>
      <c r="S493" t="s">
        <v>4660</v>
      </c>
      <c r="U493">
        <v>4720.7</v>
      </c>
      <c r="V493">
        <v>0.4</v>
      </c>
      <c r="W493" t="s">
        <v>16</v>
      </c>
      <c r="X493" t="s">
        <v>3711</v>
      </c>
      <c r="Z493" t="s">
        <v>89</v>
      </c>
      <c r="AA493" t="s">
        <v>89</v>
      </c>
      <c r="AC493" t="s">
        <v>89</v>
      </c>
      <c r="AD493">
        <v>0</v>
      </c>
      <c r="AE493" t="s">
        <v>9251</v>
      </c>
      <c r="AF493" s="4"/>
    </row>
    <row r="494" spans="1:32">
      <c r="A494" t="s">
        <v>10238</v>
      </c>
      <c r="B494" t="s">
        <v>9366</v>
      </c>
      <c r="C494" t="s">
        <v>4682</v>
      </c>
      <c r="D494" t="s">
        <v>54</v>
      </c>
      <c r="E494" t="s">
        <v>10239</v>
      </c>
      <c r="F494" t="s">
        <v>4680</v>
      </c>
      <c r="G494">
        <v>2832.4199999999996</v>
      </c>
      <c r="I494">
        <v>2832.4199999999996</v>
      </c>
      <c r="J494">
        <v>2832.4199999999996</v>
      </c>
      <c r="K494" s="4">
        <v>45471</v>
      </c>
      <c r="L494" s="4">
        <v>45471</v>
      </c>
      <c r="M494">
        <v>2024</v>
      </c>
      <c r="N494">
        <v>6</v>
      </c>
      <c r="O494" s="4">
        <v>45444</v>
      </c>
      <c r="P494" t="s">
        <v>89</v>
      </c>
      <c r="Q494" s="4">
        <v>45534</v>
      </c>
      <c r="S494" t="s">
        <v>4681</v>
      </c>
      <c r="T494">
        <v>45505</v>
      </c>
      <c r="U494">
        <v>4720.7</v>
      </c>
      <c r="V494">
        <v>0.6</v>
      </c>
      <c r="W494" t="s">
        <v>16</v>
      </c>
      <c r="X494" t="s">
        <v>3711</v>
      </c>
      <c r="Z494" t="s">
        <v>89</v>
      </c>
      <c r="AA494" t="s">
        <v>89</v>
      </c>
      <c r="AB494" t="s">
        <v>10179</v>
      </c>
      <c r="AC494" t="s">
        <v>625</v>
      </c>
      <c r="AD494" t="s">
        <v>1848</v>
      </c>
      <c r="AE494" t="s">
        <v>9251</v>
      </c>
      <c r="AF494" s="4"/>
    </row>
    <row r="495" spans="1:32">
      <c r="A495" t="s">
        <v>9532</v>
      </c>
      <c r="B495" t="s">
        <v>2193</v>
      </c>
      <c r="C495" t="s">
        <v>10240</v>
      </c>
      <c r="D495" t="s">
        <v>34</v>
      </c>
      <c r="E495">
        <v>2919921</v>
      </c>
      <c r="F495" t="s">
        <v>10241</v>
      </c>
      <c r="G495">
        <v>250536</v>
      </c>
      <c r="I495">
        <v>250536</v>
      </c>
      <c r="K495" s="4">
        <v>45471</v>
      </c>
      <c r="L495" s="4">
        <v>45471</v>
      </c>
      <c r="M495">
        <v>2024</v>
      </c>
      <c r="N495">
        <v>6</v>
      </c>
      <c r="O495" s="4">
        <v>45444</v>
      </c>
      <c r="P495" t="s">
        <v>89</v>
      </c>
      <c r="Q495" s="4"/>
      <c r="S495" t="s">
        <v>4074</v>
      </c>
      <c r="T495">
        <v>292</v>
      </c>
      <c r="U495">
        <v>501072</v>
      </c>
      <c r="W495" t="s">
        <v>17</v>
      </c>
      <c r="X495" t="s">
        <v>3681</v>
      </c>
      <c r="Z495" t="s">
        <v>89</v>
      </c>
      <c r="AA495" t="s">
        <v>89</v>
      </c>
      <c r="AC495" t="s">
        <v>89</v>
      </c>
      <c r="AD495" t="s">
        <v>329</v>
      </c>
      <c r="AE495" t="s">
        <v>9251</v>
      </c>
      <c r="AF495" s="4">
        <v>45474</v>
      </c>
    </row>
    <row r="496" spans="1:32">
      <c r="B496" t="s">
        <v>9366</v>
      </c>
      <c r="C496" t="s">
        <v>4685</v>
      </c>
      <c r="D496" t="s">
        <v>54</v>
      </c>
      <c r="E496" t="s">
        <v>10242</v>
      </c>
      <c r="F496" t="s">
        <v>4683</v>
      </c>
      <c r="G496">
        <v>2832.4199999999996</v>
      </c>
      <c r="I496">
        <v>2832.4199999999996</v>
      </c>
      <c r="J496">
        <v>2832.4199999999996</v>
      </c>
      <c r="K496" s="4">
        <v>45471</v>
      </c>
      <c r="L496" s="4">
        <v>45471</v>
      </c>
      <c r="M496">
        <v>2024</v>
      </c>
      <c r="N496">
        <v>6</v>
      </c>
      <c r="O496" s="4">
        <v>45444</v>
      </c>
      <c r="P496" t="s">
        <v>89</v>
      </c>
      <c r="Q496" s="4">
        <v>45534</v>
      </c>
      <c r="S496" t="s">
        <v>4684</v>
      </c>
      <c r="T496">
        <v>45505</v>
      </c>
      <c r="U496">
        <v>4720.7</v>
      </c>
      <c r="V496">
        <v>0.6</v>
      </c>
      <c r="W496" t="s">
        <v>16</v>
      </c>
      <c r="X496" t="s">
        <v>3711</v>
      </c>
      <c r="Z496" t="s">
        <v>89</v>
      </c>
      <c r="AA496" t="s">
        <v>89</v>
      </c>
      <c r="AB496" t="s">
        <v>10179</v>
      </c>
      <c r="AC496" t="s">
        <v>625</v>
      </c>
      <c r="AD496" t="s">
        <v>1848</v>
      </c>
      <c r="AE496" t="s">
        <v>9251</v>
      </c>
      <c r="AF496" s="4"/>
    </row>
    <row r="497" spans="1:32">
      <c r="B497" t="s">
        <v>9366</v>
      </c>
      <c r="C497" t="s">
        <v>4507</v>
      </c>
      <c r="D497" t="s">
        <v>54</v>
      </c>
      <c r="E497" t="s">
        <v>10070</v>
      </c>
      <c r="F497" t="s">
        <v>4505</v>
      </c>
      <c r="G497">
        <v>821.86199999999997</v>
      </c>
      <c r="I497">
        <v>821.86199999999997</v>
      </c>
      <c r="K497" s="4">
        <v>45520</v>
      </c>
      <c r="L497" s="4">
        <v>45520</v>
      </c>
      <c r="M497">
        <v>2024</v>
      </c>
      <c r="N497">
        <v>8</v>
      </c>
      <c r="O497" s="4">
        <v>45505</v>
      </c>
      <c r="P497" t="s">
        <v>1473</v>
      </c>
      <c r="Q497" s="4"/>
      <c r="S497" t="s">
        <v>4506</v>
      </c>
      <c r="T497">
        <v>45551</v>
      </c>
      <c r="U497">
        <v>1369.77</v>
      </c>
      <c r="V497">
        <v>0.6</v>
      </c>
      <c r="W497" t="s">
        <v>16</v>
      </c>
      <c r="X497" t="s">
        <v>3665</v>
      </c>
      <c r="Z497">
        <v>32</v>
      </c>
      <c r="AA497">
        <v>32</v>
      </c>
      <c r="AB497" t="s">
        <v>9766</v>
      </c>
      <c r="AE497" t="s">
        <v>9251</v>
      </c>
      <c r="AF497" s="4"/>
    </row>
    <row r="498" spans="1:32">
      <c r="B498" t="s">
        <v>9366</v>
      </c>
      <c r="C498" t="s">
        <v>4519</v>
      </c>
      <c r="D498" t="s">
        <v>54</v>
      </c>
      <c r="E498" t="s">
        <v>10081</v>
      </c>
      <c r="F498" t="s">
        <v>4516</v>
      </c>
      <c r="G498">
        <v>1553.184</v>
      </c>
      <c r="I498">
        <v>1553.184</v>
      </c>
      <c r="K498" s="4">
        <v>45506</v>
      </c>
      <c r="L498" s="4">
        <v>45509</v>
      </c>
      <c r="M498">
        <v>2024</v>
      </c>
      <c r="N498">
        <v>8</v>
      </c>
      <c r="O498" s="4">
        <v>45505</v>
      </c>
      <c r="P498" t="s">
        <v>625</v>
      </c>
      <c r="Q498" s="4"/>
      <c r="S498" t="s">
        <v>3193</v>
      </c>
      <c r="T498">
        <v>45551</v>
      </c>
      <c r="U498">
        <v>2588.64</v>
      </c>
      <c r="V498">
        <v>0.6</v>
      </c>
      <c r="W498" t="s">
        <v>16</v>
      </c>
      <c r="X498" t="s">
        <v>3665</v>
      </c>
      <c r="Z498">
        <v>46</v>
      </c>
      <c r="AA498">
        <v>43</v>
      </c>
      <c r="AB498" t="s">
        <v>10243</v>
      </c>
      <c r="AE498" t="s">
        <v>9251</v>
      </c>
      <c r="AF498" s="4"/>
    </row>
    <row r="499" spans="1:32">
      <c r="B499" t="s">
        <v>9366</v>
      </c>
      <c r="C499" t="s">
        <v>4521</v>
      </c>
      <c r="D499" t="s">
        <v>54</v>
      </c>
      <c r="E499" t="s">
        <v>10083</v>
      </c>
      <c r="F499" t="s">
        <v>4520</v>
      </c>
      <c r="G499">
        <v>1553.184</v>
      </c>
      <c r="I499">
        <v>1553.184</v>
      </c>
      <c r="K499" s="4">
        <v>45513</v>
      </c>
      <c r="L499" s="4">
        <v>45513</v>
      </c>
      <c r="M499">
        <v>2024</v>
      </c>
      <c r="N499">
        <v>8</v>
      </c>
      <c r="O499" s="4">
        <v>45505</v>
      </c>
      <c r="P499" t="s">
        <v>625</v>
      </c>
      <c r="Q499" s="4"/>
      <c r="S499" t="s">
        <v>3291</v>
      </c>
      <c r="T499">
        <v>45551</v>
      </c>
      <c r="U499">
        <v>2588.64</v>
      </c>
      <c r="V499">
        <v>0.6</v>
      </c>
      <c r="W499" t="s">
        <v>16</v>
      </c>
      <c r="X499" t="s">
        <v>3665</v>
      </c>
      <c r="Z499">
        <v>39</v>
      </c>
      <c r="AA499">
        <v>39</v>
      </c>
      <c r="AB499" t="s">
        <v>10243</v>
      </c>
      <c r="AE499" t="s">
        <v>9251</v>
      </c>
      <c r="AF499" s="4"/>
    </row>
    <row r="500" spans="1:32">
      <c r="B500" t="s">
        <v>9366</v>
      </c>
      <c r="C500" t="s">
        <v>4523</v>
      </c>
      <c r="D500" t="s">
        <v>54</v>
      </c>
      <c r="E500" t="s">
        <v>10085</v>
      </c>
      <c r="F500" t="s">
        <v>4522</v>
      </c>
      <c r="G500">
        <v>1553.184</v>
      </c>
      <c r="I500">
        <v>1553.184</v>
      </c>
      <c r="K500" s="4">
        <v>45506</v>
      </c>
      <c r="L500" s="4">
        <v>45509</v>
      </c>
      <c r="M500">
        <v>2024</v>
      </c>
      <c r="N500">
        <v>8</v>
      </c>
      <c r="O500" s="4">
        <v>45505</v>
      </c>
      <c r="P500" t="s">
        <v>625</v>
      </c>
      <c r="Q500" s="4"/>
      <c r="S500" t="s">
        <v>3440</v>
      </c>
      <c r="T500">
        <v>45551</v>
      </c>
      <c r="U500">
        <v>2588.64</v>
      </c>
      <c r="V500">
        <v>0.6</v>
      </c>
      <c r="W500" t="s">
        <v>16</v>
      </c>
      <c r="X500" t="s">
        <v>3665</v>
      </c>
      <c r="Z500">
        <v>46</v>
      </c>
      <c r="AA500">
        <v>43</v>
      </c>
      <c r="AB500" t="s">
        <v>10243</v>
      </c>
      <c r="AE500" t="s">
        <v>9251</v>
      </c>
      <c r="AF500" s="4"/>
    </row>
    <row r="501" spans="1:32">
      <c r="B501" t="s">
        <v>9366</v>
      </c>
      <c r="C501" t="s">
        <v>4525</v>
      </c>
      <c r="D501" t="s">
        <v>54</v>
      </c>
      <c r="E501" t="s">
        <v>10087</v>
      </c>
      <c r="F501" t="s">
        <v>4524</v>
      </c>
      <c r="G501">
        <v>1553.184</v>
      </c>
      <c r="I501">
        <v>1553.184</v>
      </c>
      <c r="K501" s="4">
        <v>45506</v>
      </c>
      <c r="L501" s="4">
        <v>45509</v>
      </c>
      <c r="M501">
        <v>2024</v>
      </c>
      <c r="N501">
        <v>8</v>
      </c>
      <c r="O501" s="4">
        <v>45505</v>
      </c>
      <c r="P501" t="s">
        <v>625</v>
      </c>
      <c r="Q501" s="4"/>
      <c r="S501" t="s">
        <v>3405</v>
      </c>
      <c r="T501">
        <v>45551</v>
      </c>
      <c r="U501">
        <v>2588.64</v>
      </c>
      <c r="V501">
        <v>0.6</v>
      </c>
      <c r="W501" t="s">
        <v>16</v>
      </c>
      <c r="X501" t="s">
        <v>3665</v>
      </c>
      <c r="Z501">
        <v>46</v>
      </c>
      <c r="AA501">
        <v>43</v>
      </c>
      <c r="AB501" t="s">
        <v>10243</v>
      </c>
      <c r="AE501" t="s">
        <v>9251</v>
      </c>
      <c r="AF501" s="4"/>
    </row>
    <row r="502" spans="1:32">
      <c r="B502" t="s">
        <v>9366</v>
      </c>
      <c r="C502" t="s">
        <v>4528</v>
      </c>
      <c r="D502" t="s">
        <v>54</v>
      </c>
      <c r="E502" t="s">
        <v>10089</v>
      </c>
      <c r="F502" t="s">
        <v>4526</v>
      </c>
      <c r="G502">
        <v>1553.184</v>
      </c>
      <c r="I502">
        <v>1553.184</v>
      </c>
      <c r="K502" s="4">
        <v>45506</v>
      </c>
      <c r="L502" s="4">
        <v>45509</v>
      </c>
      <c r="M502">
        <v>2024</v>
      </c>
      <c r="N502">
        <v>8</v>
      </c>
      <c r="O502" s="4">
        <v>45505</v>
      </c>
      <c r="P502" t="s">
        <v>625</v>
      </c>
      <c r="Q502" s="4"/>
      <c r="S502" t="s">
        <v>3206</v>
      </c>
      <c r="T502">
        <v>45551</v>
      </c>
      <c r="U502">
        <v>2588.64</v>
      </c>
      <c r="V502">
        <v>0.6</v>
      </c>
      <c r="W502" t="s">
        <v>16</v>
      </c>
      <c r="X502" t="s">
        <v>3665</v>
      </c>
      <c r="Z502">
        <v>46</v>
      </c>
      <c r="AA502">
        <v>43</v>
      </c>
      <c r="AB502" t="s">
        <v>10243</v>
      </c>
      <c r="AE502" t="s">
        <v>9251</v>
      </c>
      <c r="AF502" s="4"/>
    </row>
    <row r="503" spans="1:32">
      <c r="B503" t="s">
        <v>9366</v>
      </c>
      <c r="C503" t="s">
        <v>4530</v>
      </c>
      <c r="D503" t="s">
        <v>54</v>
      </c>
      <c r="E503" t="s">
        <v>10091</v>
      </c>
      <c r="F503" t="s">
        <v>4529</v>
      </c>
      <c r="G503">
        <v>791.68200000000002</v>
      </c>
      <c r="I503">
        <v>791.68200000000002</v>
      </c>
      <c r="K503" s="4">
        <v>45506</v>
      </c>
      <c r="L503" s="4">
        <v>45506</v>
      </c>
      <c r="M503">
        <v>2024</v>
      </c>
      <c r="N503">
        <v>8</v>
      </c>
      <c r="O503" s="4">
        <v>45505</v>
      </c>
      <c r="P503" t="s">
        <v>625</v>
      </c>
      <c r="Q503" s="4"/>
      <c r="S503" t="s">
        <v>3275</v>
      </c>
      <c r="T503">
        <v>45551</v>
      </c>
      <c r="U503">
        <v>1319.47</v>
      </c>
      <c r="V503">
        <v>0.6</v>
      </c>
      <c r="W503" t="s">
        <v>16</v>
      </c>
      <c r="X503" t="s">
        <v>3665</v>
      </c>
      <c r="Z503">
        <v>46</v>
      </c>
      <c r="AA503">
        <v>46</v>
      </c>
      <c r="AB503" t="s">
        <v>10243</v>
      </c>
      <c r="AE503" t="s">
        <v>9251</v>
      </c>
      <c r="AF503" s="4"/>
    </row>
    <row r="504" spans="1:32">
      <c r="B504" t="s">
        <v>9366</v>
      </c>
      <c r="C504" t="s">
        <v>4533</v>
      </c>
      <c r="D504" t="s">
        <v>54</v>
      </c>
      <c r="E504" t="s">
        <v>10095</v>
      </c>
      <c r="F504" t="s">
        <v>4532</v>
      </c>
      <c r="G504">
        <v>1553.184</v>
      </c>
      <c r="I504">
        <v>1553.184</v>
      </c>
      <c r="K504" s="4">
        <v>45506</v>
      </c>
      <c r="L504" s="4">
        <v>45520</v>
      </c>
      <c r="M504">
        <v>2024</v>
      </c>
      <c r="N504">
        <v>8</v>
      </c>
      <c r="O504" s="4">
        <v>45505</v>
      </c>
      <c r="P504" t="s">
        <v>625</v>
      </c>
      <c r="Q504" s="4"/>
      <c r="R504" t="s">
        <v>10244</v>
      </c>
      <c r="S504" t="s">
        <v>3295</v>
      </c>
      <c r="T504">
        <v>45551</v>
      </c>
      <c r="U504">
        <v>2588.64</v>
      </c>
      <c r="V504">
        <v>0.6</v>
      </c>
      <c r="W504" t="s">
        <v>16</v>
      </c>
      <c r="X504" t="s">
        <v>3665</v>
      </c>
      <c r="Z504">
        <v>46</v>
      </c>
      <c r="AA504">
        <v>32</v>
      </c>
      <c r="AB504" t="s">
        <v>10243</v>
      </c>
      <c r="AE504" t="s">
        <v>9251</v>
      </c>
      <c r="AF504" s="4"/>
    </row>
    <row r="505" spans="1:32">
      <c r="B505" t="s">
        <v>9366</v>
      </c>
      <c r="C505" t="s">
        <v>4535</v>
      </c>
      <c r="D505" t="s">
        <v>54</v>
      </c>
      <c r="E505" t="s">
        <v>10097</v>
      </c>
      <c r="F505" t="s">
        <v>4534</v>
      </c>
      <c r="G505">
        <v>1553.184</v>
      </c>
      <c r="I505">
        <v>1553.184</v>
      </c>
      <c r="K505" s="4">
        <v>45513</v>
      </c>
      <c r="L505" s="4">
        <v>45513</v>
      </c>
      <c r="M505">
        <v>2024</v>
      </c>
      <c r="N505">
        <v>8</v>
      </c>
      <c r="O505" s="4">
        <v>45505</v>
      </c>
      <c r="P505" t="s">
        <v>625</v>
      </c>
      <c r="Q505" s="4"/>
      <c r="S505" t="s">
        <v>3297</v>
      </c>
      <c r="T505">
        <v>45551</v>
      </c>
      <c r="U505">
        <v>2588.64</v>
      </c>
      <c r="V505">
        <v>0.6</v>
      </c>
      <c r="W505" t="s">
        <v>16</v>
      </c>
      <c r="X505" t="s">
        <v>3665</v>
      </c>
      <c r="Z505">
        <v>39</v>
      </c>
      <c r="AA505">
        <v>39</v>
      </c>
      <c r="AB505" t="s">
        <v>10243</v>
      </c>
      <c r="AE505" t="s">
        <v>9251</v>
      </c>
      <c r="AF505" s="4"/>
    </row>
    <row r="506" spans="1:32">
      <c r="B506" t="s">
        <v>9366</v>
      </c>
      <c r="C506" t="s">
        <v>4537</v>
      </c>
      <c r="D506" t="s">
        <v>54</v>
      </c>
      <c r="E506" t="s">
        <v>10099</v>
      </c>
      <c r="F506" t="s">
        <v>4536</v>
      </c>
      <c r="G506">
        <v>1553.184</v>
      </c>
      <c r="I506">
        <v>1553.184</v>
      </c>
      <c r="K506" s="4">
        <v>45506</v>
      </c>
      <c r="L506" s="4">
        <v>45509</v>
      </c>
      <c r="M506">
        <v>2024</v>
      </c>
      <c r="N506">
        <v>8</v>
      </c>
      <c r="O506" s="4">
        <v>45505</v>
      </c>
      <c r="P506" t="s">
        <v>625</v>
      </c>
      <c r="Q506" s="4"/>
      <c r="S506" t="s">
        <v>3197</v>
      </c>
      <c r="T506">
        <v>45551</v>
      </c>
      <c r="U506">
        <v>2588.64</v>
      </c>
      <c r="V506">
        <v>0.6</v>
      </c>
      <c r="W506" t="s">
        <v>16</v>
      </c>
      <c r="X506" t="s">
        <v>3665</v>
      </c>
      <c r="Z506">
        <v>46</v>
      </c>
      <c r="AA506">
        <v>43</v>
      </c>
      <c r="AB506" t="s">
        <v>10243</v>
      </c>
      <c r="AE506" t="s">
        <v>9251</v>
      </c>
      <c r="AF506" s="4"/>
    </row>
    <row r="507" spans="1:32">
      <c r="B507" t="s">
        <v>9366</v>
      </c>
      <c r="C507" t="s">
        <v>4540</v>
      </c>
      <c r="D507" t="s">
        <v>54</v>
      </c>
      <c r="E507" t="s">
        <v>10103</v>
      </c>
      <c r="F507" t="s">
        <v>4539</v>
      </c>
      <c r="G507">
        <v>1553.184</v>
      </c>
      <c r="I507">
        <v>1553.184</v>
      </c>
      <c r="K507" s="4">
        <v>45506</v>
      </c>
      <c r="L507" s="4">
        <v>45509</v>
      </c>
      <c r="M507">
        <v>2024</v>
      </c>
      <c r="N507">
        <v>8</v>
      </c>
      <c r="O507" s="4">
        <v>45505</v>
      </c>
      <c r="P507" t="s">
        <v>625</v>
      </c>
      <c r="Q507" s="4"/>
      <c r="S507" t="s">
        <v>3293</v>
      </c>
      <c r="T507">
        <v>45551</v>
      </c>
      <c r="U507">
        <v>2588.64</v>
      </c>
      <c r="V507">
        <v>0.6</v>
      </c>
      <c r="W507" t="s">
        <v>16</v>
      </c>
      <c r="X507" t="s">
        <v>3665</v>
      </c>
      <c r="Z507">
        <v>46</v>
      </c>
      <c r="AA507">
        <v>43</v>
      </c>
      <c r="AB507" t="s">
        <v>10243</v>
      </c>
      <c r="AE507" t="s">
        <v>9251</v>
      </c>
      <c r="AF507" s="4"/>
    </row>
    <row r="508" spans="1:32">
      <c r="A508" t="s">
        <v>10245</v>
      </c>
      <c r="B508" t="s">
        <v>2193</v>
      </c>
      <c r="C508" t="s">
        <v>10246</v>
      </c>
      <c r="D508" t="s">
        <v>29</v>
      </c>
      <c r="E508">
        <v>4400854404</v>
      </c>
      <c r="F508" t="s">
        <v>2761</v>
      </c>
      <c r="G508">
        <v>98189</v>
      </c>
      <c r="I508">
        <v>98189</v>
      </c>
      <c r="J508">
        <v>98189</v>
      </c>
      <c r="K508" s="4">
        <v>45456</v>
      </c>
      <c r="L508" s="4">
        <v>45460</v>
      </c>
      <c r="M508">
        <v>2024</v>
      </c>
      <c r="N508">
        <v>6</v>
      </c>
      <c r="O508" s="4">
        <v>45444</v>
      </c>
      <c r="P508" t="s">
        <v>89</v>
      </c>
      <c r="Q508" s="4"/>
      <c r="S508" t="s">
        <v>4761</v>
      </c>
      <c r="X508" t="s">
        <v>3911</v>
      </c>
      <c r="Z508" t="s">
        <v>89</v>
      </c>
      <c r="AA508" t="s">
        <v>89</v>
      </c>
      <c r="AC508" t="s">
        <v>89</v>
      </c>
      <c r="AD508" t="s">
        <v>625</v>
      </c>
      <c r="AE508" t="s">
        <v>9251</v>
      </c>
      <c r="AF508" s="4"/>
    </row>
    <row r="509" spans="1:32">
      <c r="A509" t="s">
        <v>10247</v>
      </c>
      <c r="B509" t="s">
        <v>2193</v>
      </c>
      <c r="C509" t="s">
        <v>10248</v>
      </c>
      <c r="D509" t="s">
        <v>29</v>
      </c>
      <c r="E509">
        <v>4400854402</v>
      </c>
      <c r="F509" t="s">
        <v>10249</v>
      </c>
      <c r="G509">
        <v>98189</v>
      </c>
      <c r="I509">
        <v>98189</v>
      </c>
      <c r="J509">
        <v>98189</v>
      </c>
      <c r="K509" s="4">
        <v>45456</v>
      </c>
      <c r="L509" s="4">
        <v>45460</v>
      </c>
      <c r="M509">
        <v>2024</v>
      </c>
      <c r="N509">
        <v>6</v>
      </c>
      <c r="O509" s="4">
        <v>45444</v>
      </c>
      <c r="P509" t="s">
        <v>89</v>
      </c>
      <c r="Q509" s="4"/>
      <c r="S509" t="s">
        <v>4759</v>
      </c>
      <c r="X509" t="s">
        <v>3911</v>
      </c>
      <c r="Z509" t="s">
        <v>89</v>
      </c>
      <c r="AA509" t="s">
        <v>89</v>
      </c>
      <c r="AC509" t="s">
        <v>89</v>
      </c>
      <c r="AD509" t="s">
        <v>625</v>
      </c>
      <c r="AE509" t="s">
        <v>9251</v>
      </c>
      <c r="AF509" s="4"/>
    </row>
    <row r="510" spans="1:32">
      <c r="A510" t="s">
        <v>10250</v>
      </c>
      <c r="B510" t="s">
        <v>2193</v>
      </c>
      <c r="C510" t="s">
        <v>10251</v>
      </c>
      <c r="D510" t="s">
        <v>29</v>
      </c>
      <c r="E510">
        <v>4400854401</v>
      </c>
      <c r="F510" t="s">
        <v>2759</v>
      </c>
      <c r="G510">
        <v>98189</v>
      </c>
      <c r="I510">
        <v>98189</v>
      </c>
      <c r="J510">
        <v>98189</v>
      </c>
      <c r="K510" s="4">
        <v>45456</v>
      </c>
      <c r="L510" s="4">
        <v>45460</v>
      </c>
      <c r="M510">
        <v>2024</v>
      </c>
      <c r="N510">
        <v>6</v>
      </c>
      <c r="O510" s="4">
        <v>45444</v>
      </c>
      <c r="P510" t="s">
        <v>89</v>
      </c>
      <c r="Q510" s="4"/>
      <c r="S510" t="s">
        <v>4765</v>
      </c>
      <c r="X510" t="s">
        <v>3911</v>
      </c>
      <c r="Z510" t="s">
        <v>89</v>
      </c>
      <c r="AA510" t="s">
        <v>89</v>
      </c>
      <c r="AC510" t="s">
        <v>89</v>
      </c>
      <c r="AD510" t="s">
        <v>625</v>
      </c>
      <c r="AE510" t="s">
        <v>9251</v>
      </c>
      <c r="AF510" s="4"/>
    </row>
    <row r="511" spans="1:32">
      <c r="A511" t="s">
        <v>10252</v>
      </c>
      <c r="B511" t="s">
        <v>2193</v>
      </c>
      <c r="C511" t="s">
        <v>10253</v>
      </c>
      <c r="D511" t="s">
        <v>29</v>
      </c>
      <c r="E511">
        <v>4400854539</v>
      </c>
      <c r="F511" t="s">
        <v>10254</v>
      </c>
      <c r="G511">
        <v>98189</v>
      </c>
      <c r="I511">
        <v>98189</v>
      </c>
      <c r="J511">
        <v>98189</v>
      </c>
      <c r="K511" s="4">
        <v>45456</v>
      </c>
      <c r="L511" s="4">
        <v>45460</v>
      </c>
      <c r="M511">
        <v>2024</v>
      </c>
      <c r="N511">
        <v>6</v>
      </c>
      <c r="O511" s="4">
        <v>45444</v>
      </c>
      <c r="P511" t="s">
        <v>89</v>
      </c>
      <c r="Q511" s="4"/>
      <c r="S511" t="s">
        <v>4770</v>
      </c>
      <c r="X511" t="s">
        <v>3911</v>
      </c>
      <c r="Z511" t="s">
        <v>89</v>
      </c>
      <c r="AA511" t="s">
        <v>89</v>
      </c>
      <c r="AC511" t="s">
        <v>89</v>
      </c>
      <c r="AD511" t="s">
        <v>625</v>
      </c>
      <c r="AE511" t="s">
        <v>9251</v>
      </c>
      <c r="AF511" s="4"/>
    </row>
    <row r="512" spans="1:32">
      <c r="A512" t="s">
        <v>10255</v>
      </c>
      <c r="B512" t="s">
        <v>2193</v>
      </c>
      <c r="C512" t="s">
        <v>10256</v>
      </c>
      <c r="D512" t="s">
        <v>29</v>
      </c>
      <c r="E512">
        <v>4400854538</v>
      </c>
      <c r="F512" t="s">
        <v>10257</v>
      </c>
      <c r="G512">
        <v>98189</v>
      </c>
      <c r="I512">
        <v>98189</v>
      </c>
      <c r="J512">
        <v>98189</v>
      </c>
      <c r="K512" s="4">
        <v>45456</v>
      </c>
      <c r="L512" s="4">
        <v>45463</v>
      </c>
      <c r="O512" s="4"/>
      <c r="P512" t="s">
        <v>89</v>
      </c>
      <c r="Q512" s="4"/>
      <c r="S512" t="s">
        <v>10258</v>
      </c>
      <c r="X512" t="s">
        <v>3911</v>
      </c>
      <c r="Z512" t="s">
        <v>89</v>
      </c>
      <c r="AA512" t="s">
        <v>89</v>
      </c>
      <c r="AC512" t="s">
        <v>89</v>
      </c>
      <c r="AD512" t="s">
        <v>625</v>
      </c>
      <c r="AE512" t="s">
        <v>9251</v>
      </c>
      <c r="AF512" s="4"/>
    </row>
    <row r="513" spans="1:32">
      <c r="A513" t="s">
        <v>10259</v>
      </c>
      <c r="B513" t="s">
        <v>2193</v>
      </c>
      <c r="C513" t="s">
        <v>10260</v>
      </c>
      <c r="D513" t="s">
        <v>29</v>
      </c>
      <c r="E513">
        <v>4400854537</v>
      </c>
      <c r="F513" t="s">
        <v>2768</v>
      </c>
      <c r="G513">
        <v>98189</v>
      </c>
      <c r="I513">
        <v>98189</v>
      </c>
      <c r="J513">
        <v>98189</v>
      </c>
      <c r="K513" s="4">
        <v>45456</v>
      </c>
      <c r="L513" s="4">
        <v>45460</v>
      </c>
      <c r="M513">
        <v>2024</v>
      </c>
      <c r="N513">
        <v>6</v>
      </c>
      <c r="O513" s="4">
        <v>45444</v>
      </c>
      <c r="P513" t="s">
        <v>89</v>
      </c>
      <c r="Q513" s="4"/>
      <c r="S513" t="s">
        <v>4772</v>
      </c>
      <c r="X513" t="s">
        <v>3911</v>
      </c>
      <c r="Z513" t="s">
        <v>89</v>
      </c>
      <c r="AA513" t="s">
        <v>89</v>
      </c>
      <c r="AC513" t="s">
        <v>89</v>
      </c>
      <c r="AD513" t="s">
        <v>625</v>
      </c>
      <c r="AE513" t="s">
        <v>9251</v>
      </c>
      <c r="AF513" s="4"/>
    </row>
    <row r="514" spans="1:32">
      <c r="A514" t="s">
        <v>10261</v>
      </c>
      <c r="B514" t="s">
        <v>2193</v>
      </c>
      <c r="C514" t="s">
        <v>10262</v>
      </c>
      <c r="D514" t="s">
        <v>29</v>
      </c>
      <c r="E514">
        <v>4400854535</v>
      </c>
      <c r="F514" t="s">
        <v>2766</v>
      </c>
      <c r="G514">
        <v>98189</v>
      </c>
      <c r="I514">
        <v>98189</v>
      </c>
      <c r="J514">
        <v>98189</v>
      </c>
      <c r="K514" s="4">
        <v>45456</v>
      </c>
      <c r="L514" s="4">
        <v>45460</v>
      </c>
      <c r="M514">
        <v>2024</v>
      </c>
      <c r="N514">
        <v>6</v>
      </c>
      <c r="O514" s="4">
        <v>45444</v>
      </c>
      <c r="P514" t="s">
        <v>89</v>
      </c>
      <c r="Q514" s="4"/>
      <c r="S514" t="s">
        <v>5158</v>
      </c>
      <c r="X514" t="s">
        <v>3911</v>
      </c>
      <c r="Z514" t="s">
        <v>89</v>
      </c>
      <c r="AA514" t="s">
        <v>89</v>
      </c>
      <c r="AC514" t="s">
        <v>89</v>
      </c>
      <c r="AD514" t="s">
        <v>625</v>
      </c>
      <c r="AE514" t="s">
        <v>9251</v>
      </c>
      <c r="AF514" s="4"/>
    </row>
    <row r="515" spans="1:32">
      <c r="A515" t="s">
        <v>10263</v>
      </c>
      <c r="B515" t="s">
        <v>2193</v>
      </c>
      <c r="C515" t="s">
        <v>10264</v>
      </c>
      <c r="D515" t="s">
        <v>29</v>
      </c>
      <c r="E515">
        <v>4400843902</v>
      </c>
      <c r="F515" t="s">
        <v>10265</v>
      </c>
      <c r="G515">
        <v>97054</v>
      </c>
      <c r="I515">
        <v>97054</v>
      </c>
      <c r="J515">
        <v>97054</v>
      </c>
      <c r="K515" s="4">
        <v>45456</v>
      </c>
      <c r="L515" s="4">
        <v>45460</v>
      </c>
      <c r="M515">
        <v>2024</v>
      </c>
      <c r="N515">
        <v>6</v>
      </c>
      <c r="O515" s="4">
        <v>45444</v>
      </c>
      <c r="P515" t="s">
        <v>89</v>
      </c>
      <c r="Q515" s="4"/>
      <c r="S515" t="s">
        <v>2725</v>
      </c>
      <c r="X515" t="s">
        <v>4784</v>
      </c>
      <c r="Z515" t="s">
        <v>89</v>
      </c>
      <c r="AA515" t="s">
        <v>89</v>
      </c>
      <c r="AC515" t="s">
        <v>89</v>
      </c>
      <c r="AD515" t="s">
        <v>625</v>
      </c>
      <c r="AE515" t="s">
        <v>9251</v>
      </c>
      <c r="AF515" s="4"/>
    </row>
    <row r="516" spans="1:32">
      <c r="A516" t="s">
        <v>10266</v>
      </c>
      <c r="B516" t="s">
        <v>2193</v>
      </c>
      <c r="C516" t="s">
        <v>10267</v>
      </c>
      <c r="D516" t="s">
        <v>29</v>
      </c>
      <c r="E516">
        <v>4400843809</v>
      </c>
      <c r="F516" t="s">
        <v>10268</v>
      </c>
      <c r="G516">
        <v>98189</v>
      </c>
      <c r="I516">
        <v>98189</v>
      </c>
      <c r="J516">
        <v>98189</v>
      </c>
      <c r="K516" s="4">
        <v>45456</v>
      </c>
      <c r="L516" s="4">
        <v>45460</v>
      </c>
      <c r="M516">
        <v>2024</v>
      </c>
      <c r="N516">
        <v>6</v>
      </c>
      <c r="O516" s="4">
        <v>45444</v>
      </c>
      <c r="P516" t="s">
        <v>89</v>
      </c>
      <c r="Q516" s="4"/>
      <c r="S516" t="s">
        <v>2710</v>
      </c>
      <c r="X516" t="s">
        <v>3911</v>
      </c>
      <c r="Z516" t="s">
        <v>89</v>
      </c>
      <c r="AA516" t="s">
        <v>89</v>
      </c>
      <c r="AC516" t="s">
        <v>89</v>
      </c>
      <c r="AD516" t="s">
        <v>625</v>
      </c>
      <c r="AE516" t="s">
        <v>9251</v>
      </c>
      <c r="AF516" s="4"/>
    </row>
    <row r="517" spans="1:32">
      <c r="A517" t="s">
        <v>10269</v>
      </c>
      <c r="B517" t="s">
        <v>2193</v>
      </c>
      <c r="C517" t="s">
        <v>10270</v>
      </c>
      <c r="D517" t="s">
        <v>29</v>
      </c>
      <c r="E517">
        <v>4400870244</v>
      </c>
      <c r="F517" t="s">
        <v>10271</v>
      </c>
      <c r="G517">
        <v>1980</v>
      </c>
      <c r="I517">
        <v>1980</v>
      </c>
      <c r="J517">
        <v>1980</v>
      </c>
      <c r="K517" s="4">
        <v>45448</v>
      </c>
      <c r="L517" s="4">
        <v>45448</v>
      </c>
      <c r="M517">
        <v>2024</v>
      </c>
      <c r="N517">
        <v>6</v>
      </c>
      <c r="O517" s="4">
        <v>45444</v>
      </c>
      <c r="P517" t="s">
        <v>89</v>
      </c>
      <c r="Q517" s="4"/>
      <c r="S517" t="s">
        <v>2634</v>
      </c>
      <c r="X517" t="s">
        <v>3681</v>
      </c>
      <c r="Z517" t="s">
        <v>89</v>
      </c>
      <c r="AA517" t="s">
        <v>89</v>
      </c>
      <c r="AC517" t="s">
        <v>89</v>
      </c>
      <c r="AD517" t="s">
        <v>625</v>
      </c>
      <c r="AE517" t="s">
        <v>9251</v>
      </c>
      <c r="AF517" s="4"/>
    </row>
    <row r="518" spans="1:32">
      <c r="A518" t="s">
        <v>10272</v>
      </c>
      <c r="B518" t="s">
        <v>2193</v>
      </c>
      <c r="C518" t="s">
        <v>10273</v>
      </c>
      <c r="D518" t="s">
        <v>29</v>
      </c>
      <c r="E518">
        <v>4400854468</v>
      </c>
      <c r="F518" t="s">
        <v>10274</v>
      </c>
      <c r="G518">
        <v>75453</v>
      </c>
      <c r="I518">
        <v>75453</v>
      </c>
      <c r="J518">
        <v>75453</v>
      </c>
      <c r="K518" s="4">
        <v>45448</v>
      </c>
      <c r="L518" s="4">
        <v>45448</v>
      </c>
      <c r="M518">
        <v>2024</v>
      </c>
      <c r="N518">
        <v>6</v>
      </c>
      <c r="O518" s="4">
        <v>45444</v>
      </c>
      <c r="P518" t="s">
        <v>89</v>
      </c>
      <c r="Q518" s="4"/>
      <c r="S518" t="s">
        <v>7436</v>
      </c>
      <c r="X518" t="s">
        <v>3932</v>
      </c>
      <c r="Z518" t="s">
        <v>89</v>
      </c>
      <c r="AA518" t="s">
        <v>89</v>
      </c>
      <c r="AC518" t="s">
        <v>89</v>
      </c>
      <c r="AD518" t="s">
        <v>625</v>
      </c>
      <c r="AE518" t="s">
        <v>9251</v>
      </c>
      <c r="AF518" s="4"/>
    </row>
    <row r="519" spans="1:32">
      <c r="A519" t="s">
        <v>10275</v>
      </c>
      <c r="B519" t="s">
        <v>2193</v>
      </c>
      <c r="C519" t="s">
        <v>10276</v>
      </c>
      <c r="D519" t="s">
        <v>29</v>
      </c>
      <c r="E519">
        <v>4400854560</v>
      </c>
      <c r="F519" t="s">
        <v>10277</v>
      </c>
      <c r="G519">
        <v>75453</v>
      </c>
      <c r="I519">
        <v>75453</v>
      </c>
      <c r="J519">
        <v>75453</v>
      </c>
      <c r="K519" s="4">
        <v>45448</v>
      </c>
      <c r="L519" s="4">
        <v>45448</v>
      </c>
      <c r="M519">
        <v>2024</v>
      </c>
      <c r="N519">
        <v>6</v>
      </c>
      <c r="O519" s="4">
        <v>45444</v>
      </c>
      <c r="P519" t="s">
        <v>89</v>
      </c>
      <c r="Q519" s="4"/>
      <c r="S519" t="s">
        <v>7376</v>
      </c>
      <c r="X519" t="s">
        <v>3932</v>
      </c>
      <c r="Z519" t="s">
        <v>89</v>
      </c>
      <c r="AA519" t="s">
        <v>89</v>
      </c>
      <c r="AC519" t="s">
        <v>89</v>
      </c>
      <c r="AD519" t="s">
        <v>625</v>
      </c>
      <c r="AE519" t="s">
        <v>9251</v>
      </c>
      <c r="AF519" s="4"/>
    </row>
    <row r="520" spans="1:32">
      <c r="A520" t="s">
        <v>10278</v>
      </c>
      <c r="B520" t="s">
        <v>2193</v>
      </c>
      <c r="C520" t="s">
        <v>10279</v>
      </c>
      <c r="D520" t="s">
        <v>29</v>
      </c>
      <c r="E520">
        <v>4400830144</v>
      </c>
      <c r="F520" t="s">
        <v>10280</v>
      </c>
      <c r="G520">
        <v>3698</v>
      </c>
      <c r="I520">
        <v>3698</v>
      </c>
      <c r="J520">
        <v>3698</v>
      </c>
      <c r="K520" s="4">
        <v>45448</v>
      </c>
      <c r="L520" s="4">
        <v>45448</v>
      </c>
      <c r="M520">
        <v>2024</v>
      </c>
      <c r="N520">
        <v>6</v>
      </c>
      <c r="O520" s="4">
        <v>45444</v>
      </c>
      <c r="P520" t="s">
        <v>89</v>
      </c>
      <c r="Q520" s="4"/>
      <c r="S520" t="s">
        <v>4214</v>
      </c>
      <c r="X520" t="s">
        <v>10281</v>
      </c>
      <c r="Z520" t="s">
        <v>89</v>
      </c>
      <c r="AA520" t="s">
        <v>89</v>
      </c>
      <c r="AC520" t="s">
        <v>89</v>
      </c>
      <c r="AD520" t="s">
        <v>625</v>
      </c>
      <c r="AE520" t="s">
        <v>9251</v>
      </c>
      <c r="AF520" s="4"/>
    </row>
    <row r="521" spans="1:32">
      <c r="A521" t="s">
        <v>10282</v>
      </c>
      <c r="B521" t="s">
        <v>2193</v>
      </c>
      <c r="C521" t="s">
        <v>10283</v>
      </c>
      <c r="D521" t="s">
        <v>29</v>
      </c>
      <c r="E521">
        <v>4400855669</v>
      </c>
      <c r="F521" t="s">
        <v>10284</v>
      </c>
      <c r="G521">
        <v>19457</v>
      </c>
      <c r="I521">
        <v>19457</v>
      </c>
      <c r="J521">
        <v>19457</v>
      </c>
      <c r="K521" s="4">
        <v>45432</v>
      </c>
      <c r="L521" s="4">
        <v>45432</v>
      </c>
      <c r="M521">
        <v>2024</v>
      </c>
      <c r="N521">
        <v>5</v>
      </c>
      <c r="O521" s="4">
        <v>45413</v>
      </c>
      <c r="P521" t="s">
        <v>89</v>
      </c>
      <c r="Q521" s="4"/>
      <c r="S521" t="s">
        <v>7810</v>
      </c>
      <c r="X521" t="s">
        <v>2369</v>
      </c>
      <c r="Z521" t="s">
        <v>89</v>
      </c>
      <c r="AA521" t="s">
        <v>89</v>
      </c>
      <c r="AC521" t="s">
        <v>89</v>
      </c>
      <c r="AD521" t="s">
        <v>89</v>
      </c>
      <c r="AE521" t="s">
        <v>3652</v>
      </c>
      <c r="AF521" s="4"/>
    </row>
    <row r="522" spans="1:32">
      <c r="A522" t="s">
        <v>10285</v>
      </c>
      <c r="B522" t="s">
        <v>2193</v>
      </c>
      <c r="C522" t="s">
        <v>10286</v>
      </c>
      <c r="D522" t="s">
        <v>29</v>
      </c>
      <c r="E522">
        <v>4400855676</v>
      </c>
      <c r="F522" t="s">
        <v>10287</v>
      </c>
      <c r="G522">
        <v>19457</v>
      </c>
      <c r="I522">
        <v>19457</v>
      </c>
      <c r="J522">
        <v>19457</v>
      </c>
      <c r="K522" s="4">
        <v>45432</v>
      </c>
      <c r="L522" s="4">
        <v>45432</v>
      </c>
      <c r="M522">
        <v>2024</v>
      </c>
      <c r="N522">
        <v>5</v>
      </c>
      <c r="O522" s="4">
        <v>45413</v>
      </c>
      <c r="P522" t="s">
        <v>89</v>
      </c>
      <c r="Q522" s="4"/>
      <c r="S522" t="s">
        <v>7924</v>
      </c>
      <c r="X522" t="s">
        <v>2369</v>
      </c>
      <c r="Z522" t="s">
        <v>89</v>
      </c>
      <c r="AA522" t="s">
        <v>89</v>
      </c>
      <c r="AC522" t="s">
        <v>89</v>
      </c>
      <c r="AD522" t="s">
        <v>89</v>
      </c>
      <c r="AE522" t="s">
        <v>3652</v>
      </c>
      <c r="AF522" s="4"/>
    </row>
    <row r="523" spans="1:32">
      <c r="A523" t="s">
        <v>10288</v>
      </c>
      <c r="B523" t="s">
        <v>2193</v>
      </c>
      <c r="C523" t="s">
        <v>10289</v>
      </c>
      <c r="D523" t="s">
        <v>29</v>
      </c>
      <c r="E523">
        <v>4400855674</v>
      </c>
      <c r="F523" t="s">
        <v>10290</v>
      </c>
      <c r="G523">
        <v>19457</v>
      </c>
      <c r="I523">
        <v>19457</v>
      </c>
      <c r="J523">
        <v>19457</v>
      </c>
      <c r="K523" s="4">
        <v>45432</v>
      </c>
      <c r="L523" s="4">
        <v>45432</v>
      </c>
      <c r="M523">
        <v>2024</v>
      </c>
      <c r="N523">
        <v>5</v>
      </c>
      <c r="O523" s="4">
        <v>45413</v>
      </c>
      <c r="P523" t="s">
        <v>89</v>
      </c>
      <c r="Q523" s="4"/>
      <c r="S523" t="s">
        <v>7922</v>
      </c>
      <c r="X523" t="s">
        <v>2369</v>
      </c>
      <c r="Z523" t="s">
        <v>89</v>
      </c>
      <c r="AA523" t="s">
        <v>89</v>
      </c>
      <c r="AC523" t="s">
        <v>89</v>
      </c>
      <c r="AD523" t="s">
        <v>89</v>
      </c>
      <c r="AE523" t="s">
        <v>3652</v>
      </c>
      <c r="AF523" s="4"/>
    </row>
    <row r="524" spans="1:32">
      <c r="A524" t="s">
        <v>10291</v>
      </c>
      <c r="B524" t="s">
        <v>2193</v>
      </c>
      <c r="C524" t="s">
        <v>10292</v>
      </c>
      <c r="D524" t="s">
        <v>29</v>
      </c>
      <c r="E524">
        <v>4400854565</v>
      </c>
      <c r="F524" t="s">
        <v>10293</v>
      </c>
      <c r="G524">
        <v>70646</v>
      </c>
      <c r="I524">
        <v>70646</v>
      </c>
      <c r="J524">
        <v>70646</v>
      </c>
      <c r="K524" s="4">
        <v>45432</v>
      </c>
      <c r="L524" s="4">
        <v>45432</v>
      </c>
      <c r="M524">
        <v>2024</v>
      </c>
      <c r="N524">
        <v>5</v>
      </c>
      <c r="O524" s="4">
        <v>45413</v>
      </c>
      <c r="P524" t="s">
        <v>89</v>
      </c>
      <c r="Q524" s="4"/>
      <c r="S524" t="s">
        <v>5541</v>
      </c>
      <c r="X524" t="s">
        <v>3932</v>
      </c>
      <c r="Z524" t="s">
        <v>89</v>
      </c>
      <c r="AA524" t="s">
        <v>89</v>
      </c>
      <c r="AC524" t="s">
        <v>89</v>
      </c>
      <c r="AD524" t="s">
        <v>89</v>
      </c>
      <c r="AE524" t="s">
        <v>3652</v>
      </c>
      <c r="AF524" s="4"/>
    </row>
    <row r="525" spans="1:32">
      <c r="A525" t="s">
        <v>10294</v>
      </c>
      <c r="B525" t="s">
        <v>2193</v>
      </c>
      <c r="C525" t="s">
        <v>10295</v>
      </c>
      <c r="D525" t="s">
        <v>29</v>
      </c>
      <c r="E525">
        <v>4400854408</v>
      </c>
      <c r="F525" t="s">
        <v>10296</v>
      </c>
      <c r="G525">
        <v>190037</v>
      </c>
      <c r="I525">
        <v>190037</v>
      </c>
      <c r="J525">
        <v>190037</v>
      </c>
      <c r="K525" s="4">
        <v>45432</v>
      </c>
      <c r="L525" s="4">
        <v>45432</v>
      </c>
      <c r="M525">
        <v>2024</v>
      </c>
      <c r="N525">
        <v>5</v>
      </c>
      <c r="O525" s="4">
        <v>45413</v>
      </c>
      <c r="P525" t="s">
        <v>89</v>
      </c>
      <c r="Q525" s="4"/>
      <c r="S525" t="s">
        <v>4479</v>
      </c>
      <c r="X525" t="s">
        <v>4102</v>
      </c>
      <c r="Z525" t="s">
        <v>89</v>
      </c>
      <c r="AA525" t="s">
        <v>89</v>
      </c>
      <c r="AC525" t="s">
        <v>89</v>
      </c>
      <c r="AD525" t="s">
        <v>89</v>
      </c>
      <c r="AE525" t="s">
        <v>3652</v>
      </c>
      <c r="AF525" s="4"/>
    </row>
    <row r="526" spans="1:32">
      <c r="A526" t="s">
        <v>10297</v>
      </c>
      <c r="B526" t="s">
        <v>2193</v>
      </c>
      <c r="C526" t="s">
        <v>10298</v>
      </c>
      <c r="D526" t="s">
        <v>29</v>
      </c>
      <c r="E526">
        <v>4400854359</v>
      </c>
      <c r="F526" t="s">
        <v>10299</v>
      </c>
      <c r="G526">
        <v>29941</v>
      </c>
      <c r="I526">
        <v>29941</v>
      </c>
      <c r="J526">
        <v>29941</v>
      </c>
      <c r="K526" s="4">
        <v>45432</v>
      </c>
      <c r="L526" s="4">
        <v>45432</v>
      </c>
      <c r="M526">
        <v>2024</v>
      </c>
      <c r="N526">
        <v>5</v>
      </c>
      <c r="O526" s="4">
        <v>45413</v>
      </c>
      <c r="P526" t="s">
        <v>89</v>
      </c>
      <c r="Q526" s="4"/>
      <c r="S526" t="s">
        <v>3071</v>
      </c>
      <c r="X526" t="s">
        <v>2369</v>
      </c>
      <c r="Z526" t="s">
        <v>89</v>
      </c>
      <c r="AA526" t="s">
        <v>89</v>
      </c>
      <c r="AC526" t="s">
        <v>89</v>
      </c>
      <c r="AD526" t="s">
        <v>89</v>
      </c>
      <c r="AE526" t="s">
        <v>3652</v>
      </c>
      <c r="AF526" s="4"/>
    </row>
    <row r="527" spans="1:32">
      <c r="A527" t="s">
        <v>10300</v>
      </c>
      <c r="B527" t="s">
        <v>2193</v>
      </c>
      <c r="C527" t="s">
        <v>10301</v>
      </c>
      <c r="D527" t="s">
        <v>29</v>
      </c>
      <c r="E527">
        <v>4400843694</v>
      </c>
      <c r="F527" t="s">
        <v>10302</v>
      </c>
      <c r="G527">
        <v>75453</v>
      </c>
      <c r="I527">
        <v>75453</v>
      </c>
      <c r="J527">
        <v>75453</v>
      </c>
      <c r="K527" s="4">
        <v>45432</v>
      </c>
      <c r="L527" s="4">
        <v>45432</v>
      </c>
      <c r="M527">
        <v>2024</v>
      </c>
      <c r="N527">
        <v>5</v>
      </c>
      <c r="O527" s="4">
        <v>45413</v>
      </c>
      <c r="P527" t="s">
        <v>89</v>
      </c>
      <c r="Q527" s="4"/>
      <c r="S527" t="s">
        <v>2696</v>
      </c>
      <c r="X527" t="s">
        <v>3932</v>
      </c>
      <c r="Z527" t="s">
        <v>89</v>
      </c>
      <c r="AA527" t="s">
        <v>89</v>
      </c>
      <c r="AC527" t="s">
        <v>89</v>
      </c>
      <c r="AD527" t="s">
        <v>89</v>
      </c>
      <c r="AE527" t="s">
        <v>3652</v>
      </c>
      <c r="AF527" s="4"/>
    </row>
    <row r="528" spans="1:32">
      <c r="A528" t="s">
        <v>10303</v>
      </c>
      <c r="B528" t="s">
        <v>2193</v>
      </c>
      <c r="C528" t="s">
        <v>1216</v>
      </c>
      <c r="D528" t="s">
        <v>29</v>
      </c>
      <c r="E528">
        <v>4400855532</v>
      </c>
      <c r="F528" t="s">
        <v>1215</v>
      </c>
      <c r="G528">
        <v>1895</v>
      </c>
      <c r="I528">
        <v>1895</v>
      </c>
      <c r="J528">
        <v>1895</v>
      </c>
      <c r="K528" s="4">
        <v>45413</v>
      </c>
      <c r="L528" s="4">
        <v>45413</v>
      </c>
      <c r="M528">
        <v>2024</v>
      </c>
      <c r="N528">
        <v>5</v>
      </c>
      <c r="O528" s="4">
        <v>45413</v>
      </c>
      <c r="P528" t="s">
        <v>89</v>
      </c>
      <c r="Q528" s="4"/>
      <c r="S528" t="s">
        <v>8626</v>
      </c>
      <c r="X528" t="s">
        <v>10281</v>
      </c>
      <c r="Z528" t="s">
        <v>89</v>
      </c>
      <c r="AA528" t="s">
        <v>89</v>
      </c>
      <c r="AC528" t="s">
        <v>89</v>
      </c>
      <c r="AD528" t="s">
        <v>89</v>
      </c>
      <c r="AE528" t="s">
        <v>3652</v>
      </c>
      <c r="AF528" s="4"/>
    </row>
    <row r="529" spans="1:32">
      <c r="A529" t="s">
        <v>10304</v>
      </c>
      <c r="B529" t="s">
        <v>2193</v>
      </c>
      <c r="C529" t="s">
        <v>1219</v>
      </c>
      <c r="D529" t="s">
        <v>29</v>
      </c>
      <c r="E529">
        <v>4400847886</v>
      </c>
      <c r="F529" t="s">
        <v>10305</v>
      </c>
      <c r="G529">
        <v>75453</v>
      </c>
      <c r="I529">
        <v>75453</v>
      </c>
      <c r="J529">
        <v>75453</v>
      </c>
      <c r="K529" s="4">
        <v>45413</v>
      </c>
      <c r="L529" s="4">
        <v>45413</v>
      </c>
      <c r="M529">
        <v>2024</v>
      </c>
      <c r="N529">
        <v>5</v>
      </c>
      <c r="O529" s="4">
        <v>45413</v>
      </c>
      <c r="P529" t="s">
        <v>89</v>
      </c>
      <c r="Q529" s="4"/>
      <c r="S529" t="s">
        <v>2739</v>
      </c>
      <c r="X529" t="s">
        <v>3932</v>
      </c>
      <c r="Z529" t="s">
        <v>89</v>
      </c>
      <c r="AA529" t="s">
        <v>89</v>
      </c>
      <c r="AC529" t="s">
        <v>89</v>
      </c>
      <c r="AD529" t="s">
        <v>89</v>
      </c>
      <c r="AE529" t="s">
        <v>3652</v>
      </c>
      <c r="AF529" s="4"/>
    </row>
    <row r="530" spans="1:32">
      <c r="A530" t="s">
        <v>10306</v>
      </c>
      <c r="B530" t="s">
        <v>2193</v>
      </c>
      <c r="C530" t="s">
        <v>1221</v>
      </c>
      <c r="D530" t="s">
        <v>29</v>
      </c>
      <c r="E530">
        <v>4400842132</v>
      </c>
      <c r="F530" t="s">
        <v>1220</v>
      </c>
      <c r="G530">
        <v>1135</v>
      </c>
      <c r="I530">
        <v>1135</v>
      </c>
      <c r="J530">
        <v>1135</v>
      </c>
      <c r="K530" s="4">
        <v>45413</v>
      </c>
      <c r="L530" s="4">
        <v>45413</v>
      </c>
      <c r="M530">
        <v>2024</v>
      </c>
      <c r="N530">
        <v>5</v>
      </c>
      <c r="O530" s="4">
        <v>45413</v>
      </c>
      <c r="P530" t="s">
        <v>89</v>
      </c>
      <c r="Q530" s="4"/>
      <c r="S530" t="s">
        <v>2677</v>
      </c>
      <c r="X530" t="s">
        <v>3911</v>
      </c>
      <c r="Z530" t="s">
        <v>89</v>
      </c>
      <c r="AA530" t="s">
        <v>89</v>
      </c>
      <c r="AC530" t="s">
        <v>89</v>
      </c>
      <c r="AD530" t="s">
        <v>89</v>
      </c>
      <c r="AE530" t="s">
        <v>3652</v>
      </c>
      <c r="AF530" s="4"/>
    </row>
    <row r="531" spans="1:32">
      <c r="A531" t="s">
        <v>10307</v>
      </c>
      <c r="B531" t="s">
        <v>2193</v>
      </c>
      <c r="C531" t="s">
        <v>1223</v>
      </c>
      <c r="D531" t="s">
        <v>29</v>
      </c>
      <c r="E531">
        <v>4400843953</v>
      </c>
      <c r="F531" t="s">
        <v>1222</v>
      </c>
      <c r="G531">
        <v>98189</v>
      </c>
      <c r="I531">
        <v>98189</v>
      </c>
      <c r="J531">
        <v>98189</v>
      </c>
      <c r="K531" s="4">
        <v>45413</v>
      </c>
      <c r="L531" s="4">
        <v>45413</v>
      </c>
      <c r="M531">
        <v>2024</v>
      </c>
      <c r="N531">
        <v>5</v>
      </c>
      <c r="O531" s="4">
        <v>45413</v>
      </c>
      <c r="P531" t="s">
        <v>89</v>
      </c>
      <c r="Q531" s="4"/>
      <c r="S531" t="s">
        <v>2727</v>
      </c>
      <c r="X531" t="s">
        <v>3911</v>
      </c>
      <c r="Z531" t="s">
        <v>89</v>
      </c>
      <c r="AA531" t="s">
        <v>89</v>
      </c>
      <c r="AC531" t="s">
        <v>89</v>
      </c>
      <c r="AD531" t="s">
        <v>89</v>
      </c>
      <c r="AE531" t="s">
        <v>3652</v>
      </c>
      <c r="AF531" s="4"/>
    </row>
    <row r="532" spans="1:32">
      <c r="A532" t="s">
        <v>10308</v>
      </c>
      <c r="B532" t="s">
        <v>2193</v>
      </c>
      <c r="C532" t="s">
        <v>1225</v>
      </c>
      <c r="D532" t="s">
        <v>29</v>
      </c>
      <c r="E532">
        <v>4400843814</v>
      </c>
      <c r="F532" t="s">
        <v>1224</v>
      </c>
      <c r="G532">
        <v>98189</v>
      </c>
      <c r="I532">
        <v>98189</v>
      </c>
      <c r="J532">
        <v>98189</v>
      </c>
      <c r="K532" s="4">
        <v>45413</v>
      </c>
      <c r="L532" s="4">
        <v>45413</v>
      </c>
      <c r="M532">
        <v>2024</v>
      </c>
      <c r="N532">
        <v>5</v>
      </c>
      <c r="O532" s="4">
        <v>45413</v>
      </c>
      <c r="P532" t="s">
        <v>89</v>
      </c>
      <c r="Q532" s="4"/>
      <c r="S532" t="s">
        <v>2712</v>
      </c>
      <c r="X532" t="s">
        <v>3911</v>
      </c>
      <c r="Z532" t="s">
        <v>89</v>
      </c>
      <c r="AA532" t="s">
        <v>89</v>
      </c>
      <c r="AC532" t="s">
        <v>89</v>
      </c>
      <c r="AD532" t="s">
        <v>89</v>
      </c>
      <c r="AE532" t="s">
        <v>3652</v>
      </c>
      <c r="AF532" s="4"/>
    </row>
    <row r="533" spans="1:32">
      <c r="A533" t="s">
        <v>10309</v>
      </c>
      <c r="B533" t="s">
        <v>2193</v>
      </c>
      <c r="C533" t="s">
        <v>1227</v>
      </c>
      <c r="D533" t="s">
        <v>29</v>
      </c>
      <c r="E533">
        <v>4400843808</v>
      </c>
      <c r="F533" t="s">
        <v>1226</v>
      </c>
      <c r="G533">
        <v>98189</v>
      </c>
      <c r="I533">
        <v>98189</v>
      </c>
      <c r="J533">
        <v>98189</v>
      </c>
      <c r="K533" s="4">
        <v>45413</v>
      </c>
      <c r="L533" s="4">
        <v>45413</v>
      </c>
      <c r="M533">
        <v>2024</v>
      </c>
      <c r="N533">
        <v>5</v>
      </c>
      <c r="O533" s="4">
        <v>45413</v>
      </c>
      <c r="P533" t="s">
        <v>89</v>
      </c>
      <c r="Q533" s="4"/>
      <c r="S533" t="s">
        <v>2708</v>
      </c>
      <c r="X533" t="s">
        <v>3911</v>
      </c>
      <c r="Z533" t="s">
        <v>89</v>
      </c>
      <c r="AA533" t="s">
        <v>89</v>
      </c>
      <c r="AC533" t="s">
        <v>89</v>
      </c>
      <c r="AD533" t="s">
        <v>89</v>
      </c>
      <c r="AE533" t="s">
        <v>3652</v>
      </c>
      <c r="AF533" s="4"/>
    </row>
    <row r="534" spans="1:32">
      <c r="A534" t="s">
        <v>10310</v>
      </c>
      <c r="B534" t="s">
        <v>2193</v>
      </c>
      <c r="C534" t="s">
        <v>1229</v>
      </c>
      <c r="D534" t="s">
        <v>29</v>
      </c>
      <c r="E534">
        <v>4400843806</v>
      </c>
      <c r="F534" t="s">
        <v>1228</v>
      </c>
      <c r="G534">
        <v>98189</v>
      </c>
      <c r="I534">
        <v>98189</v>
      </c>
      <c r="J534">
        <v>98189</v>
      </c>
      <c r="K534" s="4">
        <v>45413</v>
      </c>
      <c r="L534" s="4">
        <v>45413</v>
      </c>
      <c r="M534">
        <v>2024</v>
      </c>
      <c r="N534">
        <v>5</v>
      </c>
      <c r="O534" s="4">
        <v>45413</v>
      </c>
      <c r="P534" t="s">
        <v>89</v>
      </c>
      <c r="Q534" s="4"/>
      <c r="S534" t="s">
        <v>2706</v>
      </c>
      <c r="X534" t="s">
        <v>3911</v>
      </c>
      <c r="Z534" t="s">
        <v>89</v>
      </c>
      <c r="AA534" t="s">
        <v>89</v>
      </c>
      <c r="AC534" t="s">
        <v>89</v>
      </c>
      <c r="AD534" t="s">
        <v>89</v>
      </c>
      <c r="AE534" t="s">
        <v>3652</v>
      </c>
      <c r="AF534" s="4"/>
    </row>
    <row r="535" spans="1:32">
      <c r="A535" t="s">
        <v>10311</v>
      </c>
      <c r="B535" t="s">
        <v>2193</v>
      </c>
      <c r="C535" t="s">
        <v>1231</v>
      </c>
      <c r="D535" t="s">
        <v>29</v>
      </c>
      <c r="E535">
        <v>4400843732</v>
      </c>
      <c r="F535" t="s">
        <v>1230</v>
      </c>
      <c r="G535">
        <v>98189</v>
      </c>
      <c r="I535">
        <v>98189</v>
      </c>
      <c r="J535">
        <v>98189</v>
      </c>
      <c r="K535" s="4">
        <v>45413</v>
      </c>
      <c r="L535" s="4">
        <v>45413</v>
      </c>
      <c r="M535">
        <v>2024</v>
      </c>
      <c r="N535">
        <v>5</v>
      </c>
      <c r="O535" s="4">
        <v>45413</v>
      </c>
      <c r="P535" t="s">
        <v>89</v>
      </c>
      <c r="Q535" s="4"/>
      <c r="S535" t="s">
        <v>2698</v>
      </c>
      <c r="X535" t="s">
        <v>4784</v>
      </c>
      <c r="Z535" t="s">
        <v>89</v>
      </c>
      <c r="AA535" t="s">
        <v>89</v>
      </c>
      <c r="AC535" t="s">
        <v>89</v>
      </c>
      <c r="AD535" t="s">
        <v>89</v>
      </c>
      <c r="AE535" t="s">
        <v>3652</v>
      </c>
      <c r="AF535" s="4"/>
    </row>
    <row r="536" spans="1:32">
      <c r="A536" t="s">
        <v>10312</v>
      </c>
      <c r="B536" t="s">
        <v>2193</v>
      </c>
      <c r="C536" t="s">
        <v>1233</v>
      </c>
      <c r="D536" t="s">
        <v>29</v>
      </c>
      <c r="E536">
        <v>4400843734</v>
      </c>
      <c r="F536" t="s">
        <v>1232</v>
      </c>
      <c r="G536">
        <v>98189</v>
      </c>
      <c r="I536">
        <v>98189</v>
      </c>
      <c r="J536">
        <v>98189</v>
      </c>
      <c r="K536" s="4">
        <v>45413</v>
      </c>
      <c r="L536" s="4">
        <v>45413</v>
      </c>
      <c r="M536">
        <v>2024</v>
      </c>
      <c r="N536">
        <v>5</v>
      </c>
      <c r="O536" s="4">
        <v>45413</v>
      </c>
      <c r="P536" t="s">
        <v>89</v>
      </c>
      <c r="Q536" s="4"/>
      <c r="S536" t="s">
        <v>2700</v>
      </c>
      <c r="X536" t="s">
        <v>3911</v>
      </c>
      <c r="Z536" t="s">
        <v>89</v>
      </c>
      <c r="AA536" t="s">
        <v>89</v>
      </c>
      <c r="AC536" t="s">
        <v>89</v>
      </c>
      <c r="AD536" t="s">
        <v>89</v>
      </c>
      <c r="AE536" t="s">
        <v>3652</v>
      </c>
      <c r="AF536" s="4"/>
    </row>
    <row r="537" spans="1:32">
      <c r="A537" t="s">
        <v>10313</v>
      </c>
      <c r="B537" t="s">
        <v>2193</v>
      </c>
      <c r="C537" t="s">
        <v>1135</v>
      </c>
      <c r="D537" t="s">
        <v>29</v>
      </c>
      <c r="E537">
        <v>4400847920</v>
      </c>
      <c r="F537" t="s">
        <v>1134</v>
      </c>
      <c r="G537">
        <v>75453</v>
      </c>
      <c r="I537">
        <v>75453</v>
      </c>
      <c r="J537">
        <v>75453</v>
      </c>
      <c r="K537" s="4">
        <v>45406</v>
      </c>
      <c r="L537" s="4">
        <v>45408</v>
      </c>
      <c r="M537">
        <v>2024</v>
      </c>
      <c r="N537">
        <v>4</v>
      </c>
      <c r="O537" s="4">
        <v>45383</v>
      </c>
      <c r="P537" t="s">
        <v>89</v>
      </c>
      <c r="Q537" s="4"/>
      <c r="S537" t="s">
        <v>7378</v>
      </c>
      <c r="X537" t="s">
        <v>3932</v>
      </c>
      <c r="Z537" t="s">
        <v>89</v>
      </c>
      <c r="AA537" t="s">
        <v>89</v>
      </c>
      <c r="AC537" t="s">
        <v>89</v>
      </c>
      <c r="AD537" t="s">
        <v>89</v>
      </c>
      <c r="AE537" t="s">
        <v>3652</v>
      </c>
      <c r="AF537" s="4"/>
    </row>
    <row r="538" spans="1:32">
      <c r="A538" t="s">
        <v>10314</v>
      </c>
      <c r="B538" t="s">
        <v>2193</v>
      </c>
      <c r="C538" t="s">
        <v>1133</v>
      </c>
      <c r="D538" t="s">
        <v>29</v>
      </c>
      <c r="E538">
        <v>4400847923</v>
      </c>
      <c r="F538" t="s">
        <v>1132</v>
      </c>
      <c r="G538">
        <v>75453</v>
      </c>
      <c r="I538">
        <v>75453</v>
      </c>
      <c r="J538">
        <v>75453</v>
      </c>
      <c r="K538" s="4">
        <v>45406</v>
      </c>
      <c r="L538" s="4">
        <v>45408</v>
      </c>
      <c r="M538">
        <v>2024</v>
      </c>
      <c r="N538">
        <v>4</v>
      </c>
      <c r="O538" s="4">
        <v>45383</v>
      </c>
      <c r="P538" t="s">
        <v>89</v>
      </c>
      <c r="Q538" s="4"/>
      <c r="S538" t="s">
        <v>7382</v>
      </c>
      <c r="X538" t="s">
        <v>3932</v>
      </c>
      <c r="Z538" t="s">
        <v>89</v>
      </c>
      <c r="AA538" t="s">
        <v>89</v>
      </c>
      <c r="AC538" t="s">
        <v>89</v>
      </c>
      <c r="AD538" t="s">
        <v>89</v>
      </c>
      <c r="AE538" t="s">
        <v>3652</v>
      </c>
      <c r="AF538" s="4"/>
    </row>
    <row r="539" spans="1:32">
      <c r="A539" t="s">
        <v>10315</v>
      </c>
      <c r="B539" t="s">
        <v>2193</v>
      </c>
      <c r="C539" t="s">
        <v>1131</v>
      </c>
      <c r="D539" t="s">
        <v>29</v>
      </c>
      <c r="E539">
        <v>4400843754</v>
      </c>
      <c r="F539" t="s">
        <v>1130</v>
      </c>
      <c r="G539">
        <v>98189</v>
      </c>
      <c r="I539">
        <v>98189</v>
      </c>
      <c r="J539">
        <v>98189</v>
      </c>
      <c r="K539" s="4">
        <v>45406</v>
      </c>
      <c r="L539" s="4">
        <v>45408</v>
      </c>
      <c r="M539">
        <v>2024</v>
      </c>
      <c r="N539">
        <v>4</v>
      </c>
      <c r="O539" s="4">
        <v>45383</v>
      </c>
      <c r="P539" t="s">
        <v>89</v>
      </c>
      <c r="Q539" s="4"/>
      <c r="S539" t="s">
        <v>2702</v>
      </c>
      <c r="X539" t="s">
        <v>3932</v>
      </c>
      <c r="Z539" t="s">
        <v>89</v>
      </c>
      <c r="AA539" t="s">
        <v>89</v>
      </c>
      <c r="AC539" t="s">
        <v>89</v>
      </c>
      <c r="AD539" t="s">
        <v>89</v>
      </c>
      <c r="AE539" t="s">
        <v>3652</v>
      </c>
      <c r="AF539" s="4"/>
    </row>
    <row r="540" spans="1:32">
      <c r="A540" t="s">
        <v>10316</v>
      </c>
      <c r="B540" t="s">
        <v>2193</v>
      </c>
      <c r="C540" t="s">
        <v>1129</v>
      </c>
      <c r="D540" t="s">
        <v>29</v>
      </c>
      <c r="E540">
        <v>4400842745</v>
      </c>
      <c r="F540" t="s">
        <v>1128</v>
      </c>
      <c r="G540">
        <v>75453</v>
      </c>
      <c r="I540">
        <v>75453</v>
      </c>
      <c r="J540">
        <v>75453</v>
      </c>
      <c r="K540" s="4">
        <v>45406</v>
      </c>
      <c r="L540" s="4">
        <v>45408</v>
      </c>
      <c r="M540">
        <v>2024</v>
      </c>
      <c r="N540">
        <v>4</v>
      </c>
      <c r="O540" s="4">
        <v>45383</v>
      </c>
      <c r="P540" t="s">
        <v>89</v>
      </c>
      <c r="Q540" s="4"/>
      <c r="S540" t="s">
        <v>2683</v>
      </c>
      <c r="X540" t="s">
        <v>3932</v>
      </c>
      <c r="Z540" t="s">
        <v>89</v>
      </c>
      <c r="AA540" t="s">
        <v>89</v>
      </c>
      <c r="AC540" t="s">
        <v>89</v>
      </c>
      <c r="AD540" t="s">
        <v>89</v>
      </c>
      <c r="AE540" t="s">
        <v>3652</v>
      </c>
      <c r="AF540" s="4"/>
    </row>
    <row r="541" spans="1:32">
      <c r="A541" t="s">
        <v>10317</v>
      </c>
      <c r="B541" t="s">
        <v>2193</v>
      </c>
      <c r="C541" t="s">
        <v>1126</v>
      </c>
      <c r="D541" t="s">
        <v>29</v>
      </c>
      <c r="E541">
        <v>4400837525</v>
      </c>
      <c r="F541" t="s">
        <v>1125</v>
      </c>
      <c r="G541">
        <v>75453</v>
      </c>
      <c r="I541">
        <v>75453</v>
      </c>
      <c r="J541">
        <v>75453</v>
      </c>
      <c r="K541" s="4">
        <v>45406</v>
      </c>
      <c r="L541" s="4">
        <v>45408</v>
      </c>
      <c r="M541">
        <v>2024</v>
      </c>
      <c r="N541">
        <v>4</v>
      </c>
      <c r="O541" s="4">
        <v>45383</v>
      </c>
      <c r="P541" t="s">
        <v>89</v>
      </c>
      <c r="Q541" s="4"/>
      <c r="S541" t="s">
        <v>2667</v>
      </c>
      <c r="X541" t="s">
        <v>3932</v>
      </c>
      <c r="Z541" t="s">
        <v>89</v>
      </c>
      <c r="AA541" t="s">
        <v>89</v>
      </c>
      <c r="AC541" t="s">
        <v>89</v>
      </c>
      <c r="AD541" t="s">
        <v>89</v>
      </c>
      <c r="AE541" t="s">
        <v>3652</v>
      </c>
      <c r="AF541" s="4"/>
    </row>
    <row r="542" spans="1:32">
      <c r="A542" t="s">
        <v>10318</v>
      </c>
      <c r="B542" t="s">
        <v>2193</v>
      </c>
      <c r="C542" t="s">
        <v>1117</v>
      </c>
      <c r="D542" t="s">
        <v>29</v>
      </c>
      <c r="E542">
        <v>4400855534</v>
      </c>
      <c r="F542" t="s">
        <v>1116</v>
      </c>
      <c r="G542">
        <v>1895</v>
      </c>
      <c r="I542">
        <v>1895</v>
      </c>
      <c r="J542">
        <v>1895</v>
      </c>
      <c r="K542" s="4">
        <v>45404</v>
      </c>
      <c r="L542" s="4">
        <v>45404</v>
      </c>
      <c r="M542">
        <v>2024</v>
      </c>
      <c r="N542">
        <v>4</v>
      </c>
      <c r="O542" s="4">
        <v>45383</v>
      </c>
      <c r="P542" t="s">
        <v>89</v>
      </c>
      <c r="Q542" s="4"/>
      <c r="S542" t="s">
        <v>10319</v>
      </c>
      <c r="X542" t="s">
        <v>10281</v>
      </c>
      <c r="Z542" t="s">
        <v>89</v>
      </c>
      <c r="AA542" t="s">
        <v>89</v>
      </c>
      <c r="AC542" t="s">
        <v>89</v>
      </c>
      <c r="AD542" t="s">
        <v>89</v>
      </c>
      <c r="AE542" t="s">
        <v>3652</v>
      </c>
      <c r="AF542" s="4"/>
    </row>
    <row r="543" spans="1:32">
      <c r="A543" t="s">
        <v>10320</v>
      </c>
      <c r="B543" t="s">
        <v>2193</v>
      </c>
      <c r="C543" t="s">
        <v>1115</v>
      </c>
      <c r="D543" t="s">
        <v>29</v>
      </c>
      <c r="E543">
        <v>4400861580</v>
      </c>
      <c r="F543" t="s">
        <v>1114</v>
      </c>
      <c r="G543">
        <v>1135</v>
      </c>
      <c r="I543">
        <v>1135</v>
      </c>
      <c r="J543">
        <v>1135</v>
      </c>
      <c r="K543" s="4">
        <v>45404</v>
      </c>
      <c r="L543" s="4">
        <v>45404</v>
      </c>
      <c r="M543">
        <v>2024</v>
      </c>
      <c r="N543">
        <v>4</v>
      </c>
      <c r="O543" s="4">
        <v>45383</v>
      </c>
      <c r="P543" t="s">
        <v>89</v>
      </c>
      <c r="Q543" s="4"/>
      <c r="S543" t="s">
        <v>4719</v>
      </c>
      <c r="X543" t="s">
        <v>6467</v>
      </c>
      <c r="Z543" t="s">
        <v>89</v>
      </c>
      <c r="AA543" t="s">
        <v>89</v>
      </c>
      <c r="AC543" t="s">
        <v>89</v>
      </c>
      <c r="AD543" t="s">
        <v>89</v>
      </c>
      <c r="AE543" t="s">
        <v>3652</v>
      </c>
      <c r="AF543" s="4"/>
    </row>
    <row r="544" spans="1:32">
      <c r="A544" t="s">
        <v>10321</v>
      </c>
      <c r="B544" t="s">
        <v>2193</v>
      </c>
      <c r="C544" t="s">
        <v>1113</v>
      </c>
      <c r="D544" t="s">
        <v>29</v>
      </c>
      <c r="E544">
        <v>4400854358</v>
      </c>
      <c r="F544" t="s">
        <v>1112</v>
      </c>
      <c r="G544">
        <v>29720</v>
      </c>
      <c r="I544">
        <v>29720</v>
      </c>
      <c r="J544">
        <v>29720</v>
      </c>
      <c r="K544" s="4">
        <v>45404</v>
      </c>
      <c r="L544" s="4">
        <v>45404</v>
      </c>
      <c r="M544">
        <v>2024</v>
      </c>
      <c r="N544">
        <v>4</v>
      </c>
      <c r="O544" s="4">
        <v>45383</v>
      </c>
      <c r="P544" t="s">
        <v>89</v>
      </c>
      <c r="Q544" s="4"/>
      <c r="S544" t="s">
        <v>7834</v>
      </c>
      <c r="X544" t="s">
        <v>2369</v>
      </c>
      <c r="Z544" t="s">
        <v>89</v>
      </c>
      <c r="AA544" t="s">
        <v>89</v>
      </c>
      <c r="AC544" t="s">
        <v>89</v>
      </c>
      <c r="AD544" t="s">
        <v>89</v>
      </c>
      <c r="AE544" t="s">
        <v>3652</v>
      </c>
      <c r="AF544" s="4"/>
    </row>
    <row r="545" spans="1:32">
      <c r="A545" t="s">
        <v>10322</v>
      </c>
      <c r="B545" t="s">
        <v>2193</v>
      </c>
      <c r="C545" t="s">
        <v>1111</v>
      </c>
      <c r="D545" t="s">
        <v>29</v>
      </c>
      <c r="E545">
        <v>4400847885</v>
      </c>
      <c r="F545" t="s">
        <v>1110</v>
      </c>
      <c r="G545">
        <v>76550</v>
      </c>
      <c r="I545">
        <v>76550</v>
      </c>
      <c r="J545">
        <v>76550</v>
      </c>
      <c r="K545" s="4">
        <v>45404</v>
      </c>
      <c r="L545" s="4">
        <v>45404</v>
      </c>
      <c r="M545">
        <v>2024</v>
      </c>
      <c r="N545">
        <v>4</v>
      </c>
      <c r="O545" s="4">
        <v>45383</v>
      </c>
      <c r="P545" t="s">
        <v>89</v>
      </c>
      <c r="Q545" s="4"/>
      <c r="S545" t="s">
        <v>2737</v>
      </c>
      <c r="X545" t="s">
        <v>3681</v>
      </c>
      <c r="Z545" t="s">
        <v>89</v>
      </c>
      <c r="AA545" t="s">
        <v>89</v>
      </c>
      <c r="AC545" t="s">
        <v>89</v>
      </c>
      <c r="AD545" t="s">
        <v>89</v>
      </c>
      <c r="AE545" t="s">
        <v>3652</v>
      </c>
      <c r="AF545" s="4"/>
    </row>
    <row r="546" spans="1:32">
      <c r="A546" t="s">
        <v>10323</v>
      </c>
      <c r="B546" t="s">
        <v>2193</v>
      </c>
      <c r="C546" t="s">
        <v>1109</v>
      </c>
      <c r="D546" t="s">
        <v>29</v>
      </c>
      <c r="E546">
        <v>4400847883</v>
      </c>
      <c r="F546" t="s">
        <v>1108</v>
      </c>
      <c r="G546">
        <v>78412</v>
      </c>
      <c r="I546">
        <v>78412</v>
      </c>
      <c r="J546">
        <v>78412</v>
      </c>
      <c r="K546" s="4">
        <v>45404</v>
      </c>
      <c r="L546" s="4">
        <v>45404</v>
      </c>
      <c r="M546">
        <v>2024</v>
      </c>
      <c r="N546">
        <v>4</v>
      </c>
      <c r="O546" s="4">
        <v>45383</v>
      </c>
      <c r="P546" t="s">
        <v>89</v>
      </c>
      <c r="Q546" s="4"/>
      <c r="S546" t="s">
        <v>2637</v>
      </c>
      <c r="X546" t="s">
        <v>3681</v>
      </c>
      <c r="Z546" t="s">
        <v>89</v>
      </c>
      <c r="AA546" t="s">
        <v>89</v>
      </c>
      <c r="AC546" t="s">
        <v>89</v>
      </c>
      <c r="AD546" t="s">
        <v>89</v>
      </c>
      <c r="AE546" t="s">
        <v>3652</v>
      </c>
      <c r="AF546" s="4"/>
    </row>
    <row r="547" spans="1:32">
      <c r="A547" t="s">
        <v>10324</v>
      </c>
      <c r="B547" t="s">
        <v>2193</v>
      </c>
      <c r="C547" t="s">
        <v>1107</v>
      </c>
      <c r="D547" t="s">
        <v>29</v>
      </c>
      <c r="E547">
        <v>4400843868</v>
      </c>
      <c r="F547" t="s">
        <v>1106</v>
      </c>
      <c r="G547">
        <v>98189</v>
      </c>
      <c r="I547">
        <v>98189</v>
      </c>
      <c r="J547">
        <v>98189</v>
      </c>
      <c r="K547" s="4">
        <v>45404</v>
      </c>
      <c r="L547" s="4">
        <v>45404</v>
      </c>
      <c r="M547">
        <v>2024</v>
      </c>
      <c r="N547">
        <v>4</v>
      </c>
      <c r="O547" s="4">
        <v>45383</v>
      </c>
      <c r="P547" t="s">
        <v>89</v>
      </c>
      <c r="Q547" s="4"/>
      <c r="S547" t="s">
        <v>2714</v>
      </c>
      <c r="X547" t="s">
        <v>3932</v>
      </c>
      <c r="Z547" t="s">
        <v>89</v>
      </c>
      <c r="AA547" t="s">
        <v>89</v>
      </c>
      <c r="AC547" t="s">
        <v>89</v>
      </c>
      <c r="AD547" t="s">
        <v>89</v>
      </c>
      <c r="AE547" t="s">
        <v>3652</v>
      </c>
      <c r="AF547" s="4"/>
    </row>
    <row r="548" spans="1:32">
      <c r="A548" t="s">
        <v>10325</v>
      </c>
      <c r="B548" t="s">
        <v>2193</v>
      </c>
      <c r="C548" t="s">
        <v>1105</v>
      </c>
      <c r="D548" t="s">
        <v>29</v>
      </c>
      <c r="E548">
        <v>4400843883</v>
      </c>
      <c r="F548" t="s">
        <v>1104</v>
      </c>
      <c r="G548">
        <v>69307</v>
      </c>
      <c r="I548">
        <v>69307</v>
      </c>
      <c r="J548">
        <v>69307</v>
      </c>
      <c r="K548" s="4">
        <v>45404</v>
      </c>
      <c r="L548" s="4">
        <v>45404</v>
      </c>
      <c r="M548">
        <v>2024</v>
      </c>
      <c r="N548">
        <v>4</v>
      </c>
      <c r="O548" s="4">
        <v>45383</v>
      </c>
      <c r="P548" t="s">
        <v>89</v>
      </c>
      <c r="Q548" s="4"/>
      <c r="S548" t="s">
        <v>2723</v>
      </c>
      <c r="X548" t="s">
        <v>6467</v>
      </c>
      <c r="Z548" t="s">
        <v>89</v>
      </c>
      <c r="AA548" t="s">
        <v>89</v>
      </c>
      <c r="AC548" t="s">
        <v>89</v>
      </c>
      <c r="AD548" t="s">
        <v>89</v>
      </c>
      <c r="AE548" t="s">
        <v>3652</v>
      </c>
      <c r="AF548" s="4"/>
    </row>
    <row r="549" spans="1:32">
      <c r="A549" t="s">
        <v>10326</v>
      </c>
      <c r="B549" t="s">
        <v>2193</v>
      </c>
      <c r="C549" t="s">
        <v>1103</v>
      </c>
      <c r="D549" t="s">
        <v>29</v>
      </c>
      <c r="E549">
        <v>4400843882</v>
      </c>
      <c r="F549" t="s">
        <v>1102</v>
      </c>
      <c r="G549">
        <v>69307</v>
      </c>
      <c r="I549">
        <v>69307</v>
      </c>
      <c r="J549">
        <v>69307</v>
      </c>
      <c r="K549" s="4">
        <v>45404</v>
      </c>
      <c r="L549" s="4">
        <v>45404</v>
      </c>
      <c r="M549">
        <v>2024</v>
      </c>
      <c r="N549">
        <v>4</v>
      </c>
      <c r="O549" s="4">
        <v>45383</v>
      </c>
      <c r="P549" t="s">
        <v>89</v>
      </c>
      <c r="Q549" s="4"/>
      <c r="S549" t="s">
        <v>2721</v>
      </c>
      <c r="X549" t="s">
        <v>6467</v>
      </c>
      <c r="Z549" t="s">
        <v>89</v>
      </c>
      <c r="AA549" t="s">
        <v>89</v>
      </c>
      <c r="AC549" t="s">
        <v>89</v>
      </c>
      <c r="AD549" t="s">
        <v>89</v>
      </c>
      <c r="AE549" t="s">
        <v>3652</v>
      </c>
      <c r="AF549" s="4"/>
    </row>
    <row r="550" spans="1:32">
      <c r="B550" t="s">
        <v>2193</v>
      </c>
      <c r="C550" t="s">
        <v>1101</v>
      </c>
      <c r="D550" t="s">
        <v>29</v>
      </c>
      <c r="E550">
        <v>4400843881</v>
      </c>
      <c r="F550" t="s">
        <v>1100</v>
      </c>
      <c r="G550">
        <v>69307</v>
      </c>
      <c r="I550">
        <v>69307</v>
      </c>
      <c r="J550">
        <v>69307</v>
      </c>
      <c r="K550" s="4">
        <v>45404</v>
      </c>
      <c r="L550" s="4">
        <v>45404</v>
      </c>
      <c r="M550">
        <v>2024</v>
      </c>
      <c r="N550">
        <v>4</v>
      </c>
      <c r="O550" s="4">
        <v>45383</v>
      </c>
      <c r="P550" t="s">
        <v>89</v>
      </c>
      <c r="Q550" s="4"/>
      <c r="S550" t="s">
        <v>2719</v>
      </c>
      <c r="X550" t="s">
        <v>6467</v>
      </c>
      <c r="Z550" t="s">
        <v>89</v>
      </c>
      <c r="AA550" t="s">
        <v>89</v>
      </c>
      <c r="AC550" t="s">
        <v>89</v>
      </c>
      <c r="AD550" t="s">
        <v>89</v>
      </c>
      <c r="AE550" t="s">
        <v>3652</v>
      </c>
      <c r="AF550" s="4"/>
    </row>
    <row r="551" spans="1:32">
      <c r="B551" t="s">
        <v>2193</v>
      </c>
      <c r="C551" t="s">
        <v>1099</v>
      </c>
      <c r="D551" t="s">
        <v>29</v>
      </c>
      <c r="E551">
        <v>4400842761</v>
      </c>
      <c r="F551" t="s">
        <v>1098</v>
      </c>
      <c r="G551">
        <v>75453</v>
      </c>
      <c r="I551">
        <v>75453</v>
      </c>
      <c r="J551">
        <v>75453</v>
      </c>
      <c r="K551" s="4">
        <v>45404</v>
      </c>
      <c r="L551" s="4">
        <v>45404</v>
      </c>
      <c r="M551">
        <v>2024</v>
      </c>
      <c r="N551">
        <v>4</v>
      </c>
      <c r="O551" s="4">
        <v>45383</v>
      </c>
      <c r="P551" t="s">
        <v>89</v>
      </c>
      <c r="Q551" s="4"/>
      <c r="S551" t="s">
        <v>2689</v>
      </c>
      <c r="X551" t="s">
        <v>3932</v>
      </c>
      <c r="Z551" t="s">
        <v>89</v>
      </c>
      <c r="AA551" t="s">
        <v>89</v>
      </c>
      <c r="AC551" t="s">
        <v>89</v>
      </c>
      <c r="AD551" t="s">
        <v>89</v>
      </c>
      <c r="AE551" t="s">
        <v>3652</v>
      </c>
      <c r="AF551" s="4"/>
    </row>
    <row r="552" spans="1:32">
      <c r="B552" t="s">
        <v>2193</v>
      </c>
      <c r="C552" t="s">
        <v>1097</v>
      </c>
      <c r="D552" t="s">
        <v>29</v>
      </c>
      <c r="E552">
        <v>4400842850</v>
      </c>
      <c r="F552" t="s">
        <v>1096</v>
      </c>
      <c r="G552">
        <v>75453</v>
      </c>
      <c r="I552">
        <v>75453</v>
      </c>
      <c r="J552">
        <v>75453</v>
      </c>
      <c r="K552" s="4">
        <v>45404</v>
      </c>
      <c r="L552" s="4">
        <v>45404</v>
      </c>
      <c r="M552">
        <v>2024</v>
      </c>
      <c r="N552">
        <v>4</v>
      </c>
      <c r="O552" s="4">
        <v>45383</v>
      </c>
      <c r="P552" t="s">
        <v>89</v>
      </c>
      <c r="Q552" s="4"/>
      <c r="S552" t="s">
        <v>2693</v>
      </c>
      <c r="X552" t="s">
        <v>3932</v>
      </c>
      <c r="Z552" t="s">
        <v>89</v>
      </c>
      <c r="AA552" t="s">
        <v>89</v>
      </c>
      <c r="AC552" t="s">
        <v>89</v>
      </c>
      <c r="AD552" t="s">
        <v>89</v>
      </c>
      <c r="AE552" t="s">
        <v>3652</v>
      </c>
      <c r="AF552" s="4"/>
    </row>
    <row r="553" spans="1:32">
      <c r="B553" t="s">
        <v>2193</v>
      </c>
      <c r="C553" t="s">
        <v>1119</v>
      </c>
      <c r="D553" t="s">
        <v>29</v>
      </c>
      <c r="E553">
        <v>4400842788</v>
      </c>
      <c r="F553" t="s">
        <v>1118</v>
      </c>
      <c r="G553">
        <v>70646</v>
      </c>
      <c r="I553">
        <v>70646</v>
      </c>
      <c r="J553">
        <v>70646</v>
      </c>
      <c r="K553" s="4">
        <v>45404</v>
      </c>
      <c r="L553" s="4">
        <v>45404</v>
      </c>
      <c r="M553">
        <v>2024</v>
      </c>
      <c r="N553">
        <v>4</v>
      </c>
      <c r="O553" s="4">
        <v>45383</v>
      </c>
      <c r="P553" t="s">
        <v>89</v>
      </c>
      <c r="Q553" s="4"/>
      <c r="S553" t="s">
        <v>2691</v>
      </c>
      <c r="X553" t="s">
        <v>3932</v>
      </c>
      <c r="Z553" t="s">
        <v>89</v>
      </c>
      <c r="AA553" t="s">
        <v>89</v>
      </c>
      <c r="AC553" t="s">
        <v>89</v>
      </c>
      <c r="AD553" t="s">
        <v>89</v>
      </c>
      <c r="AE553" t="s">
        <v>3652</v>
      </c>
      <c r="AF553" s="4"/>
    </row>
    <row r="554" spans="1:32">
      <c r="B554" t="s">
        <v>2193</v>
      </c>
      <c r="C554" t="s">
        <v>1095</v>
      </c>
      <c r="D554" t="s">
        <v>29</v>
      </c>
      <c r="E554">
        <v>4400842747</v>
      </c>
      <c r="F554" t="s">
        <v>1094</v>
      </c>
      <c r="G554">
        <v>75453</v>
      </c>
      <c r="I554">
        <v>75453</v>
      </c>
      <c r="J554">
        <v>75453</v>
      </c>
      <c r="K554" s="4">
        <v>45404</v>
      </c>
      <c r="L554" s="4">
        <v>45404</v>
      </c>
      <c r="M554">
        <v>2024</v>
      </c>
      <c r="N554">
        <v>4</v>
      </c>
      <c r="O554" s="4">
        <v>45383</v>
      </c>
      <c r="P554" t="s">
        <v>89</v>
      </c>
      <c r="Q554" s="4"/>
      <c r="S554" t="s">
        <v>2685</v>
      </c>
      <c r="X554" t="s">
        <v>3932</v>
      </c>
      <c r="Z554" t="s">
        <v>89</v>
      </c>
      <c r="AA554" t="s">
        <v>89</v>
      </c>
      <c r="AC554" t="s">
        <v>89</v>
      </c>
      <c r="AD554" t="s">
        <v>89</v>
      </c>
      <c r="AE554" t="s">
        <v>3652</v>
      </c>
      <c r="AF554" s="4"/>
    </row>
    <row r="555" spans="1:32">
      <c r="B555" t="s">
        <v>2193</v>
      </c>
      <c r="C555" t="s">
        <v>1093</v>
      </c>
      <c r="D555" t="s">
        <v>29</v>
      </c>
      <c r="E555">
        <v>4400837526</v>
      </c>
      <c r="F555" t="s">
        <v>1092</v>
      </c>
      <c r="G555">
        <v>75453</v>
      </c>
      <c r="I555">
        <v>75453</v>
      </c>
      <c r="J555">
        <v>75453</v>
      </c>
      <c r="K555" s="4">
        <v>45404</v>
      </c>
      <c r="L555" s="4">
        <v>45404</v>
      </c>
      <c r="M555">
        <v>2024</v>
      </c>
      <c r="N555">
        <v>4</v>
      </c>
      <c r="O555" s="4">
        <v>45383</v>
      </c>
      <c r="P555" t="s">
        <v>89</v>
      </c>
      <c r="Q555" s="4"/>
      <c r="S555" t="s">
        <v>2669</v>
      </c>
      <c r="X555" t="s">
        <v>3932</v>
      </c>
      <c r="Z555" t="s">
        <v>89</v>
      </c>
      <c r="AA555" t="s">
        <v>89</v>
      </c>
      <c r="AC555" t="s">
        <v>89</v>
      </c>
      <c r="AD555" t="s">
        <v>89</v>
      </c>
      <c r="AE555" t="s">
        <v>3652</v>
      </c>
      <c r="AF555" s="4"/>
    </row>
    <row r="556" spans="1:32">
      <c r="B556" t="s">
        <v>2193</v>
      </c>
      <c r="C556" t="s">
        <v>1091</v>
      </c>
      <c r="D556" t="s">
        <v>29</v>
      </c>
      <c r="E556">
        <v>4400824167</v>
      </c>
      <c r="F556" t="s">
        <v>1090</v>
      </c>
      <c r="G556">
        <v>1135</v>
      </c>
      <c r="I556">
        <v>1135</v>
      </c>
      <c r="J556">
        <v>1135</v>
      </c>
      <c r="K556" s="4">
        <v>45404</v>
      </c>
      <c r="L556" s="4">
        <v>45404</v>
      </c>
      <c r="M556">
        <v>2024</v>
      </c>
      <c r="N556">
        <v>4</v>
      </c>
      <c r="O556" s="4">
        <v>45383</v>
      </c>
      <c r="P556" t="s">
        <v>89</v>
      </c>
      <c r="Q556" s="4"/>
      <c r="S556" t="s">
        <v>2641</v>
      </c>
      <c r="X556" t="s">
        <v>3911</v>
      </c>
      <c r="Z556" t="s">
        <v>89</v>
      </c>
      <c r="AA556" t="s">
        <v>89</v>
      </c>
      <c r="AC556" t="s">
        <v>89</v>
      </c>
      <c r="AD556" t="s">
        <v>89</v>
      </c>
      <c r="AE556" t="s">
        <v>3652</v>
      </c>
      <c r="AF556" s="4"/>
    </row>
    <row r="557" spans="1:32">
      <c r="B557" t="s">
        <v>2193</v>
      </c>
      <c r="C557" t="s">
        <v>1089</v>
      </c>
      <c r="D557" t="s">
        <v>29</v>
      </c>
      <c r="E557">
        <v>4400824162</v>
      </c>
      <c r="F557" t="s">
        <v>1088</v>
      </c>
      <c r="G557">
        <v>1135</v>
      </c>
      <c r="I557">
        <v>1135</v>
      </c>
      <c r="J557">
        <v>1135</v>
      </c>
      <c r="K557" s="4">
        <v>45404</v>
      </c>
      <c r="L557" s="4">
        <v>45404</v>
      </c>
      <c r="M557">
        <v>2024</v>
      </c>
      <c r="N557">
        <v>4</v>
      </c>
      <c r="O557" s="4">
        <v>45383</v>
      </c>
      <c r="P557" t="s">
        <v>89</v>
      </c>
      <c r="Q557" s="4"/>
      <c r="S557" t="s">
        <v>2637</v>
      </c>
      <c r="X557" t="s">
        <v>3681</v>
      </c>
      <c r="Z557" t="s">
        <v>89</v>
      </c>
      <c r="AA557" t="s">
        <v>89</v>
      </c>
      <c r="AC557" t="s">
        <v>89</v>
      </c>
      <c r="AD557" t="s">
        <v>89</v>
      </c>
      <c r="AE557" t="s">
        <v>3652</v>
      </c>
      <c r="AF557" s="4"/>
    </row>
    <row r="558" spans="1:32">
      <c r="B558" t="s">
        <v>2193</v>
      </c>
      <c r="C558" t="s">
        <v>1087</v>
      </c>
      <c r="D558" t="s">
        <v>29</v>
      </c>
      <c r="E558">
        <v>4400824054</v>
      </c>
      <c r="F558" t="s">
        <v>1086</v>
      </c>
      <c r="G558">
        <v>1135</v>
      </c>
      <c r="I558">
        <v>1135</v>
      </c>
      <c r="J558">
        <v>1135</v>
      </c>
      <c r="K558" s="4">
        <v>45404</v>
      </c>
      <c r="L558" s="4">
        <v>45404</v>
      </c>
      <c r="M558">
        <v>2024</v>
      </c>
      <c r="N558">
        <v>4</v>
      </c>
      <c r="O558" s="4">
        <v>45383</v>
      </c>
      <c r="P558" t="s">
        <v>89</v>
      </c>
      <c r="Q558" s="4"/>
      <c r="S558" t="s">
        <v>2627</v>
      </c>
      <c r="X558" t="s">
        <v>4102</v>
      </c>
      <c r="Z558" t="s">
        <v>89</v>
      </c>
      <c r="AA558" t="s">
        <v>89</v>
      </c>
      <c r="AC558" t="s">
        <v>89</v>
      </c>
      <c r="AD558" t="s">
        <v>89</v>
      </c>
      <c r="AE558" t="s">
        <v>3652</v>
      </c>
      <c r="AF558" s="4"/>
    </row>
    <row r="559" spans="1:32">
      <c r="B559" t="s">
        <v>2193</v>
      </c>
      <c r="C559" t="s">
        <v>1085</v>
      </c>
      <c r="D559" t="s">
        <v>29</v>
      </c>
      <c r="E559">
        <v>4400820281</v>
      </c>
      <c r="F559" t="s">
        <v>1084</v>
      </c>
      <c r="G559">
        <v>3799</v>
      </c>
      <c r="I559">
        <v>3799</v>
      </c>
      <c r="J559">
        <v>3799</v>
      </c>
      <c r="K559" s="4">
        <v>45404</v>
      </c>
      <c r="L559" s="4">
        <v>45404</v>
      </c>
      <c r="M559">
        <v>2024</v>
      </c>
      <c r="N559">
        <v>4</v>
      </c>
      <c r="O559" s="4">
        <v>45383</v>
      </c>
      <c r="P559" t="s">
        <v>89</v>
      </c>
      <c r="Q559" s="4"/>
      <c r="S559" t="s">
        <v>2606</v>
      </c>
      <c r="X559" t="s">
        <v>3932</v>
      </c>
      <c r="Z559" t="s">
        <v>89</v>
      </c>
      <c r="AA559" t="s">
        <v>89</v>
      </c>
      <c r="AC559" t="s">
        <v>89</v>
      </c>
      <c r="AD559" t="s">
        <v>89</v>
      </c>
      <c r="AE559" t="s">
        <v>3652</v>
      </c>
      <c r="AF559" s="4"/>
    </row>
    <row r="560" spans="1:32">
      <c r="B560" t="s">
        <v>2193</v>
      </c>
      <c r="C560" t="s">
        <v>1083</v>
      </c>
      <c r="D560" t="s">
        <v>29</v>
      </c>
      <c r="E560">
        <v>4400819975</v>
      </c>
      <c r="F560" t="s">
        <v>1082</v>
      </c>
      <c r="G560">
        <v>1135</v>
      </c>
      <c r="I560">
        <v>1135</v>
      </c>
      <c r="J560">
        <v>1135</v>
      </c>
      <c r="K560" s="4">
        <v>45404</v>
      </c>
      <c r="L560" s="4">
        <v>45404</v>
      </c>
      <c r="M560">
        <v>2024</v>
      </c>
      <c r="N560">
        <v>4</v>
      </c>
      <c r="O560" s="4">
        <v>45383</v>
      </c>
      <c r="P560" t="s">
        <v>89</v>
      </c>
      <c r="Q560" s="4"/>
      <c r="S560" t="s">
        <v>2594</v>
      </c>
      <c r="X560" t="s">
        <v>4102</v>
      </c>
      <c r="Z560" t="s">
        <v>89</v>
      </c>
      <c r="AA560" t="s">
        <v>89</v>
      </c>
      <c r="AC560" t="s">
        <v>89</v>
      </c>
      <c r="AD560" t="s">
        <v>89</v>
      </c>
      <c r="AE560" t="s">
        <v>3652</v>
      </c>
      <c r="AF560" s="4"/>
    </row>
    <row r="561" spans="1:32">
      <c r="B561" t="s">
        <v>2193</v>
      </c>
      <c r="C561" t="s">
        <v>1080</v>
      </c>
      <c r="D561" t="s">
        <v>29</v>
      </c>
      <c r="E561">
        <v>4400821520</v>
      </c>
      <c r="F561" t="s">
        <v>1079</v>
      </c>
      <c r="G561">
        <v>1135</v>
      </c>
      <c r="I561">
        <v>1135</v>
      </c>
      <c r="J561">
        <v>1135</v>
      </c>
      <c r="K561" s="4">
        <v>45404</v>
      </c>
      <c r="L561" s="4">
        <v>45404</v>
      </c>
      <c r="M561">
        <v>2024</v>
      </c>
      <c r="N561">
        <v>4</v>
      </c>
      <c r="O561" s="4">
        <v>45383</v>
      </c>
      <c r="P561" t="s">
        <v>89</v>
      </c>
      <c r="Q561" s="4"/>
      <c r="S561" t="s">
        <v>2606</v>
      </c>
      <c r="X561" t="s">
        <v>3932</v>
      </c>
      <c r="Z561" t="s">
        <v>89</v>
      </c>
      <c r="AA561" t="s">
        <v>89</v>
      </c>
      <c r="AC561" t="s">
        <v>89</v>
      </c>
      <c r="AD561" t="s">
        <v>89</v>
      </c>
      <c r="AE561" t="s">
        <v>3652</v>
      </c>
      <c r="AF561" s="4"/>
    </row>
    <row r="562" spans="1:32">
      <c r="B562" t="s">
        <v>2193</v>
      </c>
      <c r="C562" t="s">
        <v>1068</v>
      </c>
      <c r="D562" t="s">
        <v>29</v>
      </c>
      <c r="E562">
        <v>4400853946</v>
      </c>
      <c r="F562" t="s">
        <v>1067</v>
      </c>
      <c r="G562">
        <v>3799</v>
      </c>
      <c r="I562">
        <v>3799</v>
      </c>
      <c r="J562">
        <v>3799</v>
      </c>
      <c r="K562" s="4">
        <v>45393</v>
      </c>
      <c r="L562" s="4">
        <v>45393</v>
      </c>
      <c r="M562">
        <v>2024</v>
      </c>
      <c r="N562">
        <v>4</v>
      </c>
      <c r="O562" s="4">
        <v>45383</v>
      </c>
      <c r="P562" t="s">
        <v>89</v>
      </c>
      <c r="Q562" s="4"/>
      <c r="S562" t="s">
        <v>2610</v>
      </c>
      <c r="X562" t="s">
        <v>2369</v>
      </c>
      <c r="Z562" t="s">
        <v>89</v>
      </c>
      <c r="AA562" t="s">
        <v>89</v>
      </c>
      <c r="AC562" t="s">
        <v>89</v>
      </c>
      <c r="AD562" t="s">
        <v>89</v>
      </c>
      <c r="AE562" t="s">
        <v>3652</v>
      </c>
      <c r="AF562" s="4"/>
    </row>
    <row r="563" spans="1:32">
      <c r="B563" t="s">
        <v>2193</v>
      </c>
      <c r="C563" t="s">
        <v>1066</v>
      </c>
      <c r="D563" t="s">
        <v>29</v>
      </c>
      <c r="E563">
        <v>4400816699</v>
      </c>
      <c r="F563" t="s">
        <v>1065</v>
      </c>
      <c r="G563">
        <v>1296</v>
      </c>
      <c r="I563">
        <v>1296</v>
      </c>
      <c r="J563">
        <v>1296</v>
      </c>
      <c r="K563" s="4">
        <v>45393</v>
      </c>
      <c r="L563" s="4">
        <v>45393</v>
      </c>
      <c r="M563">
        <v>2024</v>
      </c>
      <c r="N563">
        <v>4</v>
      </c>
      <c r="O563" s="4">
        <v>45383</v>
      </c>
      <c r="P563" t="s">
        <v>89</v>
      </c>
      <c r="Q563" s="4"/>
      <c r="S563" t="s">
        <v>2630</v>
      </c>
      <c r="X563" t="s">
        <v>2369</v>
      </c>
      <c r="Z563" t="s">
        <v>89</v>
      </c>
      <c r="AA563" t="s">
        <v>89</v>
      </c>
      <c r="AC563" t="s">
        <v>89</v>
      </c>
      <c r="AD563" t="s">
        <v>89</v>
      </c>
      <c r="AE563" t="s">
        <v>3652</v>
      </c>
      <c r="AF563" s="4"/>
    </row>
    <row r="564" spans="1:32">
      <c r="B564" t="s">
        <v>2193</v>
      </c>
      <c r="C564" t="s">
        <v>1063</v>
      </c>
      <c r="D564" t="s">
        <v>29</v>
      </c>
      <c r="E564">
        <v>4400854379</v>
      </c>
      <c r="F564" t="s">
        <v>1062</v>
      </c>
      <c r="G564">
        <v>29941</v>
      </c>
      <c r="I564">
        <v>29941</v>
      </c>
      <c r="J564">
        <v>29941</v>
      </c>
      <c r="K564" s="4">
        <v>45393</v>
      </c>
      <c r="L564" s="4">
        <v>45393</v>
      </c>
      <c r="M564">
        <v>2024</v>
      </c>
      <c r="N564">
        <v>4</v>
      </c>
      <c r="O564" s="4">
        <v>45383</v>
      </c>
      <c r="P564" t="s">
        <v>89</v>
      </c>
      <c r="Q564" s="4"/>
      <c r="S564" t="s">
        <v>7800</v>
      </c>
      <c r="X564" t="s">
        <v>2369</v>
      </c>
      <c r="Z564" t="s">
        <v>89</v>
      </c>
      <c r="AA564" t="s">
        <v>89</v>
      </c>
      <c r="AC564" t="s">
        <v>89</v>
      </c>
      <c r="AD564" t="s">
        <v>89</v>
      </c>
      <c r="AE564" t="s">
        <v>3652</v>
      </c>
      <c r="AF564" s="4"/>
    </row>
    <row r="565" spans="1:32">
      <c r="B565" t="s">
        <v>2193</v>
      </c>
      <c r="C565" t="s">
        <v>1039</v>
      </c>
      <c r="D565" t="s">
        <v>29</v>
      </c>
      <c r="E565">
        <v>4400850639</v>
      </c>
      <c r="F565" t="s">
        <v>2747</v>
      </c>
      <c r="G565">
        <v>3160</v>
      </c>
      <c r="I565">
        <v>3160</v>
      </c>
      <c r="J565">
        <v>3160</v>
      </c>
      <c r="K565" s="4">
        <v>45387</v>
      </c>
      <c r="L565" s="4">
        <v>45390</v>
      </c>
      <c r="M565">
        <v>2024</v>
      </c>
      <c r="N565">
        <v>4</v>
      </c>
      <c r="O565" s="4">
        <v>45383</v>
      </c>
      <c r="P565" t="s">
        <v>89</v>
      </c>
      <c r="Q565" s="4"/>
      <c r="S565" t="s">
        <v>2634</v>
      </c>
      <c r="X565" t="s">
        <v>3681</v>
      </c>
      <c r="Z565" t="s">
        <v>89</v>
      </c>
      <c r="AA565" t="s">
        <v>89</v>
      </c>
      <c r="AC565" t="s">
        <v>89</v>
      </c>
      <c r="AD565" t="s">
        <v>89</v>
      </c>
      <c r="AE565" t="s">
        <v>3652</v>
      </c>
      <c r="AF565" s="4"/>
    </row>
    <row r="566" spans="1:32">
      <c r="B566" t="s">
        <v>2193</v>
      </c>
      <c r="C566" t="s">
        <v>1040</v>
      </c>
      <c r="D566" t="s">
        <v>29</v>
      </c>
      <c r="E566">
        <v>4400854059</v>
      </c>
      <c r="F566" t="s">
        <v>2754</v>
      </c>
      <c r="G566">
        <v>1135</v>
      </c>
      <c r="I566">
        <v>1135</v>
      </c>
      <c r="J566">
        <v>1135</v>
      </c>
      <c r="K566" s="4">
        <v>45387</v>
      </c>
      <c r="L566" s="4">
        <v>45390</v>
      </c>
      <c r="M566">
        <v>2024</v>
      </c>
      <c r="N566">
        <v>4</v>
      </c>
      <c r="O566" s="4">
        <v>45383</v>
      </c>
      <c r="P566" t="s">
        <v>89</v>
      </c>
      <c r="Q566" s="4"/>
      <c r="S566" t="s">
        <v>1041</v>
      </c>
      <c r="X566" t="s">
        <v>10</v>
      </c>
      <c r="Z566" t="s">
        <v>89</v>
      </c>
      <c r="AA566" t="s">
        <v>89</v>
      </c>
      <c r="AC566" t="s">
        <v>89</v>
      </c>
      <c r="AD566" t="s">
        <v>89</v>
      </c>
      <c r="AE566" t="s">
        <v>3652</v>
      </c>
      <c r="AF566" s="4"/>
    </row>
    <row r="567" spans="1:32">
      <c r="B567" t="s">
        <v>2193</v>
      </c>
      <c r="C567" t="s">
        <v>1037</v>
      </c>
      <c r="D567" t="s">
        <v>29</v>
      </c>
      <c r="E567">
        <v>4400833162</v>
      </c>
      <c r="F567" t="s">
        <v>10327</v>
      </c>
      <c r="G567">
        <v>3572</v>
      </c>
      <c r="I567">
        <v>3572</v>
      </c>
      <c r="J567">
        <v>3572</v>
      </c>
      <c r="K567" s="4">
        <v>45387</v>
      </c>
      <c r="L567" s="4">
        <v>45390</v>
      </c>
      <c r="M567">
        <v>2024</v>
      </c>
      <c r="N567">
        <v>4</v>
      </c>
      <c r="O567" s="4">
        <v>45383</v>
      </c>
      <c r="P567" t="s">
        <v>89</v>
      </c>
      <c r="Q567" s="4"/>
      <c r="S567" t="s">
        <v>2654</v>
      </c>
      <c r="X567" t="s">
        <v>2369</v>
      </c>
      <c r="Z567" t="s">
        <v>89</v>
      </c>
      <c r="AA567" t="s">
        <v>89</v>
      </c>
      <c r="AC567" t="s">
        <v>89</v>
      </c>
      <c r="AD567" t="s">
        <v>89</v>
      </c>
      <c r="AE567" t="s">
        <v>3652</v>
      </c>
      <c r="AF567" s="4"/>
    </row>
    <row r="568" spans="1:32">
      <c r="B568" t="s">
        <v>2193</v>
      </c>
      <c r="C568" t="s">
        <v>1038</v>
      </c>
      <c r="D568" t="s">
        <v>29</v>
      </c>
      <c r="E568">
        <v>4400837575</v>
      </c>
      <c r="F568" t="s">
        <v>2675</v>
      </c>
      <c r="G568">
        <v>25371</v>
      </c>
      <c r="I568">
        <v>25371</v>
      </c>
      <c r="J568">
        <v>25371</v>
      </c>
      <c r="K568" s="4">
        <v>45387</v>
      </c>
      <c r="L568" s="4">
        <v>45390</v>
      </c>
      <c r="M568">
        <v>2024</v>
      </c>
      <c r="N568">
        <v>4</v>
      </c>
      <c r="O568" s="4">
        <v>45383</v>
      </c>
      <c r="P568" t="s">
        <v>89</v>
      </c>
      <c r="Q568" s="4"/>
      <c r="S568" t="s">
        <v>2585</v>
      </c>
      <c r="X568" t="s">
        <v>3681</v>
      </c>
      <c r="Z568" t="s">
        <v>89</v>
      </c>
      <c r="AA568" t="s">
        <v>89</v>
      </c>
      <c r="AC568" t="s">
        <v>89</v>
      </c>
      <c r="AD568" t="s">
        <v>89</v>
      </c>
      <c r="AE568" t="s">
        <v>3652</v>
      </c>
      <c r="AF568" s="4"/>
    </row>
    <row r="569" spans="1:32">
      <c r="B569" t="s">
        <v>2193</v>
      </c>
      <c r="C569" t="s">
        <v>1036</v>
      </c>
      <c r="D569" t="s">
        <v>29</v>
      </c>
      <c r="E569">
        <v>4400824191</v>
      </c>
      <c r="F569" t="s">
        <v>2646</v>
      </c>
      <c r="G569">
        <v>1135</v>
      </c>
      <c r="I569">
        <v>1135</v>
      </c>
      <c r="J569">
        <v>1135</v>
      </c>
      <c r="K569" s="4">
        <v>45387</v>
      </c>
      <c r="L569" s="4">
        <v>45390</v>
      </c>
      <c r="M569">
        <v>2024</v>
      </c>
      <c r="N569">
        <v>4</v>
      </c>
      <c r="O569" s="4">
        <v>45383</v>
      </c>
      <c r="P569" t="s">
        <v>89</v>
      </c>
      <c r="Q569" s="4"/>
      <c r="S569" t="s">
        <v>2645</v>
      </c>
      <c r="X569" t="s">
        <v>10</v>
      </c>
      <c r="Z569" t="s">
        <v>89</v>
      </c>
      <c r="AA569" t="s">
        <v>89</v>
      </c>
      <c r="AC569" t="s">
        <v>89</v>
      </c>
      <c r="AD569" t="s">
        <v>89</v>
      </c>
      <c r="AE569" t="s">
        <v>3652</v>
      </c>
      <c r="AF569" s="4"/>
    </row>
    <row r="570" spans="1:32">
      <c r="B570" t="s">
        <v>2193</v>
      </c>
      <c r="C570" t="s">
        <v>1035</v>
      </c>
      <c r="D570" t="s">
        <v>29</v>
      </c>
      <c r="E570">
        <v>4400824165</v>
      </c>
      <c r="F570" t="s">
        <v>2640</v>
      </c>
      <c r="G570">
        <v>1135</v>
      </c>
      <c r="I570">
        <v>1135</v>
      </c>
      <c r="J570">
        <v>1135</v>
      </c>
      <c r="K570" s="4">
        <v>45387</v>
      </c>
      <c r="L570" s="4">
        <v>45390</v>
      </c>
      <c r="M570">
        <v>2024</v>
      </c>
      <c r="N570">
        <v>4</v>
      </c>
      <c r="O570" s="4">
        <v>45383</v>
      </c>
      <c r="P570" t="s">
        <v>89</v>
      </c>
      <c r="Q570" s="4"/>
      <c r="S570" t="s">
        <v>1045</v>
      </c>
      <c r="X570" t="s">
        <v>10</v>
      </c>
      <c r="Z570" t="s">
        <v>89</v>
      </c>
      <c r="AA570" t="s">
        <v>89</v>
      </c>
      <c r="AC570" t="s">
        <v>89</v>
      </c>
      <c r="AD570" t="s">
        <v>89</v>
      </c>
      <c r="AE570" t="s">
        <v>3652</v>
      </c>
      <c r="AF570" s="4"/>
    </row>
    <row r="571" spans="1:32">
      <c r="A571" t="s">
        <v>10328</v>
      </c>
      <c r="B571" t="s">
        <v>2193</v>
      </c>
      <c r="C571" t="s">
        <v>1034</v>
      </c>
      <c r="D571" t="s">
        <v>29</v>
      </c>
      <c r="E571">
        <v>4400824164</v>
      </c>
      <c r="F571" t="s">
        <v>2639</v>
      </c>
      <c r="G571">
        <v>1135</v>
      </c>
      <c r="I571">
        <v>1135</v>
      </c>
      <c r="J571">
        <v>1135</v>
      </c>
      <c r="K571" s="4">
        <v>45387</v>
      </c>
      <c r="L571" s="4">
        <v>45390</v>
      </c>
      <c r="M571">
        <v>2024</v>
      </c>
      <c r="N571">
        <v>4</v>
      </c>
      <c r="O571" s="4">
        <v>45383</v>
      </c>
      <c r="P571" t="s">
        <v>89</v>
      </c>
      <c r="Q571" s="4"/>
      <c r="S571" t="s">
        <v>1043</v>
      </c>
      <c r="X571" t="s">
        <v>10</v>
      </c>
      <c r="Z571" t="s">
        <v>89</v>
      </c>
      <c r="AA571" t="s">
        <v>89</v>
      </c>
      <c r="AC571" t="s">
        <v>89</v>
      </c>
      <c r="AD571" t="s">
        <v>89</v>
      </c>
      <c r="AE571" t="s">
        <v>3652</v>
      </c>
      <c r="AF571" s="4"/>
    </row>
    <row r="572" spans="1:32">
      <c r="A572" t="s">
        <v>10329</v>
      </c>
      <c r="B572" t="s">
        <v>2193</v>
      </c>
      <c r="C572" t="s">
        <v>1032</v>
      </c>
      <c r="D572" t="s">
        <v>29</v>
      </c>
      <c r="E572">
        <v>4400819976</v>
      </c>
      <c r="F572" t="s">
        <v>2597</v>
      </c>
      <c r="G572">
        <v>1135</v>
      </c>
      <c r="I572">
        <v>1135</v>
      </c>
      <c r="J572">
        <v>1135</v>
      </c>
      <c r="K572" s="4">
        <v>45387</v>
      </c>
      <c r="L572" s="4">
        <v>45390</v>
      </c>
      <c r="M572">
        <v>2024</v>
      </c>
      <c r="N572">
        <v>4</v>
      </c>
      <c r="O572" s="4">
        <v>45383</v>
      </c>
      <c r="P572" t="s">
        <v>89</v>
      </c>
      <c r="Q572" s="4"/>
      <c r="S572" t="s">
        <v>2596</v>
      </c>
      <c r="X572" t="s">
        <v>3828</v>
      </c>
      <c r="Z572" t="s">
        <v>89</v>
      </c>
      <c r="AA572" t="s">
        <v>89</v>
      </c>
      <c r="AC572" t="s">
        <v>89</v>
      </c>
      <c r="AD572" t="s">
        <v>89</v>
      </c>
      <c r="AE572" t="s">
        <v>3652</v>
      </c>
      <c r="AF572" s="4"/>
    </row>
    <row r="573" spans="1:32">
      <c r="A573" t="s">
        <v>10330</v>
      </c>
      <c r="B573" t="s">
        <v>2193</v>
      </c>
      <c r="C573" t="s">
        <v>1056</v>
      </c>
      <c r="D573" t="s">
        <v>29</v>
      </c>
      <c r="E573">
        <v>4400859144</v>
      </c>
      <c r="F573" t="s">
        <v>1055</v>
      </c>
      <c r="G573">
        <v>27216</v>
      </c>
      <c r="I573">
        <v>27216</v>
      </c>
      <c r="J573">
        <v>27216</v>
      </c>
      <c r="K573" s="4">
        <v>45387</v>
      </c>
      <c r="L573" s="4">
        <v>45390</v>
      </c>
      <c r="M573">
        <v>2024</v>
      </c>
      <c r="N573">
        <v>4</v>
      </c>
      <c r="O573" s="4">
        <v>45383</v>
      </c>
      <c r="P573" t="s">
        <v>89</v>
      </c>
      <c r="Q573" s="4"/>
      <c r="S573" t="s">
        <v>2763</v>
      </c>
      <c r="X573" t="s">
        <v>3681</v>
      </c>
      <c r="Z573" t="s">
        <v>89</v>
      </c>
      <c r="AA573" t="s">
        <v>89</v>
      </c>
      <c r="AC573" t="s">
        <v>89</v>
      </c>
      <c r="AD573" t="s">
        <v>89</v>
      </c>
      <c r="AE573" t="s">
        <v>3652</v>
      </c>
      <c r="AF573" s="4"/>
    </row>
    <row r="574" spans="1:32">
      <c r="A574" t="s">
        <v>10331</v>
      </c>
      <c r="B574" t="s">
        <v>2193</v>
      </c>
      <c r="C574" t="s">
        <v>1054</v>
      </c>
      <c r="D574" t="s">
        <v>29</v>
      </c>
      <c r="E574">
        <v>4400859143</v>
      </c>
      <c r="F574" t="s">
        <v>1053</v>
      </c>
      <c r="G574">
        <v>27216</v>
      </c>
      <c r="I574">
        <v>27216</v>
      </c>
      <c r="J574">
        <v>27216</v>
      </c>
      <c r="K574" s="4">
        <v>45387</v>
      </c>
      <c r="L574" s="4">
        <v>45390</v>
      </c>
      <c r="M574">
        <v>2024</v>
      </c>
      <c r="N574">
        <v>4</v>
      </c>
      <c r="O574" s="4">
        <v>45383</v>
      </c>
      <c r="P574" t="s">
        <v>89</v>
      </c>
      <c r="Q574" s="4"/>
      <c r="S574" t="s">
        <v>2737</v>
      </c>
      <c r="X574" t="s">
        <v>3681</v>
      </c>
      <c r="Z574" t="s">
        <v>89</v>
      </c>
      <c r="AA574" t="s">
        <v>89</v>
      </c>
      <c r="AC574" t="s">
        <v>89</v>
      </c>
      <c r="AD574" t="s">
        <v>89</v>
      </c>
      <c r="AE574" t="s">
        <v>3652</v>
      </c>
      <c r="AF574" s="4"/>
    </row>
    <row r="575" spans="1:32">
      <c r="A575" t="s">
        <v>10332</v>
      </c>
      <c r="B575" t="s">
        <v>2193</v>
      </c>
      <c r="C575" t="s">
        <v>1052</v>
      </c>
      <c r="D575" t="s">
        <v>29</v>
      </c>
      <c r="E575">
        <v>4400858927</v>
      </c>
      <c r="F575" t="s">
        <v>1051</v>
      </c>
      <c r="G575">
        <v>27216</v>
      </c>
      <c r="I575">
        <v>27216</v>
      </c>
      <c r="J575">
        <v>27216</v>
      </c>
      <c r="K575" s="4">
        <v>45387</v>
      </c>
      <c r="L575" s="4">
        <v>45390</v>
      </c>
      <c r="M575">
        <v>2024</v>
      </c>
      <c r="N575">
        <v>4</v>
      </c>
      <c r="O575" s="4">
        <v>45383</v>
      </c>
      <c r="P575" t="s">
        <v>89</v>
      </c>
      <c r="Q575" s="4"/>
      <c r="S575" t="s">
        <v>2637</v>
      </c>
      <c r="X575" t="s">
        <v>3681</v>
      </c>
      <c r="Z575" t="s">
        <v>89</v>
      </c>
      <c r="AA575" t="s">
        <v>89</v>
      </c>
      <c r="AC575" t="s">
        <v>89</v>
      </c>
      <c r="AD575" t="s">
        <v>89</v>
      </c>
      <c r="AE575" t="s">
        <v>3652</v>
      </c>
      <c r="AF575" s="4"/>
    </row>
    <row r="576" spans="1:32">
      <c r="A576" t="s">
        <v>10333</v>
      </c>
      <c r="B576" t="s">
        <v>2193</v>
      </c>
      <c r="C576" t="s">
        <v>1049</v>
      </c>
      <c r="D576" t="s">
        <v>29</v>
      </c>
      <c r="E576">
        <v>4400855536</v>
      </c>
      <c r="F576" t="s">
        <v>2785</v>
      </c>
      <c r="G576">
        <v>1895</v>
      </c>
      <c r="I576">
        <v>1895</v>
      </c>
      <c r="J576">
        <v>1895</v>
      </c>
      <c r="K576" s="4">
        <v>45387</v>
      </c>
      <c r="L576" s="4">
        <v>45390</v>
      </c>
      <c r="M576">
        <v>2024</v>
      </c>
      <c r="N576">
        <v>4</v>
      </c>
      <c r="O576" s="4">
        <v>45383</v>
      </c>
      <c r="P576" t="s">
        <v>89</v>
      </c>
      <c r="Q576" s="4"/>
      <c r="S576" t="s">
        <v>8622</v>
      </c>
      <c r="X576" t="s">
        <v>10281</v>
      </c>
      <c r="Z576" t="s">
        <v>89</v>
      </c>
      <c r="AA576" t="s">
        <v>89</v>
      </c>
      <c r="AC576" t="s">
        <v>89</v>
      </c>
      <c r="AD576" t="s">
        <v>89</v>
      </c>
      <c r="AE576" t="s">
        <v>3652</v>
      </c>
      <c r="AF576" s="4"/>
    </row>
    <row r="577" spans="1:32">
      <c r="A577" t="s">
        <v>10334</v>
      </c>
      <c r="B577" t="s">
        <v>2193</v>
      </c>
      <c r="C577" t="s">
        <v>1048</v>
      </c>
      <c r="D577" t="s">
        <v>29</v>
      </c>
      <c r="E577">
        <v>4400851516</v>
      </c>
      <c r="F577" t="s">
        <v>2750</v>
      </c>
      <c r="G577">
        <v>760</v>
      </c>
      <c r="I577">
        <v>760</v>
      </c>
      <c r="J577">
        <v>760</v>
      </c>
      <c r="K577" s="4">
        <v>45387</v>
      </c>
      <c r="L577" s="4">
        <v>45390</v>
      </c>
      <c r="M577">
        <v>2024</v>
      </c>
      <c r="N577">
        <v>4</v>
      </c>
      <c r="O577" s="4">
        <v>45383</v>
      </c>
      <c r="P577" t="s">
        <v>89</v>
      </c>
      <c r="Q577" s="4"/>
      <c r="S577" t="s">
        <v>10335</v>
      </c>
      <c r="X577" t="s">
        <v>10281</v>
      </c>
      <c r="Z577" t="s">
        <v>89</v>
      </c>
      <c r="AA577" t="s">
        <v>89</v>
      </c>
      <c r="AC577" t="s">
        <v>89</v>
      </c>
      <c r="AD577" t="s">
        <v>89</v>
      </c>
      <c r="AE577" t="s">
        <v>3652</v>
      </c>
      <c r="AF577" s="4"/>
    </row>
    <row r="578" spans="1:32">
      <c r="A578" t="s">
        <v>10336</v>
      </c>
      <c r="B578" t="s">
        <v>2193</v>
      </c>
      <c r="C578" t="s">
        <v>1047</v>
      </c>
      <c r="D578" t="s">
        <v>29</v>
      </c>
      <c r="E578">
        <v>4400842757</v>
      </c>
      <c r="F578" t="s">
        <v>2688</v>
      </c>
      <c r="G578">
        <v>75453</v>
      </c>
      <c r="I578">
        <v>75453</v>
      </c>
      <c r="J578">
        <v>75453</v>
      </c>
      <c r="K578" s="4">
        <v>45387</v>
      </c>
      <c r="L578" s="4">
        <v>45390</v>
      </c>
      <c r="M578">
        <v>2024</v>
      </c>
      <c r="N578">
        <v>4</v>
      </c>
      <c r="O578" s="4">
        <v>45383</v>
      </c>
      <c r="P578" t="s">
        <v>89</v>
      </c>
      <c r="Q578" s="4"/>
      <c r="S578" t="s">
        <v>2687</v>
      </c>
      <c r="X578" t="s">
        <v>3932</v>
      </c>
      <c r="Z578" t="s">
        <v>89</v>
      </c>
      <c r="AA578" t="s">
        <v>89</v>
      </c>
      <c r="AC578" t="s">
        <v>89</v>
      </c>
      <c r="AD578" t="s">
        <v>89</v>
      </c>
      <c r="AE578" t="s">
        <v>3652</v>
      </c>
      <c r="AF578" s="4"/>
    </row>
    <row r="579" spans="1:32">
      <c r="A579" t="s">
        <v>10337</v>
      </c>
      <c r="B579" t="s">
        <v>2193</v>
      </c>
      <c r="C579" t="s">
        <v>1050</v>
      </c>
      <c r="D579" t="s">
        <v>29</v>
      </c>
      <c r="E579">
        <v>4400855666</v>
      </c>
      <c r="F579" t="s">
        <v>2786</v>
      </c>
      <c r="G579">
        <v>75453</v>
      </c>
      <c r="I579">
        <v>75453</v>
      </c>
      <c r="J579">
        <v>75453</v>
      </c>
      <c r="K579" s="4">
        <v>45387</v>
      </c>
      <c r="L579" s="4">
        <v>45390</v>
      </c>
      <c r="M579">
        <v>2024</v>
      </c>
      <c r="N579">
        <v>4</v>
      </c>
      <c r="O579" s="4">
        <v>45383</v>
      </c>
      <c r="P579" t="s">
        <v>89</v>
      </c>
      <c r="Q579" s="4"/>
      <c r="S579" t="s">
        <v>7438</v>
      </c>
      <c r="X579" t="s">
        <v>3932</v>
      </c>
      <c r="Z579" t="s">
        <v>89</v>
      </c>
      <c r="AA579" t="s">
        <v>89</v>
      </c>
      <c r="AC579" t="s">
        <v>89</v>
      </c>
      <c r="AD579" t="s">
        <v>89</v>
      </c>
      <c r="AE579" t="s">
        <v>3652</v>
      </c>
      <c r="AF579" s="4"/>
    </row>
    <row r="580" spans="1:32">
      <c r="A580" t="s">
        <v>10338</v>
      </c>
      <c r="B580" t="s">
        <v>2193</v>
      </c>
      <c r="C580" t="s">
        <v>1046</v>
      </c>
      <c r="D580" t="s">
        <v>29</v>
      </c>
      <c r="E580">
        <v>4400772471</v>
      </c>
      <c r="F580" t="s">
        <v>1045</v>
      </c>
      <c r="G580">
        <v>32684.75</v>
      </c>
      <c r="I580">
        <v>32684.75</v>
      </c>
      <c r="J580">
        <v>32684.75</v>
      </c>
      <c r="K580" s="4">
        <v>45379</v>
      </c>
      <c r="L580" s="4">
        <v>45385</v>
      </c>
      <c r="M580">
        <v>2024</v>
      </c>
      <c r="N580">
        <v>3</v>
      </c>
      <c r="O580" s="4">
        <v>45352</v>
      </c>
      <c r="P580" t="s">
        <v>89</v>
      </c>
      <c r="Q580" s="4"/>
      <c r="S580" t="s">
        <v>1045</v>
      </c>
      <c r="X580" t="s">
        <v>10</v>
      </c>
      <c r="Z580" t="s">
        <v>89</v>
      </c>
      <c r="AA580" t="s">
        <v>89</v>
      </c>
      <c r="AC580" t="s">
        <v>89</v>
      </c>
      <c r="AD580" t="s">
        <v>89</v>
      </c>
      <c r="AE580" t="s">
        <v>3652</v>
      </c>
      <c r="AF580" s="4"/>
    </row>
    <row r="581" spans="1:32">
      <c r="A581" t="s">
        <v>10339</v>
      </c>
      <c r="B581" t="s">
        <v>2193</v>
      </c>
      <c r="C581" t="s">
        <v>1044</v>
      </c>
      <c r="D581" t="s">
        <v>29</v>
      </c>
      <c r="E581">
        <v>4400772471</v>
      </c>
      <c r="F581" t="s">
        <v>1043</v>
      </c>
      <c r="G581">
        <v>81711.87</v>
      </c>
      <c r="I581">
        <v>81711.87</v>
      </c>
      <c r="J581">
        <v>81711.87</v>
      </c>
      <c r="K581" s="4">
        <v>45379</v>
      </c>
      <c r="L581" s="4">
        <v>45385</v>
      </c>
      <c r="M581">
        <v>2024</v>
      </c>
      <c r="N581">
        <v>3</v>
      </c>
      <c r="O581" s="4">
        <v>45352</v>
      </c>
      <c r="P581" t="s">
        <v>89</v>
      </c>
      <c r="Q581" s="4"/>
      <c r="S581" t="s">
        <v>1043</v>
      </c>
      <c r="X581" t="s">
        <v>10</v>
      </c>
      <c r="Z581" t="s">
        <v>89</v>
      </c>
      <c r="AA581" t="s">
        <v>89</v>
      </c>
      <c r="AC581" t="s">
        <v>89</v>
      </c>
      <c r="AD581" t="s">
        <v>89</v>
      </c>
      <c r="AE581" t="s">
        <v>3652</v>
      </c>
      <c r="AF581" s="4"/>
    </row>
    <row r="582" spans="1:32">
      <c r="A582" t="s">
        <v>10339</v>
      </c>
      <c r="B582" t="s">
        <v>2193</v>
      </c>
      <c r="C582" t="s">
        <v>1042</v>
      </c>
      <c r="D582" t="s">
        <v>29</v>
      </c>
      <c r="E582">
        <v>4400772471</v>
      </c>
      <c r="F582" t="s">
        <v>1041</v>
      </c>
      <c r="G582">
        <v>81711.87</v>
      </c>
      <c r="I582">
        <v>81711.87</v>
      </c>
      <c r="J582">
        <v>81711.87</v>
      </c>
      <c r="K582" s="4">
        <v>45379</v>
      </c>
      <c r="L582" s="4">
        <v>45385</v>
      </c>
      <c r="M582">
        <v>2024</v>
      </c>
      <c r="N582">
        <v>3</v>
      </c>
      <c r="O582" s="4">
        <v>45352</v>
      </c>
      <c r="P582" t="s">
        <v>89</v>
      </c>
      <c r="Q582" s="4"/>
      <c r="S582" t="s">
        <v>1041</v>
      </c>
      <c r="X582" t="s">
        <v>10</v>
      </c>
      <c r="Z582" t="s">
        <v>89</v>
      </c>
      <c r="AA582" t="s">
        <v>89</v>
      </c>
      <c r="AC582" t="s">
        <v>89</v>
      </c>
      <c r="AD582" t="s">
        <v>89</v>
      </c>
      <c r="AE582" t="s">
        <v>3652</v>
      </c>
      <c r="AF582" s="4"/>
    </row>
    <row r="583" spans="1:32">
      <c r="A583" t="s">
        <v>10340</v>
      </c>
      <c r="B583" t="s">
        <v>2193</v>
      </c>
      <c r="C583" t="s">
        <v>1009</v>
      </c>
      <c r="D583" t="s">
        <v>29</v>
      </c>
      <c r="E583">
        <v>4400854441</v>
      </c>
      <c r="F583" t="s">
        <v>2764</v>
      </c>
      <c r="G583">
        <v>76550</v>
      </c>
      <c r="I583">
        <v>76550</v>
      </c>
      <c r="J583">
        <v>76550</v>
      </c>
      <c r="K583" s="4">
        <v>45377</v>
      </c>
      <c r="L583" s="4">
        <v>45379</v>
      </c>
      <c r="M583">
        <v>2024</v>
      </c>
      <c r="N583">
        <v>3</v>
      </c>
      <c r="O583" s="4">
        <v>45352</v>
      </c>
      <c r="P583" t="s">
        <v>89</v>
      </c>
      <c r="Q583" s="4"/>
      <c r="S583" t="s">
        <v>2763</v>
      </c>
      <c r="X583" t="s">
        <v>3681</v>
      </c>
      <c r="Z583" t="s">
        <v>89</v>
      </c>
      <c r="AA583" t="s">
        <v>89</v>
      </c>
      <c r="AC583" t="s">
        <v>89</v>
      </c>
      <c r="AD583" t="s">
        <v>89</v>
      </c>
      <c r="AE583" t="s">
        <v>3652</v>
      </c>
      <c r="AF583" s="4"/>
    </row>
    <row r="584" spans="1:32">
      <c r="A584" t="s">
        <v>10341</v>
      </c>
      <c r="B584" t="s">
        <v>2193</v>
      </c>
      <c r="C584" t="s">
        <v>1008</v>
      </c>
      <c r="D584" t="s">
        <v>29</v>
      </c>
      <c r="E584">
        <v>4400837507</v>
      </c>
      <c r="F584" t="s">
        <v>2663</v>
      </c>
      <c r="G584">
        <v>39604</v>
      </c>
      <c r="I584">
        <v>39604</v>
      </c>
      <c r="J584">
        <v>39604</v>
      </c>
      <c r="K584" s="4">
        <v>45377</v>
      </c>
      <c r="L584" s="4">
        <v>45379</v>
      </c>
      <c r="M584">
        <v>2024</v>
      </c>
      <c r="N584">
        <v>3</v>
      </c>
      <c r="O584" s="4">
        <v>45352</v>
      </c>
      <c r="P584" t="s">
        <v>89</v>
      </c>
      <c r="Q584" s="4"/>
      <c r="S584" t="s">
        <v>2632</v>
      </c>
      <c r="X584" t="s">
        <v>3681</v>
      </c>
      <c r="Z584" t="s">
        <v>89</v>
      </c>
      <c r="AA584" t="s">
        <v>89</v>
      </c>
      <c r="AC584" t="s">
        <v>89</v>
      </c>
      <c r="AD584" t="s">
        <v>89</v>
      </c>
      <c r="AE584" t="s">
        <v>3652</v>
      </c>
      <c r="AF584" s="4"/>
    </row>
    <row r="585" spans="1:32">
      <c r="A585" t="s">
        <v>10342</v>
      </c>
      <c r="B585" t="s">
        <v>2193</v>
      </c>
      <c r="C585" t="s">
        <v>1007</v>
      </c>
      <c r="D585" t="s">
        <v>29</v>
      </c>
      <c r="E585">
        <v>4400837502</v>
      </c>
      <c r="F585" t="s">
        <v>2661</v>
      </c>
      <c r="G585">
        <v>39604</v>
      </c>
      <c r="I585">
        <v>39604</v>
      </c>
      <c r="J585">
        <v>39604</v>
      </c>
      <c r="K585" s="4">
        <v>45377</v>
      </c>
      <c r="L585" s="4">
        <v>45379</v>
      </c>
      <c r="M585">
        <v>2024</v>
      </c>
      <c r="N585">
        <v>3</v>
      </c>
      <c r="O585" s="4">
        <v>45352</v>
      </c>
      <c r="P585" t="s">
        <v>89</v>
      </c>
      <c r="Q585" s="4"/>
      <c r="S585" t="s">
        <v>2602</v>
      </c>
      <c r="X585" t="s">
        <v>3681</v>
      </c>
      <c r="Z585" t="s">
        <v>89</v>
      </c>
      <c r="AA585" t="s">
        <v>89</v>
      </c>
      <c r="AC585" t="s">
        <v>89</v>
      </c>
      <c r="AD585" t="s">
        <v>89</v>
      </c>
      <c r="AE585" t="s">
        <v>3652</v>
      </c>
      <c r="AF585" s="4"/>
    </row>
    <row r="586" spans="1:32">
      <c r="A586" t="s">
        <v>10343</v>
      </c>
      <c r="B586" t="s">
        <v>2193</v>
      </c>
      <c r="C586" t="s">
        <v>977</v>
      </c>
      <c r="D586" t="s">
        <v>29</v>
      </c>
      <c r="E586">
        <v>4400851510</v>
      </c>
      <c r="F586" t="s">
        <v>2748</v>
      </c>
      <c r="G586">
        <v>760</v>
      </c>
      <c r="I586">
        <v>760</v>
      </c>
      <c r="J586">
        <v>760</v>
      </c>
      <c r="K586" s="4">
        <v>45371</v>
      </c>
      <c r="L586" s="4">
        <v>45377</v>
      </c>
      <c r="M586">
        <v>2024</v>
      </c>
      <c r="N586">
        <v>3</v>
      </c>
      <c r="O586" s="4">
        <v>45352</v>
      </c>
      <c r="P586" t="s">
        <v>89</v>
      </c>
      <c r="Q586" s="4"/>
      <c r="S586" t="s">
        <v>7618</v>
      </c>
      <c r="X586" t="s">
        <v>10281</v>
      </c>
      <c r="Z586" t="s">
        <v>89</v>
      </c>
      <c r="AA586" t="s">
        <v>89</v>
      </c>
      <c r="AC586" t="s">
        <v>89</v>
      </c>
      <c r="AD586" t="s">
        <v>89</v>
      </c>
      <c r="AE586" t="s">
        <v>3652</v>
      </c>
      <c r="AF586" s="4"/>
    </row>
    <row r="587" spans="1:32">
      <c r="A587" t="s">
        <v>10344</v>
      </c>
      <c r="B587" t="s">
        <v>2193</v>
      </c>
      <c r="C587" t="s">
        <v>976</v>
      </c>
      <c r="D587" t="s">
        <v>29</v>
      </c>
      <c r="E587">
        <v>4400847889</v>
      </c>
      <c r="F587" t="s">
        <v>2741</v>
      </c>
      <c r="G587">
        <v>76550</v>
      </c>
      <c r="I587">
        <v>76550</v>
      </c>
      <c r="J587">
        <v>76550</v>
      </c>
      <c r="K587" s="4">
        <v>45371</v>
      </c>
      <c r="L587" s="4">
        <v>45377</v>
      </c>
      <c r="M587">
        <v>2024</v>
      </c>
      <c r="N587">
        <v>3</v>
      </c>
      <c r="O587" s="4">
        <v>45352</v>
      </c>
      <c r="P587" t="s">
        <v>89</v>
      </c>
      <c r="Q587" s="4"/>
      <c r="S587" t="s">
        <v>2634</v>
      </c>
      <c r="X587" t="s">
        <v>3681</v>
      </c>
      <c r="Z587" t="s">
        <v>89</v>
      </c>
      <c r="AA587" t="s">
        <v>89</v>
      </c>
      <c r="AC587" t="s">
        <v>89</v>
      </c>
      <c r="AD587" t="s">
        <v>89</v>
      </c>
      <c r="AE587" t="s">
        <v>3652</v>
      </c>
      <c r="AF587" s="4"/>
    </row>
    <row r="588" spans="1:32">
      <c r="A588" t="s">
        <v>10345</v>
      </c>
      <c r="B588" t="s">
        <v>2193</v>
      </c>
      <c r="C588" t="s">
        <v>973</v>
      </c>
      <c r="D588" t="s">
        <v>29</v>
      </c>
      <c r="E588">
        <v>4400844277</v>
      </c>
      <c r="F588" t="s">
        <v>2730</v>
      </c>
      <c r="G588">
        <v>38469</v>
      </c>
      <c r="I588">
        <v>38469</v>
      </c>
      <c r="J588">
        <v>38469</v>
      </c>
      <c r="K588" s="4">
        <v>45371</v>
      </c>
      <c r="L588" s="4">
        <v>45377</v>
      </c>
      <c r="M588">
        <v>2024</v>
      </c>
      <c r="N588">
        <v>3</v>
      </c>
      <c r="O588" s="4">
        <v>45352</v>
      </c>
      <c r="P588" t="s">
        <v>89</v>
      </c>
      <c r="Q588" s="4"/>
      <c r="S588" t="s">
        <v>2729</v>
      </c>
      <c r="X588" t="s">
        <v>3681</v>
      </c>
      <c r="Z588" t="s">
        <v>89</v>
      </c>
      <c r="AA588" t="s">
        <v>89</v>
      </c>
      <c r="AC588" t="s">
        <v>89</v>
      </c>
      <c r="AD588" t="s">
        <v>89</v>
      </c>
      <c r="AE588" t="s">
        <v>3652</v>
      </c>
      <c r="AF588" s="4"/>
    </row>
    <row r="589" spans="1:32">
      <c r="A589" t="s">
        <v>10346</v>
      </c>
      <c r="B589" t="s">
        <v>2193</v>
      </c>
      <c r="C589" t="s">
        <v>975</v>
      </c>
      <c r="D589" t="s">
        <v>29</v>
      </c>
      <c r="E589">
        <v>4400842335</v>
      </c>
      <c r="F589" t="s">
        <v>2681</v>
      </c>
      <c r="G589">
        <v>760</v>
      </c>
      <c r="I589">
        <v>760</v>
      </c>
      <c r="J589">
        <v>760</v>
      </c>
      <c r="K589" s="4">
        <v>45371</v>
      </c>
      <c r="L589" s="4">
        <v>45377</v>
      </c>
      <c r="M589">
        <v>2024</v>
      </c>
      <c r="N589">
        <v>3</v>
      </c>
      <c r="O589" s="4">
        <v>45352</v>
      </c>
      <c r="P589" t="s">
        <v>89</v>
      </c>
      <c r="Q589" s="4"/>
      <c r="S589" t="s">
        <v>2680</v>
      </c>
      <c r="X589" t="s">
        <v>10281</v>
      </c>
      <c r="Z589" t="s">
        <v>89</v>
      </c>
      <c r="AA589" t="s">
        <v>89</v>
      </c>
      <c r="AC589" t="s">
        <v>89</v>
      </c>
      <c r="AD589" t="s">
        <v>89</v>
      </c>
      <c r="AE589" t="s">
        <v>3652</v>
      </c>
      <c r="AF589" s="4"/>
    </row>
    <row r="590" spans="1:32">
      <c r="A590" t="s">
        <v>10347</v>
      </c>
      <c r="B590" t="s">
        <v>2193</v>
      </c>
      <c r="C590" t="s">
        <v>911</v>
      </c>
      <c r="D590" t="s">
        <v>29</v>
      </c>
      <c r="E590">
        <v>4400850638</v>
      </c>
      <c r="F590" t="s">
        <v>2745</v>
      </c>
      <c r="G590">
        <v>3160</v>
      </c>
      <c r="I590">
        <v>3160</v>
      </c>
      <c r="J590">
        <v>3160</v>
      </c>
      <c r="K590" s="4">
        <v>45370</v>
      </c>
      <c r="L590" s="4">
        <v>45377</v>
      </c>
      <c r="M590">
        <v>2024</v>
      </c>
      <c r="N590">
        <v>3</v>
      </c>
      <c r="O590" s="4">
        <v>45352</v>
      </c>
      <c r="P590" t="s">
        <v>89</v>
      </c>
      <c r="Q590" s="4"/>
      <c r="S590" t="s">
        <v>2763</v>
      </c>
      <c r="X590" t="s">
        <v>3681</v>
      </c>
      <c r="Z590" t="s">
        <v>89</v>
      </c>
      <c r="AA590" t="s">
        <v>89</v>
      </c>
      <c r="AC590" t="s">
        <v>89</v>
      </c>
      <c r="AD590" t="s">
        <v>89</v>
      </c>
      <c r="AE590" t="s">
        <v>3652</v>
      </c>
      <c r="AF590" s="4"/>
    </row>
    <row r="591" spans="1:32">
      <c r="A591" t="s">
        <v>10348</v>
      </c>
      <c r="B591" t="s">
        <v>2193</v>
      </c>
      <c r="C591" t="s">
        <v>910</v>
      </c>
      <c r="D591" t="s">
        <v>29</v>
      </c>
      <c r="E591">
        <v>4400844859</v>
      </c>
      <c r="F591" t="s">
        <v>2732</v>
      </c>
      <c r="G591">
        <v>3800</v>
      </c>
      <c r="I591">
        <v>3800</v>
      </c>
      <c r="J591">
        <v>3800</v>
      </c>
      <c r="K591" s="4">
        <v>45370</v>
      </c>
      <c r="L591" s="4">
        <v>45377</v>
      </c>
      <c r="M591">
        <v>2024</v>
      </c>
      <c r="N591">
        <v>3</v>
      </c>
      <c r="O591" s="4">
        <v>45352</v>
      </c>
      <c r="P591" t="s">
        <v>89</v>
      </c>
      <c r="Q591" s="4"/>
      <c r="S591" t="s">
        <v>2585</v>
      </c>
      <c r="X591" t="s">
        <v>3681</v>
      </c>
      <c r="Z591" t="s">
        <v>89</v>
      </c>
      <c r="AA591" t="s">
        <v>89</v>
      </c>
      <c r="AC591" t="s">
        <v>89</v>
      </c>
      <c r="AD591" t="s">
        <v>89</v>
      </c>
      <c r="AE591" t="s">
        <v>3652</v>
      </c>
      <c r="AF591" s="4"/>
    </row>
    <row r="592" spans="1:32">
      <c r="A592" t="s">
        <v>10349</v>
      </c>
      <c r="B592" t="s">
        <v>2193</v>
      </c>
      <c r="C592" t="s">
        <v>909</v>
      </c>
      <c r="D592" t="s">
        <v>29</v>
      </c>
      <c r="E592">
        <v>4400842932</v>
      </c>
      <c r="F592" t="s">
        <v>2695</v>
      </c>
      <c r="G592">
        <v>12096</v>
      </c>
      <c r="I592">
        <v>12096</v>
      </c>
      <c r="J592">
        <v>12096</v>
      </c>
      <c r="K592" s="4">
        <v>45370</v>
      </c>
      <c r="L592" s="4">
        <v>45377</v>
      </c>
      <c r="M592">
        <v>2024</v>
      </c>
      <c r="N592">
        <v>3</v>
      </c>
      <c r="O592" s="4">
        <v>45352</v>
      </c>
      <c r="P592" t="s">
        <v>89</v>
      </c>
      <c r="Q592" s="4"/>
      <c r="S592" t="s">
        <v>2585</v>
      </c>
      <c r="X592" t="s">
        <v>3681</v>
      </c>
      <c r="Z592" t="s">
        <v>89</v>
      </c>
      <c r="AA592" t="s">
        <v>89</v>
      </c>
      <c r="AC592" t="s">
        <v>89</v>
      </c>
      <c r="AD592" t="s">
        <v>89</v>
      </c>
      <c r="AE592" t="s">
        <v>3652</v>
      </c>
      <c r="AF592" s="4"/>
    </row>
    <row r="593" spans="1:32">
      <c r="A593" t="s">
        <v>10350</v>
      </c>
      <c r="B593" t="s">
        <v>2193</v>
      </c>
      <c r="C593" t="s">
        <v>907</v>
      </c>
      <c r="D593" t="s">
        <v>29</v>
      </c>
      <c r="E593">
        <v>4400834624</v>
      </c>
      <c r="F593" t="s">
        <v>10351</v>
      </c>
      <c r="G593">
        <v>2399</v>
      </c>
      <c r="I593">
        <v>2399</v>
      </c>
      <c r="J593">
        <v>2399</v>
      </c>
      <c r="K593" s="4">
        <v>45370</v>
      </c>
      <c r="L593" s="4">
        <v>45377</v>
      </c>
      <c r="M593">
        <v>2024</v>
      </c>
      <c r="N593">
        <v>3</v>
      </c>
      <c r="O593" s="4">
        <v>45352</v>
      </c>
      <c r="P593" t="s">
        <v>89</v>
      </c>
      <c r="Q593" s="4"/>
      <c r="S593" t="s">
        <v>2585</v>
      </c>
      <c r="X593" t="s">
        <v>3681</v>
      </c>
      <c r="Z593" t="s">
        <v>89</v>
      </c>
      <c r="AA593" t="s">
        <v>89</v>
      </c>
      <c r="AC593" t="s">
        <v>89</v>
      </c>
      <c r="AD593" t="s">
        <v>89</v>
      </c>
      <c r="AE593" t="s">
        <v>3652</v>
      </c>
      <c r="AF593" s="4"/>
    </row>
    <row r="594" spans="1:32">
      <c r="A594" t="s">
        <v>10352</v>
      </c>
      <c r="B594" t="s">
        <v>2193</v>
      </c>
      <c r="C594" t="s">
        <v>1010</v>
      </c>
      <c r="D594" t="s">
        <v>29</v>
      </c>
      <c r="E594">
        <v>4400834416</v>
      </c>
      <c r="F594" t="s">
        <v>10353</v>
      </c>
      <c r="G594">
        <v>2850</v>
      </c>
      <c r="I594">
        <v>2850</v>
      </c>
      <c r="J594">
        <v>2850</v>
      </c>
      <c r="K594" s="4">
        <v>45379</v>
      </c>
      <c r="L594" s="4">
        <v>45379</v>
      </c>
      <c r="M594">
        <v>2024</v>
      </c>
      <c r="N594">
        <v>3</v>
      </c>
      <c r="O594" s="4">
        <v>45352</v>
      </c>
      <c r="P594" t="s">
        <v>89</v>
      </c>
      <c r="Q594" s="4"/>
      <c r="S594" t="s">
        <v>2585</v>
      </c>
      <c r="X594" t="s">
        <v>3681</v>
      </c>
      <c r="Z594" t="s">
        <v>89</v>
      </c>
      <c r="AA594" t="s">
        <v>89</v>
      </c>
      <c r="AC594" t="s">
        <v>89</v>
      </c>
      <c r="AD594" t="s">
        <v>89</v>
      </c>
      <c r="AE594" t="s">
        <v>3652</v>
      </c>
      <c r="AF594" s="4"/>
    </row>
    <row r="595" spans="1:32">
      <c r="A595" t="s">
        <v>10354</v>
      </c>
      <c r="B595" t="s">
        <v>2193</v>
      </c>
      <c r="C595" t="s">
        <v>908</v>
      </c>
      <c r="D595" t="s">
        <v>29</v>
      </c>
      <c r="E595">
        <v>4400834416</v>
      </c>
      <c r="F595" t="s">
        <v>10353</v>
      </c>
      <c r="G595">
        <v>0</v>
      </c>
      <c r="I595">
        <v>0</v>
      </c>
      <c r="J595">
        <v>0</v>
      </c>
      <c r="K595" s="4">
        <v>45370</v>
      </c>
      <c r="L595" s="4">
        <v>45377</v>
      </c>
      <c r="M595">
        <v>2024</v>
      </c>
      <c r="N595">
        <v>3</v>
      </c>
      <c r="O595" s="4">
        <v>45352</v>
      </c>
      <c r="P595" t="s">
        <v>95</v>
      </c>
      <c r="Q595" s="4"/>
      <c r="S595" t="s">
        <v>2585</v>
      </c>
      <c r="X595" t="s">
        <v>3681</v>
      </c>
      <c r="Z595">
        <v>182</v>
      </c>
      <c r="AA595">
        <v>175</v>
      </c>
      <c r="AC595" t="s">
        <v>95</v>
      </c>
      <c r="AD595" t="s">
        <v>95</v>
      </c>
      <c r="AE595" t="s">
        <v>3652</v>
      </c>
      <c r="AF595" s="4"/>
    </row>
    <row r="596" spans="1:32">
      <c r="A596" t="s">
        <v>10355</v>
      </c>
      <c r="B596" t="s">
        <v>2193</v>
      </c>
      <c r="C596" t="s">
        <v>903</v>
      </c>
      <c r="D596" t="s">
        <v>29</v>
      </c>
      <c r="E596">
        <v>4400824143</v>
      </c>
      <c r="F596" t="s">
        <v>2635</v>
      </c>
      <c r="G596">
        <v>0</v>
      </c>
      <c r="I596">
        <v>0</v>
      </c>
      <c r="J596">
        <v>0</v>
      </c>
      <c r="K596" s="4">
        <v>45370</v>
      </c>
      <c r="L596" s="4">
        <v>45377</v>
      </c>
      <c r="M596">
        <v>2024</v>
      </c>
      <c r="N596">
        <v>3</v>
      </c>
      <c r="O596" s="4">
        <v>45352</v>
      </c>
      <c r="P596" t="s">
        <v>95</v>
      </c>
      <c r="Q596" s="4"/>
      <c r="S596" t="s">
        <v>2634</v>
      </c>
      <c r="X596" t="s">
        <v>3681</v>
      </c>
      <c r="Z596">
        <v>182</v>
      </c>
      <c r="AA596">
        <v>175</v>
      </c>
      <c r="AC596" t="s">
        <v>95</v>
      </c>
      <c r="AD596" t="s">
        <v>95</v>
      </c>
      <c r="AE596" t="s">
        <v>3652</v>
      </c>
      <c r="AF596" s="4"/>
    </row>
    <row r="597" spans="1:32">
      <c r="A597" t="s">
        <v>10356</v>
      </c>
      <c r="B597" t="s">
        <v>2193</v>
      </c>
      <c r="C597" t="s">
        <v>906</v>
      </c>
      <c r="D597" t="s">
        <v>29</v>
      </c>
      <c r="E597">
        <v>4400822631</v>
      </c>
      <c r="F597" t="s">
        <v>2626</v>
      </c>
      <c r="G597">
        <v>0</v>
      </c>
      <c r="I597">
        <v>0</v>
      </c>
      <c r="J597">
        <v>0</v>
      </c>
      <c r="K597" s="4">
        <v>45370</v>
      </c>
      <c r="L597" s="4">
        <v>45377</v>
      </c>
      <c r="M597">
        <v>2024</v>
      </c>
      <c r="N597">
        <v>3</v>
      </c>
      <c r="O597" s="4">
        <v>45352</v>
      </c>
      <c r="P597" t="s">
        <v>95</v>
      </c>
      <c r="Q597" s="4"/>
      <c r="S597" t="s">
        <v>2624</v>
      </c>
      <c r="X597" t="s">
        <v>3932</v>
      </c>
      <c r="Z597">
        <v>182</v>
      </c>
      <c r="AA597">
        <v>175</v>
      </c>
      <c r="AC597" t="s">
        <v>95</v>
      </c>
      <c r="AD597" t="s">
        <v>95</v>
      </c>
      <c r="AE597" t="s">
        <v>3652</v>
      </c>
      <c r="AF597" s="4"/>
    </row>
    <row r="598" spans="1:32">
      <c r="A598" t="s">
        <v>10357</v>
      </c>
      <c r="B598" t="s">
        <v>2193</v>
      </c>
      <c r="C598" t="s">
        <v>902</v>
      </c>
      <c r="D598" t="s">
        <v>29</v>
      </c>
      <c r="E598">
        <v>4400822589</v>
      </c>
      <c r="F598" t="s">
        <v>2625</v>
      </c>
      <c r="G598">
        <v>0</v>
      </c>
      <c r="I598">
        <v>0</v>
      </c>
      <c r="J598">
        <v>0</v>
      </c>
      <c r="K598" s="4">
        <v>45370</v>
      </c>
      <c r="L598" s="4">
        <v>45377</v>
      </c>
      <c r="M598">
        <v>2024</v>
      </c>
      <c r="N598">
        <v>3</v>
      </c>
      <c r="O598" s="4">
        <v>45352</v>
      </c>
      <c r="P598" t="s">
        <v>95</v>
      </c>
      <c r="Q598" s="4"/>
      <c r="S598" t="s">
        <v>2624</v>
      </c>
      <c r="X598" t="s">
        <v>3932</v>
      </c>
      <c r="Z598">
        <v>182</v>
      </c>
      <c r="AA598">
        <v>175</v>
      </c>
      <c r="AC598" t="s">
        <v>95</v>
      </c>
      <c r="AD598" t="s">
        <v>95</v>
      </c>
      <c r="AE598" t="s">
        <v>3652</v>
      </c>
      <c r="AF598" s="4"/>
    </row>
    <row r="599" spans="1:32">
      <c r="A599" t="s">
        <v>10358</v>
      </c>
      <c r="B599" t="s">
        <v>2193</v>
      </c>
      <c r="C599" t="s">
        <v>904</v>
      </c>
      <c r="D599" t="s">
        <v>29</v>
      </c>
      <c r="E599">
        <v>4400822585</v>
      </c>
      <c r="F599" t="s">
        <v>2623</v>
      </c>
      <c r="G599">
        <v>0</v>
      </c>
      <c r="I599">
        <v>0</v>
      </c>
      <c r="J599">
        <v>0</v>
      </c>
      <c r="K599" s="4">
        <v>45370</v>
      </c>
      <c r="L599" s="4">
        <v>45377</v>
      </c>
      <c r="M599">
        <v>2024</v>
      </c>
      <c r="N599">
        <v>3</v>
      </c>
      <c r="O599" s="4">
        <v>45352</v>
      </c>
      <c r="P599" t="s">
        <v>95</v>
      </c>
      <c r="Q599" s="4"/>
      <c r="S599" t="s">
        <v>2621</v>
      </c>
      <c r="X599" t="s">
        <v>3932</v>
      </c>
      <c r="Z599">
        <v>182</v>
      </c>
      <c r="AA599">
        <v>175</v>
      </c>
      <c r="AC599" t="s">
        <v>95</v>
      </c>
      <c r="AD599" t="s">
        <v>95</v>
      </c>
      <c r="AE599" t="s">
        <v>3652</v>
      </c>
      <c r="AF599" s="4"/>
    </row>
    <row r="600" spans="1:32">
      <c r="A600" t="s">
        <v>10359</v>
      </c>
      <c r="B600" t="s">
        <v>2193</v>
      </c>
      <c r="C600" t="s">
        <v>900</v>
      </c>
      <c r="D600" t="s">
        <v>29</v>
      </c>
      <c r="E600">
        <v>4400822580</v>
      </c>
      <c r="F600" t="s">
        <v>2622</v>
      </c>
      <c r="G600">
        <v>0</v>
      </c>
      <c r="I600">
        <v>0</v>
      </c>
      <c r="J600">
        <v>0</v>
      </c>
      <c r="K600" s="4">
        <v>45370</v>
      </c>
      <c r="L600" s="4">
        <v>45377</v>
      </c>
      <c r="M600">
        <v>2024</v>
      </c>
      <c r="N600">
        <v>3</v>
      </c>
      <c r="O600" s="4">
        <v>45352</v>
      </c>
      <c r="P600" t="s">
        <v>95</v>
      </c>
      <c r="Q600" s="4"/>
      <c r="S600" t="s">
        <v>2621</v>
      </c>
      <c r="X600" t="s">
        <v>3932</v>
      </c>
      <c r="Z600">
        <v>182</v>
      </c>
      <c r="AA600">
        <v>175</v>
      </c>
      <c r="AC600" t="s">
        <v>95</v>
      </c>
      <c r="AD600" t="s">
        <v>95</v>
      </c>
      <c r="AE600" t="s">
        <v>3652</v>
      </c>
      <c r="AF600" s="4"/>
    </row>
    <row r="601" spans="1:32">
      <c r="A601" t="s">
        <v>10360</v>
      </c>
      <c r="B601" t="s">
        <v>2193</v>
      </c>
      <c r="C601" t="s">
        <v>901</v>
      </c>
      <c r="D601" t="s">
        <v>29</v>
      </c>
      <c r="E601">
        <v>4400822504</v>
      </c>
      <c r="F601" t="s">
        <v>2619</v>
      </c>
      <c r="G601">
        <v>0</v>
      </c>
      <c r="I601">
        <v>0</v>
      </c>
      <c r="J601">
        <v>0</v>
      </c>
      <c r="K601" s="4">
        <v>45370</v>
      </c>
      <c r="L601" s="4">
        <v>45377</v>
      </c>
      <c r="M601">
        <v>2024</v>
      </c>
      <c r="N601">
        <v>3</v>
      </c>
      <c r="O601" s="4">
        <v>45352</v>
      </c>
      <c r="P601" t="s">
        <v>95</v>
      </c>
      <c r="Q601" s="4"/>
      <c r="S601" t="s">
        <v>2617</v>
      </c>
      <c r="X601" t="s">
        <v>3932</v>
      </c>
      <c r="Z601">
        <v>182</v>
      </c>
      <c r="AA601">
        <v>175</v>
      </c>
      <c r="AC601" t="s">
        <v>95</v>
      </c>
      <c r="AD601" t="s">
        <v>95</v>
      </c>
      <c r="AE601" t="s">
        <v>3652</v>
      </c>
      <c r="AF601" s="4"/>
    </row>
    <row r="602" spans="1:32">
      <c r="A602" t="s">
        <v>10361</v>
      </c>
      <c r="B602" t="s">
        <v>2193</v>
      </c>
      <c r="C602" t="s">
        <v>905</v>
      </c>
      <c r="D602" t="s">
        <v>29</v>
      </c>
      <c r="E602">
        <v>4400822500</v>
      </c>
      <c r="F602" t="s">
        <v>2618</v>
      </c>
      <c r="G602">
        <v>0</v>
      </c>
      <c r="I602">
        <v>0</v>
      </c>
      <c r="J602">
        <v>0</v>
      </c>
      <c r="K602" s="4">
        <v>45370</v>
      </c>
      <c r="L602" s="4">
        <v>45377</v>
      </c>
      <c r="M602">
        <v>2024</v>
      </c>
      <c r="N602">
        <v>3</v>
      </c>
      <c r="O602" s="4">
        <v>45352</v>
      </c>
      <c r="P602" t="s">
        <v>95</v>
      </c>
      <c r="Q602" s="4"/>
      <c r="S602" t="s">
        <v>2617</v>
      </c>
      <c r="X602" t="s">
        <v>3932</v>
      </c>
      <c r="Z602">
        <v>182</v>
      </c>
      <c r="AA602">
        <v>175</v>
      </c>
      <c r="AC602" t="s">
        <v>95</v>
      </c>
      <c r="AD602" t="s">
        <v>95</v>
      </c>
      <c r="AE602" t="s">
        <v>3652</v>
      </c>
      <c r="AF602" s="4"/>
    </row>
    <row r="603" spans="1:32">
      <c r="A603" t="s">
        <v>10362</v>
      </c>
      <c r="B603" t="s">
        <v>2193</v>
      </c>
      <c r="C603" t="s">
        <v>899</v>
      </c>
      <c r="D603" t="s">
        <v>29</v>
      </c>
      <c r="E603">
        <v>4400820284</v>
      </c>
      <c r="F603" t="s">
        <v>2609</v>
      </c>
      <c r="G603">
        <v>3799</v>
      </c>
      <c r="I603">
        <v>3799</v>
      </c>
      <c r="J603">
        <v>3799</v>
      </c>
      <c r="K603" s="4">
        <v>45370</v>
      </c>
      <c r="L603" s="4">
        <v>45377</v>
      </c>
      <c r="M603">
        <v>2024</v>
      </c>
      <c r="N603">
        <v>3</v>
      </c>
      <c r="O603" s="4">
        <v>45352</v>
      </c>
      <c r="P603" t="s">
        <v>89</v>
      </c>
      <c r="Q603" s="4"/>
      <c r="S603" t="s">
        <v>2604</v>
      </c>
      <c r="X603" t="s">
        <v>10</v>
      </c>
      <c r="Z603" t="s">
        <v>89</v>
      </c>
      <c r="AA603" t="s">
        <v>89</v>
      </c>
      <c r="AC603" t="s">
        <v>89</v>
      </c>
      <c r="AD603" t="s">
        <v>89</v>
      </c>
      <c r="AE603" t="s">
        <v>3652</v>
      </c>
      <c r="AF603" s="4"/>
    </row>
    <row r="604" spans="1:32">
      <c r="A604" t="s">
        <v>10363</v>
      </c>
      <c r="B604" t="s">
        <v>2193</v>
      </c>
      <c r="C604" t="s">
        <v>897</v>
      </c>
      <c r="D604" t="s">
        <v>29</v>
      </c>
      <c r="E604">
        <v>4400819986</v>
      </c>
      <c r="F604" t="s">
        <v>2605</v>
      </c>
      <c r="G604">
        <v>1135</v>
      </c>
      <c r="I604">
        <v>1135</v>
      </c>
      <c r="J604">
        <v>1135</v>
      </c>
      <c r="K604" s="4">
        <v>45370</v>
      </c>
      <c r="L604" s="4">
        <v>45377</v>
      </c>
      <c r="M604">
        <v>2024</v>
      </c>
      <c r="N604">
        <v>3</v>
      </c>
      <c r="O604" s="4">
        <v>45352</v>
      </c>
      <c r="P604" t="s">
        <v>89</v>
      </c>
      <c r="Q604" s="4"/>
      <c r="S604" t="s">
        <v>2604</v>
      </c>
      <c r="X604" t="s">
        <v>10</v>
      </c>
      <c r="Z604" t="s">
        <v>89</v>
      </c>
      <c r="AA604" t="s">
        <v>89</v>
      </c>
      <c r="AC604" t="s">
        <v>89</v>
      </c>
      <c r="AD604" t="s">
        <v>89</v>
      </c>
      <c r="AE604" t="s">
        <v>3652</v>
      </c>
      <c r="AF604" s="4"/>
    </row>
    <row r="605" spans="1:32">
      <c r="A605" t="s">
        <v>10364</v>
      </c>
      <c r="B605" t="s">
        <v>2193</v>
      </c>
      <c r="C605" t="s">
        <v>896</v>
      </c>
      <c r="D605" t="s">
        <v>29</v>
      </c>
      <c r="E605">
        <v>4400819978</v>
      </c>
      <c r="F605" t="s">
        <v>2601</v>
      </c>
      <c r="G605">
        <v>1135</v>
      </c>
      <c r="I605">
        <v>1135</v>
      </c>
      <c r="J605">
        <v>1135</v>
      </c>
      <c r="K605" s="4">
        <v>45370</v>
      </c>
      <c r="L605" s="4">
        <v>45377</v>
      </c>
      <c r="M605">
        <v>2024</v>
      </c>
      <c r="N605">
        <v>3</v>
      </c>
      <c r="O605" s="4">
        <v>45352</v>
      </c>
      <c r="P605" t="s">
        <v>89</v>
      </c>
      <c r="Q605" s="4"/>
      <c r="S605" t="s">
        <v>2600</v>
      </c>
      <c r="X605" t="s">
        <v>6467</v>
      </c>
      <c r="Z605" t="s">
        <v>89</v>
      </c>
      <c r="AA605" t="s">
        <v>89</v>
      </c>
      <c r="AC605" t="s">
        <v>89</v>
      </c>
      <c r="AD605" t="s">
        <v>89</v>
      </c>
      <c r="AE605" t="s">
        <v>3652</v>
      </c>
      <c r="AF605" s="4"/>
    </row>
    <row r="606" spans="1:32">
      <c r="A606" t="s">
        <v>10365</v>
      </c>
      <c r="B606" t="s">
        <v>2193</v>
      </c>
      <c r="C606" t="s">
        <v>895</v>
      </c>
      <c r="D606" t="s">
        <v>29</v>
      </c>
      <c r="E606">
        <v>4400819977</v>
      </c>
      <c r="F606" t="s">
        <v>2599</v>
      </c>
      <c r="G606">
        <v>1135</v>
      </c>
      <c r="I606">
        <v>1135</v>
      </c>
      <c r="J606">
        <v>1135</v>
      </c>
      <c r="K606" s="4">
        <v>45370</v>
      </c>
      <c r="L606" s="4">
        <v>45377</v>
      </c>
      <c r="M606">
        <v>2024</v>
      </c>
      <c r="N606">
        <v>3</v>
      </c>
      <c r="O606" s="4">
        <v>45352</v>
      </c>
      <c r="P606" t="s">
        <v>89</v>
      </c>
      <c r="Q606" s="4"/>
      <c r="S606" t="s">
        <v>2598</v>
      </c>
      <c r="X606" t="s">
        <v>3665</v>
      </c>
      <c r="Z606" t="s">
        <v>89</v>
      </c>
      <c r="AA606" t="s">
        <v>89</v>
      </c>
      <c r="AC606" t="s">
        <v>89</v>
      </c>
      <c r="AD606" t="s">
        <v>89</v>
      </c>
      <c r="AE606" t="s">
        <v>3652</v>
      </c>
      <c r="AF606" s="4"/>
    </row>
    <row r="607" spans="1:32">
      <c r="A607" t="s">
        <v>10366</v>
      </c>
      <c r="B607" t="s">
        <v>2193</v>
      </c>
      <c r="C607" t="s">
        <v>894</v>
      </c>
      <c r="D607" t="s">
        <v>29</v>
      </c>
      <c r="E607">
        <v>4400819974</v>
      </c>
      <c r="F607" t="s">
        <v>2593</v>
      </c>
      <c r="G607">
        <v>1135</v>
      </c>
      <c r="I607">
        <v>1135</v>
      </c>
      <c r="J607">
        <v>1135</v>
      </c>
      <c r="K607" s="4">
        <v>45370</v>
      </c>
      <c r="L607" s="4">
        <v>45377</v>
      </c>
      <c r="M607">
        <v>2024</v>
      </c>
      <c r="N607">
        <v>3</v>
      </c>
      <c r="O607" s="4">
        <v>45352</v>
      </c>
      <c r="P607" t="s">
        <v>89</v>
      </c>
      <c r="Q607" s="4"/>
      <c r="S607" t="s">
        <v>2591</v>
      </c>
      <c r="X607" t="s">
        <v>10</v>
      </c>
      <c r="Z607" t="s">
        <v>89</v>
      </c>
      <c r="AA607" t="s">
        <v>89</v>
      </c>
      <c r="AC607" t="s">
        <v>89</v>
      </c>
      <c r="AD607" t="s">
        <v>89</v>
      </c>
      <c r="AE607" t="s">
        <v>3652</v>
      </c>
      <c r="AF607" s="4"/>
    </row>
    <row r="608" spans="1:32">
      <c r="A608" t="s">
        <v>10367</v>
      </c>
      <c r="B608" t="s">
        <v>2193</v>
      </c>
      <c r="C608" t="s">
        <v>898</v>
      </c>
      <c r="D608" t="s">
        <v>29</v>
      </c>
      <c r="E608">
        <v>4400819935</v>
      </c>
      <c r="F608" t="s">
        <v>2592</v>
      </c>
      <c r="G608">
        <v>3799</v>
      </c>
      <c r="I608">
        <v>3799</v>
      </c>
      <c r="J608">
        <v>3799</v>
      </c>
      <c r="K608" s="4">
        <v>45370</v>
      </c>
      <c r="L608" s="4">
        <v>45377</v>
      </c>
      <c r="M608">
        <v>2024</v>
      </c>
      <c r="N608">
        <v>3</v>
      </c>
      <c r="O608" s="4">
        <v>45352</v>
      </c>
      <c r="P608" t="s">
        <v>89</v>
      </c>
      <c r="Q608" s="4"/>
      <c r="S608" t="s">
        <v>2591</v>
      </c>
      <c r="X608" t="s">
        <v>10</v>
      </c>
      <c r="Z608" t="s">
        <v>89</v>
      </c>
      <c r="AA608" t="s">
        <v>89</v>
      </c>
      <c r="AC608" t="s">
        <v>89</v>
      </c>
      <c r="AD608" t="s">
        <v>89</v>
      </c>
      <c r="AE608" t="s">
        <v>3652</v>
      </c>
      <c r="AF608" s="4"/>
    </row>
    <row r="609" spans="1:32">
      <c r="A609" t="s">
        <v>10368</v>
      </c>
      <c r="B609" t="s">
        <v>2193</v>
      </c>
      <c r="C609" t="s">
        <v>891</v>
      </c>
      <c r="D609" t="s">
        <v>29</v>
      </c>
      <c r="E609">
        <v>4400819529</v>
      </c>
      <c r="F609" t="s">
        <v>2579</v>
      </c>
      <c r="G609">
        <v>1135</v>
      </c>
      <c r="I609">
        <v>1135</v>
      </c>
      <c r="J609">
        <v>1135</v>
      </c>
      <c r="K609" s="4">
        <v>45370</v>
      </c>
      <c r="L609" s="4">
        <v>45377</v>
      </c>
      <c r="M609">
        <v>2024</v>
      </c>
      <c r="N609">
        <v>3</v>
      </c>
      <c r="O609" s="4">
        <v>45352</v>
      </c>
      <c r="P609" t="s">
        <v>89</v>
      </c>
      <c r="Q609" s="4"/>
      <c r="S609" t="s">
        <v>2578</v>
      </c>
      <c r="X609" t="s">
        <v>10</v>
      </c>
      <c r="Z609" t="s">
        <v>89</v>
      </c>
      <c r="AA609" t="s">
        <v>89</v>
      </c>
      <c r="AC609" t="s">
        <v>89</v>
      </c>
      <c r="AD609" t="s">
        <v>89</v>
      </c>
      <c r="AE609" t="s">
        <v>3652</v>
      </c>
      <c r="AF609" s="4"/>
    </row>
    <row r="610" spans="1:32">
      <c r="A610" t="s">
        <v>10369</v>
      </c>
      <c r="B610" t="s">
        <v>2193</v>
      </c>
      <c r="C610" t="s">
        <v>893</v>
      </c>
      <c r="D610" t="s">
        <v>29</v>
      </c>
      <c r="E610">
        <v>4400819528</v>
      </c>
      <c r="F610" t="s">
        <v>2577</v>
      </c>
      <c r="G610">
        <v>1135</v>
      </c>
      <c r="I610">
        <v>1135</v>
      </c>
      <c r="J610">
        <v>1135</v>
      </c>
      <c r="K610" s="4">
        <v>45370</v>
      </c>
      <c r="L610" s="4">
        <v>45377</v>
      </c>
      <c r="M610">
        <v>2024</v>
      </c>
      <c r="N610">
        <v>3</v>
      </c>
      <c r="O610" s="4">
        <v>45352</v>
      </c>
      <c r="P610" t="s">
        <v>89</v>
      </c>
      <c r="Q610" s="4"/>
      <c r="S610" t="s">
        <v>2576</v>
      </c>
      <c r="X610" t="s">
        <v>10</v>
      </c>
      <c r="Z610" t="s">
        <v>89</v>
      </c>
      <c r="AA610" t="s">
        <v>89</v>
      </c>
      <c r="AC610" t="s">
        <v>89</v>
      </c>
      <c r="AD610" t="s">
        <v>89</v>
      </c>
      <c r="AE610" t="s">
        <v>3652</v>
      </c>
      <c r="AF610" s="4"/>
    </row>
    <row r="611" spans="1:32">
      <c r="A611" t="s">
        <v>10370</v>
      </c>
      <c r="B611" t="s">
        <v>2193</v>
      </c>
      <c r="C611" t="s">
        <v>889</v>
      </c>
      <c r="D611" t="s">
        <v>29</v>
      </c>
      <c r="E611">
        <v>4400837524</v>
      </c>
      <c r="F611" t="s">
        <v>2666</v>
      </c>
      <c r="G611">
        <v>75453</v>
      </c>
      <c r="I611">
        <v>75453</v>
      </c>
      <c r="J611">
        <v>75453</v>
      </c>
      <c r="K611" s="4">
        <v>45363</v>
      </c>
      <c r="L611" s="4">
        <v>45365</v>
      </c>
      <c r="M611">
        <v>2024</v>
      </c>
      <c r="N611">
        <v>3</v>
      </c>
      <c r="O611" s="4">
        <v>45352</v>
      </c>
      <c r="P611" t="s">
        <v>89</v>
      </c>
      <c r="Q611" s="4"/>
      <c r="S611" t="s">
        <v>2621</v>
      </c>
      <c r="X611" t="s">
        <v>3932</v>
      </c>
      <c r="Z611" t="s">
        <v>89</v>
      </c>
      <c r="AA611" t="s">
        <v>89</v>
      </c>
      <c r="AC611" t="s">
        <v>89</v>
      </c>
      <c r="AD611" t="s">
        <v>89</v>
      </c>
      <c r="AE611" t="s">
        <v>3652</v>
      </c>
      <c r="AF611" s="4"/>
    </row>
    <row r="612" spans="1:32">
      <c r="A612" t="s">
        <v>10371</v>
      </c>
      <c r="B612" t="s">
        <v>2193</v>
      </c>
      <c r="C612" t="s">
        <v>887</v>
      </c>
      <c r="D612" t="s">
        <v>29</v>
      </c>
      <c r="E612">
        <v>4400837527</v>
      </c>
      <c r="F612" t="s">
        <v>2671</v>
      </c>
      <c r="G612">
        <v>75453</v>
      </c>
      <c r="I612">
        <v>75453</v>
      </c>
      <c r="J612">
        <v>75453</v>
      </c>
      <c r="K612" s="4">
        <v>45363</v>
      </c>
      <c r="L612" s="4">
        <v>45365</v>
      </c>
      <c r="M612">
        <v>2024</v>
      </c>
      <c r="N612">
        <v>3</v>
      </c>
      <c r="O612" s="4">
        <v>45352</v>
      </c>
      <c r="P612" t="s">
        <v>89</v>
      </c>
      <c r="Q612" s="4"/>
      <c r="S612" t="s">
        <v>2624</v>
      </c>
      <c r="X612" t="s">
        <v>3932</v>
      </c>
      <c r="Z612" t="s">
        <v>89</v>
      </c>
      <c r="AA612" t="s">
        <v>89</v>
      </c>
      <c r="AC612" t="s">
        <v>89</v>
      </c>
      <c r="AD612" t="s">
        <v>89</v>
      </c>
      <c r="AE612" t="s">
        <v>3652</v>
      </c>
      <c r="AF612" s="4"/>
    </row>
    <row r="613" spans="1:32">
      <c r="A613" t="s">
        <v>10372</v>
      </c>
      <c r="B613" t="s">
        <v>2193</v>
      </c>
      <c r="C613" t="s">
        <v>890</v>
      </c>
      <c r="D613" t="s">
        <v>29</v>
      </c>
      <c r="E613">
        <v>4400837529</v>
      </c>
      <c r="F613" t="s">
        <v>2672</v>
      </c>
      <c r="G613">
        <v>75453</v>
      </c>
      <c r="I613">
        <v>75453</v>
      </c>
      <c r="J613">
        <v>75453</v>
      </c>
      <c r="K613" s="4">
        <v>45363</v>
      </c>
      <c r="L613" s="4">
        <v>45365</v>
      </c>
      <c r="M613">
        <v>2024</v>
      </c>
      <c r="N613">
        <v>3</v>
      </c>
      <c r="O613" s="4">
        <v>45352</v>
      </c>
      <c r="P613" t="s">
        <v>89</v>
      </c>
      <c r="Q613" s="4"/>
      <c r="S613" t="s">
        <v>2617</v>
      </c>
      <c r="X613" t="s">
        <v>3932</v>
      </c>
      <c r="Z613" t="s">
        <v>89</v>
      </c>
      <c r="AA613" t="s">
        <v>89</v>
      </c>
      <c r="AC613" t="s">
        <v>89</v>
      </c>
      <c r="AD613" t="s">
        <v>89</v>
      </c>
      <c r="AE613" t="s">
        <v>3652</v>
      </c>
      <c r="AF613" s="4"/>
    </row>
    <row r="614" spans="1:32">
      <c r="A614" t="s">
        <v>10373</v>
      </c>
      <c r="B614" t="s">
        <v>2193</v>
      </c>
      <c r="C614" t="s">
        <v>888</v>
      </c>
      <c r="D614" t="s">
        <v>29</v>
      </c>
      <c r="E614">
        <v>4400837542</v>
      </c>
      <c r="F614" t="s">
        <v>2674</v>
      </c>
      <c r="G614">
        <v>75453</v>
      </c>
      <c r="I614">
        <v>75453</v>
      </c>
      <c r="J614">
        <v>75453</v>
      </c>
      <c r="K614" s="4">
        <v>45363</v>
      </c>
      <c r="L614" s="4">
        <v>45365</v>
      </c>
      <c r="M614">
        <v>2024</v>
      </c>
      <c r="N614">
        <v>3</v>
      </c>
      <c r="O614" s="4">
        <v>45352</v>
      </c>
      <c r="P614" t="s">
        <v>89</v>
      </c>
      <c r="Q614" s="4"/>
      <c r="S614" t="s">
        <v>2673</v>
      </c>
      <c r="X614" t="s">
        <v>3932</v>
      </c>
      <c r="Z614" t="s">
        <v>89</v>
      </c>
      <c r="AA614" t="s">
        <v>89</v>
      </c>
      <c r="AC614" t="s">
        <v>89</v>
      </c>
      <c r="AD614" t="s">
        <v>89</v>
      </c>
      <c r="AE614" t="s">
        <v>3652</v>
      </c>
      <c r="AF614" s="4"/>
    </row>
    <row r="615" spans="1:32">
      <c r="A615" t="s">
        <v>10374</v>
      </c>
      <c r="B615" t="s">
        <v>2193</v>
      </c>
      <c r="C615" t="s">
        <v>873</v>
      </c>
      <c r="D615" t="s">
        <v>29</v>
      </c>
      <c r="E615">
        <v>4400772471</v>
      </c>
      <c r="F615" t="s">
        <v>872</v>
      </c>
      <c r="G615">
        <v>59.29</v>
      </c>
      <c r="I615">
        <v>59.29</v>
      </c>
      <c r="J615">
        <v>59.29</v>
      </c>
      <c r="K615" s="4">
        <v>45336</v>
      </c>
      <c r="L615" s="4">
        <v>45336</v>
      </c>
      <c r="M615">
        <v>2024</v>
      </c>
      <c r="N615">
        <v>2</v>
      </c>
      <c r="O615" s="4">
        <v>45323</v>
      </c>
      <c r="P615" t="s">
        <v>89</v>
      </c>
      <c r="Q615" s="4"/>
      <c r="S615" t="s">
        <v>7628</v>
      </c>
      <c r="X615" t="s">
        <v>10</v>
      </c>
      <c r="Z615" t="s">
        <v>89</v>
      </c>
      <c r="AA615" t="s">
        <v>89</v>
      </c>
      <c r="AC615" t="s">
        <v>89</v>
      </c>
      <c r="AD615" t="s">
        <v>89</v>
      </c>
      <c r="AE615" t="s">
        <v>3652</v>
      </c>
      <c r="AF615" s="4"/>
    </row>
    <row r="616" spans="1:32">
      <c r="A616" t="s">
        <v>10375</v>
      </c>
      <c r="B616" t="s">
        <v>2193</v>
      </c>
      <c r="C616" t="s">
        <v>871</v>
      </c>
      <c r="D616" t="s">
        <v>29</v>
      </c>
      <c r="E616">
        <v>4400772471</v>
      </c>
      <c r="F616" t="s">
        <v>870</v>
      </c>
      <c r="G616">
        <v>56750.02</v>
      </c>
      <c r="I616">
        <v>56750.02</v>
      </c>
      <c r="J616">
        <v>56750.02</v>
      </c>
      <c r="K616" s="4">
        <v>45336</v>
      </c>
      <c r="L616" s="4">
        <v>45336</v>
      </c>
      <c r="M616">
        <v>2024</v>
      </c>
      <c r="N616">
        <v>2</v>
      </c>
      <c r="O616" s="4">
        <v>45323</v>
      </c>
      <c r="P616" t="s">
        <v>89</v>
      </c>
      <c r="Q616" s="4"/>
      <c r="S616" t="s">
        <v>2578</v>
      </c>
      <c r="X616" t="s">
        <v>10</v>
      </c>
      <c r="Z616" t="s">
        <v>89</v>
      </c>
      <c r="AA616" t="s">
        <v>89</v>
      </c>
      <c r="AC616" t="s">
        <v>89</v>
      </c>
      <c r="AD616" t="s">
        <v>89</v>
      </c>
      <c r="AE616" t="s">
        <v>3652</v>
      </c>
      <c r="AF616" s="4"/>
    </row>
    <row r="617" spans="1:32">
      <c r="A617" t="s">
        <v>10376</v>
      </c>
      <c r="B617" t="s">
        <v>2193</v>
      </c>
      <c r="C617" t="s">
        <v>867</v>
      </c>
      <c r="D617" t="s">
        <v>29</v>
      </c>
      <c r="E617">
        <v>4400772471</v>
      </c>
      <c r="F617" t="s">
        <v>866</v>
      </c>
      <c r="G617">
        <v>11821.75</v>
      </c>
      <c r="I617">
        <v>11821.75</v>
      </c>
      <c r="J617">
        <v>11821.75</v>
      </c>
      <c r="K617" s="4">
        <v>45336</v>
      </c>
      <c r="L617" s="4">
        <v>45336</v>
      </c>
      <c r="M617">
        <v>2024</v>
      </c>
      <c r="N617">
        <v>2</v>
      </c>
      <c r="O617" s="4">
        <v>45323</v>
      </c>
      <c r="P617" t="s">
        <v>89</v>
      </c>
      <c r="Q617" s="4"/>
      <c r="S617" t="s">
        <v>2604</v>
      </c>
      <c r="X617" t="s">
        <v>10</v>
      </c>
      <c r="Z617" t="s">
        <v>89</v>
      </c>
      <c r="AA617" t="s">
        <v>89</v>
      </c>
      <c r="AC617" t="s">
        <v>89</v>
      </c>
      <c r="AD617" t="s">
        <v>89</v>
      </c>
      <c r="AE617" t="s">
        <v>3652</v>
      </c>
      <c r="AF617" s="4"/>
    </row>
    <row r="618" spans="1:32">
      <c r="A618" t="s">
        <v>10377</v>
      </c>
      <c r="B618" t="s">
        <v>2193</v>
      </c>
      <c r="C618" t="s">
        <v>865</v>
      </c>
      <c r="D618" t="s">
        <v>29</v>
      </c>
      <c r="E618">
        <v>4400772471</v>
      </c>
      <c r="F618" t="s">
        <v>864</v>
      </c>
      <c r="G618">
        <v>59108.76</v>
      </c>
      <c r="I618">
        <v>59108.76</v>
      </c>
      <c r="J618">
        <v>59108.76</v>
      </c>
      <c r="K618" s="4">
        <v>45336</v>
      </c>
      <c r="L618" s="4">
        <v>45336</v>
      </c>
      <c r="M618">
        <v>2024</v>
      </c>
      <c r="N618">
        <v>2</v>
      </c>
      <c r="O618" s="4">
        <v>45323</v>
      </c>
      <c r="P618" t="s">
        <v>89</v>
      </c>
      <c r="Q618" s="4"/>
      <c r="S618" t="s">
        <v>2591</v>
      </c>
      <c r="X618" t="s">
        <v>10</v>
      </c>
      <c r="Z618" t="s">
        <v>89</v>
      </c>
      <c r="AA618" t="s">
        <v>89</v>
      </c>
      <c r="AC618" t="s">
        <v>89</v>
      </c>
      <c r="AD618" t="s">
        <v>89</v>
      </c>
      <c r="AE618" t="s">
        <v>3652</v>
      </c>
      <c r="AF618" s="4"/>
    </row>
    <row r="619" spans="1:32">
      <c r="A619" t="s">
        <v>10339</v>
      </c>
      <c r="B619" t="s">
        <v>2193</v>
      </c>
      <c r="C619" t="s">
        <v>862</v>
      </c>
      <c r="D619" t="s">
        <v>29</v>
      </c>
      <c r="E619">
        <v>4400772471</v>
      </c>
      <c r="F619" t="s">
        <v>861</v>
      </c>
      <c r="G619">
        <v>81711.87</v>
      </c>
      <c r="I619">
        <v>81711.87</v>
      </c>
      <c r="J619">
        <v>81711.87</v>
      </c>
      <c r="K619" s="4">
        <v>45336</v>
      </c>
      <c r="L619" s="4">
        <v>45336</v>
      </c>
      <c r="M619">
        <v>2024</v>
      </c>
      <c r="N619">
        <v>2</v>
      </c>
      <c r="O619" s="4">
        <v>45323</v>
      </c>
      <c r="P619" t="s">
        <v>89</v>
      </c>
      <c r="Q619" s="4"/>
      <c r="S619" t="s">
        <v>2645</v>
      </c>
      <c r="X619" t="s">
        <v>10</v>
      </c>
      <c r="Z619" t="s">
        <v>89</v>
      </c>
      <c r="AA619" t="s">
        <v>89</v>
      </c>
      <c r="AC619" t="s">
        <v>89</v>
      </c>
      <c r="AD619" t="s">
        <v>89</v>
      </c>
      <c r="AE619" t="s">
        <v>3652</v>
      </c>
      <c r="AF619" s="4"/>
    </row>
    <row r="620" spans="1:32">
      <c r="A620" t="s">
        <v>10378</v>
      </c>
      <c r="B620" t="s">
        <v>2193</v>
      </c>
      <c r="C620" t="s">
        <v>869</v>
      </c>
      <c r="D620" t="s">
        <v>29</v>
      </c>
      <c r="E620">
        <v>4400772471</v>
      </c>
      <c r="F620" t="s">
        <v>868</v>
      </c>
      <c r="G620">
        <v>22030.6</v>
      </c>
      <c r="I620">
        <v>22030.6</v>
      </c>
      <c r="J620">
        <v>22030.6</v>
      </c>
      <c r="K620" s="4">
        <v>45336</v>
      </c>
      <c r="L620" s="4">
        <v>45336</v>
      </c>
      <c r="M620">
        <v>2024</v>
      </c>
      <c r="N620">
        <v>2</v>
      </c>
      <c r="O620" s="4">
        <v>45323</v>
      </c>
      <c r="P620" t="s">
        <v>89</v>
      </c>
      <c r="Q620" s="4"/>
      <c r="S620" t="s">
        <v>2576</v>
      </c>
      <c r="X620" t="s">
        <v>10</v>
      </c>
      <c r="Z620" t="s">
        <v>89</v>
      </c>
      <c r="AA620" t="s">
        <v>89</v>
      </c>
      <c r="AC620" t="s">
        <v>89</v>
      </c>
      <c r="AD620" t="s">
        <v>89</v>
      </c>
      <c r="AE620" t="s">
        <v>3652</v>
      </c>
      <c r="AF620" s="4"/>
    </row>
    <row r="621" spans="1:32">
      <c r="A621" t="s">
        <v>10379</v>
      </c>
      <c r="B621" t="s">
        <v>2193</v>
      </c>
      <c r="C621" t="s">
        <v>848</v>
      </c>
      <c r="D621" t="s">
        <v>29</v>
      </c>
      <c r="E621">
        <v>4400837508</v>
      </c>
      <c r="F621" t="s">
        <v>847</v>
      </c>
      <c r="G621">
        <v>38469</v>
      </c>
      <c r="I621">
        <v>38469</v>
      </c>
      <c r="J621">
        <v>38469</v>
      </c>
      <c r="K621" s="4">
        <v>45329</v>
      </c>
      <c r="L621" s="4">
        <v>45329</v>
      </c>
      <c r="M621">
        <v>2024</v>
      </c>
      <c r="N621">
        <v>2</v>
      </c>
      <c r="O621" s="4">
        <v>45323</v>
      </c>
      <c r="P621" t="s">
        <v>89</v>
      </c>
      <c r="Q621" s="4"/>
      <c r="S621" t="s">
        <v>2664</v>
      </c>
      <c r="X621" t="s">
        <v>3681</v>
      </c>
      <c r="Z621" t="s">
        <v>89</v>
      </c>
      <c r="AA621" t="s">
        <v>89</v>
      </c>
      <c r="AC621" t="s">
        <v>89</v>
      </c>
      <c r="AD621" t="s">
        <v>89</v>
      </c>
      <c r="AE621" t="s">
        <v>3652</v>
      </c>
      <c r="AF621" s="4"/>
    </row>
    <row r="622" spans="1:32">
      <c r="A622" t="s">
        <v>9995</v>
      </c>
      <c r="B622" t="s">
        <v>2193</v>
      </c>
      <c r="D622" t="s">
        <v>48</v>
      </c>
      <c r="E622">
        <v>18612</v>
      </c>
      <c r="F622" t="s">
        <v>3082</v>
      </c>
      <c r="G622">
        <v>14704.509999999998</v>
      </c>
      <c r="I622">
        <v>14704.509999999998</v>
      </c>
      <c r="J622">
        <v>14704.509999999998</v>
      </c>
      <c r="K622" s="4"/>
      <c r="L622" s="4"/>
      <c r="M622">
        <v>2023</v>
      </c>
      <c r="N622">
        <v>8</v>
      </c>
      <c r="O622" s="4">
        <v>45139</v>
      </c>
      <c r="P622" t="s">
        <v>89</v>
      </c>
      <c r="Q622" s="4"/>
      <c r="S622" t="s">
        <v>3086</v>
      </c>
      <c r="X622" t="s">
        <v>3770</v>
      </c>
      <c r="Z622" t="s">
        <v>89</v>
      </c>
      <c r="AA622" t="s">
        <v>89</v>
      </c>
      <c r="AC622" t="s">
        <v>89</v>
      </c>
      <c r="AD622">
        <v>0</v>
      </c>
      <c r="AE622" t="s">
        <v>9251</v>
      </c>
      <c r="AF622" s="4"/>
    </row>
    <row r="623" spans="1:32">
      <c r="A623" t="s">
        <v>9995</v>
      </c>
      <c r="B623" t="s">
        <v>2193</v>
      </c>
      <c r="D623" t="s">
        <v>48</v>
      </c>
      <c r="E623">
        <v>18612</v>
      </c>
      <c r="F623" t="s">
        <v>3082</v>
      </c>
      <c r="G623">
        <v>14704.509999999998</v>
      </c>
      <c r="I623">
        <v>14704.509999999998</v>
      </c>
      <c r="J623">
        <v>14704.509999999998</v>
      </c>
      <c r="K623" s="4"/>
      <c r="L623" s="4"/>
      <c r="M623">
        <v>2023</v>
      </c>
      <c r="N623">
        <v>8</v>
      </c>
      <c r="O623" s="4">
        <v>45139</v>
      </c>
      <c r="P623" t="s">
        <v>89</v>
      </c>
      <c r="Q623" s="4"/>
      <c r="S623" t="s">
        <v>3088</v>
      </c>
      <c r="X623" t="s">
        <v>3770</v>
      </c>
      <c r="Z623" t="s">
        <v>89</v>
      </c>
      <c r="AA623" t="s">
        <v>89</v>
      </c>
      <c r="AC623" t="s">
        <v>89</v>
      </c>
      <c r="AD623" t="s">
        <v>89</v>
      </c>
      <c r="AE623" t="s">
        <v>3652</v>
      </c>
      <c r="AF623" s="4"/>
    </row>
    <row r="624" spans="1:32">
      <c r="A624" t="s">
        <v>9995</v>
      </c>
      <c r="B624" t="s">
        <v>2193</v>
      </c>
      <c r="D624" t="s">
        <v>48</v>
      </c>
      <c r="E624">
        <v>18612</v>
      </c>
      <c r="F624" t="s">
        <v>3082</v>
      </c>
      <c r="G624">
        <v>14704.509999999998</v>
      </c>
      <c r="I624">
        <v>14704.509999999998</v>
      </c>
      <c r="J624">
        <v>14704.509999999998</v>
      </c>
      <c r="K624" s="4"/>
      <c r="L624" s="4"/>
      <c r="M624">
        <v>2023</v>
      </c>
      <c r="N624">
        <v>8</v>
      </c>
      <c r="O624" s="4">
        <v>45139</v>
      </c>
      <c r="P624" t="s">
        <v>89</v>
      </c>
      <c r="Q624" s="4"/>
      <c r="S624" t="s">
        <v>3089</v>
      </c>
      <c r="X624" t="s">
        <v>3770</v>
      </c>
      <c r="Z624" t="s">
        <v>89</v>
      </c>
      <c r="AA624" t="s">
        <v>89</v>
      </c>
      <c r="AC624" t="s">
        <v>89</v>
      </c>
      <c r="AD624" t="s">
        <v>89</v>
      </c>
      <c r="AE624" t="s">
        <v>3652</v>
      </c>
      <c r="AF624" s="4"/>
    </row>
    <row r="625" spans="1:32">
      <c r="A625" t="s">
        <v>10380</v>
      </c>
      <c r="B625" t="s">
        <v>2193</v>
      </c>
      <c r="D625" t="s">
        <v>47</v>
      </c>
      <c r="E625">
        <v>21740541</v>
      </c>
      <c r="F625" t="s">
        <v>3026</v>
      </c>
      <c r="G625">
        <v>4061.6870999999996</v>
      </c>
      <c r="I625">
        <v>4061.6870999999996</v>
      </c>
      <c r="J625">
        <v>4061.6870999999996</v>
      </c>
      <c r="K625" s="4"/>
      <c r="L625" s="4"/>
      <c r="M625">
        <v>2023</v>
      </c>
      <c r="N625">
        <v>9</v>
      </c>
      <c r="O625" s="4">
        <v>45170</v>
      </c>
      <c r="P625" t="s">
        <v>89</v>
      </c>
      <c r="Q625" s="4"/>
      <c r="S625" t="s">
        <v>3025</v>
      </c>
      <c r="X625" t="s">
        <v>2369</v>
      </c>
      <c r="Z625" t="s">
        <v>89</v>
      </c>
      <c r="AA625" t="s">
        <v>89</v>
      </c>
      <c r="AC625" t="s">
        <v>89</v>
      </c>
      <c r="AD625">
        <v>0</v>
      </c>
      <c r="AE625" t="s">
        <v>9251</v>
      </c>
      <c r="AF625" s="4"/>
    </row>
    <row r="626" spans="1:32">
      <c r="A626" t="s">
        <v>10381</v>
      </c>
      <c r="B626" t="s">
        <v>2193</v>
      </c>
      <c r="D626" t="s">
        <v>47</v>
      </c>
      <c r="E626">
        <v>21740541</v>
      </c>
      <c r="F626" t="s">
        <v>3026</v>
      </c>
      <c r="G626">
        <v>4061.3120999999996</v>
      </c>
      <c r="I626">
        <v>4061.3120999999996</v>
      </c>
      <c r="J626">
        <v>4061.3120999999996</v>
      </c>
      <c r="K626" s="4"/>
      <c r="L626" s="4"/>
      <c r="M626">
        <v>2023</v>
      </c>
      <c r="N626">
        <v>9</v>
      </c>
      <c r="O626" s="4">
        <v>45170</v>
      </c>
      <c r="P626" t="s">
        <v>89</v>
      </c>
      <c r="Q626" s="4"/>
      <c r="S626" t="s">
        <v>3027</v>
      </c>
      <c r="X626" t="s">
        <v>3681</v>
      </c>
      <c r="Z626" t="s">
        <v>89</v>
      </c>
      <c r="AA626" t="s">
        <v>89</v>
      </c>
      <c r="AC626" t="s">
        <v>89</v>
      </c>
      <c r="AD626">
        <v>0</v>
      </c>
      <c r="AE626" t="s">
        <v>9251</v>
      </c>
      <c r="AF626" s="4"/>
    </row>
    <row r="627" spans="1:32">
      <c r="A627" t="s">
        <v>9699</v>
      </c>
      <c r="B627" t="s">
        <v>2193</v>
      </c>
      <c r="D627" t="s">
        <v>47</v>
      </c>
      <c r="E627">
        <v>21740604</v>
      </c>
      <c r="F627" t="s">
        <v>3035</v>
      </c>
      <c r="G627">
        <v>2230.1999999999998</v>
      </c>
      <c r="I627">
        <v>2230.1999999999998</v>
      </c>
      <c r="J627">
        <v>2230.1999999999998</v>
      </c>
      <c r="K627" s="4"/>
      <c r="L627" s="4"/>
      <c r="M627">
        <v>2023</v>
      </c>
      <c r="N627">
        <v>9</v>
      </c>
      <c r="O627" s="4">
        <v>45170</v>
      </c>
      <c r="P627" t="s">
        <v>89</v>
      </c>
      <c r="Q627" s="4"/>
      <c r="S627" t="s">
        <v>3034</v>
      </c>
      <c r="X627" t="s">
        <v>2369</v>
      </c>
      <c r="Z627" t="s">
        <v>89</v>
      </c>
      <c r="AA627" t="s">
        <v>89</v>
      </c>
      <c r="AC627" t="s">
        <v>89</v>
      </c>
      <c r="AD627">
        <v>0</v>
      </c>
      <c r="AE627" t="s">
        <v>9251</v>
      </c>
      <c r="AF627" s="4"/>
    </row>
    <row r="628" spans="1:32">
      <c r="A628" t="s">
        <v>9699</v>
      </c>
      <c r="B628" t="s">
        <v>2193</v>
      </c>
      <c r="D628" t="s">
        <v>47</v>
      </c>
      <c r="E628">
        <v>21740604</v>
      </c>
      <c r="F628" t="s">
        <v>3035</v>
      </c>
      <c r="G628">
        <v>2230.1999999999998</v>
      </c>
      <c r="I628">
        <v>2230.1999999999998</v>
      </c>
      <c r="J628">
        <v>2230.1999999999998</v>
      </c>
      <c r="K628" s="4"/>
      <c r="L628" s="4"/>
      <c r="M628">
        <v>2023</v>
      </c>
      <c r="N628">
        <v>9</v>
      </c>
      <c r="O628" s="4">
        <v>45170</v>
      </c>
      <c r="P628" t="s">
        <v>89</v>
      </c>
      <c r="Q628" s="4"/>
      <c r="S628" t="s">
        <v>3036</v>
      </c>
      <c r="X628" t="s">
        <v>3681</v>
      </c>
      <c r="Z628" t="s">
        <v>89</v>
      </c>
      <c r="AA628" t="s">
        <v>89</v>
      </c>
      <c r="AC628" t="s">
        <v>89</v>
      </c>
      <c r="AD628">
        <v>0</v>
      </c>
      <c r="AE628" t="s">
        <v>9251</v>
      </c>
      <c r="AF628" s="4"/>
    </row>
    <row r="629" spans="1:32">
      <c r="A629" t="s">
        <v>9699</v>
      </c>
      <c r="B629" t="s">
        <v>2193</v>
      </c>
      <c r="D629" t="s">
        <v>47</v>
      </c>
      <c r="E629">
        <v>21740604</v>
      </c>
      <c r="F629" t="s">
        <v>3035</v>
      </c>
      <c r="G629">
        <v>2230.1999999999998</v>
      </c>
      <c r="I629">
        <v>2230.1999999999998</v>
      </c>
      <c r="J629">
        <v>2230.1999999999998</v>
      </c>
      <c r="K629" s="4"/>
      <c r="L629" s="4"/>
      <c r="M629">
        <v>2023</v>
      </c>
      <c r="N629">
        <v>9</v>
      </c>
      <c r="O629" s="4">
        <v>45170</v>
      </c>
      <c r="P629" t="s">
        <v>89</v>
      </c>
      <c r="Q629" s="4"/>
      <c r="S629" t="s">
        <v>3037</v>
      </c>
      <c r="X629" t="s">
        <v>3681</v>
      </c>
      <c r="Z629" t="s">
        <v>89</v>
      </c>
      <c r="AA629" t="s">
        <v>89</v>
      </c>
      <c r="AC629" t="s">
        <v>89</v>
      </c>
      <c r="AD629">
        <v>0</v>
      </c>
      <c r="AE629" t="s">
        <v>9251</v>
      </c>
      <c r="AF629" s="4"/>
    </row>
    <row r="630" spans="1:32">
      <c r="A630" t="s">
        <v>9699</v>
      </c>
      <c r="B630" t="s">
        <v>2193</v>
      </c>
      <c r="D630" t="s">
        <v>47</v>
      </c>
      <c r="E630">
        <v>21740604</v>
      </c>
      <c r="F630" t="s">
        <v>3035</v>
      </c>
      <c r="G630">
        <v>2230.1999999999998</v>
      </c>
      <c r="I630">
        <v>2230.1999999999998</v>
      </c>
      <c r="J630">
        <v>2230.1999999999998</v>
      </c>
      <c r="K630" s="4"/>
      <c r="L630" s="4"/>
      <c r="M630">
        <v>2023</v>
      </c>
      <c r="N630">
        <v>9</v>
      </c>
      <c r="O630" s="4">
        <v>45170</v>
      </c>
      <c r="P630" t="s">
        <v>89</v>
      </c>
      <c r="Q630" s="4"/>
      <c r="S630" t="s">
        <v>3038</v>
      </c>
      <c r="X630" t="s">
        <v>3681</v>
      </c>
      <c r="Z630" t="s">
        <v>89</v>
      </c>
      <c r="AA630" t="s">
        <v>89</v>
      </c>
      <c r="AC630" t="s">
        <v>89</v>
      </c>
      <c r="AD630" t="s">
        <v>89</v>
      </c>
      <c r="AE630" t="s">
        <v>3652</v>
      </c>
      <c r="AF630" s="4"/>
    </row>
    <row r="631" spans="1:32">
      <c r="A631" t="s">
        <v>9699</v>
      </c>
      <c r="B631" t="s">
        <v>2193</v>
      </c>
      <c r="D631" t="s">
        <v>47</v>
      </c>
      <c r="E631">
        <v>21740604</v>
      </c>
      <c r="F631" t="s">
        <v>3035</v>
      </c>
      <c r="G631">
        <v>2230.1999999999998</v>
      </c>
      <c r="I631">
        <v>2230.1999999999998</v>
      </c>
      <c r="J631">
        <v>2230.1999999999998</v>
      </c>
      <c r="K631" s="4"/>
      <c r="L631" s="4"/>
      <c r="M631">
        <v>2023</v>
      </c>
      <c r="N631">
        <v>9</v>
      </c>
      <c r="O631" s="4">
        <v>45170</v>
      </c>
      <c r="P631" t="s">
        <v>89</v>
      </c>
      <c r="Q631" s="4"/>
      <c r="S631" t="s">
        <v>3039</v>
      </c>
      <c r="X631" t="s">
        <v>3681</v>
      </c>
      <c r="Z631" t="s">
        <v>89</v>
      </c>
      <c r="AA631" t="s">
        <v>89</v>
      </c>
      <c r="AC631" t="s">
        <v>89</v>
      </c>
      <c r="AD631" t="s">
        <v>89</v>
      </c>
      <c r="AE631" t="s">
        <v>3652</v>
      </c>
      <c r="AF631" s="4"/>
    </row>
    <row r="632" spans="1:32">
      <c r="A632" t="s">
        <v>9699</v>
      </c>
      <c r="B632" t="s">
        <v>2193</v>
      </c>
      <c r="D632" t="s">
        <v>47</v>
      </c>
      <c r="E632">
        <v>21740604</v>
      </c>
      <c r="F632" t="s">
        <v>3035</v>
      </c>
      <c r="G632">
        <v>2230.1999999999998</v>
      </c>
      <c r="I632">
        <v>2230.1999999999998</v>
      </c>
      <c r="J632">
        <v>2230.1999999999998</v>
      </c>
      <c r="K632" s="4"/>
      <c r="L632" s="4"/>
      <c r="M632">
        <v>2023</v>
      </c>
      <c r="N632">
        <v>9</v>
      </c>
      <c r="O632" s="4">
        <v>45170</v>
      </c>
      <c r="P632" t="s">
        <v>89</v>
      </c>
      <c r="Q632" s="4"/>
      <c r="S632" t="s">
        <v>3040</v>
      </c>
      <c r="X632" t="s">
        <v>3681</v>
      </c>
      <c r="Z632" t="s">
        <v>89</v>
      </c>
      <c r="AA632" t="s">
        <v>89</v>
      </c>
      <c r="AC632" t="s">
        <v>89</v>
      </c>
      <c r="AD632">
        <v>0</v>
      </c>
      <c r="AE632" t="s">
        <v>9251</v>
      </c>
      <c r="AF632" s="4"/>
    </row>
    <row r="633" spans="1:32">
      <c r="A633" t="s">
        <v>9699</v>
      </c>
      <c r="B633" t="s">
        <v>2193</v>
      </c>
      <c r="D633" t="s">
        <v>47</v>
      </c>
      <c r="E633">
        <v>21740604</v>
      </c>
      <c r="F633" t="s">
        <v>3035</v>
      </c>
      <c r="G633">
        <v>2230.1999999999998</v>
      </c>
      <c r="I633">
        <v>2230.1999999999998</v>
      </c>
      <c r="J633">
        <v>2230.1999999999998</v>
      </c>
      <c r="K633" s="4"/>
      <c r="L633" s="4"/>
      <c r="M633">
        <v>2023</v>
      </c>
      <c r="N633">
        <v>9</v>
      </c>
      <c r="O633" s="4">
        <v>45170</v>
      </c>
      <c r="P633" t="s">
        <v>89</v>
      </c>
      <c r="Q633" s="4"/>
      <c r="S633" t="s">
        <v>3041</v>
      </c>
      <c r="X633" t="s">
        <v>2369</v>
      </c>
      <c r="Z633" t="s">
        <v>89</v>
      </c>
      <c r="AA633" t="s">
        <v>89</v>
      </c>
      <c r="AC633" t="s">
        <v>89</v>
      </c>
      <c r="AD633" t="s">
        <v>89</v>
      </c>
      <c r="AE633" t="s">
        <v>3652</v>
      </c>
      <c r="AF633" s="4"/>
    </row>
    <row r="634" spans="1:32">
      <c r="A634" t="s">
        <v>10382</v>
      </c>
      <c r="B634" t="s">
        <v>2193</v>
      </c>
      <c r="D634" t="s">
        <v>47</v>
      </c>
      <c r="E634">
        <v>21740606</v>
      </c>
      <c r="F634" t="s">
        <v>3043</v>
      </c>
      <c r="G634">
        <v>11211.462099999999</v>
      </c>
      <c r="I634">
        <v>11211.462099999999</v>
      </c>
      <c r="J634">
        <v>11211.462099999999</v>
      </c>
      <c r="K634" s="4"/>
      <c r="L634" s="4"/>
      <c r="M634">
        <v>2023</v>
      </c>
      <c r="N634">
        <v>9</v>
      </c>
      <c r="O634" s="4">
        <v>45170</v>
      </c>
      <c r="P634" t="s">
        <v>89</v>
      </c>
      <c r="Q634" s="4"/>
      <c r="S634" t="s">
        <v>3042</v>
      </c>
      <c r="X634" t="s">
        <v>3681</v>
      </c>
      <c r="Z634" t="s">
        <v>89</v>
      </c>
      <c r="AA634" t="s">
        <v>89</v>
      </c>
      <c r="AC634" t="s">
        <v>89</v>
      </c>
      <c r="AD634">
        <v>0</v>
      </c>
      <c r="AE634" t="s">
        <v>9251</v>
      </c>
      <c r="AF634" s="4"/>
    </row>
    <row r="635" spans="1:32">
      <c r="A635" t="s">
        <v>10383</v>
      </c>
      <c r="B635" t="s">
        <v>2193</v>
      </c>
      <c r="D635" t="s">
        <v>47</v>
      </c>
      <c r="E635">
        <v>21740606</v>
      </c>
      <c r="F635" t="s">
        <v>3043</v>
      </c>
      <c r="G635">
        <v>11210.912099999998</v>
      </c>
      <c r="I635">
        <v>11210.912099999998</v>
      </c>
      <c r="J635">
        <v>11210.912099999998</v>
      </c>
      <c r="K635" s="4"/>
      <c r="L635" s="4"/>
      <c r="M635">
        <v>2023</v>
      </c>
      <c r="N635">
        <v>9</v>
      </c>
      <c r="O635" s="4">
        <v>45170</v>
      </c>
      <c r="P635" t="s">
        <v>89</v>
      </c>
      <c r="Q635" s="4"/>
      <c r="S635" t="s">
        <v>3044</v>
      </c>
      <c r="X635" t="s">
        <v>3681</v>
      </c>
      <c r="Z635" t="s">
        <v>89</v>
      </c>
      <c r="AA635" t="s">
        <v>89</v>
      </c>
      <c r="AC635" t="s">
        <v>89</v>
      </c>
      <c r="AD635" t="s">
        <v>89</v>
      </c>
      <c r="AE635" t="s">
        <v>3652</v>
      </c>
      <c r="AF635" s="4"/>
    </row>
    <row r="636" spans="1:32">
      <c r="A636" t="s">
        <v>10384</v>
      </c>
      <c r="B636" t="s">
        <v>2193</v>
      </c>
      <c r="D636" t="s">
        <v>47</v>
      </c>
      <c r="E636">
        <v>21740606</v>
      </c>
      <c r="F636" t="s">
        <v>3046</v>
      </c>
      <c r="G636">
        <v>13133.312099999999</v>
      </c>
      <c r="I636">
        <v>13133.312099999999</v>
      </c>
      <c r="J636">
        <v>13133.312099999999</v>
      </c>
      <c r="K636" s="4"/>
      <c r="L636" s="4"/>
      <c r="M636">
        <v>2023</v>
      </c>
      <c r="N636">
        <v>9</v>
      </c>
      <c r="O636" s="4">
        <v>45170</v>
      </c>
      <c r="P636" t="s">
        <v>89</v>
      </c>
      <c r="Q636" s="4"/>
      <c r="S636" t="s">
        <v>3045</v>
      </c>
      <c r="X636" t="s">
        <v>3911</v>
      </c>
      <c r="Z636" t="s">
        <v>89</v>
      </c>
      <c r="AA636" t="s">
        <v>89</v>
      </c>
      <c r="AC636" t="s">
        <v>89</v>
      </c>
      <c r="AD636" t="s">
        <v>89</v>
      </c>
      <c r="AE636" t="s">
        <v>3652</v>
      </c>
      <c r="AF636" s="4"/>
    </row>
    <row r="637" spans="1:32">
      <c r="A637" t="s">
        <v>10384</v>
      </c>
      <c r="B637" t="s">
        <v>2193</v>
      </c>
      <c r="D637" t="s">
        <v>47</v>
      </c>
      <c r="E637">
        <v>21740606</v>
      </c>
      <c r="F637" t="s">
        <v>3046</v>
      </c>
      <c r="G637">
        <v>13133.312099999999</v>
      </c>
      <c r="I637">
        <v>13133.312099999999</v>
      </c>
      <c r="J637">
        <v>13133.312099999999</v>
      </c>
      <c r="K637" s="4"/>
      <c r="L637" s="4"/>
      <c r="M637">
        <v>2023</v>
      </c>
      <c r="N637">
        <v>9</v>
      </c>
      <c r="O637" s="4">
        <v>45170</v>
      </c>
      <c r="P637" t="s">
        <v>89</v>
      </c>
      <c r="Q637" s="4"/>
      <c r="S637" t="s">
        <v>3047</v>
      </c>
      <c r="X637" t="s">
        <v>4784</v>
      </c>
      <c r="Z637" t="s">
        <v>89</v>
      </c>
      <c r="AA637" t="s">
        <v>89</v>
      </c>
      <c r="AC637" t="s">
        <v>89</v>
      </c>
      <c r="AD637">
        <v>0</v>
      </c>
      <c r="AE637" t="s">
        <v>9251</v>
      </c>
      <c r="AF637" s="4"/>
    </row>
    <row r="638" spans="1:32">
      <c r="A638" t="s">
        <v>10385</v>
      </c>
      <c r="B638" t="s">
        <v>2193</v>
      </c>
      <c r="D638" t="s">
        <v>47</v>
      </c>
      <c r="E638">
        <v>21740607</v>
      </c>
      <c r="F638" t="s">
        <v>3051</v>
      </c>
      <c r="G638">
        <v>9386.4480000000003</v>
      </c>
      <c r="I638">
        <v>9386.4480000000003</v>
      </c>
      <c r="J638">
        <v>9386.4480000000003</v>
      </c>
      <c r="K638" s="4"/>
      <c r="L638" s="4"/>
      <c r="M638">
        <v>2023</v>
      </c>
      <c r="N638">
        <v>9</v>
      </c>
      <c r="O638" s="4">
        <v>45170</v>
      </c>
      <c r="P638" t="s">
        <v>89</v>
      </c>
      <c r="Q638" s="4"/>
      <c r="S638" t="s">
        <v>3048</v>
      </c>
      <c r="X638" t="s">
        <v>2369</v>
      </c>
      <c r="Z638" t="s">
        <v>89</v>
      </c>
      <c r="AA638" t="s">
        <v>89</v>
      </c>
      <c r="AC638" t="s">
        <v>89</v>
      </c>
      <c r="AD638">
        <v>0</v>
      </c>
      <c r="AE638" t="s">
        <v>9251</v>
      </c>
      <c r="AF638" s="4"/>
    </row>
    <row r="639" spans="1:32">
      <c r="A639" t="s">
        <v>10386</v>
      </c>
      <c r="B639" t="s">
        <v>2193</v>
      </c>
      <c r="D639" t="s">
        <v>47</v>
      </c>
      <c r="E639">
        <v>21740607</v>
      </c>
      <c r="F639" t="s">
        <v>3051</v>
      </c>
      <c r="G639">
        <v>4693.2240000000002</v>
      </c>
      <c r="I639">
        <v>4693.2240000000002</v>
      </c>
      <c r="J639">
        <v>4693.2240000000002</v>
      </c>
      <c r="K639" s="4"/>
      <c r="L639" s="4"/>
      <c r="M639">
        <v>2023</v>
      </c>
      <c r="N639">
        <v>9</v>
      </c>
      <c r="O639" s="4">
        <v>45170</v>
      </c>
      <c r="P639" t="s">
        <v>89</v>
      </c>
      <c r="Q639" s="4"/>
      <c r="S639" t="s">
        <v>3050</v>
      </c>
      <c r="X639" t="s">
        <v>3911</v>
      </c>
      <c r="Z639" t="s">
        <v>89</v>
      </c>
      <c r="AA639" t="s">
        <v>89</v>
      </c>
      <c r="AC639" t="s">
        <v>89</v>
      </c>
      <c r="AD639">
        <v>0</v>
      </c>
      <c r="AE639" t="s">
        <v>9251</v>
      </c>
      <c r="AF639" s="4"/>
    </row>
    <row r="640" spans="1:32">
      <c r="A640" t="s">
        <v>10385</v>
      </c>
      <c r="B640" t="s">
        <v>2193</v>
      </c>
      <c r="D640" t="s">
        <v>47</v>
      </c>
      <c r="E640">
        <v>21740607</v>
      </c>
      <c r="F640" t="s">
        <v>3054</v>
      </c>
      <c r="G640">
        <v>9386.4480000000003</v>
      </c>
      <c r="I640">
        <v>9386.4480000000003</v>
      </c>
      <c r="J640">
        <v>9386.4480000000003</v>
      </c>
      <c r="K640" s="4"/>
      <c r="L640" s="4"/>
      <c r="M640">
        <v>2023</v>
      </c>
      <c r="N640">
        <v>9</v>
      </c>
      <c r="O640" s="4">
        <v>45170</v>
      </c>
      <c r="P640" t="s">
        <v>89</v>
      </c>
      <c r="Q640" s="4"/>
      <c r="S640" t="s">
        <v>3053</v>
      </c>
      <c r="X640" t="s">
        <v>3911</v>
      </c>
      <c r="Z640" t="s">
        <v>89</v>
      </c>
      <c r="AA640" t="s">
        <v>89</v>
      </c>
      <c r="AC640" t="s">
        <v>89</v>
      </c>
      <c r="AD640">
        <v>0</v>
      </c>
      <c r="AE640" t="s">
        <v>9251</v>
      </c>
      <c r="AF640" s="4"/>
    </row>
    <row r="641" spans="1:32">
      <c r="A641" t="s">
        <v>10385</v>
      </c>
      <c r="B641" t="s">
        <v>2193</v>
      </c>
      <c r="D641" t="s">
        <v>47</v>
      </c>
      <c r="E641">
        <v>21740607</v>
      </c>
      <c r="F641" t="s">
        <v>3054</v>
      </c>
      <c r="G641">
        <v>9386.4480000000003</v>
      </c>
      <c r="I641">
        <v>9386.4480000000003</v>
      </c>
      <c r="J641">
        <v>9386.4480000000003</v>
      </c>
      <c r="K641" s="4"/>
      <c r="L641" s="4"/>
      <c r="M641">
        <v>2023</v>
      </c>
      <c r="N641">
        <v>9</v>
      </c>
      <c r="O641" s="4">
        <v>45170</v>
      </c>
      <c r="P641" t="s">
        <v>89</v>
      </c>
      <c r="Q641" s="4"/>
      <c r="S641" t="s">
        <v>3055</v>
      </c>
      <c r="X641" t="s">
        <v>3911</v>
      </c>
      <c r="Z641" t="s">
        <v>89</v>
      </c>
      <c r="AA641" t="s">
        <v>89</v>
      </c>
      <c r="AC641" t="s">
        <v>89</v>
      </c>
      <c r="AD641" t="s">
        <v>89</v>
      </c>
      <c r="AE641" t="s">
        <v>3652</v>
      </c>
      <c r="AF641" s="4"/>
    </row>
    <row r="642" spans="1:32">
      <c r="A642" t="s">
        <v>10386</v>
      </c>
      <c r="B642" t="s">
        <v>2193</v>
      </c>
      <c r="D642" t="s">
        <v>47</v>
      </c>
      <c r="E642">
        <v>21740607</v>
      </c>
      <c r="F642" t="s">
        <v>3054</v>
      </c>
      <c r="G642">
        <v>4693.2240000000002</v>
      </c>
      <c r="I642">
        <v>4693.2240000000002</v>
      </c>
      <c r="J642">
        <v>4693.2240000000002</v>
      </c>
      <c r="K642" s="4"/>
      <c r="L642" s="4"/>
      <c r="M642">
        <v>2023</v>
      </c>
      <c r="N642">
        <v>9</v>
      </c>
      <c r="O642" s="4">
        <v>45170</v>
      </c>
      <c r="P642" t="s">
        <v>89</v>
      </c>
      <c r="Q642" s="4"/>
      <c r="S642" t="s">
        <v>3056</v>
      </c>
      <c r="X642" t="s">
        <v>3911</v>
      </c>
      <c r="Z642" t="s">
        <v>89</v>
      </c>
      <c r="AA642" t="s">
        <v>89</v>
      </c>
      <c r="AC642" t="s">
        <v>89</v>
      </c>
      <c r="AD642">
        <v>0</v>
      </c>
      <c r="AE642" t="s">
        <v>9251</v>
      </c>
      <c r="AF642" s="4"/>
    </row>
    <row r="643" spans="1:32">
      <c r="A643" t="s">
        <v>10386</v>
      </c>
      <c r="B643" t="s">
        <v>2193</v>
      </c>
      <c r="D643" t="s">
        <v>47</v>
      </c>
      <c r="E643">
        <v>21740607</v>
      </c>
      <c r="F643" t="s">
        <v>3054</v>
      </c>
      <c r="G643">
        <v>4693.2240000000002</v>
      </c>
      <c r="I643">
        <v>4693.2240000000002</v>
      </c>
      <c r="J643">
        <v>4693.2240000000002</v>
      </c>
      <c r="K643" s="4"/>
      <c r="L643" s="4"/>
      <c r="M643">
        <v>2023</v>
      </c>
      <c r="N643">
        <v>9</v>
      </c>
      <c r="O643" s="4">
        <v>45170</v>
      </c>
      <c r="P643" t="s">
        <v>89</v>
      </c>
      <c r="Q643" s="4"/>
      <c r="S643" t="s">
        <v>3057</v>
      </c>
      <c r="X643" t="s">
        <v>3932</v>
      </c>
      <c r="Z643" t="s">
        <v>89</v>
      </c>
      <c r="AA643" t="s">
        <v>89</v>
      </c>
      <c r="AC643" t="s">
        <v>89</v>
      </c>
      <c r="AD643">
        <v>0</v>
      </c>
      <c r="AE643" t="s">
        <v>9251</v>
      </c>
      <c r="AF643" s="4"/>
    </row>
    <row r="644" spans="1:32">
      <c r="A644" t="s">
        <v>10387</v>
      </c>
      <c r="B644" t="s">
        <v>2193</v>
      </c>
      <c r="D644" t="s">
        <v>47</v>
      </c>
      <c r="E644">
        <v>21740607</v>
      </c>
      <c r="F644" t="s">
        <v>3059</v>
      </c>
      <c r="G644">
        <v>17465.453999999998</v>
      </c>
      <c r="I644">
        <v>17465.453999999998</v>
      </c>
      <c r="J644">
        <v>17465.453999999998</v>
      </c>
      <c r="K644" s="4"/>
      <c r="L644" s="4"/>
      <c r="M644">
        <v>2023</v>
      </c>
      <c r="N644">
        <v>9</v>
      </c>
      <c r="O644" s="4">
        <v>45170</v>
      </c>
      <c r="P644" t="s">
        <v>89</v>
      </c>
      <c r="Q644" s="4"/>
      <c r="S644" t="s">
        <v>3058</v>
      </c>
      <c r="X644" t="s">
        <v>10281</v>
      </c>
      <c r="Z644" t="s">
        <v>89</v>
      </c>
      <c r="AA644" t="s">
        <v>89</v>
      </c>
      <c r="AC644" t="s">
        <v>89</v>
      </c>
      <c r="AD644" t="s">
        <v>89</v>
      </c>
      <c r="AE644" t="s">
        <v>3652</v>
      </c>
      <c r="AF644" s="4"/>
    </row>
    <row r="645" spans="1:32">
      <c r="A645" t="s">
        <v>10388</v>
      </c>
      <c r="B645" t="s">
        <v>2193</v>
      </c>
      <c r="D645" t="s">
        <v>47</v>
      </c>
      <c r="E645">
        <v>21740607</v>
      </c>
      <c r="F645" t="s">
        <v>3049</v>
      </c>
      <c r="G645">
        <v>17465.964</v>
      </c>
      <c r="I645">
        <v>17465.964</v>
      </c>
      <c r="J645">
        <v>17465.964</v>
      </c>
      <c r="K645" s="4"/>
      <c r="L645" s="4"/>
      <c r="M645">
        <v>2023</v>
      </c>
      <c r="N645">
        <v>9</v>
      </c>
      <c r="O645" s="4">
        <v>45170</v>
      </c>
      <c r="P645" t="s">
        <v>89</v>
      </c>
      <c r="Q645" s="4"/>
      <c r="S645" t="s">
        <v>3060</v>
      </c>
      <c r="X645" t="s">
        <v>2369</v>
      </c>
      <c r="Z645" t="s">
        <v>89</v>
      </c>
      <c r="AA645" t="s">
        <v>89</v>
      </c>
      <c r="AC645" t="s">
        <v>89</v>
      </c>
      <c r="AD645" t="s">
        <v>89</v>
      </c>
      <c r="AE645" t="s">
        <v>3652</v>
      </c>
      <c r="AF645" s="4"/>
    </row>
    <row r="646" spans="1:32">
      <c r="A646" t="s">
        <v>10389</v>
      </c>
      <c r="B646" t="s">
        <v>2193</v>
      </c>
      <c r="D646" t="s">
        <v>47</v>
      </c>
      <c r="E646">
        <v>21740607</v>
      </c>
      <c r="F646" t="s">
        <v>3049</v>
      </c>
      <c r="G646">
        <v>8732.982</v>
      </c>
      <c r="I646">
        <v>8732.982</v>
      </c>
      <c r="J646">
        <v>8732.982</v>
      </c>
      <c r="K646" s="4"/>
      <c r="L646" s="4"/>
      <c r="M646">
        <v>2023</v>
      </c>
      <c r="N646">
        <v>9</v>
      </c>
      <c r="O646" s="4">
        <v>45170</v>
      </c>
      <c r="P646" t="s">
        <v>89</v>
      </c>
      <c r="Q646" s="4"/>
      <c r="S646" t="s">
        <v>3061</v>
      </c>
      <c r="X646" t="s">
        <v>2369</v>
      </c>
      <c r="Z646" t="s">
        <v>89</v>
      </c>
      <c r="AA646" t="s">
        <v>89</v>
      </c>
      <c r="AC646" t="s">
        <v>89</v>
      </c>
      <c r="AD646">
        <v>0</v>
      </c>
      <c r="AE646" t="s">
        <v>9251</v>
      </c>
      <c r="AF646" s="4"/>
    </row>
    <row r="647" spans="1:32">
      <c r="A647" t="s">
        <v>10389</v>
      </c>
      <c r="B647" t="s">
        <v>2193</v>
      </c>
      <c r="D647" t="s">
        <v>47</v>
      </c>
      <c r="E647">
        <v>21740607</v>
      </c>
      <c r="F647" t="s">
        <v>3062</v>
      </c>
      <c r="G647">
        <v>8732.982</v>
      </c>
      <c r="I647">
        <v>8732.982</v>
      </c>
      <c r="J647">
        <v>8732.982</v>
      </c>
      <c r="K647" s="4"/>
      <c r="L647" s="4"/>
      <c r="M647">
        <v>2023</v>
      </c>
      <c r="N647">
        <v>9</v>
      </c>
      <c r="O647" s="4">
        <v>45170</v>
      </c>
      <c r="P647" t="s">
        <v>89</v>
      </c>
      <c r="Q647" s="4"/>
      <c r="S647" t="s">
        <v>3063</v>
      </c>
      <c r="X647" t="s">
        <v>2369</v>
      </c>
      <c r="Z647" t="s">
        <v>89</v>
      </c>
      <c r="AA647" t="s">
        <v>89</v>
      </c>
      <c r="AC647" t="s">
        <v>89</v>
      </c>
      <c r="AD647" t="s">
        <v>89</v>
      </c>
      <c r="AE647" t="s">
        <v>3652</v>
      </c>
      <c r="AF647" s="4"/>
    </row>
    <row r="648" spans="1:32">
      <c r="A648" t="s">
        <v>10389</v>
      </c>
      <c r="B648" t="s">
        <v>2193</v>
      </c>
      <c r="D648" t="s">
        <v>47</v>
      </c>
      <c r="E648">
        <v>21740607</v>
      </c>
      <c r="F648" t="s">
        <v>3062</v>
      </c>
      <c r="G648">
        <v>8732.982</v>
      </c>
      <c r="I648">
        <v>8732.982</v>
      </c>
      <c r="J648">
        <v>8732.982</v>
      </c>
      <c r="K648" s="4"/>
      <c r="L648" s="4"/>
      <c r="M648">
        <v>2023</v>
      </c>
      <c r="N648">
        <v>9</v>
      </c>
      <c r="O648" s="4">
        <v>45170</v>
      </c>
      <c r="P648" t="s">
        <v>89</v>
      </c>
      <c r="Q648" s="4"/>
      <c r="S648" t="s">
        <v>3064</v>
      </c>
      <c r="X648" t="s">
        <v>2369</v>
      </c>
      <c r="Z648" t="s">
        <v>89</v>
      </c>
      <c r="AA648" t="s">
        <v>89</v>
      </c>
      <c r="AC648" t="s">
        <v>89</v>
      </c>
      <c r="AD648" t="s">
        <v>89</v>
      </c>
      <c r="AE648" t="s">
        <v>3652</v>
      </c>
      <c r="AF648" s="4"/>
    </row>
    <row r="649" spans="1:32">
      <c r="A649" t="s">
        <v>10390</v>
      </c>
      <c r="B649" t="s">
        <v>2193</v>
      </c>
      <c r="D649" t="s">
        <v>47</v>
      </c>
      <c r="E649">
        <v>21740610</v>
      </c>
      <c r="F649" t="s">
        <v>3067</v>
      </c>
      <c r="G649">
        <v>9417.2956999999988</v>
      </c>
      <c r="I649">
        <v>9417.2956999999988</v>
      </c>
      <c r="J649">
        <v>9417.2956999999988</v>
      </c>
      <c r="K649" s="4"/>
      <c r="L649" s="4"/>
      <c r="M649">
        <v>2023</v>
      </c>
      <c r="N649">
        <v>9</v>
      </c>
      <c r="O649" s="4">
        <v>45170</v>
      </c>
      <c r="P649" t="s">
        <v>89</v>
      </c>
      <c r="Q649" s="4"/>
      <c r="S649" t="s">
        <v>3066</v>
      </c>
      <c r="X649" t="s">
        <v>2369</v>
      </c>
      <c r="Z649" t="s">
        <v>89</v>
      </c>
      <c r="AA649" t="s">
        <v>89</v>
      </c>
      <c r="AC649" t="s">
        <v>89</v>
      </c>
      <c r="AD649">
        <v>0</v>
      </c>
      <c r="AE649" t="s">
        <v>9251</v>
      </c>
      <c r="AF649" s="4"/>
    </row>
    <row r="650" spans="1:32">
      <c r="A650" t="s">
        <v>10391</v>
      </c>
      <c r="B650" t="s">
        <v>2193</v>
      </c>
      <c r="D650" t="s">
        <v>47</v>
      </c>
      <c r="E650">
        <v>21740610</v>
      </c>
      <c r="F650" t="s">
        <v>3067</v>
      </c>
      <c r="G650">
        <v>9416.9007000000001</v>
      </c>
      <c r="I650">
        <v>9416.9007000000001</v>
      </c>
      <c r="J650">
        <v>9416.9007000000001</v>
      </c>
      <c r="K650" s="4"/>
      <c r="L650" s="4"/>
      <c r="M650">
        <v>2023</v>
      </c>
      <c r="N650">
        <v>9</v>
      </c>
      <c r="O650" s="4">
        <v>45170</v>
      </c>
      <c r="P650" t="s">
        <v>89</v>
      </c>
      <c r="Q650" s="4"/>
      <c r="S650" t="s">
        <v>3068</v>
      </c>
      <c r="X650" t="s">
        <v>2369</v>
      </c>
      <c r="Z650" t="s">
        <v>89</v>
      </c>
      <c r="AA650" t="s">
        <v>89</v>
      </c>
      <c r="AC650" t="s">
        <v>89</v>
      </c>
      <c r="AD650">
        <v>0</v>
      </c>
      <c r="AE650" t="s">
        <v>9251</v>
      </c>
      <c r="AF650" s="4"/>
    </row>
    <row r="651" spans="1:32">
      <c r="A651" t="s">
        <v>10391</v>
      </c>
      <c r="B651" t="s">
        <v>2193</v>
      </c>
      <c r="D651" t="s">
        <v>47</v>
      </c>
      <c r="E651">
        <v>21740610</v>
      </c>
      <c r="F651" t="s">
        <v>3070</v>
      </c>
      <c r="G651">
        <v>9416.9007000000001</v>
      </c>
      <c r="I651">
        <v>9416.9007000000001</v>
      </c>
      <c r="J651">
        <v>9416.9007000000001</v>
      </c>
      <c r="K651" s="4"/>
      <c r="L651" s="4"/>
      <c r="M651">
        <v>2023</v>
      </c>
      <c r="N651">
        <v>9</v>
      </c>
      <c r="O651" s="4">
        <v>45170</v>
      </c>
      <c r="P651" t="s">
        <v>89</v>
      </c>
      <c r="Q651" s="4"/>
      <c r="S651" t="s">
        <v>3069</v>
      </c>
      <c r="X651" t="s">
        <v>2369</v>
      </c>
      <c r="Z651" t="s">
        <v>89</v>
      </c>
      <c r="AA651" t="s">
        <v>89</v>
      </c>
      <c r="AC651" t="s">
        <v>89</v>
      </c>
      <c r="AD651">
        <v>0</v>
      </c>
      <c r="AE651" t="s">
        <v>9251</v>
      </c>
      <c r="AF651" s="4"/>
    </row>
    <row r="652" spans="1:32">
      <c r="A652" t="s">
        <v>10391</v>
      </c>
      <c r="B652" t="s">
        <v>2193</v>
      </c>
      <c r="D652" t="s">
        <v>47</v>
      </c>
      <c r="E652">
        <v>21740610</v>
      </c>
      <c r="F652" t="s">
        <v>3070</v>
      </c>
      <c r="G652">
        <v>9416.9007000000001</v>
      </c>
      <c r="I652">
        <v>9416.9007000000001</v>
      </c>
      <c r="J652">
        <v>9416.9007000000001</v>
      </c>
      <c r="K652" s="4"/>
      <c r="L652" s="4"/>
      <c r="M652">
        <v>2023</v>
      </c>
      <c r="N652">
        <v>9</v>
      </c>
      <c r="O652" s="4">
        <v>45170</v>
      </c>
      <c r="P652" t="s">
        <v>89</v>
      </c>
      <c r="Q652" s="4"/>
      <c r="S652" t="s">
        <v>3071</v>
      </c>
      <c r="X652" t="s">
        <v>2369</v>
      </c>
      <c r="Z652" t="s">
        <v>89</v>
      </c>
      <c r="AA652" t="s">
        <v>89</v>
      </c>
      <c r="AC652" t="s">
        <v>89</v>
      </c>
      <c r="AD652">
        <v>0</v>
      </c>
      <c r="AE652" t="s">
        <v>9251</v>
      </c>
      <c r="AF652" s="4"/>
    </row>
    <row r="653" spans="1:32">
      <c r="A653" t="s">
        <v>9978</v>
      </c>
      <c r="B653" t="s">
        <v>2193</v>
      </c>
      <c r="D653" t="s">
        <v>47</v>
      </c>
      <c r="E653">
        <v>21772870</v>
      </c>
      <c r="F653" t="s">
        <v>3073</v>
      </c>
      <c r="G653">
        <v>4429</v>
      </c>
      <c r="I653">
        <v>4429</v>
      </c>
      <c r="J653">
        <v>4429</v>
      </c>
      <c r="K653" s="4"/>
      <c r="L653" s="4"/>
      <c r="M653">
        <v>2023</v>
      </c>
      <c r="N653">
        <v>9</v>
      </c>
      <c r="O653" s="4">
        <v>45170</v>
      </c>
      <c r="P653" t="s">
        <v>89</v>
      </c>
      <c r="Q653" s="4"/>
      <c r="S653" t="s">
        <v>3072</v>
      </c>
      <c r="X653" t="s">
        <v>2369</v>
      </c>
      <c r="Z653" t="s">
        <v>89</v>
      </c>
      <c r="AA653" t="s">
        <v>89</v>
      </c>
      <c r="AC653" t="s">
        <v>89</v>
      </c>
      <c r="AD653">
        <v>0</v>
      </c>
      <c r="AE653" t="s">
        <v>9251</v>
      </c>
      <c r="AF653" s="4"/>
    </row>
    <row r="654" spans="1:32">
      <c r="A654" t="s">
        <v>9970</v>
      </c>
      <c r="B654" t="s">
        <v>2193</v>
      </c>
      <c r="D654" t="s">
        <v>47</v>
      </c>
      <c r="E654">
        <v>21784625</v>
      </c>
      <c r="F654" t="s">
        <v>3075</v>
      </c>
      <c r="G654">
        <v>2230.1999999999998</v>
      </c>
      <c r="I654">
        <v>2230.1999999999998</v>
      </c>
      <c r="J654">
        <v>2230.1999999999998</v>
      </c>
      <c r="K654" s="4"/>
      <c r="L654" s="4"/>
      <c r="M654">
        <v>2023</v>
      </c>
      <c r="N654">
        <v>9</v>
      </c>
      <c r="O654" s="4">
        <v>45170</v>
      </c>
      <c r="P654" t="s">
        <v>89</v>
      </c>
      <c r="Q654" s="4"/>
      <c r="S654" t="s">
        <v>3074</v>
      </c>
      <c r="X654" t="s">
        <v>2369</v>
      </c>
      <c r="Z654" t="s">
        <v>89</v>
      </c>
      <c r="AA654" t="s">
        <v>89</v>
      </c>
      <c r="AC654" t="s">
        <v>89</v>
      </c>
      <c r="AD654">
        <v>0</v>
      </c>
      <c r="AE654" t="s">
        <v>9251</v>
      </c>
      <c r="AF654" s="4"/>
    </row>
    <row r="655" spans="1:32">
      <c r="A655" t="s">
        <v>10392</v>
      </c>
      <c r="B655" t="s">
        <v>2193</v>
      </c>
      <c r="D655" t="s">
        <v>29</v>
      </c>
      <c r="E655">
        <v>4400758378</v>
      </c>
      <c r="F655" t="s">
        <v>2550</v>
      </c>
      <c r="G655">
        <v>85000</v>
      </c>
      <c r="I655">
        <v>85000</v>
      </c>
      <c r="J655">
        <v>85000</v>
      </c>
      <c r="K655" s="4"/>
      <c r="L655" s="4"/>
      <c r="M655">
        <v>2023</v>
      </c>
      <c r="N655">
        <v>5</v>
      </c>
      <c r="O655" s="4">
        <v>45047</v>
      </c>
      <c r="P655" t="s">
        <v>89</v>
      </c>
      <c r="Q655" s="4"/>
      <c r="X655" t="s">
        <v>9319</v>
      </c>
      <c r="Z655" t="s">
        <v>89</v>
      </c>
      <c r="AA655" t="s">
        <v>89</v>
      </c>
      <c r="AC655" t="s">
        <v>89</v>
      </c>
      <c r="AD655">
        <v>0</v>
      </c>
      <c r="AE655" t="s">
        <v>9251</v>
      </c>
      <c r="AF655" s="4"/>
    </row>
    <row r="656" spans="1:32">
      <c r="A656" t="s">
        <v>10393</v>
      </c>
      <c r="B656" t="s">
        <v>2193</v>
      </c>
      <c r="D656" t="s">
        <v>29</v>
      </c>
      <c r="E656">
        <v>4400767535</v>
      </c>
      <c r="F656" t="s">
        <v>2552</v>
      </c>
      <c r="G656">
        <v>677000</v>
      </c>
      <c r="I656">
        <v>677000</v>
      </c>
      <c r="J656">
        <v>677000</v>
      </c>
      <c r="K656" s="4"/>
      <c r="L656" s="4"/>
      <c r="M656">
        <v>2023</v>
      </c>
      <c r="N656">
        <v>5</v>
      </c>
      <c r="O656" s="4">
        <v>45047</v>
      </c>
      <c r="P656" t="s">
        <v>89</v>
      </c>
      <c r="Q656" s="4"/>
      <c r="X656" t="s">
        <v>9319</v>
      </c>
      <c r="Z656" t="s">
        <v>89</v>
      </c>
      <c r="AA656" t="s">
        <v>89</v>
      </c>
      <c r="AC656" t="s">
        <v>89</v>
      </c>
      <c r="AD656" t="s">
        <v>89</v>
      </c>
      <c r="AE656" t="s">
        <v>3652</v>
      </c>
      <c r="AF656" s="4"/>
    </row>
    <row r="657" spans="1:32">
      <c r="A657" t="s">
        <v>10394</v>
      </c>
      <c r="B657" t="s">
        <v>2193</v>
      </c>
      <c r="D657" t="s">
        <v>29</v>
      </c>
      <c r="E657">
        <v>4400772471</v>
      </c>
      <c r="F657" t="s">
        <v>2554</v>
      </c>
      <c r="G657">
        <v>1500001.01</v>
      </c>
      <c r="I657">
        <v>1500001.01</v>
      </c>
      <c r="J657">
        <v>1500001.01</v>
      </c>
      <c r="K657" s="4"/>
      <c r="L657" s="4"/>
      <c r="M657">
        <v>2023</v>
      </c>
      <c r="N657">
        <v>5</v>
      </c>
      <c r="O657" s="4">
        <v>45047</v>
      </c>
      <c r="P657" t="s">
        <v>89</v>
      </c>
      <c r="Q657" s="4"/>
      <c r="X657" t="s">
        <v>9319</v>
      </c>
      <c r="Z657" t="s">
        <v>89</v>
      </c>
      <c r="AA657" t="s">
        <v>89</v>
      </c>
      <c r="AC657" t="s">
        <v>89</v>
      </c>
      <c r="AD657" t="s">
        <v>89</v>
      </c>
      <c r="AE657" t="s">
        <v>3652</v>
      </c>
      <c r="AF657" s="4"/>
    </row>
    <row r="658" spans="1:32">
      <c r="A658" t="s">
        <v>10375</v>
      </c>
      <c r="B658" t="s">
        <v>2193</v>
      </c>
      <c r="D658" t="s">
        <v>29</v>
      </c>
      <c r="E658">
        <v>4400772471</v>
      </c>
      <c r="F658" t="s">
        <v>2554</v>
      </c>
      <c r="G658">
        <v>56750.02</v>
      </c>
      <c r="I658">
        <v>56750.02</v>
      </c>
      <c r="J658">
        <v>56750.02</v>
      </c>
      <c r="K658" s="4"/>
      <c r="L658" s="4"/>
      <c r="M658">
        <v>2023</v>
      </c>
      <c r="N658">
        <v>7</v>
      </c>
      <c r="O658" s="4">
        <v>45108</v>
      </c>
      <c r="P658" t="s">
        <v>89</v>
      </c>
      <c r="Q658" s="4"/>
      <c r="X658" t="s">
        <v>9319</v>
      </c>
      <c r="Z658" t="s">
        <v>89</v>
      </c>
      <c r="AA658" t="s">
        <v>89</v>
      </c>
      <c r="AC658" t="s">
        <v>89</v>
      </c>
      <c r="AD658">
        <v>0</v>
      </c>
      <c r="AE658" t="s">
        <v>9251</v>
      </c>
      <c r="AF658" s="4"/>
    </row>
    <row r="659" spans="1:32">
      <c r="A659" t="s">
        <v>10395</v>
      </c>
      <c r="B659" t="s">
        <v>2193</v>
      </c>
      <c r="D659" t="s">
        <v>29</v>
      </c>
      <c r="E659">
        <v>4400772471</v>
      </c>
      <c r="F659" t="s">
        <v>2554</v>
      </c>
      <c r="G659">
        <v>87701.08</v>
      </c>
      <c r="I659">
        <v>87701.08</v>
      </c>
      <c r="J659">
        <v>87701.08</v>
      </c>
      <c r="K659" s="4"/>
      <c r="L659" s="4"/>
      <c r="M659">
        <v>2023</v>
      </c>
      <c r="N659">
        <v>8</v>
      </c>
      <c r="O659" s="4">
        <v>45139</v>
      </c>
      <c r="P659" t="s">
        <v>89</v>
      </c>
      <c r="Q659" s="4"/>
      <c r="X659" t="s">
        <v>9319</v>
      </c>
      <c r="Z659" t="s">
        <v>89</v>
      </c>
      <c r="AA659" t="s">
        <v>89</v>
      </c>
      <c r="AC659" t="s">
        <v>89</v>
      </c>
      <c r="AD659" t="s">
        <v>89</v>
      </c>
      <c r="AE659" t="s">
        <v>3652</v>
      </c>
      <c r="AF659" s="4"/>
    </row>
    <row r="660" spans="1:32">
      <c r="A660" t="s">
        <v>10377</v>
      </c>
      <c r="B660" t="s">
        <v>2193</v>
      </c>
      <c r="D660" t="s">
        <v>29</v>
      </c>
      <c r="E660">
        <v>4400772471</v>
      </c>
      <c r="F660" t="s">
        <v>2554</v>
      </c>
      <c r="G660">
        <v>59108.76</v>
      </c>
      <c r="I660">
        <v>59108.76</v>
      </c>
      <c r="J660">
        <v>59108.76</v>
      </c>
      <c r="K660" s="4"/>
      <c r="L660" s="4"/>
      <c r="M660">
        <v>2023</v>
      </c>
      <c r="N660">
        <v>9</v>
      </c>
      <c r="O660" s="4">
        <v>45170</v>
      </c>
      <c r="P660" t="s">
        <v>89</v>
      </c>
      <c r="Q660" s="4"/>
      <c r="X660" t="s">
        <v>9319</v>
      </c>
      <c r="Z660" t="s">
        <v>89</v>
      </c>
      <c r="AA660" t="s">
        <v>89</v>
      </c>
      <c r="AC660" t="s">
        <v>89</v>
      </c>
      <c r="AD660" t="s">
        <v>89</v>
      </c>
      <c r="AE660" t="s">
        <v>3652</v>
      </c>
      <c r="AF660" s="4"/>
    </row>
    <row r="661" spans="1:32">
      <c r="A661" t="s">
        <v>10396</v>
      </c>
      <c r="B661" t="s">
        <v>2193</v>
      </c>
      <c r="D661" t="s">
        <v>29</v>
      </c>
      <c r="E661">
        <v>4400772471</v>
      </c>
      <c r="F661" t="s">
        <v>2554</v>
      </c>
      <c r="G661">
        <v>592.9</v>
      </c>
      <c r="I661">
        <v>592.9</v>
      </c>
      <c r="J661">
        <v>592.9</v>
      </c>
      <c r="K661" s="4"/>
      <c r="L661" s="4"/>
      <c r="M661">
        <v>2023</v>
      </c>
      <c r="N661">
        <v>11</v>
      </c>
      <c r="O661" s="4">
        <v>45231</v>
      </c>
      <c r="P661" t="s">
        <v>89</v>
      </c>
      <c r="Q661" s="4"/>
      <c r="X661" t="s">
        <v>9319</v>
      </c>
      <c r="Z661" t="s">
        <v>89</v>
      </c>
      <c r="AA661" t="s">
        <v>89</v>
      </c>
      <c r="AC661" t="s">
        <v>89</v>
      </c>
      <c r="AD661">
        <v>0</v>
      </c>
      <c r="AE661" t="s">
        <v>9251</v>
      </c>
      <c r="AF661" s="4"/>
    </row>
    <row r="662" spans="1:32">
      <c r="A662" t="s">
        <v>10397</v>
      </c>
      <c r="B662" t="s">
        <v>2193</v>
      </c>
      <c r="D662" t="s">
        <v>29</v>
      </c>
      <c r="E662">
        <v>4400772471</v>
      </c>
      <c r="F662" t="s">
        <v>2554</v>
      </c>
      <c r="G662">
        <v>291459.15999999997</v>
      </c>
      <c r="I662">
        <v>291459.15999999997</v>
      </c>
      <c r="J662">
        <v>291459.15999999997</v>
      </c>
      <c r="K662" s="4"/>
      <c r="L662" s="4"/>
      <c r="M662">
        <v>2023</v>
      </c>
      <c r="N662">
        <v>12</v>
      </c>
      <c r="O662" s="4">
        <v>45261</v>
      </c>
      <c r="P662" t="s">
        <v>89</v>
      </c>
      <c r="Q662" s="4"/>
      <c r="X662" t="s">
        <v>9319</v>
      </c>
      <c r="Z662" t="s">
        <v>89</v>
      </c>
      <c r="AA662" t="s">
        <v>89</v>
      </c>
      <c r="AC662" t="s">
        <v>89</v>
      </c>
      <c r="AD662">
        <v>0</v>
      </c>
      <c r="AE662" t="s">
        <v>9251</v>
      </c>
      <c r="AF662" s="4"/>
    </row>
    <row r="663" spans="1:32">
      <c r="A663" t="s">
        <v>10398</v>
      </c>
      <c r="B663" t="s">
        <v>2193</v>
      </c>
      <c r="D663" t="s">
        <v>29</v>
      </c>
      <c r="E663">
        <v>4400772471</v>
      </c>
      <c r="F663" t="s">
        <v>2554</v>
      </c>
      <c r="G663">
        <v>188416.69</v>
      </c>
      <c r="I663">
        <v>188416.69</v>
      </c>
      <c r="J663">
        <v>188416.69</v>
      </c>
      <c r="K663" s="4"/>
      <c r="L663" s="4"/>
      <c r="M663">
        <v>2024</v>
      </c>
      <c r="N663">
        <v>1</v>
      </c>
      <c r="O663" s="4">
        <v>45292</v>
      </c>
      <c r="P663" t="s">
        <v>89</v>
      </c>
      <c r="Q663" s="4"/>
      <c r="X663" t="s">
        <v>9319</v>
      </c>
      <c r="Z663" t="s">
        <v>89</v>
      </c>
      <c r="AA663" t="s">
        <v>89</v>
      </c>
      <c r="AC663" t="s">
        <v>89</v>
      </c>
      <c r="AD663">
        <v>0</v>
      </c>
      <c r="AE663" t="s">
        <v>9251</v>
      </c>
      <c r="AF663" s="4"/>
    </row>
    <row r="664" spans="1:32">
      <c r="A664" t="s">
        <v>10399</v>
      </c>
      <c r="B664" t="s">
        <v>2193</v>
      </c>
      <c r="D664" t="s">
        <v>29</v>
      </c>
      <c r="E664">
        <v>4400800335</v>
      </c>
      <c r="F664" t="s">
        <v>2556</v>
      </c>
      <c r="G664">
        <v>1135</v>
      </c>
      <c r="I664">
        <v>1135</v>
      </c>
      <c r="J664">
        <v>1135</v>
      </c>
      <c r="K664" s="4"/>
      <c r="L664" s="4"/>
      <c r="M664">
        <v>2023</v>
      </c>
      <c r="N664">
        <v>9</v>
      </c>
      <c r="O664" s="4">
        <v>45170</v>
      </c>
      <c r="P664" t="s">
        <v>89</v>
      </c>
      <c r="Q664" s="4"/>
      <c r="S664" t="s">
        <v>2555</v>
      </c>
      <c r="X664" t="s">
        <v>3911</v>
      </c>
      <c r="Z664" t="s">
        <v>89</v>
      </c>
      <c r="AA664" t="s">
        <v>89</v>
      </c>
      <c r="AC664" t="s">
        <v>89</v>
      </c>
      <c r="AD664">
        <v>0</v>
      </c>
      <c r="AE664" t="s">
        <v>9251</v>
      </c>
      <c r="AF664" s="4"/>
    </row>
    <row r="665" spans="1:32">
      <c r="A665" t="s">
        <v>10400</v>
      </c>
      <c r="B665" t="s">
        <v>2193</v>
      </c>
      <c r="D665" t="s">
        <v>29</v>
      </c>
      <c r="E665">
        <v>4400801046</v>
      </c>
      <c r="F665" t="s">
        <v>2558</v>
      </c>
      <c r="G665">
        <v>1135</v>
      </c>
      <c r="I665">
        <v>1135</v>
      </c>
      <c r="J665">
        <v>1135</v>
      </c>
      <c r="K665" s="4"/>
      <c r="L665" s="4"/>
      <c r="M665">
        <v>2023</v>
      </c>
      <c r="N665">
        <v>9</v>
      </c>
      <c r="O665" s="4">
        <v>45170</v>
      </c>
      <c r="P665" t="s">
        <v>89</v>
      </c>
      <c r="Q665" s="4"/>
      <c r="S665" t="s">
        <v>2557</v>
      </c>
      <c r="X665" t="s">
        <v>3932</v>
      </c>
      <c r="Z665" t="s">
        <v>89</v>
      </c>
      <c r="AA665" t="s">
        <v>89</v>
      </c>
      <c r="AC665" t="s">
        <v>89</v>
      </c>
      <c r="AD665">
        <v>0</v>
      </c>
      <c r="AE665" t="s">
        <v>9251</v>
      </c>
      <c r="AF665" s="4"/>
    </row>
    <row r="666" spans="1:32">
      <c r="A666" t="s">
        <v>10401</v>
      </c>
      <c r="B666" t="s">
        <v>2193</v>
      </c>
      <c r="D666" t="s">
        <v>29</v>
      </c>
      <c r="E666">
        <v>4400802557</v>
      </c>
      <c r="F666" t="s">
        <v>2560</v>
      </c>
      <c r="G666">
        <v>3799.99</v>
      </c>
      <c r="I666">
        <v>3799.99</v>
      </c>
      <c r="J666">
        <v>3799.99</v>
      </c>
      <c r="K666" s="4"/>
      <c r="L666" s="4"/>
      <c r="M666">
        <v>2023</v>
      </c>
      <c r="N666">
        <v>9</v>
      </c>
      <c r="O666" s="4">
        <v>45170</v>
      </c>
      <c r="P666" t="s">
        <v>89</v>
      </c>
      <c r="Q666" s="4"/>
      <c r="S666" t="s">
        <v>2557</v>
      </c>
      <c r="X666" t="s">
        <v>3932</v>
      </c>
      <c r="Z666" t="s">
        <v>89</v>
      </c>
      <c r="AA666" t="s">
        <v>89</v>
      </c>
      <c r="AC666" t="s">
        <v>89</v>
      </c>
      <c r="AD666">
        <v>0</v>
      </c>
      <c r="AE666" t="s">
        <v>9251</v>
      </c>
      <c r="AF666" s="4"/>
    </row>
    <row r="667" spans="1:32">
      <c r="A667" t="s">
        <v>10402</v>
      </c>
      <c r="B667" t="s">
        <v>2193</v>
      </c>
      <c r="D667" t="s">
        <v>29</v>
      </c>
      <c r="E667">
        <v>4400803577</v>
      </c>
      <c r="F667" t="s">
        <v>2562</v>
      </c>
      <c r="G667">
        <v>3265</v>
      </c>
      <c r="I667">
        <v>3265</v>
      </c>
      <c r="J667">
        <v>3265</v>
      </c>
      <c r="K667" s="4"/>
      <c r="L667" s="4"/>
      <c r="M667">
        <v>2023</v>
      </c>
      <c r="N667">
        <v>9</v>
      </c>
      <c r="O667" s="4">
        <v>45170</v>
      </c>
      <c r="P667" t="s">
        <v>89</v>
      </c>
      <c r="Q667" s="4"/>
      <c r="S667" t="s">
        <v>2571</v>
      </c>
      <c r="X667" t="s">
        <v>3665</v>
      </c>
      <c r="Z667" t="s">
        <v>89</v>
      </c>
      <c r="AA667" t="s">
        <v>89</v>
      </c>
      <c r="AC667" t="s">
        <v>89</v>
      </c>
      <c r="AD667" t="s">
        <v>89</v>
      </c>
      <c r="AE667" t="s">
        <v>3652</v>
      </c>
      <c r="AF667" s="4"/>
    </row>
    <row r="668" spans="1:32">
      <c r="A668" t="s">
        <v>10403</v>
      </c>
      <c r="B668" t="s">
        <v>2193</v>
      </c>
      <c r="D668" t="s">
        <v>29</v>
      </c>
      <c r="E668">
        <v>4400806736</v>
      </c>
      <c r="F668" t="s">
        <v>2563</v>
      </c>
      <c r="G668">
        <v>4921</v>
      </c>
      <c r="I668">
        <v>4921</v>
      </c>
      <c r="J668">
        <v>4921</v>
      </c>
      <c r="K668" s="4"/>
      <c r="L668" s="4"/>
      <c r="M668">
        <v>2024</v>
      </c>
      <c r="N668">
        <v>1</v>
      </c>
      <c r="O668" s="4">
        <v>45292</v>
      </c>
      <c r="P668" t="s">
        <v>89</v>
      </c>
      <c r="Q668" s="4"/>
      <c r="S668" t="s">
        <v>2555</v>
      </c>
      <c r="X668" t="s">
        <v>3911</v>
      </c>
      <c r="Z668" t="s">
        <v>89</v>
      </c>
      <c r="AA668" t="s">
        <v>89</v>
      </c>
      <c r="AC668" t="s">
        <v>89</v>
      </c>
      <c r="AD668">
        <v>0</v>
      </c>
      <c r="AE668" t="s">
        <v>9251</v>
      </c>
      <c r="AF668" s="4"/>
    </row>
    <row r="669" spans="1:32">
      <c r="A669" t="s">
        <v>10404</v>
      </c>
      <c r="B669" t="s">
        <v>2193</v>
      </c>
      <c r="D669" t="s">
        <v>29</v>
      </c>
      <c r="E669">
        <v>4400810811</v>
      </c>
      <c r="F669" t="s">
        <v>2565</v>
      </c>
      <c r="G669">
        <v>13454</v>
      </c>
      <c r="I669">
        <v>13454</v>
      </c>
      <c r="J669">
        <v>13454</v>
      </c>
      <c r="K669" s="4"/>
      <c r="L669" s="4"/>
      <c r="M669">
        <v>2023</v>
      </c>
      <c r="N669">
        <v>10</v>
      </c>
      <c r="O669" s="4">
        <v>45200</v>
      </c>
      <c r="P669" t="s">
        <v>89</v>
      </c>
      <c r="Q669" s="4"/>
      <c r="S669" t="s">
        <v>2555</v>
      </c>
      <c r="X669" t="s">
        <v>3911</v>
      </c>
      <c r="Z669" t="s">
        <v>89</v>
      </c>
      <c r="AA669" t="s">
        <v>89</v>
      </c>
      <c r="AC669" t="s">
        <v>89</v>
      </c>
      <c r="AD669" t="s">
        <v>89</v>
      </c>
      <c r="AE669" t="s">
        <v>3652</v>
      </c>
      <c r="AF669" s="4"/>
    </row>
    <row r="670" spans="1:32">
      <c r="A670" t="s">
        <v>10405</v>
      </c>
      <c r="B670" t="s">
        <v>2193</v>
      </c>
      <c r="D670" t="s">
        <v>29</v>
      </c>
      <c r="E670">
        <v>4400811501</v>
      </c>
      <c r="F670" t="s">
        <v>2566</v>
      </c>
      <c r="G670">
        <v>16555</v>
      </c>
      <c r="I670">
        <v>16555</v>
      </c>
      <c r="J670">
        <v>16555</v>
      </c>
      <c r="K670" s="4"/>
      <c r="L670" s="4"/>
      <c r="M670">
        <v>2023</v>
      </c>
      <c r="N670">
        <v>10</v>
      </c>
      <c r="O670" s="4">
        <v>45200</v>
      </c>
      <c r="P670" t="s">
        <v>89</v>
      </c>
      <c r="Q670" s="4"/>
      <c r="S670" t="s">
        <v>2557</v>
      </c>
      <c r="X670" t="s">
        <v>3932</v>
      </c>
      <c r="Z670" t="s">
        <v>89</v>
      </c>
      <c r="AA670" t="s">
        <v>89</v>
      </c>
      <c r="AC670" t="s">
        <v>89</v>
      </c>
      <c r="AD670">
        <v>0</v>
      </c>
      <c r="AE670" t="s">
        <v>9251</v>
      </c>
      <c r="AF670" s="4"/>
    </row>
    <row r="671" spans="1:32">
      <c r="A671" t="s">
        <v>10406</v>
      </c>
      <c r="B671" t="s">
        <v>2193</v>
      </c>
      <c r="D671" t="s">
        <v>29</v>
      </c>
      <c r="E671">
        <v>4400811559</v>
      </c>
      <c r="F671" t="s">
        <v>2569</v>
      </c>
      <c r="G671">
        <v>1131</v>
      </c>
      <c r="I671">
        <v>1131</v>
      </c>
      <c r="J671">
        <v>1131</v>
      </c>
      <c r="K671" s="4"/>
      <c r="L671" s="4"/>
      <c r="M671">
        <v>2024</v>
      </c>
      <c r="N671">
        <v>1</v>
      </c>
      <c r="O671" s="4">
        <v>45292</v>
      </c>
      <c r="P671" t="s">
        <v>89</v>
      </c>
      <c r="Q671" s="4"/>
      <c r="S671" t="s">
        <v>2568</v>
      </c>
      <c r="X671" t="s">
        <v>3711</v>
      </c>
      <c r="Z671" t="s">
        <v>89</v>
      </c>
      <c r="AA671" t="s">
        <v>89</v>
      </c>
      <c r="AC671" t="s">
        <v>89</v>
      </c>
      <c r="AD671" t="s">
        <v>89</v>
      </c>
      <c r="AE671" t="s">
        <v>3652</v>
      </c>
      <c r="AF671" s="4"/>
    </row>
    <row r="672" spans="1:32">
      <c r="A672" t="s">
        <v>10407</v>
      </c>
      <c r="B672" t="s">
        <v>2193</v>
      </c>
      <c r="D672" t="s">
        <v>29</v>
      </c>
      <c r="E672">
        <v>4400811568</v>
      </c>
      <c r="F672" t="s">
        <v>2572</v>
      </c>
      <c r="G672">
        <v>1135</v>
      </c>
      <c r="I672">
        <v>1135</v>
      </c>
      <c r="J672">
        <v>1135</v>
      </c>
      <c r="K672" s="4"/>
      <c r="L672" s="4"/>
      <c r="M672">
        <v>2024</v>
      </c>
      <c r="N672">
        <v>1</v>
      </c>
      <c r="O672" s="4">
        <v>45292</v>
      </c>
      <c r="P672" t="s">
        <v>89</v>
      </c>
      <c r="Q672" s="4"/>
      <c r="S672" t="s">
        <v>2571</v>
      </c>
      <c r="X672" t="s">
        <v>3665</v>
      </c>
      <c r="Z672" t="s">
        <v>89</v>
      </c>
      <c r="AA672" t="s">
        <v>89</v>
      </c>
      <c r="AC672" t="s">
        <v>89</v>
      </c>
      <c r="AD672" t="s">
        <v>89</v>
      </c>
      <c r="AE672" t="s">
        <v>3652</v>
      </c>
      <c r="AF672" s="4"/>
    </row>
    <row r="673" spans="1:32">
      <c r="A673" t="s">
        <v>10408</v>
      </c>
      <c r="B673" t="s">
        <v>2193</v>
      </c>
      <c r="D673" t="s">
        <v>29</v>
      </c>
      <c r="E673">
        <v>4400816696</v>
      </c>
      <c r="G673">
        <v>2379</v>
      </c>
      <c r="I673">
        <v>2379</v>
      </c>
      <c r="J673">
        <v>2379</v>
      </c>
      <c r="K673" s="4"/>
      <c r="L673" s="4"/>
      <c r="M673">
        <v>2023</v>
      </c>
      <c r="N673">
        <v>12</v>
      </c>
      <c r="O673" s="4">
        <v>45261</v>
      </c>
      <c r="P673" t="s">
        <v>89</v>
      </c>
      <c r="Q673" s="4"/>
      <c r="S673" t="s">
        <v>2573</v>
      </c>
      <c r="X673" t="s">
        <v>2369</v>
      </c>
      <c r="Z673" t="s">
        <v>89</v>
      </c>
      <c r="AA673" t="s">
        <v>89</v>
      </c>
      <c r="AC673" t="s">
        <v>89</v>
      </c>
      <c r="AD673">
        <v>0</v>
      </c>
      <c r="AE673" t="s">
        <v>9251</v>
      </c>
      <c r="AF673" s="4"/>
    </row>
    <row r="674" spans="1:32">
      <c r="A674" t="s">
        <v>10409</v>
      </c>
      <c r="B674" t="s">
        <v>2193</v>
      </c>
      <c r="D674" t="s">
        <v>29</v>
      </c>
      <c r="E674">
        <v>4400819541</v>
      </c>
      <c r="F674" t="s">
        <v>2581</v>
      </c>
      <c r="G674">
        <v>1135</v>
      </c>
      <c r="I674">
        <v>1135</v>
      </c>
      <c r="J674">
        <v>1135</v>
      </c>
      <c r="K674" s="4"/>
      <c r="L674" s="4"/>
      <c r="M674">
        <v>2024</v>
      </c>
      <c r="N674">
        <v>1</v>
      </c>
      <c r="O674" s="4">
        <v>45292</v>
      </c>
      <c r="P674" t="s">
        <v>89</v>
      </c>
      <c r="Q674" s="4"/>
      <c r="S674" t="s">
        <v>2580</v>
      </c>
      <c r="X674" t="s">
        <v>3665</v>
      </c>
      <c r="Z674" t="s">
        <v>89</v>
      </c>
      <c r="AA674" t="s">
        <v>89</v>
      </c>
      <c r="AC674" t="s">
        <v>89</v>
      </c>
      <c r="AD674">
        <v>0</v>
      </c>
      <c r="AE674" t="s">
        <v>9251</v>
      </c>
      <c r="AF674" s="4"/>
    </row>
    <row r="675" spans="1:32">
      <c r="A675" t="s">
        <v>10410</v>
      </c>
      <c r="B675" t="s">
        <v>2193</v>
      </c>
      <c r="D675" t="s">
        <v>29</v>
      </c>
      <c r="E675">
        <v>4400819543</v>
      </c>
      <c r="F675" t="s">
        <v>2584</v>
      </c>
      <c r="G675">
        <v>1135</v>
      </c>
      <c r="I675">
        <v>1135</v>
      </c>
      <c r="J675">
        <v>1135</v>
      </c>
      <c r="K675" s="4"/>
      <c r="L675" s="4"/>
      <c r="M675">
        <v>2024</v>
      </c>
      <c r="N675">
        <v>1</v>
      </c>
      <c r="O675" s="4">
        <v>45292</v>
      </c>
      <c r="P675" t="s">
        <v>89</v>
      </c>
      <c r="Q675" s="4"/>
      <c r="S675" t="s">
        <v>2583</v>
      </c>
      <c r="X675" t="s">
        <v>6467</v>
      </c>
      <c r="Z675" t="s">
        <v>89</v>
      </c>
      <c r="AA675" t="s">
        <v>89</v>
      </c>
      <c r="AC675" t="s">
        <v>89</v>
      </c>
      <c r="AD675">
        <v>0</v>
      </c>
      <c r="AE675" t="s">
        <v>9251</v>
      </c>
      <c r="AF675" s="4"/>
    </row>
    <row r="676" spans="1:32">
      <c r="A676" t="s">
        <v>10411</v>
      </c>
      <c r="B676" t="s">
        <v>2193</v>
      </c>
      <c r="D676" t="s">
        <v>29</v>
      </c>
      <c r="E676">
        <v>4400819544</v>
      </c>
      <c r="F676" t="s">
        <v>2586</v>
      </c>
      <c r="G676">
        <v>1135</v>
      </c>
      <c r="I676">
        <v>1135</v>
      </c>
      <c r="J676">
        <v>1135</v>
      </c>
      <c r="K676" s="4"/>
      <c r="L676" s="4"/>
      <c r="M676">
        <v>2024</v>
      </c>
      <c r="N676">
        <v>1</v>
      </c>
      <c r="O676" s="4">
        <v>45292</v>
      </c>
      <c r="P676" t="s">
        <v>89</v>
      </c>
      <c r="Q676" s="4"/>
      <c r="S676" t="s">
        <v>2585</v>
      </c>
      <c r="X676" t="s">
        <v>3681</v>
      </c>
      <c r="Z676" t="s">
        <v>89</v>
      </c>
      <c r="AA676" t="s">
        <v>89</v>
      </c>
      <c r="AC676" t="s">
        <v>89</v>
      </c>
      <c r="AD676">
        <v>0</v>
      </c>
      <c r="AE676" t="s">
        <v>9251</v>
      </c>
      <c r="AF676" s="4"/>
    </row>
    <row r="677" spans="1:32">
      <c r="A677" t="s">
        <v>10412</v>
      </c>
      <c r="B677" t="s">
        <v>2193</v>
      </c>
      <c r="D677" t="s">
        <v>29</v>
      </c>
      <c r="E677">
        <v>4400819587</v>
      </c>
      <c r="F677" t="s">
        <v>2588</v>
      </c>
      <c r="G677">
        <v>1135</v>
      </c>
      <c r="I677">
        <v>1135</v>
      </c>
      <c r="J677">
        <v>1135</v>
      </c>
      <c r="K677" s="4"/>
      <c r="L677" s="4"/>
      <c r="M677">
        <v>2024</v>
      </c>
      <c r="N677">
        <v>1</v>
      </c>
      <c r="O677" s="4">
        <v>45292</v>
      </c>
      <c r="P677" t="s">
        <v>89</v>
      </c>
      <c r="Q677" s="4"/>
      <c r="S677" t="s">
        <v>2587</v>
      </c>
      <c r="X677" t="s">
        <v>4102</v>
      </c>
      <c r="Z677" t="s">
        <v>89</v>
      </c>
      <c r="AA677" t="s">
        <v>89</v>
      </c>
      <c r="AC677" t="s">
        <v>89</v>
      </c>
      <c r="AD677">
        <v>0</v>
      </c>
      <c r="AE677" t="s">
        <v>9251</v>
      </c>
      <c r="AF677" s="4"/>
    </row>
    <row r="678" spans="1:32">
      <c r="A678" t="s">
        <v>10413</v>
      </c>
      <c r="B678" t="s">
        <v>2193</v>
      </c>
      <c r="D678" t="s">
        <v>29</v>
      </c>
      <c r="E678">
        <v>4400819608</v>
      </c>
      <c r="F678" t="s">
        <v>2590</v>
      </c>
      <c r="G678">
        <v>1135</v>
      </c>
      <c r="I678">
        <v>1135</v>
      </c>
      <c r="J678">
        <v>1135</v>
      </c>
      <c r="K678" s="4"/>
      <c r="L678" s="4"/>
      <c r="M678">
        <v>2024</v>
      </c>
      <c r="N678">
        <v>1</v>
      </c>
      <c r="O678" s="4">
        <v>45292</v>
      </c>
      <c r="P678" t="s">
        <v>89</v>
      </c>
      <c r="Q678" s="4"/>
      <c r="S678" t="s">
        <v>2589</v>
      </c>
      <c r="X678" t="s">
        <v>4102</v>
      </c>
      <c r="Z678" t="s">
        <v>89</v>
      </c>
      <c r="AA678" t="s">
        <v>89</v>
      </c>
      <c r="AC678" t="s">
        <v>89</v>
      </c>
      <c r="AD678">
        <v>0</v>
      </c>
      <c r="AE678" t="s">
        <v>9251</v>
      </c>
      <c r="AF678" s="4"/>
    </row>
    <row r="679" spans="1:32">
      <c r="A679" t="s">
        <v>10414</v>
      </c>
      <c r="B679" t="s">
        <v>2193</v>
      </c>
      <c r="D679" t="s">
        <v>29</v>
      </c>
      <c r="E679">
        <v>4400820801</v>
      </c>
      <c r="F679" t="s">
        <v>2611</v>
      </c>
      <c r="G679">
        <v>3758</v>
      </c>
      <c r="I679">
        <v>3758</v>
      </c>
      <c r="J679">
        <v>3758</v>
      </c>
      <c r="K679" s="4"/>
      <c r="L679" s="4"/>
      <c r="M679">
        <v>2024</v>
      </c>
      <c r="N679">
        <v>1</v>
      </c>
      <c r="O679" s="4">
        <v>45292</v>
      </c>
      <c r="P679" t="s">
        <v>89</v>
      </c>
      <c r="Q679" s="4"/>
      <c r="S679" t="s">
        <v>2610</v>
      </c>
      <c r="X679" t="s">
        <v>2369</v>
      </c>
      <c r="Z679" t="s">
        <v>89</v>
      </c>
      <c r="AA679" t="s">
        <v>89</v>
      </c>
      <c r="AC679" t="s">
        <v>89</v>
      </c>
      <c r="AD679">
        <v>0</v>
      </c>
      <c r="AE679" t="s">
        <v>9251</v>
      </c>
      <c r="AF679" s="4"/>
    </row>
    <row r="680" spans="1:32">
      <c r="A680" t="s">
        <v>10415</v>
      </c>
      <c r="B680" t="s">
        <v>2193</v>
      </c>
      <c r="D680" t="s">
        <v>29</v>
      </c>
      <c r="E680">
        <v>4400822509</v>
      </c>
      <c r="F680" t="s">
        <v>2620</v>
      </c>
      <c r="G680">
        <v>8651</v>
      </c>
      <c r="I680">
        <v>8651</v>
      </c>
      <c r="J680">
        <v>8651</v>
      </c>
      <c r="K680" s="4"/>
      <c r="L680" s="4"/>
      <c r="M680">
        <v>2024</v>
      </c>
      <c r="N680">
        <v>1</v>
      </c>
      <c r="O680" s="4">
        <v>45292</v>
      </c>
      <c r="P680" t="s">
        <v>89</v>
      </c>
      <c r="Q680" s="4"/>
      <c r="S680" t="s">
        <v>2589</v>
      </c>
      <c r="X680" t="s">
        <v>4102</v>
      </c>
      <c r="Z680" t="s">
        <v>89</v>
      </c>
      <c r="AA680" t="s">
        <v>89</v>
      </c>
      <c r="AC680" t="s">
        <v>89</v>
      </c>
      <c r="AD680">
        <v>0</v>
      </c>
      <c r="AE680" t="s">
        <v>9251</v>
      </c>
      <c r="AF680" s="4"/>
    </row>
    <row r="681" spans="1:32">
      <c r="A681" t="s">
        <v>10416</v>
      </c>
      <c r="B681" t="s">
        <v>2193</v>
      </c>
      <c r="D681" t="s">
        <v>29</v>
      </c>
      <c r="E681">
        <v>4400824102</v>
      </c>
      <c r="F681" t="s">
        <v>2631</v>
      </c>
      <c r="G681">
        <v>4249.2</v>
      </c>
      <c r="I681">
        <v>4249.2</v>
      </c>
      <c r="J681">
        <v>4249.2</v>
      </c>
      <c r="K681" s="4"/>
      <c r="L681" s="4"/>
      <c r="M681">
        <v>2024</v>
      </c>
      <c r="N681">
        <v>1</v>
      </c>
      <c r="O681" s="4">
        <v>45292</v>
      </c>
      <c r="P681" t="s">
        <v>89</v>
      </c>
      <c r="Q681" s="4"/>
      <c r="S681" t="s">
        <v>2630</v>
      </c>
      <c r="X681" t="s">
        <v>2369</v>
      </c>
      <c r="Z681" t="s">
        <v>89</v>
      </c>
      <c r="AA681" t="s">
        <v>89</v>
      </c>
      <c r="AC681" t="s">
        <v>89</v>
      </c>
      <c r="AD681" t="s">
        <v>89</v>
      </c>
      <c r="AE681" t="s">
        <v>3652</v>
      </c>
      <c r="AF681" s="4"/>
    </row>
    <row r="682" spans="1:32">
      <c r="A682" t="s">
        <v>10417</v>
      </c>
      <c r="B682" t="s">
        <v>2193</v>
      </c>
      <c r="D682" t="s">
        <v>29</v>
      </c>
      <c r="E682">
        <v>4400824144</v>
      </c>
      <c r="F682" t="s">
        <v>2636</v>
      </c>
      <c r="G682">
        <v>2600</v>
      </c>
      <c r="I682">
        <v>2600</v>
      </c>
      <c r="J682">
        <v>2600</v>
      </c>
      <c r="K682" s="4"/>
      <c r="L682" s="4"/>
      <c r="M682">
        <v>2024</v>
      </c>
      <c r="N682">
        <v>1</v>
      </c>
      <c r="O682" s="4">
        <v>45292</v>
      </c>
      <c r="P682" t="s">
        <v>89</v>
      </c>
      <c r="Q682" s="4"/>
      <c r="S682" t="s">
        <v>2587</v>
      </c>
      <c r="X682" t="s">
        <v>4102</v>
      </c>
      <c r="Z682" t="s">
        <v>89</v>
      </c>
      <c r="AA682" t="s">
        <v>89</v>
      </c>
      <c r="AC682" t="s">
        <v>89</v>
      </c>
      <c r="AD682">
        <v>0</v>
      </c>
      <c r="AE682" t="s">
        <v>9251</v>
      </c>
      <c r="AF682" s="4"/>
    </row>
    <row r="683" spans="1:32">
      <c r="A683" t="s">
        <v>10418</v>
      </c>
      <c r="B683" t="s">
        <v>2193</v>
      </c>
      <c r="D683" t="s">
        <v>29</v>
      </c>
      <c r="E683">
        <v>4400826923</v>
      </c>
      <c r="F683" t="s">
        <v>2647</v>
      </c>
      <c r="G683">
        <v>2393</v>
      </c>
      <c r="I683">
        <v>2393</v>
      </c>
      <c r="J683">
        <v>2393</v>
      </c>
      <c r="K683" s="4"/>
      <c r="L683" s="4"/>
      <c r="M683">
        <v>2023</v>
      </c>
      <c r="N683">
        <v>12</v>
      </c>
      <c r="O683" s="4">
        <v>45261</v>
      </c>
      <c r="P683" t="s">
        <v>89</v>
      </c>
      <c r="Q683" s="4"/>
      <c r="S683" t="s">
        <v>2630</v>
      </c>
      <c r="X683" t="s">
        <v>2369</v>
      </c>
      <c r="Z683" t="s">
        <v>89</v>
      </c>
      <c r="AA683" t="s">
        <v>89</v>
      </c>
      <c r="AC683" t="s">
        <v>89</v>
      </c>
      <c r="AD683" t="s">
        <v>89</v>
      </c>
      <c r="AE683" t="s">
        <v>3652</v>
      </c>
      <c r="AF683" s="4"/>
    </row>
    <row r="684" spans="1:32">
      <c r="A684" t="s">
        <v>10419</v>
      </c>
      <c r="B684" t="s">
        <v>2193</v>
      </c>
      <c r="D684" t="s">
        <v>29</v>
      </c>
      <c r="E684">
        <v>4400828868</v>
      </c>
      <c r="F684" t="s">
        <v>2647</v>
      </c>
      <c r="G684">
        <v>995.71</v>
      </c>
      <c r="I684">
        <v>995.71</v>
      </c>
      <c r="J684">
        <v>995.71</v>
      </c>
      <c r="K684" s="4"/>
      <c r="L684" s="4"/>
      <c r="M684">
        <v>2024</v>
      </c>
      <c r="N684">
        <v>1</v>
      </c>
      <c r="O684" s="4">
        <v>45292</v>
      </c>
      <c r="P684" t="s">
        <v>89</v>
      </c>
      <c r="Q684" s="4"/>
      <c r="S684" t="s">
        <v>2630</v>
      </c>
      <c r="X684" t="s">
        <v>2369</v>
      </c>
      <c r="Z684" t="s">
        <v>89</v>
      </c>
      <c r="AA684" t="s">
        <v>89</v>
      </c>
      <c r="AC684" t="s">
        <v>89</v>
      </c>
      <c r="AD684" t="s">
        <v>89</v>
      </c>
      <c r="AE684" t="s">
        <v>3652</v>
      </c>
      <c r="AF684" s="4"/>
    </row>
    <row r="685" spans="1:32">
      <c r="A685" t="s">
        <v>10420</v>
      </c>
      <c r="B685" t="s">
        <v>2193</v>
      </c>
      <c r="D685" t="s">
        <v>29</v>
      </c>
      <c r="E685">
        <v>4400830150</v>
      </c>
      <c r="F685" t="s">
        <v>2651</v>
      </c>
      <c r="G685">
        <v>2357</v>
      </c>
      <c r="I685">
        <v>2357</v>
      </c>
      <c r="J685">
        <v>2357</v>
      </c>
      <c r="K685" s="4"/>
      <c r="L685" s="4"/>
      <c r="M685">
        <v>2023</v>
      </c>
      <c r="N685">
        <v>12</v>
      </c>
      <c r="O685" s="4">
        <v>45261</v>
      </c>
      <c r="P685" t="s">
        <v>89</v>
      </c>
      <c r="Q685" s="4"/>
      <c r="S685" t="s">
        <v>10421</v>
      </c>
      <c r="X685" t="s">
        <v>2369</v>
      </c>
      <c r="Z685" t="s">
        <v>89</v>
      </c>
      <c r="AA685" t="s">
        <v>89</v>
      </c>
      <c r="AC685" t="s">
        <v>89</v>
      </c>
      <c r="AD685">
        <v>0</v>
      </c>
      <c r="AE685" t="s">
        <v>9251</v>
      </c>
      <c r="AF685" s="4"/>
    </row>
    <row r="686" spans="1:32">
      <c r="A686" t="s">
        <v>10422</v>
      </c>
      <c r="B686" t="s">
        <v>2193</v>
      </c>
      <c r="D686" t="s">
        <v>29</v>
      </c>
      <c r="E686">
        <v>4400830518</v>
      </c>
      <c r="F686" t="s">
        <v>2652</v>
      </c>
      <c r="G686">
        <v>6081</v>
      </c>
      <c r="I686">
        <v>6081</v>
      </c>
      <c r="J686">
        <v>6081</v>
      </c>
      <c r="K686" s="4"/>
      <c r="L686" s="4"/>
      <c r="M686">
        <v>2024</v>
      </c>
      <c r="N686">
        <v>1</v>
      </c>
      <c r="O686" s="4">
        <v>45292</v>
      </c>
      <c r="P686" t="s">
        <v>89</v>
      </c>
      <c r="Q686" s="4"/>
      <c r="S686" t="s">
        <v>2580</v>
      </c>
      <c r="X686" t="s">
        <v>3665</v>
      </c>
      <c r="Z686" t="s">
        <v>89</v>
      </c>
      <c r="AA686" t="s">
        <v>89</v>
      </c>
      <c r="AC686" t="s">
        <v>89</v>
      </c>
      <c r="AD686">
        <v>0</v>
      </c>
      <c r="AE686" t="s">
        <v>9251</v>
      </c>
      <c r="AF686" s="4"/>
    </row>
    <row r="687" spans="1:32">
      <c r="A687" t="s">
        <v>10423</v>
      </c>
      <c r="B687" t="s">
        <v>2193</v>
      </c>
      <c r="D687" t="s">
        <v>29</v>
      </c>
      <c r="E687">
        <v>4400830748</v>
      </c>
      <c r="F687" t="s">
        <v>10424</v>
      </c>
      <c r="G687">
        <v>1799.18</v>
      </c>
      <c r="I687">
        <v>1799.18</v>
      </c>
      <c r="J687">
        <v>1799.18</v>
      </c>
      <c r="K687" s="4"/>
      <c r="L687" s="4"/>
      <c r="M687">
        <v>2024</v>
      </c>
      <c r="N687">
        <v>1</v>
      </c>
      <c r="O687" s="4">
        <v>45292</v>
      </c>
      <c r="P687" t="s">
        <v>89</v>
      </c>
      <c r="Q687" s="4"/>
      <c r="S687" t="s">
        <v>2583</v>
      </c>
      <c r="X687" t="s">
        <v>6467</v>
      </c>
      <c r="Z687" t="s">
        <v>89</v>
      </c>
      <c r="AA687" t="s">
        <v>89</v>
      </c>
      <c r="AC687" t="s">
        <v>89</v>
      </c>
      <c r="AD687">
        <v>0</v>
      </c>
      <c r="AE687" t="s">
        <v>9251</v>
      </c>
      <c r="AF687" s="4"/>
    </row>
    <row r="688" spans="1:32">
      <c r="A688" t="s">
        <v>10379</v>
      </c>
      <c r="B688" t="s">
        <v>2193</v>
      </c>
      <c r="D688" t="s">
        <v>29</v>
      </c>
      <c r="E688">
        <v>4400837508</v>
      </c>
      <c r="F688" t="s">
        <v>2665</v>
      </c>
      <c r="G688">
        <v>38469</v>
      </c>
      <c r="I688">
        <v>38469</v>
      </c>
      <c r="J688">
        <v>38469</v>
      </c>
      <c r="K688" s="4"/>
      <c r="L688" s="4"/>
      <c r="M688">
        <v>2024</v>
      </c>
      <c r="N688">
        <v>1</v>
      </c>
      <c r="O688" s="4">
        <v>45292</v>
      </c>
      <c r="P688" t="s">
        <v>89</v>
      </c>
      <c r="Q688" s="4"/>
      <c r="S688" t="s">
        <v>2664</v>
      </c>
      <c r="X688" t="s">
        <v>3681</v>
      </c>
      <c r="Z688" t="s">
        <v>89</v>
      </c>
      <c r="AA688" t="s">
        <v>89</v>
      </c>
      <c r="AC688" t="s">
        <v>89</v>
      </c>
      <c r="AD688">
        <v>0</v>
      </c>
      <c r="AE688" t="s">
        <v>9251</v>
      </c>
      <c r="AF688" s="4"/>
    </row>
    <row r="689" spans="1:32">
      <c r="A689" t="s">
        <v>10425</v>
      </c>
      <c r="B689" t="s">
        <v>2193</v>
      </c>
      <c r="D689" t="s">
        <v>39</v>
      </c>
      <c r="E689">
        <v>4600000721</v>
      </c>
      <c r="F689" t="s">
        <v>2918</v>
      </c>
      <c r="G689">
        <v>4385.6639999999998</v>
      </c>
      <c r="I689">
        <v>4385.6639999999998</v>
      </c>
      <c r="J689">
        <v>4385.6639999999998</v>
      </c>
      <c r="K689" s="4"/>
      <c r="L689" s="4"/>
      <c r="M689">
        <v>2023</v>
      </c>
      <c r="N689">
        <v>2</v>
      </c>
      <c r="O689" s="4">
        <v>44958</v>
      </c>
      <c r="P689" t="s">
        <v>89</v>
      </c>
      <c r="Q689" s="4"/>
      <c r="S689" t="s">
        <v>2917</v>
      </c>
      <c r="X689" t="s">
        <v>4823</v>
      </c>
      <c r="Z689" t="s">
        <v>89</v>
      </c>
      <c r="AA689" t="s">
        <v>89</v>
      </c>
      <c r="AC689" t="s">
        <v>89</v>
      </c>
      <c r="AD689">
        <v>0</v>
      </c>
      <c r="AE689" t="s">
        <v>9251</v>
      </c>
      <c r="AF689" s="4"/>
    </row>
    <row r="690" spans="1:32">
      <c r="A690" t="s">
        <v>10425</v>
      </c>
      <c r="B690" t="s">
        <v>2193</v>
      </c>
      <c r="D690" t="s">
        <v>39</v>
      </c>
      <c r="E690">
        <v>4600000721</v>
      </c>
      <c r="F690" t="s">
        <v>2916</v>
      </c>
      <c r="G690">
        <v>4385.6639999999998</v>
      </c>
      <c r="I690">
        <v>4385.6639999999998</v>
      </c>
      <c r="J690">
        <v>4385.6639999999998</v>
      </c>
      <c r="K690" s="4"/>
      <c r="L690" s="4"/>
      <c r="M690">
        <v>2023</v>
      </c>
      <c r="N690">
        <v>2</v>
      </c>
      <c r="O690" s="4">
        <v>44958</v>
      </c>
      <c r="P690" t="s">
        <v>89</v>
      </c>
      <c r="Q690" s="4"/>
      <c r="S690" t="s">
        <v>2915</v>
      </c>
      <c r="X690" t="s">
        <v>4823</v>
      </c>
      <c r="Z690" t="s">
        <v>89</v>
      </c>
      <c r="AA690" t="s">
        <v>89</v>
      </c>
      <c r="AC690" t="s">
        <v>89</v>
      </c>
      <c r="AD690">
        <v>0</v>
      </c>
      <c r="AE690" t="s">
        <v>9251</v>
      </c>
      <c r="AF690" s="4"/>
    </row>
    <row r="691" spans="1:32">
      <c r="A691" t="s">
        <v>10426</v>
      </c>
      <c r="B691" t="s">
        <v>2193</v>
      </c>
      <c r="D691" t="s">
        <v>39</v>
      </c>
      <c r="E691">
        <v>4600000721</v>
      </c>
      <c r="F691" t="s">
        <v>2922</v>
      </c>
      <c r="G691">
        <v>4404.3264000000008</v>
      </c>
      <c r="I691">
        <v>4404.3264000000008</v>
      </c>
      <c r="J691">
        <v>4404.3264000000008</v>
      </c>
      <c r="K691" s="4"/>
      <c r="L691" s="4"/>
      <c r="M691">
        <v>2023</v>
      </c>
      <c r="N691">
        <v>2</v>
      </c>
      <c r="O691" s="4">
        <v>44958</v>
      </c>
      <c r="P691" t="s">
        <v>89</v>
      </c>
      <c r="Q691" s="4"/>
      <c r="S691" t="s">
        <v>2921</v>
      </c>
      <c r="X691" t="s">
        <v>4823</v>
      </c>
      <c r="Z691" t="s">
        <v>89</v>
      </c>
      <c r="AA691" t="s">
        <v>89</v>
      </c>
      <c r="AC691" t="s">
        <v>89</v>
      </c>
      <c r="AD691">
        <v>0</v>
      </c>
      <c r="AE691" t="s">
        <v>9251</v>
      </c>
      <c r="AF691" s="4"/>
    </row>
    <row r="692" spans="1:32">
      <c r="A692" t="s">
        <v>10426</v>
      </c>
      <c r="B692" t="s">
        <v>2193</v>
      </c>
      <c r="D692" t="s">
        <v>39</v>
      </c>
      <c r="E692">
        <v>4600000721</v>
      </c>
      <c r="F692" t="s">
        <v>2920</v>
      </c>
      <c r="G692">
        <v>4404.3264000000008</v>
      </c>
      <c r="I692">
        <v>4404.3264000000008</v>
      </c>
      <c r="J692">
        <v>4404.3264000000008</v>
      </c>
      <c r="K692" s="4"/>
      <c r="L692" s="4"/>
      <c r="M692">
        <v>2023</v>
      </c>
      <c r="N692">
        <v>2</v>
      </c>
      <c r="O692" s="4">
        <v>44958</v>
      </c>
      <c r="P692" t="s">
        <v>89</v>
      </c>
      <c r="Q692" s="4"/>
      <c r="S692" t="s">
        <v>2919</v>
      </c>
      <c r="X692" t="s">
        <v>4823</v>
      </c>
      <c r="Z692" t="s">
        <v>89</v>
      </c>
      <c r="AA692" t="s">
        <v>89</v>
      </c>
      <c r="AC692" t="s">
        <v>89</v>
      </c>
      <c r="AD692">
        <v>0</v>
      </c>
      <c r="AE692" t="s">
        <v>9251</v>
      </c>
      <c r="AF692" s="4"/>
    </row>
    <row r="693" spans="1:32">
      <c r="A693" t="s">
        <v>10427</v>
      </c>
      <c r="B693" t="s">
        <v>2193</v>
      </c>
      <c r="D693" t="s">
        <v>39</v>
      </c>
      <c r="E693">
        <v>4600000757</v>
      </c>
      <c r="F693" t="s">
        <v>2924</v>
      </c>
      <c r="G693">
        <v>837.7091999999999</v>
      </c>
      <c r="I693">
        <v>837.7091999999999</v>
      </c>
      <c r="J693">
        <v>837.7091999999999</v>
      </c>
      <c r="K693" s="4"/>
      <c r="L693" s="4"/>
      <c r="M693">
        <v>2023</v>
      </c>
      <c r="N693">
        <v>2</v>
      </c>
      <c r="O693" s="4">
        <v>44958</v>
      </c>
      <c r="P693" t="s">
        <v>89</v>
      </c>
      <c r="Q693" s="4"/>
      <c r="S693" t="s">
        <v>2923</v>
      </c>
      <c r="X693" t="s">
        <v>2369</v>
      </c>
      <c r="Z693" t="s">
        <v>89</v>
      </c>
      <c r="AA693" t="s">
        <v>89</v>
      </c>
      <c r="AC693" t="s">
        <v>89</v>
      </c>
      <c r="AD693" t="s">
        <v>89</v>
      </c>
      <c r="AE693" t="s">
        <v>3652</v>
      </c>
      <c r="AF693" s="4"/>
    </row>
    <row r="694" spans="1:32">
      <c r="A694" t="s">
        <v>10427</v>
      </c>
      <c r="B694" t="s">
        <v>2193</v>
      </c>
      <c r="D694" t="s">
        <v>39</v>
      </c>
      <c r="E694">
        <v>4600000757</v>
      </c>
      <c r="F694" t="s">
        <v>2926</v>
      </c>
      <c r="G694">
        <v>837.7091999999999</v>
      </c>
      <c r="I694">
        <v>837.7091999999999</v>
      </c>
      <c r="J694">
        <v>837.7091999999999</v>
      </c>
      <c r="K694" s="4"/>
      <c r="L694" s="4"/>
      <c r="M694">
        <v>2023</v>
      </c>
      <c r="N694">
        <v>2</v>
      </c>
      <c r="O694" s="4">
        <v>44958</v>
      </c>
      <c r="P694" t="s">
        <v>89</v>
      </c>
      <c r="Q694" s="4"/>
      <c r="S694" t="s">
        <v>2925</v>
      </c>
      <c r="X694" t="s">
        <v>2369</v>
      </c>
      <c r="Z694" t="s">
        <v>89</v>
      </c>
      <c r="AA694" t="s">
        <v>89</v>
      </c>
      <c r="AC694" t="s">
        <v>89</v>
      </c>
      <c r="AD694">
        <v>0</v>
      </c>
      <c r="AE694" t="s">
        <v>9251</v>
      </c>
      <c r="AF694" s="4"/>
    </row>
    <row r="695" spans="1:32">
      <c r="A695" t="s">
        <v>10427</v>
      </c>
      <c r="B695" t="s">
        <v>2193</v>
      </c>
      <c r="D695" t="s">
        <v>39</v>
      </c>
      <c r="E695">
        <v>4600000757</v>
      </c>
      <c r="F695" t="s">
        <v>2928</v>
      </c>
      <c r="G695">
        <v>837.7091999999999</v>
      </c>
      <c r="I695">
        <v>837.7091999999999</v>
      </c>
      <c r="J695">
        <v>837.7091999999999</v>
      </c>
      <c r="K695" s="4"/>
      <c r="L695" s="4"/>
      <c r="M695">
        <v>2023</v>
      </c>
      <c r="N695">
        <v>2</v>
      </c>
      <c r="O695" s="4">
        <v>44958</v>
      </c>
      <c r="P695" t="s">
        <v>89</v>
      </c>
      <c r="Q695" s="4"/>
      <c r="S695" t="s">
        <v>2927</v>
      </c>
      <c r="X695" t="s">
        <v>2369</v>
      </c>
      <c r="Z695" t="s">
        <v>89</v>
      </c>
      <c r="AA695" t="s">
        <v>89</v>
      </c>
      <c r="AC695" t="s">
        <v>89</v>
      </c>
      <c r="AD695" t="s">
        <v>89</v>
      </c>
      <c r="AE695" t="s">
        <v>3652</v>
      </c>
      <c r="AF695" s="4"/>
    </row>
    <row r="696" spans="1:32">
      <c r="A696" t="s">
        <v>10427</v>
      </c>
      <c r="B696" t="s">
        <v>2193</v>
      </c>
      <c r="D696" t="s">
        <v>39</v>
      </c>
      <c r="E696">
        <v>4600000757</v>
      </c>
      <c r="F696" t="s">
        <v>2930</v>
      </c>
      <c r="G696">
        <v>837.7091999999999</v>
      </c>
      <c r="I696">
        <v>837.7091999999999</v>
      </c>
      <c r="J696">
        <v>837.7091999999999</v>
      </c>
      <c r="K696" s="4"/>
      <c r="L696" s="4"/>
      <c r="M696">
        <v>2023</v>
      </c>
      <c r="N696">
        <v>2</v>
      </c>
      <c r="O696" s="4">
        <v>44958</v>
      </c>
      <c r="P696" t="s">
        <v>89</v>
      </c>
      <c r="Q696" s="4"/>
      <c r="S696" t="s">
        <v>2929</v>
      </c>
      <c r="X696" t="s">
        <v>2369</v>
      </c>
      <c r="Z696" t="s">
        <v>89</v>
      </c>
      <c r="AA696" t="s">
        <v>89</v>
      </c>
      <c r="AC696" t="s">
        <v>89</v>
      </c>
      <c r="AD696" t="s">
        <v>89</v>
      </c>
      <c r="AE696" t="s">
        <v>3652</v>
      </c>
      <c r="AF696" s="4"/>
    </row>
    <row r="697" spans="1:32">
      <c r="A697" t="s">
        <v>10427</v>
      </c>
      <c r="B697" t="s">
        <v>2193</v>
      </c>
      <c r="D697" t="s">
        <v>39</v>
      </c>
      <c r="E697">
        <v>4600000757</v>
      </c>
      <c r="F697" t="s">
        <v>2932</v>
      </c>
      <c r="G697">
        <v>837.7091999999999</v>
      </c>
      <c r="I697">
        <v>837.7091999999999</v>
      </c>
      <c r="J697">
        <v>837.7091999999999</v>
      </c>
      <c r="K697" s="4"/>
      <c r="L697" s="4"/>
      <c r="M697">
        <v>2023</v>
      </c>
      <c r="N697">
        <v>2</v>
      </c>
      <c r="O697" s="4">
        <v>44958</v>
      </c>
      <c r="P697" t="s">
        <v>89</v>
      </c>
      <c r="Q697" s="4"/>
      <c r="S697" t="s">
        <v>2931</v>
      </c>
      <c r="X697" t="s">
        <v>2369</v>
      </c>
      <c r="Z697" t="s">
        <v>89</v>
      </c>
      <c r="AA697" t="s">
        <v>89</v>
      </c>
      <c r="AC697" t="s">
        <v>89</v>
      </c>
      <c r="AD697">
        <v>0</v>
      </c>
      <c r="AE697" t="s">
        <v>9251</v>
      </c>
      <c r="AF697" s="4"/>
    </row>
    <row r="698" spans="1:32">
      <c r="A698" t="s">
        <v>10427</v>
      </c>
      <c r="B698" t="s">
        <v>2193</v>
      </c>
      <c r="D698" t="s">
        <v>39</v>
      </c>
      <c r="E698">
        <v>4600000757</v>
      </c>
      <c r="F698" t="s">
        <v>2934</v>
      </c>
      <c r="G698">
        <v>837.7091999999999</v>
      </c>
      <c r="I698">
        <v>837.7091999999999</v>
      </c>
      <c r="J698">
        <v>837.7091999999999</v>
      </c>
      <c r="K698" s="4"/>
      <c r="L698" s="4"/>
      <c r="M698">
        <v>2023</v>
      </c>
      <c r="N698">
        <v>2</v>
      </c>
      <c r="O698" s="4">
        <v>44958</v>
      </c>
      <c r="P698" t="s">
        <v>89</v>
      </c>
      <c r="Q698" s="4"/>
      <c r="S698" t="s">
        <v>2933</v>
      </c>
      <c r="X698" t="s">
        <v>2369</v>
      </c>
      <c r="Z698" t="s">
        <v>89</v>
      </c>
      <c r="AA698" t="s">
        <v>89</v>
      </c>
      <c r="AC698" t="s">
        <v>89</v>
      </c>
      <c r="AD698">
        <v>0</v>
      </c>
      <c r="AE698" t="s">
        <v>9251</v>
      </c>
      <c r="AF698" s="4"/>
    </row>
    <row r="699" spans="1:32">
      <c r="A699" t="s">
        <v>10428</v>
      </c>
      <c r="B699" t="s">
        <v>2193</v>
      </c>
      <c r="D699" t="s">
        <v>39</v>
      </c>
      <c r="E699">
        <v>4600000810</v>
      </c>
      <c r="F699" t="s">
        <v>2942</v>
      </c>
      <c r="G699">
        <v>1150.6536000000001</v>
      </c>
      <c r="I699">
        <v>1150.6536000000001</v>
      </c>
      <c r="J699">
        <v>1150.6536000000001</v>
      </c>
      <c r="K699" s="4"/>
      <c r="L699" s="4"/>
      <c r="M699">
        <v>2023</v>
      </c>
      <c r="N699">
        <v>2</v>
      </c>
      <c r="O699" s="4">
        <v>44958</v>
      </c>
      <c r="P699" t="s">
        <v>89</v>
      </c>
      <c r="Q699" s="4"/>
      <c r="S699" t="s">
        <v>2937</v>
      </c>
      <c r="X699" t="s">
        <v>2369</v>
      </c>
      <c r="Z699" t="s">
        <v>89</v>
      </c>
      <c r="AA699" t="s">
        <v>89</v>
      </c>
      <c r="AC699" t="s">
        <v>89</v>
      </c>
      <c r="AD699">
        <v>0</v>
      </c>
      <c r="AE699" t="s">
        <v>9251</v>
      </c>
      <c r="AF699" s="4"/>
    </row>
    <row r="700" spans="1:32">
      <c r="A700" t="s">
        <v>10428</v>
      </c>
      <c r="B700" t="s">
        <v>2193</v>
      </c>
      <c r="D700" t="s">
        <v>39</v>
      </c>
      <c r="E700">
        <v>4600000810</v>
      </c>
      <c r="F700" t="s">
        <v>2940</v>
      </c>
      <c r="G700">
        <v>1150.6536000000001</v>
      </c>
      <c r="I700">
        <v>1150.6536000000001</v>
      </c>
      <c r="J700">
        <v>1150.6536000000001</v>
      </c>
      <c r="K700" s="4"/>
      <c r="L700" s="4"/>
      <c r="M700">
        <v>2023</v>
      </c>
      <c r="N700">
        <v>2</v>
      </c>
      <c r="O700" s="4">
        <v>44958</v>
      </c>
      <c r="P700" t="s">
        <v>89</v>
      </c>
      <c r="Q700" s="4"/>
      <c r="S700" t="s">
        <v>2947</v>
      </c>
      <c r="X700" t="s">
        <v>2369</v>
      </c>
      <c r="Z700" t="s">
        <v>89</v>
      </c>
      <c r="AA700" t="s">
        <v>89</v>
      </c>
      <c r="AC700" t="s">
        <v>89</v>
      </c>
      <c r="AD700">
        <v>0</v>
      </c>
      <c r="AE700" t="s">
        <v>9251</v>
      </c>
      <c r="AF700" s="4"/>
    </row>
    <row r="701" spans="1:32">
      <c r="A701" t="s">
        <v>10428</v>
      </c>
      <c r="B701" t="s">
        <v>2193</v>
      </c>
      <c r="D701" t="s">
        <v>39</v>
      </c>
      <c r="E701">
        <v>4600000810</v>
      </c>
      <c r="F701" t="s">
        <v>2948</v>
      </c>
      <c r="G701">
        <v>1150.6536000000001</v>
      </c>
      <c r="I701">
        <v>1150.6536000000001</v>
      </c>
      <c r="J701">
        <v>1150.6536000000001</v>
      </c>
      <c r="K701" s="4"/>
      <c r="L701" s="4"/>
      <c r="M701">
        <v>2023</v>
      </c>
      <c r="N701">
        <v>2</v>
      </c>
      <c r="O701" s="4">
        <v>44958</v>
      </c>
      <c r="P701" t="s">
        <v>89</v>
      </c>
      <c r="Q701" s="4"/>
      <c r="S701" t="s">
        <v>2941</v>
      </c>
      <c r="X701" t="s">
        <v>2369</v>
      </c>
      <c r="Z701" t="s">
        <v>89</v>
      </c>
      <c r="AA701" t="s">
        <v>89</v>
      </c>
      <c r="AC701" t="s">
        <v>89</v>
      </c>
      <c r="AD701" t="s">
        <v>89</v>
      </c>
      <c r="AE701" t="s">
        <v>3652</v>
      </c>
      <c r="AF701" s="4"/>
    </row>
    <row r="702" spans="1:32">
      <c r="A702" t="s">
        <v>10428</v>
      </c>
      <c r="B702" t="s">
        <v>2193</v>
      </c>
      <c r="D702" t="s">
        <v>39</v>
      </c>
      <c r="E702">
        <v>4600000810</v>
      </c>
      <c r="F702" t="s">
        <v>2950</v>
      </c>
      <c r="G702">
        <v>1150.6536000000001</v>
      </c>
      <c r="I702">
        <v>1150.6536000000001</v>
      </c>
      <c r="J702">
        <v>1150.6536000000001</v>
      </c>
      <c r="K702" s="4"/>
      <c r="L702" s="4"/>
      <c r="M702">
        <v>2023</v>
      </c>
      <c r="N702">
        <v>2</v>
      </c>
      <c r="O702" s="4">
        <v>44958</v>
      </c>
      <c r="P702" t="s">
        <v>89</v>
      </c>
      <c r="Q702" s="4"/>
      <c r="S702" t="s">
        <v>2945</v>
      </c>
      <c r="X702" t="s">
        <v>2369</v>
      </c>
      <c r="Z702" t="s">
        <v>89</v>
      </c>
      <c r="AA702" t="s">
        <v>89</v>
      </c>
      <c r="AC702" t="s">
        <v>89</v>
      </c>
      <c r="AD702" t="s">
        <v>89</v>
      </c>
      <c r="AE702" t="s">
        <v>3652</v>
      </c>
      <c r="AF702" s="4"/>
    </row>
    <row r="703" spans="1:32">
      <c r="A703" t="s">
        <v>10428</v>
      </c>
      <c r="B703" t="s">
        <v>2193</v>
      </c>
      <c r="D703" t="s">
        <v>39</v>
      </c>
      <c r="E703">
        <v>4600000810</v>
      </c>
      <c r="F703" t="s">
        <v>2946</v>
      </c>
      <c r="G703">
        <v>1150.6536000000001</v>
      </c>
      <c r="I703">
        <v>1150.6536000000001</v>
      </c>
      <c r="J703">
        <v>1150.6536000000001</v>
      </c>
      <c r="K703" s="4"/>
      <c r="L703" s="4"/>
      <c r="M703">
        <v>2023</v>
      </c>
      <c r="N703">
        <v>2</v>
      </c>
      <c r="O703" s="4">
        <v>44958</v>
      </c>
      <c r="P703" t="s">
        <v>89</v>
      </c>
      <c r="Q703" s="4"/>
      <c r="S703" t="s">
        <v>2949</v>
      </c>
      <c r="X703" t="s">
        <v>2369</v>
      </c>
      <c r="Z703" t="s">
        <v>89</v>
      </c>
      <c r="AA703" t="s">
        <v>89</v>
      </c>
      <c r="AC703" t="s">
        <v>89</v>
      </c>
      <c r="AD703">
        <v>0</v>
      </c>
      <c r="AE703" t="s">
        <v>9251</v>
      </c>
      <c r="AF703" s="4"/>
    </row>
    <row r="704" spans="1:32">
      <c r="A704" t="s">
        <v>10428</v>
      </c>
      <c r="B704" t="s">
        <v>2193</v>
      </c>
      <c r="D704" t="s">
        <v>39</v>
      </c>
      <c r="E704">
        <v>4600000810</v>
      </c>
      <c r="F704" t="s">
        <v>2952</v>
      </c>
      <c r="G704">
        <v>1150.6536000000001</v>
      </c>
      <c r="I704">
        <v>1150.6536000000001</v>
      </c>
      <c r="J704">
        <v>1150.6536000000001</v>
      </c>
      <c r="K704" s="4"/>
      <c r="L704" s="4"/>
      <c r="M704">
        <v>2023</v>
      </c>
      <c r="N704">
        <v>2</v>
      </c>
      <c r="O704" s="4">
        <v>44958</v>
      </c>
      <c r="P704" t="s">
        <v>89</v>
      </c>
      <c r="Q704" s="4"/>
      <c r="S704" t="s">
        <v>2951</v>
      </c>
      <c r="X704" t="s">
        <v>2369</v>
      </c>
      <c r="Z704" t="s">
        <v>89</v>
      </c>
      <c r="AA704" t="s">
        <v>89</v>
      </c>
      <c r="AC704" t="s">
        <v>89</v>
      </c>
      <c r="AD704" t="s">
        <v>89</v>
      </c>
      <c r="AE704" t="s">
        <v>3652</v>
      </c>
      <c r="AF704" s="4"/>
    </row>
    <row r="705" spans="1:32">
      <c r="A705" t="s">
        <v>10428</v>
      </c>
      <c r="B705" t="s">
        <v>2193</v>
      </c>
      <c r="D705" t="s">
        <v>39</v>
      </c>
      <c r="E705">
        <v>4600000810</v>
      </c>
      <c r="F705" t="s">
        <v>2938</v>
      </c>
      <c r="G705">
        <v>1150.6536000000001</v>
      </c>
      <c r="I705">
        <v>1150.6536000000001</v>
      </c>
      <c r="J705">
        <v>1150.6536000000001</v>
      </c>
      <c r="K705" s="4"/>
      <c r="L705" s="4"/>
      <c r="M705">
        <v>2023</v>
      </c>
      <c r="N705">
        <v>2</v>
      </c>
      <c r="O705" s="4">
        <v>44958</v>
      </c>
      <c r="P705" t="s">
        <v>89</v>
      </c>
      <c r="Q705" s="4"/>
      <c r="S705" t="s">
        <v>2957</v>
      </c>
      <c r="X705" t="s">
        <v>2369</v>
      </c>
      <c r="Z705" t="s">
        <v>89</v>
      </c>
      <c r="AA705" t="s">
        <v>89</v>
      </c>
      <c r="AC705" t="s">
        <v>89</v>
      </c>
      <c r="AD705" t="s">
        <v>89</v>
      </c>
      <c r="AE705" t="s">
        <v>3652</v>
      </c>
      <c r="AF705" s="4"/>
    </row>
    <row r="706" spans="1:32">
      <c r="A706" t="s">
        <v>10428</v>
      </c>
      <c r="B706" t="s">
        <v>2193</v>
      </c>
      <c r="D706" t="s">
        <v>39</v>
      </c>
      <c r="E706">
        <v>4600000810</v>
      </c>
      <c r="F706" t="s">
        <v>2958</v>
      </c>
      <c r="G706">
        <v>1150.6536000000001</v>
      </c>
      <c r="I706">
        <v>1150.6536000000001</v>
      </c>
      <c r="J706">
        <v>1150.6536000000001</v>
      </c>
      <c r="K706" s="4"/>
      <c r="L706" s="4"/>
      <c r="M706">
        <v>2023</v>
      </c>
      <c r="N706">
        <v>2</v>
      </c>
      <c r="O706" s="4">
        <v>44958</v>
      </c>
      <c r="P706" t="s">
        <v>89</v>
      </c>
      <c r="Q706" s="4"/>
      <c r="S706" t="s">
        <v>2959</v>
      </c>
      <c r="X706" t="s">
        <v>2369</v>
      </c>
      <c r="Z706" t="s">
        <v>89</v>
      </c>
      <c r="AA706" t="s">
        <v>89</v>
      </c>
      <c r="AC706" t="s">
        <v>89</v>
      </c>
      <c r="AD706">
        <v>0</v>
      </c>
      <c r="AE706" t="s">
        <v>9251</v>
      </c>
      <c r="AF706" s="4"/>
    </row>
    <row r="707" spans="1:32">
      <c r="A707" t="s">
        <v>10428</v>
      </c>
      <c r="B707" t="s">
        <v>2193</v>
      </c>
      <c r="D707" t="s">
        <v>39</v>
      </c>
      <c r="E707">
        <v>4600000810</v>
      </c>
      <c r="F707" t="s">
        <v>2960</v>
      </c>
      <c r="G707">
        <v>1150.6536000000001</v>
      </c>
      <c r="I707">
        <v>1150.6536000000001</v>
      </c>
      <c r="J707">
        <v>1150.6536000000001</v>
      </c>
      <c r="K707" s="4"/>
      <c r="L707" s="4"/>
      <c r="M707">
        <v>2023</v>
      </c>
      <c r="N707">
        <v>2</v>
      </c>
      <c r="O707" s="4">
        <v>44958</v>
      </c>
      <c r="P707" t="s">
        <v>89</v>
      </c>
      <c r="Q707" s="4"/>
      <c r="S707" t="s">
        <v>2971</v>
      </c>
      <c r="X707" t="s">
        <v>2369</v>
      </c>
      <c r="Z707" t="s">
        <v>89</v>
      </c>
      <c r="AA707" t="s">
        <v>89</v>
      </c>
      <c r="AC707" t="s">
        <v>89</v>
      </c>
      <c r="AD707" t="s">
        <v>89</v>
      </c>
      <c r="AE707" t="s">
        <v>3652</v>
      </c>
      <c r="AF707" s="4"/>
    </row>
    <row r="708" spans="1:32">
      <c r="A708" t="s">
        <v>10428</v>
      </c>
      <c r="B708" t="s">
        <v>2193</v>
      </c>
      <c r="D708" t="s">
        <v>39</v>
      </c>
      <c r="E708">
        <v>4600000810</v>
      </c>
      <c r="F708" t="s">
        <v>2972</v>
      </c>
      <c r="G708">
        <v>1150.6536000000001</v>
      </c>
      <c r="I708">
        <v>1150.6536000000001</v>
      </c>
      <c r="J708">
        <v>1150.6536000000001</v>
      </c>
      <c r="K708" s="4"/>
      <c r="L708" s="4"/>
      <c r="M708">
        <v>2023</v>
      </c>
      <c r="N708">
        <v>2</v>
      </c>
      <c r="O708" s="4">
        <v>44958</v>
      </c>
      <c r="P708" t="s">
        <v>89</v>
      </c>
      <c r="Q708" s="4"/>
      <c r="S708" t="s">
        <v>2973</v>
      </c>
      <c r="X708" t="s">
        <v>2369</v>
      </c>
      <c r="Z708" t="s">
        <v>89</v>
      </c>
      <c r="AA708" t="s">
        <v>89</v>
      </c>
      <c r="AC708" t="s">
        <v>89</v>
      </c>
      <c r="AD708" t="s">
        <v>89</v>
      </c>
      <c r="AE708" t="s">
        <v>3652</v>
      </c>
      <c r="AF708" s="4"/>
    </row>
    <row r="709" spans="1:32">
      <c r="A709" t="s">
        <v>10428</v>
      </c>
      <c r="B709" t="s">
        <v>2193</v>
      </c>
      <c r="D709" t="s">
        <v>39</v>
      </c>
      <c r="E709">
        <v>4600000810</v>
      </c>
      <c r="F709" t="s">
        <v>2974</v>
      </c>
      <c r="G709">
        <v>1150.6536000000001</v>
      </c>
      <c r="I709">
        <v>1150.6536000000001</v>
      </c>
      <c r="J709">
        <v>1150.6536000000001</v>
      </c>
      <c r="K709" s="4"/>
      <c r="L709" s="4"/>
      <c r="M709">
        <v>2023</v>
      </c>
      <c r="N709">
        <v>2</v>
      </c>
      <c r="O709" s="4">
        <v>44958</v>
      </c>
      <c r="P709" t="s">
        <v>89</v>
      </c>
      <c r="Q709" s="4"/>
      <c r="S709" t="s">
        <v>2967</v>
      </c>
      <c r="X709" t="s">
        <v>2369</v>
      </c>
      <c r="Z709" t="s">
        <v>89</v>
      </c>
      <c r="AA709" t="s">
        <v>89</v>
      </c>
      <c r="AC709" t="s">
        <v>89</v>
      </c>
      <c r="AD709">
        <v>0</v>
      </c>
      <c r="AE709" t="s">
        <v>9251</v>
      </c>
      <c r="AF709" s="4"/>
    </row>
    <row r="710" spans="1:32">
      <c r="A710" t="s">
        <v>10428</v>
      </c>
      <c r="B710" t="s">
        <v>2193</v>
      </c>
      <c r="D710" t="s">
        <v>39</v>
      </c>
      <c r="E710">
        <v>4600000810</v>
      </c>
      <c r="F710" t="s">
        <v>2968</v>
      </c>
      <c r="G710">
        <v>1150.6536000000001</v>
      </c>
      <c r="I710">
        <v>1150.6536000000001</v>
      </c>
      <c r="J710">
        <v>1150.6536000000001</v>
      </c>
      <c r="K710" s="4"/>
      <c r="L710" s="4"/>
      <c r="M710">
        <v>2023</v>
      </c>
      <c r="N710">
        <v>2</v>
      </c>
      <c r="O710" s="4">
        <v>44958</v>
      </c>
      <c r="P710" t="s">
        <v>89</v>
      </c>
      <c r="Q710" s="4"/>
      <c r="S710" t="s">
        <v>2977</v>
      </c>
      <c r="X710" t="s">
        <v>2369</v>
      </c>
      <c r="Z710" t="s">
        <v>89</v>
      </c>
      <c r="AA710" t="s">
        <v>89</v>
      </c>
      <c r="AC710" t="s">
        <v>89</v>
      </c>
      <c r="AD710">
        <v>0</v>
      </c>
      <c r="AE710" t="s">
        <v>9251</v>
      </c>
      <c r="AF710" s="4"/>
    </row>
    <row r="711" spans="1:32">
      <c r="A711" t="s">
        <v>10429</v>
      </c>
      <c r="B711" t="s">
        <v>2193</v>
      </c>
      <c r="D711" t="s">
        <v>39</v>
      </c>
      <c r="E711">
        <v>4600000810</v>
      </c>
      <c r="F711" t="s">
        <v>2964</v>
      </c>
      <c r="G711">
        <v>1864.6678929496411</v>
      </c>
      <c r="I711">
        <v>1864.6678929496411</v>
      </c>
      <c r="J711">
        <v>1864.6678929496411</v>
      </c>
      <c r="K711" s="4"/>
      <c r="L711" s="4"/>
      <c r="M711">
        <v>2023</v>
      </c>
      <c r="N711">
        <v>2</v>
      </c>
      <c r="O711" s="4">
        <v>44958</v>
      </c>
      <c r="P711" t="s">
        <v>89</v>
      </c>
      <c r="Q711" s="4"/>
      <c r="S711" t="s">
        <v>2963</v>
      </c>
      <c r="X711" t="s">
        <v>2369</v>
      </c>
      <c r="Z711" t="s">
        <v>89</v>
      </c>
      <c r="AA711" t="s">
        <v>89</v>
      </c>
      <c r="AC711" t="s">
        <v>89</v>
      </c>
      <c r="AD711">
        <v>0</v>
      </c>
      <c r="AE711" t="s">
        <v>9251</v>
      </c>
      <c r="AF711" s="4"/>
    </row>
    <row r="712" spans="1:32">
      <c r="A712" t="s">
        <v>10429</v>
      </c>
      <c r="B712" t="s">
        <v>2193</v>
      </c>
      <c r="D712" t="s">
        <v>39</v>
      </c>
      <c r="E712">
        <v>4600000810</v>
      </c>
      <c r="F712" t="s">
        <v>2936</v>
      </c>
      <c r="G712">
        <v>1864.6678929496411</v>
      </c>
      <c r="I712">
        <v>1864.6678929496411</v>
      </c>
      <c r="J712">
        <v>1864.6678929496411</v>
      </c>
      <c r="K712" s="4"/>
      <c r="L712" s="4"/>
      <c r="M712">
        <v>2023</v>
      </c>
      <c r="N712">
        <v>2</v>
      </c>
      <c r="O712" s="4">
        <v>44958</v>
      </c>
      <c r="P712" t="s">
        <v>89</v>
      </c>
      <c r="Q712" s="4"/>
      <c r="S712" t="s">
        <v>2935</v>
      </c>
      <c r="X712" t="s">
        <v>2369</v>
      </c>
      <c r="Z712" t="s">
        <v>89</v>
      </c>
      <c r="AA712" t="s">
        <v>89</v>
      </c>
      <c r="AC712" t="s">
        <v>89</v>
      </c>
      <c r="AD712">
        <v>0</v>
      </c>
      <c r="AE712" t="s">
        <v>9251</v>
      </c>
      <c r="AF712" s="4"/>
    </row>
    <row r="713" spans="1:32">
      <c r="A713" t="s">
        <v>10429</v>
      </c>
      <c r="B713" t="s">
        <v>2193</v>
      </c>
      <c r="D713" t="s">
        <v>39</v>
      </c>
      <c r="E713">
        <v>4600000810</v>
      </c>
      <c r="F713" t="s">
        <v>2944</v>
      </c>
      <c r="G713">
        <v>1864.6678929496411</v>
      </c>
      <c r="I713">
        <v>1864.6678929496411</v>
      </c>
      <c r="J713">
        <v>1864.6678929496411</v>
      </c>
      <c r="K713" s="4"/>
      <c r="L713" s="4"/>
      <c r="M713">
        <v>2023</v>
      </c>
      <c r="N713">
        <v>2</v>
      </c>
      <c r="O713" s="4">
        <v>44958</v>
      </c>
      <c r="P713" t="s">
        <v>89</v>
      </c>
      <c r="Q713" s="4"/>
      <c r="S713" t="s">
        <v>2943</v>
      </c>
      <c r="X713" t="s">
        <v>2369</v>
      </c>
      <c r="Z713" t="s">
        <v>89</v>
      </c>
      <c r="AA713" t="s">
        <v>89</v>
      </c>
      <c r="AC713" t="s">
        <v>89</v>
      </c>
      <c r="AD713">
        <v>0</v>
      </c>
      <c r="AE713" t="s">
        <v>9251</v>
      </c>
      <c r="AF713" s="4"/>
    </row>
    <row r="714" spans="1:32">
      <c r="A714" t="s">
        <v>10429</v>
      </c>
      <c r="B714" t="s">
        <v>2193</v>
      </c>
      <c r="D714" t="s">
        <v>39</v>
      </c>
      <c r="E714">
        <v>4600000810</v>
      </c>
      <c r="F714" t="s">
        <v>2962</v>
      </c>
      <c r="G714">
        <v>1864.6678929496411</v>
      </c>
      <c r="I714">
        <v>1864.6678929496411</v>
      </c>
      <c r="J714">
        <v>1864.6678929496411</v>
      </c>
      <c r="K714" s="4"/>
      <c r="L714" s="4"/>
      <c r="M714">
        <v>2023</v>
      </c>
      <c r="N714">
        <v>2</v>
      </c>
      <c r="O714" s="4">
        <v>44958</v>
      </c>
      <c r="P714" t="s">
        <v>89</v>
      </c>
      <c r="Q714" s="4"/>
      <c r="S714" t="s">
        <v>2961</v>
      </c>
      <c r="X714" t="s">
        <v>2369</v>
      </c>
      <c r="Z714" t="s">
        <v>89</v>
      </c>
      <c r="AA714" t="s">
        <v>89</v>
      </c>
      <c r="AC714" t="s">
        <v>89</v>
      </c>
      <c r="AD714">
        <v>0</v>
      </c>
      <c r="AE714" t="s">
        <v>9251</v>
      </c>
      <c r="AF714" s="4"/>
    </row>
    <row r="715" spans="1:32">
      <c r="A715" t="s">
        <v>10429</v>
      </c>
      <c r="B715" t="s">
        <v>2193</v>
      </c>
      <c r="D715" t="s">
        <v>39</v>
      </c>
      <c r="E715">
        <v>4600000810</v>
      </c>
      <c r="F715" t="s">
        <v>2954</v>
      </c>
      <c r="G715">
        <v>1864.6678929496411</v>
      </c>
      <c r="I715">
        <v>1864.6678929496411</v>
      </c>
      <c r="J715">
        <v>1864.6678929496411</v>
      </c>
      <c r="K715" s="4"/>
      <c r="L715" s="4"/>
      <c r="M715">
        <v>2023</v>
      </c>
      <c r="N715">
        <v>2</v>
      </c>
      <c r="O715" s="4">
        <v>44958</v>
      </c>
      <c r="P715" t="s">
        <v>89</v>
      </c>
      <c r="Q715" s="4"/>
      <c r="S715" t="s">
        <v>2953</v>
      </c>
      <c r="X715" t="s">
        <v>2369</v>
      </c>
      <c r="Z715" t="s">
        <v>89</v>
      </c>
      <c r="AA715" t="s">
        <v>89</v>
      </c>
      <c r="AC715" t="s">
        <v>89</v>
      </c>
      <c r="AD715" t="s">
        <v>89</v>
      </c>
      <c r="AE715" t="s">
        <v>3652</v>
      </c>
      <c r="AF715" s="4"/>
    </row>
    <row r="716" spans="1:32">
      <c r="A716" t="s">
        <v>10429</v>
      </c>
      <c r="B716" t="s">
        <v>2193</v>
      </c>
      <c r="D716" t="s">
        <v>39</v>
      </c>
      <c r="E716">
        <v>4600000810</v>
      </c>
      <c r="F716" t="s">
        <v>2956</v>
      </c>
      <c r="G716">
        <v>1864.6678929496411</v>
      </c>
      <c r="I716">
        <v>1864.6678929496411</v>
      </c>
      <c r="J716">
        <v>1864.6678929496411</v>
      </c>
      <c r="K716" s="4"/>
      <c r="L716" s="4"/>
      <c r="M716">
        <v>2023</v>
      </c>
      <c r="N716">
        <v>2</v>
      </c>
      <c r="O716" s="4">
        <v>44958</v>
      </c>
      <c r="P716" t="s">
        <v>89</v>
      </c>
      <c r="Q716" s="4"/>
      <c r="S716" t="s">
        <v>2955</v>
      </c>
      <c r="X716" t="s">
        <v>2369</v>
      </c>
      <c r="Z716" t="s">
        <v>89</v>
      </c>
      <c r="AA716" t="s">
        <v>89</v>
      </c>
      <c r="AC716" t="s">
        <v>89</v>
      </c>
      <c r="AD716" t="s">
        <v>89</v>
      </c>
      <c r="AE716" t="s">
        <v>3652</v>
      </c>
      <c r="AF716" s="4"/>
    </row>
    <row r="717" spans="1:32">
      <c r="A717" t="s">
        <v>10429</v>
      </c>
      <c r="B717" t="s">
        <v>2193</v>
      </c>
      <c r="D717" t="s">
        <v>39</v>
      </c>
      <c r="E717">
        <v>4600000810</v>
      </c>
      <c r="F717" t="s">
        <v>2970</v>
      </c>
      <c r="G717">
        <v>1864.6678929496411</v>
      </c>
      <c r="I717">
        <v>1864.6678929496411</v>
      </c>
      <c r="J717">
        <v>1864.6678929496411</v>
      </c>
      <c r="K717" s="4"/>
      <c r="L717" s="4"/>
      <c r="M717">
        <v>2023</v>
      </c>
      <c r="N717">
        <v>2</v>
      </c>
      <c r="O717" s="4">
        <v>44958</v>
      </c>
      <c r="P717" t="s">
        <v>89</v>
      </c>
      <c r="Q717" s="4"/>
      <c r="S717" t="s">
        <v>2969</v>
      </c>
      <c r="X717" t="s">
        <v>2369</v>
      </c>
      <c r="Z717" t="s">
        <v>89</v>
      </c>
      <c r="AA717" t="s">
        <v>89</v>
      </c>
      <c r="AC717" t="s">
        <v>89</v>
      </c>
      <c r="AD717" t="s">
        <v>89</v>
      </c>
      <c r="AE717" t="s">
        <v>3652</v>
      </c>
      <c r="AF717" s="4"/>
    </row>
    <row r="718" spans="1:32">
      <c r="A718" t="s">
        <v>10429</v>
      </c>
      <c r="B718" t="s">
        <v>2193</v>
      </c>
      <c r="D718" t="s">
        <v>39</v>
      </c>
      <c r="E718">
        <v>4600000810</v>
      </c>
      <c r="F718" t="s">
        <v>2966</v>
      </c>
      <c r="G718">
        <v>1864.6678929496411</v>
      </c>
      <c r="I718">
        <v>1864.6678929496411</v>
      </c>
      <c r="J718">
        <v>1864.6678929496411</v>
      </c>
      <c r="K718" s="4"/>
      <c r="L718" s="4"/>
      <c r="M718">
        <v>2023</v>
      </c>
      <c r="N718">
        <v>2</v>
      </c>
      <c r="O718" s="4">
        <v>44958</v>
      </c>
      <c r="P718" t="s">
        <v>89</v>
      </c>
      <c r="Q718" s="4"/>
      <c r="S718" t="s">
        <v>2965</v>
      </c>
      <c r="X718" t="s">
        <v>2369</v>
      </c>
      <c r="Z718" t="s">
        <v>89</v>
      </c>
      <c r="AA718" t="s">
        <v>89</v>
      </c>
      <c r="AC718" t="s">
        <v>89</v>
      </c>
      <c r="AD718" t="s">
        <v>89</v>
      </c>
      <c r="AE718" t="s">
        <v>3652</v>
      </c>
      <c r="AF718" s="4"/>
    </row>
    <row r="719" spans="1:32">
      <c r="A719" t="s">
        <v>10429</v>
      </c>
      <c r="B719" t="s">
        <v>2193</v>
      </c>
      <c r="D719" t="s">
        <v>39</v>
      </c>
      <c r="E719">
        <v>4600000810</v>
      </c>
      <c r="F719" t="s">
        <v>2976</v>
      </c>
      <c r="G719">
        <v>1864.6678929496411</v>
      </c>
      <c r="I719">
        <v>1864.6678929496411</v>
      </c>
      <c r="J719">
        <v>1864.6678929496411</v>
      </c>
      <c r="K719" s="4"/>
      <c r="L719" s="4"/>
      <c r="M719">
        <v>2023</v>
      </c>
      <c r="N719">
        <v>2</v>
      </c>
      <c r="O719" s="4">
        <v>44958</v>
      </c>
      <c r="P719" t="s">
        <v>89</v>
      </c>
      <c r="Q719" s="4"/>
      <c r="S719" t="s">
        <v>2975</v>
      </c>
      <c r="X719" t="s">
        <v>2369</v>
      </c>
      <c r="Z719" t="s">
        <v>89</v>
      </c>
      <c r="AA719" t="s">
        <v>89</v>
      </c>
      <c r="AC719" t="s">
        <v>89</v>
      </c>
      <c r="AD719" t="s">
        <v>89</v>
      </c>
      <c r="AE719" t="s">
        <v>3652</v>
      </c>
      <c r="AF719" s="4"/>
    </row>
    <row r="720" spans="1:32">
      <c r="A720" t="s">
        <v>10430</v>
      </c>
      <c r="B720" t="s">
        <v>2193</v>
      </c>
      <c r="D720" t="s">
        <v>32</v>
      </c>
      <c r="E720">
        <v>4900167753</v>
      </c>
      <c r="F720" t="s">
        <v>2809</v>
      </c>
      <c r="G720">
        <v>32298.491999999977</v>
      </c>
      <c r="I720">
        <v>32298.491999999977</v>
      </c>
      <c r="J720">
        <v>32298.491999999977</v>
      </c>
      <c r="K720" s="4"/>
      <c r="L720" s="4"/>
      <c r="M720">
        <v>2023</v>
      </c>
      <c r="N720">
        <v>11</v>
      </c>
      <c r="O720" s="4">
        <v>45231</v>
      </c>
      <c r="P720" t="s">
        <v>89</v>
      </c>
      <c r="Q720" s="4"/>
      <c r="S720" t="s">
        <v>2808</v>
      </c>
      <c r="X720" t="s">
        <v>4102</v>
      </c>
      <c r="Z720" t="s">
        <v>89</v>
      </c>
      <c r="AA720" t="s">
        <v>89</v>
      </c>
      <c r="AC720" t="s">
        <v>89</v>
      </c>
      <c r="AD720" t="s">
        <v>89</v>
      </c>
      <c r="AE720" t="s">
        <v>3652</v>
      </c>
      <c r="AF720" s="4"/>
    </row>
    <row r="721" spans="1:32">
      <c r="A721" t="s">
        <v>10431</v>
      </c>
      <c r="B721" t="s">
        <v>2193</v>
      </c>
      <c r="D721" t="s">
        <v>32</v>
      </c>
      <c r="E721">
        <v>4900167881</v>
      </c>
      <c r="F721" t="s">
        <v>2818</v>
      </c>
      <c r="G721">
        <v>17150.724000000002</v>
      </c>
      <c r="I721">
        <v>17150.724000000002</v>
      </c>
      <c r="J721">
        <v>17150.724000000002</v>
      </c>
      <c r="K721" s="4"/>
      <c r="L721" s="4"/>
      <c r="M721">
        <v>2023</v>
      </c>
      <c r="N721">
        <v>11</v>
      </c>
      <c r="O721" s="4">
        <v>45231</v>
      </c>
      <c r="P721" t="s">
        <v>89</v>
      </c>
      <c r="Q721" s="4"/>
      <c r="S721" t="s">
        <v>2817</v>
      </c>
      <c r="X721" t="s">
        <v>3681</v>
      </c>
      <c r="Z721" t="s">
        <v>89</v>
      </c>
      <c r="AA721" t="s">
        <v>89</v>
      </c>
      <c r="AC721" t="s">
        <v>89</v>
      </c>
      <c r="AD721">
        <v>0</v>
      </c>
      <c r="AE721" t="s">
        <v>9251</v>
      </c>
      <c r="AF721" s="4"/>
    </row>
    <row r="722" spans="1:32">
      <c r="A722" t="s">
        <v>10432</v>
      </c>
      <c r="B722" t="s">
        <v>2193</v>
      </c>
      <c r="D722" t="s">
        <v>32</v>
      </c>
      <c r="E722">
        <v>4900167884</v>
      </c>
      <c r="F722" t="s">
        <v>2825</v>
      </c>
      <c r="G722">
        <v>19482.995999999999</v>
      </c>
      <c r="I722">
        <v>19482.995999999999</v>
      </c>
      <c r="J722">
        <v>19482.995999999999</v>
      </c>
      <c r="K722" s="4"/>
      <c r="L722" s="4"/>
      <c r="M722">
        <v>2023</v>
      </c>
      <c r="N722">
        <v>11</v>
      </c>
      <c r="O722" s="4">
        <v>45231</v>
      </c>
      <c r="P722" t="s">
        <v>89</v>
      </c>
      <c r="Q722" s="4"/>
      <c r="S722" t="s">
        <v>2824</v>
      </c>
      <c r="X722" t="s">
        <v>9254</v>
      </c>
      <c r="Z722" t="s">
        <v>89</v>
      </c>
      <c r="AA722" t="s">
        <v>89</v>
      </c>
      <c r="AC722" t="s">
        <v>89</v>
      </c>
      <c r="AD722">
        <v>0</v>
      </c>
      <c r="AE722" t="s">
        <v>9251</v>
      </c>
      <c r="AF722" s="4"/>
    </row>
    <row r="723" spans="1:32">
      <c r="A723" t="s">
        <v>10433</v>
      </c>
      <c r="B723" t="s">
        <v>2193</v>
      </c>
      <c r="C723" t="s">
        <v>10434</v>
      </c>
      <c r="D723" t="s">
        <v>49</v>
      </c>
      <c r="E723" t="s">
        <v>3146</v>
      </c>
      <c r="F723" t="s">
        <v>3150</v>
      </c>
      <c r="G723">
        <v>4473</v>
      </c>
      <c r="I723">
        <v>4473</v>
      </c>
      <c r="J723">
        <v>4473</v>
      </c>
      <c r="K723" s="4"/>
      <c r="L723" s="4"/>
      <c r="M723">
        <v>2024</v>
      </c>
      <c r="N723">
        <v>1</v>
      </c>
      <c r="O723" s="4">
        <v>45292</v>
      </c>
      <c r="P723" t="s">
        <v>89</v>
      </c>
      <c r="Q723" s="4"/>
      <c r="S723" t="s">
        <v>3149</v>
      </c>
      <c r="X723" t="s">
        <v>3681</v>
      </c>
      <c r="Z723" t="s">
        <v>89</v>
      </c>
      <c r="AA723" t="s">
        <v>89</v>
      </c>
      <c r="AC723" t="s">
        <v>89</v>
      </c>
      <c r="AD723">
        <v>0</v>
      </c>
      <c r="AE723" t="s">
        <v>9251</v>
      </c>
      <c r="AF723" s="4"/>
    </row>
    <row r="724" spans="1:32">
      <c r="A724" t="s">
        <v>10435</v>
      </c>
      <c r="B724" t="s">
        <v>2193</v>
      </c>
      <c r="C724" t="s">
        <v>10434</v>
      </c>
      <c r="D724" t="s">
        <v>49</v>
      </c>
      <c r="E724" t="s">
        <v>3151</v>
      </c>
      <c r="F724" t="s">
        <v>3153</v>
      </c>
      <c r="G724">
        <v>5880</v>
      </c>
      <c r="I724">
        <v>5880</v>
      </c>
      <c r="J724">
        <v>5880</v>
      </c>
      <c r="K724" s="4"/>
      <c r="L724" s="4"/>
      <c r="M724">
        <v>2024</v>
      </c>
      <c r="N724">
        <v>1</v>
      </c>
      <c r="O724" s="4">
        <v>45292</v>
      </c>
      <c r="P724" t="s">
        <v>89</v>
      </c>
      <c r="Q724" s="4"/>
      <c r="S724" t="s">
        <v>3152</v>
      </c>
      <c r="X724" t="s">
        <v>4823</v>
      </c>
      <c r="Z724" t="s">
        <v>89</v>
      </c>
      <c r="AA724" t="s">
        <v>89</v>
      </c>
      <c r="AC724" t="s">
        <v>89</v>
      </c>
      <c r="AD724">
        <v>0</v>
      </c>
      <c r="AE724" t="s">
        <v>9251</v>
      </c>
      <c r="AF724" s="4"/>
    </row>
    <row r="725" spans="1:32">
      <c r="A725" t="s">
        <v>10436</v>
      </c>
      <c r="B725" t="s">
        <v>2193</v>
      </c>
      <c r="C725" t="s">
        <v>10434</v>
      </c>
      <c r="D725" t="s">
        <v>49</v>
      </c>
      <c r="E725" t="s">
        <v>3154</v>
      </c>
      <c r="F725" t="s">
        <v>3156</v>
      </c>
      <c r="G725">
        <v>10638</v>
      </c>
      <c r="I725">
        <v>10638</v>
      </c>
      <c r="J725">
        <v>10638</v>
      </c>
      <c r="K725" s="4"/>
      <c r="L725" s="4"/>
      <c r="M725">
        <v>2024</v>
      </c>
      <c r="N725">
        <v>1</v>
      </c>
      <c r="O725" s="4">
        <v>45292</v>
      </c>
      <c r="P725" t="s">
        <v>89</v>
      </c>
      <c r="Q725" s="4"/>
      <c r="S725" t="s">
        <v>3155</v>
      </c>
      <c r="X725" t="s">
        <v>3828</v>
      </c>
      <c r="Z725" t="s">
        <v>89</v>
      </c>
      <c r="AA725" t="s">
        <v>89</v>
      </c>
      <c r="AC725" t="s">
        <v>89</v>
      </c>
      <c r="AD725">
        <v>0</v>
      </c>
      <c r="AE725" t="s">
        <v>9251</v>
      </c>
      <c r="AF725" s="4"/>
    </row>
    <row r="726" spans="1:32">
      <c r="A726" t="s">
        <v>10437</v>
      </c>
      <c r="B726" t="s">
        <v>2193</v>
      </c>
      <c r="C726" t="s">
        <v>10438</v>
      </c>
      <c r="D726" t="s">
        <v>49</v>
      </c>
      <c r="E726" t="s">
        <v>3157</v>
      </c>
      <c r="F726" t="s">
        <v>3159</v>
      </c>
      <c r="G726">
        <v>4760.84</v>
      </c>
      <c r="I726">
        <v>4760.84</v>
      </c>
      <c r="J726">
        <v>4760.84</v>
      </c>
      <c r="K726" s="4"/>
      <c r="L726" s="4"/>
      <c r="M726">
        <v>2023</v>
      </c>
      <c r="N726">
        <v>5</v>
      </c>
      <c r="O726" s="4">
        <v>45047</v>
      </c>
      <c r="P726" t="s">
        <v>89</v>
      </c>
      <c r="Q726" s="4"/>
      <c r="X726" t="s">
        <v>4823</v>
      </c>
      <c r="Z726" t="s">
        <v>89</v>
      </c>
      <c r="AA726" t="s">
        <v>89</v>
      </c>
      <c r="AC726" t="s">
        <v>89</v>
      </c>
      <c r="AD726">
        <v>0</v>
      </c>
      <c r="AE726" t="s">
        <v>9251</v>
      </c>
      <c r="AF726" s="4"/>
    </row>
    <row r="727" spans="1:32">
      <c r="A727" t="s">
        <v>10439</v>
      </c>
      <c r="B727" t="s">
        <v>2193</v>
      </c>
      <c r="C727" t="s">
        <v>10440</v>
      </c>
      <c r="D727" t="s">
        <v>49</v>
      </c>
      <c r="E727" t="s">
        <v>3157</v>
      </c>
      <c r="F727" t="s">
        <v>3159</v>
      </c>
      <c r="G727">
        <v>11576.16</v>
      </c>
      <c r="I727">
        <v>11576.16</v>
      </c>
      <c r="J727">
        <v>11576.16</v>
      </c>
      <c r="K727" s="4"/>
      <c r="L727" s="4"/>
      <c r="M727">
        <v>2023</v>
      </c>
      <c r="N727">
        <v>9</v>
      </c>
      <c r="O727" s="4">
        <v>45170</v>
      </c>
      <c r="P727" t="s">
        <v>89</v>
      </c>
      <c r="Q727" s="4"/>
      <c r="S727" t="s">
        <v>3158</v>
      </c>
      <c r="X727" t="s">
        <v>2369</v>
      </c>
      <c r="Z727" t="s">
        <v>89</v>
      </c>
      <c r="AA727" t="s">
        <v>89</v>
      </c>
      <c r="AC727" t="s">
        <v>89</v>
      </c>
      <c r="AD727">
        <v>0</v>
      </c>
      <c r="AE727" t="s">
        <v>9251</v>
      </c>
      <c r="AF727" s="4"/>
    </row>
    <row r="728" spans="1:32">
      <c r="A728" t="s">
        <v>10441</v>
      </c>
      <c r="B728" t="s">
        <v>2193</v>
      </c>
      <c r="C728" t="s">
        <v>10438</v>
      </c>
      <c r="D728" t="s">
        <v>49</v>
      </c>
      <c r="E728" t="s">
        <v>3481</v>
      </c>
      <c r="F728" t="s">
        <v>3159</v>
      </c>
      <c r="G728">
        <v>4760.84</v>
      </c>
      <c r="I728">
        <v>4760.84</v>
      </c>
      <c r="J728">
        <v>4760.84</v>
      </c>
      <c r="K728" s="4"/>
      <c r="L728" s="4"/>
      <c r="M728">
        <v>2023</v>
      </c>
      <c r="N728">
        <v>5</v>
      </c>
      <c r="O728" s="4">
        <v>45047</v>
      </c>
      <c r="P728" t="s">
        <v>89</v>
      </c>
      <c r="Q728" s="4"/>
      <c r="X728" t="s">
        <v>4823</v>
      </c>
      <c r="Z728" t="s">
        <v>89</v>
      </c>
      <c r="AA728" t="s">
        <v>89</v>
      </c>
      <c r="AC728" t="s">
        <v>89</v>
      </c>
      <c r="AD728">
        <v>0</v>
      </c>
      <c r="AE728" t="s">
        <v>9251</v>
      </c>
      <c r="AF728" s="4"/>
    </row>
    <row r="729" spans="1:32">
      <c r="A729" t="s">
        <v>10442</v>
      </c>
      <c r="B729" t="s">
        <v>2193</v>
      </c>
      <c r="C729" t="s">
        <v>10438</v>
      </c>
      <c r="D729" t="s">
        <v>49</v>
      </c>
      <c r="E729" t="s">
        <v>3483</v>
      </c>
      <c r="F729" t="s">
        <v>3159</v>
      </c>
      <c r="G729">
        <v>4760.84</v>
      </c>
      <c r="I729">
        <v>4760.84</v>
      </c>
      <c r="J729">
        <v>4760.84</v>
      </c>
      <c r="K729" s="4"/>
      <c r="L729" s="4"/>
      <c r="M729">
        <v>2023</v>
      </c>
      <c r="N729">
        <v>5</v>
      </c>
      <c r="O729" s="4">
        <v>45047</v>
      </c>
      <c r="P729" t="s">
        <v>89</v>
      </c>
      <c r="Q729" s="4"/>
      <c r="X729" t="s">
        <v>4823</v>
      </c>
      <c r="Z729" t="s">
        <v>89</v>
      </c>
      <c r="AA729" t="s">
        <v>89</v>
      </c>
      <c r="AC729" t="s">
        <v>89</v>
      </c>
      <c r="AD729" t="s">
        <v>89</v>
      </c>
      <c r="AE729" t="s">
        <v>3652</v>
      </c>
      <c r="AF729" s="4"/>
    </row>
    <row r="730" spans="1:32">
      <c r="A730" t="s">
        <v>10443</v>
      </c>
      <c r="B730" t="s">
        <v>2193</v>
      </c>
      <c r="C730" t="s">
        <v>10438</v>
      </c>
      <c r="D730" t="s">
        <v>49</v>
      </c>
      <c r="E730" t="s">
        <v>3485</v>
      </c>
      <c r="F730" t="s">
        <v>3159</v>
      </c>
      <c r="G730">
        <v>4760.84</v>
      </c>
      <c r="I730">
        <v>4760.84</v>
      </c>
      <c r="J730">
        <v>4760.84</v>
      </c>
      <c r="K730" s="4"/>
      <c r="L730" s="4"/>
      <c r="M730">
        <v>2023</v>
      </c>
      <c r="N730">
        <v>5</v>
      </c>
      <c r="O730" s="4">
        <v>45047</v>
      </c>
      <c r="P730" t="s">
        <v>89</v>
      </c>
      <c r="Q730" s="4"/>
      <c r="X730" t="s">
        <v>4823</v>
      </c>
      <c r="Z730" t="s">
        <v>89</v>
      </c>
      <c r="AA730" t="s">
        <v>89</v>
      </c>
      <c r="AC730" t="s">
        <v>89</v>
      </c>
      <c r="AD730" t="s">
        <v>89</v>
      </c>
      <c r="AE730" t="s">
        <v>3652</v>
      </c>
      <c r="AF730" s="4"/>
    </row>
    <row r="731" spans="1:32">
      <c r="A731" t="s">
        <v>10444</v>
      </c>
      <c r="B731" t="s">
        <v>2193</v>
      </c>
      <c r="C731" t="s">
        <v>10438</v>
      </c>
      <c r="D731" t="s">
        <v>49</v>
      </c>
      <c r="E731" t="s">
        <v>3487</v>
      </c>
      <c r="F731" t="s">
        <v>3159</v>
      </c>
      <c r="G731">
        <v>4760.84</v>
      </c>
      <c r="I731">
        <v>4760.84</v>
      </c>
      <c r="J731">
        <v>4760.84</v>
      </c>
      <c r="K731" s="4"/>
      <c r="L731" s="4"/>
      <c r="M731">
        <v>2023</v>
      </c>
      <c r="N731">
        <v>5</v>
      </c>
      <c r="O731" s="4">
        <v>45047</v>
      </c>
      <c r="P731" t="s">
        <v>89</v>
      </c>
      <c r="Q731" s="4"/>
      <c r="X731" t="s">
        <v>4823</v>
      </c>
      <c r="Z731" t="s">
        <v>89</v>
      </c>
      <c r="AA731" t="s">
        <v>89</v>
      </c>
      <c r="AC731" t="s">
        <v>89</v>
      </c>
      <c r="AD731" t="s">
        <v>89</v>
      </c>
      <c r="AE731" t="s">
        <v>3652</v>
      </c>
      <c r="AF731" s="4"/>
    </row>
    <row r="732" spans="1:32">
      <c r="A732" t="s">
        <v>10445</v>
      </c>
      <c r="B732" t="s">
        <v>2193</v>
      </c>
      <c r="C732" t="s">
        <v>10438</v>
      </c>
      <c r="D732" t="s">
        <v>49</v>
      </c>
      <c r="E732" t="s">
        <v>3298</v>
      </c>
      <c r="F732" t="s">
        <v>3159</v>
      </c>
      <c r="G732">
        <v>4760.84</v>
      </c>
      <c r="I732">
        <v>4760.84</v>
      </c>
      <c r="J732">
        <v>4760.84</v>
      </c>
      <c r="K732" s="4"/>
      <c r="L732" s="4"/>
      <c r="M732">
        <v>2023</v>
      </c>
      <c r="N732">
        <v>5</v>
      </c>
      <c r="O732" s="4">
        <v>45047</v>
      </c>
      <c r="P732" t="s">
        <v>89</v>
      </c>
      <c r="Q732" s="4"/>
      <c r="X732" t="s">
        <v>4823</v>
      </c>
      <c r="Z732" t="s">
        <v>89</v>
      </c>
      <c r="AA732" t="s">
        <v>89</v>
      </c>
      <c r="AC732" t="s">
        <v>89</v>
      </c>
      <c r="AD732" t="s">
        <v>89</v>
      </c>
      <c r="AE732" t="s">
        <v>3652</v>
      </c>
      <c r="AF732" s="4"/>
    </row>
    <row r="733" spans="1:32">
      <c r="A733" t="s">
        <v>10446</v>
      </c>
      <c r="B733" t="s">
        <v>2193</v>
      </c>
      <c r="C733" t="s">
        <v>10438</v>
      </c>
      <c r="D733" t="s">
        <v>49</v>
      </c>
      <c r="E733" t="s">
        <v>3300</v>
      </c>
      <c r="F733" t="s">
        <v>3159</v>
      </c>
      <c r="G733">
        <v>4760.84</v>
      </c>
      <c r="I733">
        <v>4760.84</v>
      </c>
      <c r="J733">
        <v>4760.84</v>
      </c>
      <c r="K733" s="4"/>
      <c r="L733" s="4"/>
      <c r="M733">
        <v>2023</v>
      </c>
      <c r="N733">
        <v>5</v>
      </c>
      <c r="O733" s="4">
        <v>45047</v>
      </c>
      <c r="P733" t="s">
        <v>89</v>
      </c>
      <c r="Q733" s="4"/>
      <c r="X733" t="s">
        <v>4823</v>
      </c>
      <c r="Z733" t="s">
        <v>89</v>
      </c>
      <c r="AA733" t="s">
        <v>89</v>
      </c>
      <c r="AC733" t="s">
        <v>89</v>
      </c>
      <c r="AD733">
        <v>0</v>
      </c>
      <c r="AE733" t="s">
        <v>9251</v>
      </c>
      <c r="AF733" s="4"/>
    </row>
    <row r="734" spans="1:32">
      <c r="A734" t="s">
        <v>10447</v>
      </c>
      <c r="B734" t="s">
        <v>2193</v>
      </c>
      <c r="C734" t="s">
        <v>10438</v>
      </c>
      <c r="D734" t="s">
        <v>49</v>
      </c>
      <c r="E734" t="s">
        <v>3302</v>
      </c>
      <c r="F734" t="s">
        <v>3159</v>
      </c>
      <c r="G734">
        <v>4760.84</v>
      </c>
      <c r="I734">
        <v>4760.84</v>
      </c>
      <c r="J734">
        <v>4760.84</v>
      </c>
      <c r="K734" s="4"/>
      <c r="L734" s="4"/>
      <c r="M734">
        <v>2023</v>
      </c>
      <c r="N734">
        <v>5</v>
      </c>
      <c r="O734" s="4">
        <v>45047</v>
      </c>
      <c r="P734" t="s">
        <v>89</v>
      </c>
      <c r="Q734" s="4"/>
      <c r="X734" t="s">
        <v>4823</v>
      </c>
      <c r="Z734" t="s">
        <v>89</v>
      </c>
      <c r="AA734" t="s">
        <v>89</v>
      </c>
      <c r="AC734" t="s">
        <v>89</v>
      </c>
      <c r="AD734">
        <v>0</v>
      </c>
      <c r="AE734" t="s">
        <v>9251</v>
      </c>
      <c r="AF734" s="4"/>
    </row>
    <row r="735" spans="1:32">
      <c r="A735" t="s">
        <v>10448</v>
      </c>
      <c r="B735" t="s">
        <v>2193</v>
      </c>
      <c r="C735" t="s">
        <v>10438</v>
      </c>
      <c r="D735" t="s">
        <v>49</v>
      </c>
      <c r="E735" t="s">
        <v>3304</v>
      </c>
      <c r="F735" t="s">
        <v>3159</v>
      </c>
      <c r="G735">
        <v>4760.84</v>
      </c>
      <c r="I735">
        <v>4760.84</v>
      </c>
      <c r="J735">
        <v>4760.84</v>
      </c>
      <c r="K735" s="4"/>
      <c r="L735" s="4"/>
      <c r="M735">
        <v>2023</v>
      </c>
      <c r="N735">
        <v>5</v>
      </c>
      <c r="O735" s="4">
        <v>45047</v>
      </c>
      <c r="P735" t="s">
        <v>89</v>
      </c>
      <c r="Q735" s="4"/>
      <c r="X735" t="s">
        <v>4823</v>
      </c>
      <c r="Z735" t="s">
        <v>89</v>
      </c>
      <c r="AA735" t="s">
        <v>89</v>
      </c>
      <c r="AC735" t="s">
        <v>89</v>
      </c>
      <c r="AD735">
        <v>0</v>
      </c>
      <c r="AE735" t="s">
        <v>9251</v>
      </c>
      <c r="AF735" s="4"/>
    </row>
    <row r="736" spans="1:32">
      <c r="A736" t="s">
        <v>10449</v>
      </c>
      <c r="B736" t="s">
        <v>2193</v>
      </c>
      <c r="C736" t="s">
        <v>10438</v>
      </c>
      <c r="D736" t="s">
        <v>49</v>
      </c>
      <c r="E736" t="s">
        <v>3489</v>
      </c>
      <c r="F736" t="s">
        <v>3162</v>
      </c>
      <c r="G736">
        <v>2986.61</v>
      </c>
      <c r="I736">
        <v>2986.61</v>
      </c>
      <c r="J736">
        <v>2986.61</v>
      </c>
      <c r="K736" s="4"/>
      <c r="L736" s="4"/>
      <c r="M736">
        <v>2023</v>
      </c>
      <c r="N736">
        <v>5</v>
      </c>
      <c r="O736" s="4">
        <v>45047</v>
      </c>
      <c r="P736" t="s">
        <v>89</v>
      </c>
      <c r="Q736" s="4"/>
      <c r="X736" t="s">
        <v>4823</v>
      </c>
      <c r="Z736" t="s">
        <v>89</v>
      </c>
      <c r="AA736" t="s">
        <v>89</v>
      </c>
      <c r="AC736" t="s">
        <v>89</v>
      </c>
      <c r="AD736">
        <v>0</v>
      </c>
      <c r="AE736" t="s">
        <v>9251</v>
      </c>
      <c r="AF736" s="4"/>
    </row>
    <row r="737" spans="1:32">
      <c r="A737" t="s">
        <v>10450</v>
      </c>
      <c r="B737" t="s">
        <v>2193</v>
      </c>
      <c r="C737" t="s">
        <v>10438</v>
      </c>
      <c r="D737" t="s">
        <v>49</v>
      </c>
      <c r="E737" t="s">
        <v>3308</v>
      </c>
      <c r="F737" t="s">
        <v>3162</v>
      </c>
      <c r="G737">
        <v>2986.61</v>
      </c>
      <c r="I737">
        <v>2986.61</v>
      </c>
      <c r="J737">
        <v>2986.61</v>
      </c>
      <c r="K737" s="4"/>
      <c r="L737" s="4"/>
      <c r="M737">
        <v>2023</v>
      </c>
      <c r="N737">
        <v>5</v>
      </c>
      <c r="O737" s="4">
        <v>45047</v>
      </c>
      <c r="P737" t="s">
        <v>89</v>
      </c>
      <c r="Q737" s="4"/>
      <c r="X737" t="s">
        <v>4823</v>
      </c>
      <c r="Z737" t="s">
        <v>89</v>
      </c>
      <c r="AA737" t="s">
        <v>89</v>
      </c>
      <c r="AC737" t="s">
        <v>89</v>
      </c>
      <c r="AD737">
        <v>0</v>
      </c>
      <c r="AE737" t="s">
        <v>9251</v>
      </c>
      <c r="AF737" s="4"/>
    </row>
    <row r="738" spans="1:32">
      <c r="A738" t="s">
        <v>10451</v>
      </c>
      <c r="B738" t="s">
        <v>2193</v>
      </c>
      <c r="C738" t="s">
        <v>10438</v>
      </c>
      <c r="D738" t="s">
        <v>49</v>
      </c>
      <c r="E738" t="s">
        <v>3160</v>
      </c>
      <c r="F738" t="s">
        <v>3162</v>
      </c>
      <c r="G738">
        <v>2986.61</v>
      </c>
      <c r="I738">
        <v>2986.61</v>
      </c>
      <c r="J738">
        <v>2986.61</v>
      </c>
      <c r="K738" s="4"/>
      <c r="L738" s="4"/>
      <c r="M738">
        <v>2023</v>
      </c>
      <c r="N738">
        <v>5</v>
      </c>
      <c r="O738" s="4">
        <v>45047</v>
      </c>
      <c r="P738" t="s">
        <v>89</v>
      </c>
      <c r="Q738" s="4"/>
      <c r="X738" t="s">
        <v>4823</v>
      </c>
      <c r="Z738" t="s">
        <v>89</v>
      </c>
      <c r="AA738" t="s">
        <v>89</v>
      </c>
      <c r="AC738" t="s">
        <v>89</v>
      </c>
      <c r="AD738">
        <v>0</v>
      </c>
      <c r="AE738" t="s">
        <v>9251</v>
      </c>
      <c r="AF738" s="4"/>
    </row>
    <row r="739" spans="1:32">
      <c r="A739" t="s">
        <v>10452</v>
      </c>
      <c r="B739" t="s">
        <v>2193</v>
      </c>
      <c r="C739" t="s">
        <v>10434</v>
      </c>
      <c r="D739" t="s">
        <v>49</v>
      </c>
      <c r="E739" t="s">
        <v>3160</v>
      </c>
      <c r="F739" t="s">
        <v>3162</v>
      </c>
      <c r="G739">
        <v>4908.3899999999994</v>
      </c>
      <c r="I739">
        <v>4908.3899999999994</v>
      </c>
      <c r="J739">
        <v>4908.3899999999994</v>
      </c>
      <c r="K739" s="4"/>
      <c r="L739" s="4"/>
      <c r="M739">
        <v>2024</v>
      </c>
      <c r="N739">
        <v>1</v>
      </c>
      <c r="O739" s="4">
        <v>45292</v>
      </c>
      <c r="P739" t="s">
        <v>89</v>
      </c>
      <c r="Q739" s="4"/>
      <c r="S739" t="s">
        <v>3161</v>
      </c>
      <c r="X739" t="s">
        <v>4784</v>
      </c>
      <c r="Z739" t="s">
        <v>89</v>
      </c>
      <c r="AA739" t="s">
        <v>89</v>
      </c>
      <c r="AC739" t="s">
        <v>89</v>
      </c>
      <c r="AD739">
        <v>0</v>
      </c>
      <c r="AE739" t="s">
        <v>9251</v>
      </c>
      <c r="AF739" s="4"/>
    </row>
    <row r="740" spans="1:32">
      <c r="A740" t="s">
        <v>10453</v>
      </c>
      <c r="B740" t="s">
        <v>2193</v>
      </c>
      <c r="C740" t="s">
        <v>10438</v>
      </c>
      <c r="D740" t="s">
        <v>49</v>
      </c>
      <c r="E740" t="s">
        <v>3310</v>
      </c>
      <c r="F740" t="s">
        <v>3162</v>
      </c>
      <c r="G740">
        <v>2986.61</v>
      </c>
      <c r="I740">
        <v>2986.61</v>
      </c>
      <c r="J740">
        <v>2986.61</v>
      </c>
      <c r="K740" s="4"/>
      <c r="L740" s="4"/>
      <c r="M740">
        <v>2023</v>
      </c>
      <c r="N740">
        <v>5</v>
      </c>
      <c r="O740" s="4">
        <v>45047</v>
      </c>
      <c r="P740" t="s">
        <v>89</v>
      </c>
      <c r="Q740" s="4"/>
      <c r="X740" t="s">
        <v>4823</v>
      </c>
      <c r="Z740" t="s">
        <v>89</v>
      </c>
      <c r="AA740" t="s">
        <v>89</v>
      </c>
      <c r="AC740" t="s">
        <v>89</v>
      </c>
      <c r="AD740">
        <v>0</v>
      </c>
      <c r="AE740" t="s">
        <v>9251</v>
      </c>
      <c r="AF740" s="4"/>
    </row>
    <row r="741" spans="1:32">
      <c r="A741" t="s">
        <v>10454</v>
      </c>
      <c r="B741" t="s">
        <v>2193</v>
      </c>
      <c r="C741" t="s">
        <v>10438</v>
      </c>
      <c r="D741" t="s">
        <v>49</v>
      </c>
      <c r="E741" t="s">
        <v>3163</v>
      </c>
      <c r="F741" t="s">
        <v>3165</v>
      </c>
      <c r="G741">
        <v>1650.25</v>
      </c>
      <c r="I741">
        <v>1650.25</v>
      </c>
      <c r="J741">
        <v>1650.25</v>
      </c>
      <c r="K741" s="4"/>
      <c r="L741" s="4"/>
      <c r="M741">
        <v>2023</v>
      </c>
      <c r="N741">
        <v>5</v>
      </c>
      <c r="O741" s="4">
        <v>45047</v>
      </c>
      <c r="P741" t="s">
        <v>89</v>
      </c>
      <c r="Q741" s="4"/>
      <c r="X741" t="s">
        <v>4014</v>
      </c>
      <c r="Z741" t="s">
        <v>89</v>
      </c>
      <c r="AA741" t="s">
        <v>89</v>
      </c>
      <c r="AC741" t="s">
        <v>89</v>
      </c>
      <c r="AD741" t="s">
        <v>89</v>
      </c>
      <c r="AE741" t="s">
        <v>3652</v>
      </c>
      <c r="AF741" s="4"/>
    </row>
    <row r="742" spans="1:32">
      <c r="A742" t="s">
        <v>10455</v>
      </c>
      <c r="B742" t="s">
        <v>2193</v>
      </c>
      <c r="C742" t="s">
        <v>10440</v>
      </c>
      <c r="D742" t="s">
        <v>49</v>
      </c>
      <c r="E742" t="s">
        <v>3163</v>
      </c>
      <c r="F742" t="s">
        <v>3165</v>
      </c>
      <c r="G742">
        <v>17959.75</v>
      </c>
      <c r="I742">
        <v>17959.75</v>
      </c>
      <c r="J742">
        <v>17959.75</v>
      </c>
      <c r="K742" s="4"/>
      <c r="L742" s="4"/>
      <c r="M742">
        <v>2023</v>
      </c>
      <c r="N742">
        <v>9</v>
      </c>
      <c r="O742" s="4">
        <v>45170</v>
      </c>
      <c r="P742" t="s">
        <v>89</v>
      </c>
      <c r="Q742" s="4"/>
      <c r="S742" t="s">
        <v>3164</v>
      </c>
      <c r="X742" t="s">
        <v>4109</v>
      </c>
      <c r="Z742" t="s">
        <v>89</v>
      </c>
      <c r="AA742" t="s">
        <v>89</v>
      </c>
      <c r="AC742" t="s">
        <v>89</v>
      </c>
      <c r="AD742" t="s">
        <v>89</v>
      </c>
      <c r="AE742" t="s">
        <v>3652</v>
      </c>
      <c r="AF742" s="4"/>
    </row>
    <row r="743" spans="1:32">
      <c r="A743" t="s">
        <v>10456</v>
      </c>
      <c r="B743" t="s">
        <v>2193</v>
      </c>
      <c r="C743" t="s">
        <v>10438</v>
      </c>
      <c r="D743" t="s">
        <v>49</v>
      </c>
      <c r="E743" t="s">
        <v>3491</v>
      </c>
      <c r="F743" t="s">
        <v>3165</v>
      </c>
      <c r="G743">
        <v>1650.25</v>
      </c>
      <c r="I743">
        <v>1650.25</v>
      </c>
      <c r="J743">
        <v>1650.25</v>
      </c>
      <c r="K743" s="4"/>
      <c r="L743" s="4"/>
      <c r="M743">
        <v>2023</v>
      </c>
      <c r="N743">
        <v>5</v>
      </c>
      <c r="O743" s="4">
        <v>45047</v>
      </c>
      <c r="P743" t="s">
        <v>89</v>
      </c>
      <c r="Q743" s="4"/>
      <c r="X743" t="s">
        <v>4014</v>
      </c>
      <c r="Z743" t="s">
        <v>89</v>
      </c>
      <c r="AA743" t="s">
        <v>89</v>
      </c>
      <c r="AC743" t="s">
        <v>89</v>
      </c>
      <c r="AD743" t="s">
        <v>89</v>
      </c>
      <c r="AE743" t="s">
        <v>3652</v>
      </c>
      <c r="AF743" s="4"/>
    </row>
    <row r="744" spans="1:32">
      <c r="A744" t="s">
        <v>10457</v>
      </c>
      <c r="B744" t="s">
        <v>2193</v>
      </c>
      <c r="C744" t="s">
        <v>10438</v>
      </c>
      <c r="D744" t="s">
        <v>49</v>
      </c>
      <c r="E744" t="s">
        <v>3317</v>
      </c>
      <c r="F744" t="s">
        <v>3165</v>
      </c>
      <c r="G744">
        <v>1650.25</v>
      </c>
      <c r="I744">
        <v>1650.25</v>
      </c>
      <c r="J744">
        <v>1650.25</v>
      </c>
      <c r="K744" s="4"/>
      <c r="L744" s="4"/>
      <c r="M744">
        <v>2023</v>
      </c>
      <c r="N744">
        <v>5</v>
      </c>
      <c r="O744" s="4">
        <v>45047</v>
      </c>
      <c r="P744" t="s">
        <v>89</v>
      </c>
      <c r="Q744" s="4"/>
      <c r="X744" t="s">
        <v>4014</v>
      </c>
      <c r="Z744" t="s">
        <v>89</v>
      </c>
      <c r="AA744" t="s">
        <v>89</v>
      </c>
      <c r="AC744" t="s">
        <v>89</v>
      </c>
      <c r="AD744" t="s">
        <v>89</v>
      </c>
      <c r="AE744" t="s">
        <v>3652</v>
      </c>
      <c r="AF744" s="4"/>
    </row>
    <row r="745" spans="1:32">
      <c r="A745" t="s">
        <v>10458</v>
      </c>
      <c r="B745" t="s">
        <v>2193</v>
      </c>
      <c r="C745" t="s">
        <v>10438</v>
      </c>
      <c r="D745" t="s">
        <v>49</v>
      </c>
      <c r="E745" t="s">
        <v>3319</v>
      </c>
      <c r="F745" t="s">
        <v>3165</v>
      </c>
      <c r="G745">
        <v>1650.25</v>
      </c>
      <c r="I745">
        <v>1650.25</v>
      </c>
      <c r="J745">
        <v>1650.25</v>
      </c>
      <c r="K745" s="4"/>
      <c r="L745" s="4"/>
      <c r="M745">
        <v>2023</v>
      </c>
      <c r="N745">
        <v>5</v>
      </c>
      <c r="O745" s="4">
        <v>45047</v>
      </c>
      <c r="P745" t="s">
        <v>89</v>
      </c>
      <c r="Q745" s="4"/>
      <c r="X745" t="s">
        <v>4014</v>
      </c>
      <c r="Z745" t="s">
        <v>89</v>
      </c>
      <c r="AA745" t="s">
        <v>89</v>
      </c>
      <c r="AC745" t="s">
        <v>89</v>
      </c>
      <c r="AD745">
        <v>0</v>
      </c>
      <c r="AE745" t="s">
        <v>9251</v>
      </c>
      <c r="AF745" s="4"/>
    </row>
    <row r="746" spans="1:32">
      <c r="A746" t="s">
        <v>10459</v>
      </c>
      <c r="B746" t="s">
        <v>2193</v>
      </c>
      <c r="C746" t="s">
        <v>10438</v>
      </c>
      <c r="D746" t="s">
        <v>49</v>
      </c>
      <c r="E746" t="s">
        <v>3166</v>
      </c>
      <c r="F746" t="s">
        <v>3168</v>
      </c>
      <c r="G746">
        <v>7343.42</v>
      </c>
      <c r="I746">
        <v>7343.42</v>
      </c>
      <c r="J746">
        <v>7343.42</v>
      </c>
      <c r="K746" s="4"/>
      <c r="L746" s="4"/>
      <c r="M746">
        <v>2023</v>
      </c>
      <c r="N746">
        <v>5</v>
      </c>
      <c r="O746" s="4">
        <v>45047</v>
      </c>
      <c r="P746" t="s">
        <v>89</v>
      </c>
      <c r="Q746" s="4"/>
      <c r="X746" t="s">
        <v>4014</v>
      </c>
      <c r="Z746" t="s">
        <v>89</v>
      </c>
      <c r="AA746" t="s">
        <v>89</v>
      </c>
      <c r="AC746" t="s">
        <v>89</v>
      </c>
      <c r="AD746">
        <v>0</v>
      </c>
      <c r="AE746" t="s">
        <v>9251</v>
      </c>
      <c r="AF746" s="4"/>
    </row>
    <row r="747" spans="1:32">
      <c r="A747" t="s">
        <v>10460</v>
      </c>
      <c r="B747" t="s">
        <v>2193</v>
      </c>
      <c r="C747" t="s">
        <v>10440</v>
      </c>
      <c r="D747" t="s">
        <v>49</v>
      </c>
      <c r="E747" t="s">
        <v>3166</v>
      </c>
      <c r="F747" t="s">
        <v>3168</v>
      </c>
      <c r="G747">
        <v>12330.58</v>
      </c>
      <c r="I747">
        <v>12330.58</v>
      </c>
      <c r="J747">
        <v>12330.58</v>
      </c>
      <c r="K747" s="4"/>
      <c r="L747" s="4"/>
      <c r="M747">
        <v>2023</v>
      </c>
      <c r="N747">
        <v>9</v>
      </c>
      <c r="O747" s="4">
        <v>45170</v>
      </c>
      <c r="P747" t="s">
        <v>89</v>
      </c>
      <c r="Q747" s="4"/>
      <c r="S747" t="s">
        <v>3167</v>
      </c>
      <c r="X747" t="s">
        <v>4109</v>
      </c>
      <c r="Z747" t="s">
        <v>89</v>
      </c>
      <c r="AA747" t="s">
        <v>89</v>
      </c>
      <c r="AC747" t="s">
        <v>89</v>
      </c>
      <c r="AD747">
        <v>0</v>
      </c>
      <c r="AE747" t="s">
        <v>9251</v>
      </c>
      <c r="AF747" s="4"/>
    </row>
    <row r="748" spans="1:32">
      <c r="A748" t="s">
        <v>10461</v>
      </c>
      <c r="B748" t="s">
        <v>2193</v>
      </c>
      <c r="C748" t="s">
        <v>10438</v>
      </c>
      <c r="D748" t="s">
        <v>49</v>
      </c>
      <c r="E748" t="s">
        <v>3321</v>
      </c>
      <c r="F748" t="s">
        <v>3168</v>
      </c>
      <c r="G748">
        <v>7343.42</v>
      </c>
      <c r="I748">
        <v>7343.42</v>
      </c>
      <c r="J748">
        <v>7343.42</v>
      </c>
      <c r="K748" s="4"/>
      <c r="L748" s="4"/>
      <c r="M748">
        <v>2023</v>
      </c>
      <c r="N748">
        <v>5</v>
      </c>
      <c r="O748" s="4">
        <v>45047</v>
      </c>
      <c r="P748" t="s">
        <v>89</v>
      </c>
      <c r="Q748" s="4"/>
      <c r="X748" t="s">
        <v>4014</v>
      </c>
      <c r="Z748" t="s">
        <v>89</v>
      </c>
      <c r="AA748" t="s">
        <v>89</v>
      </c>
      <c r="AC748" t="s">
        <v>89</v>
      </c>
      <c r="AD748">
        <v>0</v>
      </c>
      <c r="AE748" t="s">
        <v>9251</v>
      </c>
      <c r="AF748" s="4"/>
    </row>
    <row r="749" spans="1:32">
      <c r="A749" t="s">
        <v>10462</v>
      </c>
      <c r="B749" t="s">
        <v>2193</v>
      </c>
      <c r="C749" t="s">
        <v>10438</v>
      </c>
      <c r="D749" t="s">
        <v>49</v>
      </c>
      <c r="E749" t="s">
        <v>3323</v>
      </c>
      <c r="F749" t="s">
        <v>3168</v>
      </c>
      <c r="G749">
        <v>7343.42</v>
      </c>
      <c r="I749">
        <v>7343.42</v>
      </c>
      <c r="J749">
        <v>7343.42</v>
      </c>
      <c r="K749" s="4"/>
      <c r="L749" s="4"/>
      <c r="M749">
        <v>2023</v>
      </c>
      <c r="N749">
        <v>5</v>
      </c>
      <c r="O749" s="4">
        <v>45047</v>
      </c>
      <c r="P749" t="s">
        <v>89</v>
      </c>
      <c r="Q749" s="4"/>
      <c r="X749" t="s">
        <v>4014</v>
      </c>
      <c r="Z749" t="s">
        <v>89</v>
      </c>
      <c r="AA749" t="s">
        <v>89</v>
      </c>
      <c r="AC749" t="s">
        <v>89</v>
      </c>
      <c r="AD749">
        <v>0</v>
      </c>
      <c r="AE749" t="s">
        <v>9251</v>
      </c>
      <c r="AF749" s="4"/>
    </row>
    <row r="750" spans="1:32">
      <c r="A750" t="s">
        <v>10463</v>
      </c>
      <c r="B750" t="s">
        <v>2193</v>
      </c>
      <c r="C750" t="s">
        <v>10438</v>
      </c>
      <c r="D750" t="s">
        <v>49</v>
      </c>
      <c r="E750" t="s">
        <v>3493</v>
      </c>
      <c r="F750" t="s">
        <v>3329</v>
      </c>
      <c r="G750">
        <v>1650.19</v>
      </c>
      <c r="I750">
        <v>1650.19</v>
      </c>
      <c r="J750">
        <v>1650.19</v>
      </c>
      <c r="K750" s="4"/>
      <c r="L750" s="4"/>
      <c r="M750">
        <v>2023</v>
      </c>
      <c r="N750">
        <v>5</v>
      </c>
      <c r="O750" s="4">
        <v>45047</v>
      </c>
      <c r="P750" t="s">
        <v>89</v>
      </c>
      <c r="Q750" s="4"/>
      <c r="X750" t="s">
        <v>4014</v>
      </c>
      <c r="Z750" t="s">
        <v>89</v>
      </c>
      <c r="AA750" t="s">
        <v>89</v>
      </c>
      <c r="AC750" t="s">
        <v>89</v>
      </c>
      <c r="AD750" t="s">
        <v>89</v>
      </c>
      <c r="AE750" t="s">
        <v>3652</v>
      </c>
      <c r="AF750" s="4"/>
    </row>
    <row r="751" spans="1:32">
      <c r="A751" t="s">
        <v>10464</v>
      </c>
      <c r="B751" t="s">
        <v>2193</v>
      </c>
      <c r="C751" t="s">
        <v>10438</v>
      </c>
      <c r="D751" t="s">
        <v>49</v>
      </c>
      <c r="E751" t="s">
        <v>3327</v>
      </c>
      <c r="F751" t="s">
        <v>3329</v>
      </c>
      <c r="G751">
        <v>1650.19</v>
      </c>
      <c r="I751">
        <v>1650.19</v>
      </c>
      <c r="J751">
        <v>1650.19</v>
      </c>
      <c r="K751" s="4"/>
      <c r="L751" s="4"/>
      <c r="M751">
        <v>2023</v>
      </c>
      <c r="N751">
        <v>5</v>
      </c>
      <c r="O751" s="4">
        <v>45047</v>
      </c>
      <c r="P751" t="s">
        <v>89</v>
      </c>
      <c r="Q751" s="4"/>
      <c r="X751" t="s">
        <v>4014</v>
      </c>
      <c r="Z751" t="s">
        <v>89</v>
      </c>
      <c r="AA751" t="s">
        <v>89</v>
      </c>
      <c r="AC751" t="s">
        <v>89</v>
      </c>
      <c r="AD751">
        <v>0</v>
      </c>
      <c r="AE751" t="s">
        <v>9251</v>
      </c>
      <c r="AF751" s="4"/>
    </row>
    <row r="752" spans="1:32">
      <c r="A752" t="s">
        <v>10465</v>
      </c>
      <c r="B752" t="s">
        <v>2193</v>
      </c>
      <c r="C752" t="s">
        <v>10438</v>
      </c>
      <c r="D752" t="s">
        <v>49</v>
      </c>
      <c r="E752" t="s">
        <v>3330</v>
      </c>
      <c r="F752" t="s">
        <v>3329</v>
      </c>
      <c r="G752">
        <v>1650.19</v>
      </c>
      <c r="I752">
        <v>1650.19</v>
      </c>
      <c r="J752">
        <v>1650.19</v>
      </c>
      <c r="K752" s="4"/>
      <c r="L752" s="4"/>
      <c r="M752">
        <v>2023</v>
      </c>
      <c r="N752">
        <v>5</v>
      </c>
      <c r="O752" s="4">
        <v>45047</v>
      </c>
      <c r="P752" t="s">
        <v>89</v>
      </c>
      <c r="Q752" s="4"/>
      <c r="X752" t="s">
        <v>4014</v>
      </c>
      <c r="Z752" t="s">
        <v>89</v>
      </c>
      <c r="AA752" t="s">
        <v>89</v>
      </c>
      <c r="AC752" t="s">
        <v>89</v>
      </c>
      <c r="AD752">
        <v>0</v>
      </c>
      <c r="AE752" t="s">
        <v>9251</v>
      </c>
      <c r="AF752" s="4"/>
    </row>
    <row r="753" spans="1:32">
      <c r="A753" t="s">
        <v>10466</v>
      </c>
      <c r="B753" t="s">
        <v>2193</v>
      </c>
      <c r="C753" t="s">
        <v>10438</v>
      </c>
      <c r="D753" t="s">
        <v>49</v>
      </c>
      <c r="E753" t="s">
        <v>3332</v>
      </c>
      <c r="F753" t="s">
        <v>3329</v>
      </c>
      <c r="G753">
        <v>1650.19</v>
      </c>
      <c r="I753">
        <v>1650.19</v>
      </c>
      <c r="J753">
        <v>1650.19</v>
      </c>
      <c r="K753" s="4"/>
      <c r="L753" s="4"/>
      <c r="M753">
        <v>2023</v>
      </c>
      <c r="N753">
        <v>5</v>
      </c>
      <c r="O753" s="4">
        <v>45047</v>
      </c>
      <c r="P753" t="s">
        <v>89</v>
      </c>
      <c r="Q753" s="4"/>
      <c r="X753" t="s">
        <v>4014</v>
      </c>
      <c r="Z753" t="s">
        <v>89</v>
      </c>
      <c r="AA753" t="s">
        <v>89</v>
      </c>
      <c r="AC753" t="s">
        <v>89</v>
      </c>
      <c r="AD753" t="s">
        <v>89</v>
      </c>
      <c r="AE753" t="s">
        <v>3652</v>
      </c>
      <c r="AF753" s="4"/>
    </row>
    <row r="754" spans="1:32">
      <c r="A754" t="s">
        <v>10467</v>
      </c>
      <c r="B754" t="s">
        <v>2193</v>
      </c>
      <c r="C754" t="s">
        <v>10438</v>
      </c>
      <c r="D754" t="s">
        <v>49</v>
      </c>
      <c r="E754" t="s">
        <v>3334</v>
      </c>
      <c r="F754" t="s">
        <v>3329</v>
      </c>
      <c r="G754">
        <v>1650.19</v>
      </c>
      <c r="I754">
        <v>1650.19</v>
      </c>
      <c r="J754">
        <v>1650.19</v>
      </c>
      <c r="K754" s="4"/>
      <c r="L754" s="4"/>
      <c r="M754">
        <v>2023</v>
      </c>
      <c r="N754">
        <v>5</v>
      </c>
      <c r="O754" s="4">
        <v>45047</v>
      </c>
      <c r="P754" t="s">
        <v>89</v>
      </c>
      <c r="Q754" s="4"/>
      <c r="X754" t="s">
        <v>4014</v>
      </c>
      <c r="Z754" t="s">
        <v>89</v>
      </c>
      <c r="AA754" t="s">
        <v>89</v>
      </c>
      <c r="AC754" t="s">
        <v>89</v>
      </c>
      <c r="AD754" t="s">
        <v>89</v>
      </c>
      <c r="AE754" t="s">
        <v>3652</v>
      </c>
      <c r="AF754" s="4"/>
    </row>
    <row r="755" spans="1:32">
      <c r="A755" t="s">
        <v>10468</v>
      </c>
      <c r="B755" t="s">
        <v>2193</v>
      </c>
      <c r="C755" t="s">
        <v>10438</v>
      </c>
      <c r="D755" t="s">
        <v>49</v>
      </c>
      <c r="E755" t="s">
        <v>3336</v>
      </c>
      <c r="F755" t="s">
        <v>3329</v>
      </c>
      <c r="G755">
        <v>1650.19</v>
      </c>
      <c r="I755">
        <v>1650.19</v>
      </c>
      <c r="J755">
        <v>1650.19</v>
      </c>
      <c r="K755" s="4"/>
      <c r="L755" s="4"/>
      <c r="M755">
        <v>2023</v>
      </c>
      <c r="N755">
        <v>5</v>
      </c>
      <c r="O755" s="4">
        <v>45047</v>
      </c>
      <c r="P755" t="s">
        <v>89</v>
      </c>
      <c r="Q755" s="4"/>
      <c r="X755" t="s">
        <v>4014</v>
      </c>
      <c r="Z755" t="s">
        <v>89</v>
      </c>
      <c r="AA755" t="s">
        <v>89</v>
      </c>
      <c r="AC755" t="s">
        <v>89</v>
      </c>
      <c r="AD755" t="s">
        <v>89</v>
      </c>
      <c r="AE755" t="s">
        <v>3652</v>
      </c>
      <c r="AF755" s="4"/>
    </row>
    <row r="756" spans="1:32">
      <c r="A756" t="s">
        <v>10469</v>
      </c>
      <c r="B756" t="s">
        <v>2193</v>
      </c>
      <c r="C756" t="s">
        <v>10438</v>
      </c>
      <c r="D756" t="s">
        <v>49</v>
      </c>
      <c r="E756" t="s">
        <v>3338</v>
      </c>
      <c r="F756" t="s">
        <v>3329</v>
      </c>
      <c r="G756">
        <v>1650.19</v>
      </c>
      <c r="I756">
        <v>1650.19</v>
      </c>
      <c r="J756">
        <v>1650.19</v>
      </c>
      <c r="K756" s="4"/>
      <c r="L756" s="4"/>
      <c r="M756">
        <v>2023</v>
      </c>
      <c r="N756">
        <v>5</v>
      </c>
      <c r="O756" s="4">
        <v>45047</v>
      </c>
      <c r="P756" t="s">
        <v>89</v>
      </c>
      <c r="Q756" s="4"/>
      <c r="X756" t="s">
        <v>4014</v>
      </c>
      <c r="Z756" t="s">
        <v>89</v>
      </c>
      <c r="AA756" t="s">
        <v>89</v>
      </c>
      <c r="AC756" t="s">
        <v>89</v>
      </c>
      <c r="AD756" t="s">
        <v>89</v>
      </c>
      <c r="AE756" t="s">
        <v>3652</v>
      </c>
      <c r="AF756" s="4"/>
    </row>
    <row r="757" spans="1:32">
      <c r="A757" t="s">
        <v>10470</v>
      </c>
      <c r="B757" t="s">
        <v>2193</v>
      </c>
      <c r="C757" t="s">
        <v>10438</v>
      </c>
      <c r="D757" t="s">
        <v>49</v>
      </c>
      <c r="E757" t="s">
        <v>3340</v>
      </c>
      <c r="F757" t="s">
        <v>3342</v>
      </c>
      <c r="G757">
        <v>7787.96</v>
      </c>
      <c r="I757">
        <v>7787.96</v>
      </c>
      <c r="J757">
        <v>7787.96</v>
      </c>
      <c r="K757" s="4"/>
      <c r="L757" s="4"/>
      <c r="M757">
        <v>2023</v>
      </c>
      <c r="N757">
        <v>5</v>
      </c>
      <c r="O757" s="4">
        <v>45047</v>
      </c>
      <c r="P757" t="s">
        <v>89</v>
      </c>
      <c r="Q757" s="4"/>
      <c r="X757" t="s">
        <v>4014</v>
      </c>
      <c r="Z757" t="s">
        <v>89</v>
      </c>
      <c r="AA757" t="s">
        <v>89</v>
      </c>
      <c r="AC757" t="s">
        <v>89</v>
      </c>
      <c r="AD757">
        <v>0</v>
      </c>
      <c r="AE757" t="s">
        <v>9251</v>
      </c>
      <c r="AF757" s="4"/>
    </row>
    <row r="758" spans="1:32">
      <c r="A758" t="s">
        <v>10471</v>
      </c>
      <c r="B758" t="s">
        <v>2193</v>
      </c>
      <c r="C758" t="s">
        <v>10438</v>
      </c>
      <c r="D758" t="s">
        <v>49</v>
      </c>
      <c r="E758" t="s">
        <v>3343</v>
      </c>
      <c r="F758" t="s">
        <v>3342</v>
      </c>
      <c r="G758">
        <v>7787.96</v>
      </c>
      <c r="I758">
        <v>7787.96</v>
      </c>
      <c r="J758">
        <v>7787.96</v>
      </c>
      <c r="K758" s="4"/>
      <c r="L758" s="4"/>
      <c r="M758">
        <v>2023</v>
      </c>
      <c r="N758">
        <v>5</v>
      </c>
      <c r="O758" s="4">
        <v>45047</v>
      </c>
      <c r="P758" t="s">
        <v>89</v>
      </c>
      <c r="Q758" s="4"/>
      <c r="X758" t="s">
        <v>4014</v>
      </c>
      <c r="Z758" t="s">
        <v>89</v>
      </c>
      <c r="AA758" t="s">
        <v>89</v>
      </c>
      <c r="AC758" t="s">
        <v>89</v>
      </c>
      <c r="AD758">
        <v>0</v>
      </c>
      <c r="AE758" t="s">
        <v>9251</v>
      </c>
      <c r="AF758" s="4"/>
    </row>
    <row r="759" spans="1:32">
      <c r="A759" t="s">
        <v>10472</v>
      </c>
      <c r="B759" t="s">
        <v>2193</v>
      </c>
      <c r="C759" t="s">
        <v>10438</v>
      </c>
      <c r="D759" t="s">
        <v>49</v>
      </c>
      <c r="E759" t="s">
        <v>3345</v>
      </c>
      <c r="F759" t="s">
        <v>3342</v>
      </c>
      <c r="G759">
        <v>7787.96</v>
      </c>
      <c r="I759">
        <v>7787.96</v>
      </c>
      <c r="J759">
        <v>7787.96</v>
      </c>
      <c r="K759" s="4"/>
      <c r="L759" s="4"/>
      <c r="M759">
        <v>2023</v>
      </c>
      <c r="N759">
        <v>5</v>
      </c>
      <c r="O759" s="4">
        <v>45047</v>
      </c>
      <c r="P759" t="s">
        <v>89</v>
      </c>
      <c r="Q759" s="4"/>
      <c r="X759" t="s">
        <v>4014</v>
      </c>
      <c r="Z759" t="s">
        <v>89</v>
      </c>
      <c r="AA759" t="s">
        <v>89</v>
      </c>
      <c r="AC759" t="s">
        <v>89</v>
      </c>
      <c r="AD759">
        <v>0</v>
      </c>
      <c r="AE759" t="s">
        <v>9251</v>
      </c>
      <c r="AF759" s="4"/>
    </row>
    <row r="760" spans="1:32">
      <c r="A760" t="s">
        <v>10473</v>
      </c>
      <c r="B760" t="s">
        <v>2193</v>
      </c>
      <c r="C760" t="s">
        <v>10438</v>
      </c>
      <c r="D760" t="s">
        <v>49</v>
      </c>
      <c r="E760" t="s">
        <v>3347</v>
      </c>
      <c r="F760" t="s">
        <v>3342</v>
      </c>
      <c r="G760">
        <v>7787.96</v>
      </c>
      <c r="I760">
        <v>7787.96</v>
      </c>
      <c r="J760">
        <v>7787.96</v>
      </c>
      <c r="K760" s="4"/>
      <c r="L760" s="4"/>
      <c r="M760">
        <v>2023</v>
      </c>
      <c r="N760">
        <v>5</v>
      </c>
      <c r="O760" s="4">
        <v>45047</v>
      </c>
      <c r="P760" t="s">
        <v>89</v>
      </c>
      <c r="Q760" s="4"/>
      <c r="X760" t="s">
        <v>4014</v>
      </c>
      <c r="Z760" t="s">
        <v>89</v>
      </c>
      <c r="AA760" t="s">
        <v>89</v>
      </c>
      <c r="AC760" t="s">
        <v>89</v>
      </c>
      <c r="AD760">
        <v>0</v>
      </c>
      <c r="AE760" t="s">
        <v>9251</v>
      </c>
      <c r="AF760" s="4"/>
    </row>
    <row r="761" spans="1:32">
      <c r="A761" t="s">
        <v>10474</v>
      </c>
      <c r="B761" t="s">
        <v>2193</v>
      </c>
      <c r="C761" t="s">
        <v>10438</v>
      </c>
      <c r="D761" t="s">
        <v>49</v>
      </c>
      <c r="E761" t="s">
        <v>3349</v>
      </c>
      <c r="F761" t="s">
        <v>3342</v>
      </c>
      <c r="G761">
        <v>7787.96</v>
      </c>
      <c r="I761">
        <v>7787.96</v>
      </c>
      <c r="J761">
        <v>7787.96</v>
      </c>
      <c r="K761" s="4"/>
      <c r="L761" s="4"/>
      <c r="M761">
        <v>2023</v>
      </c>
      <c r="N761">
        <v>5</v>
      </c>
      <c r="O761" s="4">
        <v>45047</v>
      </c>
      <c r="P761" t="s">
        <v>89</v>
      </c>
      <c r="Q761" s="4"/>
      <c r="X761" t="s">
        <v>4014</v>
      </c>
      <c r="Z761" t="s">
        <v>89</v>
      </c>
      <c r="AA761" t="s">
        <v>89</v>
      </c>
      <c r="AC761" t="s">
        <v>89</v>
      </c>
      <c r="AD761" t="s">
        <v>89</v>
      </c>
      <c r="AE761" t="s">
        <v>3652</v>
      </c>
      <c r="AF761" s="4"/>
    </row>
    <row r="762" spans="1:32">
      <c r="A762" t="s">
        <v>10475</v>
      </c>
      <c r="B762" t="s">
        <v>2193</v>
      </c>
      <c r="C762" t="s">
        <v>10438</v>
      </c>
      <c r="D762" t="s">
        <v>49</v>
      </c>
      <c r="E762" t="s">
        <v>3351</v>
      </c>
      <c r="F762" t="s">
        <v>3342</v>
      </c>
      <c r="G762">
        <v>7787.96</v>
      </c>
      <c r="I762">
        <v>7787.96</v>
      </c>
      <c r="J762">
        <v>7787.96</v>
      </c>
      <c r="K762" s="4"/>
      <c r="L762" s="4"/>
      <c r="M762">
        <v>2023</v>
      </c>
      <c r="N762">
        <v>5</v>
      </c>
      <c r="O762" s="4">
        <v>45047</v>
      </c>
      <c r="P762" t="s">
        <v>89</v>
      </c>
      <c r="Q762" s="4"/>
      <c r="X762" t="s">
        <v>4014</v>
      </c>
      <c r="Z762" t="s">
        <v>89</v>
      </c>
      <c r="AA762" t="s">
        <v>89</v>
      </c>
      <c r="AC762" t="s">
        <v>89</v>
      </c>
      <c r="AD762">
        <v>0</v>
      </c>
      <c r="AE762" t="s">
        <v>9251</v>
      </c>
      <c r="AF762" s="4"/>
    </row>
    <row r="763" spans="1:32">
      <c r="A763" t="s">
        <v>10476</v>
      </c>
      <c r="B763" t="s">
        <v>2193</v>
      </c>
      <c r="C763" t="s">
        <v>10438</v>
      </c>
      <c r="D763" t="s">
        <v>49</v>
      </c>
      <c r="E763" t="s">
        <v>3353</v>
      </c>
      <c r="F763" t="s">
        <v>3342</v>
      </c>
      <c r="G763">
        <v>7787.96</v>
      </c>
      <c r="I763">
        <v>7787.96</v>
      </c>
      <c r="J763">
        <v>7787.96</v>
      </c>
      <c r="K763" s="4"/>
      <c r="L763" s="4"/>
      <c r="M763">
        <v>2023</v>
      </c>
      <c r="N763">
        <v>5</v>
      </c>
      <c r="O763" s="4">
        <v>45047</v>
      </c>
      <c r="P763" t="s">
        <v>89</v>
      </c>
      <c r="Q763" s="4"/>
      <c r="X763" t="s">
        <v>4014</v>
      </c>
      <c r="Z763" t="s">
        <v>89</v>
      </c>
      <c r="AA763" t="s">
        <v>89</v>
      </c>
      <c r="AC763" t="s">
        <v>89</v>
      </c>
      <c r="AD763">
        <v>0</v>
      </c>
      <c r="AE763" t="s">
        <v>9251</v>
      </c>
      <c r="AF763" s="4"/>
    </row>
    <row r="764" spans="1:32">
      <c r="A764" t="s">
        <v>10477</v>
      </c>
      <c r="B764" t="s">
        <v>2193</v>
      </c>
      <c r="C764" t="s">
        <v>10438</v>
      </c>
      <c r="D764" t="s">
        <v>49</v>
      </c>
      <c r="E764" t="s">
        <v>3355</v>
      </c>
      <c r="F764" t="s">
        <v>3357</v>
      </c>
      <c r="G764">
        <v>7893.49</v>
      </c>
      <c r="I764">
        <v>7893.49</v>
      </c>
      <c r="J764">
        <v>7893.49</v>
      </c>
      <c r="K764" s="4"/>
      <c r="L764" s="4"/>
      <c r="M764">
        <v>2023</v>
      </c>
      <c r="N764">
        <v>5</v>
      </c>
      <c r="O764" s="4">
        <v>45047</v>
      </c>
      <c r="P764" t="s">
        <v>89</v>
      </c>
      <c r="Q764" s="4"/>
      <c r="X764" t="s">
        <v>4014</v>
      </c>
      <c r="Z764" t="s">
        <v>89</v>
      </c>
      <c r="AA764" t="s">
        <v>89</v>
      </c>
      <c r="AC764" t="s">
        <v>89</v>
      </c>
      <c r="AD764" t="s">
        <v>89</v>
      </c>
      <c r="AE764" t="s">
        <v>3652</v>
      </c>
      <c r="AF764" s="4"/>
    </row>
    <row r="765" spans="1:32">
      <c r="A765" t="s">
        <v>10478</v>
      </c>
      <c r="B765" t="s">
        <v>2193</v>
      </c>
      <c r="C765" t="s">
        <v>10438</v>
      </c>
      <c r="D765" t="s">
        <v>49</v>
      </c>
      <c r="E765" t="s">
        <v>3358</v>
      </c>
      <c r="F765" t="s">
        <v>3357</v>
      </c>
      <c r="G765">
        <v>7893.49</v>
      </c>
      <c r="I765">
        <v>7893.49</v>
      </c>
      <c r="J765">
        <v>7893.49</v>
      </c>
      <c r="K765" s="4"/>
      <c r="L765" s="4"/>
      <c r="M765">
        <v>2023</v>
      </c>
      <c r="N765">
        <v>5</v>
      </c>
      <c r="O765" s="4">
        <v>45047</v>
      </c>
      <c r="P765" t="s">
        <v>89</v>
      </c>
      <c r="Q765" s="4"/>
      <c r="X765" t="s">
        <v>4014</v>
      </c>
      <c r="Z765" t="s">
        <v>89</v>
      </c>
      <c r="AA765" t="s">
        <v>89</v>
      </c>
      <c r="AC765" t="s">
        <v>89</v>
      </c>
      <c r="AD765" t="s">
        <v>89</v>
      </c>
      <c r="AE765" t="s">
        <v>3652</v>
      </c>
      <c r="AF765" s="4"/>
    </row>
    <row r="766" spans="1:32">
      <c r="A766" t="s">
        <v>10479</v>
      </c>
      <c r="B766" t="s">
        <v>2193</v>
      </c>
      <c r="C766" t="s">
        <v>10438</v>
      </c>
      <c r="D766" t="s">
        <v>49</v>
      </c>
      <c r="E766" t="s">
        <v>3360</v>
      </c>
      <c r="F766" t="s">
        <v>3357</v>
      </c>
      <c r="G766">
        <v>7893.49</v>
      </c>
      <c r="I766">
        <v>7893.49</v>
      </c>
      <c r="J766">
        <v>7893.49</v>
      </c>
      <c r="K766" s="4"/>
      <c r="L766" s="4"/>
      <c r="M766">
        <v>2023</v>
      </c>
      <c r="N766">
        <v>5</v>
      </c>
      <c r="O766" s="4">
        <v>45047</v>
      </c>
      <c r="P766" t="s">
        <v>89</v>
      </c>
      <c r="Q766" s="4"/>
      <c r="X766" t="s">
        <v>4014</v>
      </c>
      <c r="Z766" t="s">
        <v>89</v>
      </c>
      <c r="AA766" t="s">
        <v>89</v>
      </c>
      <c r="AC766" t="s">
        <v>89</v>
      </c>
      <c r="AD766">
        <v>0</v>
      </c>
      <c r="AE766" t="s">
        <v>9251</v>
      </c>
      <c r="AF766" s="4"/>
    </row>
    <row r="767" spans="1:32">
      <c r="A767" t="s">
        <v>10480</v>
      </c>
      <c r="B767" t="s">
        <v>2193</v>
      </c>
      <c r="C767" t="s">
        <v>10438</v>
      </c>
      <c r="D767" t="s">
        <v>49</v>
      </c>
      <c r="E767" t="s">
        <v>3395</v>
      </c>
      <c r="F767" t="s">
        <v>3397</v>
      </c>
      <c r="G767">
        <v>104.96000000000001</v>
      </c>
      <c r="I767">
        <v>104.96000000000001</v>
      </c>
      <c r="J767">
        <v>104.96000000000001</v>
      </c>
      <c r="K767" s="4"/>
      <c r="L767" s="4"/>
      <c r="M767">
        <v>2023</v>
      </c>
      <c r="N767">
        <v>5</v>
      </c>
      <c r="O767" s="4">
        <v>45047</v>
      </c>
      <c r="P767" t="s">
        <v>89</v>
      </c>
      <c r="Q767" s="4"/>
      <c r="X767" t="s">
        <v>4014</v>
      </c>
      <c r="Z767" t="s">
        <v>89</v>
      </c>
      <c r="AA767" t="s">
        <v>89</v>
      </c>
      <c r="AC767" t="s">
        <v>89</v>
      </c>
      <c r="AD767" t="s">
        <v>89</v>
      </c>
      <c r="AE767" t="s">
        <v>3652</v>
      </c>
      <c r="AF767" s="4"/>
    </row>
    <row r="768" spans="1:32">
      <c r="A768" t="s">
        <v>10481</v>
      </c>
      <c r="B768" t="s">
        <v>2193</v>
      </c>
      <c r="C768" t="s">
        <v>10438</v>
      </c>
      <c r="D768" t="s">
        <v>49</v>
      </c>
      <c r="E768" t="s">
        <v>3398</v>
      </c>
      <c r="F768" t="s">
        <v>3397</v>
      </c>
      <c r="G768">
        <v>104.96000000000001</v>
      </c>
      <c r="I768">
        <v>104.96000000000001</v>
      </c>
      <c r="J768">
        <v>104.96000000000001</v>
      </c>
      <c r="K768" s="4"/>
      <c r="L768" s="4"/>
      <c r="M768">
        <v>2023</v>
      </c>
      <c r="N768">
        <v>5</v>
      </c>
      <c r="O768" s="4">
        <v>45047</v>
      </c>
      <c r="P768" t="s">
        <v>89</v>
      </c>
      <c r="Q768" s="4"/>
      <c r="X768" t="s">
        <v>4014</v>
      </c>
      <c r="Z768" t="s">
        <v>89</v>
      </c>
      <c r="AA768" t="s">
        <v>89</v>
      </c>
      <c r="AC768" t="s">
        <v>89</v>
      </c>
      <c r="AD768" t="s">
        <v>89</v>
      </c>
      <c r="AE768" t="s">
        <v>3652</v>
      </c>
      <c r="AF768" s="4"/>
    </row>
    <row r="769" spans="1:32">
      <c r="A769" t="s">
        <v>10482</v>
      </c>
      <c r="B769" t="s">
        <v>2193</v>
      </c>
      <c r="C769" t="s">
        <v>10438</v>
      </c>
      <c r="D769" t="s">
        <v>49</v>
      </c>
      <c r="E769" t="s">
        <v>3400</v>
      </c>
      <c r="F769" t="s">
        <v>3397</v>
      </c>
      <c r="G769">
        <v>104.96000000000001</v>
      </c>
      <c r="I769">
        <v>104.96000000000001</v>
      </c>
      <c r="J769">
        <v>104.96000000000001</v>
      </c>
      <c r="K769" s="4"/>
      <c r="L769" s="4"/>
      <c r="M769">
        <v>2023</v>
      </c>
      <c r="N769">
        <v>5</v>
      </c>
      <c r="O769" s="4">
        <v>45047</v>
      </c>
      <c r="P769" t="s">
        <v>89</v>
      </c>
      <c r="Q769" s="4"/>
      <c r="X769" t="s">
        <v>4014</v>
      </c>
      <c r="Z769" t="s">
        <v>89</v>
      </c>
      <c r="AA769" t="s">
        <v>89</v>
      </c>
      <c r="AC769" t="s">
        <v>89</v>
      </c>
      <c r="AD769">
        <v>0</v>
      </c>
      <c r="AE769" t="s">
        <v>9251</v>
      </c>
      <c r="AF769" s="4"/>
    </row>
    <row r="770" spans="1:32">
      <c r="A770" t="s">
        <v>10483</v>
      </c>
      <c r="B770" t="s">
        <v>2193</v>
      </c>
      <c r="C770" t="s">
        <v>10438</v>
      </c>
      <c r="D770" t="s">
        <v>49</v>
      </c>
      <c r="E770" t="s">
        <v>3402</v>
      </c>
      <c r="F770" t="s">
        <v>3397</v>
      </c>
      <c r="G770">
        <v>104.96000000000001</v>
      </c>
      <c r="I770">
        <v>104.96000000000001</v>
      </c>
      <c r="J770">
        <v>104.96000000000001</v>
      </c>
      <c r="K770" s="4"/>
      <c r="L770" s="4"/>
      <c r="M770">
        <v>2023</v>
      </c>
      <c r="N770">
        <v>5</v>
      </c>
      <c r="O770" s="4">
        <v>45047</v>
      </c>
      <c r="P770" t="s">
        <v>89</v>
      </c>
      <c r="Q770" s="4"/>
      <c r="X770" t="s">
        <v>4014</v>
      </c>
      <c r="Z770" t="s">
        <v>89</v>
      </c>
      <c r="AA770" t="s">
        <v>89</v>
      </c>
      <c r="AC770" t="s">
        <v>89</v>
      </c>
      <c r="AD770">
        <v>0</v>
      </c>
      <c r="AE770" t="s">
        <v>9251</v>
      </c>
      <c r="AF770" s="4"/>
    </row>
    <row r="771" spans="1:32">
      <c r="A771" t="s">
        <v>10484</v>
      </c>
      <c r="B771" t="s">
        <v>2193</v>
      </c>
      <c r="C771" t="s">
        <v>10438</v>
      </c>
      <c r="D771" t="s">
        <v>49</v>
      </c>
      <c r="E771" t="s">
        <v>3200</v>
      </c>
      <c r="F771" t="s">
        <v>3202</v>
      </c>
      <c r="G771">
        <v>7787.75</v>
      </c>
      <c r="I771">
        <v>7787.75</v>
      </c>
      <c r="J771">
        <v>7787.75</v>
      </c>
      <c r="K771" s="4"/>
      <c r="L771" s="4"/>
      <c r="M771">
        <v>2023</v>
      </c>
      <c r="N771">
        <v>5</v>
      </c>
      <c r="O771" s="4">
        <v>45047</v>
      </c>
      <c r="P771" t="s">
        <v>89</v>
      </c>
      <c r="Q771" s="4"/>
      <c r="X771" t="s">
        <v>4014</v>
      </c>
      <c r="Z771" t="s">
        <v>89</v>
      </c>
      <c r="AA771" t="s">
        <v>89</v>
      </c>
      <c r="AC771" t="s">
        <v>89</v>
      </c>
      <c r="AD771">
        <v>0</v>
      </c>
      <c r="AE771" t="s">
        <v>9251</v>
      </c>
      <c r="AF771" s="4"/>
    </row>
    <row r="772" spans="1:32">
      <c r="A772" t="s">
        <v>10485</v>
      </c>
      <c r="B772" t="s">
        <v>2193</v>
      </c>
      <c r="C772" t="s">
        <v>10434</v>
      </c>
      <c r="D772" t="s">
        <v>49</v>
      </c>
      <c r="E772" t="s">
        <v>3200</v>
      </c>
      <c r="F772" t="s">
        <v>3202</v>
      </c>
      <c r="G772">
        <v>12698.25</v>
      </c>
      <c r="I772">
        <v>12698.25</v>
      </c>
      <c r="J772">
        <v>12698.25</v>
      </c>
      <c r="K772" s="4"/>
      <c r="L772" s="4"/>
      <c r="M772">
        <v>2024</v>
      </c>
      <c r="N772">
        <v>1</v>
      </c>
      <c r="O772" s="4">
        <v>45292</v>
      </c>
      <c r="P772" t="s">
        <v>89</v>
      </c>
      <c r="Q772" s="4"/>
      <c r="S772" t="s">
        <v>3201</v>
      </c>
      <c r="X772" t="s">
        <v>4109</v>
      </c>
      <c r="Z772" t="s">
        <v>89</v>
      </c>
      <c r="AA772" t="s">
        <v>89</v>
      </c>
      <c r="AC772" t="s">
        <v>89</v>
      </c>
      <c r="AD772">
        <v>0</v>
      </c>
      <c r="AE772" t="s">
        <v>9251</v>
      </c>
      <c r="AF772" s="4"/>
    </row>
    <row r="773" spans="1:32">
      <c r="A773" t="s">
        <v>10486</v>
      </c>
      <c r="B773" t="s">
        <v>2193</v>
      </c>
      <c r="C773" t="s">
        <v>10438</v>
      </c>
      <c r="D773" t="s">
        <v>49</v>
      </c>
      <c r="E773" t="s">
        <v>3409</v>
      </c>
      <c r="F773" t="s">
        <v>3411</v>
      </c>
      <c r="G773">
        <v>3820.7200000000003</v>
      </c>
      <c r="I773">
        <v>3820.7200000000003</v>
      </c>
      <c r="J773">
        <v>3820.7200000000003</v>
      </c>
      <c r="K773" s="4"/>
      <c r="L773" s="4"/>
      <c r="M773">
        <v>2023</v>
      </c>
      <c r="N773">
        <v>5</v>
      </c>
      <c r="O773" s="4">
        <v>45047</v>
      </c>
      <c r="P773" t="s">
        <v>89</v>
      </c>
      <c r="Q773" s="4"/>
      <c r="X773" t="s">
        <v>9254</v>
      </c>
      <c r="Z773" t="s">
        <v>89</v>
      </c>
      <c r="AA773" t="s">
        <v>89</v>
      </c>
      <c r="AC773" t="s">
        <v>89</v>
      </c>
      <c r="AD773">
        <v>0</v>
      </c>
      <c r="AE773" t="s">
        <v>9251</v>
      </c>
      <c r="AF773" s="4"/>
    </row>
    <row r="774" spans="1:32">
      <c r="A774" t="s">
        <v>10487</v>
      </c>
      <c r="B774" t="s">
        <v>2193</v>
      </c>
      <c r="C774" t="s">
        <v>10438</v>
      </c>
      <c r="D774" t="s">
        <v>49</v>
      </c>
      <c r="E774" t="s">
        <v>3412</v>
      </c>
      <c r="F774" t="s">
        <v>3411</v>
      </c>
      <c r="G774">
        <v>3820.7200000000003</v>
      </c>
      <c r="I774">
        <v>3820.7200000000003</v>
      </c>
      <c r="J774">
        <v>3820.7200000000003</v>
      </c>
      <c r="K774" s="4"/>
      <c r="L774" s="4"/>
      <c r="M774">
        <v>2023</v>
      </c>
      <c r="N774">
        <v>5</v>
      </c>
      <c r="O774" s="4">
        <v>45047</v>
      </c>
      <c r="P774" t="s">
        <v>89</v>
      </c>
      <c r="Q774" s="4"/>
      <c r="X774" t="s">
        <v>9254</v>
      </c>
      <c r="Z774" t="s">
        <v>89</v>
      </c>
      <c r="AA774" t="s">
        <v>89</v>
      </c>
      <c r="AC774" t="s">
        <v>89</v>
      </c>
      <c r="AD774">
        <v>0</v>
      </c>
      <c r="AE774" t="s">
        <v>9251</v>
      </c>
      <c r="AF774" s="4"/>
    </row>
    <row r="775" spans="1:32">
      <c r="A775" t="s">
        <v>10488</v>
      </c>
      <c r="B775" t="s">
        <v>2193</v>
      </c>
      <c r="C775" t="s">
        <v>10438</v>
      </c>
      <c r="D775" t="s">
        <v>49</v>
      </c>
      <c r="E775" t="s">
        <v>3414</v>
      </c>
      <c r="F775" t="s">
        <v>3411</v>
      </c>
      <c r="G775">
        <v>3820.7200000000003</v>
      </c>
      <c r="I775">
        <v>3820.7200000000003</v>
      </c>
      <c r="J775">
        <v>3820.7200000000003</v>
      </c>
      <c r="K775" s="4"/>
      <c r="L775" s="4"/>
      <c r="M775">
        <v>2023</v>
      </c>
      <c r="N775">
        <v>5</v>
      </c>
      <c r="O775" s="4">
        <v>45047</v>
      </c>
      <c r="P775" t="s">
        <v>89</v>
      </c>
      <c r="Q775" s="4"/>
      <c r="X775" t="s">
        <v>9254</v>
      </c>
      <c r="Z775" t="s">
        <v>89</v>
      </c>
      <c r="AA775" t="s">
        <v>89</v>
      </c>
      <c r="AC775" t="s">
        <v>89</v>
      </c>
      <c r="AD775">
        <v>0</v>
      </c>
      <c r="AE775" t="s">
        <v>9251</v>
      </c>
      <c r="AF775" s="4"/>
    </row>
    <row r="776" spans="1:32">
      <c r="A776" t="s">
        <v>10489</v>
      </c>
      <c r="B776" t="s">
        <v>2193</v>
      </c>
      <c r="C776" t="s">
        <v>10438</v>
      </c>
      <c r="D776" t="s">
        <v>49</v>
      </c>
      <c r="E776" t="s">
        <v>3416</v>
      </c>
      <c r="F776" t="s">
        <v>3411</v>
      </c>
      <c r="G776">
        <v>3820.7200000000003</v>
      </c>
      <c r="I776">
        <v>3820.7200000000003</v>
      </c>
      <c r="J776">
        <v>3820.7200000000003</v>
      </c>
      <c r="K776" s="4"/>
      <c r="L776" s="4"/>
      <c r="M776">
        <v>2023</v>
      </c>
      <c r="N776">
        <v>5</v>
      </c>
      <c r="O776" s="4">
        <v>45047</v>
      </c>
      <c r="P776" t="s">
        <v>89</v>
      </c>
      <c r="Q776" s="4"/>
      <c r="X776" t="s">
        <v>9254</v>
      </c>
      <c r="Z776" t="s">
        <v>89</v>
      </c>
      <c r="AA776" t="s">
        <v>89</v>
      </c>
      <c r="AC776" t="s">
        <v>89</v>
      </c>
      <c r="AD776">
        <v>0</v>
      </c>
      <c r="AE776" t="s">
        <v>9251</v>
      </c>
      <c r="AF776" s="4"/>
    </row>
    <row r="777" spans="1:32">
      <c r="A777" t="s">
        <v>10490</v>
      </c>
      <c r="B777" t="s">
        <v>2193</v>
      </c>
      <c r="C777" t="s">
        <v>10438</v>
      </c>
      <c r="D777" t="s">
        <v>49</v>
      </c>
      <c r="E777" t="s">
        <v>3418</v>
      </c>
      <c r="F777" t="s">
        <v>3411</v>
      </c>
      <c r="G777">
        <v>3820.7200000000003</v>
      </c>
      <c r="I777">
        <v>3820.7200000000003</v>
      </c>
      <c r="J777">
        <v>3820.7200000000003</v>
      </c>
      <c r="K777" s="4"/>
      <c r="L777" s="4"/>
      <c r="M777">
        <v>2023</v>
      </c>
      <c r="N777">
        <v>5</v>
      </c>
      <c r="O777" s="4">
        <v>45047</v>
      </c>
      <c r="P777" t="s">
        <v>89</v>
      </c>
      <c r="Q777" s="4"/>
      <c r="X777" t="s">
        <v>9254</v>
      </c>
      <c r="Z777" t="s">
        <v>89</v>
      </c>
      <c r="AA777" t="s">
        <v>89</v>
      </c>
      <c r="AC777" t="s">
        <v>89</v>
      </c>
      <c r="AD777" t="s">
        <v>89</v>
      </c>
      <c r="AE777" t="s">
        <v>3652</v>
      </c>
      <c r="AF777" s="4"/>
    </row>
    <row r="778" spans="1:32">
      <c r="A778" t="s">
        <v>10491</v>
      </c>
      <c r="B778" t="s">
        <v>2193</v>
      </c>
      <c r="C778" t="s">
        <v>10438</v>
      </c>
      <c r="D778" t="s">
        <v>49</v>
      </c>
      <c r="E778" t="s">
        <v>3420</v>
      </c>
      <c r="F778" t="s">
        <v>3411</v>
      </c>
      <c r="G778">
        <v>3820.7200000000003</v>
      </c>
      <c r="I778">
        <v>3820.7200000000003</v>
      </c>
      <c r="J778">
        <v>3820.7200000000003</v>
      </c>
      <c r="K778" s="4"/>
      <c r="L778" s="4"/>
      <c r="M778">
        <v>2023</v>
      </c>
      <c r="N778">
        <v>5</v>
      </c>
      <c r="O778" s="4">
        <v>45047</v>
      </c>
      <c r="P778" t="s">
        <v>89</v>
      </c>
      <c r="Q778" s="4"/>
      <c r="X778" t="s">
        <v>9254</v>
      </c>
      <c r="Z778" t="s">
        <v>89</v>
      </c>
      <c r="AA778" t="s">
        <v>89</v>
      </c>
      <c r="AC778" t="s">
        <v>89</v>
      </c>
      <c r="AD778">
        <v>0</v>
      </c>
      <c r="AE778" t="s">
        <v>9251</v>
      </c>
      <c r="AF778" s="4"/>
    </row>
    <row r="779" spans="1:32">
      <c r="A779" t="s">
        <v>10492</v>
      </c>
      <c r="B779" t="s">
        <v>2193</v>
      </c>
      <c r="C779" t="s">
        <v>10438</v>
      </c>
      <c r="D779" t="s">
        <v>49</v>
      </c>
      <c r="E779" t="s">
        <v>3422</v>
      </c>
      <c r="F779" t="s">
        <v>3411</v>
      </c>
      <c r="G779">
        <v>3820.7200000000003</v>
      </c>
      <c r="I779">
        <v>3820.7200000000003</v>
      </c>
      <c r="J779">
        <v>3820.7200000000003</v>
      </c>
      <c r="K779" s="4"/>
      <c r="L779" s="4"/>
      <c r="M779">
        <v>2023</v>
      </c>
      <c r="N779">
        <v>5</v>
      </c>
      <c r="O779" s="4">
        <v>45047</v>
      </c>
      <c r="P779" t="s">
        <v>89</v>
      </c>
      <c r="Q779" s="4"/>
      <c r="X779" t="s">
        <v>9254</v>
      </c>
      <c r="Z779" t="s">
        <v>89</v>
      </c>
      <c r="AA779" t="s">
        <v>89</v>
      </c>
      <c r="AC779" t="s">
        <v>89</v>
      </c>
      <c r="AD779" t="s">
        <v>89</v>
      </c>
      <c r="AE779" t="s">
        <v>3652</v>
      </c>
      <c r="AF779" s="4"/>
    </row>
    <row r="780" spans="1:32">
      <c r="A780" t="s">
        <v>10493</v>
      </c>
      <c r="B780" t="s">
        <v>2193</v>
      </c>
      <c r="C780" t="s">
        <v>10438</v>
      </c>
      <c r="D780" t="s">
        <v>49</v>
      </c>
      <c r="E780" t="s">
        <v>3424</v>
      </c>
      <c r="F780" t="s">
        <v>3411</v>
      </c>
      <c r="G780">
        <v>3820.7200000000003</v>
      </c>
      <c r="I780">
        <v>3820.7200000000003</v>
      </c>
      <c r="J780">
        <v>3820.7200000000003</v>
      </c>
      <c r="K780" s="4"/>
      <c r="L780" s="4"/>
      <c r="M780">
        <v>2023</v>
      </c>
      <c r="N780">
        <v>5</v>
      </c>
      <c r="O780" s="4">
        <v>45047</v>
      </c>
      <c r="P780" t="s">
        <v>89</v>
      </c>
      <c r="Q780" s="4"/>
      <c r="X780" t="s">
        <v>9254</v>
      </c>
      <c r="Z780" t="s">
        <v>89</v>
      </c>
      <c r="AA780" t="s">
        <v>89</v>
      </c>
      <c r="AC780" t="s">
        <v>89</v>
      </c>
      <c r="AD780" t="s">
        <v>89</v>
      </c>
      <c r="AE780" t="s">
        <v>3652</v>
      </c>
      <c r="AF780" s="4"/>
    </row>
    <row r="781" spans="1:32">
      <c r="A781" t="s">
        <v>10494</v>
      </c>
      <c r="B781" t="s">
        <v>2193</v>
      </c>
      <c r="C781" t="s">
        <v>10438</v>
      </c>
      <c r="D781" t="s">
        <v>49</v>
      </c>
      <c r="E781" t="s">
        <v>3426</v>
      </c>
      <c r="F781" t="s">
        <v>3411</v>
      </c>
      <c r="G781">
        <v>3820.7200000000003</v>
      </c>
      <c r="I781">
        <v>3820.7200000000003</v>
      </c>
      <c r="J781">
        <v>3820.7200000000003</v>
      </c>
      <c r="K781" s="4"/>
      <c r="L781" s="4"/>
      <c r="M781">
        <v>2023</v>
      </c>
      <c r="N781">
        <v>5</v>
      </c>
      <c r="O781" s="4">
        <v>45047</v>
      </c>
      <c r="P781" t="s">
        <v>89</v>
      </c>
      <c r="Q781" s="4"/>
      <c r="X781" t="s">
        <v>9254</v>
      </c>
      <c r="Z781" t="s">
        <v>89</v>
      </c>
      <c r="AA781" t="s">
        <v>89</v>
      </c>
      <c r="AC781" t="s">
        <v>89</v>
      </c>
      <c r="AD781">
        <v>0</v>
      </c>
      <c r="AE781" t="s">
        <v>9251</v>
      </c>
      <c r="AF781" s="4"/>
    </row>
    <row r="782" spans="1:32">
      <c r="A782" t="s">
        <v>10495</v>
      </c>
      <c r="B782" t="s">
        <v>2193</v>
      </c>
      <c r="C782" t="s">
        <v>10438</v>
      </c>
      <c r="D782" t="s">
        <v>49</v>
      </c>
      <c r="E782" t="s">
        <v>3428</v>
      </c>
      <c r="F782" t="s">
        <v>3411</v>
      </c>
      <c r="G782">
        <v>3820.7200000000003</v>
      </c>
      <c r="I782">
        <v>3820.7200000000003</v>
      </c>
      <c r="J782">
        <v>3820.7200000000003</v>
      </c>
      <c r="K782" s="4"/>
      <c r="L782" s="4"/>
      <c r="M782">
        <v>2023</v>
      </c>
      <c r="N782">
        <v>5</v>
      </c>
      <c r="O782" s="4">
        <v>45047</v>
      </c>
      <c r="P782" t="s">
        <v>89</v>
      </c>
      <c r="Q782" s="4"/>
      <c r="X782" t="s">
        <v>9254</v>
      </c>
      <c r="Z782" t="s">
        <v>89</v>
      </c>
      <c r="AA782" t="s">
        <v>89</v>
      </c>
      <c r="AC782" t="s">
        <v>89</v>
      </c>
      <c r="AD782">
        <v>0</v>
      </c>
      <c r="AE782" t="s">
        <v>9251</v>
      </c>
      <c r="AF782" s="4"/>
    </row>
    <row r="783" spans="1:32">
      <c r="A783" t="s">
        <v>10496</v>
      </c>
      <c r="B783" t="s">
        <v>2193</v>
      </c>
      <c r="C783" t="s">
        <v>10438</v>
      </c>
      <c r="D783" t="s">
        <v>49</v>
      </c>
      <c r="E783" t="s">
        <v>3430</v>
      </c>
      <c r="F783" t="s">
        <v>3411</v>
      </c>
      <c r="G783">
        <v>3820.7200000000003</v>
      </c>
      <c r="I783">
        <v>3820.7200000000003</v>
      </c>
      <c r="J783">
        <v>3820.7200000000003</v>
      </c>
      <c r="K783" s="4"/>
      <c r="L783" s="4"/>
      <c r="M783">
        <v>2023</v>
      </c>
      <c r="N783">
        <v>5</v>
      </c>
      <c r="O783" s="4">
        <v>45047</v>
      </c>
      <c r="P783" t="s">
        <v>89</v>
      </c>
      <c r="Q783" s="4"/>
      <c r="X783" t="s">
        <v>9254</v>
      </c>
      <c r="Z783" t="s">
        <v>89</v>
      </c>
      <c r="AA783" t="s">
        <v>89</v>
      </c>
      <c r="AC783" t="s">
        <v>89</v>
      </c>
      <c r="AD783">
        <v>0</v>
      </c>
      <c r="AE783" t="s">
        <v>9251</v>
      </c>
      <c r="AF783" s="4"/>
    </row>
    <row r="784" spans="1:32">
      <c r="A784" t="s">
        <v>10497</v>
      </c>
      <c r="B784" t="s">
        <v>2193</v>
      </c>
      <c r="C784" t="s">
        <v>10438</v>
      </c>
      <c r="D784" t="s">
        <v>49</v>
      </c>
      <c r="E784" t="s">
        <v>3432</v>
      </c>
      <c r="F784" t="s">
        <v>3434</v>
      </c>
      <c r="G784">
        <v>11178.550000000001</v>
      </c>
      <c r="I784">
        <v>11178.550000000001</v>
      </c>
      <c r="J784">
        <v>11178.550000000001</v>
      </c>
      <c r="K784" s="4"/>
      <c r="L784" s="4"/>
      <c r="M784">
        <v>2023</v>
      </c>
      <c r="N784">
        <v>5</v>
      </c>
      <c r="O784" s="4">
        <v>45047</v>
      </c>
      <c r="P784" t="s">
        <v>89</v>
      </c>
      <c r="Q784" s="4"/>
      <c r="X784" t="s">
        <v>9254</v>
      </c>
      <c r="Z784" t="s">
        <v>89</v>
      </c>
      <c r="AA784" t="s">
        <v>89</v>
      </c>
      <c r="AC784" t="s">
        <v>89</v>
      </c>
      <c r="AD784">
        <v>0</v>
      </c>
      <c r="AE784" t="s">
        <v>9251</v>
      </c>
      <c r="AF784" s="4"/>
    </row>
    <row r="785" spans="1:32">
      <c r="A785" t="s">
        <v>10498</v>
      </c>
      <c r="B785" t="s">
        <v>2193</v>
      </c>
      <c r="C785" t="s">
        <v>10438</v>
      </c>
      <c r="D785" t="s">
        <v>49</v>
      </c>
      <c r="E785" t="s">
        <v>3435</v>
      </c>
      <c r="F785" t="s">
        <v>3434</v>
      </c>
      <c r="G785">
        <v>11178.550000000001</v>
      </c>
      <c r="I785">
        <v>11178.550000000001</v>
      </c>
      <c r="J785">
        <v>11178.550000000001</v>
      </c>
      <c r="K785" s="4"/>
      <c r="L785" s="4"/>
      <c r="M785">
        <v>2023</v>
      </c>
      <c r="N785">
        <v>5</v>
      </c>
      <c r="O785" s="4">
        <v>45047</v>
      </c>
      <c r="P785" t="s">
        <v>89</v>
      </c>
      <c r="Q785" s="4"/>
      <c r="X785" t="s">
        <v>9254</v>
      </c>
      <c r="Z785" t="s">
        <v>89</v>
      </c>
      <c r="AA785" t="s">
        <v>89</v>
      </c>
      <c r="AC785" t="s">
        <v>89</v>
      </c>
      <c r="AD785">
        <v>0</v>
      </c>
      <c r="AE785" t="s">
        <v>9251</v>
      </c>
      <c r="AF785" s="4"/>
    </row>
    <row r="786" spans="1:32">
      <c r="A786" t="s">
        <v>10499</v>
      </c>
      <c r="B786" t="s">
        <v>2193</v>
      </c>
      <c r="C786" t="s">
        <v>10438</v>
      </c>
      <c r="D786" t="s">
        <v>49</v>
      </c>
      <c r="E786" t="s">
        <v>3437</v>
      </c>
      <c r="F786" t="s">
        <v>3434</v>
      </c>
      <c r="G786">
        <v>11178.550000000001</v>
      </c>
      <c r="I786">
        <v>11178.550000000001</v>
      </c>
      <c r="J786">
        <v>11178.550000000001</v>
      </c>
      <c r="K786" s="4"/>
      <c r="L786" s="4"/>
      <c r="M786">
        <v>2023</v>
      </c>
      <c r="N786">
        <v>5</v>
      </c>
      <c r="O786" s="4">
        <v>45047</v>
      </c>
      <c r="P786" t="s">
        <v>89</v>
      </c>
      <c r="Q786" s="4"/>
      <c r="X786" t="s">
        <v>9254</v>
      </c>
      <c r="Z786" t="s">
        <v>89</v>
      </c>
      <c r="AA786" t="s">
        <v>89</v>
      </c>
      <c r="AC786" t="s">
        <v>89</v>
      </c>
      <c r="AD786">
        <v>0</v>
      </c>
      <c r="AE786" t="s">
        <v>9251</v>
      </c>
      <c r="AF786" s="4"/>
    </row>
    <row r="787" spans="1:32">
      <c r="A787" t="s">
        <v>10500</v>
      </c>
      <c r="B787" t="s">
        <v>2193</v>
      </c>
      <c r="C787" t="s">
        <v>10438</v>
      </c>
      <c r="D787" t="s">
        <v>49</v>
      </c>
      <c r="E787" t="s">
        <v>3505</v>
      </c>
      <c r="F787" t="s">
        <v>3474</v>
      </c>
      <c r="G787">
        <v>16304.81</v>
      </c>
      <c r="I787">
        <v>16304.81</v>
      </c>
      <c r="J787">
        <v>16304.81</v>
      </c>
      <c r="K787" s="4"/>
      <c r="L787" s="4"/>
      <c r="M787">
        <v>2023</v>
      </c>
      <c r="N787">
        <v>5</v>
      </c>
      <c r="O787" s="4">
        <v>45047</v>
      </c>
      <c r="P787" t="s">
        <v>89</v>
      </c>
      <c r="Q787" s="4"/>
      <c r="X787" t="s">
        <v>9319</v>
      </c>
      <c r="Z787" t="s">
        <v>89</v>
      </c>
      <c r="AA787" t="s">
        <v>89</v>
      </c>
      <c r="AC787" t="s">
        <v>89</v>
      </c>
      <c r="AD787" t="s">
        <v>89</v>
      </c>
      <c r="AE787" t="s">
        <v>3652</v>
      </c>
      <c r="AF787" s="4"/>
    </row>
    <row r="788" spans="1:32">
      <c r="A788" t="s">
        <v>10501</v>
      </c>
      <c r="B788" t="s">
        <v>2193</v>
      </c>
      <c r="C788" t="s">
        <v>10438</v>
      </c>
      <c r="D788" t="s">
        <v>49</v>
      </c>
      <c r="E788" t="s">
        <v>3472</v>
      </c>
      <c r="F788" t="s">
        <v>3474</v>
      </c>
      <c r="G788">
        <v>16304.81</v>
      </c>
      <c r="I788">
        <v>16304.81</v>
      </c>
      <c r="J788">
        <v>16304.81</v>
      </c>
      <c r="K788" s="4"/>
      <c r="L788" s="4"/>
      <c r="M788">
        <v>2023</v>
      </c>
      <c r="N788">
        <v>5</v>
      </c>
      <c r="O788" s="4">
        <v>45047</v>
      </c>
      <c r="P788" t="s">
        <v>89</v>
      </c>
      <c r="Q788" s="4"/>
      <c r="X788" t="s">
        <v>9319</v>
      </c>
      <c r="Z788" t="s">
        <v>89</v>
      </c>
      <c r="AA788" t="s">
        <v>89</v>
      </c>
      <c r="AC788" t="s">
        <v>89</v>
      </c>
      <c r="AD788" t="s">
        <v>89</v>
      </c>
      <c r="AE788" t="s">
        <v>3652</v>
      </c>
      <c r="AF788" s="4"/>
    </row>
    <row r="789" spans="1:32">
      <c r="A789" t="s">
        <v>10502</v>
      </c>
      <c r="B789" t="s">
        <v>9366</v>
      </c>
      <c r="D789" t="s">
        <v>54</v>
      </c>
      <c r="E789" t="s">
        <v>10203</v>
      </c>
      <c r="F789" t="s">
        <v>4662</v>
      </c>
      <c r="G789">
        <v>1888.28</v>
      </c>
      <c r="I789">
        <v>1888.28</v>
      </c>
      <c r="J789">
        <v>1888.28</v>
      </c>
      <c r="K789" s="4">
        <v>45047</v>
      </c>
      <c r="L789" s="4">
        <v>45047</v>
      </c>
      <c r="M789">
        <v>2023</v>
      </c>
      <c r="N789">
        <v>5</v>
      </c>
      <c r="O789" s="4">
        <v>45047</v>
      </c>
      <c r="P789" t="s">
        <v>89</v>
      </c>
      <c r="Q789" s="4">
        <v>45153</v>
      </c>
      <c r="S789" t="s">
        <v>4663</v>
      </c>
      <c r="U789">
        <v>4720.7</v>
      </c>
      <c r="V789">
        <v>0.4</v>
      </c>
      <c r="W789" t="s">
        <v>16</v>
      </c>
      <c r="X789" t="s">
        <v>3711</v>
      </c>
      <c r="Z789" t="s">
        <v>89</v>
      </c>
      <c r="AA789" t="s">
        <v>89</v>
      </c>
      <c r="AC789" t="s">
        <v>89</v>
      </c>
      <c r="AD789">
        <v>0</v>
      </c>
      <c r="AE789" t="s">
        <v>9251</v>
      </c>
      <c r="AF789" s="4"/>
    </row>
    <row r="790" spans="1:32">
      <c r="A790" t="s">
        <v>10186</v>
      </c>
      <c r="B790" t="s">
        <v>9366</v>
      </c>
      <c r="C790" t="s">
        <v>4542</v>
      </c>
      <c r="D790" t="s">
        <v>54</v>
      </c>
      <c r="E790" t="s">
        <v>10188</v>
      </c>
      <c r="F790" t="s">
        <v>4541</v>
      </c>
      <c r="G790">
        <v>2588.64</v>
      </c>
      <c r="I790">
        <v>2588.64</v>
      </c>
      <c r="K790" s="4">
        <v>45506</v>
      </c>
      <c r="L790" s="4">
        <v>45509</v>
      </c>
      <c r="M790">
        <v>2024</v>
      </c>
      <c r="N790">
        <v>8</v>
      </c>
      <c r="O790" s="4">
        <v>45505</v>
      </c>
      <c r="P790" t="s">
        <v>625</v>
      </c>
      <c r="Q790" s="4"/>
      <c r="S790" t="s">
        <v>3195</v>
      </c>
      <c r="T790">
        <v>45551</v>
      </c>
      <c r="U790">
        <v>2588.64</v>
      </c>
      <c r="V790">
        <v>1</v>
      </c>
      <c r="W790" t="s">
        <v>16</v>
      </c>
      <c r="X790" t="s">
        <v>3665</v>
      </c>
      <c r="Z790">
        <v>46</v>
      </c>
      <c r="AA790">
        <v>43</v>
      </c>
      <c r="AB790" t="s">
        <v>10243</v>
      </c>
      <c r="AE790" t="s">
        <v>9251</v>
      </c>
      <c r="AF790" s="4"/>
    </row>
    <row r="791" spans="1:32">
      <c r="A791" t="s">
        <v>10503</v>
      </c>
      <c r="B791" t="s">
        <v>9366</v>
      </c>
      <c r="D791" t="s">
        <v>54</v>
      </c>
      <c r="E791" t="s">
        <v>10211</v>
      </c>
      <c r="F791" t="s">
        <v>4665</v>
      </c>
      <c r="G791">
        <v>1888.28</v>
      </c>
      <c r="I791">
        <v>1888.28</v>
      </c>
      <c r="J791">
        <v>1888.28</v>
      </c>
      <c r="K791" s="4">
        <v>45047</v>
      </c>
      <c r="L791" s="4">
        <v>45047</v>
      </c>
      <c r="M791">
        <v>2023</v>
      </c>
      <c r="N791">
        <v>5</v>
      </c>
      <c r="O791" s="4">
        <v>45047</v>
      </c>
      <c r="P791" t="s">
        <v>89</v>
      </c>
      <c r="Q791" s="4">
        <v>45153</v>
      </c>
      <c r="S791" t="s">
        <v>4666</v>
      </c>
      <c r="U791">
        <v>4720.7</v>
      </c>
      <c r="V791">
        <v>0.4</v>
      </c>
      <c r="W791" t="s">
        <v>16</v>
      </c>
      <c r="X791" t="s">
        <v>3711</v>
      </c>
      <c r="Z791" t="s">
        <v>89</v>
      </c>
      <c r="AA791" t="s">
        <v>89</v>
      </c>
      <c r="AC791" t="s">
        <v>89</v>
      </c>
      <c r="AD791">
        <v>0</v>
      </c>
      <c r="AE791" t="s">
        <v>9251</v>
      </c>
      <c r="AF791" s="4"/>
    </row>
    <row r="792" spans="1:32">
      <c r="A792" t="s">
        <v>10504</v>
      </c>
      <c r="B792" t="s">
        <v>9366</v>
      </c>
      <c r="C792" t="s">
        <v>4545</v>
      </c>
      <c r="D792" t="s">
        <v>54</v>
      </c>
      <c r="E792" t="s">
        <v>10106</v>
      </c>
      <c r="F792" t="s">
        <v>4544</v>
      </c>
      <c r="G792">
        <v>1553.184</v>
      </c>
      <c r="I792">
        <v>1553.184</v>
      </c>
      <c r="K792" s="4">
        <v>45506</v>
      </c>
      <c r="L792" s="4">
        <v>45509</v>
      </c>
      <c r="M792">
        <v>2024</v>
      </c>
      <c r="N792">
        <v>8</v>
      </c>
      <c r="O792" s="4">
        <v>45505</v>
      </c>
      <c r="P792" t="s">
        <v>625</v>
      </c>
      <c r="Q792" s="4"/>
      <c r="S792" t="s">
        <v>3307</v>
      </c>
      <c r="T792">
        <v>45551</v>
      </c>
      <c r="U792">
        <v>2588.64</v>
      </c>
      <c r="V792">
        <v>0.6</v>
      </c>
      <c r="W792" t="s">
        <v>16</v>
      </c>
      <c r="X792" t="s">
        <v>3665</v>
      </c>
      <c r="Z792">
        <v>46</v>
      </c>
      <c r="AA792">
        <v>43</v>
      </c>
      <c r="AB792" t="s">
        <v>10243</v>
      </c>
      <c r="AE792" t="s">
        <v>9251</v>
      </c>
      <c r="AF792" s="4"/>
    </row>
    <row r="793" spans="1:32">
      <c r="A793" t="s">
        <v>10505</v>
      </c>
      <c r="B793" t="s">
        <v>9366</v>
      </c>
      <c r="D793" t="s">
        <v>54</v>
      </c>
      <c r="E793" t="s">
        <v>10219</v>
      </c>
      <c r="F793" t="s">
        <v>4668</v>
      </c>
      <c r="G793">
        <v>1888.28</v>
      </c>
      <c r="I793">
        <v>1888.28</v>
      </c>
      <c r="J793">
        <v>1888.28</v>
      </c>
      <c r="K793" s="4">
        <v>45047</v>
      </c>
      <c r="L793" s="4">
        <v>45047</v>
      </c>
      <c r="M793">
        <v>2023</v>
      </c>
      <c r="N793">
        <v>5</v>
      </c>
      <c r="O793" s="4">
        <v>45047</v>
      </c>
      <c r="P793" t="s">
        <v>89</v>
      </c>
      <c r="Q793" s="4">
        <v>45153</v>
      </c>
      <c r="S793" t="s">
        <v>4669</v>
      </c>
      <c r="U793">
        <v>4720.7</v>
      </c>
      <c r="V793">
        <v>0.4</v>
      </c>
      <c r="W793" t="s">
        <v>16</v>
      </c>
      <c r="X793" t="s">
        <v>3711</v>
      </c>
      <c r="Z793" t="s">
        <v>89</v>
      </c>
      <c r="AA793" t="s">
        <v>89</v>
      </c>
      <c r="AC793" t="s">
        <v>89</v>
      </c>
      <c r="AD793">
        <v>0</v>
      </c>
      <c r="AE793" t="s">
        <v>9251</v>
      </c>
      <c r="AF793" s="4"/>
    </row>
    <row r="794" spans="1:32">
      <c r="A794" t="s">
        <v>10506</v>
      </c>
      <c r="B794" t="s">
        <v>9366</v>
      </c>
      <c r="C794" t="s">
        <v>3812</v>
      </c>
      <c r="D794" t="s">
        <v>54</v>
      </c>
      <c r="E794">
        <v>4590007609</v>
      </c>
      <c r="F794" t="s">
        <v>3810</v>
      </c>
      <c r="G794">
        <v>25272</v>
      </c>
      <c r="I794">
        <v>25272</v>
      </c>
      <c r="J794">
        <v>25272</v>
      </c>
      <c r="K794" s="4">
        <v>45401</v>
      </c>
      <c r="L794" s="4">
        <v>45401</v>
      </c>
      <c r="M794">
        <v>2024</v>
      </c>
      <c r="N794">
        <v>4</v>
      </c>
      <c r="O794" s="4">
        <v>45383</v>
      </c>
      <c r="P794" t="s">
        <v>89</v>
      </c>
      <c r="Q794" s="4">
        <v>45519</v>
      </c>
      <c r="S794" t="s">
        <v>3811</v>
      </c>
      <c r="T794">
        <v>45505</v>
      </c>
      <c r="U794">
        <v>25272</v>
      </c>
      <c r="V794">
        <v>1</v>
      </c>
      <c r="W794" t="s">
        <v>17</v>
      </c>
      <c r="X794" t="s">
        <v>3770</v>
      </c>
      <c r="Z794" t="s">
        <v>89</v>
      </c>
      <c r="AA794" t="s">
        <v>89</v>
      </c>
      <c r="AB794" t="s">
        <v>10507</v>
      </c>
      <c r="AC794" t="s">
        <v>1473</v>
      </c>
      <c r="AD794" t="s">
        <v>1473</v>
      </c>
      <c r="AE794" t="s">
        <v>9251</v>
      </c>
      <c r="AF794" s="4"/>
    </row>
    <row r="795" spans="1:32">
      <c r="A795" t="s">
        <v>10508</v>
      </c>
      <c r="B795" t="s">
        <v>9366</v>
      </c>
      <c r="D795" t="s">
        <v>54</v>
      </c>
      <c r="E795" t="s">
        <v>10228</v>
      </c>
      <c r="F795" t="s">
        <v>4671</v>
      </c>
      <c r="G795">
        <v>1888.28</v>
      </c>
      <c r="I795">
        <v>1888.28</v>
      </c>
      <c r="J795">
        <v>1888.28</v>
      </c>
      <c r="K795" s="4">
        <v>45047</v>
      </c>
      <c r="L795" s="4">
        <v>45047</v>
      </c>
      <c r="M795">
        <v>2023</v>
      </c>
      <c r="N795">
        <v>5</v>
      </c>
      <c r="O795" s="4">
        <v>45047</v>
      </c>
      <c r="P795" t="s">
        <v>89</v>
      </c>
      <c r="Q795" s="4">
        <v>45153</v>
      </c>
      <c r="S795" t="s">
        <v>4672</v>
      </c>
      <c r="U795">
        <v>4720.7</v>
      </c>
      <c r="V795">
        <v>0.4</v>
      </c>
      <c r="W795" t="s">
        <v>16</v>
      </c>
      <c r="X795" t="s">
        <v>3711</v>
      </c>
      <c r="Z795" t="s">
        <v>89</v>
      </c>
      <c r="AA795" t="s">
        <v>89</v>
      </c>
      <c r="AC795" t="s">
        <v>89</v>
      </c>
      <c r="AD795" t="s">
        <v>89</v>
      </c>
      <c r="AE795" t="s">
        <v>3652</v>
      </c>
      <c r="AF795" s="4"/>
    </row>
    <row r="796" spans="1:32">
      <c r="A796" t="s">
        <v>10509</v>
      </c>
      <c r="B796" t="s">
        <v>9366</v>
      </c>
      <c r="C796" t="s">
        <v>4547</v>
      </c>
      <c r="D796" t="s">
        <v>54</v>
      </c>
      <c r="E796" t="s">
        <v>10108</v>
      </c>
      <c r="F796" t="s">
        <v>4546</v>
      </c>
      <c r="G796">
        <v>1553.184</v>
      </c>
      <c r="I796">
        <v>1553.184</v>
      </c>
      <c r="K796" s="4">
        <v>45513</v>
      </c>
      <c r="L796" s="4">
        <v>45513</v>
      </c>
      <c r="M796">
        <v>2024</v>
      </c>
      <c r="N796">
        <v>8</v>
      </c>
      <c r="O796" s="4">
        <v>45505</v>
      </c>
      <c r="P796" t="s">
        <v>625</v>
      </c>
      <c r="Q796" s="4"/>
      <c r="S796" t="s">
        <v>3316</v>
      </c>
      <c r="T796">
        <v>45551</v>
      </c>
      <c r="U796">
        <v>2588.64</v>
      </c>
      <c r="V796">
        <v>0.6</v>
      </c>
      <c r="W796" t="s">
        <v>16</v>
      </c>
      <c r="X796" t="s">
        <v>3665</v>
      </c>
      <c r="Z796">
        <v>39</v>
      </c>
      <c r="AA796">
        <v>39</v>
      </c>
      <c r="AB796" t="s">
        <v>10243</v>
      </c>
      <c r="AE796" t="s">
        <v>9251</v>
      </c>
      <c r="AF796" s="4"/>
    </row>
    <row r="797" spans="1:32">
      <c r="A797" t="s">
        <v>10510</v>
      </c>
      <c r="B797" t="s">
        <v>9366</v>
      </c>
      <c r="D797" t="s">
        <v>54</v>
      </c>
      <c r="E797" t="s">
        <v>10231</v>
      </c>
      <c r="F797" t="s">
        <v>4674</v>
      </c>
      <c r="G797">
        <v>1888.28</v>
      </c>
      <c r="I797">
        <v>1888.28</v>
      </c>
      <c r="J797">
        <v>1888.28</v>
      </c>
      <c r="K797" s="4">
        <v>45047</v>
      </c>
      <c r="L797" s="4">
        <v>45047</v>
      </c>
      <c r="M797">
        <v>2023</v>
      </c>
      <c r="N797">
        <v>5</v>
      </c>
      <c r="O797" s="4">
        <v>45047</v>
      </c>
      <c r="P797" t="s">
        <v>89</v>
      </c>
      <c r="Q797" s="4">
        <v>45153</v>
      </c>
      <c r="S797" t="s">
        <v>4675</v>
      </c>
      <c r="U797">
        <v>4720.7</v>
      </c>
      <c r="V797">
        <v>0.4</v>
      </c>
      <c r="W797" t="s">
        <v>16</v>
      </c>
      <c r="X797" t="s">
        <v>3711</v>
      </c>
      <c r="Z797" t="s">
        <v>89</v>
      </c>
      <c r="AA797" t="s">
        <v>89</v>
      </c>
      <c r="AC797" t="s">
        <v>89</v>
      </c>
      <c r="AD797" t="s">
        <v>89</v>
      </c>
      <c r="AE797" t="s">
        <v>3652</v>
      </c>
      <c r="AF797" s="4"/>
    </row>
    <row r="798" spans="1:32">
      <c r="A798" t="s">
        <v>10511</v>
      </c>
      <c r="B798" t="s">
        <v>9366</v>
      </c>
      <c r="C798" t="s">
        <v>3824</v>
      </c>
      <c r="D798" t="s">
        <v>54</v>
      </c>
      <c r="E798">
        <v>4590007614</v>
      </c>
      <c r="F798" t="s">
        <v>3822</v>
      </c>
      <c r="G798">
        <v>25272</v>
      </c>
      <c r="I798">
        <v>25272</v>
      </c>
      <c r="J798">
        <v>25272</v>
      </c>
      <c r="K798" s="4">
        <v>45401</v>
      </c>
      <c r="L798" s="4">
        <v>45401</v>
      </c>
      <c r="M798">
        <v>2024</v>
      </c>
      <c r="N798">
        <v>4</v>
      </c>
      <c r="O798" s="4">
        <v>45383</v>
      </c>
      <c r="P798" t="s">
        <v>89</v>
      </c>
      <c r="Q798" s="4">
        <v>45519</v>
      </c>
      <c r="S798" t="s">
        <v>3823</v>
      </c>
      <c r="T798">
        <v>45505</v>
      </c>
      <c r="U798">
        <v>25272</v>
      </c>
      <c r="V798">
        <v>1</v>
      </c>
      <c r="W798" t="s">
        <v>17</v>
      </c>
      <c r="X798" t="s">
        <v>3770</v>
      </c>
      <c r="Z798" t="s">
        <v>89</v>
      </c>
      <c r="AA798" t="s">
        <v>89</v>
      </c>
      <c r="AB798" t="s">
        <v>10512</v>
      </c>
      <c r="AC798" t="s">
        <v>625</v>
      </c>
      <c r="AD798" t="s">
        <v>1473</v>
      </c>
      <c r="AE798" t="s">
        <v>9251</v>
      </c>
      <c r="AF798" s="4"/>
    </row>
    <row r="799" spans="1:32">
      <c r="A799" t="s">
        <v>10513</v>
      </c>
      <c r="B799" t="s">
        <v>9366</v>
      </c>
      <c r="D799" t="s">
        <v>54</v>
      </c>
      <c r="E799" t="s">
        <v>10236</v>
      </c>
      <c r="F799" t="s">
        <v>4677</v>
      </c>
      <c r="G799">
        <v>1888.28</v>
      </c>
      <c r="I799">
        <v>1888.28</v>
      </c>
      <c r="J799">
        <v>1888.28</v>
      </c>
      <c r="K799" s="4">
        <v>45108</v>
      </c>
      <c r="L799" s="4">
        <v>45108</v>
      </c>
      <c r="M799">
        <v>2023</v>
      </c>
      <c r="N799">
        <v>7</v>
      </c>
      <c r="O799" s="4">
        <v>45108</v>
      </c>
      <c r="P799" t="s">
        <v>89</v>
      </c>
      <c r="Q799" s="4">
        <v>45198</v>
      </c>
      <c r="S799" t="s">
        <v>4678</v>
      </c>
      <c r="U799">
        <v>4720.7</v>
      </c>
      <c r="V799">
        <v>0.4</v>
      </c>
      <c r="W799" t="s">
        <v>16</v>
      </c>
      <c r="X799" t="s">
        <v>3711</v>
      </c>
      <c r="Z799" t="s">
        <v>89</v>
      </c>
      <c r="AA799" t="s">
        <v>89</v>
      </c>
      <c r="AC799" t="s">
        <v>89</v>
      </c>
      <c r="AD799">
        <v>0</v>
      </c>
      <c r="AE799" t="s">
        <v>9251</v>
      </c>
      <c r="AF799" s="4"/>
    </row>
    <row r="800" spans="1:32">
      <c r="A800" t="s">
        <v>10514</v>
      </c>
      <c r="B800" t="s">
        <v>9366</v>
      </c>
      <c r="C800" t="s">
        <v>5203</v>
      </c>
      <c r="D800" t="s">
        <v>54</v>
      </c>
      <c r="E800" t="s">
        <v>10515</v>
      </c>
      <c r="F800" t="s">
        <v>5202</v>
      </c>
      <c r="G800">
        <v>25272</v>
      </c>
      <c r="I800">
        <v>25272</v>
      </c>
      <c r="J800">
        <v>25272</v>
      </c>
      <c r="K800" s="4">
        <v>45372</v>
      </c>
      <c r="L800" s="4">
        <v>45415</v>
      </c>
      <c r="M800">
        <v>2024</v>
      </c>
      <c r="N800">
        <v>3</v>
      </c>
      <c r="O800" s="4">
        <v>45352</v>
      </c>
      <c r="P800" t="s">
        <v>89</v>
      </c>
      <c r="Q800" s="4">
        <v>45519</v>
      </c>
      <c r="R800" t="s">
        <v>3773</v>
      </c>
      <c r="S800" t="s">
        <v>4375</v>
      </c>
      <c r="T800">
        <v>45505</v>
      </c>
      <c r="U800">
        <v>25272</v>
      </c>
      <c r="V800">
        <v>1</v>
      </c>
      <c r="W800" t="s">
        <v>17</v>
      </c>
      <c r="X800" t="s">
        <v>3770</v>
      </c>
      <c r="Z800" t="s">
        <v>89</v>
      </c>
      <c r="AA800" t="s">
        <v>89</v>
      </c>
      <c r="AB800" t="s">
        <v>10516</v>
      </c>
      <c r="AC800" t="s">
        <v>625</v>
      </c>
      <c r="AD800" t="s">
        <v>1473</v>
      </c>
      <c r="AE800" t="s">
        <v>9251</v>
      </c>
      <c r="AF800" s="4"/>
    </row>
    <row r="801" spans="1:32">
      <c r="A801" t="s">
        <v>10517</v>
      </c>
      <c r="B801" t="s">
        <v>9366</v>
      </c>
      <c r="D801" t="s">
        <v>54</v>
      </c>
      <c r="E801" t="s">
        <v>10239</v>
      </c>
      <c r="F801" t="s">
        <v>4680</v>
      </c>
      <c r="G801">
        <v>1888.28</v>
      </c>
      <c r="I801">
        <v>1888.28</v>
      </c>
      <c r="J801">
        <v>1888.28</v>
      </c>
      <c r="K801" s="4">
        <v>45108</v>
      </c>
      <c r="L801" s="4">
        <v>45108</v>
      </c>
      <c r="M801">
        <v>2023</v>
      </c>
      <c r="N801">
        <v>7</v>
      </c>
      <c r="O801" s="4">
        <v>45108</v>
      </c>
      <c r="P801" t="s">
        <v>89</v>
      </c>
      <c r="Q801" s="4">
        <v>45198</v>
      </c>
      <c r="S801" t="s">
        <v>4681</v>
      </c>
      <c r="U801">
        <v>4720.7</v>
      </c>
      <c r="V801">
        <v>0.4</v>
      </c>
      <c r="W801" t="s">
        <v>16</v>
      </c>
      <c r="X801" t="s">
        <v>3711</v>
      </c>
      <c r="Z801" t="s">
        <v>89</v>
      </c>
      <c r="AA801" t="s">
        <v>89</v>
      </c>
      <c r="AC801" t="s">
        <v>89</v>
      </c>
      <c r="AD801">
        <v>0</v>
      </c>
      <c r="AE801" t="s">
        <v>9251</v>
      </c>
      <c r="AF801" s="4"/>
    </row>
    <row r="802" spans="1:32">
      <c r="A802" t="s">
        <v>10518</v>
      </c>
      <c r="B802" t="s">
        <v>9366</v>
      </c>
      <c r="C802" t="s">
        <v>5205</v>
      </c>
      <c r="D802" t="s">
        <v>54</v>
      </c>
      <c r="E802" t="s">
        <v>10519</v>
      </c>
      <c r="F802" t="s">
        <v>5204</v>
      </c>
      <c r="G802">
        <v>25272</v>
      </c>
      <c r="I802">
        <v>25272</v>
      </c>
      <c r="J802">
        <v>25272</v>
      </c>
      <c r="K802" s="4">
        <v>45372</v>
      </c>
      <c r="L802" s="4">
        <v>45415</v>
      </c>
      <c r="M802">
        <v>2024</v>
      </c>
      <c r="N802">
        <v>3</v>
      </c>
      <c r="O802" s="4">
        <v>45352</v>
      </c>
      <c r="P802" t="s">
        <v>89</v>
      </c>
      <c r="Q802" s="4">
        <v>45519</v>
      </c>
      <c r="R802" t="s">
        <v>3773</v>
      </c>
      <c r="S802" t="s">
        <v>4378</v>
      </c>
      <c r="T802">
        <v>45505</v>
      </c>
      <c r="U802">
        <v>25272</v>
      </c>
      <c r="V802">
        <v>1</v>
      </c>
      <c r="W802" t="s">
        <v>17</v>
      </c>
      <c r="X802" t="s">
        <v>3770</v>
      </c>
      <c r="Z802" t="s">
        <v>89</v>
      </c>
      <c r="AA802" t="s">
        <v>89</v>
      </c>
      <c r="AB802" t="s">
        <v>10516</v>
      </c>
      <c r="AC802" t="s">
        <v>625</v>
      </c>
      <c r="AD802" t="s">
        <v>1473</v>
      </c>
      <c r="AE802" t="s">
        <v>9251</v>
      </c>
      <c r="AF802" s="4"/>
    </row>
    <row r="803" spans="1:32">
      <c r="A803" t="s">
        <v>10520</v>
      </c>
      <c r="B803" t="s">
        <v>9366</v>
      </c>
      <c r="D803" t="s">
        <v>54</v>
      </c>
      <c r="E803" t="s">
        <v>10242</v>
      </c>
      <c r="F803" t="s">
        <v>4683</v>
      </c>
      <c r="G803">
        <v>1888.28</v>
      </c>
      <c r="I803">
        <v>1888.28</v>
      </c>
      <c r="J803">
        <v>1888.28</v>
      </c>
      <c r="K803" s="4">
        <v>45108</v>
      </c>
      <c r="L803" s="4">
        <v>45108</v>
      </c>
      <c r="M803">
        <v>2023</v>
      </c>
      <c r="N803">
        <v>7</v>
      </c>
      <c r="O803" s="4">
        <v>45108</v>
      </c>
      <c r="P803" t="s">
        <v>89</v>
      </c>
      <c r="Q803" s="4">
        <v>45198</v>
      </c>
      <c r="S803" t="s">
        <v>4684</v>
      </c>
      <c r="U803">
        <v>4720.7</v>
      </c>
      <c r="V803">
        <v>0.4</v>
      </c>
      <c r="W803" t="s">
        <v>16</v>
      </c>
      <c r="X803" t="s">
        <v>3711</v>
      </c>
      <c r="Z803" t="s">
        <v>89</v>
      </c>
      <c r="AA803" t="s">
        <v>89</v>
      </c>
      <c r="AC803" t="s">
        <v>89</v>
      </c>
      <c r="AD803">
        <v>0</v>
      </c>
      <c r="AE803" t="s">
        <v>9251</v>
      </c>
      <c r="AF803" s="4"/>
    </row>
    <row r="804" spans="1:32">
      <c r="A804" t="s">
        <v>10521</v>
      </c>
      <c r="B804" t="s">
        <v>9366</v>
      </c>
      <c r="D804" t="s">
        <v>54</v>
      </c>
      <c r="E804" t="s">
        <v>10522</v>
      </c>
      <c r="F804" t="s">
        <v>4686</v>
      </c>
      <c r="G804">
        <v>547.91</v>
      </c>
      <c r="I804">
        <v>547.91</v>
      </c>
      <c r="J804">
        <v>547.91</v>
      </c>
      <c r="K804" s="4">
        <v>45108</v>
      </c>
      <c r="L804" s="4">
        <v>45108</v>
      </c>
      <c r="M804">
        <v>2023</v>
      </c>
      <c r="N804">
        <v>7</v>
      </c>
      <c r="O804" s="4">
        <v>45108</v>
      </c>
      <c r="P804" t="s">
        <v>89</v>
      </c>
      <c r="Q804" s="4">
        <v>45260</v>
      </c>
      <c r="S804" t="s">
        <v>3170</v>
      </c>
      <c r="U804">
        <v>1369.77</v>
      </c>
      <c r="V804">
        <v>0.40000146009914073</v>
      </c>
      <c r="W804" t="s">
        <v>16</v>
      </c>
      <c r="X804" t="s">
        <v>3711</v>
      </c>
      <c r="Z804" t="s">
        <v>89</v>
      </c>
      <c r="AA804" t="s">
        <v>89</v>
      </c>
      <c r="AC804" t="s">
        <v>89</v>
      </c>
      <c r="AD804">
        <v>0</v>
      </c>
      <c r="AE804" t="s">
        <v>9251</v>
      </c>
      <c r="AF804" s="4"/>
    </row>
    <row r="805" spans="1:32">
      <c r="A805" t="s">
        <v>10523</v>
      </c>
      <c r="B805" t="s">
        <v>9366</v>
      </c>
      <c r="D805" t="s">
        <v>54</v>
      </c>
      <c r="E805" t="s">
        <v>10524</v>
      </c>
      <c r="F805" t="s">
        <v>4688</v>
      </c>
      <c r="G805">
        <v>547.91</v>
      </c>
      <c r="I805">
        <v>547.91</v>
      </c>
      <c r="J805">
        <v>547.91</v>
      </c>
      <c r="K805" s="4">
        <v>45108</v>
      </c>
      <c r="L805" s="4">
        <v>45108</v>
      </c>
      <c r="M805">
        <v>2023</v>
      </c>
      <c r="N805">
        <v>7</v>
      </c>
      <c r="O805" s="4">
        <v>45108</v>
      </c>
      <c r="P805" t="s">
        <v>89</v>
      </c>
      <c r="Q805" s="4">
        <v>45260</v>
      </c>
      <c r="S805" t="s">
        <v>3256</v>
      </c>
      <c r="U805">
        <v>1369.77</v>
      </c>
      <c r="V805">
        <v>0.40000146009914073</v>
      </c>
      <c r="W805" t="s">
        <v>16</v>
      </c>
      <c r="X805" t="s">
        <v>3711</v>
      </c>
      <c r="Z805" t="s">
        <v>89</v>
      </c>
      <c r="AA805" t="s">
        <v>89</v>
      </c>
      <c r="AC805" t="s">
        <v>89</v>
      </c>
      <c r="AD805">
        <v>0</v>
      </c>
      <c r="AE805" t="s">
        <v>9251</v>
      </c>
      <c r="AF805" s="4"/>
    </row>
    <row r="806" spans="1:32">
      <c r="A806" t="s">
        <v>10525</v>
      </c>
      <c r="B806" t="s">
        <v>9366</v>
      </c>
      <c r="D806" t="s">
        <v>54</v>
      </c>
      <c r="E806" t="s">
        <v>10526</v>
      </c>
      <c r="F806" t="s">
        <v>4690</v>
      </c>
      <c r="G806">
        <v>547.91</v>
      </c>
      <c r="I806">
        <v>547.91</v>
      </c>
      <c r="J806">
        <v>547.91</v>
      </c>
      <c r="K806" s="4">
        <v>45108</v>
      </c>
      <c r="L806" s="4">
        <v>45108</v>
      </c>
      <c r="M806">
        <v>2023</v>
      </c>
      <c r="N806">
        <v>7</v>
      </c>
      <c r="O806" s="4">
        <v>45108</v>
      </c>
      <c r="P806" t="s">
        <v>89</v>
      </c>
      <c r="Q806" s="4">
        <v>45260</v>
      </c>
      <c r="S806" t="s">
        <v>3175</v>
      </c>
      <c r="U806">
        <v>1369.77</v>
      </c>
      <c r="V806">
        <v>0.40000146009914073</v>
      </c>
      <c r="W806" t="s">
        <v>16</v>
      </c>
      <c r="X806" t="s">
        <v>3711</v>
      </c>
      <c r="Z806" t="s">
        <v>89</v>
      </c>
      <c r="AA806" t="s">
        <v>89</v>
      </c>
      <c r="AC806" t="s">
        <v>89</v>
      </c>
      <c r="AD806">
        <v>0</v>
      </c>
      <c r="AE806" t="s">
        <v>9251</v>
      </c>
      <c r="AF806" s="4"/>
    </row>
    <row r="807" spans="1:32">
      <c r="A807" t="s">
        <v>10527</v>
      </c>
      <c r="B807" t="s">
        <v>9366</v>
      </c>
      <c r="D807" t="s">
        <v>54</v>
      </c>
      <c r="E807" t="s">
        <v>10528</v>
      </c>
      <c r="F807" t="s">
        <v>4692</v>
      </c>
      <c r="G807">
        <v>547.91</v>
      </c>
      <c r="I807">
        <v>547.91</v>
      </c>
      <c r="J807">
        <v>547.91</v>
      </c>
      <c r="K807" s="4">
        <v>45108</v>
      </c>
      <c r="L807" s="4">
        <v>45108</v>
      </c>
      <c r="M807">
        <v>2023</v>
      </c>
      <c r="N807">
        <v>7</v>
      </c>
      <c r="O807" s="4">
        <v>45108</v>
      </c>
      <c r="P807" t="s">
        <v>89</v>
      </c>
      <c r="Q807" s="4">
        <v>45260</v>
      </c>
      <c r="S807" t="s">
        <v>3173</v>
      </c>
      <c r="U807">
        <v>1369.77</v>
      </c>
      <c r="V807">
        <v>0.40000146009914073</v>
      </c>
      <c r="W807" t="s">
        <v>16</v>
      </c>
      <c r="X807" t="s">
        <v>3711</v>
      </c>
      <c r="Z807" t="s">
        <v>89</v>
      </c>
      <c r="AA807" t="s">
        <v>89</v>
      </c>
      <c r="AC807" t="s">
        <v>89</v>
      </c>
      <c r="AD807">
        <v>0</v>
      </c>
      <c r="AE807" t="s">
        <v>9251</v>
      </c>
      <c r="AF807" s="4"/>
    </row>
    <row r="808" spans="1:32">
      <c r="A808" t="s">
        <v>10529</v>
      </c>
      <c r="B808" t="s">
        <v>9366</v>
      </c>
      <c r="D808" t="s">
        <v>54</v>
      </c>
      <c r="E808" t="s">
        <v>10530</v>
      </c>
      <c r="F808" t="s">
        <v>4694</v>
      </c>
      <c r="G808">
        <v>365.27</v>
      </c>
      <c r="I808">
        <v>365.27</v>
      </c>
      <c r="J808">
        <v>365.27</v>
      </c>
      <c r="K808" s="4">
        <v>45108</v>
      </c>
      <c r="L808" s="4">
        <v>45108</v>
      </c>
      <c r="M808">
        <v>2023</v>
      </c>
      <c r="N808">
        <v>7</v>
      </c>
      <c r="O808" s="4">
        <v>45108</v>
      </c>
      <c r="P808" t="s">
        <v>89</v>
      </c>
      <c r="Q808" s="4">
        <v>45260</v>
      </c>
      <c r="S808" t="s">
        <v>3242</v>
      </c>
      <c r="U808">
        <v>913.18</v>
      </c>
      <c r="V808">
        <v>0.39999780985128891</v>
      </c>
      <c r="W808" t="s">
        <v>16</v>
      </c>
      <c r="X808" t="s">
        <v>3711</v>
      </c>
      <c r="Z808" t="s">
        <v>89</v>
      </c>
      <c r="AA808" t="s">
        <v>89</v>
      </c>
      <c r="AC808" t="s">
        <v>89</v>
      </c>
      <c r="AD808">
        <v>0</v>
      </c>
      <c r="AE808" t="s">
        <v>9251</v>
      </c>
      <c r="AF808" s="4"/>
    </row>
    <row r="809" spans="1:32">
      <c r="A809" t="s">
        <v>10531</v>
      </c>
      <c r="B809" t="s">
        <v>9366</v>
      </c>
      <c r="D809" t="s">
        <v>54</v>
      </c>
      <c r="E809" t="s">
        <v>10532</v>
      </c>
      <c r="F809" t="s">
        <v>4696</v>
      </c>
      <c r="G809">
        <v>365.27</v>
      </c>
      <c r="I809">
        <v>365.27</v>
      </c>
      <c r="J809">
        <v>365.27</v>
      </c>
      <c r="K809" s="4">
        <v>45108</v>
      </c>
      <c r="L809" s="4">
        <v>45108</v>
      </c>
      <c r="M809">
        <v>2023</v>
      </c>
      <c r="N809">
        <v>7</v>
      </c>
      <c r="O809" s="4">
        <v>45108</v>
      </c>
      <c r="P809" t="s">
        <v>89</v>
      </c>
      <c r="Q809" s="4">
        <v>45260</v>
      </c>
      <c r="S809" t="s">
        <v>3244</v>
      </c>
      <c r="U809">
        <v>913.18</v>
      </c>
      <c r="V809">
        <v>0.39999780985128891</v>
      </c>
      <c r="W809" t="s">
        <v>16</v>
      </c>
      <c r="X809" t="s">
        <v>3711</v>
      </c>
      <c r="Z809" t="s">
        <v>89</v>
      </c>
      <c r="AA809" t="s">
        <v>89</v>
      </c>
      <c r="AC809" t="s">
        <v>89</v>
      </c>
      <c r="AD809" t="s">
        <v>89</v>
      </c>
      <c r="AE809" t="s">
        <v>3652</v>
      </c>
      <c r="AF809" s="4"/>
    </row>
    <row r="810" spans="1:32">
      <c r="A810" t="s">
        <v>10533</v>
      </c>
      <c r="B810" t="s">
        <v>9366</v>
      </c>
      <c r="D810" t="s">
        <v>54</v>
      </c>
      <c r="E810" t="s">
        <v>10534</v>
      </c>
      <c r="F810" t="s">
        <v>4698</v>
      </c>
      <c r="G810">
        <v>365.27</v>
      </c>
      <c r="I810">
        <v>365.27</v>
      </c>
      <c r="J810">
        <v>365.27</v>
      </c>
      <c r="K810" s="4">
        <v>45108</v>
      </c>
      <c r="L810" s="4">
        <v>45108</v>
      </c>
      <c r="M810">
        <v>2023</v>
      </c>
      <c r="N810">
        <v>7</v>
      </c>
      <c r="O810" s="4">
        <v>45108</v>
      </c>
      <c r="P810" t="s">
        <v>89</v>
      </c>
      <c r="Q810" s="4">
        <v>45260</v>
      </c>
      <c r="S810" t="s">
        <v>3246</v>
      </c>
      <c r="U810">
        <v>913.18</v>
      </c>
      <c r="V810">
        <v>0.39999780985128891</v>
      </c>
      <c r="W810" t="s">
        <v>16</v>
      </c>
      <c r="X810" t="s">
        <v>3711</v>
      </c>
      <c r="Z810" t="s">
        <v>89</v>
      </c>
      <c r="AA810" t="s">
        <v>89</v>
      </c>
      <c r="AC810" t="s">
        <v>89</v>
      </c>
      <c r="AD810" t="s">
        <v>89</v>
      </c>
      <c r="AE810" t="s">
        <v>3652</v>
      </c>
      <c r="AF810" s="4"/>
    </row>
    <row r="811" spans="1:32">
      <c r="A811" t="s">
        <v>10535</v>
      </c>
      <c r="B811" t="s">
        <v>9366</v>
      </c>
      <c r="D811" t="s">
        <v>54</v>
      </c>
      <c r="E811" t="s">
        <v>10536</v>
      </c>
      <c r="F811" t="s">
        <v>4700</v>
      </c>
      <c r="G811">
        <v>365.27</v>
      </c>
      <c r="I811">
        <v>365.27</v>
      </c>
      <c r="J811">
        <v>365.27</v>
      </c>
      <c r="K811" s="4">
        <v>45108</v>
      </c>
      <c r="L811" s="4">
        <v>45108</v>
      </c>
      <c r="M811">
        <v>2023</v>
      </c>
      <c r="N811">
        <v>7</v>
      </c>
      <c r="O811" s="4">
        <v>45108</v>
      </c>
      <c r="P811" t="s">
        <v>89</v>
      </c>
      <c r="Q811" s="4">
        <v>45260</v>
      </c>
      <c r="S811" t="s">
        <v>3445</v>
      </c>
      <c r="U811">
        <v>913.18</v>
      </c>
      <c r="V811">
        <v>0.39999780985128891</v>
      </c>
      <c r="W811" t="s">
        <v>16</v>
      </c>
      <c r="X811" t="s">
        <v>3711</v>
      </c>
      <c r="Z811" t="s">
        <v>89</v>
      </c>
      <c r="AA811" t="s">
        <v>89</v>
      </c>
      <c r="AC811" t="s">
        <v>89</v>
      </c>
      <c r="AD811">
        <v>0</v>
      </c>
      <c r="AE811" t="s">
        <v>9251</v>
      </c>
      <c r="AF811" s="4"/>
    </row>
    <row r="812" spans="1:32">
      <c r="A812" t="s">
        <v>10537</v>
      </c>
      <c r="B812" t="s">
        <v>9366</v>
      </c>
      <c r="C812" t="s">
        <v>5207</v>
      </c>
      <c r="D812" t="s">
        <v>54</v>
      </c>
      <c r="E812" t="s">
        <v>10538</v>
      </c>
      <c r="F812" t="s">
        <v>5206</v>
      </c>
      <c r="G812">
        <v>25272</v>
      </c>
      <c r="I812">
        <v>25272</v>
      </c>
      <c r="J812">
        <v>25272</v>
      </c>
      <c r="K812" s="4">
        <v>45401</v>
      </c>
      <c r="L812" s="4">
        <v>45401</v>
      </c>
      <c r="M812">
        <v>2024</v>
      </c>
      <c r="N812">
        <v>4</v>
      </c>
      <c r="O812" s="4">
        <v>45383</v>
      </c>
      <c r="P812" t="s">
        <v>89</v>
      </c>
      <c r="Q812" s="4">
        <v>45519</v>
      </c>
      <c r="S812" t="s">
        <v>4381</v>
      </c>
      <c r="T812">
        <v>45505</v>
      </c>
      <c r="U812">
        <v>25272</v>
      </c>
      <c r="V812">
        <v>1</v>
      </c>
      <c r="W812" t="s">
        <v>17</v>
      </c>
      <c r="X812" t="s">
        <v>3770</v>
      </c>
      <c r="Z812" t="s">
        <v>89</v>
      </c>
      <c r="AA812" t="s">
        <v>89</v>
      </c>
      <c r="AB812" t="s">
        <v>10516</v>
      </c>
      <c r="AC812" t="s">
        <v>625</v>
      </c>
      <c r="AD812" t="s">
        <v>1473</v>
      </c>
      <c r="AE812" t="s">
        <v>9251</v>
      </c>
      <c r="AF812" s="4"/>
    </row>
    <row r="813" spans="1:32">
      <c r="A813" t="s">
        <v>10539</v>
      </c>
      <c r="B813" t="s">
        <v>9366</v>
      </c>
      <c r="D813" t="s">
        <v>54</v>
      </c>
      <c r="E813" t="s">
        <v>10540</v>
      </c>
      <c r="F813" t="s">
        <v>4702</v>
      </c>
      <c r="G813">
        <v>38364.89</v>
      </c>
      <c r="I813">
        <v>38364.89</v>
      </c>
      <c r="J813">
        <v>38364.89</v>
      </c>
      <c r="K813" s="4">
        <v>45047</v>
      </c>
      <c r="L813" s="4">
        <v>45047</v>
      </c>
      <c r="M813">
        <v>2023</v>
      </c>
      <c r="N813">
        <v>5</v>
      </c>
      <c r="O813" s="4">
        <v>45047</v>
      </c>
      <c r="P813" t="s">
        <v>89</v>
      </c>
      <c r="Q813" s="4">
        <v>45135</v>
      </c>
      <c r="S813" t="s">
        <v>3268</v>
      </c>
      <c r="U813">
        <v>95912.23</v>
      </c>
      <c r="V813">
        <v>0.39999997914760194</v>
      </c>
      <c r="W813" t="s">
        <v>16</v>
      </c>
      <c r="X813" t="s">
        <v>3711</v>
      </c>
      <c r="Z813" t="s">
        <v>89</v>
      </c>
      <c r="AA813" t="s">
        <v>89</v>
      </c>
      <c r="AC813" t="s">
        <v>89</v>
      </c>
      <c r="AD813">
        <v>0</v>
      </c>
      <c r="AE813" t="s">
        <v>9251</v>
      </c>
      <c r="AF813" s="4"/>
    </row>
    <row r="814" spans="1:32">
      <c r="A814" t="s">
        <v>10541</v>
      </c>
      <c r="B814" t="s">
        <v>9366</v>
      </c>
      <c r="C814" t="s">
        <v>5216</v>
      </c>
      <c r="D814" t="s">
        <v>54</v>
      </c>
      <c r="E814" t="s">
        <v>10542</v>
      </c>
      <c r="F814" t="s">
        <v>5215</v>
      </c>
      <c r="G814">
        <v>25272</v>
      </c>
      <c r="I814">
        <v>25272</v>
      </c>
      <c r="J814">
        <v>25272</v>
      </c>
      <c r="K814" s="4">
        <v>45372</v>
      </c>
      <c r="L814" s="4">
        <v>45415</v>
      </c>
      <c r="M814">
        <v>2024</v>
      </c>
      <c r="N814">
        <v>3</v>
      </c>
      <c r="O814" s="4">
        <v>45352</v>
      </c>
      <c r="P814" t="s">
        <v>89</v>
      </c>
      <c r="Q814" s="4">
        <v>45519</v>
      </c>
      <c r="R814" t="s">
        <v>3773</v>
      </c>
      <c r="S814" t="s">
        <v>4391</v>
      </c>
      <c r="T814">
        <v>45505</v>
      </c>
      <c r="U814">
        <v>25272</v>
      </c>
      <c r="V814">
        <v>1</v>
      </c>
      <c r="W814" t="s">
        <v>17</v>
      </c>
      <c r="X814" t="s">
        <v>3770</v>
      </c>
      <c r="Z814" t="s">
        <v>89</v>
      </c>
      <c r="AA814" t="s">
        <v>89</v>
      </c>
      <c r="AB814" t="s">
        <v>10516</v>
      </c>
      <c r="AC814" t="s">
        <v>625</v>
      </c>
      <c r="AD814" t="s">
        <v>1473</v>
      </c>
      <c r="AE814" t="s">
        <v>9251</v>
      </c>
      <c r="AF814" s="4"/>
    </row>
    <row r="815" spans="1:32">
      <c r="A815" t="s">
        <v>10543</v>
      </c>
      <c r="B815" t="s">
        <v>9366</v>
      </c>
      <c r="D815" t="s">
        <v>54</v>
      </c>
      <c r="E815" t="s">
        <v>10544</v>
      </c>
      <c r="F815" t="s">
        <v>4706</v>
      </c>
      <c r="G815">
        <v>547.91</v>
      </c>
      <c r="I815">
        <v>547.91</v>
      </c>
      <c r="J815">
        <v>547.91</v>
      </c>
      <c r="K815" s="4">
        <v>45108</v>
      </c>
      <c r="L815" s="4">
        <v>45108</v>
      </c>
      <c r="M815">
        <v>2023</v>
      </c>
      <c r="N815">
        <v>7</v>
      </c>
      <c r="O815" s="4">
        <v>45108</v>
      </c>
      <c r="P815" t="s">
        <v>89</v>
      </c>
      <c r="Q815" s="4">
        <v>45260</v>
      </c>
      <c r="S815" t="s">
        <v>3182</v>
      </c>
      <c r="U815">
        <v>1369.77</v>
      </c>
      <c r="V815">
        <v>0.40000146009914073</v>
      </c>
      <c r="W815" t="s">
        <v>16</v>
      </c>
      <c r="X815" t="s">
        <v>3711</v>
      </c>
      <c r="Z815" t="s">
        <v>89</v>
      </c>
      <c r="AA815" t="s">
        <v>89</v>
      </c>
      <c r="AC815" t="s">
        <v>89</v>
      </c>
      <c r="AD815">
        <v>0</v>
      </c>
      <c r="AE815" t="s">
        <v>9251</v>
      </c>
      <c r="AF815" s="4"/>
    </row>
    <row r="816" spans="1:32">
      <c r="A816" t="s">
        <v>10545</v>
      </c>
      <c r="B816" t="s">
        <v>9366</v>
      </c>
      <c r="D816" t="s">
        <v>54</v>
      </c>
      <c r="E816" t="s">
        <v>10546</v>
      </c>
      <c r="F816" t="s">
        <v>4715</v>
      </c>
      <c r="G816">
        <v>365.27</v>
      </c>
      <c r="I816">
        <v>365.27</v>
      </c>
      <c r="J816">
        <v>365.27</v>
      </c>
      <c r="K816" s="4">
        <v>45108</v>
      </c>
      <c r="L816" s="4">
        <v>45108</v>
      </c>
      <c r="M816">
        <v>2023</v>
      </c>
      <c r="N816">
        <v>7</v>
      </c>
      <c r="O816" s="4">
        <v>45108</v>
      </c>
      <c r="P816" t="s">
        <v>89</v>
      </c>
      <c r="Q816" s="4">
        <v>45198</v>
      </c>
      <c r="S816" t="s">
        <v>2719</v>
      </c>
      <c r="U816">
        <v>913.18</v>
      </c>
      <c r="V816">
        <v>0.39999780985128891</v>
      </c>
      <c r="W816" t="s">
        <v>16</v>
      </c>
      <c r="X816" t="s">
        <v>3711</v>
      </c>
      <c r="Z816" t="s">
        <v>89</v>
      </c>
      <c r="AA816" t="s">
        <v>89</v>
      </c>
      <c r="AC816" t="s">
        <v>89</v>
      </c>
      <c r="AD816">
        <v>0</v>
      </c>
      <c r="AE816" t="s">
        <v>9251</v>
      </c>
      <c r="AF816" s="4"/>
    </row>
    <row r="817" spans="1:32">
      <c r="A817" t="s">
        <v>10547</v>
      </c>
      <c r="B817" t="s">
        <v>9366</v>
      </c>
      <c r="D817" t="s">
        <v>54</v>
      </c>
      <c r="E817" t="s">
        <v>10548</v>
      </c>
      <c r="F817" t="s">
        <v>4717</v>
      </c>
      <c r="G817">
        <v>365.27</v>
      </c>
      <c r="I817">
        <v>365.27</v>
      </c>
      <c r="J817">
        <v>365.27</v>
      </c>
      <c r="K817" s="4">
        <v>45108</v>
      </c>
      <c r="L817" s="4">
        <v>45108</v>
      </c>
      <c r="M817">
        <v>2023</v>
      </c>
      <c r="N817">
        <v>7</v>
      </c>
      <c r="O817" s="4">
        <v>45108</v>
      </c>
      <c r="P817" t="s">
        <v>89</v>
      </c>
      <c r="Q817" s="4">
        <v>45198</v>
      </c>
      <c r="S817" t="s">
        <v>2721</v>
      </c>
      <c r="U817">
        <v>913.18</v>
      </c>
      <c r="V817">
        <v>0.39999780985128891</v>
      </c>
      <c r="W817" t="s">
        <v>16</v>
      </c>
      <c r="X817" t="s">
        <v>3711</v>
      </c>
      <c r="Z817" t="s">
        <v>89</v>
      </c>
      <c r="AA817" t="s">
        <v>89</v>
      </c>
      <c r="AC817" t="s">
        <v>89</v>
      </c>
      <c r="AD817">
        <v>0</v>
      </c>
      <c r="AE817" t="s">
        <v>9251</v>
      </c>
      <c r="AF817" s="4"/>
    </row>
    <row r="818" spans="1:32">
      <c r="A818" t="s">
        <v>10549</v>
      </c>
      <c r="B818" t="s">
        <v>9366</v>
      </c>
      <c r="D818" t="s">
        <v>54</v>
      </c>
      <c r="E818" t="s">
        <v>10550</v>
      </c>
      <c r="F818" t="s">
        <v>4718</v>
      </c>
      <c r="G818">
        <v>365.27</v>
      </c>
      <c r="I818">
        <v>365.27</v>
      </c>
      <c r="J818">
        <v>365.27</v>
      </c>
      <c r="K818" s="4">
        <v>45108</v>
      </c>
      <c r="L818" s="4">
        <v>45108</v>
      </c>
      <c r="M818">
        <v>2023</v>
      </c>
      <c r="N818">
        <v>7</v>
      </c>
      <c r="O818" s="4">
        <v>45108</v>
      </c>
      <c r="P818" t="s">
        <v>89</v>
      </c>
      <c r="Q818" s="4">
        <v>45198</v>
      </c>
      <c r="S818" t="s">
        <v>4719</v>
      </c>
      <c r="U818">
        <v>913.18</v>
      </c>
      <c r="V818">
        <v>0.39999780985128891</v>
      </c>
      <c r="W818" t="s">
        <v>16</v>
      </c>
      <c r="X818" t="s">
        <v>3711</v>
      </c>
      <c r="Z818" t="s">
        <v>89</v>
      </c>
      <c r="AA818" t="s">
        <v>89</v>
      </c>
      <c r="AC818" t="s">
        <v>89</v>
      </c>
      <c r="AD818" t="s">
        <v>89</v>
      </c>
      <c r="AE818" t="s">
        <v>3652</v>
      </c>
      <c r="AF818" s="4"/>
    </row>
    <row r="819" spans="1:32">
      <c r="A819" t="s">
        <v>10551</v>
      </c>
      <c r="B819" t="s">
        <v>9366</v>
      </c>
      <c r="C819" t="s">
        <v>4722</v>
      </c>
      <c r="D819" t="s">
        <v>54</v>
      </c>
      <c r="E819" t="s">
        <v>10552</v>
      </c>
      <c r="F819" t="s">
        <v>4720</v>
      </c>
      <c r="G819">
        <v>912.75</v>
      </c>
      <c r="I819">
        <v>912.75</v>
      </c>
      <c r="J819">
        <v>912.75</v>
      </c>
      <c r="K819" s="4">
        <v>45422</v>
      </c>
      <c r="L819" s="4">
        <v>45422</v>
      </c>
      <c r="M819">
        <v>2024</v>
      </c>
      <c r="N819">
        <v>5</v>
      </c>
      <c r="O819" s="4">
        <v>45413</v>
      </c>
      <c r="P819" t="s">
        <v>89</v>
      </c>
      <c r="Q819" s="4">
        <v>45519</v>
      </c>
      <c r="S819" t="s">
        <v>3874</v>
      </c>
      <c r="T819">
        <v>45505</v>
      </c>
      <c r="U819">
        <v>1521.25</v>
      </c>
      <c r="V819">
        <v>0.6</v>
      </c>
      <c r="W819" t="s">
        <v>16</v>
      </c>
      <c r="X819" t="s">
        <v>2250</v>
      </c>
      <c r="Z819" t="s">
        <v>89</v>
      </c>
      <c r="AA819" t="s">
        <v>89</v>
      </c>
      <c r="AB819" t="s">
        <v>10553</v>
      </c>
      <c r="AC819" t="s">
        <v>625</v>
      </c>
      <c r="AD819" t="s">
        <v>1848</v>
      </c>
      <c r="AE819" t="s">
        <v>9251</v>
      </c>
      <c r="AF819" s="4"/>
    </row>
    <row r="820" spans="1:32">
      <c r="A820" t="s">
        <v>10554</v>
      </c>
      <c r="B820" t="s">
        <v>9366</v>
      </c>
      <c r="D820" t="s">
        <v>54</v>
      </c>
      <c r="E820" t="s">
        <v>10552</v>
      </c>
      <c r="F820" t="s">
        <v>4720</v>
      </c>
      <c r="G820">
        <v>608.5</v>
      </c>
      <c r="I820">
        <v>608.5</v>
      </c>
      <c r="J820">
        <v>608.5</v>
      </c>
      <c r="K820" s="4">
        <v>45047</v>
      </c>
      <c r="L820" s="4">
        <v>45047</v>
      </c>
      <c r="M820">
        <v>2023</v>
      </c>
      <c r="N820">
        <v>5</v>
      </c>
      <c r="O820" s="4">
        <v>45047</v>
      </c>
      <c r="P820" t="s">
        <v>89</v>
      </c>
      <c r="Q820" s="4">
        <v>45153</v>
      </c>
      <c r="S820" t="s">
        <v>3874</v>
      </c>
      <c r="U820">
        <v>1521.25</v>
      </c>
      <c r="V820">
        <v>0.4</v>
      </c>
      <c r="W820" t="s">
        <v>16</v>
      </c>
      <c r="X820" t="s">
        <v>2250</v>
      </c>
      <c r="Z820" t="s">
        <v>89</v>
      </c>
      <c r="AA820" t="s">
        <v>89</v>
      </c>
      <c r="AC820" t="s">
        <v>89</v>
      </c>
      <c r="AD820" t="s">
        <v>89</v>
      </c>
      <c r="AE820" t="s">
        <v>3652</v>
      </c>
      <c r="AF820" s="4"/>
    </row>
    <row r="821" spans="1:32">
      <c r="A821" t="s">
        <v>10555</v>
      </c>
      <c r="B821" t="s">
        <v>9366</v>
      </c>
      <c r="C821" t="s">
        <v>4724</v>
      </c>
      <c r="D821" t="s">
        <v>54</v>
      </c>
      <c r="E821" t="s">
        <v>10556</v>
      </c>
      <c r="F821" t="s">
        <v>4723</v>
      </c>
      <c r="G821">
        <v>912.75</v>
      </c>
      <c r="I821">
        <v>912.75</v>
      </c>
      <c r="J821">
        <v>912.75</v>
      </c>
      <c r="K821" s="4">
        <v>45412</v>
      </c>
      <c r="L821" s="4">
        <v>45412</v>
      </c>
      <c r="M821">
        <v>2024</v>
      </c>
      <c r="N821">
        <v>4</v>
      </c>
      <c r="O821" s="4">
        <v>45383</v>
      </c>
      <c r="P821" t="s">
        <v>89</v>
      </c>
      <c r="Q821" s="4">
        <v>45519</v>
      </c>
      <c r="S821" t="s">
        <v>3878</v>
      </c>
      <c r="T821">
        <v>45505</v>
      </c>
      <c r="U821">
        <v>1521.25</v>
      </c>
      <c r="V821">
        <v>0.6</v>
      </c>
      <c r="W821" t="s">
        <v>16</v>
      </c>
      <c r="X821" t="s">
        <v>2250</v>
      </c>
      <c r="Z821" t="s">
        <v>89</v>
      </c>
      <c r="AA821" t="s">
        <v>89</v>
      </c>
      <c r="AB821" t="s">
        <v>10553</v>
      </c>
      <c r="AC821" t="s">
        <v>625</v>
      </c>
      <c r="AD821" t="s">
        <v>1848</v>
      </c>
      <c r="AE821" t="s">
        <v>9251</v>
      </c>
      <c r="AF821" s="4"/>
    </row>
    <row r="822" spans="1:32">
      <c r="A822" t="s">
        <v>10557</v>
      </c>
      <c r="B822" t="s">
        <v>9366</v>
      </c>
      <c r="D822" t="s">
        <v>54</v>
      </c>
      <c r="E822" t="s">
        <v>10556</v>
      </c>
      <c r="F822" t="s">
        <v>4723</v>
      </c>
      <c r="G822">
        <v>608.5</v>
      </c>
      <c r="I822">
        <v>608.5</v>
      </c>
      <c r="J822">
        <v>608.5</v>
      </c>
      <c r="K822" s="4">
        <v>45047</v>
      </c>
      <c r="L822" s="4">
        <v>45047</v>
      </c>
      <c r="M822">
        <v>2023</v>
      </c>
      <c r="N822">
        <v>5</v>
      </c>
      <c r="O822" s="4">
        <v>45047</v>
      </c>
      <c r="P822" t="s">
        <v>89</v>
      </c>
      <c r="Q822" s="4">
        <v>45153</v>
      </c>
      <c r="S822" t="s">
        <v>3878</v>
      </c>
      <c r="U822">
        <v>1521.25</v>
      </c>
      <c r="V822">
        <v>0.4</v>
      </c>
      <c r="W822" t="s">
        <v>16</v>
      </c>
      <c r="X822" t="s">
        <v>2250</v>
      </c>
      <c r="Z822" t="s">
        <v>89</v>
      </c>
      <c r="AA822" t="s">
        <v>89</v>
      </c>
      <c r="AC822" t="s">
        <v>89</v>
      </c>
      <c r="AD822">
        <v>0</v>
      </c>
      <c r="AE822" t="s">
        <v>9251</v>
      </c>
      <c r="AF822" s="4"/>
    </row>
    <row r="823" spans="1:32">
      <c r="A823" t="s">
        <v>10558</v>
      </c>
      <c r="B823" t="s">
        <v>9366</v>
      </c>
      <c r="D823" t="s">
        <v>54</v>
      </c>
      <c r="E823" t="s">
        <v>10559</v>
      </c>
      <c r="F823" t="s">
        <v>4725</v>
      </c>
      <c r="G823">
        <v>608.5</v>
      </c>
      <c r="I823">
        <v>608.5</v>
      </c>
      <c r="J823">
        <v>608.5</v>
      </c>
      <c r="K823" s="4">
        <v>45047</v>
      </c>
      <c r="L823" s="4">
        <v>45047</v>
      </c>
      <c r="M823">
        <v>2023</v>
      </c>
      <c r="N823">
        <v>5</v>
      </c>
      <c r="O823" s="4">
        <v>45047</v>
      </c>
      <c r="P823" t="s">
        <v>89</v>
      </c>
      <c r="Q823" s="4">
        <v>45153</v>
      </c>
      <c r="S823" t="s">
        <v>3881</v>
      </c>
      <c r="U823">
        <v>1521.25</v>
      </c>
      <c r="V823">
        <v>0.4</v>
      </c>
      <c r="W823" t="s">
        <v>16</v>
      </c>
      <c r="X823" t="s">
        <v>2250</v>
      </c>
      <c r="Z823" t="s">
        <v>89</v>
      </c>
      <c r="AA823" t="s">
        <v>89</v>
      </c>
      <c r="AC823" t="s">
        <v>89</v>
      </c>
      <c r="AD823">
        <v>0</v>
      </c>
      <c r="AE823" t="s">
        <v>9251</v>
      </c>
      <c r="AF823" s="4"/>
    </row>
    <row r="824" spans="1:32">
      <c r="A824" t="s">
        <v>10560</v>
      </c>
      <c r="B824" t="s">
        <v>9366</v>
      </c>
      <c r="C824" t="s">
        <v>4728</v>
      </c>
      <c r="D824" t="s">
        <v>54</v>
      </c>
      <c r="E824" t="s">
        <v>10561</v>
      </c>
      <c r="F824" t="s">
        <v>4727</v>
      </c>
      <c r="G824">
        <v>912.75</v>
      </c>
      <c r="I824">
        <v>912.75</v>
      </c>
      <c r="J824">
        <v>912.75</v>
      </c>
      <c r="K824" s="4">
        <v>45351</v>
      </c>
      <c r="L824" s="4">
        <v>45351</v>
      </c>
      <c r="M824">
        <v>2024</v>
      </c>
      <c r="N824">
        <v>2</v>
      </c>
      <c r="O824" s="4">
        <v>45323</v>
      </c>
      <c r="P824" t="s">
        <v>89</v>
      </c>
      <c r="Q824" s="4">
        <v>45458</v>
      </c>
      <c r="S824" t="s">
        <v>3888</v>
      </c>
      <c r="T824">
        <v>45446</v>
      </c>
      <c r="U824">
        <v>1521.25</v>
      </c>
      <c r="V824">
        <v>0.6</v>
      </c>
      <c r="W824" t="s">
        <v>16</v>
      </c>
      <c r="X824" t="s">
        <v>2250</v>
      </c>
      <c r="Z824" t="s">
        <v>89</v>
      </c>
      <c r="AA824" t="s">
        <v>89</v>
      </c>
      <c r="AC824" t="s">
        <v>89</v>
      </c>
      <c r="AD824" t="s">
        <v>89</v>
      </c>
      <c r="AE824" t="s">
        <v>3652</v>
      </c>
      <c r="AF824" s="4"/>
    </row>
    <row r="825" spans="1:32">
      <c r="A825" t="s">
        <v>10562</v>
      </c>
      <c r="B825" t="s">
        <v>9366</v>
      </c>
      <c r="D825" t="s">
        <v>54</v>
      </c>
      <c r="E825" t="s">
        <v>10561</v>
      </c>
      <c r="F825" t="s">
        <v>4727</v>
      </c>
      <c r="G825">
        <v>608.5</v>
      </c>
      <c r="I825">
        <v>608.5</v>
      </c>
      <c r="J825">
        <v>608.5</v>
      </c>
      <c r="K825" s="4">
        <v>45047</v>
      </c>
      <c r="L825" s="4">
        <v>45047</v>
      </c>
      <c r="M825">
        <v>2023</v>
      </c>
      <c r="N825">
        <v>5</v>
      </c>
      <c r="O825" s="4">
        <v>45047</v>
      </c>
      <c r="P825" t="s">
        <v>89</v>
      </c>
      <c r="Q825" s="4">
        <v>45153</v>
      </c>
      <c r="S825" t="s">
        <v>3888</v>
      </c>
      <c r="U825">
        <v>1521.25</v>
      </c>
      <c r="V825">
        <v>0.4</v>
      </c>
      <c r="W825" t="s">
        <v>16</v>
      </c>
      <c r="X825" t="s">
        <v>2250</v>
      </c>
      <c r="Z825" t="s">
        <v>89</v>
      </c>
      <c r="AA825" t="s">
        <v>89</v>
      </c>
      <c r="AC825" t="s">
        <v>89</v>
      </c>
      <c r="AD825" t="s">
        <v>89</v>
      </c>
      <c r="AE825" t="s">
        <v>3652</v>
      </c>
      <c r="AF825" s="4"/>
    </row>
    <row r="826" spans="1:32">
      <c r="A826" t="s">
        <v>10563</v>
      </c>
      <c r="B826" t="s">
        <v>9366</v>
      </c>
      <c r="C826" t="s">
        <v>4730</v>
      </c>
      <c r="D826" t="s">
        <v>54</v>
      </c>
      <c r="E826" t="s">
        <v>10564</v>
      </c>
      <c r="F826" t="s">
        <v>4729</v>
      </c>
      <c r="G826">
        <v>912.75</v>
      </c>
      <c r="I826">
        <v>912.75</v>
      </c>
      <c r="J826">
        <v>912.75</v>
      </c>
      <c r="K826" s="4">
        <v>45401</v>
      </c>
      <c r="L826" s="4">
        <v>45401</v>
      </c>
      <c r="M826">
        <v>2024</v>
      </c>
      <c r="N826">
        <v>4</v>
      </c>
      <c r="O826" s="4">
        <v>45383</v>
      </c>
      <c r="P826" t="s">
        <v>89</v>
      </c>
      <c r="Q826" s="4">
        <v>45471</v>
      </c>
      <c r="S826" t="s">
        <v>3892</v>
      </c>
      <c r="T826">
        <v>45446</v>
      </c>
      <c r="U826">
        <v>1521.25</v>
      </c>
      <c r="V826">
        <v>0.6</v>
      </c>
      <c r="W826" t="s">
        <v>16</v>
      </c>
      <c r="X826" t="s">
        <v>2250</v>
      </c>
      <c r="Z826" t="s">
        <v>89</v>
      </c>
      <c r="AA826" t="s">
        <v>89</v>
      </c>
      <c r="AC826" t="s">
        <v>89</v>
      </c>
      <c r="AD826" t="s">
        <v>89</v>
      </c>
      <c r="AE826" t="s">
        <v>3652</v>
      </c>
      <c r="AF826" s="4"/>
    </row>
    <row r="827" spans="1:32">
      <c r="A827" t="s">
        <v>10565</v>
      </c>
      <c r="B827" t="s">
        <v>9366</v>
      </c>
      <c r="D827" t="s">
        <v>54</v>
      </c>
      <c r="E827" t="s">
        <v>10564</v>
      </c>
      <c r="F827" t="s">
        <v>4729</v>
      </c>
      <c r="G827">
        <v>608.5</v>
      </c>
      <c r="I827">
        <v>608.5</v>
      </c>
      <c r="J827">
        <v>608.5</v>
      </c>
      <c r="K827" s="4">
        <v>45047</v>
      </c>
      <c r="L827" s="4">
        <v>45047</v>
      </c>
      <c r="M827">
        <v>2023</v>
      </c>
      <c r="N827">
        <v>5</v>
      </c>
      <c r="O827" s="4">
        <v>45047</v>
      </c>
      <c r="P827" t="s">
        <v>89</v>
      </c>
      <c r="Q827" s="4">
        <v>45153</v>
      </c>
      <c r="S827" t="s">
        <v>3892</v>
      </c>
      <c r="U827">
        <v>1521.25</v>
      </c>
      <c r="V827">
        <v>0.4</v>
      </c>
      <c r="W827" t="s">
        <v>16</v>
      </c>
      <c r="X827" t="s">
        <v>2250</v>
      </c>
      <c r="Z827" t="s">
        <v>89</v>
      </c>
      <c r="AA827" t="s">
        <v>89</v>
      </c>
      <c r="AC827" t="s">
        <v>89</v>
      </c>
      <c r="AD827" t="s">
        <v>89</v>
      </c>
      <c r="AE827" t="s">
        <v>3652</v>
      </c>
      <c r="AF827" s="4"/>
    </row>
    <row r="828" spans="1:32">
      <c r="A828" t="s">
        <v>10566</v>
      </c>
      <c r="B828" t="s">
        <v>9366</v>
      </c>
      <c r="C828" t="s">
        <v>5226</v>
      </c>
      <c r="D828" t="s">
        <v>54</v>
      </c>
      <c r="E828" t="s">
        <v>10567</v>
      </c>
      <c r="F828" t="s">
        <v>5225</v>
      </c>
      <c r="G828">
        <v>23868</v>
      </c>
      <c r="I828">
        <v>23868</v>
      </c>
      <c r="J828">
        <v>23868</v>
      </c>
      <c r="K828" s="4">
        <v>45345</v>
      </c>
      <c r="L828" s="4">
        <v>45418</v>
      </c>
      <c r="M828">
        <v>2024</v>
      </c>
      <c r="N828">
        <v>2</v>
      </c>
      <c r="O828" s="4">
        <v>45323</v>
      </c>
      <c r="P828" t="s">
        <v>89</v>
      </c>
      <c r="Q828" s="4">
        <v>45519</v>
      </c>
      <c r="R828" t="s">
        <v>3773</v>
      </c>
      <c r="S828" t="s">
        <v>4417</v>
      </c>
      <c r="T828">
        <v>45505</v>
      </c>
      <c r="U828">
        <v>23868</v>
      </c>
      <c r="V828">
        <v>1</v>
      </c>
      <c r="W828" t="s">
        <v>17</v>
      </c>
      <c r="X828" t="s">
        <v>3770</v>
      </c>
      <c r="Z828" t="s">
        <v>89</v>
      </c>
      <c r="AA828" t="s">
        <v>89</v>
      </c>
      <c r="AB828" t="s">
        <v>10568</v>
      </c>
      <c r="AC828" t="s">
        <v>625</v>
      </c>
      <c r="AD828" t="s">
        <v>1473</v>
      </c>
      <c r="AE828" t="s">
        <v>9251</v>
      </c>
      <c r="AF828" s="4"/>
    </row>
    <row r="829" spans="1:32">
      <c r="A829" t="s">
        <v>10569</v>
      </c>
      <c r="B829" t="s">
        <v>9366</v>
      </c>
      <c r="D829" t="s">
        <v>54</v>
      </c>
      <c r="E829" t="s">
        <v>10570</v>
      </c>
      <c r="F829" t="s">
        <v>4731</v>
      </c>
      <c r="G829">
        <v>12177.4</v>
      </c>
      <c r="I829">
        <v>12177.4</v>
      </c>
      <c r="J829">
        <v>12177.4</v>
      </c>
      <c r="K829" s="4">
        <v>45047</v>
      </c>
      <c r="L829" s="4">
        <v>45047</v>
      </c>
      <c r="M829">
        <v>2023</v>
      </c>
      <c r="N829">
        <v>5</v>
      </c>
      <c r="O829" s="4">
        <v>45047</v>
      </c>
      <c r="P829" t="s">
        <v>89</v>
      </c>
      <c r="Q829" s="4">
        <v>45153</v>
      </c>
      <c r="S829" t="s">
        <v>4733</v>
      </c>
      <c r="U829">
        <v>30443.5</v>
      </c>
      <c r="V829">
        <v>0.39999999999999997</v>
      </c>
      <c r="W829" t="s">
        <v>16</v>
      </c>
      <c r="X829" t="s">
        <v>3718</v>
      </c>
      <c r="Z829" t="s">
        <v>89</v>
      </c>
      <c r="AA829" t="s">
        <v>89</v>
      </c>
      <c r="AC829" t="s">
        <v>89</v>
      </c>
      <c r="AD829">
        <v>0</v>
      </c>
      <c r="AE829" t="s">
        <v>9251</v>
      </c>
      <c r="AF829" s="4"/>
    </row>
    <row r="830" spans="1:32">
      <c r="A830" t="s">
        <v>10571</v>
      </c>
      <c r="B830" t="s">
        <v>9366</v>
      </c>
      <c r="C830" t="s">
        <v>4785</v>
      </c>
      <c r="D830" t="s">
        <v>54</v>
      </c>
      <c r="E830" t="s">
        <v>10572</v>
      </c>
      <c r="F830" t="s">
        <v>4782</v>
      </c>
      <c r="I830">
        <v>0</v>
      </c>
      <c r="K830" s="4">
        <v>45372</v>
      </c>
      <c r="L830" s="4">
        <v>45372</v>
      </c>
      <c r="M830">
        <v>2024</v>
      </c>
      <c r="N830">
        <v>3</v>
      </c>
      <c r="O830" s="4">
        <v>45352</v>
      </c>
      <c r="Q830" s="4"/>
      <c r="R830" t="s">
        <v>4786</v>
      </c>
      <c r="S830" t="s">
        <v>3143</v>
      </c>
      <c r="W830" t="s">
        <v>16</v>
      </c>
      <c r="X830" t="s">
        <v>4784</v>
      </c>
      <c r="AD830" t="s">
        <v>837</v>
      </c>
      <c r="AE830" t="s">
        <v>9251</v>
      </c>
      <c r="AF830" s="4"/>
    </row>
    <row r="831" spans="1:32">
      <c r="A831" t="s">
        <v>10573</v>
      </c>
      <c r="B831" t="s">
        <v>9366</v>
      </c>
      <c r="D831" t="s">
        <v>54</v>
      </c>
      <c r="E831" t="s">
        <v>10574</v>
      </c>
      <c r="F831" t="s">
        <v>4736</v>
      </c>
      <c r="G831">
        <v>12177.4</v>
      </c>
      <c r="I831">
        <v>12177.4</v>
      </c>
      <c r="J831">
        <v>12177.4</v>
      </c>
      <c r="K831" s="4">
        <v>45047</v>
      </c>
      <c r="L831" s="4">
        <v>45047</v>
      </c>
      <c r="M831">
        <v>2023</v>
      </c>
      <c r="N831">
        <v>5</v>
      </c>
      <c r="O831" s="4">
        <v>45047</v>
      </c>
      <c r="P831" t="s">
        <v>89</v>
      </c>
      <c r="Q831" s="4">
        <v>45212</v>
      </c>
      <c r="S831" t="s">
        <v>4737</v>
      </c>
      <c r="U831">
        <v>16737.97</v>
      </c>
      <c r="V831">
        <v>0.7275314748443209</v>
      </c>
      <c r="W831" t="s">
        <v>16</v>
      </c>
      <c r="X831" t="s">
        <v>3718</v>
      </c>
      <c r="Z831" t="s">
        <v>89</v>
      </c>
      <c r="AA831" t="s">
        <v>89</v>
      </c>
      <c r="AC831" t="s">
        <v>89</v>
      </c>
      <c r="AD831">
        <v>0</v>
      </c>
      <c r="AE831" t="s">
        <v>9251</v>
      </c>
      <c r="AF831" s="4"/>
    </row>
    <row r="832" spans="1:32">
      <c r="A832" t="s">
        <v>10575</v>
      </c>
      <c r="B832" t="s">
        <v>9366</v>
      </c>
      <c r="C832" t="s">
        <v>4740</v>
      </c>
      <c r="D832" t="s">
        <v>54</v>
      </c>
      <c r="E832" t="s">
        <v>10576</v>
      </c>
      <c r="F832" t="s">
        <v>4739</v>
      </c>
      <c r="G832">
        <v>33231.89</v>
      </c>
      <c r="I832">
        <v>33231.89</v>
      </c>
      <c r="J832">
        <v>33231.89</v>
      </c>
      <c r="K832" s="4">
        <v>45351</v>
      </c>
      <c r="L832" s="4">
        <v>45351</v>
      </c>
      <c r="M832">
        <v>2024</v>
      </c>
      <c r="N832">
        <v>2</v>
      </c>
      <c r="O832" s="4">
        <v>45323</v>
      </c>
      <c r="P832" t="s">
        <v>89</v>
      </c>
      <c r="Q832" s="4">
        <v>45412</v>
      </c>
      <c r="S832" t="s">
        <v>3756</v>
      </c>
      <c r="U832">
        <v>55386.48</v>
      </c>
      <c r="V832">
        <v>0.60000003610989538</v>
      </c>
      <c r="W832" t="s">
        <v>16</v>
      </c>
      <c r="X832" t="s">
        <v>3718</v>
      </c>
      <c r="Z832" t="s">
        <v>89</v>
      </c>
      <c r="AA832" t="s">
        <v>89</v>
      </c>
      <c r="AC832" t="s">
        <v>89</v>
      </c>
      <c r="AD832" t="s">
        <v>89</v>
      </c>
      <c r="AE832" t="s">
        <v>3652</v>
      </c>
      <c r="AF832" s="4"/>
    </row>
    <row r="833" spans="1:32">
      <c r="A833" t="s">
        <v>10577</v>
      </c>
      <c r="B833" t="s">
        <v>9366</v>
      </c>
      <c r="D833" t="s">
        <v>54</v>
      </c>
      <c r="E833" t="s">
        <v>10576</v>
      </c>
      <c r="F833" t="s">
        <v>4739</v>
      </c>
      <c r="G833">
        <v>22154.59</v>
      </c>
      <c r="I833">
        <v>22154.59</v>
      </c>
      <c r="J833">
        <v>22154.59</v>
      </c>
      <c r="K833" s="4">
        <v>45047</v>
      </c>
      <c r="L833" s="4">
        <v>45047</v>
      </c>
      <c r="M833">
        <v>2023</v>
      </c>
      <c r="N833">
        <v>5</v>
      </c>
      <c r="O833" s="4">
        <v>45047</v>
      </c>
      <c r="P833" t="s">
        <v>89</v>
      </c>
      <c r="Q833" s="4">
        <v>45153</v>
      </c>
      <c r="S833" t="s">
        <v>3756</v>
      </c>
      <c r="U833">
        <v>55386.48</v>
      </c>
      <c r="V833">
        <v>0.39999996389010456</v>
      </c>
      <c r="W833" t="s">
        <v>16</v>
      </c>
      <c r="X833" t="s">
        <v>3718</v>
      </c>
      <c r="Z833" t="s">
        <v>89</v>
      </c>
      <c r="AA833" t="s">
        <v>89</v>
      </c>
      <c r="AC833" t="s">
        <v>89</v>
      </c>
      <c r="AD833">
        <v>0</v>
      </c>
      <c r="AE833" t="s">
        <v>9251</v>
      </c>
      <c r="AF833" s="4"/>
    </row>
    <row r="834" spans="1:32">
      <c r="A834" t="s">
        <v>10578</v>
      </c>
      <c r="B834" t="s">
        <v>9366</v>
      </c>
      <c r="C834" t="s">
        <v>4742</v>
      </c>
      <c r="D834" t="s">
        <v>54</v>
      </c>
      <c r="E834" t="s">
        <v>10579</v>
      </c>
      <c r="F834" t="s">
        <v>4741</v>
      </c>
      <c r="G834">
        <v>36532.21</v>
      </c>
      <c r="I834">
        <v>36532.21</v>
      </c>
      <c r="J834">
        <v>36532.21</v>
      </c>
      <c r="K834" s="4">
        <v>45315</v>
      </c>
      <c r="L834" s="4">
        <v>45315</v>
      </c>
      <c r="M834">
        <v>2024</v>
      </c>
      <c r="N834">
        <v>1</v>
      </c>
      <c r="O834" s="4">
        <v>45292</v>
      </c>
      <c r="P834" t="s">
        <v>89</v>
      </c>
      <c r="Q834" s="4">
        <v>45351</v>
      </c>
      <c r="S834" t="s">
        <v>4123</v>
      </c>
      <c r="U834">
        <v>60887.01</v>
      </c>
      <c r="V834">
        <v>0.60000006569545783</v>
      </c>
      <c r="W834" t="s">
        <v>16</v>
      </c>
      <c r="X834" t="s">
        <v>3718</v>
      </c>
      <c r="Z834" t="s">
        <v>89</v>
      </c>
      <c r="AA834" t="s">
        <v>89</v>
      </c>
      <c r="AC834" t="s">
        <v>89</v>
      </c>
      <c r="AD834" t="s">
        <v>89</v>
      </c>
      <c r="AE834" t="s">
        <v>3652</v>
      </c>
      <c r="AF834" s="4"/>
    </row>
    <row r="835" spans="1:32">
      <c r="A835" t="s">
        <v>10580</v>
      </c>
      <c r="B835" t="s">
        <v>9366</v>
      </c>
      <c r="D835" t="s">
        <v>54</v>
      </c>
      <c r="E835" t="s">
        <v>10579</v>
      </c>
      <c r="F835" t="s">
        <v>4741</v>
      </c>
      <c r="G835">
        <v>24354.799999999999</v>
      </c>
      <c r="I835">
        <v>24354.799999999999</v>
      </c>
      <c r="J835">
        <v>24354.799999999999</v>
      </c>
      <c r="K835" s="4">
        <v>45047</v>
      </c>
      <c r="L835" s="4">
        <v>45047</v>
      </c>
      <c r="M835">
        <v>2023</v>
      </c>
      <c r="N835">
        <v>5</v>
      </c>
      <c r="O835" s="4">
        <v>45047</v>
      </c>
      <c r="P835" t="s">
        <v>89</v>
      </c>
      <c r="Q835" s="4">
        <v>45153</v>
      </c>
      <c r="S835" t="s">
        <v>4123</v>
      </c>
      <c r="U835">
        <v>60887.01</v>
      </c>
      <c r="V835">
        <v>0.39999993430454212</v>
      </c>
      <c r="W835" t="s">
        <v>16</v>
      </c>
      <c r="X835" t="s">
        <v>3718</v>
      </c>
      <c r="Z835" t="s">
        <v>89</v>
      </c>
      <c r="AA835" t="s">
        <v>89</v>
      </c>
      <c r="AC835" t="s">
        <v>89</v>
      </c>
      <c r="AD835">
        <v>0</v>
      </c>
      <c r="AE835" t="s">
        <v>9251</v>
      </c>
      <c r="AF835" s="4"/>
    </row>
    <row r="836" spans="1:32">
      <c r="A836" t="s">
        <v>10581</v>
      </c>
      <c r="B836" t="s">
        <v>9366</v>
      </c>
      <c r="C836" t="s">
        <v>4745</v>
      </c>
      <c r="D836" t="s">
        <v>54</v>
      </c>
      <c r="E836" t="s">
        <v>10582</v>
      </c>
      <c r="F836" t="s">
        <v>4743</v>
      </c>
      <c r="G836">
        <v>36532.21</v>
      </c>
      <c r="I836">
        <v>36532.21</v>
      </c>
      <c r="J836">
        <v>36532.21</v>
      </c>
      <c r="K836" s="4">
        <v>45401</v>
      </c>
      <c r="L836" s="4">
        <v>45401</v>
      </c>
      <c r="M836">
        <v>2024</v>
      </c>
      <c r="N836">
        <v>4</v>
      </c>
      <c r="O836" s="4">
        <v>45383</v>
      </c>
      <c r="P836" t="s">
        <v>89</v>
      </c>
      <c r="Q836" s="4">
        <v>45442</v>
      </c>
      <c r="S836" t="s">
        <v>4744</v>
      </c>
      <c r="U836">
        <v>60887.01</v>
      </c>
      <c r="V836">
        <v>0.60000006569545783</v>
      </c>
      <c r="W836" t="s">
        <v>16</v>
      </c>
      <c r="X836" t="s">
        <v>3718</v>
      </c>
      <c r="Z836" t="s">
        <v>89</v>
      </c>
      <c r="AA836" t="s">
        <v>89</v>
      </c>
      <c r="AC836" t="s">
        <v>89</v>
      </c>
      <c r="AD836" t="s">
        <v>89</v>
      </c>
      <c r="AE836" t="s">
        <v>3652</v>
      </c>
      <c r="AF836" s="4"/>
    </row>
    <row r="837" spans="1:32">
      <c r="A837" t="s">
        <v>10583</v>
      </c>
      <c r="B837" t="s">
        <v>9366</v>
      </c>
      <c r="D837" t="s">
        <v>54</v>
      </c>
      <c r="E837" t="s">
        <v>10582</v>
      </c>
      <c r="F837" t="s">
        <v>4743</v>
      </c>
      <c r="G837">
        <v>24354.799999999999</v>
      </c>
      <c r="I837">
        <v>24354.799999999999</v>
      </c>
      <c r="J837">
        <v>24354.799999999999</v>
      </c>
      <c r="K837" s="4">
        <v>45047</v>
      </c>
      <c r="L837" s="4">
        <v>45047</v>
      </c>
      <c r="M837">
        <v>2023</v>
      </c>
      <c r="N837">
        <v>5</v>
      </c>
      <c r="O837" s="4">
        <v>45047</v>
      </c>
      <c r="P837" t="s">
        <v>89</v>
      </c>
      <c r="Q837" s="4">
        <v>45153</v>
      </c>
      <c r="S837" t="s">
        <v>4744</v>
      </c>
      <c r="U837">
        <v>60887.01</v>
      </c>
      <c r="V837">
        <v>0.39999993430454212</v>
      </c>
      <c r="W837" t="s">
        <v>16</v>
      </c>
      <c r="X837" t="s">
        <v>3718</v>
      </c>
      <c r="Z837" t="s">
        <v>89</v>
      </c>
      <c r="AA837" t="s">
        <v>89</v>
      </c>
      <c r="AC837" t="s">
        <v>89</v>
      </c>
      <c r="AD837">
        <v>0</v>
      </c>
      <c r="AE837" t="s">
        <v>9251</v>
      </c>
      <c r="AF837" s="4"/>
    </row>
    <row r="838" spans="1:32">
      <c r="A838" t="s">
        <v>10584</v>
      </c>
      <c r="B838" t="s">
        <v>9366</v>
      </c>
      <c r="C838" t="s">
        <v>4748</v>
      </c>
      <c r="D838" t="s">
        <v>54</v>
      </c>
      <c r="E838" t="s">
        <v>10585</v>
      </c>
      <c r="F838" t="s">
        <v>4746</v>
      </c>
      <c r="G838">
        <v>24923.916000000001</v>
      </c>
      <c r="I838">
        <v>24923.916000000001</v>
      </c>
      <c r="J838">
        <v>24923.916000000001</v>
      </c>
      <c r="K838" s="4">
        <v>45429</v>
      </c>
      <c r="L838" s="4">
        <v>45429</v>
      </c>
      <c r="M838">
        <v>2024</v>
      </c>
      <c r="N838">
        <v>5</v>
      </c>
      <c r="O838" s="4">
        <v>45413</v>
      </c>
      <c r="P838" t="s">
        <v>89</v>
      </c>
      <c r="Q838" s="4">
        <v>45503</v>
      </c>
      <c r="S838" t="s">
        <v>4747</v>
      </c>
      <c r="T838">
        <v>45484</v>
      </c>
      <c r="U838">
        <v>41539.86</v>
      </c>
      <c r="V838">
        <v>0.6</v>
      </c>
      <c r="W838" t="s">
        <v>16</v>
      </c>
      <c r="X838" t="s">
        <v>3718</v>
      </c>
      <c r="Z838" t="s">
        <v>89</v>
      </c>
      <c r="AA838" t="s">
        <v>89</v>
      </c>
      <c r="AB838" t="s">
        <v>10586</v>
      </c>
      <c r="AC838" t="s">
        <v>89</v>
      </c>
      <c r="AD838" t="s">
        <v>625</v>
      </c>
      <c r="AE838" t="s">
        <v>9251</v>
      </c>
      <c r="AF838" s="4"/>
    </row>
    <row r="839" spans="1:32">
      <c r="A839" t="s">
        <v>10587</v>
      </c>
      <c r="B839" t="s">
        <v>9366</v>
      </c>
      <c r="D839" t="s">
        <v>54</v>
      </c>
      <c r="E839" t="s">
        <v>10585</v>
      </c>
      <c r="F839" t="s">
        <v>4746</v>
      </c>
      <c r="G839">
        <v>16615.939999999999</v>
      </c>
      <c r="I839">
        <v>16615.939999999999</v>
      </c>
      <c r="J839">
        <v>16615.939999999999</v>
      </c>
      <c r="K839" s="4">
        <v>45047</v>
      </c>
      <c r="L839" s="4">
        <v>45047</v>
      </c>
      <c r="M839">
        <v>2023</v>
      </c>
      <c r="N839">
        <v>5</v>
      </c>
      <c r="O839" s="4">
        <v>45047</v>
      </c>
      <c r="P839" t="s">
        <v>89</v>
      </c>
      <c r="Q839" s="4">
        <v>45153</v>
      </c>
      <c r="S839" t="s">
        <v>4747</v>
      </c>
      <c r="U839">
        <v>41539.86</v>
      </c>
      <c r="V839">
        <v>0.39999990370694555</v>
      </c>
      <c r="W839" t="s">
        <v>16</v>
      </c>
      <c r="X839" t="s">
        <v>3718</v>
      </c>
      <c r="Z839" t="s">
        <v>89</v>
      </c>
      <c r="AA839" t="s">
        <v>89</v>
      </c>
      <c r="AC839" t="s">
        <v>89</v>
      </c>
      <c r="AD839">
        <v>0</v>
      </c>
      <c r="AE839" t="s">
        <v>9251</v>
      </c>
      <c r="AF839" s="4"/>
    </row>
    <row r="840" spans="1:32">
      <c r="A840" t="s">
        <v>10588</v>
      </c>
      <c r="B840" t="s">
        <v>9366</v>
      </c>
      <c r="D840" t="s">
        <v>54</v>
      </c>
      <c r="E840" t="s">
        <v>10589</v>
      </c>
      <c r="F840" t="s">
        <v>4749</v>
      </c>
      <c r="G840">
        <v>1521.43</v>
      </c>
      <c r="I840">
        <v>1521.43</v>
      </c>
      <c r="J840">
        <v>1521.43</v>
      </c>
      <c r="K840" s="4">
        <v>45108</v>
      </c>
      <c r="L840" s="4">
        <v>45108</v>
      </c>
      <c r="M840">
        <v>2023</v>
      </c>
      <c r="N840">
        <v>7</v>
      </c>
      <c r="O840" s="4">
        <v>45108</v>
      </c>
      <c r="P840" t="s">
        <v>89</v>
      </c>
      <c r="Q840" s="4">
        <v>45288</v>
      </c>
      <c r="S840" t="s">
        <v>2643</v>
      </c>
      <c r="U840">
        <v>3803.58</v>
      </c>
      <c r="V840">
        <v>0.39999947417958875</v>
      </c>
      <c r="W840" t="s">
        <v>16</v>
      </c>
      <c r="X840" t="s">
        <v>3911</v>
      </c>
      <c r="Z840" t="s">
        <v>89</v>
      </c>
      <c r="AA840" t="s">
        <v>89</v>
      </c>
      <c r="AC840" t="s">
        <v>89</v>
      </c>
      <c r="AD840">
        <v>0</v>
      </c>
      <c r="AE840" t="s">
        <v>9251</v>
      </c>
      <c r="AF840" s="4"/>
    </row>
    <row r="841" spans="1:32">
      <c r="A841" t="s">
        <v>10590</v>
      </c>
      <c r="B841" t="s">
        <v>9366</v>
      </c>
      <c r="D841" t="s">
        <v>54</v>
      </c>
      <c r="E841" t="s">
        <v>10591</v>
      </c>
      <c r="F841" t="s">
        <v>4751</v>
      </c>
      <c r="G841">
        <v>1521.43</v>
      </c>
      <c r="I841">
        <v>1521.43</v>
      </c>
      <c r="J841">
        <v>1521.43</v>
      </c>
      <c r="K841" s="4">
        <v>45108</v>
      </c>
      <c r="L841" s="4">
        <v>45108</v>
      </c>
      <c r="M841">
        <v>2023</v>
      </c>
      <c r="N841">
        <v>7</v>
      </c>
      <c r="O841" s="4">
        <v>45108</v>
      </c>
      <c r="P841" t="s">
        <v>89</v>
      </c>
      <c r="Q841" s="4">
        <v>45288</v>
      </c>
      <c r="S841" t="s">
        <v>4753</v>
      </c>
      <c r="U841">
        <v>3803.58</v>
      </c>
      <c r="V841">
        <v>0.39999947417958875</v>
      </c>
      <c r="W841" t="s">
        <v>16</v>
      </c>
      <c r="X841" t="s">
        <v>3911</v>
      </c>
      <c r="Z841" t="s">
        <v>89</v>
      </c>
      <c r="AA841" t="s">
        <v>89</v>
      </c>
      <c r="AC841" t="s">
        <v>89</v>
      </c>
      <c r="AD841">
        <v>0</v>
      </c>
      <c r="AE841" t="s">
        <v>9251</v>
      </c>
      <c r="AF841" s="4"/>
    </row>
    <row r="842" spans="1:32">
      <c r="A842" t="s">
        <v>10592</v>
      </c>
      <c r="B842" t="s">
        <v>9366</v>
      </c>
      <c r="D842" t="s">
        <v>54</v>
      </c>
      <c r="E842" t="s">
        <v>10593</v>
      </c>
      <c r="F842" t="s">
        <v>4754</v>
      </c>
      <c r="G842">
        <v>1521.43</v>
      </c>
      <c r="I842">
        <v>1521.43</v>
      </c>
      <c r="J842">
        <v>1521.43</v>
      </c>
      <c r="K842" s="4">
        <v>45017</v>
      </c>
      <c r="L842" s="4">
        <v>45017</v>
      </c>
      <c r="M842">
        <v>2023</v>
      </c>
      <c r="N842">
        <v>4</v>
      </c>
      <c r="O842" s="4">
        <v>45017</v>
      </c>
      <c r="P842" t="s">
        <v>89</v>
      </c>
      <c r="Q842" s="4">
        <v>45288</v>
      </c>
      <c r="S842" t="s">
        <v>2727</v>
      </c>
      <c r="U842">
        <v>3803.58</v>
      </c>
      <c r="V842">
        <v>0.39999947417958875</v>
      </c>
      <c r="W842" t="s">
        <v>16</v>
      </c>
      <c r="X842" t="s">
        <v>3911</v>
      </c>
      <c r="Z842" t="s">
        <v>89</v>
      </c>
      <c r="AA842" t="s">
        <v>89</v>
      </c>
      <c r="AC842" t="s">
        <v>89</v>
      </c>
      <c r="AD842" t="s">
        <v>89</v>
      </c>
      <c r="AE842" t="s">
        <v>3652</v>
      </c>
      <c r="AF842" s="4"/>
    </row>
    <row r="843" spans="1:32">
      <c r="A843" t="s">
        <v>10594</v>
      </c>
      <c r="B843" t="s">
        <v>9366</v>
      </c>
      <c r="D843" t="s">
        <v>54</v>
      </c>
      <c r="E843" t="s">
        <v>10595</v>
      </c>
      <c r="F843" t="s">
        <v>4755</v>
      </c>
      <c r="G843">
        <v>3357.41</v>
      </c>
      <c r="I843">
        <v>3357.41</v>
      </c>
      <c r="J843">
        <v>3357.41</v>
      </c>
      <c r="K843" s="4">
        <v>45017</v>
      </c>
      <c r="L843" s="4">
        <v>45017</v>
      </c>
      <c r="M843">
        <v>2023</v>
      </c>
      <c r="N843">
        <v>4</v>
      </c>
      <c r="O843" s="4">
        <v>45017</v>
      </c>
      <c r="P843" t="s">
        <v>89</v>
      </c>
      <c r="Q843" s="4">
        <v>45288</v>
      </c>
      <c r="S843" t="s">
        <v>2700</v>
      </c>
      <c r="U843">
        <v>8393.52</v>
      </c>
      <c r="V843">
        <v>0.40000023827905334</v>
      </c>
      <c r="W843" t="s">
        <v>16</v>
      </c>
      <c r="X843" t="s">
        <v>3911</v>
      </c>
      <c r="Z843" t="s">
        <v>89</v>
      </c>
      <c r="AA843" t="s">
        <v>89</v>
      </c>
      <c r="AC843" t="s">
        <v>89</v>
      </c>
      <c r="AD843" t="s">
        <v>89</v>
      </c>
      <c r="AE843" t="s">
        <v>3652</v>
      </c>
      <c r="AF843" s="4"/>
    </row>
    <row r="844" spans="1:32">
      <c r="A844" t="s">
        <v>10596</v>
      </c>
      <c r="B844" t="s">
        <v>9366</v>
      </c>
      <c r="D844" t="s">
        <v>54</v>
      </c>
      <c r="E844" t="s">
        <v>10597</v>
      </c>
      <c r="F844" t="s">
        <v>4756</v>
      </c>
      <c r="G844">
        <v>4091.8</v>
      </c>
      <c r="I844">
        <v>4091.8</v>
      </c>
      <c r="J844">
        <v>4091.8</v>
      </c>
      <c r="K844" s="4">
        <v>45108</v>
      </c>
      <c r="L844" s="4">
        <v>45108</v>
      </c>
      <c r="M844">
        <v>2023</v>
      </c>
      <c r="N844">
        <v>7</v>
      </c>
      <c r="O844" s="4">
        <v>45108</v>
      </c>
      <c r="P844" t="s">
        <v>89</v>
      </c>
      <c r="Q844" s="4">
        <v>45288</v>
      </c>
      <c r="S844" t="s">
        <v>2710</v>
      </c>
      <c r="U844">
        <v>10229.49</v>
      </c>
      <c r="V844">
        <v>0.40000039102633661</v>
      </c>
      <c r="W844" t="s">
        <v>16</v>
      </c>
      <c r="X844" t="s">
        <v>3911</v>
      </c>
      <c r="Z844" t="s">
        <v>89</v>
      </c>
      <c r="AA844" t="s">
        <v>89</v>
      </c>
      <c r="AC844" t="s">
        <v>89</v>
      </c>
      <c r="AD844">
        <v>0</v>
      </c>
      <c r="AE844" t="s">
        <v>9251</v>
      </c>
      <c r="AF844" s="4"/>
    </row>
    <row r="845" spans="1:32">
      <c r="A845" t="s">
        <v>10598</v>
      </c>
      <c r="B845" t="s">
        <v>9366</v>
      </c>
      <c r="D845" t="s">
        <v>54</v>
      </c>
      <c r="E845" t="s">
        <v>10599</v>
      </c>
      <c r="F845" t="s">
        <v>4757</v>
      </c>
      <c r="G845">
        <v>2990.21</v>
      </c>
      <c r="I845">
        <v>2990.21</v>
      </c>
      <c r="J845">
        <v>2990.21</v>
      </c>
      <c r="K845" s="4">
        <v>45017</v>
      </c>
      <c r="L845" s="4">
        <v>45017</v>
      </c>
      <c r="M845">
        <v>2023</v>
      </c>
      <c r="N845">
        <v>4</v>
      </c>
      <c r="O845" s="4">
        <v>45017</v>
      </c>
      <c r="P845" t="s">
        <v>89</v>
      </c>
      <c r="Q845" s="4">
        <v>45288</v>
      </c>
      <c r="S845" t="s">
        <v>2677</v>
      </c>
      <c r="U845">
        <v>7475.53</v>
      </c>
      <c r="V845">
        <v>0.39999973246044096</v>
      </c>
      <c r="W845" t="s">
        <v>16</v>
      </c>
      <c r="X845" t="s">
        <v>3911</v>
      </c>
      <c r="Z845" t="s">
        <v>89</v>
      </c>
      <c r="AA845" t="s">
        <v>89</v>
      </c>
      <c r="AC845" t="s">
        <v>89</v>
      </c>
      <c r="AD845">
        <v>0</v>
      </c>
      <c r="AE845" t="s">
        <v>9251</v>
      </c>
      <c r="AF845" s="4"/>
    </row>
    <row r="846" spans="1:32">
      <c r="A846" t="s">
        <v>10600</v>
      </c>
      <c r="B846" t="s">
        <v>9366</v>
      </c>
      <c r="D846" t="s">
        <v>54</v>
      </c>
      <c r="E846" t="s">
        <v>10601</v>
      </c>
      <c r="F846" t="s">
        <v>4758</v>
      </c>
      <c r="G846">
        <v>2990.21</v>
      </c>
      <c r="I846">
        <v>2990.21</v>
      </c>
      <c r="J846">
        <v>2990.21</v>
      </c>
      <c r="K846" s="4">
        <v>45047</v>
      </c>
      <c r="L846" s="4">
        <v>45047</v>
      </c>
      <c r="M846">
        <v>2023</v>
      </c>
      <c r="N846">
        <v>5</v>
      </c>
      <c r="O846" s="4">
        <v>45047</v>
      </c>
      <c r="P846" t="s">
        <v>89</v>
      </c>
      <c r="Q846" s="4">
        <v>45288</v>
      </c>
      <c r="S846" t="s">
        <v>4759</v>
      </c>
      <c r="U846">
        <v>7475.53</v>
      </c>
      <c r="V846">
        <v>0.39999973246044096</v>
      </c>
      <c r="W846" t="s">
        <v>16</v>
      </c>
      <c r="X846" t="s">
        <v>3911</v>
      </c>
      <c r="Z846" t="s">
        <v>89</v>
      </c>
      <c r="AA846" t="s">
        <v>89</v>
      </c>
      <c r="AC846" t="s">
        <v>89</v>
      </c>
      <c r="AD846" t="s">
        <v>89</v>
      </c>
      <c r="AE846" t="s">
        <v>3652</v>
      </c>
      <c r="AF846" s="4"/>
    </row>
    <row r="847" spans="1:32">
      <c r="A847" t="s">
        <v>10602</v>
      </c>
      <c r="B847" t="s">
        <v>9366</v>
      </c>
      <c r="D847" t="s">
        <v>54</v>
      </c>
      <c r="E847" t="s">
        <v>10603</v>
      </c>
      <c r="F847" t="s">
        <v>4760</v>
      </c>
      <c r="G847">
        <v>2990.21</v>
      </c>
      <c r="I847">
        <v>2990.21</v>
      </c>
      <c r="J847">
        <v>2990.21</v>
      </c>
      <c r="K847" s="4">
        <v>45047</v>
      </c>
      <c r="L847" s="4">
        <v>45047</v>
      </c>
      <c r="M847">
        <v>2023</v>
      </c>
      <c r="N847">
        <v>5</v>
      </c>
      <c r="O847" s="4">
        <v>45047</v>
      </c>
      <c r="P847" t="s">
        <v>89</v>
      </c>
      <c r="Q847" s="4">
        <v>45303</v>
      </c>
      <c r="S847" t="s">
        <v>4761</v>
      </c>
      <c r="U847">
        <v>7475.53</v>
      </c>
      <c r="V847">
        <v>0.39999973246044096</v>
      </c>
      <c r="W847" t="s">
        <v>16</v>
      </c>
      <c r="X847" t="s">
        <v>3911</v>
      </c>
      <c r="Z847" t="s">
        <v>89</v>
      </c>
      <c r="AA847" t="s">
        <v>89</v>
      </c>
      <c r="AC847" t="s">
        <v>89</v>
      </c>
      <c r="AD847">
        <v>0</v>
      </c>
      <c r="AE847" t="s">
        <v>9251</v>
      </c>
      <c r="AF847" s="4"/>
    </row>
    <row r="848" spans="1:32">
      <c r="A848" t="s">
        <v>10604</v>
      </c>
      <c r="B848" t="s">
        <v>9366</v>
      </c>
      <c r="D848" t="s">
        <v>54</v>
      </c>
      <c r="E848" t="s">
        <v>10605</v>
      </c>
      <c r="F848" t="s">
        <v>4762</v>
      </c>
      <c r="G848">
        <v>1521.43</v>
      </c>
      <c r="I848">
        <v>1521.43</v>
      </c>
      <c r="J848">
        <v>1521.43</v>
      </c>
      <c r="K848" s="4">
        <v>45017</v>
      </c>
      <c r="L848" s="4">
        <v>45017</v>
      </c>
      <c r="M848">
        <v>2023</v>
      </c>
      <c r="N848">
        <v>4</v>
      </c>
      <c r="O848" s="4">
        <v>45017</v>
      </c>
      <c r="P848" t="s">
        <v>89</v>
      </c>
      <c r="Q848" s="4">
        <v>45288</v>
      </c>
      <c r="S848" t="s">
        <v>2704</v>
      </c>
      <c r="U848">
        <v>3803.58</v>
      </c>
      <c r="V848">
        <v>0.39999947417958875</v>
      </c>
      <c r="W848" t="s">
        <v>16</v>
      </c>
      <c r="X848" t="s">
        <v>3911</v>
      </c>
      <c r="Z848" t="s">
        <v>89</v>
      </c>
      <c r="AA848" t="s">
        <v>89</v>
      </c>
      <c r="AC848" t="s">
        <v>89</v>
      </c>
      <c r="AD848">
        <v>0</v>
      </c>
      <c r="AE848" t="s">
        <v>9251</v>
      </c>
      <c r="AF848" s="4"/>
    </row>
    <row r="849" spans="1:32">
      <c r="A849" t="s">
        <v>10606</v>
      </c>
      <c r="B849" t="s">
        <v>9366</v>
      </c>
      <c r="D849" t="s">
        <v>54</v>
      </c>
      <c r="E849" t="s">
        <v>10607</v>
      </c>
      <c r="F849" t="s">
        <v>4763</v>
      </c>
      <c r="G849">
        <v>1521.43</v>
      </c>
      <c r="I849">
        <v>1521.43</v>
      </c>
      <c r="J849">
        <v>1521.43</v>
      </c>
      <c r="K849" s="4">
        <v>45017</v>
      </c>
      <c r="L849" s="4">
        <v>45017</v>
      </c>
      <c r="M849">
        <v>2023</v>
      </c>
      <c r="N849">
        <v>4</v>
      </c>
      <c r="O849" s="4">
        <v>45017</v>
      </c>
      <c r="P849" t="s">
        <v>89</v>
      </c>
      <c r="Q849" s="4">
        <v>45288</v>
      </c>
      <c r="S849" t="s">
        <v>2706</v>
      </c>
      <c r="U849">
        <v>3803.58</v>
      </c>
      <c r="V849">
        <v>0.39999947417958875</v>
      </c>
      <c r="W849" t="s">
        <v>16</v>
      </c>
      <c r="X849" t="s">
        <v>3911</v>
      </c>
      <c r="Z849" t="s">
        <v>89</v>
      </c>
      <c r="AA849" t="s">
        <v>89</v>
      </c>
      <c r="AC849" t="s">
        <v>89</v>
      </c>
      <c r="AD849">
        <v>0</v>
      </c>
      <c r="AE849" t="s">
        <v>9251</v>
      </c>
      <c r="AF849" s="4"/>
    </row>
    <row r="850" spans="1:32">
      <c r="A850" t="s">
        <v>10608</v>
      </c>
      <c r="B850" t="s">
        <v>9366</v>
      </c>
      <c r="D850" t="s">
        <v>54</v>
      </c>
      <c r="E850" t="s">
        <v>10609</v>
      </c>
      <c r="F850" t="s">
        <v>4764</v>
      </c>
      <c r="G850">
        <v>1521.43</v>
      </c>
      <c r="I850">
        <v>1521.43</v>
      </c>
      <c r="J850">
        <v>1521.43</v>
      </c>
      <c r="K850" s="4">
        <v>45017</v>
      </c>
      <c r="L850" s="4">
        <v>45017</v>
      </c>
      <c r="M850">
        <v>2023</v>
      </c>
      <c r="N850">
        <v>4</v>
      </c>
      <c r="O850" s="4">
        <v>45017</v>
      </c>
      <c r="P850" t="s">
        <v>89</v>
      </c>
      <c r="Q850" s="4">
        <v>45288</v>
      </c>
      <c r="S850" t="s">
        <v>4765</v>
      </c>
      <c r="U850">
        <v>3803.58</v>
      </c>
      <c r="V850">
        <v>0.39999947417958875</v>
      </c>
      <c r="W850" t="s">
        <v>16</v>
      </c>
      <c r="X850" t="s">
        <v>3911</v>
      </c>
      <c r="Z850" t="s">
        <v>89</v>
      </c>
      <c r="AA850" t="s">
        <v>89</v>
      </c>
      <c r="AC850" t="s">
        <v>89</v>
      </c>
      <c r="AD850">
        <v>0</v>
      </c>
      <c r="AE850" t="s">
        <v>9251</v>
      </c>
      <c r="AF850" s="4"/>
    </row>
    <row r="851" spans="1:32">
      <c r="A851" t="s">
        <v>10610</v>
      </c>
      <c r="B851" t="s">
        <v>9366</v>
      </c>
      <c r="D851" t="s">
        <v>54</v>
      </c>
      <c r="E851" t="s">
        <v>10611</v>
      </c>
      <c r="F851" t="s">
        <v>4766</v>
      </c>
      <c r="G851">
        <v>2623.02</v>
      </c>
      <c r="I851">
        <v>2623.02</v>
      </c>
      <c r="J851">
        <v>2623.02</v>
      </c>
      <c r="K851" s="4">
        <v>45017</v>
      </c>
      <c r="L851" s="4">
        <v>45017</v>
      </c>
      <c r="M851">
        <v>2023</v>
      </c>
      <c r="N851">
        <v>4</v>
      </c>
      <c r="O851" s="4">
        <v>45017</v>
      </c>
      <c r="P851" t="s">
        <v>89</v>
      </c>
      <c r="Q851" s="4">
        <v>45288</v>
      </c>
      <c r="S851" t="s">
        <v>2555</v>
      </c>
      <c r="U851">
        <v>6557.54</v>
      </c>
      <c r="V851">
        <v>0.40000060998484188</v>
      </c>
      <c r="W851" t="s">
        <v>16</v>
      </c>
      <c r="X851" t="s">
        <v>3911</v>
      </c>
      <c r="Z851" t="s">
        <v>89</v>
      </c>
      <c r="AA851" t="s">
        <v>89</v>
      </c>
      <c r="AC851" t="s">
        <v>89</v>
      </c>
      <c r="AD851">
        <v>0</v>
      </c>
      <c r="AE851" t="s">
        <v>9251</v>
      </c>
      <c r="AF851" s="4"/>
    </row>
    <row r="852" spans="1:32">
      <c r="A852" t="s">
        <v>10612</v>
      </c>
      <c r="B852" t="s">
        <v>9366</v>
      </c>
      <c r="D852" t="s">
        <v>54</v>
      </c>
      <c r="E852" t="s">
        <v>10613</v>
      </c>
      <c r="F852" t="s">
        <v>4767</v>
      </c>
      <c r="G852">
        <v>1521.43</v>
      </c>
      <c r="I852">
        <v>1521.43</v>
      </c>
      <c r="J852">
        <v>1521.43</v>
      </c>
      <c r="K852" s="4">
        <v>45017</v>
      </c>
      <c r="L852" s="4">
        <v>45017</v>
      </c>
      <c r="M852">
        <v>2023</v>
      </c>
      <c r="N852">
        <v>4</v>
      </c>
      <c r="O852" s="4">
        <v>45017</v>
      </c>
      <c r="P852" t="s">
        <v>89</v>
      </c>
      <c r="Q852" s="4">
        <v>45288</v>
      </c>
      <c r="S852" t="s">
        <v>4768</v>
      </c>
      <c r="U852">
        <v>3803.58</v>
      </c>
      <c r="V852">
        <v>0.39999947417958875</v>
      </c>
      <c r="W852" t="s">
        <v>16</v>
      </c>
      <c r="X852" t="s">
        <v>3911</v>
      </c>
      <c r="Z852" t="s">
        <v>89</v>
      </c>
      <c r="AA852" t="s">
        <v>89</v>
      </c>
      <c r="AC852" t="s">
        <v>89</v>
      </c>
      <c r="AD852" t="s">
        <v>89</v>
      </c>
      <c r="AE852" t="s">
        <v>3652</v>
      </c>
      <c r="AF852" s="4"/>
    </row>
    <row r="853" spans="1:32">
      <c r="A853" t="s">
        <v>10614</v>
      </c>
      <c r="B853" t="s">
        <v>9366</v>
      </c>
      <c r="D853" t="s">
        <v>54</v>
      </c>
      <c r="E853" t="s">
        <v>10615</v>
      </c>
      <c r="F853" t="s">
        <v>4769</v>
      </c>
      <c r="G853">
        <v>1521.43</v>
      </c>
      <c r="I853">
        <v>1521.43</v>
      </c>
      <c r="J853">
        <v>1521.43</v>
      </c>
      <c r="K853" s="4">
        <v>45108</v>
      </c>
      <c r="L853" s="4">
        <v>45108</v>
      </c>
      <c r="M853">
        <v>2023</v>
      </c>
      <c r="N853">
        <v>7</v>
      </c>
      <c r="O853" s="4">
        <v>45108</v>
      </c>
      <c r="P853" t="s">
        <v>89</v>
      </c>
      <c r="Q853" s="4">
        <v>45288</v>
      </c>
      <c r="S853" t="s">
        <v>4770</v>
      </c>
      <c r="U853">
        <v>3803.58</v>
      </c>
      <c r="V853">
        <v>0.39999947417958875</v>
      </c>
      <c r="W853" t="s">
        <v>16</v>
      </c>
      <c r="X853" t="s">
        <v>3911</v>
      </c>
      <c r="Z853" t="s">
        <v>89</v>
      </c>
      <c r="AA853" t="s">
        <v>89</v>
      </c>
      <c r="AC853" t="s">
        <v>89</v>
      </c>
      <c r="AD853">
        <v>0</v>
      </c>
      <c r="AE853" t="s">
        <v>9251</v>
      </c>
      <c r="AF853" s="4"/>
    </row>
    <row r="854" spans="1:32">
      <c r="A854" t="s">
        <v>10616</v>
      </c>
      <c r="B854" t="s">
        <v>9366</v>
      </c>
      <c r="D854" t="s">
        <v>54</v>
      </c>
      <c r="E854" t="s">
        <v>10617</v>
      </c>
      <c r="F854" t="s">
        <v>4771</v>
      </c>
      <c r="G854">
        <v>3160.43</v>
      </c>
      <c r="I854">
        <v>3160.43</v>
      </c>
      <c r="J854">
        <v>3160.43</v>
      </c>
      <c r="K854" s="4">
        <v>45017</v>
      </c>
      <c r="L854" s="4">
        <v>45017</v>
      </c>
      <c r="M854">
        <v>2023</v>
      </c>
      <c r="N854">
        <v>4</v>
      </c>
      <c r="O854" s="4">
        <v>45017</v>
      </c>
      <c r="P854" t="s">
        <v>89</v>
      </c>
      <c r="Q854" s="4">
        <v>45288</v>
      </c>
      <c r="S854" t="s">
        <v>4772</v>
      </c>
      <c r="U854">
        <v>7901.07</v>
      </c>
      <c r="V854">
        <v>0.40000025313027221</v>
      </c>
      <c r="W854" t="s">
        <v>16</v>
      </c>
      <c r="X854" t="s">
        <v>3911</v>
      </c>
      <c r="Z854" t="s">
        <v>89</v>
      </c>
      <c r="AA854" t="s">
        <v>89</v>
      </c>
      <c r="AC854" t="s">
        <v>89</v>
      </c>
      <c r="AD854" t="s">
        <v>89</v>
      </c>
      <c r="AE854" t="s">
        <v>3652</v>
      </c>
      <c r="AF854" s="4"/>
    </row>
    <row r="855" spans="1:32">
      <c r="A855" t="s">
        <v>10618</v>
      </c>
      <c r="B855" t="s">
        <v>9366</v>
      </c>
      <c r="D855" t="s">
        <v>54</v>
      </c>
      <c r="E855" t="s">
        <v>10619</v>
      </c>
      <c r="F855" t="s">
        <v>4773</v>
      </c>
      <c r="G855">
        <v>1521.43</v>
      </c>
      <c r="I855">
        <v>1521.43</v>
      </c>
      <c r="J855">
        <v>1521.43</v>
      </c>
      <c r="K855" s="4">
        <v>45017</v>
      </c>
      <c r="L855" s="4">
        <v>45017</v>
      </c>
      <c r="M855">
        <v>2023</v>
      </c>
      <c r="N855">
        <v>4</v>
      </c>
      <c r="O855" s="4">
        <v>45017</v>
      </c>
      <c r="P855" t="s">
        <v>89</v>
      </c>
      <c r="Q855" s="4">
        <v>45288</v>
      </c>
      <c r="S855" t="s">
        <v>2712</v>
      </c>
      <c r="U855">
        <v>3803.58</v>
      </c>
      <c r="V855">
        <v>0.39999947417958875</v>
      </c>
      <c r="W855" t="s">
        <v>16</v>
      </c>
      <c r="X855" t="s">
        <v>3911</v>
      </c>
      <c r="Z855" t="s">
        <v>89</v>
      </c>
      <c r="AA855" t="s">
        <v>89</v>
      </c>
      <c r="AC855" t="s">
        <v>89</v>
      </c>
      <c r="AD855">
        <v>0</v>
      </c>
      <c r="AE855" t="s">
        <v>9251</v>
      </c>
      <c r="AF855" s="4"/>
    </row>
    <row r="856" spans="1:32">
      <c r="A856" t="s">
        <v>10620</v>
      </c>
      <c r="B856" t="s">
        <v>9366</v>
      </c>
      <c r="D856" t="s">
        <v>54</v>
      </c>
      <c r="E856" t="s">
        <v>10621</v>
      </c>
      <c r="F856" t="s">
        <v>4774</v>
      </c>
      <c r="G856">
        <v>1521.43</v>
      </c>
      <c r="I856">
        <v>1521.43</v>
      </c>
      <c r="J856">
        <v>1521.43</v>
      </c>
      <c r="K856" s="4">
        <v>45017</v>
      </c>
      <c r="L856" s="4">
        <v>45017</v>
      </c>
      <c r="M856">
        <v>2023</v>
      </c>
      <c r="N856">
        <v>4</v>
      </c>
      <c r="O856" s="4">
        <v>45017</v>
      </c>
      <c r="P856" t="s">
        <v>89</v>
      </c>
      <c r="Q856" s="4">
        <v>45288</v>
      </c>
      <c r="S856" t="s">
        <v>4775</v>
      </c>
      <c r="U856">
        <v>3803.58</v>
      </c>
      <c r="V856">
        <v>0.39999947417958875</v>
      </c>
      <c r="W856" t="s">
        <v>16</v>
      </c>
      <c r="X856" t="s">
        <v>3911</v>
      </c>
      <c r="Z856" t="s">
        <v>89</v>
      </c>
      <c r="AA856" t="s">
        <v>89</v>
      </c>
      <c r="AC856" t="s">
        <v>89</v>
      </c>
      <c r="AD856">
        <v>0</v>
      </c>
      <c r="AE856" t="s">
        <v>9251</v>
      </c>
      <c r="AF856" s="4"/>
    </row>
    <row r="857" spans="1:32">
      <c r="A857" t="s">
        <v>10622</v>
      </c>
      <c r="B857" t="s">
        <v>9366</v>
      </c>
      <c r="D857" t="s">
        <v>54</v>
      </c>
      <c r="E857" t="s">
        <v>10623</v>
      </c>
      <c r="F857" t="s">
        <v>4776</v>
      </c>
      <c r="G857">
        <v>2990.21</v>
      </c>
      <c r="I857">
        <v>2990.21</v>
      </c>
      <c r="J857">
        <v>2990.21</v>
      </c>
      <c r="K857" s="4">
        <v>45017</v>
      </c>
      <c r="L857" s="4">
        <v>45017</v>
      </c>
      <c r="M857">
        <v>2023</v>
      </c>
      <c r="N857">
        <v>4</v>
      </c>
      <c r="O857" s="4">
        <v>45017</v>
      </c>
      <c r="P857" t="s">
        <v>89</v>
      </c>
      <c r="Q857" s="4">
        <v>45288</v>
      </c>
      <c r="S857" t="s">
        <v>2641</v>
      </c>
      <c r="U857">
        <v>7475.53</v>
      </c>
      <c r="V857">
        <v>0.39999973246044096</v>
      </c>
      <c r="W857" t="s">
        <v>16</v>
      </c>
      <c r="X857" t="s">
        <v>3911</v>
      </c>
      <c r="Z857" t="s">
        <v>89</v>
      </c>
      <c r="AA857" t="s">
        <v>89</v>
      </c>
      <c r="AC857" t="s">
        <v>89</v>
      </c>
      <c r="AD857">
        <v>0</v>
      </c>
      <c r="AE857" t="s">
        <v>9251</v>
      </c>
      <c r="AF857" s="4"/>
    </row>
    <row r="858" spans="1:32">
      <c r="A858" t="s">
        <v>10624</v>
      </c>
      <c r="B858" t="s">
        <v>9366</v>
      </c>
      <c r="D858" t="s">
        <v>54</v>
      </c>
      <c r="E858" t="s">
        <v>10625</v>
      </c>
      <c r="F858" t="s">
        <v>4777</v>
      </c>
      <c r="G858">
        <v>2990.21</v>
      </c>
      <c r="I858">
        <v>2990.21</v>
      </c>
      <c r="J858">
        <v>2990.21</v>
      </c>
      <c r="K858" s="4">
        <v>45017</v>
      </c>
      <c r="L858" s="4">
        <v>45017</v>
      </c>
      <c r="M858">
        <v>2023</v>
      </c>
      <c r="N858">
        <v>4</v>
      </c>
      <c r="O858" s="4">
        <v>45017</v>
      </c>
      <c r="P858" t="s">
        <v>89</v>
      </c>
      <c r="Q858" s="4">
        <v>45288</v>
      </c>
      <c r="S858" t="s">
        <v>4778</v>
      </c>
      <c r="U858">
        <v>7475.53</v>
      </c>
      <c r="V858">
        <v>0.39999973246044096</v>
      </c>
      <c r="W858" t="s">
        <v>16</v>
      </c>
      <c r="X858" t="s">
        <v>3911</v>
      </c>
      <c r="Z858" t="s">
        <v>89</v>
      </c>
      <c r="AA858" t="s">
        <v>89</v>
      </c>
      <c r="AC858" t="s">
        <v>89</v>
      </c>
      <c r="AD858" t="s">
        <v>89</v>
      </c>
      <c r="AE858" t="s">
        <v>3652</v>
      </c>
      <c r="AF858" s="4"/>
    </row>
    <row r="859" spans="1:32">
      <c r="A859" t="s">
        <v>10626</v>
      </c>
      <c r="B859" t="s">
        <v>9366</v>
      </c>
      <c r="D859" t="s">
        <v>54</v>
      </c>
      <c r="E859" t="s">
        <v>10627</v>
      </c>
      <c r="F859" t="s">
        <v>4779</v>
      </c>
      <c r="G859">
        <v>4091.8</v>
      </c>
      <c r="I859">
        <v>4091.8</v>
      </c>
      <c r="J859">
        <v>4091.8</v>
      </c>
      <c r="K859" s="4">
        <v>45108</v>
      </c>
      <c r="L859" s="4">
        <v>45108</v>
      </c>
      <c r="M859">
        <v>2023</v>
      </c>
      <c r="N859">
        <v>7</v>
      </c>
      <c r="O859" s="4">
        <v>45108</v>
      </c>
      <c r="P859" t="s">
        <v>89</v>
      </c>
      <c r="Q859" s="4">
        <v>45288</v>
      </c>
      <c r="S859" t="s">
        <v>2708</v>
      </c>
      <c r="U859">
        <v>10229.49</v>
      </c>
      <c r="V859">
        <v>0.40000039102633661</v>
      </c>
      <c r="W859" t="s">
        <v>16</v>
      </c>
      <c r="X859" t="s">
        <v>3911</v>
      </c>
      <c r="Z859" t="s">
        <v>89</v>
      </c>
      <c r="AA859" t="s">
        <v>89</v>
      </c>
      <c r="AC859" t="s">
        <v>89</v>
      </c>
      <c r="AD859">
        <v>0</v>
      </c>
      <c r="AE859" t="s">
        <v>9251</v>
      </c>
      <c r="AF859" s="4"/>
    </row>
    <row r="860" spans="1:32">
      <c r="A860" t="s">
        <v>10628</v>
      </c>
      <c r="B860" t="s">
        <v>9366</v>
      </c>
      <c r="D860" t="s">
        <v>54</v>
      </c>
      <c r="E860" t="s">
        <v>10629</v>
      </c>
      <c r="F860" t="s">
        <v>4780</v>
      </c>
      <c r="G860">
        <v>4091.8</v>
      </c>
      <c r="I860">
        <v>4091.8</v>
      </c>
      <c r="J860">
        <v>4091.8</v>
      </c>
      <c r="K860" s="4">
        <v>45108</v>
      </c>
      <c r="L860" s="4">
        <v>45108</v>
      </c>
      <c r="M860">
        <v>2023</v>
      </c>
      <c r="N860">
        <v>7</v>
      </c>
      <c r="O860" s="4">
        <v>45108</v>
      </c>
      <c r="P860" t="s">
        <v>89</v>
      </c>
      <c r="Q860" s="4">
        <v>45288</v>
      </c>
      <c r="S860" t="s">
        <v>4781</v>
      </c>
      <c r="U860">
        <v>10229.49</v>
      </c>
      <c r="V860">
        <v>0.40000039102633661</v>
      </c>
      <c r="W860" t="s">
        <v>16</v>
      </c>
      <c r="X860" t="s">
        <v>3911</v>
      </c>
      <c r="Z860" t="s">
        <v>89</v>
      </c>
      <c r="AA860" t="s">
        <v>89</v>
      </c>
      <c r="AC860" t="s">
        <v>89</v>
      </c>
      <c r="AD860" t="s">
        <v>89</v>
      </c>
      <c r="AE860" t="s">
        <v>3652</v>
      </c>
      <c r="AF860" s="4"/>
    </row>
    <row r="861" spans="1:32">
      <c r="A861" t="s">
        <v>10630</v>
      </c>
      <c r="B861" t="s">
        <v>9366</v>
      </c>
      <c r="C861" t="s">
        <v>4788</v>
      </c>
      <c r="D861" t="s">
        <v>54</v>
      </c>
      <c r="E861" t="s">
        <v>10631</v>
      </c>
      <c r="F861" t="s">
        <v>4787</v>
      </c>
      <c r="I861">
        <v>0</v>
      </c>
      <c r="K861" s="4">
        <v>45372</v>
      </c>
      <c r="L861" s="4">
        <v>45372</v>
      </c>
      <c r="M861">
        <v>2024</v>
      </c>
      <c r="N861">
        <v>3</v>
      </c>
      <c r="O861" s="4">
        <v>45352</v>
      </c>
      <c r="Q861" s="4"/>
      <c r="R861" t="s">
        <v>4786</v>
      </c>
      <c r="S861" t="s">
        <v>3142</v>
      </c>
      <c r="W861" t="s">
        <v>16</v>
      </c>
      <c r="X861" t="s">
        <v>4784</v>
      </c>
      <c r="AD861" t="s">
        <v>837</v>
      </c>
      <c r="AE861" t="s">
        <v>9251</v>
      </c>
      <c r="AF861" s="4"/>
    </row>
    <row r="862" spans="1:32">
      <c r="A862" t="s">
        <v>10632</v>
      </c>
      <c r="B862" t="s">
        <v>9366</v>
      </c>
      <c r="C862" t="s">
        <v>4790</v>
      </c>
      <c r="D862" t="s">
        <v>54</v>
      </c>
      <c r="E862" t="s">
        <v>10633</v>
      </c>
      <c r="F862" t="s">
        <v>4789</v>
      </c>
      <c r="I862">
        <v>0</v>
      </c>
      <c r="K862" s="4">
        <v>45372</v>
      </c>
      <c r="L862" s="4">
        <v>45372</v>
      </c>
      <c r="M862">
        <v>2024</v>
      </c>
      <c r="N862">
        <v>3</v>
      </c>
      <c r="O862" s="4">
        <v>45352</v>
      </c>
      <c r="Q862" s="4"/>
      <c r="R862" t="s">
        <v>4786</v>
      </c>
      <c r="S862" t="s">
        <v>3144</v>
      </c>
      <c r="W862" t="s">
        <v>16</v>
      </c>
      <c r="X862" t="s">
        <v>4784</v>
      </c>
      <c r="AD862" t="s">
        <v>837</v>
      </c>
      <c r="AE862" t="s">
        <v>9251</v>
      </c>
      <c r="AF862" s="4"/>
    </row>
    <row r="863" spans="1:32">
      <c r="A863" t="s">
        <v>10634</v>
      </c>
      <c r="B863" t="s">
        <v>9366</v>
      </c>
      <c r="C863" t="s">
        <v>4792</v>
      </c>
      <c r="D863" t="s">
        <v>54</v>
      </c>
      <c r="E863" t="s">
        <v>10635</v>
      </c>
      <c r="F863" t="s">
        <v>4791</v>
      </c>
      <c r="I863">
        <v>0</v>
      </c>
      <c r="K863" s="4">
        <v>45372</v>
      </c>
      <c r="L863" s="4">
        <v>45372</v>
      </c>
      <c r="M863">
        <v>2024</v>
      </c>
      <c r="N863">
        <v>3</v>
      </c>
      <c r="O863" s="4">
        <v>45352</v>
      </c>
      <c r="Q863" s="4"/>
      <c r="R863" t="s">
        <v>4786</v>
      </c>
      <c r="S863" t="s">
        <v>3141</v>
      </c>
      <c r="W863" t="s">
        <v>16</v>
      </c>
      <c r="X863" t="s">
        <v>4784</v>
      </c>
      <c r="AD863" t="s">
        <v>837</v>
      </c>
      <c r="AE863" t="s">
        <v>9251</v>
      </c>
      <c r="AF863" s="4"/>
    </row>
    <row r="864" spans="1:32">
      <c r="A864" t="s">
        <v>10636</v>
      </c>
      <c r="B864" t="s">
        <v>9366</v>
      </c>
      <c r="C864" t="s">
        <v>4549</v>
      </c>
      <c r="D864" t="s">
        <v>54</v>
      </c>
      <c r="E864" t="s">
        <v>10110</v>
      </c>
      <c r="F864" t="s">
        <v>4548</v>
      </c>
      <c r="G864">
        <v>1553.184</v>
      </c>
      <c r="I864">
        <v>1553.184</v>
      </c>
      <c r="K864" s="4">
        <v>45506</v>
      </c>
      <c r="L864" s="4">
        <v>45509</v>
      </c>
      <c r="M864">
        <v>2024</v>
      </c>
      <c r="N864">
        <v>8</v>
      </c>
      <c r="O864" s="4">
        <v>45505</v>
      </c>
      <c r="P864" t="s">
        <v>625</v>
      </c>
      <c r="Q864" s="4"/>
      <c r="S864" t="s">
        <v>3326</v>
      </c>
      <c r="T864">
        <v>45551</v>
      </c>
      <c r="U864">
        <v>2588.64</v>
      </c>
      <c r="V864">
        <v>0.6</v>
      </c>
      <c r="W864" t="s">
        <v>16</v>
      </c>
      <c r="X864" t="s">
        <v>3665</v>
      </c>
      <c r="Z864">
        <v>46</v>
      </c>
      <c r="AA864">
        <v>43</v>
      </c>
      <c r="AB864" t="s">
        <v>10243</v>
      </c>
      <c r="AE864" t="s">
        <v>9251</v>
      </c>
      <c r="AF864" s="4"/>
    </row>
    <row r="865" spans="1:32">
      <c r="A865" t="s">
        <v>10637</v>
      </c>
      <c r="B865" t="s">
        <v>9366</v>
      </c>
      <c r="D865" t="s">
        <v>54</v>
      </c>
      <c r="E865" t="s">
        <v>10638</v>
      </c>
      <c r="F865" t="s">
        <v>4814</v>
      </c>
      <c r="G865">
        <v>2623.02</v>
      </c>
      <c r="I865">
        <v>2623.02</v>
      </c>
      <c r="J865">
        <v>2623.02</v>
      </c>
      <c r="K865" s="4">
        <v>45017</v>
      </c>
      <c r="L865" s="4">
        <v>45017</v>
      </c>
      <c r="M865">
        <v>2023</v>
      </c>
      <c r="N865">
        <v>4</v>
      </c>
      <c r="O865" s="4">
        <v>45017</v>
      </c>
      <c r="P865" t="s">
        <v>89</v>
      </c>
      <c r="Q865" s="4">
        <v>45153</v>
      </c>
      <c r="S865" t="s">
        <v>2645</v>
      </c>
      <c r="U865">
        <v>6557.54</v>
      </c>
      <c r="V865">
        <v>0.40000060998484188</v>
      </c>
      <c r="W865" t="s">
        <v>16</v>
      </c>
      <c r="X865" t="s">
        <v>4784</v>
      </c>
      <c r="Z865" t="s">
        <v>89</v>
      </c>
      <c r="AA865" t="s">
        <v>89</v>
      </c>
      <c r="AC865" t="s">
        <v>89</v>
      </c>
      <c r="AD865" t="s">
        <v>89</v>
      </c>
      <c r="AE865" t="s">
        <v>3652</v>
      </c>
      <c r="AF865" s="4"/>
    </row>
    <row r="866" spans="1:32">
      <c r="A866" t="s">
        <v>10639</v>
      </c>
      <c r="B866" t="s">
        <v>9366</v>
      </c>
      <c r="C866" t="s">
        <v>10640</v>
      </c>
      <c r="D866" t="s">
        <v>54</v>
      </c>
      <c r="E866" t="s">
        <v>10641</v>
      </c>
      <c r="F866" t="s">
        <v>4868</v>
      </c>
      <c r="G866">
        <v>4835.8500000000004</v>
      </c>
      <c r="I866">
        <v>4835.8500000000004</v>
      </c>
      <c r="K866" s="4">
        <v>45042</v>
      </c>
      <c r="L866" s="4">
        <v>45079</v>
      </c>
      <c r="M866">
        <v>2023</v>
      </c>
      <c r="N866">
        <v>4</v>
      </c>
      <c r="O866" s="4">
        <v>45017</v>
      </c>
      <c r="P866" t="s">
        <v>837</v>
      </c>
      <c r="Q866" s="4"/>
      <c r="R866" t="s">
        <v>4870</v>
      </c>
      <c r="S866" t="s">
        <v>2830</v>
      </c>
      <c r="U866">
        <v>12089.63</v>
      </c>
      <c r="V866">
        <v>0.39999983456896537</v>
      </c>
      <c r="W866" t="s">
        <v>16</v>
      </c>
      <c r="X866" t="s">
        <v>4109</v>
      </c>
      <c r="Z866">
        <v>510</v>
      </c>
      <c r="AA866">
        <v>473</v>
      </c>
      <c r="AC866" t="s">
        <v>837</v>
      </c>
      <c r="AD866" t="s">
        <v>837</v>
      </c>
      <c r="AE866" t="s">
        <v>3652</v>
      </c>
      <c r="AF866" s="4"/>
    </row>
    <row r="867" spans="1:32">
      <c r="A867" t="s">
        <v>10642</v>
      </c>
      <c r="B867" t="s">
        <v>9366</v>
      </c>
      <c r="D867" t="s">
        <v>54</v>
      </c>
      <c r="E867" t="s">
        <v>10643</v>
      </c>
      <c r="F867" t="s">
        <v>4829</v>
      </c>
      <c r="G867">
        <v>561.54999999999995</v>
      </c>
      <c r="I867">
        <v>561.54999999999995</v>
      </c>
      <c r="J867">
        <v>561.54999999999995</v>
      </c>
      <c r="K867" s="4">
        <v>45047</v>
      </c>
      <c r="L867" s="4">
        <v>45047</v>
      </c>
      <c r="M867">
        <v>2023</v>
      </c>
      <c r="N867">
        <v>5</v>
      </c>
      <c r="O867" s="4">
        <v>45047</v>
      </c>
      <c r="P867" t="s">
        <v>89</v>
      </c>
      <c r="Q867" s="4">
        <v>45212</v>
      </c>
      <c r="S867" t="s">
        <v>4830</v>
      </c>
      <c r="U867">
        <v>1403.87</v>
      </c>
      <c r="V867">
        <v>0.40000142463333499</v>
      </c>
      <c r="W867" t="s">
        <v>16</v>
      </c>
      <c r="X867" t="s">
        <v>4215</v>
      </c>
      <c r="Z867" t="s">
        <v>89</v>
      </c>
      <c r="AA867" t="s">
        <v>89</v>
      </c>
      <c r="AC867" t="s">
        <v>89</v>
      </c>
      <c r="AD867">
        <v>0</v>
      </c>
      <c r="AE867" t="s">
        <v>9251</v>
      </c>
      <c r="AF867" s="4"/>
    </row>
    <row r="868" spans="1:32">
      <c r="A868" t="s">
        <v>10644</v>
      </c>
      <c r="B868" t="s">
        <v>9366</v>
      </c>
      <c r="D868" t="s">
        <v>54</v>
      </c>
      <c r="E868" t="s">
        <v>10645</v>
      </c>
      <c r="F868" t="s">
        <v>4831</v>
      </c>
      <c r="G868">
        <v>561.54999999999995</v>
      </c>
      <c r="I868">
        <v>561.54999999999995</v>
      </c>
      <c r="J868">
        <v>561.54999999999995</v>
      </c>
      <c r="K868" s="4">
        <v>45047</v>
      </c>
      <c r="L868" s="4">
        <v>45047</v>
      </c>
      <c r="M868">
        <v>2023</v>
      </c>
      <c r="N868">
        <v>5</v>
      </c>
      <c r="O868" s="4">
        <v>45047</v>
      </c>
      <c r="P868" t="s">
        <v>89</v>
      </c>
      <c r="Q868" s="4">
        <v>45121</v>
      </c>
      <c r="S868" t="s">
        <v>4832</v>
      </c>
      <c r="U868">
        <v>1403.87</v>
      </c>
      <c r="V868">
        <v>0.40000142463333499</v>
      </c>
      <c r="W868" t="s">
        <v>16</v>
      </c>
      <c r="X868" t="s">
        <v>4215</v>
      </c>
      <c r="Z868" t="s">
        <v>89</v>
      </c>
      <c r="AA868" t="s">
        <v>89</v>
      </c>
      <c r="AC868" t="s">
        <v>89</v>
      </c>
      <c r="AD868">
        <v>0</v>
      </c>
      <c r="AE868" t="s">
        <v>9251</v>
      </c>
      <c r="AF868" s="4"/>
    </row>
    <row r="869" spans="1:32">
      <c r="A869" t="s">
        <v>10646</v>
      </c>
      <c r="B869" t="s">
        <v>9366</v>
      </c>
      <c r="D869" t="s">
        <v>54</v>
      </c>
      <c r="E869" t="s">
        <v>10647</v>
      </c>
      <c r="F869" t="s">
        <v>4833</v>
      </c>
      <c r="G869">
        <v>561.54999999999995</v>
      </c>
      <c r="I869">
        <v>561.54999999999995</v>
      </c>
      <c r="J869">
        <v>561.54999999999995</v>
      </c>
      <c r="K869" s="4">
        <v>45047</v>
      </c>
      <c r="L869" s="4">
        <v>45047</v>
      </c>
      <c r="M869">
        <v>2023</v>
      </c>
      <c r="N869">
        <v>5</v>
      </c>
      <c r="O869" s="4">
        <v>45047</v>
      </c>
      <c r="P869" t="s">
        <v>89</v>
      </c>
      <c r="Q869" s="4">
        <v>45121</v>
      </c>
      <c r="S869" t="s">
        <v>4834</v>
      </c>
      <c r="U869">
        <v>1403.87</v>
      </c>
      <c r="V869">
        <v>0.40000142463333499</v>
      </c>
      <c r="W869" t="s">
        <v>16</v>
      </c>
      <c r="X869" t="s">
        <v>4215</v>
      </c>
      <c r="Z869" t="s">
        <v>89</v>
      </c>
      <c r="AA869" t="s">
        <v>89</v>
      </c>
      <c r="AC869" t="s">
        <v>89</v>
      </c>
      <c r="AD869" t="s">
        <v>89</v>
      </c>
      <c r="AE869" t="s">
        <v>3652</v>
      </c>
      <c r="AF869" s="4"/>
    </row>
    <row r="870" spans="1:32">
      <c r="A870" t="s">
        <v>10648</v>
      </c>
      <c r="B870" t="s">
        <v>9366</v>
      </c>
      <c r="D870" t="s">
        <v>54</v>
      </c>
      <c r="E870" t="s">
        <v>10649</v>
      </c>
      <c r="F870" t="s">
        <v>4835</v>
      </c>
      <c r="G870">
        <v>561.54999999999995</v>
      </c>
      <c r="I870">
        <v>561.54999999999995</v>
      </c>
      <c r="J870">
        <v>561.54999999999995</v>
      </c>
      <c r="K870" s="4">
        <v>45047</v>
      </c>
      <c r="L870" s="4">
        <v>45047</v>
      </c>
      <c r="M870">
        <v>2023</v>
      </c>
      <c r="N870">
        <v>5</v>
      </c>
      <c r="O870" s="4">
        <v>45047</v>
      </c>
      <c r="P870" t="s">
        <v>89</v>
      </c>
      <c r="Q870" s="4">
        <v>45121</v>
      </c>
      <c r="S870" t="s">
        <v>4836</v>
      </c>
      <c r="U870">
        <v>1403.87</v>
      </c>
      <c r="V870">
        <v>0.40000142463333499</v>
      </c>
      <c r="W870" t="s">
        <v>16</v>
      </c>
      <c r="X870" t="s">
        <v>4215</v>
      </c>
      <c r="Z870" t="s">
        <v>89</v>
      </c>
      <c r="AA870" t="s">
        <v>89</v>
      </c>
      <c r="AC870" t="s">
        <v>89</v>
      </c>
      <c r="AD870" t="s">
        <v>89</v>
      </c>
      <c r="AE870" t="s">
        <v>3652</v>
      </c>
      <c r="AF870" s="4"/>
    </row>
    <row r="871" spans="1:32">
      <c r="A871" t="s">
        <v>10650</v>
      </c>
      <c r="B871" t="s">
        <v>9366</v>
      </c>
      <c r="D871" t="s">
        <v>54</v>
      </c>
      <c r="E871" t="s">
        <v>10651</v>
      </c>
      <c r="F871" t="s">
        <v>4837</v>
      </c>
      <c r="G871">
        <v>561.54999999999995</v>
      </c>
      <c r="I871">
        <v>561.54999999999995</v>
      </c>
      <c r="J871">
        <v>561.54999999999995</v>
      </c>
      <c r="K871" s="4">
        <v>45047</v>
      </c>
      <c r="L871" s="4">
        <v>45047</v>
      </c>
      <c r="M871">
        <v>2023</v>
      </c>
      <c r="N871">
        <v>5</v>
      </c>
      <c r="O871" s="4">
        <v>45047</v>
      </c>
      <c r="P871" t="s">
        <v>89</v>
      </c>
      <c r="Q871" s="4">
        <v>45121</v>
      </c>
      <c r="S871" t="s">
        <v>4838</v>
      </c>
      <c r="U871">
        <v>1403.87</v>
      </c>
      <c r="V871">
        <v>0.40000142463333499</v>
      </c>
      <c r="W871" t="s">
        <v>16</v>
      </c>
      <c r="X871" t="s">
        <v>4215</v>
      </c>
      <c r="Z871" t="s">
        <v>89</v>
      </c>
      <c r="AA871" t="s">
        <v>89</v>
      </c>
      <c r="AC871" t="s">
        <v>89</v>
      </c>
      <c r="AD871">
        <v>0</v>
      </c>
      <c r="AE871" t="s">
        <v>9251</v>
      </c>
      <c r="AF871" s="4"/>
    </row>
    <row r="872" spans="1:32">
      <c r="A872" t="s">
        <v>10652</v>
      </c>
      <c r="B872" t="s">
        <v>9366</v>
      </c>
      <c r="D872" t="s">
        <v>54</v>
      </c>
      <c r="E872" t="s">
        <v>10653</v>
      </c>
      <c r="F872" t="s">
        <v>4839</v>
      </c>
      <c r="G872">
        <v>561.54999999999995</v>
      </c>
      <c r="I872">
        <v>561.54999999999995</v>
      </c>
      <c r="J872">
        <v>561.54999999999995</v>
      </c>
      <c r="K872" s="4">
        <v>45047</v>
      </c>
      <c r="L872" s="4">
        <v>45047</v>
      </c>
      <c r="M872">
        <v>2023</v>
      </c>
      <c r="N872">
        <v>5</v>
      </c>
      <c r="O872" s="4">
        <v>45047</v>
      </c>
      <c r="P872" t="s">
        <v>89</v>
      </c>
      <c r="Q872" s="4">
        <v>45121</v>
      </c>
      <c r="S872" t="s">
        <v>4840</v>
      </c>
      <c r="U872">
        <v>1403.87</v>
      </c>
      <c r="V872">
        <v>0.40000142463333499</v>
      </c>
      <c r="W872" t="s">
        <v>16</v>
      </c>
      <c r="X872" t="s">
        <v>4215</v>
      </c>
      <c r="Z872" t="s">
        <v>89</v>
      </c>
      <c r="AA872" t="s">
        <v>89</v>
      </c>
      <c r="AC872" t="s">
        <v>89</v>
      </c>
      <c r="AD872">
        <v>0</v>
      </c>
      <c r="AE872" t="s">
        <v>9251</v>
      </c>
      <c r="AF872" s="4"/>
    </row>
    <row r="873" spans="1:32">
      <c r="A873" t="s">
        <v>10654</v>
      </c>
      <c r="B873" t="s">
        <v>9366</v>
      </c>
      <c r="D873" t="s">
        <v>54</v>
      </c>
      <c r="E873" t="s">
        <v>10655</v>
      </c>
      <c r="F873" t="s">
        <v>4841</v>
      </c>
      <c r="G873">
        <v>3133.1</v>
      </c>
      <c r="I873">
        <v>3133.1</v>
      </c>
      <c r="J873">
        <v>3133.1</v>
      </c>
      <c r="K873" s="4">
        <v>45108</v>
      </c>
      <c r="L873" s="4">
        <v>45108</v>
      </c>
      <c r="M873">
        <v>2023</v>
      </c>
      <c r="N873">
        <v>7</v>
      </c>
      <c r="O873" s="4">
        <v>45108</v>
      </c>
      <c r="P873" t="s">
        <v>89</v>
      </c>
      <c r="Q873" s="4">
        <v>45121</v>
      </c>
      <c r="S873" t="s">
        <v>4842</v>
      </c>
      <c r="U873">
        <v>7832.76</v>
      </c>
      <c r="V873">
        <v>0.399999489324325</v>
      </c>
      <c r="W873" t="s">
        <v>16</v>
      </c>
      <c r="X873" t="s">
        <v>4215</v>
      </c>
      <c r="Z873" t="s">
        <v>89</v>
      </c>
      <c r="AA873" t="s">
        <v>89</v>
      </c>
      <c r="AC873" t="s">
        <v>89</v>
      </c>
      <c r="AD873" t="s">
        <v>89</v>
      </c>
      <c r="AE873" t="s">
        <v>3652</v>
      </c>
      <c r="AF873" s="4"/>
    </row>
    <row r="874" spans="1:32">
      <c r="A874" t="s">
        <v>10656</v>
      </c>
      <c r="B874" t="s">
        <v>9366</v>
      </c>
      <c r="D874" t="s">
        <v>54</v>
      </c>
      <c r="E874" t="s">
        <v>10657</v>
      </c>
      <c r="F874" t="s">
        <v>4843</v>
      </c>
      <c r="G874">
        <v>3133.1</v>
      </c>
      <c r="I874">
        <v>3133.1</v>
      </c>
      <c r="J874">
        <v>3133.1</v>
      </c>
      <c r="K874" s="4">
        <v>45108</v>
      </c>
      <c r="L874" s="4">
        <v>45108</v>
      </c>
      <c r="M874">
        <v>2023</v>
      </c>
      <c r="N874">
        <v>7</v>
      </c>
      <c r="O874" s="4">
        <v>45108</v>
      </c>
      <c r="P874" t="s">
        <v>89</v>
      </c>
      <c r="Q874" s="4">
        <v>45212</v>
      </c>
      <c r="S874" t="s">
        <v>4844</v>
      </c>
      <c r="U874">
        <v>7832.76</v>
      </c>
      <c r="V874">
        <v>0.399999489324325</v>
      </c>
      <c r="W874" t="s">
        <v>16</v>
      </c>
      <c r="X874" t="s">
        <v>4215</v>
      </c>
      <c r="Z874" t="s">
        <v>89</v>
      </c>
      <c r="AA874" t="s">
        <v>89</v>
      </c>
      <c r="AC874" t="s">
        <v>89</v>
      </c>
      <c r="AD874">
        <v>0</v>
      </c>
      <c r="AE874" t="s">
        <v>9251</v>
      </c>
      <c r="AF874" s="4"/>
    </row>
    <row r="875" spans="1:32">
      <c r="A875" t="s">
        <v>10658</v>
      </c>
      <c r="B875" t="s">
        <v>9366</v>
      </c>
      <c r="D875" t="s">
        <v>54</v>
      </c>
      <c r="E875" t="s">
        <v>10659</v>
      </c>
      <c r="F875" t="s">
        <v>4845</v>
      </c>
      <c r="G875">
        <v>561.54999999999995</v>
      </c>
      <c r="I875">
        <v>561.54999999999995</v>
      </c>
      <c r="J875">
        <v>561.54999999999995</v>
      </c>
      <c r="K875" s="4">
        <v>45047</v>
      </c>
      <c r="L875" s="4">
        <v>45047</v>
      </c>
      <c r="M875">
        <v>2023</v>
      </c>
      <c r="N875">
        <v>5</v>
      </c>
      <c r="O875" s="4">
        <v>45047</v>
      </c>
      <c r="P875" t="s">
        <v>89</v>
      </c>
      <c r="Q875" s="4">
        <v>45212</v>
      </c>
      <c r="S875" t="s">
        <v>4846</v>
      </c>
      <c r="U875">
        <v>1403.87</v>
      </c>
      <c r="V875">
        <v>0.40000142463333499</v>
      </c>
      <c r="W875" t="s">
        <v>16</v>
      </c>
      <c r="X875" t="s">
        <v>4215</v>
      </c>
      <c r="Z875" t="s">
        <v>89</v>
      </c>
      <c r="AA875" t="s">
        <v>89</v>
      </c>
      <c r="AC875" t="s">
        <v>89</v>
      </c>
      <c r="AD875">
        <v>0</v>
      </c>
      <c r="AE875" t="s">
        <v>9251</v>
      </c>
      <c r="AF875" s="4"/>
    </row>
    <row r="876" spans="1:32">
      <c r="A876" t="s">
        <v>10660</v>
      </c>
      <c r="B876" t="s">
        <v>9366</v>
      </c>
      <c r="D876" t="s">
        <v>54</v>
      </c>
      <c r="E876" t="s">
        <v>10661</v>
      </c>
      <c r="F876" t="s">
        <v>4847</v>
      </c>
      <c r="G876">
        <v>561.54999999999995</v>
      </c>
      <c r="I876">
        <v>561.54999999999995</v>
      </c>
      <c r="J876">
        <v>561.54999999999995</v>
      </c>
      <c r="K876" s="4">
        <v>45047</v>
      </c>
      <c r="L876" s="4">
        <v>45047</v>
      </c>
      <c r="M876">
        <v>2023</v>
      </c>
      <c r="N876">
        <v>5</v>
      </c>
      <c r="O876" s="4">
        <v>45047</v>
      </c>
      <c r="P876" t="s">
        <v>89</v>
      </c>
      <c r="Q876" s="4">
        <v>45121</v>
      </c>
      <c r="S876" t="s">
        <v>4848</v>
      </c>
      <c r="U876">
        <v>1403.87</v>
      </c>
      <c r="V876">
        <v>0.40000142463333499</v>
      </c>
      <c r="W876" t="s">
        <v>16</v>
      </c>
      <c r="X876" t="s">
        <v>4215</v>
      </c>
      <c r="Z876" t="s">
        <v>89</v>
      </c>
      <c r="AA876" t="s">
        <v>89</v>
      </c>
      <c r="AC876" t="s">
        <v>89</v>
      </c>
      <c r="AD876">
        <v>0</v>
      </c>
      <c r="AE876" t="s">
        <v>9251</v>
      </c>
      <c r="AF876" s="4"/>
    </row>
    <row r="877" spans="1:32">
      <c r="A877" t="s">
        <v>10662</v>
      </c>
      <c r="B877" t="s">
        <v>9366</v>
      </c>
      <c r="D877" t="s">
        <v>54</v>
      </c>
      <c r="E877" t="s">
        <v>10663</v>
      </c>
      <c r="F877" t="s">
        <v>4849</v>
      </c>
      <c r="G877">
        <v>561.54999999999995</v>
      </c>
      <c r="I877">
        <v>561.54999999999995</v>
      </c>
      <c r="J877">
        <v>561.54999999999995</v>
      </c>
      <c r="K877" s="4">
        <v>45047</v>
      </c>
      <c r="L877" s="4">
        <v>45047</v>
      </c>
      <c r="M877">
        <v>2023</v>
      </c>
      <c r="N877">
        <v>5</v>
      </c>
      <c r="O877" s="4">
        <v>45047</v>
      </c>
      <c r="P877" t="s">
        <v>89</v>
      </c>
      <c r="Q877" s="4">
        <v>45121</v>
      </c>
      <c r="S877" t="s">
        <v>4850</v>
      </c>
      <c r="U877">
        <v>1403.87</v>
      </c>
      <c r="V877">
        <v>0.40000142463333499</v>
      </c>
      <c r="W877" t="s">
        <v>16</v>
      </c>
      <c r="X877" t="s">
        <v>4215</v>
      </c>
      <c r="Z877" t="s">
        <v>89</v>
      </c>
      <c r="AA877" t="s">
        <v>89</v>
      </c>
      <c r="AC877" t="s">
        <v>89</v>
      </c>
      <c r="AD877">
        <v>0</v>
      </c>
      <c r="AE877" t="s">
        <v>9251</v>
      </c>
      <c r="AF877" s="4"/>
    </row>
    <row r="878" spans="1:32">
      <c r="A878" t="s">
        <v>10664</v>
      </c>
      <c r="B878" t="s">
        <v>9366</v>
      </c>
      <c r="D878" t="s">
        <v>54</v>
      </c>
      <c r="E878" t="s">
        <v>10665</v>
      </c>
      <c r="F878" t="s">
        <v>4851</v>
      </c>
      <c r="G878">
        <v>561.54999999999995</v>
      </c>
      <c r="I878">
        <v>561.54999999999995</v>
      </c>
      <c r="J878">
        <v>561.54999999999995</v>
      </c>
      <c r="K878" s="4">
        <v>45047</v>
      </c>
      <c r="L878" s="4">
        <v>45047</v>
      </c>
      <c r="M878">
        <v>2023</v>
      </c>
      <c r="N878">
        <v>5</v>
      </c>
      <c r="O878" s="4">
        <v>45047</v>
      </c>
      <c r="P878" t="s">
        <v>89</v>
      </c>
      <c r="Q878" s="4">
        <v>45121</v>
      </c>
      <c r="S878" t="s">
        <v>4852</v>
      </c>
      <c r="U878">
        <v>1403.87</v>
      </c>
      <c r="V878">
        <v>0.40000142463333499</v>
      </c>
      <c r="W878" t="s">
        <v>16</v>
      </c>
      <c r="X878" t="s">
        <v>4215</v>
      </c>
      <c r="Z878" t="s">
        <v>89</v>
      </c>
      <c r="AA878" t="s">
        <v>89</v>
      </c>
      <c r="AC878" t="s">
        <v>89</v>
      </c>
      <c r="AD878">
        <v>0</v>
      </c>
      <c r="AE878" t="s">
        <v>9251</v>
      </c>
      <c r="AF878" s="4"/>
    </row>
    <row r="879" spans="1:32">
      <c r="A879" t="s">
        <v>10666</v>
      </c>
      <c r="B879" t="s">
        <v>9366</v>
      </c>
      <c r="D879" t="s">
        <v>54</v>
      </c>
      <c r="E879" t="s">
        <v>10667</v>
      </c>
      <c r="F879" t="s">
        <v>4853</v>
      </c>
      <c r="G879">
        <v>561.54999999999995</v>
      </c>
      <c r="I879">
        <v>561.54999999999995</v>
      </c>
      <c r="J879">
        <v>561.54999999999995</v>
      </c>
      <c r="K879" s="4">
        <v>45047</v>
      </c>
      <c r="L879" s="4">
        <v>45047</v>
      </c>
      <c r="M879">
        <v>2023</v>
      </c>
      <c r="N879">
        <v>5</v>
      </c>
      <c r="O879" s="4">
        <v>45047</v>
      </c>
      <c r="P879" t="s">
        <v>89</v>
      </c>
      <c r="Q879" s="4">
        <v>45121</v>
      </c>
      <c r="S879" t="s">
        <v>4854</v>
      </c>
      <c r="U879">
        <v>1403.87</v>
      </c>
      <c r="V879">
        <v>0.40000142463333499</v>
      </c>
      <c r="W879" t="s">
        <v>16</v>
      </c>
      <c r="X879" t="s">
        <v>4215</v>
      </c>
      <c r="Z879" t="s">
        <v>89</v>
      </c>
      <c r="AA879" t="s">
        <v>89</v>
      </c>
      <c r="AC879" t="s">
        <v>89</v>
      </c>
      <c r="AD879">
        <v>0</v>
      </c>
      <c r="AE879" t="s">
        <v>9251</v>
      </c>
      <c r="AF879" s="4"/>
    </row>
    <row r="880" spans="1:32">
      <c r="A880" t="s">
        <v>10668</v>
      </c>
      <c r="B880" t="s">
        <v>9366</v>
      </c>
      <c r="D880" t="s">
        <v>54</v>
      </c>
      <c r="E880" t="s">
        <v>10669</v>
      </c>
      <c r="F880" t="s">
        <v>4855</v>
      </c>
      <c r="G880">
        <v>561.54999999999995</v>
      </c>
      <c r="I880">
        <v>561.54999999999995</v>
      </c>
      <c r="J880">
        <v>561.54999999999995</v>
      </c>
      <c r="K880" s="4">
        <v>45108</v>
      </c>
      <c r="L880" s="4">
        <v>45108</v>
      </c>
      <c r="M880">
        <v>2023</v>
      </c>
      <c r="N880">
        <v>7</v>
      </c>
      <c r="O880" s="4">
        <v>45108</v>
      </c>
      <c r="P880" t="s">
        <v>89</v>
      </c>
      <c r="Q880" s="4">
        <v>45121</v>
      </c>
      <c r="S880" t="s">
        <v>4856</v>
      </c>
      <c r="U880">
        <v>1403.87</v>
      </c>
      <c r="V880">
        <v>0.40000142463333499</v>
      </c>
      <c r="W880" t="s">
        <v>16</v>
      </c>
      <c r="X880" t="s">
        <v>4215</v>
      </c>
      <c r="Z880" t="s">
        <v>89</v>
      </c>
      <c r="AA880" t="s">
        <v>89</v>
      </c>
      <c r="AC880" t="s">
        <v>89</v>
      </c>
      <c r="AD880">
        <v>0</v>
      </c>
      <c r="AE880" t="s">
        <v>9251</v>
      </c>
      <c r="AF880" s="4"/>
    </row>
    <row r="881" spans="1:32">
      <c r="A881" t="s">
        <v>10670</v>
      </c>
      <c r="B881" t="s">
        <v>9366</v>
      </c>
      <c r="D881" t="s">
        <v>54</v>
      </c>
      <c r="E881" t="s">
        <v>6752</v>
      </c>
      <c r="F881" t="s">
        <v>4857</v>
      </c>
      <c r="G881">
        <v>1123.0999999999999</v>
      </c>
      <c r="I881">
        <v>1123.0999999999999</v>
      </c>
      <c r="J881">
        <v>1123.0999999999999</v>
      </c>
      <c r="K881" s="4">
        <v>45108</v>
      </c>
      <c r="L881" s="4">
        <v>45108</v>
      </c>
      <c r="M881">
        <v>2023</v>
      </c>
      <c r="N881">
        <v>7</v>
      </c>
      <c r="O881" s="4">
        <v>45108</v>
      </c>
      <c r="P881" t="s">
        <v>89</v>
      </c>
      <c r="Q881" s="4">
        <v>45212</v>
      </c>
      <c r="S881" t="s">
        <v>4858</v>
      </c>
      <c r="U881">
        <v>2807.74</v>
      </c>
      <c r="V881">
        <v>0.40000142463333499</v>
      </c>
      <c r="W881" t="s">
        <v>16</v>
      </c>
      <c r="X881" t="s">
        <v>4215</v>
      </c>
      <c r="Z881" t="s">
        <v>89</v>
      </c>
      <c r="AA881" t="s">
        <v>89</v>
      </c>
      <c r="AC881" t="s">
        <v>89</v>
      </c>
      <c r="AD881">
        <v>0</v>
      </c>
      <c r="AE881" t="s">
        <v>9251</v>
      </c>
      <c r="AF881" s="4"/>
    </row>
    <row r="882" spans="1:32">
      <c r="A882" t="s">
        <v>10671</v>
      </c>
      <c r="B882" t="s">
        <v>9366</v>
      </c>
      <c r="D882" t="s">
        <v>54</v>
      </c>
      <c r="E882" t="s">
        <v>10672</v>
      </c>
      <c r="F882" t="s">
        <v>4860</v>
      </c>
      <c r="G882">
        <v>561.54999999999995</v>
      </c>
      <c r="I882">
        <v>561.54999999999995</v>
      </c>
      <c r="J882">
        <v>561.54999999999995</v>
      </c>
      <c r="K882" s="4">
        <v>45108</v>
      </c>
      <c r="L882" s="4">
        <v>45108</v>
      </c>
      <c r="M882">
        <v>2023</v>
      </c>
      <c r="N882">
        <v>7</v>
      </c>
      <c r="O882" s="4">
        <v>45108</v>
      </c>
      <c r="P882" t="s">
        <v>89</v>
      </c>
      <c r="Q882" s="4">
        <v>45212</v>
      </c>
      <c r="S882" t="s">
        <v>4861</v>
      </c>
      <c r="U882">
        <v>1403.87</v>
      </c>
      <c r="V882">
        <v>0.40000142463333499</v>
      </c>
      <c r="W882" t="s">
        <v>16</v>
      </c>
      <c r="X882" t="s">
        <v>4215</v>
      </c>
      <c r="Z882" t="s">
        <v>89</v>
      </c>
      <c r="AA882" t="s">
        <v>89</v>
      </c>
      <c r="AC882" t="s">
        <v>89</v>
      </c>
      <c r="AD882">
        <v>0</v>
      </c>
      <c r="AE882" t="s">
        <v>9251</v>
      </c>
      <c r="AF882" s="4"/>
    </row>
    <row r="883" spans="1:32">
      <c r="A883" t="s">
        <v>10673</v>
      </c>
      <c r="B883" t="s">
        <v>9366</v>
      </c>
      <c r="D883" t="s">
        <v>54</v>
      </c>
      <c r="E883" t="s">
        <v>10674</v>
      </c>
      <c r="F883" t="s">
        <v>4862</v>
      </c>
      <c r="G883">
        <v>561.54999999999995</v>
      </c>
      <c r="I883">
        <v>561.54999999999995</v>
      </c>
      <c r="J883">
        <v>561.54999999999995</v>
      </c>
      <c r="K883" s="4">
        <v>45108</v>
      </c>
      <c r="L883" s="4">
        <v>45108</v>
      </c>
      <c r="M883">
        <v>2023</v>
      </c>
      <c r="N883">
        <v>7</v>
      </c>
      <c r="O883" s="4">
        <v>45108</v>
      </c>
      <c r="P883" t="s">
        <v>89</v>
      </c>
      <c r="Q883" s="4">
        <v>45212</v>
      </c>
      <c r="S883" t="s">
        <v>4863</v>
      </c>
      <c r="U883">
        <v>1403.87</v>
      </c>
      <c r="V883">
        <v>0.40000142463333499</v>
      </c>
      <c r="W883" t="s">
        <v>16</v>
      </c>
      <c r="X883" t="s">
        <v>4215</v>
      </c>
      <c r="Z883" t="s">
        <v>89</v>
      </c>
      <c r="AA883" t="s">
        <v>89</v>
      </c>
      <c r="AC883" t="s">
        <v>89</v>
      </c>
      <c r="AD883">
        <v>0</v>
      </c>
      <c r="AE883" t="s">
        <v>9251</v>
      </c>
      <c r="AF883" s="4"/>
    </row>
    <row r="884" spans="1:32">
      <c r="A884" t="s">
        <v>10675</v>
      </c>
      <c r="B884" t="s">
        <v>9366</v>
      </c>
      <c r="C884" t="s">
        <v>5241</v>
      </c>
      <c r="D884" t="s">
        <v>54</v>
      </c>
      <c r="E884" t="s">
        <v>10676</v>
      </c>
      <c r="F884" t="s">
        <v>5240</v>
      </c>
      <c r="G884">
        <v>23868</v>
      </c>
      <c r="I884">
        <v>23868</v>
      </c>
      <c r="J884">
        <v>23868</v>
      </c>
      <c r="K884" s="4">
        <v>45372</v>
      </c>
      <c r="L884" s="4">
        <v>45415</v>
      </c>
      <c r="M884">
        <v>2024</v>
      </c>
      <c r="N884">
        <v>3</v>
      </c>
      <c r="O884" s="4">
        <v>45352</v>
      </c>
      <c r="P884" t="s">
        <v>89</v>
      </c>
      <c r="Q884" s="4">
        <v>45519</v>
      </c>
      <c r="R884" t="s">
        <v>3773</v>
      </c>
      <c r="S884" t="s">
        <v>4405</v>
      </c>
      <c r="T884">
        <v>45505</v>
      </c>
      <c r="U884">
        <v>23868</v>
      </c>
      <c r="V884">
        <v>1</v>
      </c>
      <c r="W884" t="s">
        <v>17</v>
      </c>
      <c r="X884" t="s">
        <v>3770</v>
      </c>
      <c r="Z884" t="s">
        <v>89</v>
      </c>
      <c r="AA884" t="s">
        <v>89</v>
      </c>
      <c r="AB884" t="s">
        <v>10677</v>
      </c>
      <c r="AC884" t="s">
        <v>625</v>
      </c>
      <c r="AD884" t="s">
        <v>1473</v>
      </c>
      <c r="AE884" t="s">
        <v>9251</v>
      </c>
      <c r="AF884" s="4"/>
    </row>
    <row r="885" spans="1:32">
      <c r="A885" t="s">
        <v>10678</v>
      </c>
      <c r="B885" t="s">
        <v>9366</v>
      </c>
      <c r="C885" t="s">
        <v>10679</v>
      </c>
      <c r="D885" t="s">
        <v>54</v>
      </c>
      <c r="E885" t="s">
        <v>10680</v>
      </c>
      <c r="F885" t="s">
        <v>4871</v>
      </c>
      <c r="G885">
        <v>4835.8500000000004</v>
      </c>
      <c r="I885">
        <v>4835.8500000000004</v>
      </c>
      <c r="K885" s="4">
        <v>45042</v>
      </c>
      <c r="L885" s="4">
        <v>45079</v>
      </c>
      <c r="M885">
        <v>2023</v>
      </c>
      <c r="N885">
        <v>4</v>
      </c>
      <c r="O885" s="4">
        <v>45017</v>
      </c>
      <c r="P885" t="s">
        <v>837</v>
      </c>
      <c r="Q885" s="4"/>
      <c r="R885" t="s">
        <v>4870</v>
      </c>
      <c r="S885" t="s">
        <v>2848</v>
      </c>
      <c r="U885">
        <v>12089.63</v>
      </c>
      <c r="V885">
        <v>0.39999983456896537</v>
      </c>
      <c r="W885" t="s">
        <v>16</v>
      </c>
      <c r="X885" t="s">
        <v>4109</v>
      </c>
      <c r="Z885">
        <v>510</v>
      </c>
      <c r="AA885">
        <v>473</v>
      </c>
      <c r="AC885" t="s">
        <v>837</v>
      </c>
      <c r="AD885" t="s">
        <v>837</v>
      </c>
      <c r="AE885" t="s">
        <v>3652</v>
      </c>
      <c r="AF885" s="4"/>
    </row>
    <row r="886" spans="1:32">
      <c r="A886" t="s">
        <v>10681</v>
      </c>
      <c r="B886" t="s">
        <v>9366</v>
      </c>
      <c r="C886" t="s">
        <v>10682</v>
      </c>
      <c r="D886" t="s">
        <v>54</v>
      </c>
      <c r="E886" t="s">
        <v>10683</v>
      </c>
      <c r="F886" t="s">
        <v>4873</v>
      </c>
      <c r="G886">
        <v>4109.6000000000004</v>
      </c>
      <c r="I886">
        <v>4109.6000000000004</v>
      </c>
      <c r="K886" s="4">
        <v>45042</v>
      </c>
      <c r="L886" s="4">
        <v>45079</v>
      </c>
      <c r="M886">
        <v>2023</v>
      </c>
      <c r="N886">
        <v>4</v>
      </c>
      <c r="O886" s="4">
        <v>45017</v>
      </c>
      <c r="P886" t="s">
        <v>837</v>
      </c>
      <c r="Q886" s="4"/>
      <c r="R886" t="s">
        <v>4875</v>
      </c>
      <c r="S886" t="s">
        <v>2844</v>
      </c>
      <c r="U886">
        <v>10274</v>
      </c>
      <c r="V886">
        <v>0.4</v>
      </c>
      <c r="W886" t="s">
        <v>16</v>
      </c>
      <c r="X886" t="s">
        <v>4109</v>
      </c>
      <c r="Z886">
        <v>510</v>
      </c>
      <c r="AA886">
        <v>473</v>
      </c>
      <c r="AC886" t="s">
        <v>837</v>
      </c>
      <c r="AD886" t="s">
        <v>837</v>
      </c>
      <c r="AE886" t="s">
        <v>3652</v>
      </c>
      <c r="AF886" s="4"/>
    </row>
    <row r="887" spans="1:32">
      <c r="A887" t="s">
        <v>10684</v>
      </c>
      <c r="B887" t="s">
        <v>9366</v>
      </c>
      <c r="C887" t="s">
        <v>10685</v>
      </c>
      <c r="D887" t="s">
        <v>54</v>
      </c>
      <c r="E887" t="s">
        <v>10686</v>
      </c>
      <c r="F887" t="s">
        <v>4876</v>
      </c>
      <c r="G887">
        <v>4109.6000000000004</v>
      </c>
      <c r="I887">
        <v>4109.6000000000004</v>
      </c>
      <c r="K887" s="4">
        <v>45042</v>
      </c>
      <c r="L887" s="4">
        <v>45079</v>
      </c>
      <c r="M887">
        <v>2023</v>
      </c>
      <c r="N887">
        <v>4</v>
      </c>
      <c r="O887" s="4">
        <v>45017</v>
      </c>
      <c r="P887" t="s">
        <v>837</v>
      </c>
      <c r="Q887" s="4"/>
      <c r="R887" t="s">
        <v>4878</v>
      </c>
      <c r="S887" t="s">
        <v>2838</v>
      </c>
      <c r="U887">
        <v>10274</v>
      </c>
      <c r="V887">
        <v>0.4</v>
      </c>
      <c r="W887" t="s">
        <v>16</v>
      </c>
      <c r="X887" t="s">
        <v>4109</v>
      </c>
      <c r="Z887">
        <v>510</v>
      </c>
      <c r="AA887">
        <v>473</v>
      </c>
      <c r="AC887" t="s">
        <v>837</v>
      </c>
      <c r="AD887" t="s">
        <v>837</v>
      </c>
      <c r="AE887" t="s">
        <v>3652</v>
      </c>
      <c r="AF887" s="4"/>
    </row>
    <row r="888" spans="1:32">
      <c r="A888" t="s">
        <v>10687</v>
      </c>
      <c r="B888" t="s">
        <v>9366</v>
      </c>
      <c r="C888" t="s">
        <v>4551</v>
      </c>
      <c r="D888" t="s">
        <v>54</v>
      </c>
      <c r="E888" t="s">
        <v>10112</v>
      </c>
      <c r="F888" t="s">
        <v>4550</v>
      </c>
      <c r="G888">
        <v>1553.184</v>
      </c>
      <c r="I888">
        <v>1553.184</v>
      </c>
      <c r="K888" s="4">
        <v>45506</v>
      </c>
      <c r="L888" s="4">
        <v>45509</v>
      </c>
      <c r="M888">
        <v>2024</v>
      </c>
      <c r="N888">
        <v>8</v>
      </c>
      <c r="O888" s="4">
        <v>45505</v>
      </c>
      <c r="P888" t="s">
        <v>625</v>
      </c>
      <c r="Q888" s="4"/>
      <c r="S888" t="s">
        <v>3363</v>
      </c>
      <c r="T888">
        <v>45551</v>
      </c>
      <c r="U888">
        <v>2588.64</v>
      </c>
      <c r="V888">
        <v>0.6</v>
      </c>
      <c r="W888" t="s">
        <v>16</v>
      </c>
      <c r="X888" t="s">
        <v>3665</v>
      </c>
      <c r="Z888">
        <v>46</v>
      </c>
      <c r="AA888">
        <v>43</v>
      </c>
      <c r="AB888" t="s">
        <v>10243</v>
      </c>
      <c r="AE888" t="s">
        <v>9251</v>
      </c>
      <c r="AF888" s="4"/>
    </row>
    <row r="889" spans="1:32">
      <c r="A889" t="s">
        <v>10688</v>
      </c>
      <c r="B889" t="s">
        <v>9366</v>
      </c>
      <c r="C889" t="s">
        <v>10689</v>
      </c>
      <c r="D889" t="s">
        <v>54</v>
      </c>
      <c r="E889" t="s">
        <v>10690</v>
      </c>
      <c r="F889" t="s">
        <v>4974</v>
      </c>
      <c r="G889">
        <v>8248.4599999999991</v>
      </c>
      <c r="I889">
        <v>8248.4599999999991</v>
      </c>
      <c r="K889" s="4">
        <v>45079</v>
      </c>
      <c r="L889" s="4">
        <v>45176</v>
      </c>
      <c r="M889">
        <v>2023</v>
      </c>
      <c r="N889">
        <v>6</v>
      </c>
      <c r="O889" s="4">
        <v>45078</v>
      </c>
      <c r="P889" t="s">
        <v>837</v>
      </c>
      <c r="Q889" s="4"/>
      <c r="R889" t="s">
        <v>4976</v>
      </c>
      <c r="S889" t="s">
        <v>4975</v>
      </c>
      <c r="U889">
        <v>20621.14</v>
      </c>
      <c r="V889">
        <v>0.40000019397569675</v>
      </c>
      <c r="W889" t="s">
        <v>16</v>
      </c>
      <c r="X889" t="s">
        <v>3770</v>
      </c>
      <c r="Z889">
        <v>473</v>
      </c>
      <c r="AA889">
        <v>376</v>
      </c>
      <c r="AC889" t="s">
        <v>837</v>
      </c>
      <c r="AD889" t="s">
        <v>837</v>
      </c>
      <c r="AE889" t="s">
        <v>3652</v>
      </c>
      <c r="AF889" s="4"/>
    </row>
    <row r="890" spans="1:32">
      <c r="A890" t="s">
        <v>10691</v>
      </c>
      <c r="B890" t="s">
        <v>9366</v>
      </c>
      <c r="C890" t="s">
        <v>10692</v>
      </c>
      <c r="D890" t="s">
        <v>54</v>
      </c>
      <c r="E890" t="s">
        <v>10693</v>
      </c>
      <c r="F890" t="s">
        <v>4980</v>
      </c>
      <c r="G890">
        <v>8248.4599999999991</v>
      </c>
      <c r="I890">
        <v>8248.4599999999991</v>
      </c>
      <c r="K890" s="4">
        <v>45079</v>
      </c>
      <c r="L890" s="4">
        <v>45176</v>
      </c>
      <c r="M890">
        <v>2023</v>
      </c>
      <c r="N890">
        <v>6</v>
      </c>
      <c r="O890" s="4">
        <v>45078</v>
      </c>
      <c r="P890" t="s">
        <v>837</v>
      </c>
      <c r="Q890" s="4"/>
      <c r="R890" t="s">
        <v>4976</v>
      </c>
      <c r="S890" t="s">
        <v>4981</v>
      </c>
      <c r="U890">
        <v>20621.14</v>
      </c>
      <c r="V890">
        <v>0.40000019397569675</v>
      </c>
      <c r="W890" t="s">
        <v>16</v>
      </c>
      <c r="X890" t="s">
        <v>3770</v>
      </c>
      <c r="Z890">
        <v>473</v>
      </c>
      <c r="AA890">
        <v>376</v>
      </c>
      <c r="AC890" t="s">
        <v>837</v>
      </c>
      <c r="AD890" t="s">
        <v>837</v>
      </c>
      <c r="AE890" t="s">
        <v>3652</v>
      </c>
      <c r="AF890" s="4"/>
    </row>
    <row r="891" spans="1:32">
      <c r="A891" t="s">
        <v>10694</v>
      </c>
      <c r="B891" t="s">
        <v>9366</v>
      </c>
      <c r="C891" t="s">
        <v>10695</v>
      </c>
      <c r="D891" t="s">
        <v>54</v>
      </c>
      <c r="E891" t="s">
        <v>10696</v>
      </c>
      <c r="F891" t="s">
        <v>4987</v>
      </c>
      <c r="G891">
        <v>8248.4599999999991</v>
      </c>
      <c r="I891">
        <v>8248.4599999999991</v>
      </c>
      <c r="K891" s="4">
        <v>45079</v>
      </c>
      <c r="L891" s="4">
        <v>45176</v>
      </c>
      <c r="M891">
        <v>2023</v>
      </c>
      <c r="N891">
        <v>6</v>
      </c>
      <c r="O891" s="4">
        <v>45078</v>
      </c>
      <c r="P891" t="s">
        <v>837</v>
      </c>
      <c r="Q891" s="4"/>
      <c r="R891" t="s">
        <v>4976</v>
      </c>
      <c r="S891" t="s">
        <v>4979</v>
      </c>
      <c r="U891">
        <v>20621.14</v>
      </c>
      <c r="V891">
        <v>0.40000019397569675</v>
      </c>
      <c r="W891" t="s">
        <v>16</v>
      </c>
      <c r="X891" t="s">
        <v>3770</v>
      </c>
      <c r="Z891">
        <v>473</v>
      </c>
      <c r="AA891">
        <v>376</v>
      </c>
      <c r="AC891" t="s">
        <v>837</v>
      </c>
      <c r="AD891" t="s">
        <v>837</v>
      </c>
      <c r="AE891" t="s">
        <v>3652</v>
      </c>
      <c r="AF891" s="4"/>
    </row>
    <row r="892" spans="1:32">
      <c r="A892" t="s">
        <v>10697</v>
      </c>
      <c r="B892" t="s">
        <v>9366</v>
      </c>
      <c r="C892" t="s">
        <v>10698</v>
      </c>
      <c r="D892" t="s">
        <v>54</v>
      </c>
      <c r="E892" t="s">
        <v>10699</v>
      </c>
      <c r="F892" t="s">
        <v>5168</v>
      </c>
      <c r="G892">
        <v>4856.78</v>
      </c>
      <c r="I892">
        <v>4856.78</v>
      </c>
      <c r="K892" s="4">
        <v>45133</v>
      </c>
      <c r="L892" s="4">
        <v>45136</v>
      </c>
      <c r="M892">
        <v>2023</v>
      </c>
      <c r="N892">
        <v>7</v>
      </c>
      <c r="O892" s="4">
        <v>45108</v>
      </c>
      <c r="P892" t="s">
        <v>837</v>
      </c>
      <c r="Q892" s="4"/>
      <c r="S892" t="s">
        <v>5170</v>
      </c>
      <c r="U892">
        <v>12141.96</v>
      </c>
      <c r="V892">
        <v>0.39999967056389579</v>
      </c>
      <c r="W892" t="s">
        <v>16</v>
      </c>
      <c r="X892" t="s">
        <v>4784</v>
      </c>
      <c r="Z892">
        <v>419</v>
      </c>
      <c r="AA892">
        <v>416</v>
      </c>
      <c r="AC892" t="s">
        <v>837</v>
      </c>
      <c r="AD892" t="s">
        <v>837</v>
      </c>
      <c r="AE892" t="s">
        <v>3652</v>
      </c>
      <c r="AF892" s="4"/>
    </row>
    <row r="893" spans="1:32">
      <c r="A893" t="s">
        <v>10700</v>
      </c>
      <c r="B893" t="s">
        <v>9366</v>
      </c>
      <c r="D893" t="s">
        <v>54</v>
      </c>
      <c r="E893" t="s">
        <v>10701</v>
      </c>
      <c r="F893" t="s">
        <v>4988</v>
      </c>
      <c r="G893">
        <v>2687.88</v>
      </c>
      <c r="I893">
        <v>2687.88</v>
      </c>
      <c r="J893">
        <v>2687.88</v>
      </c>
      <c r="K893" s="4">
        <v>45047</v>
      </c>
      <c r="L893" s="4">
        <v>45047</v>
      </c>
      <c r="M893">
        <v>2023</v>
      </c>
      <c r="N893">
        <v>5</v>
      </c>
      <c r="O893" s="4">
        <v>45047</v>
      </c>
      <c r="P893" t="s">
        <v>89</v>
      </c>
      <c r="Q893" s="4">
        <v>45303</v>
      </c>
      <c r="S893" t="s">
        <v>4989</v>
      </c>
      <c r="U893">
        <v>6719.7</v>
      </c>
      <c r="V893">
        <v>0.4</v>
      </c>
      <c r="W893" t="s">
        <v>16</v>
      </c>
      <c r="X893" t="s">
        <v>3681</v>
      </c>
      <c r="Z893" t="s">
        <v>89</v>
      </c>
      <c r="AA893" t="s">
        <v>89</v>
      </c>
      <c r="AC893" t="s">
        <v>89</v>
      </c>
      <c r="AD893" t="s">
        <v>89</v>
      </c>
      <c r="AE893" t="s">
        <v>3652</v>
      </c>
      <c r="AF893" s="4"/>
    </row>
    <row r="894" spans="1:32">
      <c r="A894" t="s">
        <v>10702</v>
      </c>
      <c r="B894" t="s">
        <v>9366</v>
      </c>
      <c r="D894" t="s">
        <v>54</v>
      </c>
      <c r="E894" t="s">
        <v>10703</v>
      </c>
      <c r="F894" t="s">
        <v>4990</v>
      </c>
      <c r="G894">
        <v>2687.88</v>
      </c>
      <c r="I894">
        <v>2687.88</v>
      </c>
      <c r="J894">
        <v>2687.88</v>
      </c>
      <c r="K894" s="4">
        <v>45047</v>
      </c>
      <c r="L894" s="4">
        <v>45047</v>
      </c>
      <c r="M894">
        <v>2023</v>
      </c>
      <c r="N894">
        <v>5</v>
      </c>
      <c r="O894" s="4">
        <v>45047</v>
      </c>
      <c r="P894" t="s">
        <v>89</v>
      </c>
      <c r="Q894" s="4">
        <v>45303</v>
      </c>
      <c r="S894" t="s">
        <v>4991</v>
      </c>
      <c r="U894">
        <v>6719.7</v>
      </c>
      <c r="V894">
        <v>0.4</v>
      </c>
      <c r="W894" t="s">
        <v>16</v>
      </c>
      <c r="X894" t="s">
        <v>3681</v>
      </c>
      <c r="Z894" t="s">
        <v>89</v>
      </c>
      <c r="AA894" t="s">
        <v>89</v>
      </c>
      <c r="AC894" t="s">
        <v>89</v>
      </c>
      <c r="AD894">
        <v>0</v>
      </c>
      <c r="AE894" t="s">
        <v>9251</v>
      </c>
      <c r="AF894" s="4"/>
    </row>
    <row r="895" spans="1:32">
      <c r="A895" t="s">
        <v>10704</v>
      </c>
      <c r="B895" t="s">
        <v>9366</v>
      </c>
      <c r="D895" t="s">
        <v>54</v>
      </c>
      <c r="E895" t="s">
        <v>10705</v>
      </c>
      <c r="F895" t="s">
        <v>4992</v>
      </c>
      <c r="G895">
        <v>2687.88</v>
      </c>
      <c r="I895">
        <v>2687.88</v>
      </c>
      <c r="J895">
        <v>2687.88</v>
      </c>
      <c r="K895" s="4">
        <v>45047</v>
      </c>
      <c r="L895" s="4">
        <v>45047</v>
      </c>
      <c r="M895">
        <v>2023</v>
      </c>
      <c r="N895">
        <v>5</v>
      </c>
      <c r="O895" s="4">
        <v>45047</v>
      </c>
      <c r="P895" t="s">
        <v>89</v>
      </c>
      <c r="Q895" s="4">
        <v>45303</v>
      </c>
      <c r="S895" t="s">
        <v>4993</v>
      </c>
      <c r="U895">
        <v>6719.7</v>
      </c>
      <c r="V895">
        <v>0.4</v>
      </c>
      <c r="W895" t="s">
        <v>16</v>
      </c>
      <c r="X895" t="s">
        <v>3681</v>
      </c>
      <c r="Z895" t="s">
        <v>89</v>
      </c>
      <c r="AA895" t="s">
        <v>89</v>
      </c>
      <c r="AC895" t="s">
        <v>89</v>
      </c>
      <c r="AD895">
        <v>0</v>
      </c>
      <c r="AE895" t="s">
        <v>9251</v>
      </c>
      <c r="AF895" s="4"/>
    </row>
    <row r="896" spans="1:32">
      <c r="A896" t="s">
        <v>10706</v>
      </c>
      <c r="B896" t="s">
        <v>9366</v>
      </c>
      <c r="D896" t="s">
        <v>54</v>
      </c>
      <c r="E896" t="s">
        <v>10707</v>
      </c>
      <c r="F896" t="s">
        <v>4994</v>
      </c>
      <c r="G896">
        <v>2687.88</v>
      </c>
      <c r="I896">
        <v>2687.88</v>
      </c>
      <c r="J896">
        <v>2687.88</v>
      </c>
      <c r="K896" s="4">
        <v>45108</v>
      </c>
      <c r="L896" s="4">
        <v>45108</v>
      </c>
      <c r="M896">
        <v>2023</v>
      </c>
      <c r="N896">
        <v>7</v>
      </c>
      <c r="O896" s="4">
        <v>45108</v>
      </c>
      <c r="P896" t="s">
        <v>89</v>
      </c>
      <c r="Q896" s="4">
        <v>45303</v>
      </c>
      <c r="S896" t="s">
        <v>4995</v>
      </c>
      <c r="U896">
        <v>6719.7</v>
      </c>
      <c r="V896">
        <v>0.4</v>
      </c>
      <c r="W896" t="s">
        <v>16</v>
      </c>
      <c r="X896" t="s">
        <v>3681</v>
      </c>
      <c r="Z896" t="s">
        <v>89</v>
      </c>
      <c r="AA896" t="s">
        <v>89</v>
      </c>
      <c r="AC896" t="s">
        <v>89</v>
      </c>
      <c r="AD896">
        <v>0</v>
      </c>
      <c r="AE896" t="s">
        <v>9251</v>
      </c>
      <c r="AF896" s="4"/>
    </row>
    <row r="897" spans="1:32">
      <c r="A897" t="s">
        <v>10708</v>
      </c>
      <c r="B897" t="s">
        <v>9366</v>
      </c>
      <c r="D897" t="s">
        <v>54</v>
      </c>
      <c r="E897" t="s">
        <v>10709</v>
      </c>
      <c r="F897" t="s">
        <v>5012</v>
      </c>
      <c r="G897">
        <v>547.91</v>
      </c>
      <c r="I897">
        <v>547.91</v>
      </c>
      <c r="J897">
        <v>547.91</v>
      </c>
      <c r="K897" s="4">
        <v>45108</v>
      </c>
      <c r="L897" s="4">
        <v>45108</v>
      </c>
      <c r="M897">
        <v>2023</v>
      </c>
      <c r="N897">
        <v>7</v>
      </c>
      <c r="O897" s="4">
        <v>45108</v>
      </c>
      <c r="P897" t="s">
        <v>89</v>
      </c>
      <c r="Q897" s="4">
        <v>45229</v>
      </c>
      <c r="S897" t="s">
        <v>5013</v>
      </c>
      <c r="U897">
        <v>1369.77</v>
      </c>
      <c r="V897">
        <v>0.40000146009914073</v>
      </c>
      <c r="W897" t="s">
        <v>16</v>
      </c>
      <c r="X897" t="s">
        <v>3665</v>
      </c>
      <c r="Z897" t="s">
        <v>89</v>
      </c>
      <c r="AA897" t="s">
        <v>89</v>
      </c>
      <c r="AC897" t="s">
        <v>89</v>
      </c>
      <c r="AD897" t="s">
        <v>89</v>
      </c>
      <c r="AE897" t="s">
        <v>3652</v>
      </c>
      <c r="AF897" s="4"/>
    </row>
    <row r="898" spans="1:32">
      <c r="A898" t="s">
        <v>10710</v>
      </c>
      <c r="B898" t="s">
        <v>9366</v>
      </c>
      <c r="D898" t="s">
        <v>54</v>
      </c>
      <c r="E898" t="s">
        <v>10711</v>
      </c>
      <c r="F898" t="s">
        <v>5014</v>
      </c>
      <c r="G898">
        <v>1563.25</v>
      </c>
      <c r="I898">
        <v>1563.25</v>
      </c>
      <c r="J898">
        <v>1563.25</v>
      </c>
      <c r="K898" s="4">
        <v>45108</v>
      </c>
      <c r="L898" s="4">
        <v>45108</v>
      </c>
      <c r="M898">
        <v>2023</v>
      </c>
      <c r="N898">
        <v>7</v>
      </c>
      <c r="O898" s="4">
        <v>45108</v>
      </c>
      <c r="P898" t="s">
        <v>89</v>
      </c>
      <c r="Q898" s="4">
        <v>45229</v>
      </c>
      <c r="S898" t="s">
        <v>5015</v>
      </c>
      <c r="U898">
        <v>3908.12</v>
      </c>
      <c r="V898">
        <v>0.40000051175501267</v>
      </c>
      <c r="W898" t="s">
        <v>16</v>
      </c>
      <c r="X898" t="s">
        <v>3665</v>
      </c>
      <c r="Z898" t="s">
        <v>89</v>
      </c>
      <c r="AA898" t="s">
        <v>89</v>
      </c>
      <c r="AC898" t="s">
        <v>89</v>
      </c>
      <c r="AD898" t="s">
        <v>89</v>
      </c>
      <c r="AE898" t="s">
        <v>3652</v>
      </c>
      <c r="AF898" s="4"/>
    </row>
    <row r="899" spans="1:32">
      <c r="A899" t="s">
        <v>10712</v>
      </c>
      <c r="B899" t="s">
        <v>9366</v>
      </c>
      <c r="D899" t="s">
        <v>54</v>
      </c>
      <c r="E899" t="s">
        <v>10713</v>
      </c>
      <c r="F899" t="s">
        <v>5016</v>
      </c>
      <c r="G899">
        <v>1563.25</v>
      </c>
      <c r="I899">
        <v>1563.25</v>
      </c>
      <c r="J899">
        <v>1563.25</v>
      </c>
      <c r="K899" s="4">
        <v>45108</v>
      </c>
      <c r="L899" s="4">
        <v>45108</v>
      </c>
      <c r="M899">
        <v>2023</v>
      </c>
      <c r="N899">
        <v>7</v>
      </c>
      <c r="O899" s="4">
        <v>45108</v>
      </c>
      <c r="P899" t="s">
        <v>89</v>
      </c>
      <c r="Q899" s="4">
        <v>45275</v>
      </c>
      <c r="S899" t="s">
        <v>5017</v>
      </c>
      <c r="U899">
        <v>3908.12</v>
      </c>
      <c r="V899">
        <v>0.40000051175501267</v>
      </c>
      <c r="W899" t="s">
        <v>16</v>
      </c>
      <c r="X899" t="s">
        <v>3665</v>
      </c>
      <c r="Z899" t="s">
        <v>89</v>
      </c>
      <c r="AA899" t="s">
        <v>89</v>
      </c>
      <c r="AC899" t="s">
        <v>89</v>
      </c>
      <c r="AD899">
        <v>0</v>
      </c>
      <c r="AE899" t="s">
        <v>9251</v>
      </c>
      <c r="AF899" s="4"/>
    </row>
    <row r="900" spans="1:32">
      <c r="A900" t="s">
        <v>10714</v>
      </c>
      <c r="B900" t="s">
        <v>9366</v>
      </c>
      <c r="D900" t="s">
        <v>54</v>
      </c>
      <c r="E900" t="s">
        <v>10715</v>
      </c>
      <c r="F900" t="s">
        <v>5018</v>
      </c>
      <c r="G900">
        <v>1563.25</v>
      </c>
      <c r="I900">
        <v>1563.25</v>
      </c>
      <c r="J900">
        <v>1563.25</v>
      </c>
      <c r="K900" s="4">
        <v>45108</v>
      </c>
      <c r="L900" s="4">
        <v>45108</v>
      </c>
      <c r="M900">
        <v>2023</v>
      </c>
      <c r="N900">
        <v>7</v>
      </c>
      <c r="O900" s="4">
        <v>45108</v>
      </c>
      <c r="P900" t="s">
        <v>89</v>
      </c>
      <c r="Q900" s="4">
        <v>45229</v>
      </c>
      <c r="S900" t="s">
        <v>5019</v>
      </c>
      <c r="U900">
        <v>3908.12</v>
      </c>
      <c r="V900">
        <v>0.40000051175501267</v>
      </c>
      <c r="W900" t="s">
        <v>16</v>
      </c>
      <c r="X900" t="s">
        <v>3665</v>
      </c>
      <c r="Z900" t="s">
        <v>89</v>
      </c>
      <c r="AA900" t="s">
        <v>89</v>
      </c>
      <c r="AC900" t="s">
        <v>89</v>
      </c>
      <c r="AD900">
        <v>0</v>
      </c>
      <c r="AE900" t="s">
        <v>9251</v>
      </c>
      <c r="AF900" s="4"/>
    </row>
    <row r="901" spans="1:32">
      <c r="A901" t="s">
        <v>10716</v>
      </c>
      <c r="B901" t="s">
        <v>9366</v>
      </c>
      <c r="D901" t="s">
        <v>54</v>
      </c>
      <c r="E901" t="s">
        <v>10717</v>
      </c>
      <c r="F901" t="s">
        <v>5020</v>
      </c>
      <c r="G901">
        <v>1563.25</v>
      </c>
      <c r="I901">
        <v>1563.25</v>
      </c>
      <c r="J901">
        <v>1563.25</v>
      </c>
      <c r="K901" s="4">
        <v>45108</v>
      </c>
      <c r="L901" s="4">
        <v>45108</v>
      </c>
      <c r="M901">
        <v>2023</v>
      </c>
      <c r="N901">
        <v>7</v>
      </c>
      <c r="O901" s="4">
        <v>45108</v>
      </c>
      <c r="P901" t="s">
        <v>89</v>
      </c>
      <c r="Q901" s="4">
        <v>45229</v>
      </c>
      <c r="S901" t="s">
        <v>5021</v>
      </c>
      <c r="U901">
        <v>3908.12</v>
      </c>
      <c r="V901">
        <v>0.40000051175501267</v>
      </c>
      <c r="W901" t="s">
        <v>16</v>
      </c>
      <c r="X901" t="s">
        <v>3665</v>
      </c>
      <c r="Z901" t="s">
        <v>89</v>
      </c>
      <c r="AA901" t="s">
        <v>89</v>
      </c>
      <c r="AC901" t="s">
        <v>89</v>
      </c>
      <c r="AD901">
        <v>0</v>
      </c>
      <c r="AE901" t="s">
        <v>9251</v>
      </c>
      <c r="AF901" s="4"/>
    </row>
    <row r="902" spans="1:32">
      <c r="A902" t="s">
        <v>10718</v>
      </c>
      <c r="B902" t="s">
        <v>9366</v>
      </c>
      <c r="D902" t="s">
        <v>54</v>
      </c>
      <c r="E902" t="s">
        <v>10719</v>
      </c>
      <c r="F902" t="s">
        <v>5022</v>
      </c>
      <c r="G902">
        <v>547.91</v>
      </c>
      <c r="I902">
        <v>547.91</v>
      </c>
      <c r="J902">
        <v>547.91</v>
      </c>
      <c r="K902" s="4">
        <v>45108</v>
      </c>
      <c r="L902" s="4">
        <v>45108</v>
      </c>
      <c r="M902">
        <v>2023</v>
      </c>
      <c r="N902">
        <v>7</v>
      </c>
      <c r="O902" s="4">
        <v>45108</v>
      </c>
      <c r="P902" t="s">
        <v>89</v>
      </c>
      <c r="Q902" s="4">
        <v>45229</v>
      </c>
      <c r="S902" t="s">
        <v>5023</v>
      </c>
      <c r="U902">
        <v>1369.77</v>
      </c>
      <c r="V902">
        <v>0.40000146009914073</v>
      </c>
      <c r="W902" t="s">
        <v>16</v>
      </c>
      <c r="X902" t="s">
        <v>3665</v>
      </c>
      <c r="Z902" t="s">
        <v>89</v>
      </c>
      <c r="AA902" t="s">
        <v>89</v>
      </c>
      <c r="AC902" t="s">
        <v>89</v>
      </c>
      <c r="AD902" t="s">
        <v>89</v>
      </c>
      <c r="AE902" t="s">
        <v>3652</v>
      </c>
      <c r="AF902" s="4"/>
    </row>
    <row r="903" spans="1:32">
      <c r="A903" t="s">
        <v>10720</v>
      </c>
      <c r="B903" t="s">
        <v>9366</v>
      </c>
      <c r="D903" t="s">
        <v>54</v>
      </c>
      <c r="E903" t="s">
        <v>10721</v>
      </c>
      <c r="F903" t="s">
        <v>5024</v>
      </c>
      <c r="G903">
        <v>1035.46</v>
      </c>
      <c r="I903">
        <v>1035.46</v>
      </c>
      <c r="J903">
        <v>1035.46</v>
      </c>
      <c r="K903" s="4">
        <v>45047</v>
      </c>
      <c r="L903" s="4">
        <v>45047</v>
      </c>
      <c r="M903">
        <v>2023</v>
      </c>
      <c r="N903">
        <v>5</v>
      </c>
      <c r="O903" s="4">
        <v>45047</v>
      </c>
      <c r="P903" t="s">
        <v>89</v>
      </c>
      <c r="Q903" s="4">
        <v>45153</v>
      </c>
      <c r="S903" t="s">
        <v>3210</v>
      </c>
      <c r="U903">
        <v>2588.64</v>
      </c>
      <c r="V903">
        <v>0.40000154521293035</v>
      </c>
      <c r="W903" t="s">
        <v>16</v>
      </c>
      <c r="X903" t="s">
        <v>3665</v>
      </c>
      <c r="Z903" t="s">
        <v>89</v>
      </c>
      <c r="AA903" t="s">
        <v>89</v>
      </c>
      <c r="AC903" t="s">
        <v>89</v>
      </c>
      <c r="AD903" t="s">
        <v>89</v>
      </c>
      <c r="AE903" t="s">
        <v>3652</v>
      </c>
      <c r="AF903" s="4"/>
    </row>
    <row r="904" spans="1:32">
      <c r="A904" t="s">
        <v>10722</v>
      </c>
      <c r="B904" t="s">
        <v>9366</v>
      </c>
      <c r="D904" t="s">
        <v>54</v>
      </c>
      <c r="E904" t="s">
        <v>10723</v>
      </c>
      <c r="F904" t="s">
        <v>5026</v>
      </c>
      <c r="G904">
        <v>1035.46</v>
      </c>
      <c r="I904">
        <v>1035.46</v>
      </c>
      <c r="J904">
        <v>1035.46</v>
      </c>
      <c r="K904" s="4">
        <v>45047</v>
      </c>
      <c r="L904" s="4">
        <v>45047</v>
      </c>
      <c r="M904">
        <v>2023</v>
      </c>
      <c r="N904">
        <v>5</v>
      </c>
      <c r="O904" s="4">
        <v>45047</v>
      </c>
      <c r="P904" t="s">
        <v>89</v>
      </c>
      <c r="Q904" s="4">
        <v>45153</v>
      </c>
      <c r="S904" t="s">
        <v>3212</v>
      </c>
      <c r="U904">
        <v>2588.64</v>
      </c>
      <c r="V904">
        <v>0.40000154521293035</v>
      </c>
      <c r="W904" t="s">
        <v>16</v>
      </c>
      <c r="X904" t="s">
        <v>3665</v>
      </c>
      <c r="Z904" t="s">
        <v>89</v>
      </c>
      <c r="AA904" t="s">
        <v>89</v>
      </c>
      <c r="AC904" t="s">
        <v>89</v>
      </c>
      <c r="AD904" t="s">
        <v>89</v>
      </c>
      <c r="AE904" t="s">
        <v>3652</v>
      </c>
      <c r="AF904" s="4"/>
    </row>
    <row r="905" spans="1:32">
      <c r="A905" t="s">
        <v>10724</v>
      </c>
      <c r="B905" t="s">
        <v>9366</v>
      </c>
      <c r="D905" t="s">
        <v>54</v>
      </c>
      <c r="E905" t="s">
        <v>10725</v>
      </c>
      <c r="F905" t="s">
        <v>5027</v>
      </c>
      <c r="G905">
        <v>527.79</v>
      </c>
      <c r="I905">
        <v>527.79</v>
      </c>
      <c r="J905">
        <v>527.79</v>
      </c>
      <c r="K905" s="4">
        <v>45047</v>
      </c>
      <c r="L905" s="4">
        <v>45047</v>
      </c>
      <c r="M905">
        <v>2023</v>
      </c>
      <c r="N905">
        <v>5</v>
      </c>
      <c r="O905" s="4">
        <v>45047</v>
      </c>
      <c r="P905" t="s">
        <v>89</v>
      </c>
      <c r="Q905" s="4">
        <v>45153</v>
      </c>
      <c r="S905" t="s">
        <v>3188</v>
      </c>
      <c r="U905">
        <v>1319.47</v>
      </c>
      <c r="V905">
        <v>0.40000151576011578</v>
      </c>
      <c r="W905" t="s">
        <v>16</v>
      </c>
      <c r="X905" t="s">
        <v>3665</v>
      </c>
      <c r="Z905" t="s">
        <v>89</v>
      </c>
      <c r="AA905" t="s">
        <v>89</v>
      </c>
      <c r="AC905" t="s">
        <v>89</v>
      </c>
      <c r="AD905">
        <v>0</v>
      </c>
      <c r="AE905" t="s">
        <v>9251</v>
      </c>
      <c r="AF905" s="4"/>
    </row>
    <row r="906" spans="1:32">
      <c r="A906" t="s">
        <v>10726</v>
      </c>
      <c r="B906" t="s">
        <v>9366</v>
      </c>
      <c r="D906" t="s">
        <v>54</v>
      </c>
      <c r="E906" t="s">
        <v>10727</v>
      </c>
      <c r="F906" t="s">
        <v>5028</v>
      </c>
      <c r="G906">
        <v>547.91</v>
      </c>
      <c r="I906">
        <v>547.91</v>
      </c>
      <c r="J906">
        <v>547.91</v>
      </c>
      <c r="K906" s="4">
        <v>45108</v>
      </c>
      <c r="L906" s="4">
        <v>45108</v>
      </c>
      <c r="M906">
        <v>2023</v>
      </c>
      <c r="N906">
        <v>7</v>
      </c>
      <c r="O906" s="4">
        <v>45108</v>
      </c>
      <c r="P906" t="s">
        <v>89</v>
      </c>
      <c r="Q906" s="4">
        <v>45212</v>
      </c>
      <c r="S906" t="s">
        <v>5029</v>
      </c>
      <c r="U906">
        <v>1369.77</v>
      </c>
      <c r="V906">
        <v>0.40000146009914073</v>
      </c>
      <c r="W906" t="s">
        <v>16</v>
      </c>
      <c r="X906" t="s">
        <v>3665</v>
      </c>
      <c r="Z906" t="s">
        <v>89</v>
      </c>
      <c r="AA906" t="s">
        <v>89</v>
      </c>
      <c r="AC906" t="s">
        <v>89</v>
      </c>
      <c r="AD906">
        <v>0</v>
      </c>
      <c r="AE906" t="s">
        <v>9251</v>
      </c>
      <c r="AF906" s="4"/>
    </row>
    <row r="907" spans="1:32">
      <c r="A907" t="s">
        <v>10728</v>
      </c>
      <c r="B907" t="s">
        <v>9366</v>
      </c>
      <c r="D907" t="s">
        <v>54</v>
      </c>
      <c r="E907" t="s">
        <v>10729</v>
      </c>
      <c r="F907" t="s">
        <v>5030</v>
      </c>
      <c r="G907">
        <v>1035.46</v>
      </c>
      <c r="I907">
        <v>1035.46</v>
      </c>
      <c r="J907">
        <v>1035.46</v>
      </c>
      <c r="K907" s="4">
        <v>45047</v>
      </c>
      <c r="L907" s="4">
        <v>45047</v>
      </c>
      <c r="M907">
        <v>2023</v>
      </c>
      <c r="N907">
        <v>5</v>
      </c>
      <c r="O907" s="4">
        <v>45047</v>
      </c>
      <c r="P907" t="s">
        <v>89</v>
      </c>
      <c r="Q907" s="4">
        <v>45153</v>
      </c>
      <c r="S907" t="s">
        <v>3224</v>
      </c>
      <c r="U907">
        <v>2588.64</v>
      </c>
      <c r="V907">
        <v>0.40000154521293035</v>
      </c>
      <c r="W907" t="s">
        <v>16</v>
      </c>
      <c r="X907" t="s">
        <v>3665</v>
      </c>
      <c r="Z907" t="s">
        <v>89</v>
      </c>
      <c r="AA907" t="s">
        <v>89</v>
      </c>
      <c r="AC907" t="s">
        <v>89</v>
      </c>
      <c r="AD907">
        <v>0</v>
      </c>
      <c r="AE907" t="s">
        <v>9251</v>
      </c>
      <c r="AF907" s="4"/>
    </row>
    <row r="908" spans="1:32">
      <c r="A908" t="s">
        <v>10730</v>
      </c>
      <c r="B908" t="s">
        <v>9366</v>
      </c>
      <c r="D908" t="s">
        <v>54</v>
      </c>
      <c r="E908" t="s">
        <v>10731</v>
      </c>
      <c r="F908" t="s">
        <v>5038</v>
      </c>
      <c r="G908">
        <v>1035.46</v>
      </c>
      <c r="I908">
        <v>1035.46</v>
      </c>
      <c r="J908">
        <v>1035.46</v>
      </c>
      <c r="K908" s="4">
        <v>45047</v>
      </c>
      <c r="L908" s="4">
        <v>45047</v>
      </c>
      <c r="M908">
        <v>2023</v>
      </c>
      <c r="N908">
        <v>5</v>
      </c>
      <c r="O908" s="4">
        <v>45047</v>
      </c>
      <c r="P908" t="s">
        <v>89</v>
      </c>
      <c r="Q908" s="4">
        <v>45153</v>
      </c>
      <c r="S908" t="s">
        <v>3228</v>
      </c>
      <c r="U908">
        <v>2588.64</v>
      </c>
      <c r="V908">
        <v>0.40000154521293035</v>
      </c>
      <c r="W908" t="s">
        <v>16</v>
      </c>
      <c r="X908" t="s">
        <v>3665</v>
      </c>
      <c r="Z908" t="s">
        <v>89</v>
      </c>
      <c r="AA908" t="s">
        <v>89</v>
      </c>
      <c r="AC908" t="s">
        <v>89</v>
      </c>
      <c r="AD908">
        <v>0</v>
      </c>
      <c r="AE908" t="s">
        <v>9251</v>
      </c>
      <c r="AF908" s="4"/>
    </row>
    <row r="909" spans="1:32">
      <c r="A909" t="s">
        <v>10732</v>
      </c>
      <c r="B909" t="s">
        <v>9366</v>
      </c>
      <c r="D909" t="s">
        <v>54</v>
      </c>
      <c r="E909" t="s">
        <v>10733</v>
      </c>
      <c r="F909" t="s">
        <v>5039</v>
      </c>
      <c r="G909">
        <v>1035.46</v>
      </c>
      <c r="I909">
        <v>1035.46</v>
      </c>
      <c r="J909">
        <v>1035.46</v>
      </c>
      <c r="K909" s="4">
        <v>45047</v>
      </c>
      <c r="L909" s="4">
        <v>45047</v>
      </c>
      <c r="M909">
        <v>2023</v>
      </c>
      <c r="N909">
        <v>5</v>
      </c>
      <c r="O909" s="4">
        <v>45047</v>
      </c>
      <c r="P909" t="s">
        <v>89</v>
      </c>
      <c r="Q909" s="4">
        <v>45153</v>
      </c>
      <c r="S909" t="s">
        <v>3226</v>
      </c>
      <c r="U909">
        <v>2588.64</v>
      </c>
      <c r="V909">
        <v>0.40000154521293035</v>
      </c>
      <c r="W909" t="s">
        <v>16</v>
      </c>
      <c r="X909" t="s">
        <v>3665</v>
      </c>
      <c r="Z909" t="s">
        <v>89</v>
      </c>
      <c r="AA909" t="s">
        <v>89</v>
      </c>
      <c r="AC909" t="s">
        <v>89</v>
      </c>
      <c r="AD909">
        <v>0</v>
      </c>
      <c r="AE909" t="s">
        <v>9251</v>
      </c>
      <c r="AF909" s="4"/>
    </row>
    <row r="910" spans="1:32">
      <c r="A910" t="s">
        <v>10734</v>
      </c>
      <c r="B910" t="s">
        <v>9366</v>
      </c>
      <c r="D910" t="s">
        <v>54</v>
      </c>
      <c r="E910" t="s">
        <v>10735</v>
      </c>
      <c r="F910" t="s">
        <v>5040</v>
      </c>
      <c r="G910">
        <v>1035.46</v>
      </c>
      <c r="I910">
        <v>1035.46</v>
      </c>
      <c r="J910">
        <v>1035.46</v>
      </c>
      <c r="K910" s="4">
        <v>45047</v>
      </c>
      <c r="L910" s="4">
        <v>45047</v>
      </c>
      <c r="M910">
        <v>2023</v>
      </c>
      <c r="N910">
        <v>5</v>
      </c>
      <c r="O910" s="4">
        <v>45047</v>
      </c>
      <c r="P910" t="s">
        <v>89</v>
      </c>
      <c r="Q910" s="4">
        <v>45153</v>
      </c>
      <c r="S910" t="s">
        <v>3232</v>
      </c>
      <c r="U910">
        <v>2588.64</v>
      </c>
      <c r="V910">
        <v>0.40000154521293035</v>
      </c>
      <c r="W910" t="s">
        <v>16</v>
      </c>
      <c r="X910" t="s">
        <v>3665</v>
      </c>
      <c r="Z910" t="s">
        <v>89</v>
      </c>
      <c r="AA910" t="s">
        <v>89</v>
      </c>
      <c r="AC910" t="s">
        <v>89</v>
      </c>
      <c r="AD910">
        <v>0</v>
      </c>
      <c r="AE910" t="s">
        <v>9251</v>
      </c>
      <c r="AF910" s="4"/>
    </row>
    <row r="911" spans="1:32">
      <c r="A911" t="s">
        <v>10736</v>
      </c>
      <c r="B911" t="s">
        <v>9366</v>
      </c>
      <c r="D911" t="s">
        <v>54</v>
      </c>
      <c r="E911" t="s">
        <v>10737</v>
      </c>
      <c r="F911" t="s">
        <v>5041</v>
      </c>
      <c r="G911">
        <v>1035.46</v>
      </c>
      <c r="I911">
        <v>1035.46</v>
      </c>
      <c r="J911">
        <v>1035.46</v>
      </c>
      <c r="K911" s="4">
        <v>45047</v>
      </c>
      <c r="L911" s="4">
        <v>45047</v>
      </c>
      <c r="M911">
        <v>2023</v>
      </c>
      <c r="N911">
        <v>5</v>
      </c>
      <c r="O911" s="4">
        <v>45047</v>
      </c>
      <c r="P911" t="s">
        <v>89</v>
      </c>
      <c r="Q911" s="4">
        <v>45153</v>
      </c>
      <c r="S911" t="s">
        <v>3208</v>
      </c>
      <c r="U911">
        <v>2588.64</v>
      </c>
      <c r="V911">
        <v>0.40000154521293035</v>
      </c>
      <c r="W911" t="s">
        <v>16</v>
      </c>
      <c r="X911" t="s">
        <v>3665</v>
      </c>
      <c r="Z911" t="s">
        <v>89</v>
      </c>
      <c r="AA911" t="s">
        <v>89</v>
      </c>
      <c r="AC911" t="s">
        <v>89</v>
      </c>
      <c r="AD911">
        <v>0</v>
      </c>
      <c r="AE911" t="s">
        <v>9251</v>
      </c>
      <c r="AF911" s="4"/>
    </row>
    <row r="912" spans="1:32">
      <c r="A912" t="s">
        <v>10738</v>
      </c>
      <c r="B912" t="s">
        <v>9366</v>
      </c>
      <c r="D912" t="s">
        <v>54</v>
      </c>
      <c r="E912" t="s">
        <v>10739</v>
      </c>
      <c r="F912" t="s">
        <v>5042</v>
      </c>
      <c r="G912">
        <v>1035.46</v>
      </c>
      <c r="I912">
        <v>1035.46</v>
      </c>
      <c r="J912">
        <v>1035.46</v>
      </c>
      <c r="K912" s="4">
        <v>45047</v>
      </c>
      <c r="L912" s="4">
        <v>45047</v>
      </c>
      <c r="M912">
        <v>2023</v>
      </c>
      <c r="N912">
        <v>5</v>
      </c>
      <c r="O912" s="4">
        <v>45047</v>
      </c>
      <c r="P912" t="s">
        <v>89</v>
      </c>
      <c r="Q912" s="4">
        <v>45153</v>
      </c>
      <c r="S912" t="s">
        <v>3235</v>
      </c>
      <c r="U912">
        <v>2588.64</v>
      </c>
      <c r="V912">
        <v>0.40000154521293035</v>
      </c>
      <c r="W912" t="s">
        <v>16</v>
      </c>
      <c r="X912" t="s">
        <v>3665</v>
      </c>
      <c r="Z912" t="s">
        <v>89</v>
      </c>
      <c r="AA912" t="s">
        <v>89</v>
      </c>
      <c r="AC912" t="s">
        <v>89</v>
      </c>
      <c r="AD912">
        <v>0</v>
      </c>
      <c r="AE912" t="s">
        <v>9251</v>
      </c>
      <c r="AF912" s="4"/>
    </row>
    <row r="913" spans="1:32">
      <c r="A913" t="s">
        <v>10740</v>
      </c>
      <c r="B913" t="s">
        <v>9366</v>
      </c>
      <c r="D913" t="s">
        <v>54</v>
      </c>
      <c r="E913" t="s">
        <v>10741</v>
      </c>
      <c r="F913" t="s">
        <v>5043</v>
      </c>
      <c r="G913">
        <v>1035.46</v>
      </c>
      <c r="I913">
        <v>1035.46</v>
      </c>
      <c r="J913">
        <v>1035.46</v>
      </c>
      <c r="K913" s="4">
        <v>45047</v>
      </c>
      <c r="L913" s="4">
        <v>45047</v>
      </c>
      <c r="M913">
        <v>2023</v>
      </c>
      <c r="N913">
        <v>5</v>
      </c>
      <c r="O913" s="4">
        <v>45047</v>
      </c>
      <c r="P913" t="s">
        <v>89</v>
      </c>
      <c r="Q913" s="4">
        <v>45153</v>
      </c>
      <c r="S913" t="s">
        <v>3237</v>
      </c>
      <c r="U913">
        <v>2588.64</v>
      </c>
      <c r="V913">
        <v>0.40000154521293035</v>
      </c>
      <c r="W913" t="s">
        <v>16</v>
      </c>
      <c r="X913" t="s">
        <v>3665</v>
      </c>
      <c r="Z913" t="s">
        <v>89</v>
      </c>
      <c r="AA913" t="s">
        <v>89</v>
      </c>
      <c r="AC913" t="s">
        <v>89</v>
      </c>
      <c r="AD913">
        <v>0</v>
      </c>
      <c r="AE913" t="s">
        <v>9251</v>
      </c>
      <c r="AF913" s="4"/>
    </row>
    <row r="914" spans="1:32">
      <c r="A914" t="s">
        <v>10742</v>
      </c>
      <c r="B914" t="s">
        <v>9366</v>
      </c>
      <c r="D914" t="s">
        <v>54</v>
      </c>
      <c r="E914" t="s">
        <v>10743</v>
      </c>
      <c r="F914" t="s">
        <v>5044</v>
      </c>
      <c r="G914">
        <v>1035.46</v>
      </c>
      <c r="I914">
        <v>1035.46</v>
      </c>
      <c r="J914">
        <v>1035.46</v>
      </c>
      <c r="K914" s="4">
        <v>45047</v>
      </c>
      <c r="L914" s="4">
        <v>45047</v>
      </c>
      <c r="M914">
        <v>2023</v>
      </c>
      <c r="N914">
        <v>5</v>
      </c>
      <c r="O914" s="4">
        <v>45047</v>
      </c>
      <c r="P914" t="s">
        <v>89</v>
      </c>
      <c r="Q914" s="4">
        <v>45153</v>
      </c>
      <c r="S914" t="s">
        <v>3216</v>
      </c>
      <c r="U914">
        <v>2588.64</v>
      </c>
      <c r="V914">
        <v>0.40000154521293035</v>
      </c>
      <c r="W914" t="s">
        <v>16</v>
      </c>
      <c r="X914" t="s">
        <v>3665</v>
      </c>
      <c r="Z914" t="s">
        <v>89</v>
      </c>
      <c r="AA914" t="s">
        <v>89</v>
      </c>
      <c r="AC914" t="s">
        <v>89</v>
      </c>
      <c r="AD914">
        <v>0</v>
      </c>
      <c r="AE914" t="s">
        <v>9251</v>
      </c>
      <c r="AF914" s="4"/>
    </row>
    <row r="915" spans="1:32">
      <c r="A915" t="s">
        <v>10744</v>
      </c>
      <c r="B915" t="s">
        <v>9366</v>
      </c>
      <c r="D915" t="s">
        <v>54</v>
      </c>
      <c r="E915" t="s">
        <v>10745</v>
      </c>
      <c r="F915" t="s">
        <v>5045</v>
      </c>
      <c r="G915">
        <v>1035.46</v>
      </c>
      <c r="I915">
        <v>1035.46</v>
      </c>
      <c r="J915">
        <v>1035.46</v>
      </c>
      <c r="K915" s="4">
        <v>45047</v>
      </c>
      <c r="L915" s="4">
        <v>45047</v>
      </c>
      <c r="M915">
        <v>2023</v>
      </c>
      <c r="N915">
        <v>5</v>
      </c>
      <c r="O915" s="4">
        <v>45047</v>
      </c>
      <c r="P915" t="s">
        <v>89</v>
      </c>
      <c r="Q915" s="4">
        <v>45153</v>
      </c>
      <c r="S915" t="s">
        <v>3220</v>
      </c>
      <c r="U915">
        <v>2588.64</v>
      </c>
      <c r="V915">
        <v>0.40000154521293035</v>
      </c>
      <c r="W915" t="s">
        <v>16</v>
      </c>
      <c r="X915" t="s">
        <v>3665</v>
      </c>
      <c r="Z915" t="s">
        <v>89</v>
      </c>
      <c r="AA915" t="s">
        <v>89</v>
      </c>
      <c r="AC915" t="s">
        <v>89</v>
      </c>
      <c r="AD915">
        <v>0</v>
      </c>
      <c r="AE915" t="s">
        <v>9251</v>
      </c>
      <c r="AF915" s="4"/>
    </row>
    <row r="916" spans="1:32">
      <c r="A916" t="s">
        <v>10746</v>
      </c>
      <c r="B916" t="s">
        <v>9366</v>
      </c>
      <c r="D916" t="s">
        <v>54</v>
      </c>
      <c r="E916" t="s">
        <v>10747</v>
      </c>
      <c r="F916" t="s">
        <v>5046</v>
      </c>
      <c r="G916">
        <v>1035.46</v>
      </c>
      <c r="I916">
        <v>1035.46</v>
      </c>
      <c r="J916">
        <v>1035.46</v>
      </c>
      <c r="K916" s="4">
        <v>45047</v>
      </c>
      <c r="L916" s="4">
        <v>45047</v>
      </c>
      <c r="M916">
        <v>2023</v>
      </c>
      <c r="N916">
        <v>5</v>
      </c>
      <c r="O916" s="4">
        <v>45047</v>
      </c>
      <c r="P916" t="s">
        <v>89</v>
      </c>
      <c r="Q916" s="4">
        <v>45153</v>
      </c>
      <c r="S916" t="s">
        <v>3222</v>
      </c>
      <c r="U916">
        <v>2588.64</v>
      </c>
      <c r="V916">
        <v>0.40000154521293035</v>
      </c>
      <c r="W916" t="s">
        <v>16</v>
      </c>
      <c r="X916" t="s">
        <v>3665</v>
      </c>
      <c r="Z916" t="s">
        <v>89</v>
      </c>
      <c r="AA916" t="s">
        <v>89</v>
      </c>
      <c r="AC916" t="s">
        <v>89</v>
      </c>
      <c r="AD916" t="s">
        <v>89</v>
      </c>
      <c r="AE916" t="s">
        <v>3652</v>
      </c>
      <c r="AF916" s="4"/>
    </row>
    <row r="917" spans="1:32">
      <c r="A917" t="s">
        <v>10748</v>
      </c>
      <c r="B917" t="s">
        <v>9366</v>
      </c>
      <c r="D917" t="s">
        <v>54</v>
      </c>
      <c r="E917" t="s">
        <v>10749</v>
      </c>
      <c r="F917" t="s">
        <v>5047</v>
      </c>
      <c r="G917">
        <v>1035.46</v>
      </c>
      <c r="I917">
        <v>1035.46</v>
      </c>
      <c r="J917">
        <v>1035.46</v>
      </c>
      <c r="K917" s="4">
        <v>45047</v>
      </c>
      <c r="L917" s="4">
        <v>45047</v>
      </c>
      <c r="M917">
        <v>2023</v>
      </c>
      <c r="N917">
        <v>5</v>
      </c>
      <c r="O917" s="4">
        <v>45047</v>
      </c>
      <c r="P917" t="s">
        <v>89</v>
      </c>
      <c r="Q917" s="4">
        <v>45153</v>
      </c>
      <c r="S917" t="s">
        <v>3214</v>
      </c>
      <c r="U917">
        <v>2588.64</v>
      </c>
      <c r="V917">
        <v>0.40000154521293035</v>
      </c>
      <c r="W917" t="s">
        <v>16</v>
      </c>
      <c r="X917" t="s">
        <v>3665</v>
      </c>
      <c r="Z917" t="s">
        <v>89</v>
      </c>
      <c r="AA917" t="s">
        <v>89</v>
      </c>
      <c r="AC917" t="s">
        <v>89</v>
      </c>
      <c r="AD917" t="s">
        <v>89</v>
      </c>
      <c r="AE917" t="s">
        <v>3652</v>
      </c>
      <c r="AF917" s="4"/>
    </row>
    <row r="918" spans="1:32">
      <c r="A918" t="s">
        <v>10750</v>
      </c>
      <c r="B918" t="s">
        <v>9366</v>
      </c>
      <c r="D918" t="s">
        <v>54</v>
      </c>
      <c r="E918" t="s">
        <v>10751</v>
      </c>
      <c r="F918" t="s">
        <v>5048</v>
      </c>
      <c r="G918">
        <v>1035.46</v>
      </c>
      <c r="I918">
        <v>1035.46</v>
      </c>
      <c r="J918">
        <v>1035.46</v>
      </c>
      <c r="K918" s="4">
        <v>45047</v>
      </c>
      <c r="L918" s="4">
        <v>45047</v>
      </c>
      <c r="M918">
        <v>2023</v>
      </c>
      <c r="N918">
        <v>5</v>
      </c>
      <c r="O918" s="4">
        <v>45047</v>
      </c>
      <c r="P918" t="s">
        <v>89</v>
      </c>
      <c r="Q918" s="4">
        <v>45153</v>
      </c>
      <c r="S918" t="s">
        <v>3218</v>
      </c>
      <c r="U918">
        <v>2588.64</v>
      </c>
      <c r="V918">
        <v>0.40000154521293035</v>
      </c>
      <c r="W918" t="s">
        <v>16</v>
      </c>
      <c r="X918" t="s">
        <v>3665</v>
      </c>
      <c r="Z918" t="s">
        <v>89</v>
      </c>
      <c r="AA918" t="s">
        <v>89</v>
      </c>
      <c r="AC918" t="s">
        <v>89</v>
      </c>
      <c r="AD918">
        <v>0</v>
      </c>
      <c r="AE918" t="s">
        <v>9251</v>
      </c>
      <c r="AF918" s="4"/>
    </row>
    <row r="919" spans="1:32">
      <c r="A919" t="s">
        <v>10752</v>
      </c>
      <c r="B919" t="s">
        <v>9366</v>
      </c>
      <c r="D919" t="s">
        <v>54</v>
      </c>
      <c r="E919" t="s">
        <v>10753</v>
      </c>
      <c r="F919" t="s">
        <v>5049</v>
      </c>
      <c r="G919">
        <v>547.91</v>
      </c>
      <c r="I919">
        <v>547.91</v>
      </c>
      <c r="J919">
        <v>547.91</v>
      </c>
      <c r="K919" s="4">
        <v>45108</v>
      </c>
      <c r="L919" s="4">
        <v>45108</v>
      </c>
      <c r="M919">
        <v>2023</v>
      </c>
      <c r="N919">
        <v>7</v>
      </c>
      <c r="O919" s="4">
        <v>45108</v>
      </c>
      <c r="P919" t="s">
        <v>89</v>
      </c>
      <c r="Q919" s="4">
        <v>45212</v>
      </c>
      <c r="S919" t="s">
        <v>5050</v>
      </c>
      <c r="U919">
        <v>1369.77</v>
      </c>
      <c r="V919">
        <v>0.40000146009914073</v>
      </c>
      <c r="W919" t="s">
        <v>16</v>
      </c>
      <c r="X919" t="s">
        <v>3665</v>
      </c>
      <c r="Z919" t="s">
        <v>89</v>
      </c>
      <c r="AA919" t="s">
        <v>89</v>
      </c>
      <c r="AC919" t="s">
        <v>89</v>
      </c>
      <c r="AD919">
        <v>0</v>
      </c>
      <c r="AE919" t="s">
        <v>9251</v>
      </c>
      <c r="AF919" s="4"/>
    </row>
    <row r="920" spans="1:32">
      <c r="A920" t="s">
        <v>10754</v>
      </c>
      <c r="B920" t="s">
        <v>9366</v>
      </c>
      <c r="D920" t="s">
        <v>54</v>
      </c>
      <c r="E920" t="s">
        <v>10755</v>
      </c>
      <c r="F920" t="s">
        <v>5051</v>
      </c>
      <c r="G920">
        <v>547.91</v>
      </c>
      <c r="I920">
        <v>547.91</v>
      </c>
      <c r="J920">
        <v>547.91</v>
      </c>
      <c r="K920" s="4">
        <v>45108</v>
      </c>
      <c r="L920" s="4">
        <v>45108</v>
      </c>
      <c r="M920">
        <v>2023</v>
      </c>
      <c r="N920">
        <v>7</v>
      </c>
      <c r="O920" s="4">
        <v>45108</v>
      </c>
      <c r="P920" t="s">
        <v>89</v>
      </c>
      <c r="Q920" s="4">
        <v>45212</v>
      </c>
      <c r="S920" t="s">
        <v>5052</v>
      </c>
      <c r="U920">
        <v>1369.77</v>
      </c>
      <c r="V920">
        <v>0.40000146009914073</v>
      </c>
      <c r="W920" t="s">
        <v>16</v>
      </c>
      <c r="X920" t="s">
        <v>3665</v>
      </c>
      <c r="Z920" t="s">
        <v>89</v>
      </c>
      <c r="AA920" t="s">
        <v>89</v>
      </c>
      <c r="AC920" t="s">
        <v>89</v>
      </c>
      <c r="AD920">
        <v>0</v>
      </c>
      <c r="AE920" t="s">
        <v>9251</v>
      </c>
      <c r="AF920" s="4"/>
    </row>
    <row r="921" spans="1:32">
      <c r="A921" t="s">
        <v>10756</v>
      </c>
      <c r="B921" t="s">
        <v>9366</v>
      </c>
      <c r="D921" t="s">
        <v>54</v>
      </c>
      <c r="E921" t="s">
        <v>10757</v>
      </c>
      <c r="F921" t="s">
        <v>5053</v>
      </c>
      <c r="G921">
        <v>1035.46</v>
      </c>
      <c r="I921">
        <v>1035.46</v>
      </c>
      <c r="J921">
        <v>1035.46</v>
      </c>
      <c r="K921" s="4">
        <v>45047</v>
      </c>
      <c r="L921" s="4">
        <v>45047</v>
      </c>
      <c r="M921">
        <v>2023</v>
      </c>
      <c r="N921">
        <v>5</v>
      </c>
      <c r="O921" s="4">
        <v>45047</v>
      </c>
      <c r="P921" t="s">
        <v>89</v>
      </c>
      <c r="Q921" s="4">
        <v>45153</v>
      </c>
      <c r="S921" t="s">
        <v>3230</v>
      </c>
      <c r="U921">
        <v>2588.64</v>
      </c>
      <c r="V921">
        <v>0.40000154521293035</v>
      </c>
      <c r="W921" t="s">
        <v>16</v>
      </c>
      <c r="X921" t="s">
        <v>3665</v>
      </c>
      <c r="Z921" t="s">
        <v>89</v>
      </c>
      <c r="AA921" t="s">
        <v>89</v>
      </c>
      <c r="AC921" t="s">
        <v>89</v>
      </c>
      <c r="AD921">
        <v>0</v>
      </c>
      <c r="AE921" t="s">
        <v>9251</v>
      </c>
      <c r="AF921" s="4"/>
    </row>
    <row r="922" spans="1:32">
      <c r="A922" t="s">
        <v>10758</v>
      </c>
      <c r="B922" t="s">
        <v>9366</v>
      </c>
      <c r="D922" t="s">
        <v>54</v>
      </c>
      <c r="E922" t="s">
        <v>10759</v>
      </c>
      <c r="F922" t="s">
        <v>5054</v>
      </c>
      <c r="G922">
        <v>547.91</v>
      </c>
      <c r="I922">
        <v>547.91</v>
      </c>
      <c r="J922">
        <v>547.91</v>
      </c>
      <c r="K922" s="4">
        <v>45108</v>
      </c>
      <c r="L922" s="4">
        <v>45108</v>
      </c>
      <c r="M922">
        <v>2023</v>
      </c>
      <c r="N922">
        <v>7</v>
      </c>
      <c r="O922" s="4">
        <v>45108</v>
      </c>
      <c r="P922" t="s">
        <v>89</v>
      </c>
      <c r="Q922" s="4">
        <v>45212</v>
      </c>
      <c r="S922" t="s">
        <v>5055</v>
      </c>
      <c r="U922">
        <v>1369.77</v>
      </c>
      <c r="V922">
        <v>0.40000146009914073</v>
      </c>
      <c r="W922" t="s">
        <v>16</v>
      </c>
      <c r="X922" t="s">
        <v>3665</v>
      </c>
      <c r="Z922" t="s">
        <v>89</v>
      </c>
      <c r="AA922" t="s">
        <v>89</v>
      </c>
      <c r="AC922" t="s">
        <v>89</v>
      </c>
      <c r="AD922">
        <v>0</v>
      </c>
      <c r="AE922" t="s">
        <v>9251</v>
      </c>
      <c r="AF922" s="4"/>
    </row>
    <row r="923" spans="1:32">
      <c r="A923" t="s">
        <v>10760</v>
      </c>
      <c r="B923" t="s">
        <v>9366</v>
      </c>
      <c r="D923" t="s">
        <v>54</v>
      </c>
      <c r="E923" t="s">
        <v>10761</v>
      </c>
      <c r="F923" t="s">
        <v>5056</v>
      </c>
      <c r="G923">
        <v>365.27</v>
      </c>
      <c r="I923">
        <v>365.27</v>
      </c>
      <c r="J923">
        <v>365.27</v>
      </c>
      <c r="K923" s="4">
        <v>45108</v>
      </c>
      <c r="L923" s="4">
        <v>45108</v>
      </c>
      <c r="M923">
        <v>2023</v>
      </c>
      <c r="N923">
        <v>7</v>
      </c>
      <c r="O923" s="4">
        <v>45108</v>
      </c>
      <c r="P923" t="s">
        <v>89</v>
      </c>
      <c r="Q923" s="4">
        <v>45260</v>
      </c>
      <c r="S923" t="s">
        <v>3254</v>
      </c>
      <c r="U923">
        <v>913.18</v>
      </c>
      <c r="V923">
        <v>0.39999780985128891</v>
      </c>
      <c r="W923" t="s">
        <v>16</v>
      </c>
      <c r="X923" t="s">
        <v>3711</v>
      </c>
      <c r="Z923" t="s">
        <v>89</v>
      </c>
      <c r="AA923" t="s">
        <v>89</v>
      </c>
      <c r="AC923" t="s">
        <v>89</v>
      </c>
      <c r="AD923">
        <v>0</v>
      </c>
      <c r="AE923" t="s">
        <v>9251</v>
      </c>
      <c r="AF923" s="4"/>
    </row>
    <row r="924" spans="1:32">
      <c r="A924" t="s">
        <v>10762</v>
      </c>
      <c r="B924" t="s">
        <v>9366</v>
      </c>
      <c r="D924" t="s">
        <v>54</v>
      </c>
      <c r="E924" t="s">
        <v>10763</v>
      </c>
      <c r="F924" t="s">
        <v>5057</v>
      </c>
      <c r="G924">
        <v>38364.89</v>
      </c>
      <c r="I924">
        <v>38364.89</v>
      </c>
      <c r="J924">
        <v>38364.89</v>
      </c>
      <c r="K924" s="4">
        <v>45108</v>
      </c>
      <c r="L924" s="4">
        <v>45108</v>
      </c>
      <c r="M924">
        <v>2023</v>
      </c>
      <c r="N924">
        <v>7</v>
      </c>
      <c r="O924" s="4">
        <v>45108</v>
      </c>
      <c r="P924" t="s">
        <v>89</v>
      </c>
      <c r="Q924" s="4">
        <v>45288</v>
      </c>
      <c r="S924" t="s">
        <v>3271</v>
      </c>
      <c r="U924">
        <v>95912.23</v>
      </c>
      <c r="V924">
        <v>0.39999997914760194</v>
      </c>
      <c r="W924" t="s">
        <v>16</v>
      </c>
      <c r="X924" t="s">
        <v>3711</v>
      </c>
      <c r="Z924" t="s">
        <v>89</v>
      </c>
      <c r="AA924" t="s">
        <v>89</v>
      </c>
      <c r="AC924" t="s">
        <v>89</v>
      </c>
      <c r="AD924">
        <v>0</v>
      </c>
      <c r="AE924" t="s">
        <v>9251</v>
      </c>
      <c r="AF924" s="4"/>
    </row>
    <row r="925" spans="1:32">
      <c r="A925" t="s">
        <v>10764</v>
      </c>
      <c r="B925" t="s">
        <v>9366</v>
      </c>
      <c r="D925" t="s">
        <v>54</v>
      </c>
      <c r="E925" t="s">
        <v>10765</v>
      </c>
      <c r="F925" t="s">
        <v>5062</v>
      </c>
      <c r="G925">
        <v>1888.28</v>
      </c>
      <c r="I925">
        <v>1888.28</v>
      </c>
      <c r="J925">
        <v>1888.28</v>
      </c>
      <c r="K925" s="4">
        <v>45108</v>
      </c>
      <c r="L925" s="4">
        <v>45108</v>
      </c>
      <c r="M925">
        <v>2023</v>
      </c>
      <c r="N925">
        <v>7</v>
      </c>
      <c r="O925" s="4">
        <v>45108</v>
      </c>
      <c r="P925" t="s">
        <v>89</v>
      </c>
      <c r="Q925" s="4">
        <v>45288</v>
      </c>
      <c r="S925" t="s">
        <v>5063</v>
      </c>
      <c r="U925">
        <v>4720.7</v>
      </c>
      <c r="V925">
        <v>0.4</v>
      </c>
      <c r="W925" t="s">
        <v>16</v>
      </c>
      <c r="X925" t="s">
        <v>3711</v>
      </c>
      <c r="Z925" t="s">
        <v>89</v>
      </c>
      <c r="AA925" t="s">
        <v>89</v>
      </c>
      <c r="AC925" t="s">
        <v>89</v>
      </c>
      <c r="AD925">
        <v>0</v>
      </c>
      <c r="AE925" t="s">
        <v>9251</v>
      </c>
      <c r="AF925" s="4"/>
    </row>
    <row r="926" spans="1:32">
      <c r="A926" t="s">
        <v>10766</v>
      </c>
      <c r="B926" t="s">
        <v>9366</v>
      </c>
      <c r="D926" t="s">
        <v>54</v>
      </c>
      <c r="E926" t="s">
        <v>10767</v>
      </c>
      <c r="F926" t="s">
        <v>5064</v>
      </c>
      <c r="G926">
        <v>1888.28</v>
      </c>
      <c r="I926">
        <v>1888.28</v>
      </c>
      <c r="J926">
        <v>1888.28</v>
      </c>
      <c r="K926" s="4">
        <v>45108</v>
      </c>
      <c r="L926" s="4">
        <v>45108</v>
      </c>
      <c r="M926">
        <v>2023</v>
      </c>
      <c r="N926">
        <v>7</v>
      </c>
      <c r="O926" s="4">
        <v>45108</v>
      </c>
      <c r="P926" t="s">
        <v>89</v>
      </c>
      <c r="Q926" s="4">
        <v>45198</v>
      </c>
      <c r="S926" t="s">
        <v>5065</v>
      </c>
      <c r="U926">
        <v>4720.7</v>
      </c>
      <c r="V926">
        <v>0.4</v>
      </c>
      <c r="W926" t="s">
        <v>16</v>
      </c>
      <c r="X926" t="s">
        <v>3711</v>
      </c>
      <c r="Z926" t="s">
        <v>89</v>
      </c>
      <c r="AA926" t="s">
        <v>89</v>
      </c>
      <c r="AC926" t="s">
        <v>89</v>
      </c>
      <c r="AD926">
        <v>0</v>
      </c>
      <c r="AE926" t="s">
        <v>9251</v>
      </c>
      <c r="AF926" s="4"/>
    </row>
    <row r="927" spans="1:32">
      <c r="A927" t="s">
        <v>10768</v>
      </c>
      <c r="B927" t="s">
        <v>9366</v>
      </c>
      <c r="D927" t="s">
        <v>54</v>
      </c>
      <c r="E927" t="s">
        <v>10769</v>
      </c>
      <c r="F927" t="s">
        <v>5066</v>
      </c>
      <c r="G927">
        <v>1888.28</v>
      </c>
      <c r="I927">
        <v>1888.28</v>
      </c>
      <c r="J927">
        <v>1888.28</v>
      </c>
      <c r="K927" s="4">
        <v>45108</v>
      </c>
      <c r="L927" s="4">
        <v>45108</v>
      </c>
      <c r="M927">
        <v>2023</v>
      </c>
      <c r="N927">
        <v>7</v>
      </c>
      <c r="O927" s="4">
        <v>45108</v>
      </c>
      <c r="P927" t="s">
        <v>89</v>
      </c>
      <c r="Q927" s="4">
        <v>45198</v>
      </c>
      <c r="S927" t="s">
        <v>5067</v>
      </c>
      <c r="U927">
        <v>4720.7</v>
      </c>
      <c r="V927">
        <v>0.4</v>
      </c>
      <c r="W927" t="s">
        <v>16</v>
      </c>
      <c r="X927" t="s">
        <v>3711</v>
      </c>
      <c r="Z927" t="s">
        <v>89</v>
      </c>
      <c r="AA927" t="s">
        <v>89</v>
      </c>
      <c r="AC927" t="s">
        <v>89</v>
      </c>
      <c r="AD927">
        <v>0</v>
      </c>
      <c r="AE927" t="s">
        <v>9251</v>
      </c>
      <c r="AF927" s="4"/>
    </row>
    <row r="928" spans="1:32">
      <c r="A928" t="s">
        <v>10770</v>
      </c>
      <c r="B928" t="s">
        <v>9366</v>
      </c>
      <c r="D928" t="s">
        <v>54</v>
      </c>
      <c r="E928" t="s">
        <v>10771</v>
      </c>
      <c r="F928" t="s">
        <v>5068</v>
      </c>
      <c r="G928">
        <v>1888.28</v>
      </c>
      <c r="I928">
        <v>1888.28</v>
      </c>
      <c r="J928">
        <v>1888.28</v>
      </c>
      <c r="K928" s="4">
        <v>45108</v>
      </c>
      <c r="L928" s="4">
        <v>45108</v>
      </c>
      <c r="M928">
        <v>2023</v>
      </c>
      <c r="N928">
        <v>7</v>
      </c>
      <c r="O928" s="4">
        <v>45108</v>
      </c>
      <c r="P928" t="s">
        <v>89</v>
      </c>
      <c r="Q928" s="4">
        <v>45198</v>
      </c>
      <c r="S928" t="s">
        <v>5069</v>
      </c>
      <c r="U928">
        <v>4720.7</v>
      </c>
      <c r="V928">
        <v>0.4</v>
      </c>
      <c r="W928" t="s">
        <v>16</v>
      </c>
      <c r="X928" t="s">
        <v>3711</v>
      </c>
      <c r="Z928" t="s">
        <v>89</v>
      </c>
      <c r="AA928" t="s">
        <v>89</v>
      </c>
      <c r="AC928" t="s">
        <v>89</v>
      </c>
      <c r="AD928">
        <v>0</v>
      </c>
      <c r="AE928" t="s">
        <v>9251</v>
      </c>
      <c r="AF928" s="4"/>
    </row>
    <row r="929" spans="1:32">
      <c r="A929" t="s">
        <v>10772</v>
      </c>
      <c r="B929" t="s">
        <v>9366</v>
      </c>
      <c r="D929" t="s">
        <v>54</v>
      </c>
      <c r="E929" t="s">
        <v>10773</v>
      </c>
      <c r="F929" t="s">
        <v>5070</v>
      </c>
      <c r="G929">
        <v>1888.28</v>
      </c>
      <c r="I929">
        <v>1888.28</v>
      </c>
      <c r="J929">
        <v>1888.28</v>
      </c>
      <c r="K929" s="4">
        <v>45108</v>
      </c>
      <c r="L929" s="4">
        <v>45108</v>
      </c>
      <c r="M929">
        <v>2023</v>
      </c>
      <c r="N929">
        <v>7</v>
      </c>
      <c r="O929" s="4">
        <v>45108</v>
      </c>
      <c r="P929" t="s">
        <v>89</v>
      </c>
      <c r="Q929" s="4">
        <v>45198</v>
      </c>
      <c r="S929" t="s">
        <v>5071</v>
      </c>
      <c r="U929">
        <v>4720.7</v>
      </c>
      <c r="V929">
        <v>0.4</v>
      </c>
      <c r="W929" t="s">
        <v>16</v>
      </c>
      <c r="X929" t="s">
        <v>3711</v>
      </c>
      <c r="Z929" t="s">
        <v>89</v>
      </c>
      <c r="AA929" t="s">
        <v>89</v>
      </c>
      <c r="AC929" t="s">
        <v>89</v>
      </c>
      <c r="AD929" t="s">
        <v>89</v>
      </c>
      <c r="AE929" t="s">
        <v>3652</v>
      </c>
      <c r="AF929" s="4"/>
    </row>
    <row r="930" spans="1:32">
      <c r="A930" t="s">
        <v>10774</v>
      </c>
      <c r="B930" t="s">
        <v>9366</v>
      </c>
      <c r="D930" t="s">
        <v>54</v>
      </c>
      <c r="E930" t="s">
        <v>10775</v>
      </c>
      <c r="F930" t="s">
        <v>5074</v>
      </c>
      <c r="G930">
        <v>1888.28</v>
      </c>
      <c r="I930">
        <v>1888.28</v>
      </c>
      <c r="J930">
        <v>1888.28</v>
      </c>
      <c r="K930" s="4">
        <v>45108</v>
      </c>
      <c r="L930" s="4">
        <v>45108</v>
      </c>
      <c r="M930">
        <v>2023</v>
      </c>
      <c r="N930">
        <v>7</v>
      </c>
      <c r="O930" s="4">
        <v>45108</v>
      </c>
      <c r="P930" t="s">
        <v>89</v>
      </c>
      <c r="Q930" s="4">
        <v>45198</v>
      </c>
      <c r="S930" t="s">
        <v>5075</v>
      </c>
      <c r="U930">
        <v>4720.7</v>
      </c>
      <c r="V930">
        <v>0.4</v>
      </c>
      <c r="W930" t="s">
        <v>16</v>
      </c>
      <c r="X930" t="s">
        <v>3711</v>
      </c>
      <c r="Z930" t="s">
        <v>89</v>
      </c>
      <c r="AA930" t="s">
        <v>89</v>
      </c>
      <c r="AC930" t="s">
        <v>89</v>
      </c>
      <c r="AD930" t="s">
        <v>89</v>
      </c>
      <c r="AE930" t="s">
        <v>3652</v>
      </c>
      <c r="AF930" s="4"/>
    </row>
    <row r="931" spans="1:32">
      <c r="A931" t="s">
        <v>10776</v>
      </c>
      <c r="B931" t="s">
        <v>9366</v>
      </c>
      <c r="D931" t="s">
        <v>54</v>
      </c>
      <c r="E931" t="s">
        <v>10777</v>
      </c>
      <c r="F931" t="s">
        <v>5078</v>
      </c>
      <c r="G931">
        <v>1888.28</v>
      </c>
      <c r="I931">
        <v>1888.28</v>
      </c>
      <c r="J931">
        <v>1888.28</v>
      </c>
      <c r="K931" s="4">
        <v>45108</v>
      </c>
      <c r="L931" s="4">
        <v>45108</v>
      </c>
      <c r="M931">
        <v>2023</v>
      </c>
      <c r="N931">
        <v>7</v>
      </c>
      <c r="O931" s="4">
        <v>45108</v>
      </c>
      <c r="P931" t="s">
        <v>89</v>
      </c>
      <c r="Q931" s="4">
        <v>45198</v>
      </c>
      <c r="S931" t="s">
        <v>5079</v>
      </c>
      <c r="U931">
        <v>4720.7</v>
      </c>
      <c r="V931">
        <v>0.4</v>
      </c>
      <c r="W931" t="s">
        <v>16</v>
      </c>
      <c r="X931" t="s">
        <v>3711</v>
      </c>
      <c r="Z931" t="s">
        <v>89</v>
      </c>
      <c r="AA931" t="s">
        <v>89</v>
      </c>
      <c r="AC931" t="s">
        <v>89</v>
      </c>
      <c r="AD931">
        <v>0</v>
      </c>
      <c r="AE931" t="s">
        <v>9251</v>
      </c>
      <c r="AF931" s="4"/>
    </row>
    <row r="932" spans="1:32">
      <c r="A932" t="s">
        <v>10778</v>
      </c>
      <c r="B932" t="s">
        <v>9366</v>
      </c>
      <c r="D932" t="s">
        <v>54</v>
      </c>
      <c r="E932" t="s">
        <v>10779</v>
      </c>
      <c r="F932" t="s">
        <v>5082</v>
      </c>
      <c r="G932">
        <v>365.27</v>
      </c>
      <c r="I932">
        <v>365.27</v>
      </c>
      <c r="J932">
        <v>365.27</v>
      </c>
      <c r="K932" s="4">
        <v>45108</v>
      </c>
      <c r="L932" s="4">
        <v>45108</v>
      </c>
      <c r="M932">
        <v>2023</v>
      </c>
      <c r="N932">
        <v>7</v>
      </c>
      <c r="O932" s="4">
        <v>45108</v>
      </c>
      <c r="P932" t="s">
        <v>89</v>
      </c>
      <c r="Q932" s="4">
        <v>45198</v>
      </c>
      <c r="S932" t="s">
        <v>5083</v>
      </c>
      <c r="U932">
        <v>913.18</v>
      </c>
      <c r="V932">
        <v>0.39999780985128891</v>
      </c>
      <c r="W932" t="s">
        <v>16</v>
      </c>
      <c r="X932" t="s">
        <v>3711</v>
      </c>
      <c r="Z932" t="s">
        <v>89</v>
      </c>
      <c r="AA932" t="s">
        <v>89</v>
      </c>
      <c r="AC932" t="s">
        <v>89</v>
      </c>
      <c r="AD932">
        <v>0</v>
      </c>
      <c r="AE932" t="s">
        <v>9251</v>
      </c>
      <c r="AF932" s="4"/>
    </row>
    <row r="933" spans="1:32">
      <c r="A933" t="s">
        <v>10780</v>
      </c>
      <c r="B933" t="s">
        <v>9366</v>
      </c>
      <c r="D933" t="s">
        <v>54</v>
      </c>
      <c r="E933" t="s">
        <v>10781</v>
      </c>
      <c r="F933" t="s">
        <v>5084</v>
      </c>
      <c r="G933">
        <v>547.91</v>
      </c>
      <c r="I933">
        <v>547.91</v>
      </c>
      <c r="J933">
        <v>547.91</v>
      </c>
      <c r="K933" s="4">
        <v>45108</v>
      </c>
      <c r="L933" s="4">
        <v>45108</v>
      </c>
      <c r="M933">
        <v>2023</v>
      </c>
      <c r="N933">
        <v>7</v>
      </c>
      <c r="O933" s="4">
        <v>45108</v>
      </c>
      <c r="P933" t="s">
        <v>89</v>
      </c>
      <c r="Q933" s="4">
        <v>45260</v>
      </c>
      <c r="S933" t="s">
        <v>3190</v>
      </c>
      <c r="U933">
        <v>1369.77</v>
      </c>
      <c r="V933">
        <v>0.40000146009914073</v>
      </c>
      <c r="W933" t="s">
        <v>16</v>
      </c>
      <c r="X933" t="s">
        <v>3711</v>
      </c>
      <c r="Z933" t="s">
        <v>89</v>
      </c>
      <c r="AA933" t="s">
        <v>89</v>
      </c>
      <c r="AC933" t="s">
        <v>89</v>
      </c>
      <c r="AD933">
        <v>0</v>
      </c>
      <c r="AE933" t="s">
        <v>9251</v>
      </c>
      <c r="AF933" s="4"/>
    </row>
    <row r="934" spans="1:32">
      <c r="A934" t="s">
        <v>10782</v>
      </c>
      <c r="B934" t="s">
        <v>9366</v>
      </c>
      <c r="D934" t="s">
        <v>54</v>
      </c>
      <c r="E934" t="s">
        <v>10783</v>
      </c>
      <c r="F934" t="s">
        <v>5086</v>
      </c>
      <c r="G934">
        <v>365.27</v>
      </c>
      <c r="I934">
        <v>365.27</v>
      </c>
      <c r="J934">
        <v>365.27</v>
      </c>
      <c r="K934" s="4">
        <v>45108</v>
      </c>
      <c r="L934" s="4">
        <v>45108</v>
      </c>
      <c r="M934">
        <v>2023</v>
      </c>
      <c r="N934">
        <v>7</v>
      </c>
      <c r="O934" s="4">
        <v>45108</v>
      </c>
      <c r="P934" t="s">
        <v>89</v>
      </c>
      <c r="Q934" s="4">
        <v>45260</v>
      </c>
      <c r="S934" t="s">
        <v>3248</v>
      </c>
      <c r="U934">
        <v>913.18</v>
      </c>
      <c r="V934">
        <v>0.39999780985128891</v>
      </c>
      <c r="W934" t="s">
        <v>16</v>
      </c>
      <c r="X934" t="s">
        <v>3711</v>
      </c>
      <c r="Z934" t="s">
        <v>89</v>
      </c>
      <c r="AA934" t="s">
        <v>89</v>
      </c>
      <c r="AC934" t="s">
        <v>89</v>
      </c>
      <c r="AD934">
        <v>0</v>
      </c>
      <c r="AE934" t="s">
        <v>9251</v>
      </c>
      <c r="AF934" s="4"/>
    </row>
    <row r="935" spans="1:32">
      <c r="A935" t="s">
        <v>10784</v>
      </c>
      <c r="B935" t="s">
        <v>9366</v>
      </c>
      <c r="D935" t="s">
        <v>54</v>
      </c>
      <c r="E935" t="s">
        <v>10785</v>
      </c>
      <c r="F935" t="s">
        <v>5087</v>
      </c>
      <c r="G935">
        <v>365.27</v>
      </c>
      <c r="I935">
        <v>365.27</v>
      </c>
      <c r="J935">
        <v>365.27</v>
      </c>
      <c r="K935" s="4">
        <v>45108</v>
      </c>
      <c r="L935" s="4">
        <v>45108</v>
      </c>
      <c r="M935">
        <v>2023</v>
      </c>
      <c r="N935">
        <v>7</v>
      </c>
      <c r="O935" s="4">
        <v>45108</v>
      </c>
      <c r="P935" t="s">
        <v>89</v>
      </c>
      <c r="Q935" s="4">
        <v>45260</v>
      </c>
      <c r="S935" t="s">
        <v>3250</v>
      </c>
      <c r="U935">
        <v>913.18</v>
      </c>
      <c r="V935">
        <v>0.39999780985128891</v>
      </c>
      <c r="W935" t="s">
        <v>16</v>
      </c>
      <c r="X935" t="s">
        <v>3711</v>
      </c>
      <c r="Z935" t="s">
        <v>89</v>
      </c>
      <c r="AA935" t="s">
        <v>89</v>
      </c>
      <c r="AC935" t="s">
        <v>89</v>
      </c>
      <c r="AD935">
        <v>0</v>
      </c>
      <c r="AE935" t="s">
        <v>9251</v>
      </c>
      <c r="AF935" s="4"/>
    </row>
    <row r="936" spans="1:32">
      <c r="A936" t="s">
        <v>10786</v>
      </c>
      <c r="B936" t="s">
        <v>9366</v>
      </c>
      <c r="D936" t="s">
        <v>54</v>
      </c>
      <c r="E936" t="s">
        <v>10787</v>
      </c>
      <c r="F936" t="s">
        <v>5088</v>
      </c>
      <c r="G936">
        <v>547.91</v>
      </c>
      <c r="I936">
        <v>547.91</v>
      </c>
      <c r="J936">
        <v>547.91</v>
      </c>
      <c r="K936" s="4">
        <v>45108</v>
      </c>
      <c r="L936" s="4">
        <v>45108</v>
      </c>
      <c r="M936">
        <v>2023</v>
      </c>
      <c r="N936">
        <v>7</v>
      </c>
      <c r="O936" s="4">
        <v>45108</v>
      </c>
      <c r="P936" t="s">
        <v>89</v>
      </c>
      <c r="Q936" s="4">
        <v>45260</v>
      </c>
      <c r="S936" t="s">
        <v>3177</v>
      </c>
      <c r="U936">
        <v>1369.77</v>
      </c>
      <c r="V936">
        <v>0.40000146009914073</v>
      </c>
      <c r="W936" t="s">
        <v>16</v>
      </c>
      <c r="X936" t="s">
        <v>3711</v>
      </c>
      <c r="Z936" t="s">
        <v>89</v>
      </c>
      <c r="AA936" t="s">
        <v>89</v>
      </c>
      <c r="AC936" t="s">
        <v>89</v>
      </c>
      <c r="AD936">
        <v>0</v>
      </c>
      <c r="AE936" t="s">
        <v>9251</v>
      </c>
      <c r="AF936" s="4"/>
    </row>
    <row r="937" spans="1:32">
      <c r="A937" t="s">
        <v>10788</v>
      </c>
      <c r="B937" t="s">
        <v>9366</v>
      </c>
      <c r="D937" t="s">
        <v>54</v>
      </c>
      <c r="E937" t="s">
        <v>10789</v>
      </c>
      <c r="F937" t="s">
        <v>5089</v>
      </c>
      <c r="G937">
        <v>365.27</v>
      </c>
      <c r="I937">
        <v>365.27</v>
      </c>
      <c r="J937">
        <v>365.27</v>
      </c>
      <c r="K937" s="4">
        <v>45108</v>
      </c>
      <c r="L937" s="4">
        <v>45108</v>
      </c>
      <c r="M937">
        <v>2023</v>
      </c>
      <c r="N937">
        <v>7</v>
      </c>
      <c r="O937" s="4">
        <v>45108</v>
      </c>
      <c r="P937" t="s">
        <v>89</v>
      </c>
      <c r="Q937" s="4">
        <v>45260</v>
      </c>
      <c r="S937" t="s">
        <v>3252</v>
      </c>
      <c r="U937">
        <v>913.18</v>
      </c>
      <c r="V937">
        <v>0.39999780985128891</v>
      </c>
      <c r="W937" t="s">
        <v>16</v>
      </c>
      <c r="X937" t="s">
        <v>3711</v>
      </c>
      <c r="Z937" t="s">
        <v>89</v>
      </c>
      <c r="AA937" t="s">
        <v>89</v>
      </c>
      <c r="AC937" t="s">
        <v>89</v>
      </c>
      <c r="AD937">
        <v>0</v>
      </c>
      <c r="AE937" t="s">
        <v>9251</v>
      </c>
      <c r="AF937" s="4"/>
    </row>
    <row r="938" spans="1:32">
      <c r="A938" t="s">
        <v>10790</v>
      </c>
      <c r="B938" t="s">
        <v>9366</v>
      </c>
      <c r="D938" t="s">
        <v>54</v>
      </c>
      <c r="E938" t="s">
        <v>10791</v>
      </c>
      <c r="F938" t="s">
        <v>5092</v>
      </c>
      <c r="G938">
        <v>1888.28</v>
      </c>
      <c r="I938">
        <v>1888.28</v>
      </c>
      <c r="J938">
        <v>1888.28</v>
      </c>
      <c r="K938" s="4">
        <v>45108</v>
      </c>
      <c r="L938" s="4">
        <v>45108</v>
      </c>
      <c r="M938">
        <v>2023</v>
      </c>
      <c r="N938">
        <v>7</v>
      </c>
      <c r="O938" s="4">
        <v>45108</v>
      </c>
      <c r="P938" t="s">
        <v>89</v>
      </c>
      <c r="Q938" s="4">
        <v>45198</v>
      </c>
      <c r="S938" t="s">
        <v>5093</v>
      </c>
      <c r="U938">
        <v>4720.7</v>
      </c>
      <c r="V938">
        <v>0.4</v>
      </c>
      <c r="W938" t="s">
        <v>16</v>
      </c>
      <c r="X938" t="s">
        <v>3711</v>
      </c>
      <c r="Z938" t="s">
        <v>89</v>
      </c>
      <c r="AA938" t="s">
        <v>89</v>
      </c>
      <c r="AC938" t="s">
        <v>89</v>
      </c>
      <c r="AD938" t="s">
        <v>89</v>
      </c>
      <c r="AE938" t="s">
        <v>3652</v>
      </c>
      <c r="AF938" s="4"/>
    </row>
    <row r="939" spans="1:32">
      <c r="A939" t="s">
        <v>10792</v>
      </c>
      <c r="B939" t="s">
        <v>9366</v>
      </c>
      <c r="D939" t="s">
        <v>54</v>
      </c>
      <c r="E939" t="s">
        <v>10793</v>
      </c>
      <c r="F939" t="s">
        <v>5094</v>
      </c>
      <c r="G939">
        <v>365.27</v>
      </c>
      <c r="I939">
        <v>365.27</v>
      </c>
      <c r="J939">
        <v>365.27</v>
      </c>
      <c r="K939" s="4">
        <v>45108</v>
      </c>
      <c r="L939" s="4">
        <v>45108</v>
      </c>
      <c r="M939">
        <v>2023</v>
      </c>
      <c r="N939">
        <v>7</v>
      </c>
      <c r="O939" s="4">
        <v>45108</v>
      </c>
      <c r="P939" t="s">
        <v>89</v>
      </c>
      <c r="Q939" s="4">
        <v>45198</v>
      </c>
      <c r="S939" t="s">
        <v>5095</v>
      </c>
      <c r="U939">
        <v>913.18</v>
      </c>
      <c r="V939">
        <v>0.39999780985128891</v>
      </c>
      <c r="W939" t="s">
        <v>16</v>
      </c>
      <c r="X939" t="s">
        <v>3711</v>
      </c>
      <c r="Z939" t="s">
        <v>89</v>
      </c>
      <c r="AA939" t="s">
        <v>89</v>
      </c>
      <c r="AC939" t="s">
        <v>89</v>
      </c>
      <c r="AD939">
        <v>0</v>
      </c>
      <c r="AE939" t="s">
        <v>9251</v>
      </c>
      <c r="AF939" s="4"/>
    </row>
    <row r="940" spans="1:32">
      <c r="A940" t="s">
        <v>10794</v>
      </c>
      <c r="B940" t="s">
        <v>9366</v>
      </c>
      <c r="D940" t="s">
        <v>54</v>
      </c>
      <c r="E940" t="s">
        <v>10795</v>
      </c>
      <c r="F940" t="s">
        <v>5098</v>
      </c>
      <c r="G940">
        <v>547.91</v>
      </c>
      <c r="I940">
        <v>547.91</v>
      </c>
      <c r="J940">
        <v>547.91</v>
      </c>
      <c r="K940" s="4">
        <v>45108</v>
      </c>
      <c r="L940" s="4">
        <v>45108</v>
      </c>
      <c r="M940">
        <v>2023</v>
      </c>
      <c r="N940">
        <v>7</v>
      </c>
      <c r="O940" s="4">
        <v>45108</v>
      </c>
      <c r="P940" t="s">
        <v>89</v>
      </c>
      <c r="Q940" s="4">
        <v>45198</v>
      </c>
      <c r="S940" t="s">
        <v>3179</v>
      </c>
      <c r="U940">
        <v>1369.77</v>
      </c>
      <c r="V940">
        <v>0.40000146009914073</v>
      </c>
      <c r="W940" t="s">
        <v>16</v>
      </c>
      <c r="X940" t="s">
        <v>3711</v>
      </c>
      <c r="Z940" t="s">
        <v>89</v>
      </c>
      <c r="AA940" t="s">
        <v>89</v>
      </c>
      <c r="AC940" t="s">
        <v>89</v>
      </c>
      <c r="AD940">
        <v>0</v>
      </c>
      <c r="AE940" t="s">
        <v>9251</v>
      </c>
      <c r="AF940" s="4"/>
    </row>
    <row r="941" spans="1:32">
      <c r="A941" t="s">
        <v>10796</v>
      </c>
      <c r="B941" t="s">
        <v>9366</v>
      </c>
      <c r="D941" t="s">
        <v>54</v>
      </c>
      <c r="E941" t="s">
        <v>6773</v>
      </c>
      <c r="F941" t="s">
        <v>5101</v>
      </c>
      <c r="G941">
        <v>608.5</v>
      </c>
      <c r="I941">
        <v>608.5</v>
      </c>
      <c r="J941">
        <v>608.5</v>
      </c>
      <c r="K941" s="4">
        <v>45047</v>
      </c>
      <c r="L941" s="4">
        <v>45047</v>
      </c>
      <c r="M941">
        <v>2023</v>
      </c>
      <c r="N941">
        <v>5</v>
      </c>
      <c r="O941" s="4">
        <v>45047</v>
      </c>
      <c r="P941" t="s">
        <v>89</v>
      </c>
      <c r="Q941" s="4">
        <v>45153</v>
      </c>
      <c r="S941" t="s">
        <v>3885</v>
      </c>
      <c r="U941">
        <v>1521.25</v>
      </c>
      <c r="V941">
        <v>0.4</v>
      </c>
      <c r="W941" t="s">
        <v>16</v>
      </c>
      <c r="X941" t="s">
        <v>2250</v>
      </c>
      <c r="Z941" t="s">
        <v>89</v>
      </c>
      <c r="AA941" t="s">
        <v>89</v>
      </c>
      <c r="AC941" t="s">
        <v>89</v>
      </c>
      <c r="AD941">
        <v>0</v>
      </c>
      <c r="AE941" t="s">
        <v>9251</v>
      </c>
      <c r="AF941" s="4"/>
    </row>
    <row r="942" spans="1:32">
      <c r="A942" t="s">
        <v>10797</v>
      </c>
      <c r="B942" t="s">
        <v>9366</v>
      </c>
      <c r="D942" t="s">
        <v>54</v>
      </c>
      <c r="E942" t="s">
        <v>10798</v>
      </c>
      <c r="F942" t="s">
        <v>5104</v>
      </c>
      <c r="G942">
        <v>608.5</v>
      </c>
      <c r="I942">
        <v>608.5</v>
      </c>
      <c r="J942">
        <v>608.5</v>
      </c>
      <c r="K942" s="4">
        <v>45047</v>
      </c>
      <c r="L942" s="4">
        <v>45047</v>
      </c>
      <c r="M942">
        <v>2023</v>
      </c>
      <c r="N942">
        <v>5</v>
      </c>
      <c r="O942" s="4">
        <v>45047</v>
      </c>
      <c r="P942" t="s">
        <v>89</v>
      </c>
      <c r="Q942" s="4">
        <v>45153</v>
      </c>
      <c r="S942" t="s">
        <v>3895</v>
      </c>
      <c r="U942">
        <v>1521.25</v>
      </c>
      <c r="V942">
        <v>0.4</v>
      </c>
      <c r="W942" t="s">
        <v>16</v>
      </c>
      <c r="X942" t="s">
        <v>2250</v>
      </c>
      <c r="Z942" t="s">
        <v>89</v>
      </c>
      <c r="AA942" t="s">
        <v>89</v>
      </c>
      <c r="AC942" t="s">
        <v>89</v>
      </c>
      <c r="AD942">
        <v>0</v>
      </c>
      <c r="AE942" t="s">
        <v>9251</v>
      </c>
      <c r="AF942" s="4"/>
    </row>
    <row r="943" spans="1:32">
      <c r="A943" t="s">
        <v>10799</v>
      </c>
      <c r="B943" t="s">
        <v>9366</v>
      </c>
      <c r="D943" t="s">
        <v>54</v>
      </c>
      <c r="E943" t="s">
        <v>6777</v>
      </c>
      <c r="F943" t="s">
        <v>5105</v>
      </c>
      <c r="G943">
        <v>12177.4</v>
      </c>
      <c r="I943">
        <v>12177.4</v>
      </c>
      <c r="J943">
        <v>12177.4</v>
      </c>
      <c r="K943" s="4">
        <v>45047</v>
      </c>
      <c r="L943" s="4">
        <v>45047</v>
      </c>
      <c r="M943">
        <v>2023</v>
      </c>
      <c r="N943">
        <v>5</v>
      </c>
      <c r="O943" s="4">
        <v>45047</v>
      </c>
      <c r="P943" t="s">
        <v>89</v>
      </c>
      <c r="Q943" s="4">
        <v>45153</v>
      </c>
      <c r="S943" t="s">
        <v>5106</v>
      </c>
      <c r="U943">
        <v>30443.5</v>
      </c>
      <c r="V943">
        <v>0.39999999999999997</v>
      </c>
      <c r="W943" t="s">
        <v>16</v>
      </c>
      <c r="X943" t="s">
        <v>3718</v>
      </c>
      <c r="Z943" t="s">
        <v>89</v>
      </c>
      <c r="AA943" t="s">
        <v>89</v>
      </c>
      <c r="AC943" t="s">
        <v>89</v>
      </c>
      <c r="AD943" t="s">
        <v>89</v>
      </c>
      <c r="AE943" t="s">
        <v>3652</v>
      </c>
      <c r="AF943" s="4"/>
    </row>
    <row r="944" spans="1:32">
      <c r="A944" t="s">
        <v>10800</v>
      </c>
      <c r="B944" t="s">
        <v>9366</v>
      </c>
      <c r="D944" t="s">
        <v>54</v>
      </c>
      <c r="E944" t="s">
        <v>10801</v>
      </c>
      <c r="F944" t="s">
        <v>5108</v>
      </c>
      <c r="G944">
        <v>6695.19</v>
      </c>
      <c r="I944">
        <v>6695.19</v>
      </c>
      <c r="J944">
        <v>6695.19</v>
      </c>
      <c r="K944" s="4">
        <v>45047</v>
      </c>
      <c r="L944" s="4">
        <v>45047</v>
      </c>
      <c r="M944">
        <v>2023</v>
      </c>
      <c r="N944">
        <v>5</v>
      </c>
      <c r="O944" s="4">
        <v>45047</v>
      </c>
      <c r="P944" t="s">
        <v>89</v>
      </c>
      <c r="Q944" s="4">
        <v>45153</v>
      </c>
      <c r="S944" t="s">
        <v>5109</v>
      </c>
      <c r="U944">
        <v>16737.97</v>
      </c>
      <c r="V944">
        <v>0.40000011948880293</v>
      </c>
      <c r="W944" t="s">
        <v>16</v>
      </c>
      <c r="X944" t="s">
        <v>3718</v>
      </c>
      <c r="Z944" t="s">
        <v>89</v>
      </c>
      <c r="AA944" t="s">
        <v>89</v>
      </c>
      <c r="AC944" t="s">
        <v>89</v>
      </c>
      <c r="AD944">
        <v>0</v>
      </c>
      <c r="AE944" t="s">
        <v>9251</v>
      </c>
      <c r="AF944" s="4"/>
    </row>
    <row r="945" spans="1:32">
      <c r="A945" t="s">
        <v>10802</v>
      </c>
      <c r="B945" t="s">
        <v>9366</v>
      </c>
      <c r="D945" t="s">
        <v>54</v>
      </c>
      <c r="E945" t="s">
        <v>10803</v>
      </c>
      <c r="F945" t="s">
        <v>5110</v>
      </c>
      <c r="G945">
        <v>22154.59</v>
      </c>
      <c r="I945">
        <v>22154.59</v>
      </c>
      <c r="J945">
        <v>22154.59</v>
      </c>
      <c r="K945" s="4">
        <v>45047</v>
      </c>
      <c r="L945" s="4">
        <v>45047</v>
      </c>
      <c r="M945">
        <v>2023</v>
      </c>
      <c r="N945">
        <v>5</v>
      </c>
      <c r="O945" s="4">
        <v>45047</v>
      </c>
      <c r="P945" t="s">
        <v>89</v>
      </c>
      <c r="Q945" s="4">
        <v>45153</v>
      </c>
      <c r="S945" t="s">
        <v>3758</v>
      </c>
      <c r="U945">
        <v>55386.48</v>
      </c>
      <c r="V945">
        <v>0.39999996389010456</v>
      </c>
      <c r="W945" t="s">
        <v>16</v>
      </c>
      <c r="X945" t="s">
        <v>3718</v>
      </c>
      <c r="Z945" t="s">
        <v>89</v>
      </c>
      <c r="AA945" t="s">
        <v>89</v>
      </c>
      <c r="AC945" t="s">
        <v>89</v>
      </c>
      <c r="AD945">
        <v>0</v>
      </c>
      <c r="AE945" t="s">
        <v>9251</v>
      </c>
      <c r="AF945" s="4"/>
    </row>
    <row r="946" spans="1:32">
      <c r="A946" t="s">
        <v>10804</v>
      </c>
      <c r="B946" t="s">
        <v>9366</v>
      </c>
      <c r="D946" t="s">
        <v>54</v>
      </c>
      <c r="E946" t="s">
        <v>10805</v>
      </c>
      <c r="F946" t="s">
        <v>5111</v>
      </c>
      <c r="G946">
        <v>16615.939999999999</v>
      </c>
      <c r="I946">
        <v>16615.939999999999</v>
      </c>
      <c r="J946">
        <v>16615.939999999999</v>
      </c>
      <c r="K946" s="4">
        <v>45047</v>
      </c>
      <c r="L946" s="4">
        <v>45047</v>
      </c>
      <c r="M946">
        <v>2023</v>
      </c>
      <c r="N946">
        <v>5</v>
      </c>
      <c r="O946" s="4">
        <v>45047</v>
      </c>
      <c r="P946" t="s">
        <v>89</v>
      </c>
      <c r="Q946" s="4">
        <v>45153</v>
      </c>
      <c r="S946" t="s">
        <v>5112</v>
      </c>
      <c r="U946">
        <v>41539.86</v>
      </c>
      <c r="V946">
        <v>0.39999990370694555</v>
      </c>
      <c r="W946" t="s">
        <v>16</v>
      </c>
      <c r="X946" t="s">
        <v>3718</v>
      </c>
      <c r="Z946" t="s">
        <v>89</v>
      </c>
      <c r="AA946" t="s">
        <v>89</v>
      </c>
      <c r="AC946" t="s">
        <v>89</v>
      </c>
      <c r="AD946">
        <v>0</v>
      </c>
      <c r="AE946" t="s">
        <v>9251</v>
      </c>
      <c r="AF946" s="4"/>
    </row>
    <row r="947" spans="1:32">
      <c r="A947" t="s">
        <v>10806</v>
      </c>
      <c r="B947" t="s">
        <v>9366</v>
      </c>
      <c r="D947" t="s">
        <v>54</v>
      </c>
      <c r="E947" t="s">
        <v>10807</v>
      </c>
      <c r="F947" t="s">
        <v>5114</v>
      </c>
      <c r="G947">
        <v>24354.799999999999</v>
      </c>
      <c r="I947">
        <v>24354.799999999999</v>
      </c>
      <c r="J947">
        <v>24354.799999999999</v>
      </c>
      <c r="K947" s="4">
        <v>45108</v>
      </c>
      <c r="L947" s="4">
        <v>45108</v>
      </c>
      <c r="M947">
        <v>2023</v>
      </c>
      <c r="N947">
        <v>7</v>
      </c>
      <c r="O947" s="4">
        <v>45108</v>
      </c>
      <c r="P947" t="s">
        <v>89</v>
      </c>
      <c r="Q947" s="4">
        <v>45168</v>
      </c>
      <c r="S947" t="s">
        <v>5115</v>
      </c>
      <c r="U947">
        <v>60887.01</v>
      </c>
      <c r="V947">
        <v>0.39999993430454212</v>
      </c>
      <c r="W947" t="s">
        <v>16</v>
      </c>
      <c r="X947" t="s">
        <v>3718</v>
      </c>
      <c r="Z947" t="s">
        <v>89</v>
      </c>
      <c r="AA947" t="s">
        <v>89</v>
      </c>
      <c r="AC947" t="s">
        <v>89</v>
      </c>
      <c r="AD947">
        <v>0</v>
      </c>
      <c r="AE947" t="s">
        <v>9251</v>
      </c>
      <c r="AF947" s="4"/>
    </row>
    <row r="948" spans="1:32">
      <c r="A948" t="s">
        <v>10808</v>
      </c>
      <c r="B948" t="s">
        <v>9366</v>
      </c>
      <c r="D948" t="s">
        <v>54</v>
      </c>
      <c r="E948" t="s">
        <v>10809</v>
      </c>
      <c r="F948" t="s">
        <v>5117</v>
      </c>
      <c r="G948">
        <v>16615.939999999999</v>
      </c>
      <c r="I948">
        <v>16615.939999999999</v>
      </c>
      <c r="J948">
        <v>16615.939999999999</v>
      </c>
      <c r="K948" s="4">
        <v>45108</v>
      </c>
      <c r="L948" s="4">
        <v>45108</v>
      </c>
      <c r="M948">
        <v>2023</v>
      </c>
      <c r="N948">
        <v>7</v>
      </c>
      <c r="O948" s="4">
        <v>45108</v>
      </c>
      <c r="P948" t="s">
        <v>89</v>
      </c>
      <c r="Q948" s="4">
        <v>45168</v>
      </c>
      <c r="S948" t="s">
        <v>5118</v>
      </c>
      <c r="U948">
        <v>41539.86</v>
      </c>
      <c r="V948">
        <v>0.39999990370694555</v>
      </c>
      <c r="W948" t="s">
        <v>16</v>
      </c>
      <c r="X948" t="s">
        <v>3718</v>
      </c>
      <c r="Z948" t="s">
        <v>89</v>
      </c>
      <c r="AA948" t="s">
        <v>89</v>
      </c>
      <c r="AC948" t="s">
        <v>89</v>
      </c>
      <c r="AD948" t="s">
        <v>89</v>
      </c>
      <c r="AE948" t="s">
        <v>3652</v>
      </c>
      <c r="AF948" s="4"/>
    </row>
    <row r="949" spans="1:32">
      <c r="A949" t="s">
        <v>10810</v>
      </c>
      <c r="B949" t="s">
        <v>9366</v>
      </c>
      <c r="D949" t="s">
        <v>54</v>
      </c>
      <c r="E949" t="s">
        <v>10811</v>
      </c>
      <c r="F949" t="s">
        <v>5122</v>
      </c>
      <c r="G949">
        <v>4091.8</v>
      </c>
      <c r="I949">
        <v>4091.8</v>
      </c>
      <c r="J949">
        <v>4091.8</v>
      </c>
      <c r="K949" s="4">
        <v>45108</v>
      </c>
      <c r="L949" s="4">
        <v>45108</v>
      </c>
      <c r="M949">
        <v>2023</v>
      </c>
      <c r="N949">
        <v>7</v>
      </c>
      <c r="O949" s="4">
        <v>45108</v>
      </c>
      <c r="P949" t="s">
        <v>89</v>
      </c>
      <c r="Q949" s="4">
        <v>45288</v>
      </c>
      <c r="S949" t="s">
        <v>5123</v>
      </c>
      <c r="U949">
        <v>10229.49</v>
      </c>
      <c r="V949">
        <v>0.40000039102633661</v>
      </c>
      <c r="W949" t="s">
        <v>16</v>
      </c>
      <c r="X949" t="s">
        <v>3911</v>
      </c>
      <c r="Z949" t="s">
        <v>89</v>
      </c>
      <c r="AA949" t="s">
        <v>89</v>
      </c>
      <c r="AC949" t="s">
        <v>89</v>
      </c>
      <c r="AD949">
        <v>0</v>
      </c>
      <c r="AE949" t="s">
        <v>9251</v>
      </c>
      <c r="AF949" s="4"/>
    </row>
    <row r="950" spans="1:32">
      <c r="A950" t="s">
        <v>10812</v>
      </c>
      <c r="B950" t="s">
        <v>9366</v>
      </c>
      <c r="D950" t="s">
        <v>54</v>
      </c>
      <c r="E950" t="s">
        <v>10813</v>
      </c>
      <c r="F950" t="s">
        <v>5124</v>
      </c>
      <c r="G950">
        <v>1521.43</v>
      </c>
      <c r="I950">
        <v>1521.43</v>
      </c>
      <c r="J950">
        <v>1521.43</v>
      </c>
      <c r="K950" s="4">
        <v>45017</v>
      </c>
      <c r="L950" s="4">
        <v>45017</v>
      </c>
      <c r="M950">
        <v>2023</v>
      </c>
      <c r="N950">
        <v>4</v>
      </c>
      <c r="O950" s="4">
        <v>45017</v>
      </c>
      <c r="P950" t="s">
        <v>89</v>
      </c>
      <c r="Q950" s="4">
        <v>45288</v>
      </c>
      <c r="S950" t="s">
        <v>5125</v>
      </c>
      <c r="U950">
        <v>3803.58</v>
      </c>
      <c r="V950">
        <v>0.39999947417958875</v>
      </c>
      <c r="W950" t="s">
        <v>16</v>
      </c>
      <c r="X950" t="s">
        <v>3911</v>
      </c>
      <c r="Z950" t="s">
        <v>89</v>
      </c>
      <c r="AA950" t="s">
        <v>89</v>
      </c>
      <c r="AC950" t="s">
        <v>89</v>
      </c>
      <c r="AD950">
        <v>0</v>
      </c>
      <c r="AE950" t="s">
        <v>9251</v>
      </c>
      <c r="AF950" s="4"/>
    </row>
    <row r="951" spans="1:32">
      <c r="A951" t="s">
        <v>10814</v>
      </c>
      <c r="B951" t="s">
        <v>9366</v>
      </c>
      <c r="D951" t="s">
        <v>54</v>
      </c>
      <c r="E951" t="s">
        <v>10815</v>
      </c>
      <c r="F951" t="s">
        <v>5126</v>
      </c>
      <c r="G951">
        <v>1521.43</v>
      </c>
      <c r="I951">
        <v>1521.43</v>
      </c>
      <c r="J951">
        <v>1521.43</v>
      </c>
      <c r="K951" s="4">
        <v>45108</v>
      </c>
      <c r="L951" s="4">
        <v>45108</v>
      </c>
      <c r="M951">
        <v>2023</v>
      </c>
      <c r="N951">
        <v>7</v>
      </c>
      <c r="O951" s="4">
        <v>45108</v>
      </c>
      <c r="P951" t="s">
        <v>89</v>
      </c>
      <c r="Q951" s="4">
        <v>45288</v>
      </c>
      <c r="S951" t="s">
        <v>5127</v>
      </c>
      <c r="U951">
        <v>3803.58</v>
      </c>
      <c r="V951">
        <v>0.39999947417958875</v>
      </c>
      <c r="W951" t="s">
        <v>16</v>
      </c>
      <c r="X951" t="s">
        <v>3911</v>
      </c>
      <c r="Z951" t="s">
        <v>89</v>
      </c>
      <c r="AA951" t="s">
        <v>89</v>
      </c>
      <c r="AC951" t="s">
        <v>89</v>
      </c>
      <c r="AD951">
        <v>0</v>
      </c>
      <c r="AE951" t="s">
        <v>9251</v>
      </c>
      <c r="AF951" s="4"/>
    </row>
    <row r="952" spans="1:32">
      <c r="A952" t="s">
        <v>10816</v>
      </c>
      <c r="B952" t="s">
        <v>9366</v>
      </c>
      <c r="D952" t="s">
        <v>54</v>
      </c>
      <c r="E952" t="s">
        <v>10817</v>
      </c>
      <c r="F952" t="s">
        <v>5128</v>
      </c>
      <c r="G952">
        <v>1521.43</v>
      </c>
      <c r="I952">
        <v>1521.43</v>
      </c>
      <c r="J952">
        <v>1521.43</v>
      </c>
      <c r="K952" s="4">
        <v>45017</v>
      </c>
      <c r="L952" s="4">
        <v>45017</v>
      </c>
      <c r="M952">
        <v>2023</v>
      </c>
      <c r="N952">
        <v>4</v>
      </c>
      <c r="O952" s="4">
        <v>45017</v>
      </c>
      <c r="P952" t="s">
        <v>89</v>
      </c>
      <c r="Q952" s="4">
        <v>45288</v>
      </c>
      <c r="S952" t="s">
        <v>5129</v>
      </c>
      <c r="U952">
        <v>3803.58</v>
      </c>
      <c r="V952">
        <v>0.39999947417958875</v>
      </c>
      <c r="W952" t="s">
        <v>16</v>
      </c>
      <c r="X952" t="s">
        <v>3911</v>
      </c>
      <c r="Z952" t="s">
        <v>89</v>
      </c>
      <c r="AA952" t="s">
        <v>89</v>
      </c>
      <c r="AC952" t="s">
        <v>89</v>
      </c>
      <c r="AD952">
        <v>0</v>
      </c>
      <c r="AE952" t="s">
        <v>9251</v>
      </c>
      <c r="AF952" s="4"/>
    </row>
    <row r="953" spans="1:32">
      <c r="A953" t="s">
        <v>10818</v>
      </c>
      <c r="B953" t="s">
        <v>9366</v>
      </c>
      <c r="D953" t="s">
        <v>54</v>
      </c>
      <c r="E953" t="s">
        <v>10819</v>
      </c>
      <c r="F953" t="s">
        <v>5130</v>
      </c>
      <c r="G953">
        <v>1521.43</v>
      </c>
      <c r="I953">
        <v>1521.43</v>
      </c>
      <c r="J953">
        <v>1521.43</v>
      </c>
      <c r="K953" s="4">
        <v>45047</v>
      </c>
      <c r="L953" s="4">
        <v>45047</v>
      </c>
      <c r="M953">
        <v>2023</v>
      </c>
      <c r="N953">
        <v>5</v>
      </c>
      <c r="O953" s="4">
        <v>45047</v>
      </c>
      <c r="P953" t="s">
        <v>89</v>
      </c>
      <c r="Q953" s="4">
        <v>45288</v>
      </c>
      <c r="S953" t="s">
        <v>5131</v>
      </c>
      <c r="U953">
        <v>3803.58</v>
      </c>
      <c r="V953">
        <v>0.39999947417958875</v>
      </c>
      <c r="W953" t="s">
        <v>16</v>
      </c>
      <c r="X953" t="s">
        <v>3911</v>
      </c>
      <c r="Z953" t="s">
        <v>89</v>
      </c>
      <c r="AA953" t="s">
        <v>89</v>
      </c>
      <c r="AC953" t="s">
        <v>89</v>
      </c>
      <c r="AD953">
        <v>0</v>
      </c>
      <c r="AE953" t="s">
        <v>9251</v>
      </c>
      <c r="AF953" s="4"/>
    </row>
    <row r="954" spans="1:32">
      <c r="A954" t="s">
        <v>10820</v>
      </c>
      <c r="B954" t="s">
        <v>9366</v>
      </c>
      <c r="D954" t="s">
        <v>54</v>
      </c>
      <c r="E954" t="s">
        <v>10821</v>
      </c>
      <c r="F954" t="s">
        <v>5130</v>
      </c>
      <c r="G954">
        <v>3357.41</v>
      </c>
      <c r="I954">
        <v>3357.41</v>
      </c>
      <c r="J954">
        <v>3357.41</v>
      </c>
      <c r="K954" s="4">
        <v>45170</v>
      </c>
      <c r="L954" s="4">
        <v>45170</v>
      </c>
      <c r="M954">
        <v>2023</v>
      </c>
      <c r="N954">
        <v>9</v>
      </c>
      <c r="O954" s="4">
        <v>45170</v>
      </c>
      <c r="P954" t="s">
        <v>89</v>
      </c>
      <c r="Q954" s="4">
        <v>45288</v>
      </c>
      <c r="S954" t="s">
        <v>5131</v>
      </c>
      <c r="U954">
        <v>8393.52</v>
      </c>
      <c r="V954">
        <v>0.40000023827905334</v>
      </c>
      <c r="W954" t="s">
        <v>16</v>
      </c>
      <c r="X954" t="s">
        <v>3911</v>
      </c>
      <c r="Z954" t="s">
        <v>89</v>
      </c>
      <c r="AA954" t="s">
        <v>89</v>
      </c>
      <c r="AC954" t="s">
        <v>89</v>
      </c>
      <c r="AD954">
        <v>0</v>
      </c>
      <c r="AE954" t="s">
        <v>9251</v>
      </c>
      <c r="AF954" s="4"/>
    </row>
    <row r="955" spans="1:32">
      <c r="A955" t="s">
        <v>10822</v>
      </c>
      <c r="B955" t="s">
        <v>9366</v>
      </c>
      <c r="D955" t="s">
        <v>54</v>
      </c>
      <c r="E955" t="s">
        <v>10823</v>
      </c>
      <c r="F955" t="s">
        <v>5132</v>
      </c>
      <c r="G955">
        <v>2990.21</v>
      </c>
      <c r="I955">
        <v>2990.21</v>
      </c>
      <c r="J955">
        <v>2990.21</v>
      </c>
      <c r="K955" s="4">
        <v>45047</v>
      </c>
      <c r="L955" s="4">
        <v>45047</v>
      </c>
      <c r="M955">
        <v>2023</v>
      </c>
      <c r="N955">
        <v>5</v>
      </c>
      <c r="O955" s="4">
        <v>45047</v>
      </c>
      <c r="P955" t="s">
        <v>89</v>
      </c>
      <c r="Q955" s="4">
        <v>45288</v>
      </c>
      <c r="S955" t="s">
        <v>5133</v>
      </c>
      <c r="U955">
        <v>7475.53</v>
      </c>
      <c r="V955">
        <v>0.39999973246044096</v>
      </c>
      <c r="W955" t="s">
        <v>16</v>
      </c>
      <c r="X955" t="s">
        <v>3911</v>
      </c>
      <c r="Z955" t="s">
        <v>89</v>
      </c>
      <c r="AA955" t="s">
        <v>89</v>
      </c>
      <c r="AC955" t="s">
        <v>89</v>
      </c>
      <c r="AD955">
        <v>0</v>
      </c>
      <c r="AE955" t="s">
        <v>9251</v>
      </c>
      <c r="AF955" s="4"/>
    </row>
    <row r="956" spans="1:32">
      <c r="A956" t="s">
        <v>10824</v>
      </c>
      <c r="B956" t="s">
        <v>9366</v>
      </c>
      <c r="D956" t="s">
        <v>54</v>
      </c>
      <c r="E956" t="s">
        <v>10825</v>
      </c>
      <c r="F956" t="s">
        <v>5134</v>
      </c>
      <c r="G956">
        <v>2990.21</v>
      </c>
      <c r="I956">
        <v>2990.21</v>
      </c>
      <c r="J956">
        <v>2990.21</v>
      </c>
      <c r="K956" s="4">
        <v>45047</v>
      </c>
      <c r="L956" s="4">
        <v>45047</v>
      </c>
      <c r="M956">
        <v>2023</v>
      </c>
      <c r="N956">
        <v>5</v>
      </c>
      <c r="O956" s="4">
        <v>45047</v>
      </c>
      <c r="P956" t="s">
        <v>89</v>
      </c>
      <c r="Q956" s="4">
        <v>45288</v>
      </c>
      <c r="S956" t="s">
        <v>5135</v>
      </c>
      <c r="U956">
        <v>7475.53</v>
      </c>
      <c r="V956">
        <v>0.39999973246044096</v>
      </c>
      <c r="W956" t="s">
        <v>16</v>
      </c>
      <c r="X956" t="s">
        <v>3911</v>
      </c>
      <c r="Z956" t="s">
        <v>89</v>
      </c>
      <c r="AA956" t="s">
        <v>89</v>
      </c>
      <c r="AC956" t="s">
        <v>89</v>
      </c>
      <c r="AD956" t="s">
        <v>89</v>
      </c>
      <c r="AE956" t="s">
        <v>3652</v>
      </c>
      <c r="AF956" s="4"/>
    </row>
    <row r="957" spans="1:32">
      <c r="A957" t="s">
        <v>10826</v>
      </c>
      <c r="B957" t="s">
        <v>9366</v>
      </c>
      <c r="D957" t="s">
        <v>54</v>
      </c>
      <c r="E957" t="s">
        <v>10827</v>
      </c>
      <c r="F957" t="s">
        <v>5136</v>
      </c>
      <c r="G957">
        <v>2990.21</v>
      </c>
      <c r="I957">
        <v>2990.21</v>
      </c>
      <c r="J957">
        <v>2990.21</v>
      </c>
      <c r="K957" s="4">
        <v>45047</v>
      </c>
      <c r="L957" s="4">
        <v>45047</v>
      </c>
      <c r="M957">
        <v>2023</v>
      </c>
      <c r="N957">
        <v>5</v>
      </c>
      <c r="O957" s="4">
        <v>45047</v>
      </c>
      <c r="P957" t="s">
        <v>89</v>
      </c>
      <c r="Q957" s="4">
        <v>45288</v>
      </c>
      <c r="S957" t="s">
        <v>5137</v>
      </c>
      <c r="U957">
        <v>7475.53</v>
      </c>
      <c r="V957">
        <v>0.39999973246044096</v>
      </c>
      <c r="W957" t="s">
        <v>16</v>
      </c>
      <c r="X957" t="s">
        <v>3911</v>
      </c>
      <c r="Z957" t="s">
        <v>89</v>
      </c>
      <c r="AA957" t="s">
        <v>89</v>
      </c>
      <c r="AC957" t="s">
        <v>89</v>
      </c>
      <c r="AD957" t="s">
        <v>89</v>
      </c>
      <c r="AE957" t="s">
        <v>3652</v>
      </c>
      <c r="AF957" s="4"/>
    </row>
    <row r="958" spans="1:32">
      <c r="A958" t="s">
        <v>10828</v>
      </c>
      <c r="B958" t="s">
        <v>9366</v>
      </c>
      <c r="D958" t="s">
        <v>54</v>
      </c>
      <c r="E958" t="s">
        <v>10829</v>
      </c>
      <c r="F958" t="s">
        <v>5138</v>
      </c>
      <c r="G958">
        <v>2990.21</v>
      </c>
      <c r="I958">
        <v>2990.21</v>
      </c>
      <c r="J958">
        <v>2990.21</v>
      </c>
      <c r="K958" s="4">
        <v>45047</v>
      </c>
      <c r="L958" s="4">
        <v>45047</v>
      </c>
      <c r="M958">
        <v>2023</v>
      </c>
      <c r="N958">
        <v>5</v>
      </c>
      <c r="O958" s="4">
        <v>45047</v>
      </c>
      <c r="P958" t="s">
        <v>89</v>
      </c>
      <c r="Q958" s="4">
        <v>45288</v>
      </c>
      <c r="S958" t="s">
        <v>5139</v>
      </c>
      <c r="U958">
        <v>7475.53</v>
      </c>
      <c r="V958">
        <v>0.39999973246044096</v>
      </c>
      <c r="W958" t="s">
        <v>16</v>
      </c>
      <c r="X958" t="s">
        <v>3911</v>
      </c>
      <c r="Z958" t="s">
        <v>89</v>
      </c>
      <c r="AA958" t="s">
        <v>89</v>
      </c>
      <c r="AC958" t="s">
        <v>89</v>
      </c>
      <c r="AD958">
        <v>0</v>
      </c>
      <c r="AE958" t="s">
        <v>9251</v>
      </c>
      <c r="AF958" s="4"/>
    </row>
    <row r="959" spans="1:32">
      <c r="A959" t="s">
        <v>10830</v>
      </c>
      <c r="B959" t="s">
        <v>9366</v>
      </c>
      <c r="D959" t="s">
        <v>54</v>
      </c>
      <c r="E959" t="s">
        <v>10831</v>
      </c>
      <c r="F959" t="s">
        <v>5140</v>
      </c>
      <c r="G959">
        <v>2990.21</v>
      </c>
      <c r="I959">
        <v>2990.21</v>
      </c>
      <c r="J959">
        <v>2990.21</v>
      </c>
      <c r="K959" s="4">
        <v>45170</v>
      </c>
      <c r="L959" s="4">
        <v>45170</v>
      </c>
      <c r="M959">
        <v>2023</v>
      </c>
      <c r="N959">
        <v>9</v>
      </c>
      <c r="O959" s="4">
        <v>45170</v>
      </c>
      <c r="P959" t="s">
        <v>89</v>
      </c>
      <c r="Q959" s="4">
        <v>45288</v>
      </c>
      <c r="S959" t="s">
        <v>5141</v>
      </c>
      <c r="U959">
        <v>7475.53</v>
      </c>
      <c r="V959">
        <v>0.39999973246044096</v>
      </c>
      <c r="W959" t="s">
        <v>16</v>
      </c>
      <c r="X959" t="s">
        <v>3911</v>
      </c>
      <c r="Z959" t="s">
        <v>89</v>
      </c>
      <c r="AA959" t="s">
        <v>89</v>
      </c>
      <c r="AC959" t="s">
        <v>89</v>
      </c>
      <c r="AD959">
        <v>0</v>
      </c>
      <c r="AE959" t="s">
        <v>9251</v>
      </c>
      <c r="AF959" s="4"/>
    </row>
    <row r="960" spans="1:32">
      <c r="A960" t="s">
        <v>10832</v>
      </c>
      <c r="B960" t="s">
        <v>9366</v>
      </c>
      <c r="D960" t="s">
        <v>54</v>
      </c>
      <c r="E960" t="s">
        <v>10833</v>
      </c>
      <c r="F960" t="s">
        <v>5142</v>
      </c>
      <c r="G960">
        <v>1521.43</v>
      </c>
      <c r="I960">
        <v>1521.43</v>
      </c>
      <c r="J960">
        <v>1521.43</v>
      </c>
      <c r="K960" s="4">
        <v>45170</v>
      </c>
      <c r="L960" s="4">
        <v>45170</v>
      </c>
      <c r="M960">
        <v>2023</v>
      </c>
      <c r="N960">
        <v>9</v>
      </c>
      <c r="O960" s="4">
        <v>45170</v>
      </c>
      <c r="P960" t="s">
        <v>89</v>
      </c>
      <c r="Q960" s="4">
        <v>45288</v>
      </c>
      <c r="S960" t="s">
        <v>5143</v>
      </c>
      <c r="U960">
        <v>3803.58</v>
      </c>
      <c r="V960">
        <v>0.39999947417958875</v>
      </c>
      <c r="W960" t="s">
        <v>16</v>
      </c>
      <c r="X960" t="s">
        <v>3911</v>
      </c>
      <c r="Z960" t="s">
        <v>89</v>
      </c>
      <c r="AA960" t="s">
        <v>89</v>
      </c>
      <c r="AC960" t="s">
        <v>89</v>
      </c>
      <c r="AD960">
        <v>0</v>
      </c>
      <c r="AE960" t="s">
        <v>9251</v>
      </c>
      <c r="AF960" s="4"/>
    </row>
    <row r="961" spans="1:32">
      <c r="A961" t="s">
        <v>10834</v>
      </c>
      <c r="B961" t="s">
        <v>9366</v>
      </c>
      <c r="D961" t="s">
        <v>54</v>
      </c>
      <c r="E961" t="s">
        <v>10835</v>
      </c>
      <c r="F961" t="s">
        <v>5144</v>
      </c>
      <c r="G961">
        <v>3160.43</v>
      </c>
      <c r="I961">
        <v>3160.43</v>
      </c>
      <c r="J961">
        <v>3160.43</v>
      </c>
      <c r="K961" s="4">
        <v>45017</v>
      </c>
      <c r="L961" s="4">
        <v>45017</v>
      </c>
      <c r="M961">
        <v>2023</v>
      </c>
      <c r="N961">
        <v>4</v>
      </c>
      <c r="O961" s="4">
        <v>45017</v>
      </c>
      <c r="P961" t="s">
        <v>89</v>
      </c>
      <c r="Q961" s="4">
        <v>45288</v>
      </c>
      <c r="S961" t="s">
        <v>5145</v>
      </c>
      <c r="U961">
        <v>7901.07</v>
      </c>
      <c r="V961">
        <v>0.40000025313027221</v>
      </c>
      <c r="W961" t="s">
        <v>16</v>
      </c>
      <c r="X961" t="s">
        <v>3911</v>
      </c>
      <c r="Z961" t="s">
        <v>89</v>
      </c>
      <c r="AA961" t="s">
        <v>89</v>
      </c>
      <c r="AC961" t="s">
        <v>89</v>
      </c>
      <c r="AD961">
        <v>0</v>
      </c>
      <c r="AE961" t="s">
        <v>9251</v>
      </c>
      <c r="AF961" s="4"/>
    </row>
    <row r="962" spans="1:32">
      <c r="A962" t="s">
        <v>10836</v>
      </c>
      <c r="B962" t="s">
        <v>9366</v>
      </c>
      <c r="D962" t="s">
        <v>54</v>
      </c>
      <c r="E962" t="s">
        <v>10837</v>
      </c>
      <c r="F962" t="s">
        <v>5146</v>
      </c>
      <c r="G962">
        <v>3160.43</v>
      </c>
      <c r="I962">
        <v>3160.43</v>
      </c>
      <c r="J962">
        <v>3160.43</v>
      </c>
      <c r="K962" s="4">
        <v>45017</v>
      </c>
      <c r="L962" s="4">
        <v>45017</v>
      </c>
      <c r="M962">
        <v>2023</v>
      </c>
      <c r="N962">
        <v>4</v>
      </c>
      <c r="O962" s="4">
        <v>45017</v>
      </c>
      <c r="P962" t="s">
        <v>89</v>
      </c>
      <c r="Q962" s="4">
        <v>45288</v>
      </c>
      <c r="S962" t="s">
        <v>5147</v>
      </c>
      <c r="U962">
        <v>7901.07</v>
      </c>
      <c r="V962">
        <v>0.40000025313027221</v>
      </c>
      <c r="W962" t="s">
        <v>16</v>
      </c>
      <c r="X962" t="s">
        <v>3911</v>
      </c>
      <c r="Z962" t="s">
        <v>89</v>
      </c>
      <c r="AA962" t="s">
        <v>89</v>
      </c>
      <c r="AC962" t="s">
        <v>89</v>
      </c>
      <c r="AD962">
        <v>0</v>
      </c>
      <c r="AE962" t="s">
        <v>9251</v>
      </c>
      <c r="AF962" s="4"/>
    </row>
    <row r="963" spans="1:32">
      <c r="A963" t="s">
        <v>10838</v>
      </c>
      <c r="B963" t="s">
        <v>9366</v>
      </c>
      <c r="D963" t="s">
        <v>54</v>
      </c>
      <c r="E963" t="s">
        <v>10839</v>
      </c>
      <c r="F963" t="s">
        <v>5148</v>
      </c>
      <c r="G963">
        <v>3357.41</v>
      </c>
      <c r="I963">
        <v>3357.41</v>
      </c>
      <c r="J963">
        <v>3357.41</v>
      </c>
      <c r="K963" s="4">
        <v>45170</v>
      </c>
      <c r="L963" s="4">
        <v>45170</v>
      </c>
      <c r="M963">
        <v>2023</v>
      </c>
      <c r="N963">
        <v>9</v>
      </c>
      <c r="O963" s="4">
        <v>45170</v>
      </c>
      <c r="P963" t="s">
        <v>89</v>
      </c>
      <c r="Q963" s="4">
        <v>45288</v>
      </c>
      <c r="S963" t="s">
        <v>5149</v>
      </c>
      <c r="U963">
        <v>8393.52</v>
      </c>
      <c r="V963">
        <v>0.40000023827905334</v>
      </c>
      <c r="W963" t="s">
        <v>16</v>
      </c>
      <c r="X963" t="s">
        <v>3911</v>
      </c>
      <c r="Z963" t="s">
        <v>89</v>
      </c>
      <c r="AA963" t="s">
        <v>89</v>
      </c>
      <c r="AC963" t="s">
        <v>89</v>
      </c>
      <c r="AD963" t="s">
        <v>89</v>
      </c>
      <c r="AE963" t="s">
        <v>3652</v>
      </c>
      <c r="AF963" s="4"/>
    </row>
    <row r="964" spans="1:32">
      <c r="A964" t="s">
        <v>10840</v>
      </c>
      <c r="B964" t="s">
        <v>9366</v>
      </c>
      <c r="D964" t="s">
        <v>54</v>
      </c>
      <c r="E964" t="s">
        <v>10841</v>
      </c>
      <c r="F964" t="s">
        <v>5150</v>
      </c>
      <c r="G964">
        <v>2990.21</v>
      </c>
      <c r="I964">
        <v>2990.21</v>
      </c>
      <c r="J964">
        <v>2990.21</v>
      </c>
      <c r="K964" s="4">
        <v>45170</v>
      </c>
      <c r="L964" s="4">
        <v>45170</v>
      </c>
      <c r="M964">
        <v>2023</v>
      </c>
      <c r="N964">
        <v>9</v>
      </c>
      <c r="O964" s="4">
        <v>45170</v>
      </c>
      <c r="P964" t="s">
        <v>89</v>
      </c>
      <c r="Q964" s="4">
        <v>45288</v>
      </c>
      <c r="S964" t="s">
        <v>5151</v>
      </c>
      <c r="U964">
        <v>7475.53</v>
      </c>
      <c r="V964">
        <v>0.39999973246044096</v>
      </c>
      <c r="W964" t="s">
        <v>16</v>
      </c>
      <c r="X964" t="s">
        <v>3911</v>
      </c>
      <c r="Z964" t="s">
        <v>89</v>
      </c>
      <c r="AA964" t="s">
        <v>89</v>
      </c>
      <c r="AC964" t="s">
        <v>89</v>
      </c>
      <c r="AD964" t="s">
        <v>89</v>
      </c>
      <c r="AE964" t="s">
        <v>3652</v>
      </c>
      <c r="AF964" s="4"/>
    </row>
    <row r="965" spans="1:32">
      <c r="A965" t="s">
        <v>10842</v>
      </c>
      <c r="B965" t="s">
        <v>9366</v>
      </c>
      <c r="D965" t="s">
        <v>54</v>
      </c>
      <c r="E965" t="s">
        <v>10843</v>
      </c>
      <c r="F965" t="s">
        <v>5152</v>
      </c>
      <c r="G965">
        <v>2990.21</v>
      </c>
      <c r="I965">
        <v>2990.21</v>
      </c>
      <c r="J965">
        <v>2990.21</v>
      </c>
      <c r="K965" s="4">
        <v>45108</v>
      </c>
      <c r="L965" s="4">
        <v>45108</v>
      </c>
      <c r="M965">
        <v>2023</v>
      </c>
      <c r="N965">
        <v>7</v>
      </c>
      <c r="O965" s="4">
        <v>45108</v>
      </c>
      <c r="P965" t="s">
        <v>89</v>
      </c>
      <c r="Q965" s="4">
        <v>45288</v>
      </c>
      <c r="S965" t="s">
        <v>5153</v>
      </c>
      <c r="U965">
        <v>7475.53</v>
      </c>
      <c r="V965">
        <v>0.39999973246044096</v>
      </c>
      <c r="W965" t="s">
        <v>16</v>
      </c>
      <c r="X965" t="s">
        <v>3911</v>
      </c>
      <c r="Z965" t="s">
        <v>89</v>
      </c>
      <c r="AA965" t="s">
        <v>89</v>
      </c>
      <c r="AC965" t="s">
        <v>89</v>
      </c>
      <c r="AD965">
        <v>0</v>
      </c>
      <c r="AE965" t="s">
        <v>9251</v>
      </c>
      <c r="AF965" s="4"/>
    </row>
    <row r="966" spans="1:32">
      <c r="A966" t="s">
        <v>10844</v>
      </c>
      <c r="B966" t="s">
        <v>9366</v>
      </c>
      <c r="D966" t="s">
        <v>54</v>
      </c>
      <c r="E966" t="s">
        <v>10845</v>
      </c>
      <c r="F966" t="s">
        <v>5157</v>
      </c>
      <c r="G966">
        <v>1521.43</v>
      </c>
      <c r="I966">
        <v>1521.43</v>
      </c>
      <c r="J966">
        <v>1521.43</v>
      </c>
      <c r="K966" s="4">
        <v>45108</v>
      </c>
      <c r="L966" s="4">
        <v>45108</v>
      </c>
      <c r="M966">
        <v>2023</v>
      </c>
      <c r="N966">
        <v>7</v>
      </c>
      <c r="O966" s="4">
        <v>45108</v>
      </c>
      <c r="P966" t="s">
        <v>89</v>
      </c>
      <c r="Q966" s="4">
        <v>45288</v>
      </c>
      <c r="S966" t="s">
        <v>5158</v>
      </c>
      <c r="U966">
        <v>3803.58</v>
      </c>
      <c r="V966">
        <v>0.39999947417958875</v>
      </c>
      <c r="W966" t="s">
        <v>16</v>
      </c>
      <c r="X966" t="s">
        <v>3911</v>
      </c>
      <c r="Z966" t="s">
        <v>89</v>
      </c>
      <c r="AA966" t="s">
        <v>89</v>
      </c>
      <c r="AC966" t="s">
        <v>89</v>
      </c>
      <c r="AD966">
        <v>0</v>
      </c>
      <c r="AE966" t="s">
        <v>9251</v>
      </c>
      <c r="AF966" s="4"/>
    </row>
    <row r="967" spans="1:32">
      <c r="A967" t="s">
        <v>10846</v>
      </c>
      <c r="B967" t="s">
        <v>9366</v>
      </c>
      <c r="D967" t="s">
        <v>54</v>
      </c>
      <c r="E967" t="s">
        <v>10847</v>
      </c>
      <c r="F967" t="s">
        <v>5159</v>
      </c>
      <c r="G967">
        <v>4091.8</v>
      </c>
      <c r="I967">
        <v>4091.8</v>
      </c>
      <c r="J967">
        <v>4091.8</v>
      </c>
      <c r="K967" s="4">
        <v>45108</v>
      </c>
      <c r="L967" s="4">
        <v>45108</v>
      </c>
      <c r="M967">
        <v>2023</v>
      </c>
      <c r="N967">
        <v>7</v>
      </c>
      <c r="O967" s="4">
        <v>45108</v>
      </c>
      <c r="P967" t="s">
        <v>89</v>
      </c>
      <c r="Q967" s="4">
        <v>45288</v>
      </c>
      <c r="S967" t="s">
        <v>5160</v>
      </c>
      <c r="U967">
        <v>10229.49</v>
      </c>
      <c r="V967">
        <v>0.40000039102633661</v>
      </c>
      <c r="W967" t="s">
        <v>16</v>
      </c>
      <c r="X967" t="s">
        <v>3911</v>
      </c>
      <c r="Z967" t="s">
        <v>89</v>
      </c>
      <c r="AA967" t="s">
        <v>89</v>
      </c>
      <c r="AC967" t="s">
        <v>89</v>
      </c>
      <c r="AD967">
        <v>0</v>
      </c>
      <c r="AE967" t="s">
        <v>9251</v>
      </c>
      <c r="AF967" s="4"/>
    </row>
    <row r="968" spans="1:32">
      <c r="A968" t="s">
        <v>10848</v>
      </c>
      <c r="B968" t="s">
        <v>9366</v>
      </c>
      <c r="D968" t="s">
        <v>54</v>
      </c>
      <c r="E968" t="s">
        <v>10849</v>
      </c>
      <c r="F968" t="s">
        <v>5161</v>
      </c>
      <c r="G968">
        <v>1521.43</v>
      </c>
      <c r="I968">
        <v>1521.43</v>
      </c>
      <c r="J968">
        <v>1521.43</v>
      </c>
      <c r="K968" s="4">
        <v>45108</v>
      </c>
      <c r="L968" s="4">
        <v>45108</v>
      </c>
      <c r="M968">
        <v>2023</v>
      </c>
      <c r="N968">
        <v>7</v>
      </c>
      <c r="O968" s="4">
        <v>45108</v>
      </c>
      <c r="P968" t="s">
        <v>89</v>
      </c>
      <c r="Q968" s="4">
        <v>45288</v>
      </c>
      <c r="S968" t="s">
        <v>5162</v>
      </c>
      <c r="U968">
        <v>3803.58</v>
      </c>
      <c r="V968">
        <v>0.39999947417958875</v>
      </c>
      <c r="W968" t="s">
        <v>16</v>
      </c>
      <c r="X968" t="s">
        <v>3911</v>
      </c>
      <c r="Z968" t="s">
        <v>89</v>
      </c>
      <c r="AA968" t="s">
        <v>89</v>
      </c>
      <c r="AC968" t="s">
        <v>89</v>
      </c>
      <c r="AD968">
        <v>0</v>
      </c>
      <c r="AE968" t="s">
        <v>9251</v>
      </c>
      <c r="AF968" s="4"/>
    </row>
    <row r="969" spans="1:32">
      <c r="A969" t="s">
        <v>10850</v>
      </c>
      <c r="B969" t="s">
        <v>9366</v>
      </c>
      <c r="D969" t="s">
        <v>54</v>
      </c>
      <c r="E969" t="s">
        <v>10851</v>
      </c>
      <c r="F969" t="s">
        <v>5163</v>
      </c>
      <c r="G969">
        <v>1521.43</v>
      </c>
      <c r="I969">
        <v>1521.43</v>
      </c>
      <c r="J969">
        <v>1521.43</v>
      </c>
      <c r="K969" s="4">
        <v>45108</v>
      </c>
      <c r="L969" s="4">
        <v>45108</v>
      </c>
      <c r="M969">
        <v>2023</v>
      </c>
      <c r="N969">
        <v>7</v>
      </c>
      <c r="O969" s="4">
        <v>45108</v>
      </c>
      <c r="P969" t="s">
        <v>89</v>
      </c>
      <c r="Q969" s="4">
        <v>45288</v>
      </c>
      <c r="S969" t="s">
        <v>5164</v>
      </c>
      <c r="U969">
        <v>3803.58</v>
      </c>
      <c r="V969">
        <v>0.39999947417958875</v>
      </c>
      <c r="W969" t="s">
        <v>16</v>
      </c>
      <c r="X969" t="s">
        <v>3911</v>
      </c>
      <c r="Z969" t="s">
        <v>89</v>
      </c>
      <c r="AA969" t="s">
        <v>89</v>
      </c>
      <c r="AC969" t="s">
        <v>89</v>
      </c>
      <c r="AD969">
        <v>0</v>
      </c>
      <c r="AE969" t="s">
        <v>9251</v>
      </c>
      <c r="AF969" s="4"/>
    </row>
    <row r="970" spans="1:32">
      <c r="A970" t="s">
        <v>10852</v>
      </c>
      <c r="B970" t="s">
        <v>9366</v>
      </c>
      <c r="D970" t="s">
        <v>54</v>
      </c>
      <c r="E970" t="s">
        <v>10853</v>
      </c>
      <c r="F970" t="s">
        <v>5165</v>
      </c>
      <c r="G970">
        <v>2623.02</v>
      </c>
      <c r="I970">
        <v>2623.02</v>
      </c>
      <c r="J970">
        <v>2623.02</v>
      </c>
      <c r="K970" s="4">
        <v>45108</v>
      </c>
      <c r="L970" s="4">
        <v>45108</v>
      </c>
      <c r="M970">
        <v>2023</v>
      </c>
      <c r="N970">
        <v>7</v>
      </c>
      <c r="O970" s="4">
        <v>45108</v>
      </c>
      <c r="P970" t="s">
        <v>89</v>
      </c>
      <c r="Q970" s="4">
        <v>45288</v>
      </c>
      <c r="S970" t="s">
        <v>5166</v>
      </c>
      <c r="U970">
        <v>6557.54</v>
      </c>
      <c r="V970">
        <v>0.40000060998484188</v>
      </c>
      <c r="W970" t="s">
        <v>16</v>
      </c>
      <c r="X970" t="s">
        <v>3911</v>
      </c>
      <c r="Z970" t="s">
        <v>89</v>
      </c>
      <c r="AA970" t="s">
        <v>89</v>
      </c>
      <c r="AC970" t="s">
        <v>89</v>
      </c>
      <c r="AD970">
        <v>0</v>
      </c>
      <c r="AE970" t="s">
        <v>9251</v>
      </c>
      <c r="AF970" s="4"/>
    </row>
    <row r="971" spans="1:32">
      <c r="A971" t="s">
        <v>10854</v>
      </c>
      <c r="B971" t="s">
        <v>9366</v>
      </c>
      <c r="D971" t="s">
        <v>54</v>
      </c>
      <c r="E971" t="s">
        <v>10855</v>
      </c>
      <c r="F971" t="s">
        <v>5167</v>
      </c>
      <c r="G971">
        <v>4856.78</v>
      </c>
      <c r="I971">
        <v>4856.78</v>
      </c>
      <c r="J971">
        <v>4856.78</v>
      </c>
      <c r="K971" s="4">
        <v>45108</v>
      </c>
      <c r="L971" s="4">
        <v>45108</v>
      </c>
      <c r="M971">
        <v>2023</v>
      </c>
      <c r="N971">
        <v>7</v>
      </c>
      <c r="O971" s="4">
        <v>45108</v>
      </c>
      <c r="P971" t="s">
        <v>89</v>
      </c>
      <c r="Q971" s="4">
        <v>45168</v>
      </c>
      <c r="S971" t="s">
        <v>2698</v>
      </c>
      <c r="U971">
        <v>12141.96</v>
      </c>
      <c r="V971">
        <v>0.39999967056389579</v>
      </c>
      <c r="W971" t="s">
        <v>16</v>
      </c>
      <c r="X971" t="s">
        <v>4784</v>
      </c>
      <c r="Z971" t="s">
        <v>89</v>
      </c>
      <c r="AA971" t="s">
        <v>89</v>
      </c>
      <c r="AC971" t="s">
        <v>89</v>
      </c>
      <c r="AD971">
        <v>0</v>
      </c>
      <c r="AE971" t="s">
        <v>9251</v>
      </c>
      <c r="AF971" s="4"/>
    </row>
    <row r="972" spans="1:32">
      <c r="A972" t="s">
        <v>10856</v>
      </c>
      <c r="B972" t="s">
        <v>9366</v>
      </c>
      <c r="C972" t="s">
        <v>4553</v>
      </c>
      <c r="D972" t="s">
        <v>54</v>
      </c>
      <c r="E972" t="s">
        <v>10114</v>
      </c>
      <c r="F972" t="s">
        <v>4552</v>
      </c>
      <c r="G972">
        <v>1553.184</v>
      </c>
      <c r="I972">
        <v>1553.184</v>
      </c>
      <c r="K972" s="4">
        <v>45506</v>
      </c>
      <c r="L972" s="4">
        <v>45509</v>
      </c>
      <c r="M972">
        <v>2024</v>
      </c>
      <c r="N972">
        <v>8</v>
      </c>
      <c r="O972" s="4">
        <v>45505</v>
      </c>
      <c r="P972" t="s">
        <v>625</v>
      </c>
      <c r="Q972" s="4"/>
      <c r="S972" t="s">
        <v>3149</v>
      </c>
      <c r="T972">
        <v>45551</v>
      </c>
      <c r="U972">
        <v>2588.64</v>
      </c>
      <c r="V972">
        <v>0.6</v>
      </c>
      <c r="W972" t="s">
        <v>16</v>
      </c>
      <c r="X972" t="s">
        <v>3665</v>
      </c>
      <c r="Z972">
        <v>46</v>
      </c>
      <c r="AA972">
        <v>43</v>
      </c>
      <c r="AB972" t="s">
        <v>10243</v>
      </c>
      <c r="AE972" t="s">
        <v>9251</v>
      </c>
      <c r="AF972" s="4"/>
    </row>
    <row r="973" spans="1:32">
      <c r="A973" t="s">
        <v>10857</v>
      </c>
      <c r="B973" t="s">
        <v>9366</v>
      </c>
      <c r="D973" t="s">
        <v>54</v>
      </c>
      <c r="E973" t="s">
        <v>10858</v>
      </c>
      <c r="F973" t="s">
        <v>5181</v>
      </c>
      <c r="G973">
        <v>4856.78</v>
      </c>
      <c r="I973">
        <v>4856.78</v>
      </c>
      <c r="J973">
        <v>4856.78</v>
      </c>
      <c r="K973" s="4">
        <v>45108</v>
      </c>
      <c r="L973" s="4">
        <v>45108</v>
      </c>
      <c r="M973">
        <v>2023</v>
      </c>
      <c r="N973">
        <v>7</v>
      </c>
      <c r="O973" s="4">
        <v>45108</v>
      </c>
      <c r="P973" t="s">
        <v>89</v>
      </c>
      <c r="Q973" s="4">
        <v>45168</v>
      </c>
      <c r="S973" t="s">
        <v>5182</v>
      </c>
      <c r="U973">
        <v>12141.96</v>
      </c>
      <c r="V973">
        <v>0.39999967056389579</v>
      </c>
      <c r="W973" t="s">
        <v>16</v>
      </c>
      <c r="X973" t="s">
        <v>4784</v>
      </c>
      <c r="Z973" t="s">
        <v>89</v>
      </c>
      <c r="AA973" t="s">
        <v>89</v>
      </c>
      <c r="AC973" t="s">
        <v>89</v>
      </c>
      <c r="AD973">
        <v>0</v>
      </c>
      <c r="AE973" t="s">
        <v>9251</v>
      </c>
      <c r="AF973" s="4"/>
    </row>
    <row r="974" spans="1:32">
      <c r="A974" t="s">
        <v>10859</v>
      </c>
      <c r="B974" t="s">
        <v>9366</v>
      </c>
      <c r="D974" t="s">
        <v>54</v>
      </c>
      <c r="E974" t="s">
        <v>10860</v>
      </c>
      <c r="F974" t="s">
        <v>5183</v>
      </c>
      <c r="G974">
        <v>4856.78</v>
      </c>
      <c r="I974">
        <v>4856.78</v>
      </c>
      <c r="J974">
        <v>4856.78</v>
      </c>
      <c r="K974" s="4">
        <v>45108</v>
      </c>
      <c r="L974" s="4">
        <v>45108</v>
      </c>
      <c r="M974">
        <v>2023</v>
      </c>
      <c r="N974">
        <v>7</v>
      </c>
      <c r="O974" s="4">
        <v>45108</v>
      </c>
      <c r="P974" t="s">
        <v>89</v>
      </c>
      <c r="Q974" s="4">
        <v>45168</v>
      </c>
      <c r="S974" t="s">
        <v>5184</v>
      </c>
      <c r="U974">
        <v>12141.96</v>
      </c>
      <c r="V974">
        <v>0.39999967056389579</v>
      </c>
      <c r="W974" t="s">
        <v>16</v>
      </c>
      <c r="X974" t="s">
        <v>4784</v>
      </c>
      <c r="Z974" t="s">
        <v>89</v>
      </c>
      <c r="AA974" t="s">
        <v>89</v>
      </c>
      <c r="AC974" t="s">
        <v>89</v>
      </c>
      <c r="AD974" t="s">
        <v>89</v>
      </c>
      <c r="AE974" t="s">
        <v>3652</v>
      </c>
      <c r="AF974" s="4"/>
    </row>
    <row r="975" spans="1:32">
      <c r="A975" t="s">
        <v>10861</v>
      </c>
      <c r="B975" t="s">
        <v>9366</v>
      </c>
      <c r="D975" t="s">
        <v>54</v>
      </c>
      <c r="E975" t="s">
        <v>10862</v>
      </c>
      <c r="F975" t="s">
        <v>5188</v>
      </c>
      <c r="G975">
        <v>2623.02</v>
      </c>
      <c r="I975">
        <v>2623.02</v>
      </c>
      <c r="J975">
        <v>2623.02</v>
      </c>
      <c r="K975" s="4">
        <v>45017</v>
      </c>
      <c r="L975" s="4">
        <v>45017</v>
      </c>
      <c r="M975">
        <v>2023</v>
      </c>
      <c r="N975">
        <v>4</v>
      </c>
      <c r="O975" s="4">
        <v>45017</v>
      </c>
      <c r="P975" t="s">
        <v>89</v>
      </c>
      <c r="Q975" s="4">
        <v>45168</v>
      </c>
      <c r="S975" t="s">
        <v>5189</v>
      </c>
      <c r="U975">
        <v>6557.54</v>
      </c>
      <c r="V975">
        <v>0.40000060998484188</v>
      </c>
      <c r="W975" t="s">
        <v>16</v>
      </c>
      <c r="X975" t="s">
        <v>4784</v>
      </c>
      <c r="Z975" t="s">
        <v>89</v>
      </c>
      <c r="AA975" t="s">
        <v>89</v>
      </c>
      <c r="AC975" t="s">
        <v>89</v>
      </c>
      <c r="AD975">
        <v>0</v>
      </c>
      <c r="AE975" t="s">
        <v>9251</v>
      </c>
      <c r="AF975" s="4"/>
    </row>
    <row r="976" spans="1:32">
      <c r="A976" t="s">
        <v>10863</v>
      </c>
      <c r="B976" t="s">
        <v>9366</v>
      </c>
      <c r="D976" t="s">
        <v>54</v>
      </c>
      <c r="E976" t="s">
        <v>10864</v>
      </c>
      <c r="F976" t="s">
        <v>5190</v>
      </c>
      <c r="G976">
        <v>3357.41</v>
      </c>
      <c r="I976">
        <v>3357.41</v>
      </c>
      <c r="J976">
        <v>3357.41</v>
      </c>
      <c r="K976" s="4">
        <v>45108</v>
      </c>
      <c r="L976" s="4">
        <v>45108</v>
      </c>
      <c r="M976">
        <v>2023</v>
      </c>
      <c r="N976">
        <v>7</v>
      </c>
      <c r="O976" s="4">
        <v>45108</v>
      </c>
      <c r="P976" t="s">
        <v>89</v>
      </c>
      <c r="Q976" s="4">
        <v>45168</v>
      </c>
      <c r="S976" t="s">
        <v>5191</v>
      </c>
      <c r="U976">
        <v>8393.52</v>
      </c>
      <c r="V976">
        <v>0.40000023827905334</v>
      </c>
      <c r="W976" t="s">
        <v>16</v>
      </c>
      <c r="X976" t="s">
        <v>4784</v>
      </c>
      <c r="Z976" t="s">
        <v>89</v>
      </c>
      <c r="AA976" t="s">
        <v>89</v>
      </c>
      <c r="AC976" t="s">
        <v>89</v>
      </c>
      <c r="AD976" t="s">
        <v>89</v>
      </c>
      <c r="AE976" t="s">
        <v>3652</v>
      </c>
      <c r="AF976" s="4"/>
    </row>
    <row r="977" spans="1:32">
      <c r="A977" t="s">
        <v>10865</v>
      </c>
      <c r="B977" t="s">
        <v>9366</v>
      </c>
      <c r="D977" t="s">
        <v>54</v>
      </c>
      <c r="E977" t="s">
        <v>10866</v>
      </c>
      <c r="F977" t="s">
        <v>5192</v>
      </c>
      <c r="G977">
        <v>2623.02</v>
      </c>
      <c r="I977">
        <v>2623.02</v>
      </c>
      <c r="J977">
        <v>2623.02</v>
      </c>
      <c r="K977" s="4">
        <v>45017</v>
      </c>
      <c r="L977" s="4">
        <v>45017</v>
      </c>
      <c r="M977">
        <v>2023</v>
      </c>
      <c r="N977">
        <v>4</v>
      </c>
      <c r="O977" s="4">
        <v>45017</v>
      </c>
      <c r="P977" t="s">
        <v>89</v>
      </c>
      <c r="Q977" s="4">
        <v>45168</v>
      </c>
      <c r="S977" t="s">
        <v>5193</v>
      </c>
      <c r="U977">
        <v>6557.54</v>
      </c>
      <c r="V977">
        <v>0.40000060998484188</v>
      </c>
      <c r="W977" t="s">
        <v>16</v>
      </c>
      <c r="X977" t="s">
        <v>4784</v>
      </c>
      <c r="Z977" t="s">
        <v>89</v>
      </c>
      <c r="AA977" t="s">
        <v>89</v>
      </c>
      <c r="AC977" t="s">
        <v>89</v>
      </c>
      <c r="AD977" t="s">
        <v>89</v>
      </c>
      <c r="AE977" t="s">
        <v>3652</v>
      </c>
      <c r="AF977" s="4"/>
    </row>
    <row r="978" spans="1:32">
      <c r="A978" t="s">
        <v>10867</v>
      </c>
      <c r="B978" t="s">
        <v>9366</v>
      </c>
      <c r="C978" t="s">
        <v>5251</v>
      </c>
      <c r="D978" t="s">
        <v>54</v>
      </c>
      <c r="E978" t="s">
        <v>10868</v>
      </c>
      <c r="F978" t="s">
        <v>5250</v>
      </c>
      <c r="G978">
        <v>23868</v>
      </c>
      <c r="I978">
        <v>23868</v>
      </c>
      <c r="J978">
        <v>23868</v>
      </c>
      <c r="K978" s="4">
        <v>45401</v>
      </c>
      <c r="L978" s="4">
        <v>45401</v>
      </c>
      <c r="M978">
        <v>2024</v>
      </c>
      <c r="N978">
        <v>4</v>
      </c>
      <c r="O978" s="4">
        <v>45383</v>
      </c>
      <c r="P978" t="s">
        <v>89</v>
      </c>
      <c r="Q978" s="4">
        <v>45519</v>
      </c>
      <c r="R978" t="s">
        <v>10869</v>
      </c>
      <c r="S978" t="s">
        <v>4399</v>
      </c>
      <c r="T978">
        <v>45505</v>
      </c>
      <c r="U978">
        <v>23868</v>
      </c>
      <c r="V978">
        <v>1</v>
      </c>
      <c r="W978" t="s">
        <v>17</v>
      </c>
      <c r="X978" t="s">
        <v>3770</v>
      </c>
      <c r="Z978" t="s">
        <v>89</v>
      </c>
      <c r="AA978" t="s">
        <v>89</v>
      </c>
      <c r="AB978" t="s">
        <v>10677</v>
      </c>
      <c r="AC978" t="s">
        <v>625</v>
      </c>
      <c r="AD978" t="s">
        <v>1473</v>
      </c>
      <c r="AE978" t="s">
        <v>9251</v>
      </c>
      <c r="AF978" s="4"/>
    </row>
    <row r="979" spans="1:32">
      <c r="A979" t="s">
        <v>10870</v>
      </c>
      <c r="B979" t="s">
        <v>9366</v>
      </c>
      <c r="C979" t="s">
        <v>4555</v>
      </c>
      <c r="D979" t="s">
        <v>54</v>
      </c>
      <c r="E979" t="s">
        <v>10116</v>
      </c>
      <c r="F979" t="s">
        <v>4554</v>
      </c>
      <c r="G979">
        <v>1553.184</v>
      </c>
      <c r="I979">
        <v>1553.184</v>
      </c>
      <c r="K979" s="4">
        <v>45506</v>
      </c>
      <c r="L979" s="4">
        <v>45509</v>
      </c>
      <c r="M979">
        <v>2024</v>
      </c>
      <c r="N979">
        <v>8</v>
      </c>
      <c r="O979" s="4">
        <v>45505</v>
      </c>
      <c r="P979" t="s">
        <v>625</v>
      </c>
      <c r="Q979" s="4"/>
      <c r="S979" t="s">
        <v>3204</v>
      </c>
      <c r="T979">
        <v>45551</v>
      </c>
      <c r="U979">
        <v>2588.64</v>
      </c>
      <c r="V979">
        <v>0.6</v>
      </c>
      <c r="W979" t="s">
        <v>16</v>
      </c>
      <c r="X979" t="s">
        <v>3665</v>
      </c>
      <c r="Z979">
        <v>46</v>
      </c>
      <c r="AA979">
        <v>43</v>
      </c>
      <c r="AB979" t="s">
        <v>10243</v>
      </c>
      <c r="AE979" t="s">
        <v>9251</v>
      </c>
      <c r="AF979" s="4"/>
    </row>
    <row r="980" spans="1:32">
      <c r="A980" t="s">
        <v>10871</v>
      </c>
      <c r="B980" t="s">
        <v>9366</v>
      </c>
      <c r="C980" t="s">
        <v>4557</v>
      </c>
      <c r="D980" t="s">
        <v>54</v>
      </c>
      <c r="E980" t="s">
        <v>10118</v>
      </c>
      <c r="F980" t="s">
        <v>4556</v>
      </c>
      <c r="G980">
        <v>1553.184</v>
      </c>
      <c r="I980">
        <v>1553.184</v>
      </c>
      <c r="K980" s="4">
        <v>45506</v>
      </c>
      <c r="L980" s="4">
        <v>45509</v>
      </c>
      <c r="M980">
        <v>2024</v>
      </c>
      <c r="N980">
        <v>8</v>
      </c>
      <c r="O980" s="4">
        <v>45505</v>
      </c>
      <c r="P980" t="s">
        <v>625</v>
      </c>
      <c r="Q980" s="4"/>
      <c r="S980" t="s">
        <v>3365</v>
      </c>
      <c r="T980">
        <v>45551</v>
      </c>
      <c r="U980">
        <v>2588.64</v>
      </c>
      <c r="V980">
        <v>0.6</v>
      </c>
      <c r="W980" t="s">
        <v>16</v>
      </c>
      <c r="X980" t="s">
        <v>3665</v>
      </c>
      <c r="Z980">
        <v>46</v>
      </c>
      <c r="AA980">
        <v>43</v>
      </c>
      <c r="AB980" t="s">
        <v>10243</v>
      </c>
      <c r="AE980" t="s">
        <v>9251</v>
      </c>
      <c r="AF980" s="4"/>
    </row>
    <row r="981" spans="1:32">
      <c r="A981" t="s">
        <v>10872</v>
      </c>
      <c r="B981" t="s">
        <v>9366</v>
      </c>
      <c r="C981" t="s">
        <v>5209</v>
      </c>
      <c r="D981" t="s">
        <v>54</v>
      </c>
      <c r="E981" t="s">
        <v>10873</v>
      </c>
      <c r="F981" t="s">
        <v>5208</v>
      </c>
      <c r="G981">
        <v>25272</v>
      </c>
      <c r="I981">
        <v>25272</v>
      </c>
      <c r="J981">
        <v>25272</v>
      </c>
      <c r="K981" s="4">
        <v>45345</v>
      </c>
      <c r="L981" s="4">
        <v>45401</v>
      </c>
      <c r="M981">
        <v>2024</v>
      </c>
      <c r="N981">
        <v>2</v>
      </c>
      <c r="O981" s="4">
        <v>45323</v>
      </c>
      <c r="P981" t="s">
        <v>89</v>
      </c>
      <c r="Q981" s="4">
        <v>45458</v>
      </c>
      <c r="R981" t="s">
        <v>3773</v>
      </c>
      <c r="S981" t="s">
        <v>4384</v>
      </c>
      <c r="T981">
        <v>45446</v>
      </c>
      <c r="U981">
        <v>25272</v>
      </c>
      <c r="V981">
        <v>1</v>
      </c>
      <c r="W981" t="s">
        <v>17</v>
      </c>
      <c r="X981" t="s">
        <v>3770</v>
      </c>
      <c r="Z981" t="s">
        <v>89</v>
      </c>
      <c r="AA981" t="s">
        <v>89</v>
      </c>
      <c r="AC981" t="s">
        <v>89</v>
      </c>
      <c r="AD981" t="s">
        <v>89</v>
      </c>
      <c r="AE981" t="s">
        <v>3652</v>
      </c>
      <c r="AF981" s="4"/>
    </row>
    <row r="982" spans="1:32">
      <c r="A982" t="s">
        <v>10874</v>
      </c>
      <c r="B982" t="s">
        <v>9366</v>
      </c>
      <c r="C982" t="s">
        <v>4561</v>
      </c>
      <c r="D982" t="s">
        <v>54</v>
      </c>
      <c r="E982" t="s">
        <v>10121</v>
      </c>
      <c r="F982" t="s">
        <v>4558</v>
      </c>
      <c r="G982">
        <v>744.41399999999999</v>
      </c>
      <c r="I982">
        <v>744.41399999999999</v>
      </c>
      <c r="K982" s="4">
        <v>45471</v>
      </c>
      <c r="L982" s="4">
        <v>45471</v>
      </c>
      <c r="M982">
        <v>2024</v>
      </c>
      <c r="N982">
        <v>6</v>
      </c>
      <c r="O982" s="4">
        <v>45444</v>
      </c>
      <c r="P982" t="s">
        <v>625</v>
      </c>
      <c r="Q982" s="4"/>
      <c r="S982" t="s">
        <v>3480</v>
      </c>
      <c r="T982">
        <v>45551</v>
      </c>
      <c r="U982">
        <v>1240.69</v>
      </c>
      <c r="V982">
        <v>0.6</v>
      </c>
      <c r="W982" t="s">
        <v>16</v>
      </c>
      <c r="X982" t="s">
        <v>3828</v>
      </c>
      <c r="Z982">
        <v>81</v>
      </c>
      <c r="AA982">
        <v>81</v>
      </c>
      <c r="AB982" t="s">
        <v>10875</v>
      </c>
      <c r="AC982" t="s">
        <v>1848</v>
      </c>
      <c r="AD982" t="s">
        <v>1848</v>
      </c>
      <c r="AE982" t="s">
        <v>9251</v>
      </c>
      <c r="AF982" s="4"/>
    </row>
    <row r="983" spans="1:32">
      <c r="A983" t="s">
        <v>10876</v>
      </c>
      <c r="B983" t="s">
        <v>9366</v>
      </c>
      <c r="C983" t="s">
        <v>5289</v>
      </c>
      <c r="D983" t="s">
        <v>54</v>
      </c>
      <c r="E983" t="s">
        <v>10877</v>
      </c>
      <c r="F983" t="s">
        <v>5286</v>
      </c>
      <c r="G983">
        <v>77514.599999999991</v>
      </c>
      <c r="I983">
        <v>77514.599999999991</v>
      </c>
      <c r="J983">
        <v>77514.599999999991</v>
      </c>
      <c r="K983" s="4">
        <v>45436</v>
      </c>
      <c r="L983" s="4">
        <v>45436</v>
      </c>
      <c r="M983">
        <v>2024</v>
      </c>
      <c r="N983">
        <v>5</v>
      </c>
      <c r="O983" s="4">
        <v>45413</v>
      </c>
      <c r="P983" t="s">
        <v>89</v>
      </c>
      <c r="Q983" s="4">
        <v>45519</v>
      </c>
      <c r="S983" t="s">
        <v>5287</v>
      </c>
      <c r="T983">
        <v>45505</v>
      </c>
      <c r="U983">
        <v>129191</v>
      </c>
      <c r="V983">
        <v>0.6</v>
      </c>
      <c r="W983" t="s">
        <v>17</v>
      </c>
      <c r="X983" t="s">
        <v>3918</v>
      </c>
      <c r="Z983" t="s">
        <v>89</v>
      </c>
      <c r="AA983" t="s">
        <v>89</v>
      </c>
      <c r="AB983" t="s">
        <v>10878</v>
      </c>
      <c r="AC983" t="s">
        <v>625</v>
      </c>
      <c r="AD983" t="s">
        <v>1473</v>
      </c>
      <c r="AE983" t="s">
        <v>9251</v>
      </c>
      <c r="AF983" s="4"/>
    </row>
    <row r="984" spans="1:32">
      <c r="A984" t="s">
        <v>10879</v>
      </c>
      <c r="B984" t="s">
        <v>9366</v>
      </c>
      <c r="C984" t="s">
        <v>5293</v>
      </c>
      <c r="D984" t="s">
        <v>54</v>
      </c>
      <c r="E984" t="s">
        <v>10880</v>
      </c>
      <c r="F984" t="s">
        <v>5290</v>
      </c>
      <c r="G984">
        <v>77514.599999999991</v>
      </c>
      <c r="I984">
        <v>77514.599999999991</v>
      </c>
      <c r="J984">
        <v>77514.599999999991</v>
      </c>
      <c r="K984" s="4">
        <v>45429</v>
      </c>
      <c r="L984" s="4">
        <v>45429</v>
      </c>
      <c r="M984">
        <v>2024</v>
      </c>
      <c r="N984">
        <v>5</v>
      </c>
      <c r="O984" s="4">
        <v>45413</v>
      </c>
      <c r="P984" t="s">
        <v>89</v>
      </c>
      <c r="Q984" s="4">
        <v>45519</v>
      </c>
      <c r="S984" t="s">
        <v>5291</v>
      </c>
      <c r="T984">
        <v>45505</v>
      </c>
      <c r="U984">
        <v>129191</v>
      </c>
      <c r="V984">
        <v>0.6</v>
      </c>
      <c r="W984" t="s">
        <v>17</v>
      </c>
      <c r="X984" t="s">
        <v>3918</v>
      </c>
      <c r="Z984" t="s">
        <v>89</v>
      </c>
      <c r="AA984" t="s">
        <v>89</v>
      </c>
      <c r="AB984" t="s">
        <v>10878</v>
      </c>
      <c r="AC984" t="s">
        <v>625</v>
      </c>
      <c r="AD984" t="s">
        <v>1848</v>
      </c>
      <c r="AE984" t="s">
        <v>9251</v>
      </c>
      <c r="AF984" s="4"/>
    </row>
    <row r="985" spans="1:32">
      <c r="A985" t="s">
        <v>10881</v>
      </c>
      <c r="B985" t="s">
        <v>9366</v>
      </c>
      <c r="C985" t="s">
        <v>5302</v>
      </c>
      <c r="D985" t="s">
        <v>54</v>
      </c>
      <c r="E985" t="s">
        <v>10882</v>
      </c>
      <c r="F985" t="s">
        <v>5298</v>
      </c>
      <c r="G985">
        <v>120568.2</v>
      </c>
      <c r="I985">
        <v>120568.2</v>
      </c>
      <c r="J985">
        <v>120568.2</v>
      </c>
      <c r="K985" s="4">
        <v>45429</v>
      </c>
      <c r="L985" s="4">
        <v>45429</v>
      </c>
      <c r="M985">
        <v>2024</v>
      </c>
      <c r="N985">
        <v>5</v>
      </c>
      <c r="O985" s="4">
        <v>45413</v>
      </c>
      <c r="P985" t="s">
        <v>89</v>
      </c>
      <c r="Q985" s="4">
        <v>45519</v>
      </c>
      <c r="S985" t="s">
        <v>5300</v>
      </c>
      <c r="T985">
        <v>45505</v>
      </c>
      <c r="U985">
        <v>200947</v>
      </c>
      <c r="V985">
        <v>0.6</v>
      </c>
      <c r="W985" t="s">
        <v>17</v>
      </c>
      <c r="X985" t="s">
        <v>3918</v>
      </c>
      <c r="Z985" t="s">
        <v>89</v>
      </c>
      <c r="AA985" t="s">
        <v>89</v>
      </c>
      <c r="AB985" t="s">
        <v>10883</v>
      </c>
      <c r="AC985" t="s">
        <v>625</v>
      </c>
      <c r="AD985" t="s">
        <v>1848</v>
      </c>
      <c r="AE985" t="s">
        <v>9251</v>
      </c>
      <c r="AF985" s="4"/>
    </row>
    <row r="986" spans="1:32">
      <c r="A986" t="s">
        <v>10884</v>
      </c>
      <c r="B986" t="s">
        <v>9366</v>
      </c>
      <c r="C986" t="s">
        <v>5239</v>
      </c>
      <c r="D986" t="s">
        <v>54</v>
      </c>
      <c r="E986" t="s">
        <v>10885</v>
      </c>
      <c r="F986" t="s">
        <v>5238</v>
      </c>
      <c r="G986">
        <v>23868</v>
      </c>
      <c r="I986">
        <v>23868</v>
      </c>
      <c r="J986">
        <v>23868</v>
      </c>
      <c r="K986" s="4">
        <v>45345</v>
      </c>
      <c r="L986" s="4">
        <v>45401</v>
      </c>
      <c r="M986">
        <v>2024</v>
      </c>
      <c r="N986">
        <v>2</v>
      </c>
      <c r="O986" s="4">
        <v>45323</v>
      </c>
      <c r="P986" t="s">
        <v>89</v>
      </c>
      <c r="Q986" s="4">
        <v>45458</v>
      </c>
      <c r="R986" t="s">
        <v>3773</v>
      </c>
      <c r="S986" t="s">
        <v>4402</v>
      </c>
      <c r="T986">
        <v>45446</v>
      </c>
      <c r="U986">
        <v>23868</v>
      </c>
      <c r="V986">
        <v>1</v>
      </c>
      <c r="W986" t="s">
        <v>17</v>
      </c>
      <c r="X986" t="s">
        <v>3770</v>
      </c>
      <c r="Z986" t="s">
        <v>89</v>
      </c>
      <c r="AA986" t="s">
        <v>89</v>
      </c>
      <c r="AC986" t="s">
        <v>89</v>
      </c>
      <c r="AD986" t="s">
        <v>89</v>
      </c>
      <c r="AE986" t="s">
        <v>3652</v>
      </c>
      <c r="AF986" s="4"/>
    </row>
    <row r="987" spans="1:32">
      <c r="A987" t="s">
        <v>10886</v>
      </c>
      <c r="B987" t="s">
        <v>9366</v>
      </c>
      <c r="C987" t="s">
        <v>5308</v>
      </c>
      <c r="D987" t="s">
        <v>54</v>
      </c>
      <c r="E987" t="s">
        <v>10887</v>
      </c>
      <c r="F987" t="s">
        <v>5306</v>
      </c>
      <c r="G987">
        <v>88668.6</v>
      </c>
      <c r="I987">
        <v>88668.6</v>
      </c>
      <c r="J987">
        <v>88668.6</v>
      </c>
      <c r="K987" s="4">
        <v>45408</v>
      </c>
      <c r="L987" s="4">
        <v>45443</v>
      </c>
      <c r="M987">
        <v>2024</v>
      </c>
      <c r="N987">
        <v>4</v>
      </c>
      <c r="O987" s="4">
        <v>45383</v>
      </c>
      <c r="P987" t="s">
        <v>89</v>
      </c>
      <c r="Q987" s="4">
        <v>45519</v>
      </c>
      <c r="R987" t="s">
        <v>10888</v>
      </c>
      <c r="S987" t="s">
        <v>5307</v>
      </c>
      <c r="T987">
        <v>45505</v>
      </c>
      <c r="U987">
        <v>147781</v>
      </c>
      <c r="V987">
        <v>0.60000000000000009</v>
      </c>
      <c r="W987" t="s">
        <v>17</v>
      </c>
      <c r="X987" t="s">
        <v>3918</v>
      </c>
      <c r="Z987" t="s">
        <v>89</v>
      </c>
      <c r="AA987" t="s">
        <v>89</v>
      </c>
      <c r="AB987" t="s">
        <v>10889</v>
      </c>
      <c r="AC987" t="s">
        <v>625</v>
      </c>
      <c r="AD987" t="s">
        <v>1848</v>
      </c>
      <c r="AE987" t="s">
        <v>9251</v>
      </c>
      <c r="AF987" s="4"/>
    </row>
    <row r="988" spans="1:32">
      <c r="A988" t="s">
        <v>10890</v>
      </c>
      <c r="B988" t="s">
        <v>9366</v>
      </c>
      <c r="C988" t="s">
        <v>5313</v>
      </c>
      <c r="D988" t="s">
        <v>54</v>
      </c>
      <c r="E988" t="s">
        <v>10891</v>
      </c>
      <c r="F988" t="s">
        <v>5311</v>
      </c>
      <c r="G988">
        <v>88668.6</v>
      </c>
      <c r="I988">
        <v>88668.6</v>
      </c>
      <c r="J988">
        <v>88668.6</v>
      </c>
      <c r="K988" s="4">
        <v>45412</v>
      </c>
      <c r="L988" s="4">
        <v>45443</v>
      </c>
      <c r="M988">
        <v>2024</v>
      </c>
      <c r="N988">
        <v>4</v>
      </c>
      <c r="O988" s="4">
        <v>45383</v>
      </c>
      <c r="P988" t="s">
        <v>89</v>
      </c>
      <c r="Q988" s="4">
        <v>45519</v>
      </c>
      <c r="R988" t="s">
        <v>10888</v>
      </c>
      <c r="S988" t="s">
        <v>5312</v>
      </c>
      <c r="T988">
        <v>45505</v>
      </c>
      <c r="U988">
        <v>147781</v>
      </c>
      <c r="V988">
        <v>0.60000000000000009</v>
      </c>
      <c r="W988" t="s">
        <v>17</v>
      </c>
      <c r="X988" t="s">
        <v>3918</v>
      </c>
      <c r="Z988" t="s">
        <v>89</v>
      </c>
      <c r="AA988" t="s">
        <v>89</v>
      </c>
      <c r="AB988" t="s">
        <v>10889</v>
      </c>
      <c r="AC988" t="s">
        <v>625</v>
      </c>
      <c r="AD988" t="s">
        <v>1848</v>
      </c>
      <c r="AE988" t="s">
        <v>9251</v>
      </c>
      <c r="AF988" s="4"/>
    </row>
    <row r="989" spans="1:32">
      <c r="A989" t="s">
        <v>10892</v>
      </c>
      <c r="B989" t="s">
        <v>9366</v>
      </c>
      <c r="C989" t="s">
        <v>5249</v>
      </c>
      <c r="D989" t="s">
        <v>54</v>
      </c>
      <c r="E989" t="s">
        <v>10893</v>
      </c>
      <c r="F989" t="s">
        <v>5248</v>
      </c>
      <c r="G989">
        <v>23868</v>
      </c>
      <c r="I989">
        <v>23868</v>
      </c>
      <c r="J989">
        <v>23868</v>
      </c>
      <c r="K989" s="4">
        <v>45345</v>
      </c>
      <c r="L989" s="4">
        <v>45401</v>
      </c>
      <c r="M989">
        <v>2024</v>
      </c>
      <c r="N989">
        <v>2</v>
      </c>
      <c r="O989" s="4">
        <v>45323</v>
      </c>
      <c r="P989" t="s">
        <v>89</v>
      </c>
      <c r="Q989" s="4">
        <v>45458</v>
      </c>
      <c r="R989" t="s">
        <v>3773</v>
      </c>
      <c r="S989" t="s">
        <v>4396</v>
      </c>
      <c r="T989">
        <v>45446</v>
      </c>
      <c r="U989">
        <v>23868</v>
      </c>
      <c r="V989">
        <v>1</v>
      </c>
      <c r="W989" t="s">
        <v>17</v>
      </c>
      <c r="X989" t="s">
        <v>3770</v>
      </c>
      <c r="Z989" t="s">
        <v>89</v>
      </c>
      <c r="AA989" t="s">
        <v>89</v>
      </c>
      <c r="AC989" t="s">
        <v>89</v>
      </c>
      <c r="AD989" t="s">
        <v>89</v>
      </c>
      <c r="AE989" t="s">
        <v>3652</v>
      </c>
      <c r="AF989" s="4"/>
    </row>
    <row r="990" spans="1:32">
      <c r="A990" t="s">
        <v>10894</v>
      </c>
      <c r="B990" t="s">
        <v>9366</v>
      </c>
      <c r="C990" t="s">
        <v>4564</v>
      </c>
      <c r="D990" t="s">
        <v>54</v>
      </c>
      <c r="E990" t="s">
        <v>10124</v>
      </c>
      <c r="F990" t="s">
        <v>4562</v>
      </c>
      <c r="G990">
        <v>744.41399999999999</v>
      </c>
      <c r="I990">
        <v>744.41399999999999</v>
      </c>
      <c r="K990" s="4">
        <v>45422</v>
      </c>
      <c r="L990" s="4">
        <v>45422</v>
      </c>
      <c r="M990">
        <v>2024</v>
      </c>
      <c r="N990">
        <v>5</v>
      </c>
      <c r="O990" s="4">
        <v>45413</v>
      </c>
      <c r="P990" t="s">
        <v>625</v>
      </c>
      <c r="Q990" s="4"/>
      <c r="S990" t="s">
        <v>3155</v>
      </c>
      <c r="T990">
        <v>45551</v>
      </c>
      <c r="U990">
        <v>1240.69</v>
      </c>
      <c r="V990">
        <v>0.6</v>
      </c>
      <c r="W990" t="s">
        <v>16</v>
      </c>
      <c r="X990" t="s">
        <v>3828</v>
      </c>
      <c r="Z990">
        <v>130</v>
      </c>
      <c r="AA990">
        <v>130</v>
      </c>
      <c r="AB990" t="s">
        <v>10875</v>
      </c>
      <c r="AC990" t="s">
        <v>1848</v>
      </c>
      <c r="AD990" t="s">
        <v>1848</v>
      </c>
      <c r="AE990" t="s">
        <v>9251</v>
      </c>
      <c r="AF990" s="4"/>
    </row>
    <row r="991" spans="1:32">
      <c r="A991" t="s">
        <v>10895</v>
      </c>
      <c r="B991" t="s">
        <v>9366</v>
      </c>
      <c r="C991" t="s">
        <v>4566</v>
      </c>
      <c r="D991" t="s">
        <v>54</v>
      </c>
      <c r="E991" t="s">
        <v>10127</v>
      </c>
      <c r="F991" t="s">
        <v>4565</v>
      </c>
      <c r="G991">
        <v>744.41399999999999</v>
      </c>
      <c r="I991">
        <v>744.41399999999999</v>
      </c>
      <c r="K991" s="4">
        <v>45471</v>
      </c>
      <c r="L991" s="4">
        <v>45471</v>
      </c>
      <c r="M991">
        <v>2024</v>
      </c>
      <c r="N991">
        <v>6</v>
      </c>
      <c r="O991" s="4">
        <v>45444</v>
      </c>
      <c r="P991" t="s">
        <v>625</v>
      </c>
      <c r="Q991" s="4"/>
      <c r="S991" t="s">
        <v>3478</v>
      </c>
      <c r="T991">
        <v>45551</v>
      </c>
      <c r="U991">
        <v>1240.69</v>
      </c>
      <c r="V991">
        <v>0.6</v>
      </c>
      <c r="W991" t="s">
        <v>16</v>
      </c>
      <c r="X991" t="s">
        <v>3828</v>
      </c>
      <c r="Z991">
        <v>81</v>
      </c>
      <c r="AA991">
        <v>81</v>
      </c>
      <c r="AB991" t="s">
        <v>10875</v>
      </c>
      <c r="AC991" t="s">
        <v>1848</v>
      </c>
      <c r="AD991" t="s">
        <v>1848</v>
      </c>
      <c r="AE991" t="s">
        <v>9251</v>
      </c>
      <c r="AF991" s="4"/>
    </row>
    <row r="992" spans="1:32">
      <c r="A992" t="s">
        <v>10896</v>
      </c>
      <c r="B992" t="s">
        <v>9366</v>
      </c>
      <c r="C992" t="s">
        <v>4568</v>
      </c>
      <c r="D992" t="s">
        <v>54</v>
      </c>
      <c r="E992" t="s">
        <v>10130</v>
      </c>
      <c r="F992" t="s">
        <v>4567</v>
      </c>
      <c r="G992">
        <v>744.41399999999999</v>
      </c>
      <c r="I992">
        <v>744.41399999999999</v>
      </c>
      <c r="K992" s="4">
        <v>45471</v>
      </c>
      <c r="L992" s="4">
        <v>45471</v>
      </c>
      <c r="M992">
        <v>2024</v>
      </c>
      <c r="N992">
        <v>6</v>
      </c>
      <c r="O992" s="4">
        <v>45444</v>
      </c>
      <c r="P992" t="s">
        <v>625</v>
      </c>
      <c r="Q992" s="4"/>
      <c r="S992" t="s">
        <v>3273</v>
      </c>
      <c r="T992">
        <v>45551</v>
      </c>
      <c r="U992">
        <v>1240.69</v>
      </c>
      <c r="V992">
        <v>0.6</v>
      </c>
      <c r="W992" t="s">
        <v>16</v>
      </c>
      <c r="X992" t="s">
        <v>3828</v>
      </c>
      <c r="Z992">
        <v>81</v>
      </c>
      <c r="AA992">
        <v>81</v>
      </c>
      <c r="AB992" t="s">
        <v>10875</v>
      </c>
      <c r="AC992" t="s">
        <v>1848</v>
      </c>
      <c r="AD992" t="s">
        <v>1848</v>
      </c>
      <c r="AE992" t="s">
        <v>9251</v>
      </c>
      <c r="AF992" s="4"/>
    </row>
    <row r="993" spans="1:32">
      <c r="A993" t="s">
        <v>10897</v>
      </c>
      <c r="B993" t="s">
        <v>9366</v>
      </c>
      <c r="D993" t="s">
        <v>54</v>
      </c>
      <c r="E993" t="s">
        <v>10898</v>
      </c>
      <c r="F993" t="s">
        <v>5265</v>
      </c>
      <c r="G993">
        <v>109191.1</v>
      </c>
      <c r="I993">
        <v>109191.1</v>
      </c>
      <c r="J993">
        <v>109191.1</v>
      </c>
      <c r="K993" s="4">
        <v>45231</v>
      </c>
      <c r="L993" s="4">
        <v>45231</v>
      </c>
      <c r="M993">
        <v>2023</v>
      </c>
      <c r="N993">
        <v>11</v>
      </c>
      <c r="O993" s="4">
        <v>45231</v>
      </c>
      <c r="P993" t="s">
        <v>89</v>
      </c>
      <c r="Q993" s="4">
        <v>45303</v>
      </c>
      <c r="S993" t="s">
        <v>5267</v>
      </c>
      <c r="U993">
        <v>114938</v>
      </c>
      <c r="V993">
        <v>0.95000000000000007</v>
      </c>
      <c r="W993" t="s">
        <v>17</v>
      </c>
      <c r="X993" t="s">
        <v>3718</v>
      </c>
      <c r="Z993" t="s">
        <v>89</v>
      </c>
      <c r="AA993" t="s">
        <v>89</v>
      </c>
      <c r="AC993" t="s">
        <v>89</v>
      </c>
      <c r="AD993" t="s">
        <v>89</v>
      </c>
      <c r="AE993" t="s">
        <v>3652</v>
      </c>
      <c r="AF993" s="4"/>
    </row>
    <row r="994" spans="1:32">
      <c r="A994" t="s">
        <v>10899</v>
      </c>
      <c r="B994" t="s">
        <v>9366</v>
      </c>
      <c r="D994" t="s">
        <v>54</v>
      </c>
      <c r="E994" t="s">
        <v>10900</v>
      </c>
      <c r="F994" t="s">
        <v>5270</v>
      </c>
      <c r="G994">
        <v>168569.9</v>
      </c>
      <c r="I994">
        <v>168569.9</v>
      </c>
      <c r="J994">
        <v>168569.9</v>
      </c>
      <c r="K994" s="4">
        <v>45231</v>
      </c>
      <c r="L994" s="4">
        <v>45231</v>
      </c>
      <c r="M994">
        <v>2023</v>
      </c>
      <c r="N994">
        <v>11</v>
      </c>
      <c r="O994" s="4">
        <v>45231</v>
      </c>
      <c r="P994" t="s">
        <v>89</v>
      </c>
      <c r="Q994" s="4">
        <v>45303</v>
      </c>
      <c r="S994" t="s">
        <v>5271</v>
      </c>
      <c r="U994">
        <v>177442</v>
      </c>
      <c r="V994">
        <v>0.95</v>
      </c>
      <c r="W994" t="s">
        <v>17</v>
      </c>
      <c r="X994" t="s">
        <v>3718</v>
      </c>
      <c r="Z994" t="s">
        <v>89</v>
      </c>
      <c r="AA994" t="s">
        <v>89</v>
      </c>
      <c r="AC994" t="s">
        <v>89</v>
      </c>
      <c r="AD994">
        <v>0</v>
      </c>
      <c r="AE994" t="s">
        <v>9251</v>
      </c>
      <c r="AF994" s="4"/>
    </row>
    <row r="995" spans="1:32">
      <c r="A995" t="s">
        <v>10901</v>
      </c>
      <c r="B995" t="s">
        <v>9366</v>
      </c>
      <c r="D995" t="s">
        <v>54</v>
      </c>
      <c r="E995" t="s">
        <v>10902</v>
      </c>
      <c r="F995" t="s">
        <v>5274</v>
      </c>
      <c r="G995">
        <v>261632.85</v>
      </c>
      <c r="I995">
        <v>261632.85</v>
      </c>
      <c r="J995">
        <v>261632.85</v>
      </c>
      <c r="K995" s="4">
        <v>45261</v>
      </c>
      <c r="L995" s="4">
        <v>45261</v>
      </c>
      <c r="M995">
        <v>2023</v>
      </c>
      <c r="N995">
        <v>12</v>
      </c>
      <c r="O995" s="4">
        <v>45261</v>
      </c>
      <c r="P995" t="s">
        <v>89</v>
      </c>
      <c r="Q995" s="4">
        <v>45303</v>
      </c>
      <c r="R995" t="s">
        <v>10903</v>
      </c>
      <c r="S995" t="s">
        <v>5276</v>
      </c>
      <c r="U995">
        <v>275403</v>
      </c>
      <c r="V995">
        <v>0.95000000000000007</v>
      </c>
      <c r="W995" t="s">
        <v>17</v>
      </c>
      <c r="X995" t="s">
        <v>3718</v>
      </c>
      <c r="Z995" t="s">
        <v>89</v>
      </c>
      <c r="AA995" t="s">
        <v>89</v>
      </c>
      <c r="AC995" t="s">
        <v>89</v>
      </c>
      <c r="AD995">
        <v>0</v>
      </c>
      <c r="AE995" t="s">
        <v>9251</v>
      </c>
      <c r="AF995" s="4"/>
    </row>
    <row r="996" spans="1:32">
      <c r="A996" t="s">
        <v>10904</v>
      </c>
      <c r="B996" t="s">
        <v>9366</v>
      </c>
      <c r="D996" t="s">
        <v>54</v>
      </c>
      <c r="E996" t="s">
        <v>10905</v>
      </c>
      <c r="F996" t="s">
        <v>5278</v>
      </c>
      <c r="G996">
        <v>261632.85</v>
      </c>
      <c r="I996">
        <v>261632.85</v>
      </c>
      <c r="J996">
        <v>261632.85</v>
      </c>
      <c r="K996" s="4">
        <v>45261</v>
      </c>
      <c r="L996" s="4">
        <v>45261</v>
      </c>
      <c r="M996">
        <v>2023</v>
      </c>
      <c r="N996">
        <v>12</v>
      </c>
      <c r="O996" s="4">
        <v>45261</v>
      </c>
      <c r="P996" t="s">
        <v>89</v>
      </c>
      <c r="Q996" s="4">
        <v>45303</v>
      </c>
      <c r="R996" t="s">
        <v>10906</v>
      </c>
      <c r="S996" t="s">
        <v>5279</v>
      </c>
      <c r="U996">
        <v>275403</v>
      </c>
      <c r="V996">
        <v>0.95000000000000007</v>
      </c>
      <c r="W996" t="s">
        <v>17</v>
      </c>
      <c r="X996" t="s">
        <v>3718</v>
      </c>
      <c r="Z996" t="s">
        <v>89</v>
      </c>
      <c r="AA996" t="s">
        <v>89</v>
      </c>
      <c r="AC996" t="s">
        <v>89</v>
      </c>
      <c r="AD996" t="s">
        <v>89</v>
      </c>
      <c r="AE996" t="s">
        <v>3652</v>
      </c>
      <c r="AF996" s="4"/>
    </row>
    <row r="997" spans="1:32">
      <c r="A997" t="s">
        <v>10907</v>
      </c>
      <c r="B997" t="s">
        <v>9366</v>
      </c>
      <c r="D997" t="s">
        <v>54</v>
      </c>
      <c r="E997" t="s">
        <v>10908</v>
      </c>
      <c r="F997" t="s">
        <v>5281</v>
      </c>
      <c r="G997">
        <v>51676.4</v>
      </c>
      <c r="I997">
        <v>51676.4</v>
      </c>
      <c r="J997">
        <v>51676.4</v>
      </c>
      <c r="K997" s="4">
        <v>44958</v>
      </c>
      <c r="L997" s="4">
        <v>44958</v>
      </c>
      <c r="M997">
        <v>2023</v>
      </c>
      <c r="N997">
        <v>2</v>
      </c>
      <c r="O997" s="4">
        <v>44958</v>
      </c>
      <c r="P997" t="s">
        <v>89</v>
      </c>
      <c r="Q997" s="4">
        <v>45015</v>
      </c>
      <c r="S997" t="s">
        <v>5284</v>
      </c>
      <c r="U997">
        <v>129191</v>
      </c>
      <c r="V997">
        <v>0.4</v>
      </c>
      <c r="W997" t="s">
        <v>17</v>
      </c>
      <c r="X997" t="s">
        <v>3918</v>
      </c>
      <c r="Z997" t="s">
        <v>89</v>
      </c>
      <c r="AA997" t="s">
        <v>89</v>
      </c>
      <c r="AC997" t="s">
        <v>89</v>
      </c>
      <c r="AD997">
        <v>0</v>
      </c>
      <c r="AE997" t="s">
        <v>9251</v>
      </c>
      <c r="AF997" s="4"/>
    </row>
    <row r="998" spans="1:32">
      <c r="A998" t="s">
        <v>10909</v>
      </c>
      <c r="B998" t="s">
        <v>9366</v>
      </c>
      <c r="C998" t="s">
        <v>5457</v>
      </c>
      <c r="D998" t="s">
        <v>54</v>
      </c>
      <c r="E998" t="s">
        <v>10910</v>
      </c>
      <c r="F998" t="s">
        <v>5455</v>
      </c>
      <c r="G998">
        <v>62039</v>
      </c>
      <c r="I998">
        <v>62039</v>
      </c>
      <c r="J998">
        <v>62039</v>
      </c>
      <c r="K998" s="4">
        <v>45380</v>
      </c>
      <c r="L998" s="4">
        <v>45471</v>
      </c>
      <c r="M998">
        <v>2024</v>
      </c>
      <c r="N998">
        <v>3</v>
      </c>
      <c r="O998" s="4">
        <v>45352</v>
      </c>
      <c r="P998" t="s">
        <v>89</v>
      </c>
      <c r="Q998" s="4">
        <v>45519</v>
      </c>
      <c r="R998" t="s">
        <v>10911</v>
      </c>
      <c r="S998" t="s">
        <v>4660</v>
      </c>
      <c r="T998">
        <v>45505</v>
      </c>
      <c r="U998">
        <v>62039</v>
      </c>
      <c r="V998">
        <v>1</v>
      </c>
      <c r="W998" t="s">
        <v>17</v>
      </c>
      <c r="X998" t="s">
        <v>3711</v>
      </c>
      <c r="Z998" t="s">
        <v>89</v>
      </c>
      <c r="AA998" t="s">
        <v>89</v>
      </c>
      <c r="AB998" t="s">
        <v>10912</v>
      </c>
      <c r="AC998" t="s">
        <v>625</v>
      </c>
      <c r="AD998" t="s">
        <v>95</v>
      </c>
      <c r="AE998" t="s">
        <v>9251</v>
      </c>
      <c r="AF998" s="4"/>
    </row>
    <row r="999" spans="1:32">
      <c r="A999" t="s">
        <v>10913</v>
      </c>
      <c r="B999" t="s">
        <v>9366</v>
      </c>
      <c r="D999" t="s">
        <v>54</v>
      </c>
      <c r="E999" t="s">
        <v>10877</v>
      </c>
      <c r="F999" t="s">
        <v>5286</v>
      </c>
      <c r="G999">
        <v>51676.4</v>
      </c>
      <c r="I999">
        <v>51676.4</v>
      </c>
      <c r="J999">
        <v>51676.4</v>
      </c>
      <c r="K999" s="4">
        <v>44958</v>
      </c>
      <c r="L999" s="4">
        <v>44958</v>
      </c>
      <c r="M999">
        <v>2023</v>
      </c>
      <c r="N999">
        <v>2</v>
      </c>
      <c r="O999" s="4">
        <v>44958</v>
      </c>
      <c r="P999" t="s">
        <v>89</v>
      </c>
      <c r="Q999" s="4">
        <v>45015</v>
      </c>
      <c r="S999" t="s">
        <v>5287</v>
      </c>
      <c r="U999">
        <v>129191</v>
      </c>
      <c r="V999">
        <v>0.4</v>
      </c>
      <c r="W999" t="s">
        <v>17</v>
      </c>
      <c r="X999" t="s">
        <v>3918</v>
      </c>
      <c r="Z999" t="s">
        <v>89</v>
      </c>
      <c r="AA999" t="s">
        <v>89</v>
      </c>
      <c r="AC999" t="s">
        <v>89</v>
      </c>
      <c r="AD999">
        <v>0</v>
      </c>
      <c r="AE999" t="s">
        <v>9251</v>
      </c>
      <c r="AF999" s="4"/>
    </row>
    <row r="1000" spans="1:32">
      <c r="A1000" t="s">
        <v>10914</v>
      </c>
      <c r="B1000" t="s">
        <v>9366</v>
      </c>
      <c r="C1000" t="s">
        <v>5459</v>
      </c>
      <c r="D1000" t="s">
        <v>54</v>
      </c>
      <c r="E1000" t="s">
        <v>10915</v>
      </c>
      <c r="F1000" t="s">
        <v>5458</v>
      </c>
      <c r="G1000">
        <v>62039</v>
      </c>
      <c r="I1000">
        <v>62039</v>
      </c>
      <c r="J1000">
        <v>62039</v>
      </c>
      <c r="K1000" s="4">
        <v>45380</v>
      </c>
      <c r="L1000" s="4">
        <v>45471</v>
      </c>
      <c r="M1000">
        <v>2024</v>
      </c>
      <c r="N1000">
        <v>3</v>
      </c>
      <c r="O1000" s="4">
        <v>45352</v>
      </c>
      <c r="P1000" t="s">
        <v>89</v>
      </c>
      <c r="Q1000" s="4">
        <v>45519</v>
      </c>
      <c r="R1000" t="s">
        <v>10911</v>
      </c>
      <c r="S1000" t="s">
        <v>4663</v>
      </c>
      <c r="T1000">
        <v>45505</v>
      </c>
      <c r="U1000">
        <v>62039</v>
      </c>
      <c r="V1000">
        <v>1</v>
      </c>
      <c r="W1000" t="s">
        <v>17</v>
      </c>
      <c r="X1000" t="s">
        <v>3711</v>
      </c>
      <c r="Z1000" t="s">
        <v>89</v>
      </c>
      <c r="AA1000" t="s">
        <v>89</v>
      </c>
      <c r="AB1000" t="s">
        <v>10912</v>
      </c>
      <c r="AC1000" t="s">
        <v>625</v>
      </c>
      <c r="AD1000" t="s">
        <v>95</v>
      </c>
      <c r="AE1000" t="s">
        <v>9251</v>
      </c>
      <c r="AF1000" s="4"/>
    </row>
    <row r="1001" spans="1:32">
      <c r="A1001" t="s">
        <v>10916</v>
      </c>
      <c r="B1001" t="s">
        <v>9366</v>
      </c>
      <c r="D1001" t="s">
        <v>54</v>
      </c>
      <c r="E1001" t="s">
        <v>10880</v>
      </c>
      <c r="F1001" t="s">
        <v>5290</v>
      </c>
      <c r="G1001">
        <v>51676.4</v>
      </c>
      <c r="I1001">
        <v>51676.4</v>
      </c>
      <c r="J1001">
        <v>51676.4</v>
      </c>
      <c r="K1001" s="4">
        <v>44958</v>
      </c>
      <c r="L1001" s="4">
        <v>44958</v>
      </c>
      <c r="M1001">
        <v>2023</v>
      </c>
      <c r="N1001">
        <v>2</v>
      </c>
      <c r="O1001" s="4">
        <v>44958</v>
      </c>
      <c r="P1001" t="s">
        <v>89</v>
      </c>
      <c r="Q1001" s="4">
        <v>45015</v>
      </c>
      <c r="S1001" t="s">
        <v>5291</v>
      </c>
      <c r="U1001">
        <v>129191</v>
      </c>
      <c r="V1001">
        <v>0.4</v>
      </c>
      <c r="W1001" t="s">
        <v>17</v>
      </c>
      <c r="X1001" t="s">
        <v>3918</v>
      </c>
      <c r="Z1001" t="s">
        <v>89</v>
      </c>
      <c r="AA1001" t="s">
        <v>89</v>
      </c>
      <c r="AC1001" t="s">
        <v>89</v>
      </c>
      <c r="AD1001">
        <v>0</v>
      </c>
      <c r="AE1001" t="s">
        <v>9251</v>
      </c>
      <c r="AF1001" s="4"/>
    </row>
    <row r="1002" spans="1:32">
      <c r="A1002" t="s">
        <v>10917</v>
      </c>
      <c r="B1002" t="s">
        <v>9366</v>
      </c>
      <c r="D1002" t="s">
        <v>54</v>
      </c>
      <c r="E1002" t="s">
        <v>6763</v>
      </c>
      <c r="F1002" t="s">
        <v>5294</v>
      </c>
      <c r="G1002">
        <v>51676.4</v>
      </c>
      <c r="I1002">
        <v>51676.4</v>
      </c>
      <c r="J1002">
        <v>51676.4</v>
      </c>
      <c r="K1002" s="4">
        <v>44958</v>
      </c>
      <c r="L1002" s="4">
        <v>44958</v>
      </c>
      <c r="M1002">
        <v>2023</v>
      </c>
      <c r="N1002">
        <v>2</v>
      </c>
      <c r="O1002" s="4">
        <v>44958</v>
      </c>
      <c r="P1002" t="s">
        <v>89</v>
      </c>
      <c r="Q1002" s="4">
        <v>45015</v>
      </c>
      <c r="S1002" t="s">
        <v>5295</v>
      </c>
      <c r="U1002">
        <v>129191</v>
      </c>
      <c r="V1002">
        <v>0.4</v>
      </c>
      <c r="W1002" t="s">
        <v>17</v>
      </c>
      <c r="X1002" t="s">
        <v>3918</v>
      </c>
      <c r="Z1002" t="s">
        <v>89</v>
      </c>
      <c r="AA1002" t="s">
        <v>89</v>
      </c>
      <c r="AC1002" t="s">
        <v>89</v>
      </c>
      <c r="AD1002">
        <v>0</v>
      </c>
      <c r="AE1002" t="s">
        <v>9251</v>
      </c>
      <c r="AF1002" s="4"/>
    </row>
    <row r="1003" spans="1:32">
      <c r="A1003" t="s">
        <v>10918</v>
      </c>
      <c r="B1003" t="s">
        <v>9366</v>
      </c>
      <c r="C1003" t="s">
        <v>5462</v>
      </c>
      <c r="D1003" t="s">
        <v>54</v>
      </c>
      <c r="E1003" t="s">
        <v>10919</v>
      </c>
      <c r="F1003" t="s">
        <v>5461</v>
      </c>
      <c r="G1003">
        <v>62039</v>
      </c>
      <c r="I1003">
        <v>62039</v>
      </c>
      <c r="J1003">
        <v>62039</v>
      </c>
      <c r="K1003" s="4">
        <v>45401</v>
      </c>
      <c r="L1003" s="4">
        <v>45421</v>
      </c>
      <c r="M1003">
        <v>2024</v>
      </c>
      <c r="N1003">
        <v>4</v>
      </c>
      <c r="O1003" s="4">
        <v>45383</v>
      </c>
      <c r="P1003" t="s">
        <v>89</v>
      </c>
      <c r="Q1003" s="4">
        <v>45519</v>
      </c>
      <c r="R1003" t="s">
        <v>10911</v>
      </c>
      <c r="S1003" t="s">
        <v>4666</v>
      </c>
      <c r="T1003">
        <v>45505</v>
      </c>
      <c r="U1003">
        <v>62039</v>
      </c>
      <c r="V1003">
        <v>1</v>
      </c>
      <c r="W1003" t="s">
        <v>17</v>
      </c>
      <c r="X1003" t="s">
        <v>3711</v>
      </c>
      <c r="Z1003" t="s">
        <v>89</v>
      </c>
      <c r="AA1003" t="s">
        <v>89</v>
      </c>
      <c r="AB1003" t="s">
        <v>10912</v>
      </c>
      <c r="AC1003" t="s">
        <v>625</v>
      </c>
      <c r="AD1003" t="s">
        <v>1848</v>
      </c>
      <c r="AE1003" t="s">
        <v>9251</v>
      </c>
      <c r="AF1003" s="4"/>
    </row>
    <row r="1004" spans="1:32">
      <c r="A1004" t="s">
        <v>10920</v>
      </c>
      <c r="B1004" t="s">
        <v>9366</v>
      </c>
      <c r="C1004" t="s">
        <v>5301</v>
      </c>
      <c r="D1004" t="s">
        <v>54</v>
      </c>
      <c r="E1004" t="s">
        <v>10882</v>
      </c>
      <c r="F1004" t="s">
        <v>5298</v>
      </c>
      <c r="G1004">
        <v>80378.8</v>
      </c>
      <c r="I1004">
        <v>80378.8</v>
      </c>
      <c r="J1004">
        <v>80378.8</v>
      </c>
      <c r="K1004" s="4">
        <v>44985</v>
      </c>
      <c r="L1004" s="4">
        <v>44958</v>
      </c>
      <c r="M1004">
        <v>2023</v>
      </c>
      <c r="N1004">
        <v>2</v>
      </c>
      <c r="O1004" s="4">
        <v>44958</v>
      </c>
      <c r="P1004" t="s">
        <v>89</v>
      </c>
      <c r="Q1004" s="4">
        <v>45015</v>
      </c>
      <c r="S1004" t="s">
        <v>5300</v>
      </c>
      <c r="U1004">
        <v>200947</v>
      </c>
      <c r="V1004">
        <v>0.4</v>
      </c>
      <c r="W1004" t="s">
        <v>17</v>
      </c>
      <c r="X1004" t="s">
        <v>3918</v>
      </c>
      <c r="Z1004" t="s">
        <v>89</v>
      </c>
      <c r="AA1004" t="s">
        <v>89</v>
      </c>
      <c r="AC1004" t="s">
        <v>89</v>
      </c>
      <c r="AD1004">
        <v>0</v>
      </c>
      <c r="AE1004" t="s">
        <v>9251</v>
      </c>
      <c r="AF1004" s="4"/>
    </row>
    <row r="1005" spans="1:32">
      <c r="A1005" t="s">
        <v>10921</v>
      </c>
      <c r="B1005" t="s">
        <v>9366</v>
      </c>
      <c r="C1005" t="s">
        <v>5305</v>
      </c>
      <c r="D1005" t="s">
        <v>54</v>
      </c>
      <c r="E1005" t="s">
        <v>10922</v>
      </c>
      <c r="F1005" t="s">
        <v>5303</v>
      </c>
      <c r="G1005">
        <v>80378.8</v>
      </c>
      <c r="I1005">
        <v>80378.8</v>
      </c>
      <c r="J1005">
        <v>80378.8</v>
      </c>
      <c r="K1005" s="4">
        <v>44985</v>
      </c>
      <c r="L1005" s="4">
        <v>44958</v>
      </c>
      <c r="M1005">
        <v>2023</v>
      </c>
      <c r="N1005">
        <v>2</v>
      </c>
      <c r="O1005" s="4">
        <v>44958</v>
      </c>
      <c r="P1005" t="s">
        <v>89</v>
      </c>
      <c r="Q1005" s="4">
        <v>45015</v>
      </c>
      <c r="S1005" t="s">
        <v>5304</v>
      </c>
      <c r="U1005">
        <v>200947</v>
      </c>
      <c r="V1005">
        <v>0.4</v>
      </c>
      <c r="W1005" t="s">
        <v>17</v>
      </c>
      <c r="X1005" t="s">
        <v>3918</v>
      </c>
      <c r="Z1005" t="s">
        <v>89</v>
      </c>
      <c r="AA1005" t="s">
        <v>89</v>
      </c>
      <c r="AC1005" t="s">
        <v>89</v>
      </c>
      <c r="AD1005">
        <v>0</v>
      </c>
      <c r="AE1005" t="s">
        <v>9251</v>
      </c>
      <c r="AF1005" s="4"/>
    </row>
    <row r="1006" spans="1:32">
      <c r="A1006" t="s">
        <v>10923</v>
      </c>
      <c r="B1006" t="s">
        <v>9366</v>
      </c>
      <c r="C1006" t="s">
        <v>5465</v>
      </c>
      <c r="D1006" t="s">
        <v>54</v>
      </c>
      <c r="E1006" t="s">
        <v>10924</v>
      </c>
      <c r="F1006" t="s">
        <v>5464</v>
      </c>
      <c r="G1006">
        <v>62039</v>
      </c>
      <c r="I1006">
        <v>62039</v>
      </c>
      <c r="J1006">
        <v>62039</v>
      </c>
      <c r="K1006" s="4">
        <v>45401</v>
      </c>
      <c r="L1006" s="4">
        <v>45421</v>
      </c>
      <c r="M1006">
        <v>2024</v>
      </c>
      <c r="N1006">
        <v>4</v>
      </c>
      <c r="O1006" s="4">
        <v>45383</v>
      </c>
      <c r="P1006" t="s">
        <v>89</v>
      </c>
      <c r="Q1006" s="4">
        <v>45519</v>
      </c>
      <c r="R1006" t="s">
        <v>10911</v>
      </c>
      <c r="S1006" t="s">
        <v>4669</v>
      </c>
      <c r="T1006">
        <v>45505</v>
      </c>
      <c r="U1006">
        <v>62039</v>
      </c>
      <c r="V1006">
        <v>1</v>
      </c>
      <c r="W1006" t="s">
        <v>17</v>
      </c>
      <c r="X1006" t="s">
        <v>3711</v>
      </c>
      <c r="Z1006" t="s">
        <v>89</v>
      </c>
      <c r="AA1006" t="s">
        <v>89</v>
      </c>
      <c r="AB1006" t="s">
        <v>10912</v>
      </c>
      <c r="AC1006" t="s">
        <v>625</v>
      </c>
      <c r="AD1006" t="s">
        <v>1848</v>
      </c>
      <c r="AE1006" t="s">
        <v>9251</v>
      </c>
      <c r="AF1006" s="4"/>
    </row>
    <row r="1007" spans="1:32">
      <c r="A1007" t="s">
        <v>10925</v>
      </c>
      <c r="B1007" t="s">
        <v>9366</v>
      </c>
      <c r="D1007" t="s">
        <v>54</v>
      </c>
      <c r="E1007" t="s">
        <v>10887</v>
      </c>
      <c r="F1007" t="s">
        <v>5306</v>
      </c>
      <c r="G1007">
        <v>59112.4</v>
      </c>
      <c r="I1007">
        <v>59112.4</v>
      </c>
      <c r="J1007">
        <v>59112.4</v>
      </c>
      <c r="K1007" s="4">
        <v>44958</v>
      </c>
      <c r="L1007" s="4">
        <v>44958</v>
      </c>
      <c r="M1007">
        <v>2023</v>
      </c>
      <c r="N1007">
        <v>2</v>
      </c>
      <c r="O1007" s="4">
        <v>44958</v>
      </c>
      <c r="P1007" t="s">
        <v>89</v>
      </c>
      <c r="Q1007" s="4">
        <v>45030</v>
      </c>
      <c r="S1007" t="s">
        <v>5307</v>
      </c>
      <c r="U1007">
        <v>147781</v>
      </c>
      <c r="V1007">
        <v>0.4</v>
      </c>
      <c r="W1007" t="s">
        <v>17</v>
      </c>
      <c r="X1007" t="s">
        <v>3918</v>
      </c>
      <c r="Z1007" t="s">
        <v>89</v>
      </c>
      <c r="AA1007" t="s">
        <v>89</v>
      </c>
      <c r="AC1007" t="s">
        <v>89</v>
      </c>
      <c r="AD1007">
        <v>0</v>
      </c>
      <c r="AE1007" t="s">
        <v>9251</v>
      </c>
      <c r="AF1007" s="4"/>
    </row>
    <row r="1008" spans="1:32">
      <c r="A1008" t="s">
        <v>10926</v>
      </c>
      <c r="B1008" t="s">
        <v>9366</v>
      </c>
      <c r="D1008" t="s">
        <v>54</v>
      </c>
      <c r="E1008" t="s">
        <v>10927</v>
      </c>
      <c r="F1008" t="s">
        <v>5309</v>
      </c>
      <c r="G1008">
        <v>59112.4</v>
      </c>
      <c r="I1008">
        <v>59112.4</v>
      </c>
      <c r="J1008">
        <v>59112.4</v>
      </c>
      <c r="K1008" s="4">
        <v>44958</v>
      </c>
      <c r="L1008" s="4">
        <v>44958</v>
      </c>
      <c r="M1008">
        <v>2023</v>
      </c>
      <c r="N1008">
        <v>2</v>
      </c>
      <c r="O1008" s="4">
        <v>44958</v>
      </c>
      <c r="P1008" t="s">
        <v>89</v>
      </c>
      <c r="Q1008" s="4">
        <v>45030</v>
      </c>
      <c r="S1008" t="s">
        <v>5310</v>
      </c>
      <c r="U1008">
        <v>147781</v>
      </c>
      <c r="V1008">
        <v>0.4</v>
      </c>
      <c r="W1008" t="s">
        <v>17</v>
      </c>
      <c r="X1008" t="s">
        <v>3918</v>
      </c>
      <c r="Z1008" t="s">
        <v>89</v>
      </c>
      <c r="AA1008" t="s">
        <v>89</v>
      </c>
      <c r="AC1008" t="s">
        <v>89</v>
      </c>
      <c r="AD1008">
        <v>0</v>
      </c>
      <c r="AE1008" t="s">
        <v>9251</v>
      </c>
      <c r="AF1008" s="4"/>
    </row>
    <row r="1009" spans="1:32">
      <c r="A1009" t="s">
        <v>10928</v>
      </c>
      <c r="B1009" t="s">
        <v>9366</v>
      </c>
      <c r="C1009" t="s">
        <v>5467</v>
      </c>
      <c r="D1009" t="s">
        <v>54</v>
      </c>
      <c r="E1009" t="s">
        <v>10929</v>
      </c>
      <c r="F1009" t="s">
        <v>5466</v>
      </c>
      <c r="G1009">
        <v>62039</v>
      </c>
      <c r="I1009">
        <v>62039</v>
      </c>
      <c r="J1009">
        <v>62039</v>
      </c>
      <c r="K1009" s="4">
        <v>45401</v>
      </c>
      <c r="L1009" s="4">
        <v>45421</v>
      </c>
      <c r="M1009">
        <v>2024</v>
      </c>
      <c r="N1009">
        <v>4</v>
      </c>
      <c r="O1009" s="4">
        <v>45383</v>
      </c>
      <c r="P1009" t="s">
        <v>89</v>
      </c>
      <c r="Q1009" s="4">
        <v>45519</v>
      </c>
      <c r="R1009" t="s">
        <v>10911</v>
      </c>
      <c r="S1009" t="s">
        <v>4672</v>
      </c>
      <c r="T1009">
        <v>45505</v>
      </c>
      <c r="U1009">
        <v>62039</v>
      </c>
      <c r="V1009">
        <v>1</v>
      </c>
      <c r="W1009" t="s">
        <v>17</v>
      </c>
      <c r="X1009" t="s">
        <v>3711</v>
      </c>
      <c r="Z1009" t="s">
        <v>89</v>
      </c>
      <c r="AA1009" t="s">
        <v>89</v>
      </c>
      <c r="AB1009" t="s">
        <v>10912</v>
      </c>
      <c r="AC1009" t="s">
        <v>625</v>
      </c>
      <c r="AD1009" t="s">
        <v>1848</v>
      </c>
      <c r="AE1009" t="s">
        <v>9251</v>
      </c>
      <c r="AF1009" s="4"/>
    </row>
    <row r="1010" spans="1:32">
      <c r="A1010" t="s">
        <v>10930</v>
      </c>
      <c r="B1010" t="s">
        <v>9366</v>
      </c>
      <c r="D1010" t="s">
        <v>54</v>
      </c>
      <c r="E1010" t="s">
        <v>10891</v>
      </c>
      <c r="F1010" t="s">
        <v>5311</v>
      </c>
      <c r="G1010">
        <v>59112.4</v>
      </c>
      <c r="I1010">
        <v>59112.4</v>
      </c>
      <c r="J1010">
        <v>59112.4</v>
      </c>
      <c r="K1010" s="4">
        <v>44958</v>
      </c>
      <c r="L1010" s="4">
        <v>44958</v>
      </c>
      <c r="M1010">
        <v>2023</v>
      </c>
      <c r="N1010">
        <v>2</v>
      </c>
      <c r="O1010" s="4">
        <v>44958</v>
      </c>
      <c r="P1010" t="s">
        <v>89</v>
      </c>
      <c r="Q1010" s="4">
        <v>45030</v>
      </c>
      <c r="S1010" t="s">
        <v>5312</v>
      </c>
      <c r="U1010">
        <v>147781</v>
      </c>
      <c r="V1010">
        <v>0.4</v>
      </c>
      <c r="W1010" t="s">
        <v>17</v>
      </c>
      <c r="X1010" t="s">
        <v>3918</v>
      </c>
      <c r="Z1010" t="s">
        <v>89</v>
      </c>
      <c r="AA1010" t="s">
        <v>89</v>
      </c>
      <c r="AC1010" t="s">
        <v>89</v>
      </c>
      <c r="AD1010">
        <v>0</v>
      </c>
      <c r="AE1010" t="s">
        <v>9251</v>
      </c>
      <c r="AF1010" s="4"/>
    </row>
    <row r="1011" spans="1:32">
      <c r="A1011" t="s">
        <v>10931</v>
      </c>
      <c r="B1011" t="s">
        <v>9366</v>
      </c>
      <c r="D1011" t="s">
        <v>54</v>
      </c>
      <c r="E1011" t="s">
        <v>10932</v>
      </c>
      <c r="F1011" t="s">
        <v>5314</v>
      </c>
      <c r="G1011">
        <v>59112.4</v>
      </c>
      <c r="I1011">
        <v>59112.4</v>
      </c>
      <c r="J1011">
        <v>59112.4</v>
      </c>
      <c r="K1011" s="4">
        <v>44958</v>
      </c>
      <c r="L1011" s="4">
        <v>44958</v>
      </c>
      <c r="M1011">
        <v>2023</v>
      </c>
      <c r="N1011">
        <v>2</v>
      </c>
      <c r="O1011" s="4">
        <v>44958</v>
      </c>
      <c r="P1011" t="s">
        <v>89</v>
      </c>
      <c r="Q1011" s="4">
        <v>45030</v>
      </c>
      <c r="S1011" t="s">
        <v>5315</v>
      </c>
      <c r="U1011">
        <v>147781</v>
      </c>
      <c r="V1011">
        <v>0.4</v>
      </c>
      <c r="W1011" t="s">
        <v>17</v>
      </c>
      <c r="X1011" t="s">
        <v>3918</v>
      </c>
      <c r="Z1011" t="s">
        <v>89</v>
      </c>
      <c r="AA1011" t="s">
        <v>89</v>
      </c>
      <c r="AC1011" t="s">
        <v>89</v>
      </c>
      <c r="AD1011">
        <v>0</v>
      </c>
      <c r="AE1011" t="s">
        <v>9251</v>
      </c>
      <c r="AF1011" s="4"/>
    </row>
    <row r="1012" spans="1:32">
      <c r="A1012" t="s">
        <v>10933</v>
      </c>
      <c r="B1012" t="s">
        <v>9366</v>
      </c>
      <c r="C1012" t="s">
        <v>5331</v>
      </c>
      <c r="D1012" t="s">
        <v>54</v>
      </c>
      <c r="E1012" t="s">
        <v>10934</v>
      </c>
      <c r="F1012" t="s">
        <v>5330</v>
      </c>
      <c r="G1012">
        <v>4109.6000000000004</v>
      </c>
      <c r="I1012">
        <v>4109.6000000000004</v>
      </c>
      <c r="K1012" s="4">
        <v>45042</v>
      </c>
      <c r="L1012" s="4">
        <v>45079</v>
      </c>
      <c r="M1012">
        <v>2023</v>
      </c>
      <c r="N1012">
        <v>4</v>
      </c>
      <c r="O1012" s="4">
        <v>45017</v>
      </c>
      <c r="P1012" t="s">
        <v>837</v>
      </c>
      <c r="Q1012" s="4"/>
      <c r="R1012" t="s">
        <v>5333</v>
      </c>
      <c r="S1012" t="s">
        <v>2846</v>
      </c>
      <c r="U1012">
        <v>10274</v>
      </c>
      <c r="V1012">
        <v>0.4</v>
      </c>
      <c r="W1012" t="s">
        <v>16</v>
      </c>
      <c r="X1012" t="s">
        <v>4109</v>
      </c>
      <c r="Z1012">
        <v>510</v>
      </c>
      <c r="AA1012">
        <v>473</v>
      </c>
      <c r="AC1012" t="s">
        <v>837</v>
      </c>
      <c r="AD1012" t="s">
        <v>837</v>
      </c>
      <c r="AE1012" t="s">
        <v>3652</v>
      </c>
      <c r="AF1012" s="4"/>
    </row>
    <row r="1013" spans="1:32">
      <c r="A1013" t="s">
        <v>10935</v>
      </c>
      <c r="B1013" t="s">
        <v>9366</v>
      </c>
      <c r="C1013" t="s">
        <v>5318</v>
      </c>
      <c r="D1013" t="s">
        <v>54</v>
      </c>
      <c r="E1013" t="s">
        <v>10936</v>
      </c>
      <c r="F1013" t="s">
        <v>5316</v>
      </c>
      <c r="G1013">
        <v>87888.8</v>
      </c>
      <c r="I1013">
        <v>87888.8</v>
      </c>
      <c r="J1013">
        <v>87888.8</v>
      </c>
      <c r="K1013" s="4">
        <v>44985</v>
      </c>
      <c r="L1013" s="4">
        <v>44958</v>
      </c>
      <c r="M1013">
        <v>2023</v>
      </c>
      <c r="N1013">
        <v>2</v>
      </c>
      <c r="O1013" s="4">
        <v>44958</v>
      </c>
      <c r="P1013" t="s">
        <v>89</v>
      </c>
      <c r="Q1013" s="4">
        <v>45015</v>
      </c>
      <c r="S1013" t="s">
        <v>5317</v>
      </c>
      <c r="U1013">
        <v>219722</v>
      </c>
      <c r="V1013">
        <v>0.4</v>
      </c>
      <c r="W1013" t="s">
        <v>17</v>
      </c>
      <c r="X1013" t="s">
        <v>3918</v>
      </c>
      <c r="Z1013" t="s">
        <v>89</v>
      </c>
      <c r="AA1013" t="s">
        <v>89</v>
      </c>
      <c r="AC1013" t="s">
        <v>89</v>
      </c>
      <c r="AD1013" t="s">
        <v>89</v>
      </c>
      <c r="AE1013" t="s">
        <v>3652</v>
      </c>
      <c r="AF1013" s="4"/>
    </row>
    <row r="1014" spans="1:32">
      <c r="A1014" t="s">
        <v>10937</v>
      </c>
      <c r="B1014" t="s">
        <v>9366</v>
      </c>
      <c r="C1014" t="s">
        <v>5322</v>
      </c>
      <c r="D1014" t="s">
        <v>54</v>
      </c>
      <c r="E1014" t="s">
        <v>10938</v>
      </c>
      <c r="F1014" t="s">
        <v>5320</v>
      </c>
      <c r="G1014">
        <v>87888.8</v>
      </c>
      <c r="I1014">
        <v>87888.8</v>
      </c>
      <c r="J1014">
        <v>87888.8</v>
      </c>
      <c r="K1014" s="4">
        <v>44985</v>
      </c>
      <c r="L1014" s="4">
        <v>44958</v>
      </c>
      <c r="M1014">
        <v>2023</v>
      </c>
      <c r="N1014">
        <v>2</v>
      </c>
      <c r="O1014" s="4">
        <v>44958</v>
      </c>
      <c r="P1014" t="s">
        <v>89</v>
      </c>
      <c r="Q1014" s="4">
        <v>45015</v>
      </c>
      <c r="S1014" t="s">
        <v>5321</v>
      </c>
      <c r="U1014">
        <v>219722</v>
      </c>
      <c r="V1014">
        <v>0.4</v>
      </c>
      <c r="W1014" t="s">
        <v>17</v>
      </c>
      <c r="X1014" t="s">
        <v>3918</v>
      </c>
      <c r="Z1014" t="s">
        <v>89</v>
      </c>
      <c r="AA1014" t="s">
        <v>89</v>
      </c>
      <c r="AC1014" t="s">
        <v>89</v>
      </c>
      <c r="AD1014" t="s">
        <v>89</v>
      </c>
      <c r="AE1014" t="s">
        <v>3652</v>
      </c>
      <c r="AF1014" s="4"/>
    </row>
    <row r="1015" spans="1:32">
      <c r="A1015" t="s">
        <v>10939</v>
      </c>
      <c r="B1015" t="s">
        <v>9366</v>
      </c>
      <c r="C1015" t="s">
        <v>5486</v>
      </c>
      <c r="D1015" t="s">
        <v>54</v>
      </c>
      <c r="E1015" t="s">
        <v>10940</v>
      </c>
      <c r="F1015" t="s">
        <v>5484</v>
      </c>
      <c r="G1015">
        <v>50321</v>
      </c>
      <c r="I1015">
        <v>50321</v>
      </c>
      <c r="J1015">
        <v>50321</v>
      </c>
      <c r="K1015" s="4">
        <v>45401</v>
      </c>
      <c r="L1015" s="4">
        <v>45421</v>
      </c>
      <c r="M1015">
        <v>2024</v>
      </c>
      <c r="N1015">
        <v>4</v>
      </c>
      <c r="O1015" s="4">
        <v>45383</v>
      </c>
      <c r="P1015" t="s">
        <v>89</v>
      </c>
      <c r="Q1015" s="4">
        <v>45519</v>
      </c>
      <c r="R1015" t="s">
        <v>10911</v>
      </c>
      <c r="S1015" t="s">
        <v>5485</v>
      </c>
      <c r="T1015">
        <v>45505</v>
      </c>
      <c r="U1015">
        <v>50321</v>
      </c>
      <c r="V1015">
        <v>1</v>
      </c>
      <c r="W1015" t="s">
        <v>17</v>
      </c>
      <c r="X1015" t="s">
        <v>3711</v>
      </c>
      <c r="Z1015" t="s">
        <v>89</v>
      </c>
      <c r="AA1015" t="s">
        <v>89</v>
      </c>
      <c r="AB1015" t="s">
        <v>10912</v>
      </c>
      <c r="AC1015" t="s">
        <v>625</v>
      </c>
      <c r="AD1015" t="s">
        <v>1848</v>
      </c>
      <c r="AE1015" t="s">
        <v>9251</v>
      </c>
      <c r="AF1015" s="4"/>
    </row>
    <row r="1016" spans="1:32">
      <c r="A1016" t="s">
        <v>10941</v>
      </c>
      <c r="B1016" t="s">
        <v>9366</v>
      </c>
      <c r="C1016" t="s">
        <v>4570</v>
      </c>
      <c r="D1016" t="s">
        <v>54</v>
      </c>
      <c r="E1016" t="s">
        <v>10132</v>
      </c>
      <c r="F1016" t="s">
        <v>4569</v>
      </c>
      <c r="G1016">
        <v>1475.7359999999999</v>
      </c>
      <c r="I1016">
        <v>1475.7359999999999</v>
      </c>
      <c r="K1016" s="4">
        <v>45527</v>
      </c>
      <c r="L1016" s="4">
        <v>45527</v>
      </c>
      <c r="O1016" s="4"/>
      <c r="P1016" t="s">
        <v>625</v>
      </c>
      <c r="Q1016" s="4"/>
      <c r="S1016" t="s">
        <v>3152</v>
      </c>
      <c r="T1016">
        <v>45551</v>
      </c>
      <c r="U1016">
        <v>2459.56</v>
      </c>
      <c r="V1016">
        <v>0.6</v>
      </c>
      <c r="W1016" t="s">
        <v>16</v>
      </c>
      <c r="X1016" t="s">
        <v>3828</v>
      </c>
      <c r="Z1016">
        <v>25</v>
      </c>
      <c r="AA1016">
        <v>25</v>
      </c>
      <c r="AB1016" t="s">
        <v>10875</v>
      </c>
      <c r="AE1016" t="s">
        <v>9251</v>
      </c>
      <c r="AF1016" s="4"/>
    </row>
    <row r="1017" spans="1:32">
      <c r="A1017" t="s">
        <v>10942</v>
      </c>
      <c r="B1017" t="s">
        <v>9366</v>
      </c>
      <c r="C1017" t="s">
        <v>5337</v>
      </c>
      <c r="D1017" t="s">
        <v>54</v>
      </c>
      <c r="E1017" t="s">
        <v>10943</v>
      </c>
      <c r="F1017" t="s">
        <v>5336</v>
      </c>
      <c r="G1017">
        <v>4109.6000000000004</v>
      </c>
      <c r="I1017">
        <v>4109.6000000000004</v>
      </c>
      <c r="K1017" s="4">
        <v>45043</v>
      </c>
      <c r="L1017" s="4">
        <v>45079</v>
      </c>
      <c r="M1017">
        <v>2023</v>
      </c>
      <c r="N1017">
        <v>4</v>
      </c>
      <c r="O1017" s="4">
        <v>45017</v>
      </c>
      <c r="P1017" t="s">
        <v>837</v>
      </c>
      <c r="Q1017" s="4"/>
      <c r="R1017" t="s">
        <v>5333</v>
      </c>
      <c r="S1017" t="s">
        <v>2811</v>
      </c>
      <c r="U1017">
        <v>10274</v>
      </c>
      <c r="V1017">
        <v>0.4</v>
      </c>
      <c r="W1017" t="s">
        <v>16</v>
      </c>
      <c r="X1017" t="s">
        <v>4109</v>
      </c>
      <c r="Z1017">
        <v>509</v>
      </c>
      <c r="AA1017">
        <v>473</v>
      </c>
      <c r="AC1017" t="s">
        <v>837</v>
      </c>
      <c r="AD1017" t="s">
        <v>837</v>
      </c>
      <c r="AE1017" t="s">
        <v>3652</v>
      </c>
      <c r="AF1017" s="4"/>
    </row>
    <row r="1018" spans="1:32">
      <c r="A1018" t="s">
        <v>10944</v>
      </c>
      <c r="B1018" t="s">
        <v>9366</v>
      </c>
      <c r="C1018" t="s">
        <v>10945</v>
      </c>
      <c r="D1018" t="s">
        <v>54</v>
      </c>
      <c r="E1018" t="s">
        <v>10946</v>
      </c>
      <c r="F1018" t="s">
        <v>5338</v>
      </c>
      <c r="G1018">
        <v>4109.6000000000004</v>
      </c>
      <c r="I1018">
        <v>4109.6000000000004</v>
      </c>
      <c r="K1018" s="4">
        <v>45043</v>
      </c>
      <c r="L1018" s="4">
        <v>45079</v>
      </c>
      <c r="M1018">
        <v>2023</v>
      </c>
      <c r="N1018">
        <v>4</v>
      </c>
      <c r="O1018" s="4">
        <v>45017</v>
      </c>
      <c r="P1018" t="s">
        <v>837</v>
      </c>
      <c r="Q1018" s="4"/>
      <c r="R1018" t="s">
        <v>4870</v>
      </c>
      <c r="S1018" t="s">
        <v>2850</v>
      </c>
      <c r="U1018">
        <v>10274</v>
      </c>
      <c r="V1018">
        <v>0.4</v>
      </c>
      <c r="W1018" t="s">
        <v>16</v>
      </c>
      <c r="X1018" t="s">
        <v>4109</v>
      </c>
      <c r="Z1018">
        <v>509</v>
      </c>
      <c r="AA1018">
        <v>473</v>
      </c>
      <c r="AC1018" t="s">
        <v>837</v>
      </c>
      <c r="AD1018" t="s">
        <v>837</v>
      </c>
      <c r="AE1018" t="s">
        <v>3652</v>
      </c>
      <c r="AF1018" s="4"/>
    </row>
    <row r="1019" spans="1:32">
      <c r="A1019" t="s">
        <v>10947</v>
      </c>
      <c r="B1019" t="s">
        <v>9366</v>
      </c>
      <c r="C1019" t="s">
        <v>10948</v>
      </c>
      <c r="D1019" t="s">
        <v>54</v>
      </c>
      <c r="E1019" t="s">
        <v>10949</v>
      </c>
      <c r="F1019" t="s">
        <v>5341</v>
      </c>
      <c r="G1019">
        <v>4109.6000000000004</v>
      </c>
      <c r="I1019">
        <v>4109.6000000000004</v>
      </c>
      <c r="K1019" s="4">
        <v>45043</v>
      </c>
      <c r="L1019" s="4">
        <v>45079</v>
      </c>
      <c r="M1019">
        <v>2023</v>
      </c>
      <c r="N1019">
        <v>4</v>
      </c>
      <c r="O1019" s="4">
        <v>45017</v>
      </c>
      <c r="P1019" t="s">
        <v>837</v>
      </c>
      <c r="Q1019" s="4"/>
      <c r="R1019" t="s">
        <v>10950</v>
      </c>
      <c r="S1019" t="s">
        <v>2856</v>
      </c>
      <c r="U1019">
        <v>10274</v>
      </c>
      <c r="V1019">
        <v>0.4</v>
      </c>
      <c r="W1019" t="s">
        <v>16</v>
      </c>
      <c r="X1019" t="s">
        <v>4109</v>
      </c>
      <c r="Z1019">
        <v>509</v>
      </c>
      <c r="AA1019">
        <v>473</v>
      </c>
      <c r="AC1019" t="s">
        <v>837</v>
      </c>
      <c r="AD1019" t="s">
        <v>837</v>
      </c>
      <c r="AE1019" t="s">
        <v>3652</v>
      </c>
      <c r="AF1019" s="4"/>
    </row>
    <row r="1020" spans="1:32">
      <c r="A1020" t="s">
        <v>10951</v>
      </c>
      <c r="B1020" t="s">
        <v>9366</v>
      </c>
      <c r="C1020" t="s">
        <v>10952</v>
      </c>
      <c r="D1020" t="s">
        <v>54</v>
      </c>
      <c r="E1020" t="s">
        <v>10953</v>
      </c>
      <c r="F1020" t="s">
        <v>5342</v>
      </c>
      <c r="G1020">
        <v>4109.6000000000004</v>
      </c>
      <c r="I1020">
        <v>4109.6000000000004</v>
      </c>
      <c r="K1020" s="4">
        <v>45043</v>
      </c>
      <c r="L1020" s="4">
        <v>45079</v>
      </c>
      <c r="M1020">
        <v>2023</v>
      </c>
      <c r="N1020">
        <v>4</v>
      </c>
      <c r="O1020" s="4">
        <v>45017</v>
      </c>
      <c r="P1020" t="s">
        <v>837</v>
      </c>
      <c r="Q1020" s="4"/>
      <c r="R1020" t="s">
        <v>5340</v>
      </c>
      <c r="S1020" t="s">
        <v>2854</v>
      </c>
      <c r="U1020">
        <v>10274</v>
      </c>
      <c r="V1020">
        <v>0.4</v>
      </c>
      <c r="W1020" t="s">
        <v>16</v>
      </c>
      <c r="X1020" t="s">
        <v>4109</v>
      </c>
      <c r="Z1020">
        <v>509</v>
      </c>
      <c r="AA1020">
        <v>473</v>
      </c>
      <c r="AC1020" t="s">
        <v>837</v>
      </c>
      <c r="AD1020" t="s">
        <v>837</v>
      </c>
      <c r="AE1020" t="s">
        <v>3652</v>
      </c>
      <c r="AF1020" s="4"/>
    </row>
    <row r="1021" spans="1:32">
      <c r="A1021" t="s">
        <v>10954</v>
      </c>
      <c r="B1021" t="s">
        <v>9366</v>
      </c>
      <c r="C1021" t="s">
        <v>10955</v>
      </c>
      <c r="D1021" t="s">
        <v>54</v>
      </c>
      <c r="E1021" t="s">
        <v>10956</v>
      </c>
      <c r="F1021" t="s">
        <v>5355</v>
      </c>
      <c r="G1021">
        <v>4835.76</v>
      </c>
      <c r="I1021">
        <v>4835.76</v>
      </c>
      <c r="K1021" s="4">
        <v>45043</v>
      </c>
      <c r="L1021" s="4">
        <v>45079</v>
      </c>
      <c r="M1021">
        <v>2023</v>
      </c>
      <c r="N1021">
        <v>4</v>
      </c>
      <c r="O1021" s="4">
        <v>45017</v>
      </c>
      <c r="P1021" t="s">
        <v>837</v>
      </c>
      <c r="Q1021" s="4"/>
      <c r="R1021" t="s">
        <v>10950</v>
      </c>
      <c r="S1021" t="s">
        <v>2858</v>
      </c>
      <c r="U1021">
        <v>12089.4</v>
      </c>
      <c r="V1021">
        <v>0.4</v>
      </c>
      <c r="W1021" t="s">
        <v>16</v>
      </c>
      <c r="X1021" t="s">
        <v>4109</v>
      </c>
      <c r="Z1021">
        <v>509</v>
      </c>
      <c r="AA1021">
        <v>473</v>
      </c>
      <c r="AC1021" t="s">
        <v>837</v>
      </c>
      <c r="AD1021" t="s">
        <v>837</v>
      </c>
      <c r="AE1021" t="s">
        <v>3652</v>
      </c>
      <c r="AF1021" s="4"/>
    </row>
    <row r="1022" spans="1:32">
      <c r="A1022" t="s">
        <v>10957</v>
      </c>
      <c r="B1022" t="s">
        <v>9366</v>
      </c>
      <c r="D1022" t="s">
        <v>54</v>
      </c>
      <c r="E1022" t="s">
        <v>10958</v>
      </c>
      <c r="F1022" t="s">
        <v>5343</v>
      </c>
      <c r="G1022">
        <v>3133.85</v>
      </c>
      <c r="I1022">
        <v>3133.85</v>
      </c>
      <c r="J1022">
        <v>3133.85</v>
      </c>
      <c r="K1022" s="4">
        <v>45047</v>
      </c>
      <c r="L1022" s="4">
        <v>45047</v>
      </c>
      <c r="M1022">
        <v>2023</v>
      </c>
      <c r="N1022">
        <v>5</v>
      </c>
      <c r="O1022" s="4">
        <v>45047</v>
      </c>
      <c r="P1022" t="s">
        <v>89</v>
      </c>
      <c r="Q1022" s="4">
        <v>45245</v>
      </c>
      <c r="S1022" t="s">
        <v>5344</v>
      </c>
      <c r="U1022">
        <v>7834.63</v>
      </c>
      <c r="V1022">
        <v>0.39999974472310751</v>
      </c>
      <c r="W1022" t="s">
        <v>16</v>
      </c>
      <c r="X1022" t="s">
        <v>3932</v>
      </c>
      <c r="Z1022" t="s">
        <v>89</v>
      </c>
      <c r="AA1022" t="s">
        <v>89</v>
      </c>
      <c r="AC1022" t="s">
        <v>89</v>
      </c>
      <c r="AD1022">
        <v>0</v>
      </c>
      <c r="AE1022" t="s">
        <v>9251</v>
      </c>
      <c r="AF1022" s="4"/>
    </row>
    <row r="1023" spans="1:32">
      <c r="A1023" t="s">
        <v>10959</v>
      </c>
      <c r="B1023" t="s">
        <v>9366</v>
      </c>
      <c r="D1023" t="s">
        <v>54</v>
      </c>
      <c r="E1023" t="s">
        <v>10960</v>
      </c>
      <c r="F1023" t="s">
        <v>5345</v>
      </c>
      <c r="G1023">
        <v>3133.85</v>
      </c>
      <c r="I1023">
        <v>3133.85</v>
      </c>
      <c r="J1023">
        <v>3133.85</v>
      </c>
      <c r="K1023" s="4">
        <v>45047</v>
      </c>
      <c r="L1023" s="4">
        <v>45047</v>
      </c>
      <c r="M1023">
        <v>2023</v>
      </c>
      <c r="N1023">
        <v>5</v>
      </c>
      <c r="O1023" s="4">
        <v>45047</v>
      </c>
      <c r="P1023" t="s">
        <v>89</v>
      </c>
      <c r="Q1023" s="4">
        <v>45245</v>
      </c>
      <c r="S1023" t="s">
        <v>5346</v>
      </c>
      <c r="U1023">
        <v>7834.63</v>
      </c>
      <c r="V1023">
        <v>0.39999974472310751</v>
      </c>
      <c r="W1023" t="s">
        <v>16</v>
      </c>
      <c r="X1023" t="s">
        <v>3932</v>
      </c>
      <c r="Z1023" t="s">
        <v>89</v>
      </c>
      <c r="AA1023" t="s">
        <v>89</v>
      </c>
      <c r="AC1023" t="s">
        <v>89</v>
      </c>
      <c r="AD1023">
        <v>0</v>
      </c>
      <c r="AE1023" t="s">
        <v>9251</v>
      </c>
      <c r="AF1023" s="4"/>
    </row>
    <row r="1024" spans="1:32">
      <c r="A1024" t="s">
        <v>10961</v>
      </c>
      <c r="B1024" t="s">
        <v>9366</v>
      </c>
      <c r="D1024" t="s">
        <v>54</v>
      </c>
      <c r="E1024" t="s">
        <v>10962</v>
      </c>
      <c r="F1024" t="s">
        <v>5347</v>
      </c>
      <c r="G1024">
        <v>3313.85</v>
      </c>
      <c r="I1024">
        <v>3313.85</v>
      </c>
      <c r="J1024">
        <v>3313.85</v>
      </c>
      <c r="K1024" s="4">
        <v>45047</v>
      </c>
      <c r="L1024" s="4">
        <v>45047</v>
      </c>
      <c r="M1024">
        <v>2023</v>
      </c>
      <c r="N1024">
        <v>5</v>
      </c>
      <c r="O1024" s="4">
        <v>45047</v>
      </c>
      <c r="P1024" t="s">
        <v>89</v>
      </c>
      <c r="Q1024" s="4">
        <v>45245</v>
      </c>
      <c r="S1024" t="s">
        <v>5348</v>
      </c>
      <c r="U1024">
        <v>7834.63</v>
      </c>
      <c r="V1024">
        <v>0.42297466504480746</v>
      </c>
      <c r="W1024" t="s">
        <v>16</v>
      </c>
      <c r="X1024" t="s">
        <v>3932</v>
      </c>
      <c r="Z1024" t="s">
        <v>89</v>
      </c>
      <c r="AA1024" t="s">
        <v>89</v>
      </c>
      <c r="AC1024" t="s">
        <v>89</v>
      </c>
      <c r="AD1024">
        <v>0</v>
      </c>
      <c r="AE1024" t="s">
        <v>9251</v>
      </c>
      <c r="AF1024" s="4"/>
    </row>
    <row r="1025" spans="1:32">
      <c r="A1025" t="s">
        <v>10963</v>
      </c>
      <c r="B1025" t="s">
        <v>9366</v>
      </c>
      <c r="D1025" t="s">
        <v>54</v>
      </c>
      <c r="E1025" t="s">
        <v>10964</v>
      </c>
      <c r="F1025" t="s">
        <v>5349</v>
      </c>
      <c r="G1025">
        <v>1044.6199999999999</v>
      </c>
      <c r="I1025">
        <v>1044.6199999999999</v>
      </c>
      <c r="J1025">
        <v>1044.6199999999999</v>
      </c>
      <c r="K1025" s="4">
        <v>45047</v>
      </c>
      <c r="L1025" s="4">
        <v>45047</v>
      </c>
      <c r="M1025">
        <v>2023</v>
      </c>
      <c r="N1025">
        <v>5</v>
      </c>
      <c r="O1025" s="4">
        <v>45047</v>
      </c>
      <c r="P1025" t="s">
        <v>89</v>
      </c>
      <c r="Q1025" s="4">
        <v>45245</v>
      </c>
      <c r="S1025" t="s">
        <v>5350</v>
      </c>
      <c r="U1025">
        <v>2611.54</v>
      </c>
      <c r="V1025">
        <v>0.40000153166330976</v>
      </c>
      <c r="W1025" t="s">
        <v>16</v>
      </c>
      <c r="X1025" t="s">
        <v>3932</v>
      </c>
      <c r="Z1025" t="s">
        <v>89</v>
      </c>
      <c r="AA1025" t="s">
        <v>89</v>
      </c>
      <c r="AC1025" t="s">
        <v>89</v>
      </c>
      <c r="AD1025">
        <v>0</v>
      </c>
      <c r="AE1025" t="s">
        <v>9251</v>
      </c>
      <c r="AF1025" s="4"/>
    </row>
    <row r="1026" spans="1:32">
      <c r="A1026" t="s">
        <v>10965</v>
      </c>
      <c r="B1026" t="s">
        <v>9366</v>
      </c>
      <c r="D1026" t="s">
        <v>54</v>
      </c>
      <c r="E1026" t="s">
        <v>10966</v>
      </c>
      <c r="F1026" t="s">
        <v>5351</v>
      </c>
      <c r="G1026">
        <v>3133.85</v>
      </c>
      <c r="I1026">
        <v>3133.85</v>
      </c>
      <c r="J1026">
        <v>3133.85</v>
      </c>
      <c r="K1026" s="4">
        <v>45108</v>
      </c>
      <c r="L1026" s="4">
        <v>45108</v>
      </c>
      <c r="M1026">
        <v>2023</v>
      </c>
      <c r="N1026">
        <v>7</v>
      </c>
      <c r="O1026" s="4">
        <v>45108</v>
      </c>
      <c r="P1026" t="s">
        <v>89</v>
      </c>
      <c r="Q1026" s="4">
        <v>45245</v>
      </c>
      <c r="S1026" t="s">
        <v>5352</v>
      </c>
      <c r="U1026">
        <v>7834.63</v>
      </c>
      <c r="V1026">
        <v>0.39999974472310751</v>
      </c>
      <c r="W1026" t="s">
        <v>16</v>
      </c>
      <c r="X1026" t="s">
        <v>3932</v>
      </c>
      <c r="Z1026" t="s">
        <v>89</v>
      </c>
      <c r="AA1026" t="s">
        <v>89</v>
      </c>
      <c r="AC1026" t="s">
        <v>89</v>
      </c>
      <c r="AD1026">
        <v>0</v>
      </c>
      <c r="AE1026" t="s">
        <v>9251</v>
      </c>
      <c r="AF1026" s="4"/>
    </row>
    <row r="1027" spans="1:32">
      <c r="A1027" t="s">
        <v>10967</v>
      </c>
      <c r="B1027" t="s">
        <v>9366</v>
      </c>
      <c r="C1027" t="s">
        <v>10968</v>
      </c>
      <c r="D1027" t="s">
        <v>54</v>
      </c>
      <c r="E1027" t="s">
        <v>10969</v>
      </c>
      <c r="F1027" t="s">
        <v>5357</v>
      </c>
      <c r="G1027">
        <v>4835.76</v>
      </c>
      <c r="I1027">
        <v>4835.76</v>
      </c>
      <c r="K1027" s="4">
        <v>45043</v>
      </c>
      <c r="L1027" s="4">
        <v>45079</v>
      </c>
      <c r="M1027">
        <v>2023</v>
      </c>
      <c r="N1027">
        <v>4</v>
      </c>
      <c r="O1027" s="4">
        <v>45017</v>
      </c>
      <c r="P1027" t="s">
        <v>837</v>
      </c>
      <c r="Q1027" s="4"/>
      <c r="R1027" t="s">
        <v>10950</v>
      </c>
      <c r="S1027" t="s">
        <v>2860</v>
      </c>
      <c r="U1027">
        <v>12089.4</v>
      </c>
      <c r="V1027">
        <v>0.4</v>
      </c>
      <c r="W1027" t="s">
        <v>16</v>
      </c>
      <c r="X1027" t="s">
        <v>4109</v>
      </c>
      <c r="Z1027">
        <v>509</v>
      </c>
      <c r="AA1027">
        <v>473</v>
      </c>
      <c r="AC1027" t="s">
        <v>837</v>
      </c>
      <c r="AD1027" t="s">
        <v>837</v>
      </c>
      <c r="AE1027" t="s">
        <v>3652</v>
      </c>
      <c r="AF1027" s="4"/>
    </row>
    <row r="1028" spans="1:32">
      <c r="A1028" t="s">
        <v>10970</v>
      </c>
      <c r="B1028" t="s">
        <v>9366</v>
      </c>
      <c r="C1028" t="s">
        <v>4572</v>
      </c>
      <c r="D1028" t="s">
        <v>54</v>
      </c>
      <c r="E1028" t="s">
        <v>10134</v>
      </c>
      <c r="F1028" t="s">
        <v>4571</v>
      </c>
      <c r="G1028">
        <v>1475.7359999999999</v>
      </c>
      <c r="I1028">
        <v>1475.7359999999999</v>
      </c>
      <c r="K1028" s="4">
        <v>45513</v>
      </c>
      <c r="L1028" s="4">
        <v>45513</v>
      </c>
      <c r="O1028" s="4"/>
      <c r="P1028" t="s">
        <v>625</v>
      </c>
      <c r="Q1028" s="4"/>
      <c r="S1028" t="s">
        <v>3476</v>
      </c>
      <c r="T1028">
        <v>45551</v>
      </c>
      <c r="U1028">
        <v>2459.56</v>
      </c>
      <c r="V1028">
        <v>0.6</v>
      </c>
      <c r="W1028" t="s">
        <v>16</v>
      </c>
      <c r="X1028" t="s">
        <v>3828</v>
      </c>
      <c r="Z1028">
        <v>39</v>
      </c>
      <c r="AA1028">
        <v>39</v>
      </c>
      <c r="AB1028" t="s">
        <v>10875</v>
      </c>
      <c r="AE1028" t="s">
        <v>9251</v>
      </c>
      <c r="AF1028" s="4"/>
    </row>
    <row r="1029" spans="1:32">
      <c r="A1029" t="s">
        <v>10971</v>
      </c>
      <c r="B1029" t="s">
        <v>9366</v>
      </c>
      <c r="D1029" t="s">
        <v>54</v>
      </c>
      <c r="E1029" t="s">
        <v>10972</v>
      </c>
      <c r="F1029" t="s">
        <v>5359</v>
      </c>
      <c r="G1029">
        <v>1810.42</v>
      </c>
      <c r="I1029">
        <v>1810.42</v>
      </c>
      <c r="J1029">
        <v>1810.42</v>
      </c>
      <c r="K1029" s="4">
        <v>45108</v>
      </c>
      <c r="L1029" s="4">
        <v>45108</v>
      </c>
      <c r="M1029">
        <v>2023</v>
      </c>
      <c r="N1029">
        <v>7</v>
      </c>
      <c r="O1029" s="4">
        <v>45108</v>
      </c>
      <c r="P1029" t="s">
        <v>89</v>
      </c>
      <c r="Q1029" s="4">
        <v>45212</v>
      </c>
      <c r="S1029" t="s">
        <v>5360</v>
      </c>
      <c r="U1029">
        <v>4526.0600000000004</v>
      </c>
      <c r="V1029">
        <v>0.39999911622912643</v>
      </c>
      <c r="W1029" t="s">
        <v>16</v>
      </c>
      <c r="X1029" t="s">
        <v>3828</v>
      </c>
      <c r="Z1029" t="s">
        <v>89</v>
      </c>
      <c r="AA1029" t="s">
        <v>89</v>
      </c>
      <c r="AC1029" t="s">
        <v>89</v>
      </c>
      <c r="AD1029">
        <v>0</v>
      </c>
      <c r="AE1029" t="s">
        <v>9251</v>
      </c>
      <c r="AF1029" s="4"/>
    </row>
    <row r="1030" spans="1:32">
      <c r="A1030" t="s">
        <v>10973</v>
      </c>
      <c r="B1030" t="s">
        <v>9366</v>
      </c>
      <c r="D1030" t="s">
        <v>54</v>
      </c>
      <c r="E1030" t="s">
        <v>10974</v>
      </c>
      <c r="F1030" t="s">
        <v>5361</v>
      </c>
      <c r="G1030">
        <v>1810.42</v>
      </c>
      <c r="I1030">
        <v>1810.42</v>
      </c>
      <c r="J1030">
        <v>1810.42</v>
      </c>
      <c r="K1030" s="4">
        <v>45108</v>
      </c>
      <c r="L1030" s="4">
        <v>45108</v>
      </c>
      <c r="M1030">
        <v>2023</v>
      </c>
      <c r="N1030">
        <v>7</v>
      </c>
      <c r="O1030" s="4">
        <v>45108</v>
      </c>
      <c r="P1030" t="s">
        <v>89</v>
      </c>
      <c r="Q1030" s="4">
        <v>45212</v>
      </c>
      <c r="S1030" t="s">
        <v>5362</v>
      </c>
      <c r="U1030">
        <v>4526.0600000000004</v>
      </c>
      <c r="V1030">
        <v>0.39999911622912643</v>
      </c>
      <c r="W1030" t="s">
        <v>16</v>
      </c>
      <c r="X1030" t="s">
        <v>3828</v>
      </c>
      <c r="Z1030" t="s">
        <v>89</v>
      </c>
      <c r="AA1030" t="s">
        <v>89</v>
      </c>
      <c r="AC1030" t="s">
        <v>89</v>
      </c>
      <c r="AD1030">
        <v>0</v>
      </c>
      <c r="AE1030" t="s">
        <v>9251</v>
      </c>
      <c r="AF1030" s="4"/>
    </row>
    <row r="1031" spans="1:32">
      <c r="A1031" t="s">
        <v>10975</v>
      </c>
      <c r="B1031" t="s">
        <v>9366</v>
      </c>
      <c r="D1031" t="s">
        <v>54</v>
      </c>
      <c r="E1031" t="s">
        <v>10976</v>
      </c>
      <c r="F1031" t="s">
        <v>5363</v>
      </c>
      <c r="G1031">
        <v>257083.3</v>
      </c>
      <c r="I1031">
        <v>257083.3</v>
      </c>
      <c r="J1031">
        <v>257083.3</v>
      </c>
      <c r="K1031" s="4">
        <v>45261</v>
      </c>
      <c r="L1031" s="4">
        <v>45261</v>
      </c>
      <c r="M1031">
        <v>2023</v>
      </c>
      <c r="N1031">
        <v>12</v>
      </c>
      <c r="O1031" s="4">
        <v>45261</v>
      </c>
      <c r="P1031" t="s">
        <v>89</v>
      </c>
      <c r="Q1031" s="4">
        <v>45303</v>
      </c>
      <c r="S1031" t="s">
        <v>4118</v>
      </c>
      <c r="U1031">
        <v>270614</v>
      </c>
      <c r="V1031">
        <v>0.95</v>
      </c>
      <c r="W1031" t="s">
        <v>17</v>
      </c>
      <c r="X1031" t="s">
        <v>3718</v>
      </c>
      <c r="Z1031" t="s">
        <v>89</v>
      </c>
      <c r="AA1031" t="s">
        <v>89</v>
      </c>
      <c r="AC1031" t="s">
        <v>89</v>
      </c>
      <c r="AD1031">
        <v>0</v>
      </c>
      <c r="AE1031" t="s">
        <v>9251</v>
      </c>
      <c r="AF1031" s="4"/>
    </row>
    <row r="1032" spans="1:32">
      <c r="A1032" t="s">
        <v>10977</v>
      </c>
      <c r="B1032" t="s">
        <v>9366</v>
      </c>
      <c r="C1032" t="s">
        <v>5367</v>
      </c>
      <c r="D1032" t="s">
        <v>54</v>
      </c>
      <c r="E1032" t="s">
        <v>10978</v>
      </c>
      <c r="F1032" t="s">
        <v>5365</v>
      </c>
      <c r="G1032">
        <v>270614</v>
      </c>
      <c r="I1032">
        <v>270614</v>
      </c>
      <c r="J1032">
        <v>270614</v>
      </c>
      <c r="K1032" s="4">
        <v>45429</v>
      </c>
      <c r="L1032" s="4">
        <v>45450</v>
      </c>
      <c r="M1032">
        <v>2024</v>
      </c>
      <c r="N1032">
        <v>5</v>
      </c>
      <c r="O1032" s="4">
        <v>45413</v>
      </c>
      <c r="P1032" t="s">
        <v>89</v>
      </c>
      <c r="Q1032" s="4">
        <v>45503</v>
      </c>
      <c r="R1032" t="s">
        <v>10979</v>
      </c>
      <c r="S1032" t="s">
        <v>5366</v>
      </c>
      <c r="T1032">
        <v>45484</v>
      </c>
      <c r="U1032">
        <v>270614</v>
      </c>
      <c r="V1032">
        <v>1</v>
      </c>
      <c r="W1032" t="s">
        <v>17</v>
      </c>
      <c r="X1032" t="s">
        <v>3718</v>
      </c>
      <c r="Z1032" t="s">
        <v>89</v>
      </c>
      <c r="AA1032" t="s">
        <v>89</v>
      </c>
      <c r="AB1032" t="s">
        <v>10980</v>
      </c>
      <c r="AC1032" t="s">
        <v>89</v>
      </c>
      <c r="AD1032" t="s">
        <v>625</v>
      </c>
      <c r="AE1032" t="s">
        <v>9251</v>
      </c>
      <c r="AF1032" s="4"/>
    </row>
    <row r="1033" spans="1:32">
      <c r="A1033" t="s">
        <v>10981</v>
      </c>
      <c r="B1033" t="s">
        <v>9366</v>
      </c>
      <c r="C1033" t="s">
        <v>10982</v>
      </c>
      <c r="D1033" t="s">
        <v>54</v>
      </c>
      <c r="E1033" t="s">
        <v>10983</v>
      </c>
      <c r="F1033" t="s">
        <v>5369</v>
      </c>
      <c r="G1033">
        <v>75090</v>
      </c>
      <c r="I1033">
        <v>75090</v>
      </c>
      <c r="J1033">
        <v>75090</v>
      </c>
      <c r="K1033" s="4">
        <v>45380</v>
      </c>
      <c r="L1033" s="4">
        <v>45380</v>
      </c>
      <c r="M1033">
        <v>2024</v>
      </c>
      <c r="N1033">
        <v>3</v>
      </c>
      <c r="O1033" s="4">
        <v>45352</v>
      </c>
      <c r="P1033" t="s">
        <v>89</v>
      </c>
      <c r="Q1033" s="4">
        <v>45488</v>
      </c>
      <c r="R1033" t="s">
        <v>10984</v>
      </c>
      <c r="S1033" t="s">
        <v>5371</v>
      </c>
      <c r="T1033">
        <v>45470</v>
      </c>
      <c r="U1033">
        <v>75090</v>
      </c>
      <c r="V1033">
        <v>1</v>
      </c>
      <c r="W1033" t="s">
        <v>17</v>
      </c>
      <c r="X1033" t="s">
        <v>3900</v>
      </c>
      <c r="Z1033" t="s">
        <v>89</v>
      </c>
      <c r="AA1033" t="s">
        <v>89</v>
      </c>
      <c r="AB1033" t="s">
        <v>10985</v>
      </c>
      <c r="AC1033" t="s">
        <v>89</v>
      </c>
      <c r="AD1033" t="s">
        <v>89</v>
      </c>
      <c r="AE1033" t="s">
        <v>3652</v>
      </c>
      <c r="AF1033" s="4"/>
    </row>
    <row r="1034" spans="1:32">
      <c r="A1034" t="s">
        <v>10986</v>
      </c>
      <c r="B1034" t="s">
        <v>9366</v>
      </c>
      <c r="D1034" t="s">
        <v>54</v>
      </c>
      <c r="E1034" t="s">
        <v>10987</v>
      </c>
      <c r="F1034" t="s">
        <v>5374</v>
      </c>
      <c r="G1034">
        <v>30036</v>
      </c>
      <c r="I1034">
        <v>30036</v>
      </c>
      <c r="J1034">
        <v>30036</v>
      </c>
      <c r="K1034" s="4">
        <v>45017</v>
      </c>
      <c r="L1034" s="4">
        <v>45017</v>
      </c>
      <c r="M1034">
        <v>2023</v>
      </c>
      <c r="N1034">
        <v>4</v>
      </c>
      <c r="O1034" s="4">
        <v>45017</v>
      </c>
      <c r="P1034" t="s">
        <v>89</v>
      </c>
      <c r="Q1034" s="4">
        <v>45135</v>
      </c>
      <c r="R1034" t="s">
        <v>10988</v>
      </c>
      <c r="S1034" t="s">
        <v>5375</v>
      </c>
      <c r="U1034">
        <v>75090</v>
      </c>
      <c r="V1034">
        <v>0.4</v>
      </c>
      <c r="W1034" t="s">
        <v>17</v>
      </c>
      <c r="X1034" t="s">
        <v>3900</v>
      </c>
      <c r="Z1034" t="s">
        <v>89</v>
      </c>
      <c r="AA1034" t="s">
        <v>89</v>
      </c>
      <c r="AC1034" t="s">
        <v>89</v>
      </c>
      <c r="AD1034">
        <v>0</v>
      </c>
      <c r="AE1034" t="s">
        <v>9251</v>
      </c>
      <c r="AF1034" s="4"/>
    </row>
    <row r="1035" spans="1:32">
      <c r="A1035" t="s">
        <v>10989</v>
      </c>
      <c r="B1035" t="s">
        <v>9366</v>
      </c>
      <c r="D1035" t="s">
        <v>54</v>
      </c>
      <c r="E1035" t="s">
        <v>10987</v>
      </c>
      <c r="F1035" t="s">
        <v>5374</v>
      </c>
      <c r="G1035">
        <v>45054</v>
      </c>
      <c r="I1035">
        <v>45054</v>
      </c>
      <c r="J1035">
        <v>45054</v>
      </c>
      <c r="K1035" s="4">
        <v>45139</v>
      </c>
      <c r="L1035" s="4">
        <v>45139</v>
      </c>
      <c r="M1035">
        <v>2023</v>
      </c>
      <c r="N1035">
        <v>8</v>
      </c>
      <c r="O1035" s="4">
        <v>45139</v>
      </c>
      <c r="P1035" t="s">
        <v>89</v>
      </c>
      <c r="Q1035" s="4">
        <v>45245</v>
      </c>
      <c r="R1035" t="s">
        <v>10988</v>
      </c>
      <c r="S1035" t="s">
        <v>5375</v>
      </c>
      <c r="U1035">
        <v>75090</v>
      </c>
      <c r="V1035">
        <v>0.6</v>
      </c>
      <c r="W1035" t="s">
        <v>17</v>
      </c>
      <c r="X1035" t="s">
        <v>3900</v>
      </c>
      <c r="Z1035" t="s">
        <v>89</v>
      </c>
      <c r="AA1035" t="s">
        <v>89</v>
      </c>
      <c r="AC1035" t="s">
        <v>89</v>
      </c>
      <c r="AD1035">
        <v>0</v>
      </c>
      <c r="AE1035" t="s">
        <v>9251</v>
      </c>
      <c r="AF1035" s="4"/>
    </row>
    <row r="1036" spans="1:32">
      <c r="A1036" t="s">
        <v>10990</v>
      </c>
      <c r="B1036" t="s">
        <v>9366</v>
      </c>
      <c r="C1036" t="s">
        <v>5379</v>
      </c>
      <c r="D1036" t="s">
        <v>54</v>
      </c>
      <c r="E1036" t="s">
        <v>10991</v>
      </c>
      <c r="F1036" t="s">
        <v>5377</v>
      </c>
      <c r="G1036">
        <v>75090</v>
      </c>
      <c r="I1036">
        <v>75090</v>
      </c>
      <c r="J1036">
        <v>75090</v>
      </c>
      <c r="K1036" s="4">
        <v>45380</v>
      </c>
      <c r="L1036" s="4">
        <v>45380</v>
      </c>
      <c r="M1036">
        <v>2024</v>
      </c>
      <c r="N1036">
        <v>3</v>
      </c>
      <c r="O1036" s="4">
        <v>45352</v>
      </c>
      <c r="P1036" t="s">
        <v>89</v>
      </c>
      <c r="Q1036" s="4">
        <v>45488</v>
      </c>
      <c r="R1036" t="s">
        <v>10992</v>
      </c>
      <c r="S1036" t="s">
        <v>5378</v>
      </c>
      <c r="T1036">
        <v>45470</v>
      </c>
      <c r="U1036">
        <v>75090</v>
      </c>
      <c r="V1036">
        <v>1</v>
      </c>
      <c r="W1036" t="s">
        <v>17</v>
      </c>
      <c r="X1036" t="s">
        <v>3900</v>
      </c>
      <c r="Z1036" t="s">
        <v>89</v>
      </c>
      <c r="AA1036" t="s">
        <v>89</v>
      </c>
      <c r="AB1036" t="s">
        <v>10985</v>
      </c>
      <c r="AC1036" t="s">
        <v>89</v>
      </c>
      <c r="AD1036" t="s">
        <v>89</v>
      </c>
      <c r="AE1036" t="s">
        <v>3652</v>
      </c>
      <c r="AF1036" s="4"/>
    </row>
    <row r="1037" spans="1:32">
      <c r="A1037" t="s">
        <v>10993</v>
      </c>
      <c r="B1037" t="s">
        <v>9366</v>
      </c>
      <c r="C1037" t="s">
        <v>5382</v>
      </c>
      <c r="D1037" t="s">
        <v>54</v>
      </c>
      <c r="E1037" t="s">
        <v>10994</v>
      </c>
      <c r="F1037" t="s">
        <v>5380</v>
      </c>
      <c r="G1037">
        <v>75090</v>
      </c>
      <c r="I1037">
        <v>75090</v>
      </c>
      <c r="J1037">
        <v>75090</v>
      </c>
      <c r="K1037" s="4">
        <v>45380</v>
      </c>
      <c r="L1037" s="4">
        <v>45380</v>
      </c>
      <c r="M1037">
        <v>2024</v>
      </c>
      <c r="N1037">
        <v>3</v>
      </c>
      <c r="O1037" s="4">
        <v>45352</v>
      </c>
      <c r="P1037" t="s">
        <v>89</v>
      </c>
      <c r="Q1037" s="4">
        <v>45488</v>
      </c>
      <c r="R1037" t="s">
        <v>10992</v>
      </c>
      <c r="S1037" t="s">
        <v>5381</v>
      </c>
      <c r="T1037">
        <v>45470</v>
      </c>
      <c r="U1037">
        <v>75090</v>
      </c>
      <c r="V1037">
        <v>1</v>
      </c>
      <c r="W1037" t="s">
        <v>17</v>
      </c>
      <c r="X1037" t="s">
        <v>3900</v>
      </c>
      <c r="Z1037" t="s">
        <v>89</v>
      </c>
      <c r="AA1037" t="s">
        <v>89</v>
      </c>
      <c r="AB1037" t="s">
        <v>10985</v>
      </c>
      <c r="AC1037" t="s">
        <v>89</v>
      </c>
      <c r="AD1037" t="s">
        <v>89</v>
      </c>
      <c r="AE1037" t="s">
        <v>3652</v>
      </c>
      <c r="AF1037" s="4"/>
    </row>
    <row r="1038" spans="1:32">
      <c r="A1038" t="s">
        <v>10995</v>
      </c>
      <c r="B1038" t="s">
        <v>9366</v>
      </c>
      <c r="C1038" t="s">
        <v>5385</v>
      </c>
      <c r="D1038" t="s">
        <v>54</v>
      </c>
      <c r="E1038" t="s">
        <v>10996</v>
      </c>
      <c r="F1038" t="s">
        <v>5383</v>
      </c>
      <c r="G1038">
        <v>45054</v>
      </c>
      <c r="I1038">
        <v>45054</v>
      </c>
      <c r="J1038">
        <v>45054</v>
      </c>
      <c r="K1038" s="4">
        <v>45380</v>
      </c>
      <c r="L1038" s="4">
        <v>45380</v>
      </c>
      <c r="M1038">
        <v>2024</v>
      </c>
      <c r="N1038">
        <v>3</v>
      </c>
      <c r="O1038" s="4">
        <v>45352</v>
      </c>
      <c r="P1038" t="s">
        <v>89</v>
      </c>
      <c r="Q1038" s="4">
        <v>45471</v>
      </c>
      <c r="R1038" t="s">
        <v>10992</v>
      </c>
      <c r="S1038" t="s">
        <v>5384</v>
      </c>
      <c r="T1038">
        <v>45450</v>
      </c>
      <c r="U1038">
        <v>75090</v>
      </c>
      <c r="V1038">
        <v>0.6</v>
      </c>
      <c r="W1038" t="s">
        <v>17</v>
      </c>
      <c r="X1038" t="s">
        <v>3900</v>
      </c>
      <c r="Z1038" t="s">
        <v>89</v>
      </c>
      <c r="AA1038" t="s">
        <v>89</v>
      </c>
      <c r="AB1038" t="s">
        <v>10985</v>
      </c>
      <c r="AC1038" t="s">
        <v>89</v>
      </c>
      <c r="AD1038" t="s">
        <v>89</v>
      </c>
      <c r="AE1038" t="s">
        <v>3652</v>
      </c>
      <c r="AF1038" s="4"/>
    </row>
    <row r="1039" spans="1:32">
      <c r="A1039" t="s">
        <v>10997</v>
      </c>
      <c r="B1039" t="s">
        <v>9366</v>
      </c>
      <c r="D1039" t="s">
        <v>54</v>
      </c>
      <c r="E1039" t="s">
        <v>10996</v>
      </c>
      <c r="F1039" t="s">
        <v>5383</v>
      </c>
      <c r="G1039">
        <v>30036</v>
      </c>
      <c r="I1039">
        <v>30036</v>
      </c>
      <c r="J1039">
        <v>30036</v>
      </c>
      <c r="K1039" s="4">
        <v>45017</v>
      </c>
      <c r="L1039" s="4">
        <v>45017</v>
      </c>
      <c r="M1039">
        <v>2023</v>
      </c>
      <c r="N1039">
        <v>4</v>
      </c>
      <c r="O1039" s="4">
        <v>45017</v>
      </c>
      <c r="P1039" t="s">
        <v>89</v>
      </c>
      <c r="Q1039" s="4">
        <v>45135</v>
      </c>
      <c r="S1039" t="s">
        <v>5384</v>
      </c>
      <c r="U1039">
        <v>75090</v>
      </c>
      <c r="V1039">
        <v>0.4</v>
      </c>
      <c r="W1039" t="s">
        <v>17</v>
      </c>
      <c r="X1039" t="s">
        <v>3900</v>
      </c>
      <c r="Z1039" t="s">
        <v>89</v>
      </c>
      <c r="AA1039" t="s">
        <v>89</v>
      </c>
      <c r="AC1039" t="s">
        <v>89</v>
      </c>
      <c r="AD1039" t="s">
        <v>89</v>
      </c>
      <c r="AE1039" t="s">
        <v>3652</v>
      </c>
      <c r="AF1039" s="4"/>
    </row>
    <row r="1040" spans="1:32">
      <c r="A1040" t="s">
        <v>10998</v>
      </c>
      <c r="B1040" t="s">
        <v>9366</v>
      </c>
      <c r="C1040" t="s">
        <v>5388</v>
      </c>
      <c r="D1040" t="s">
        <v>54</v>
      </c>
      <c r="E1040" t="s">
        <v>10999</v>
      </c>
      <c r="F1040" t="s">
        <v>5386</v>
      </c>
      <c r="G1040">
        <v>45054</v>
      </c>
      <c r="I1040">
        <v>45054</v>
      </c>
      <c r="J1040">
        <v>45054</v>
      </c>
      <c r="K1040" s="4">
        <v>45380</v>
      </c>
      <c r="L1040" s="4">
        <v>45380</v>
      </c>
      <c r="M1040">
        <v>2024</v>
      </c>
      <c r="N1040">
        <v>3</v>
      </c>
      <c r="O1040" s="4">
        <v>45352</v>
      </c>
      <c r="P1040" t="s">
        <v>89</v>
      </c>
      <c r="Q1040" s="4">
        <v>45471</v>
      </c>
      <c r="R1040" t="s">
        <v>10992</v>
      </c>
      <c r="S1040" t="s">
        <v>5387</v>
      </c>
      <c r="T1040">
        <v>45450</v>
      </c>
      <c r="U1040">
        <v>75090</v>
      </c>
      <c r="V1040">
        <v>0.6</v>
      </c>
      <c r="W1040" t="s">
        <v>17</v>
      </c>
      <c r="X1040" t="s">
        <v>3900</v>
      </c>
      <c r="Z1040" t="s">
        <v>89</v>
      </c>
      <c r="AA1040" t="s">
        <v>89</v>
      </c>
      <c r="AB1040" t="s">
        <v>10985</v>
      </c>
      <c r="AC1040" t="s">
        <v>89</v>
      </c>
      <c r="AD1040" t="s">
        <v>89</v>
      </c>
      <c r="AE1040" t="s">
        <v>3652</v>
      </c>
      <c r="AF1040" s="4"/>
    </row>
    <row r="1041" spans="1:32">
      <c r="A1041" t="s">
        <v>11000</v>
      </c>
      <c r="B1041" t="s">
        <v>9366</v>
      </c>
      <c r="D1041" t="s">
        <v>54</v>
      </c>
      <c r="E1041" t="s">
        <v>10999</v>
      </c>
      <c r="F1041" t="s">
        <v>5386</v>
      </c>
      <c r="G1041">
        <v>30036</v>
      </c>
      <c r="I1041">
        <v>30036</v>
      </c>
      <c r="J1041">
        <v>30036</v>
      </c>
      <c r="K1041" s="4">
        <v>45017</v>
      </c>
      <c r="L1041" s="4">
        <v>45017</v>
      </c>
      <c r="M1041">
        <v>2023</v>
      </c>
      <c r="N1041">
        <v>4</v>
      </c>
      <c r="O1041" s="4">
        <v>45017</v>
      </c>
      <c r="P1041" t="s">
        <v>89</v>
      </c>
      <c r="Q1041" s="4">
        <v>45135</v>
      </c>
      <c r="S1041" t="s">
        <v>5387</v>
      </c>
      <c r="U1041">
        <v>75090</v>
      </c>
      <c r="V1041">
        <v>0.4</v>
      </c>
      <c r="W1041" t="s">
        <v>17</v>
      </c>
      <c r="X1041" t="s">
        <v>3900</v>
      </c>
      <c r="Z1041" t="s">
        <v>89</v>
      </c>
      <c r="AA1041" t="s">
        <v>89</v>
      </c>
      <c r="AC1041" t="s">
        <v>89</v>
      </c>
      <c r="AD1041">
        <v>0</v>
      </c>
      <c r="AE1041" t="s">
        <v>9251</v>
      </c>
      <c r="AF1041" s="4"/>
    </row>
    <row r="1042" spans="1:32">
      <c r="A1042" t="s">
        <v>11001</v>
      </c>
      <c r="B1042" t="s">
        <v>9366</v>
      </c>
      <c r="C1042" t="s">
        <v>5391</v>
      </c>
      <c r="D1042" t="s">
        <v>54</v>
      </c>
      <c r="E1042" t="s">
        <v>11002</v>
      </c>
      <c r="F1042" t="s">
        <v>5389</v>
      </c>
      <c r="G1042">
        <v>45054</v>
      </c>
      <c r="I1042">
        <v>45054</v>
      </c>
      <c r="J1042">
        <v>45054</v>
      </c>
      <c r="K1042" s="4">
        <v>45380</v>
      </c>
      <c r="L1042" s="4">
        <v>45443</v>
      </c>
      <c r="M1042">
        <v>2024</v>
      </c>
      <c r="N1042">
        <v>3</v>
      </c>
      <c r="O1042" s="4">
        <v>45352</v>
      </c>
      <c r="P1042" t="s">
        <v>89</v>
      </c>
      <c r="Q1042" s="4">
        <v>45471</v>
      </c>
      <c r="R1042" t="s">
        <v>10992</v>
      </c>
      <c r="S1042" t="s">
        <v>5390</v>
      </c>
      <c r="T1042">
        <v>45450</v>
      </c>
      <c r="U1042">
        <v>75090</v>
      </c>
      <c r="V1042">
        <v>0.6</v>
      </c>
      <c r="W1042" t="s">
        <v>17</v>
      </c>
      <c r="X1042" t="s">
        <v>3900</v>
      </c>
      <c r="Z1042" t="s">
        <v>89</v>
      </c>
      <c r="AA1042" t="s">
        <v>89</v>
      </c>
      <c r="AB1042" t="s">
        <v>10985</v>
      </c>
      <c r="AC1042" t="s">
        <v>89</v>
      </c>
      <c r="AD1042" t="s">
        <v>89</v>
      </c>
      <c r="AE1042" t="s">
        <v>3652</v>
      </c>
      <c r="AF1042" s="4"/>
    </row>
    <row r="1043" spans="1:32">
      <c r="A1043" t="s">
        <v>11003</v>
      </c>
      <c r="B1043" t="s">
        <v>9366</v>
      </c>
      <c r="D1043" t="s">
        <v>54</v>
      </c>
      <c r="E1043" t="s">
        <v>11002</v>
      </c>
      <c r="F1043" t="s">
        <v>5389</v>
      </c>
      <c r="G1043">
        <v>30036</v>
      </c>
      <c r="I1043">
        <v>30036</v>
      </c>
      <c r="J1043">
        <v>30036</v>
      </c>
      <c r="K1043" s="4">
        <v>45017</v>
      </c>
      <c r="L1043" s="4">
        <v>45017</v>
      </c>
      <c r="M1043">
        <v>2023</v>
      </c>
      <c r="N1043">
        <v>4</v>
      </c>
      <c r="O1043" s="4">
        <v>45017</v>
      </c>
      <c r="P1043" t="s">
        <v>89</v>
      </c>
      <c r="Q1043" s="4">
        <v>45153</v>
      </c>
      <c r="S1043" t="s">
        <v>5390</v>
      </c>
      <c r="U1043">
        <v>75090</v>
      </c>
      <c r="V1043">
        <v>0.4</v>
      </c>
      <c r="W1043" t="s">
        <v>17</v>
      </c>
      <c r="X1043" t="s">
        <v>3900</v>
      </c>
      <c r="Z1043" t="s">
        <v>89</v>
      </c>
      <c r="AA1043" t="s">
        <v>89</v>
      </c>
      <c r="AC1043" t="s">
        <v>89</v>
      </c>
      <c r="AD1043">
        <v>0</v>
      </c>
      <c r="AE1043" t="s">
        <v>9251</v>
      </c>
      <c r="AF1043" s="4"/>
    </row>
    <row r="1044" spans="1:32">
      <c r="A1044" t="s">
        <v>11004</v>
      </c>
      <c r="B1044" t="s">
        <v>9366</v>
      </c>
      <c r="C1044" t="s">
        <v>5394</v>
      </c>
      <c r="D1044" t="s">
        <v>54</v>
      </c>
      <c r="E1044" t="s">
        <v>11005</v>
      </c>
      <c r="F1044" t="s">
        <v>5392</v>
      </c>
      <c r="G1044">
        <v>45054</v>
      </c>
      <c r="I1044">
        <v>45054</v>
      </c>
      <c r="J1044">
        <v>45054</v>
      </c>
      <c r="K1044" s="4">
        <v>45380</v>
      </c>
      <c r="L1044" s="4">
        <v>45380</v>
      </c>
      <c r="M1044">
        <v>2024</v>
      </c>
      <c r="N1044">
        <v>3</v>
      </c>
      <c r="O1044" s="4">
        <v>45352</v>
      </c>
      <c r="P1044" t="s">
        <v>89</v>
      </c>
      <c r="Q1044" s="4">
        <v>45471</v>
      </c>
      <c r="R1044" t="s">
        <v>10992</v>
      </c>
      <c r="S1044" t="s">
        <v>5393</v>
      </c>
      <c r="T1044">
        <v>45450</v>
      </c>
      <c r="U1044">
        <v>75090</v>
      </c>
      <c r="V1044">
        <v>0.6</v>
      </c>
      <c r="W1044" t="s">
        <v>17</v>
      </c>
      <c r="X1044" t="s">
        <v>3900</v>
      </c>
      <c r="Z1044" t="s">
        <v>89</v>
      </c>
      <c r="AA1044" t="s">
        <v>89</v>
      </c>
      <c r="AB1044" t="s">
        <v>10985</v>
      </c>
      <c r="AC1044" t="s">
        <v>89</v>
      </c>
      <c r="AD1044" t="s">
        <v>89</v>
      </c>
      <c r="AE1044" t="s">
        <v>3652</v>
      </c>
      <c r="AF1044" s="4"/>
    </row>
    <row r="1045" spans="1:32">
      <c r="A1045" t="s">
        <v>11006</v>
      </c>
      <c r="B1045" t="s">
        <v>9366</v>
      </c>
      <c r="D1045" t="s">
        <v>54</v>
      </c>
      <c r="E1045" t="s">
        <v>11005</v>
      </c>
      <c r="F1045" t="s">
        <v>5392</v>
      </c>
      <c r="G1045">
        <v>30036</v>
      </c>
      <c r="I1045">
        <v>30036</v>
      </c>
      <c r="J1045">
        <v>30036</v>
      </c>
      <c r="K1045" s="4">
        <v>45017</v>
      </c>
      <c r="L1045" s="4">
        <v>45017</v>
      </c>
      <c r="M1045">
        <v>2023</v>
      </c>
      <c r="N1045">
        <v>4</v>
      </c>
      <c r="O1045" s="4">
        <v>45017</v>
      </c>
      <c r="P1045" t="s">
        <v>89</v>
      </c>
      <c r="Q1045" s="4">
        <v>45153</v>
      </c>
      <c r="S1045" t="s">
        <v>5393</v>
      </c>
      <c r="U1045">
        <v>75090</v>
      </c>
      <c r="V1045">
        <v>0.4</v>
      </c>
      <c r="W1045" t="s">
        <v>17</v>
      </c>
      <c r="X1045" t="s">
        <v>3900</v>
      </c>
      <c r="Z1045" t="s">
        <v>89</v>
      </c>
      <c r="AA1045" t="s">
        <v>89</v>
      </c>
      <c r="AC1045" t="s">
        <v>89</v>
      </c>
      <c r="AD1045" t="s">
        <v>89</v>
      </c>
      <c r="AE1045" t="s">
        <v>3652</v>
      </c>
      <c r="AF1045" s="4"/>
    </row>
    <row r="1046" spans="1:32">
      <c r="A1046" t="s">
        <v>11007</v>
      </c>
      <c r="B1046" t="s">
        <v>9366</v>
      </c>
      <c r="C1046" t="s">
        <v>5397</v>
      </c>
      <c r="D1046" t="s">
        <v>54</v>
      </c>
      <c r="E1046" t="s">
        <v>11008</v>
      </c>
      <c r="F1046" t="s">
        <v>5395</v>
      </c>
      <c r="G1046">
        <v>45054</v>
      </c>
      <c r="I1046">
        <v>45054</v>
      </c>
      <c r="J1046">
        <v>45054</v>
      </c>
      <c r="K1046" s="4">
        <v>45380</v>
      </c>
      <c r="L1046" s="4">
        <v>45380</v>
      </c>
      <c r="M1046">
        <v>2024</v>
      </c>
      <c r="N1046">
        <v>3</v>
      </c>
      <c r="O1046" s="4">
        <v>45352</v>
      </c>
      <c r="P1046" t="s">
        <v>89</v>
      </c>
      <c r="Q1046" s="4">
        <v>45471</v>
      </c>
      <c r="R1046" t="s">
        <v>10992</v>
      </c>
      <c r="S1046" t="s">
        <v>5396</v>
      </c>
      <c r="T1046">
        <v>45450</v>
      </c>
      <c r="U1046">
        <v>75090</v>
      </c>
      <c r="V1046">
        <v>0.6</v>
      </c>
      <c r="W1046" t="s">
        <v>17</v>
      </c>
      <c r="X1046" t="s">
        <v>3900</v>
      </c>
      <c r="Z1046" t="s">
        <v>89</v>
      </c>
      <c r="AA1046" t="s">
        <v>89</v>
      </c>
      <c r="AB1046" t="s">
        <v>10985</v>
      </c>
      <c r="AC1046" t="s">
        <v>89</v>
      </c>
      <c r="AD1046" t="s">
        <v>89</v>
      </c>
      <c r="AE1046" t="s">
        <v>3652</v>
      </c>
      <c r="AF1046" s="4"/>
    </row>
    <row r="1047" spans="1:32">
      <c r="A1047" t="s">
        <v>11009</v>
      </c>
      <c r="B1047" t="s">
        <v>9366</v>
      </c>
      <c r="D1047" t="s">
        <v>54</v>
      </c>
      <c r="E1047" t="s">
        <v>11008</v>
      </c>
      <c r="F1047" t="s">
        <v>5395</v>
      </c>
      <c r="G1047">
        <v>30036</v>
      </c>
      <c r="I1047">
        <v>30036</v>
      </c>
      <c r="J1047">
        <v>30036</v>
      </c>
      <c r="K1047" s="4">
        <v>45017</v>
      </c>
      <c r="L1047" s="4">
        <v>45017</v>
      </c>
      <c r="M1047">
        <v>2023</v>
      </c>
      <c r="N1047">
        <v>4</v>
      </c>
      <c r="O1047" s="4">
        <v>45017</v>
      </c>
      <c r="P1047" t="s">
        <v>89</v>
      </c>
      <c r="Q1047" s="4">
        <v>45153</v>
      </c>
      <c r="S1047" t="s">
        <v>5396</v>
      </c>
      <c r="U1047">
        <v>75090</v>
      </c>
      <c r="V1047">
        <v>0.4</v>
      </c>
      <c r="W1047" t="s">
        <v>17</v>
      </c>
      <c r="X1047" t="s">
        <v>3900</v>
      </c>
      <c r="Z1047" t="s">
        <v>89</v>
      </c>
      <c r="AA1047" t="s">
        <v>89</v>
      </c>
      <c r="AC1047" t="s">
        <v>89</v>
      </c>
      <c r="AD1047" t="s">
        <v>89</v>
      </c>
      <c r="AE1047" t="s">
        <v>3652</v>
      </c>
      <c r="AF1047" s="4"/>
    </row>
    <row r="1048" spans="1:32">
      <c r="A1048" t="s">
        <v>11010</v>
      </c>
      <c r="B1048" t="s">
        <v>9366</v>
      </c>
      <c r="D1048" t="s">
        <v>54</v>
      </c>
      <c r="E1048" t="s">
        <v>11011</v>
      </c>
      <c r="F1048" t="s">
        <v>5398</v>
      </c>
      <c r="G1048">
        <v>30036</v>
      </c>
      <c r="I1048">
        <v>30036</v>
      </c>
      <c r="J1048">
        <v>30036</v>
      </c>
      <c r="K1048" s="4">
        <v>45017</v>
      </c>
      <c r="L1048" s="4">
        <v>45017</v>
      </c>
      <c r="M1048">
        <v>2023</v>
      </c>
      <c r="N1048">
        <v>4</v>
      </c>
      <c r="O1048" s="4">
        <v>45017</v>
      </c>
      <c r="P1048" t="s">
        <v>89</v>
      </c>
      <c r="Q1048" s="4">
        <v>45153</v>
      </c>
      <c r="S1048" t="s">
        <v>5399</v>
      </c>
      <c r="U1048">
        <v>75090</v>
      </c>
      <c r="V1048">
        <v>0.4</v>
      </c>
      <c r="W1048" t="s">
        <v>17</v>
      </c>
      <c r="X1048" t="s">
        <v>3900</v>
      </c>
      <c r="Z1048" t="s">
        <v>89</v>
      </c>
      <c r="AA1048" t="s">
        <v>89</v>
      </c>
      <c r="AC1048" t="s">
        <v>89</v>
      </c>
      <c r="AD1048">
        <v>0</v>
      </c>
      <c r="AE1048" t="s">
        <v>9251</v>
      </c>
      <c r="AF1048" s="4"/>
    </row>
    <row r="1049" spans="1:32">
      <c r="A1049" t="s">
        <v>11012</v>
      </c>
      <c r="B1049" t="s">
        <v>9366</v>
      </c>
      <c r="D1049" t="s">
        <v>54</v>
      </c>
      <c r="E1049" t="s">
        <v>11013</v>
      </c>
      <c r="F1049" t="s">
        <v>5400</v>
      </c>
      <c r="G1049">
        <v>30036</v>
      </c>
      <c r="I1049">
        <v>30036</v>
      </c>
      <c r="J1049">
        <v>30036</v>
      </c>
      <c r="K1049" s="4">
        <v>45017</v>
      </c>
      <c r="L1049" s="4">
        <v>45017</v>
      </c>
      <c r="M1049">
        <v>2023</v>
      </c>
      <c r="N1049">
        <v>4</v>
      </c>
      <c r="O1049" s="4">
        <v>45017</v>
      </c>
      <c r="P1049" t="s">
        <v>89</v>
      </c>
      <c r="Q1049" s="4">
        <v>45153</v>
      </c>
      <c r="S1049" t="s">
        <v>5401</v>
      </c>
      <c r="U1049">
        <v>75090</v>
      </c>
      <c r="V1049">
        <v>0.4</v>
      </c>
      <c r="W1049" t="s">
        <v>17</v>
      </c>
      <c r="X1049" t="s">
        <v>3900</v>
      </c>
      <c r="Z1049" t="s">
        <v>89</v>
      </c>
      <c r="AA1049" t="s">
        <v>89</v>
      </c>
      <c r="AC1049" t="s">
        <v>89</v>
      </c>
      <c r="AD1049">
        <v>0</v>
      </c>
      <c r="AE1049" t="s">
        <v>9251</v>
      </c>
      <c r="AF1049" s="4"/>
    </row>
    <row r="1050" spans="1:32">
      <c r="A1050" t="s">
        <v>11014</v>
      </c>
      <c r="B1050" t="s">
        <v>9366</v>
      </c>
      <c r="D1050" t="s">
        <v>54</v>
      </c>
      <c r="E1050" t="s">
        <v>11015</v>
      </c>
      <c r="F1050" t="s">
        <v>5404</v>
      </c>
      <c r="G1050">
        <v>30036</v>
      </c>
      <c r="I1050">
        <v>30036</v>
      </c>
      <c r="J1050">
        <v>30036</v>
      </c>
      <c r="K1050" s="4">
        <v>45017</v>
      </c>
      <c r="L1050" s="4">
        <v>45017</v>
      </c>
      <c r="M1050">
        <v>2023</v>
      </c>
      <c r="N1050">
        <v>4</v>
      </c>
      <c r="O1050" s="4">
        <v>45017</v>
      </c>
      <c r="P1050" t="s">
        <v>89</v>
      </c>
      <c r="Q1050" s="4">
        <v>45153</v>
      </c>
      <c r="S1050" t="s">
        <v>5405</v>
      </c>
      <c r="U1050">
        <v>75090</v>
      </c>
      <c r="V1050">
        <v>0.4</v>
      </c>
      <c r="W1050" t="s">
        <v>17</v>
      </c>
      <c r="X1050" t="s">
        <v>3900</v>
      </c>
      <c r="Z1050" t="s">
        <v>89</v>
      </c>
      <c r="AA1050" t="s">
        <v>89</v>
      </c>
      <c r="AC1050" t="s">
        <v>89</v>
      </c>
      <c r="AD1050">
        <v>0</v>
      </c>
      <c r="AE1050" t="s">
        <v>9251</v>
      </c>
      <c r="AF1050" s="4"/>
    </row>
    <row r="1051" spans="1:32">
      <c r="A1051" t="s">
        <v>11016</v>
      </c>
      <c r="B1051" t="s">
        <v>9366</v>
      </c>
      <c r="D1051" t="s">
        <v>54</v>
      </c>
      <c r="E1051" t="s">
        <v>11017</v>
      </c>
      <c r="F1051" t="s">
        <v>5419</v>
      </c>
      <c r="G1051">
        <v>8342.7999999999993</v>
      </c>
      <c r="I1051">
        <v>8342.7999999999993</v>
      </c>
      <c r="J1051">
        <v>8342.7999999999993</v>
      </c>
      <c r="K1051" s="4">
        <v>45047</v>
      </c>
      <c r="L1051" s="4">
        <v>45047</v>
      </c>
      <c r="M1051">
        <v>2023</v>
      </c>
      <c r="N1051">
        <v>5</v>
      </c>
      <c r="O1051" s="4">
        <v>45047</v>
      </c>
      <c r="P1051" t="s">
        <v>89</v>
      </c>
      <c r="Q1051" s="4">
        <v>45153</v>
      </c>
      <c r="S1051" t="s">
        <v>5023</v>
      </c>
      <c r="U1051">
        <v>20857</v>
      </c>
      <c r="V1051">
        <v>0.39999999999999997</v>
      </c>
      <c r="W1051" t="s">
        <v>17</v>
      </c>
      <c r="X1051" t="s">
        <v>3665</v>
      </c>
      <c r="Z1051" t="s">
        <v>89</v>
      </c>
      <c r="AA1051" t="s">
        <v>89</v>
      </c>
      <c r="AC1051" t="s">
        <v>89</v>
      </c>
      <c r="AD1051">
        <v>0</v>
      </c>
      <c r="AE1051" t="s">
        <v>9251</v>
      </c>
      <c r="AF1051" s="4"/>
    </row>
    <row r="1052" spans="1:32">
      <c r="A1052" t="s">
        <v>11018</v>
      </c>
      <c r="B1052" t="s">
        <v>9366</v>
      </c>
      <c r="D1052" t="s">
        <v>54</v>
      </c>
      <c r="E1052" t="s">
        <v>11019</v>
      </c>
      <c r="F1052" t="s">
        <v>5420</v>
      </c>
      <c r="G1052">
        <v>13920.8</v>
      </c>
      <c r="I1052">
        <v>13920.8</v>
      </c>
      <c r="J1052">
        <v>13920.8</v>
      </c>
      <c r="K1052" s="4">
        <v>45047</v>
      </c>
      <c r="L1052" s="4">
        <v>45047</v>
      </c>
      <c r="M1052">
        <v>2023</v>
      </c>
      <c r="N1052">
        <v>5</v>
      </c>
      <c r="O1052" s="4">
        <v>45047</v>
      </c>
      <c r="P1052" t="s">
        <v>89</v>
      </c>
      <c r="Q1052" s="4">
        <v>45153</v>
      </c>
      <c r="S1052" t="s">
        <v>5052</v>
      </c>
      <c r="U1052">
        <v>34802</v>
      </c>
      <c r="V1052">
        <v>0.39999999999999997</v>
      </c>
      <c r="W1052" t="s">
        <v>17</v>
      </c>
      <c r="X1052" t="s">
        <v>3665</v>
      </c>
      <c r="Z1052" t="s">
        <v>89</v>
      </c>
      <c r="AA1052" t="s">
        <v>89</v>
      </c>
      <c r="AC1052" t="s">
        <v>89</v>
      </c>
      <c r="AD1052">
        <v>0</v>
      </c>
      <c r="AE1052" t="s">
        <v>9251</v>
      </c>
      <c r="AF1052" s="4"/>
    </row>
    <row r="1053" spans="1:32">
      <c r="A1053" t="s">
        <v>11020</v>
      </c>
      <c r="B1053" t="s">
        <v>9366</v>
      </c>
      <c r="D1053" t="s">
        <v>54</v>
      </c>
      <c r="E1053" t="s">
        <v>11021</v>
      </c>
      <c r="F1053" t="s">
        <v>5423</v>
      </c>
      <c r="G1053">
        <v>17861.599999999999</v>
      </c>
      <c r="I1053">
        <v>17861.599999999999</v>
      </c>
      <c r="J1053">
        <v>17861.599999999999</v>
      </c>
      <c r="K1053" s="4">
        <v>45047</v>
      </c>
      <c r="L1053" s="4">
        <v>45047</v>
      </c>
      <c r="M1053">
        <v>2023</v>
      </c>
      <c r="N1053">
        <v>5</v>
      </c>
      <c r="O1053" s="4">
        <v>45047</v>
      </c>
      <c r="P1053" t="s">
        <v>89</v>
      </c>
      <c r="Q1053" s="4">
        <v>45153</v>
      </c>
      <c r="S1053" t="s">
        <v>4150</v>
      </c>
      <c r="U1053">
        <v>44654</v>
      </c>
      <c r="V1053">
        <v>0.39999999999999997</v>
      </c>
      <c r="W1053" t="s">
        <v>17</v>
      </c>
      <c r="X1053" t="s">
        <v>3665</v>
      </c>
      <c r="Z1053" t="s">
        <v>89</v>
      </c>
      <c r="AA1053" t="s">
        <v>89</v>
      </c>
      <c r="AC1053" t="s">
        <v>89</v>
      </c>
      <c r="AD1053">
        <v>0</v>
      </c>
      <c r="AE1053" t="s">
        <v>9251</v>
      </c>
      <c r="AF1053" s="4"/>
    </row>
    <row r="1054" spans="1:32">
      <c r="A1054" t="s">
        <v>11022</v>
      </c>
      <c r="B1054" t="s">
        <v>9366</v>
      </c>
      <c r="D1054" t="s">
        <v>54</v>
      </c>
      <c r="E1054" t="s">
        <v>11021</v>
      </c>
      <c r="F1054" t="s">
        <v>5423</v>
      </c>
      <c r="G1054">
        <v>24559.7</v>
      </c>
      <c r="I1054">
        <v>24559.7</v>
      </c>
      <c r="J1054">
        <v>24559.7</v>
      </c>
      <c r="K1054" s="4">
        <v>45261</v>
      </c>
      <c r="L1054" s="4">
        <v>45261</v>
      </c>
      <c r="M1054">
        <v>2023</v>
      </c>
      <c r="N1054">
        <v>12</v>
      </c>
      <c r="O1054" s="4">
        <v>45261</v>
      </c>
      <c r="P1054" t="s">
        <v>89</v>
      </c>
      <c r="Q1054" s="4">
        <v>45380</v>
      </c>
      <c r="S1054" t="s">
        <v>4150</v>
      </c>
      <c r="U1054">
        <v>44654</v>
      </c>
      <c r="V1054">
        <v>0.55000000000000004</v>
      </c>
      <c r="W1054" t="s">
        <v>17</v>
      </c>
      <c r="X1054" t="s">
        <v>3665</v>
      </c>
      <c r="Z1054" t="s">
        <v>89</v>
      </c>
      <c r="AA1054" t="s">
        <v>89</v>
      </c>
      <c r="AC1054" t="s">
        <v>89</v>
      </c>
      <c r="AD1054">
        <v>0</v>
      </c>
      <c r="AE1054" t="s">
        <v>9251</v>
      </c>
      <c r="AF1054" s="4"/>
    </row>
    <row r="1055" spans="1:32">
      <c r="A1055" t="s">
        <v>11023</v>
      </c>
      <c r="B1055" t="s">
        <v>9366</v>
      </c>
      <c r="C1055" t="s">
        <v>5425</v>
      </c>
      <c r="D1055" t="s">
        <v>54</v>
      </c>
      <c r="E1055" t="s">
        <v>11024</v>
      </c>
      <c r="F1055" t="s">
        <v>5424</v>
      </c>
      <c r="G1055">
        <v>26792.399999999998</v>
      </c>
      <c r="I1055">
        <v>26792.399999999998</v>
      </c>
      <c r="J1055">
        <v>26792.399999999998</v>
      </c>
      <c r="K1055" s="4">
        <v>45422</v>
      </c>
      <c r="L1055" s="4">
        <v>45422</v>
      </c>
      <c r="M1055">
        <v>2024</v>
      </c>
      <c r="N1055">
        <v>5</v>
      </c>
      <c r="O1055" s="4">
        <v>45413</v>
      </c>
      <c r="P1055" t="s">
        <v>89</v>
      </c>
      <c r="Q1055" s="4">
        <v>45471</v>
      </c>
      <c r="S1055" t="s">
        <v>4499</v>
      </c>
      <c r="T1055">
        <v>45456</v>
      </c>
      <c r="U1055">
        <v>44654</v>
      </c>
      <c r="V1055">
        <v>0.6</v>
      </c>
      <c r="W1055" t="s">
        <v>17</v>
      </c>
      <c r="X1055" t="s">
        <v>3665</v>
      </c>
      <c r="Z1055" t="s">
        <v>89</v>
      </c>
      <c r="AA1055" t="s">
        <v>89</v>
      </c>
      <c r="AB1055" t="s">
        <v>11025</v>
      </c>
      <c r="AC1055" t="s">
        <v>89</v>
      </c>
      <c r="AD1055" t="s">
        <v>89</v>
      </c>
      <c r="AE1055" t="s">
        <v>3652</v>
      </c>
      <c r="AF1055" s="4"/>
    </row>
    <row r="1056" spans="1:32">
      <c r="A1056" t="s">
        <v>11026</v>
      </c>
      <c r="B1056" t="s">
        <v>9366</v>
      </c>
      <c r="D1056" t="s">
        <v>54</v>
      </c>
      <c r="E1056" t="s">
        <v>11024</v>
      </c>
      <c r="F1056" t="s">
        <v>5424</v>
      </c>
      <c r="G1056">
        <v>17861.599999999999</v>
      </c>
      <c r="I1056">
        <v>17861.599999999999</v>
      </c>
      <c r="J1056">
        <v>17861.599999999999</v>
      </c>
      <c r="K1056" s="4">
        <v>45047</v>
      </c>
      <c r="L1056" s="4">
        <v>45047</v>
      </c>
      <c r="M1056">
        <v>2023</v>
      </c>
      <c r="N1056">
        <v>5</v>
      </c>
      <c r="O1056" s="4">
        <v>45047</v>
      </c>
      <c r="P1056" t="s">
        <v>89</v>
      </c>
      <c r="Q1056" s="4">
        <v>45153</v>
      </c>
      <c r="S1056" t="s">
        <v>4499</v>
      </c>
      <c r="U1056">
        <v>44654</v>
      </c>
      <c r="V1056">
        <v>0.39999999999999997</v>
      </c>
      <c r="W1056" t="s">
        <v>17</v>
      </c>
      <c r="X1056" t="s">
        <v>3665</v>
      </c>
      <c r="Z1056" t="s">
        <v>89</v>
      </c>
      <c r="AA1056" t="s">
        <v>89</v>
      </c>
      <c r="AC1056" t="s">
        <v>89</v>
      </c>
      <c r="AD1056">
        <v>0</v>
      </c>
      <c r="AE1056" t="s">
        <v>9251</v>
      </c>
      <c r="AF1056" s="4"/>
    </row>
    <row r="1057" spans="1:32">
      <c r="A1057" t="s">
        <v>11027</v>
      </c>
      <c r="B1057" t="s">
        <v>9366</v>
      </c>
      <c r="D1057" t="s">
        <v>54</v>
      </c>
      <c r="E1057" t="s">
        <v>11028</v>
      </c>
      <c r="F1057" t="s">
        <v>5426</v>
      </c>
      <c r="G1057">
        <v>17861.599999999999</v>
      </c>
      <c r="I1057">
        <v>17861.599999999999</v>
      </c>
      <c r="J1057">
        <v>17861.599999999999</v>
      </c>
      <c r="K1057" s="4">
        <v>45047</v>
      </c>
      <c r="L1057" s="4">
        <v>45047</v>
      </c>
      <c r="M1057">
        <v>2023</v>
      </c>
      <c r="N1057">
        <v>5</v>
      </c>
      <c r="O1057" s="4">
        <v>45047</v>
      </c>
      <c r="P1057" t="s">
        <v>89</v>
      </c>
      <c r="Q1057" s="4">
        <v>45153</v>
      </c>
      <c r="S1057" t="s">
        <v>4502</v>
      </c>
      <c r="U1057">
        <v>44654</v>
      </c>
      <c r="V1057">
        <v>0.39999999999999997</v>
      </c>
      <c r="W1057" t="s">
        <v>17</v>
      </c>
      <c r="X1057" t="s">
        <v>3665</v>
      </c>
      <c r="Z1057" t="s">
        <v>89</v>
      </c>
      <c r="AA1057" t="s">
        <v>89</v>
      </c>
      <c r="AC1057" t="s">
        <v>89</v>
      </c>
      <c r="AD1057">
        <v>0</v>
      </c>
      <c r="AE1057" t="s">
        <v>9251</v>
      </c>
      <c r="AF1057" s="4"/>
    </row>
    <row r="1058" spans="1:32">
      <c r="A1058" t="s">
        <v>11029</v>
      </c>
      <c r="B1058" t="s">
        <v>9366</v>
      </c>
      <c r="C1058" t="s">
        <v>5428</v>
      </c>
      <c r="D1058" t="s">
        <v>54</v>
      </c>
      <c r="E1058" t="s">
        <v>11030</v>
      </c>
      <c r="F1058" t="s">
        <v>5427</v>
      </c>
      <c r="G1058">
        <v>26792.399999999998</v>
      </c>
      <c r="I1058">
        <v>26792.399999999998</v>
      </c>
      <c r="J1058">
        <v>26792.399999999998</v>
      </c>
      <c r="K1058" s="4">
        <v>45422</v>
      </c>
      <c r="L1058" s="4">
        <v>45422</v>
      </c>
      <c r="M1058">
        <v>2024</v>
      </c>
      <c r="N1058">
        <v>5</v>
      </c>
      <c r="O1058" s="4">
        <v>45413</v>
      </c>
      <c r="P1058" t="s">
        <v>89</v>
      </c>
      <c r="Q1058" s="4">
        <v>45471</v>
      </c>
      <c r="S1058" t="s">
        <v>4506</v>
      </c>
      <c r="T1058">
        <v>45456</v>
      </c>
      <c r="U1058">
        <v>44654</v>
      </c>
      <c r="V1058">
        <v>0.6</v>
      </c>
      <c r="W1058" t="s">
        <v>17</v>
      </c>
      <c r="X1058" t="s">
        <v>3665</v>
      </c>
      <c r="Z1058" t="s">
        <v>89</v>
      </c>
      <c r="AA1058" t="s">
        <v>89</v>
      </c>
      <c r="AB1058" t="s">
        <v>11025</v>
      </c>
      <c r="AC1058" t="s">
        <v>89</v>
      </c>
      <c r="AD1058" t="s">
        <v>89</v>
      </c>
      <c r="AE1058" t="s">
        <v>3652</v>
      </c>
      <c r="AF1058" s="4"/>
    </row>
    <row r="1059" spans="1:32">
      <c r="A1059" t="s">
        <v>11031</v>
      </c>
      <c r="B1059" t="s">
        <v>9366</v>
      </c>
      <c r="D1059" t="s">
        <v>54</v>
      </c>
      <c r="E1059" t="s">
        <v>11030</v>
      </c>
      <c r="F1059" t="s">
        <v>5427</v>
      </c>
      <c r="G1059">
        <v>17861.599999999999</v>
      </c>
      <c r="I1059">
        <v>17861.599999999999</v>
      </c>
      <c r="J1059">
        <v>17861.599999999999</v>
      </c>
      <c r="K1059" s="4">
        <v>45047</v>
      </c>
      <c r="L1059" s="4">
        <v>45047</v>
      </c>
      <c r="M1059">
        <v>2023</v>
      </c>
      <c r="N1059">
        <v>5</v>
      </c>
      <c r="O1059" s="4">
        <v>45047</v>
      </c>
      <c r="P1059" t="s">
        <v>89</v>
      </c>
      <c r="Q1059" s="4">
        <v>45153</v>
      </c>
      <c r="S1059" t="s">
        <v>4506</v>
      </c>
      <c r="U1059">
        <v>44654</v>
      </c>
      <c r="V1059">
        <v>0.39999999999999997</v>
      </c>
      <c r="W1059" t="s">
        <v>17</v>
      </c>
      <c r="X1059" t="s">
        <v>3665</v>
      </c>
      <c r="Z1059" t="s">
        <v>89</v>
      </c>
      <c r="AA1059" t="s">
        <v>89</v>
      </c>
      <c r="AC1059" t="s">
        <v>89</v>
      </c>
      <c r="AD1059" t="s">
        <v>89</v>
      </c>
      <c r="AE1059" t="s">
        <v>3652</v>
      </c>
      <c r="AF1059" s="4"/>
    </row>
    <row r="1060" spans="1:32">
      <c r="A1060" t="s">
        <v>11032</v>
      </c>
      <c r="B1060" t="s">
        <v>9366</v>
      </c>
      <c r="C1060" t="s">
        <v>5431</v>
      </c>
      <c r="D1060" t="s">
        <v>54</v>
      </c>
      <c r="E1060" t="s">
        <v>11033</v>
      </c>
      <c r="F1060" t="s">
        <v>5430</v>
      </c>
      <c r="G1060">
        <v>54629</v>
      </c>
      <c r="I1060">
        <v>54629</v>
      </c>
      <c r="J1060">
        <v>54629</v>
      </c>
      <c r="K1060" s="4">
        <v>45401</v>
      </c>
      <c r="L1060" s="4">
        <v>45401</v>
      </c>
      <c r="M1060">
        <v>2024</v>
      </c>
      <c r="N1060">
        <v>4</v>
      </c>
      <c r="O1060" s="4">
        <v>45383</v>
      </c>
      <c r="P1060" t="s">
        <v>89</v>
      </c>
      <c r="Q1060" s="4">
        <v>45488</v>
      </c>
      <c r="S1060" t="s">
        <v>4496</v>
      </c>
      <c r="T1060">
        <v>45470</v>
      </c>
      <c r="U1060">
        <v>54629</v>
      </c>
      <c r="V1060">
        <v>1</v>
      </c>
      <c r="W1060" t="s">
        <v>17</v>
      </c>
      <c r="X1060" t="s">
        <v>3665</v>
      </c>
      <c r="Z1060" t="s">
        <v>89</v>
      </c>
      <c r="AA1060" t="s">
        <v>89</v>
      </c>
      <c r="AB1060" t="s">
        <v>11025</v>
      </c>
      <c r="AC1060" t="s">
        <v>89</v>
      </c>
      <c r="AD1060" t="s">
        <v>89</v>
      </c>
      <c r="AE1060" t="s">
        <v>3652</v>
      </c>
      <c r="AF1060" s="4"/>
    </row>
    <row r="1061" spans="1:32">
      <c r="A1061" t="s">
        <v>11034</v>
      </c>
      <c r="B1061" t="s">
        <v>9366</v>
      </c>
      <c r="C1061" t="s">
        <v>5433</v>
      </c>
      <c r="D1061" t="s">
        <v>54</v>
      </c>
      <c r="E1061" t="s">
        <v>11035</v>
      </c>
      <c r="F1061" t="s">
        <v>5432</v>
      </c>
      <c r="G1061">
        <v>20852.400000000001</v>
      </c>
      <c r="I1061">
        <v>20852.400000000001</v>
      </c>
      <c r="J1061">
        <v>20852.400000000001</v>
      </c>
      <c r="K1061" s="4">
        <v>45401</v>
      </c>
      <c r="L1061" s="4">
        <v>45401</v>
      </c>
      <c r="M1061">
        <v>2024</v>
      </c>
      <c r="N1061">
        <v>4</v>
      </c>
      <c r="O1061" s="4">
        <v>45383</v>
      </c>
      <c r="P1061" t="s">
        <v>89</v>
      </c>
      <c r="Q1061" s="4">
        <v>45442</v>
      </c>
      <c r="S1061" t="s">
        <v>4490</v>
      </c>
      <c r="U1061">
        <v>34754</v>
      </c>
      <c r="V1061">
        <v>0.60000000000000009</v>
      </c>
      <c r="W1061" t="s">
        <v>17</v>
      </c>
      <c r="X1061" t="s">
        <v>3665</v>
      </c>
      <c r="Z1061" t="s">
        <v>89</v>
      </c>
      <c r="AA1061" t="s">
        <v>89</v>
      </c>
      <c r="AC1061" t="s">
        <v>89</v>
      </c>
      <c r="AD1061" t="s">
        <v>89</v>
      </c>
      <c r="AE1061" t="s">
        <v>3652</v>
      </c>
      <c r="AF1061" s="4"/>
    </row>
    <row r="1062" spans="1:32">
      <c r="A1062" t="s">
        <v>11036</v>
      </c>
      <c r="B1062" t="s">
        <v>9366</v>
      </c>
      <c r="D1062" t="s">
        <v>54</v>
      </c>
      <c r="E1062" t="s">
        <v>11035</v>
      </c>
      <c r="F1062" t="s">
        <v>5432</v>
      </c>
      <c r="G1062">
        <v>13901.6</v>
      </c>
      <c r="I1062">
        <v>13901.6</v>
      </c>
      <c r="J1062">
        <v>13901.6</v>
      </c>
      <c r="K1062" s="4">
        <v>45047</v>
      </c>
      <c r="L1062" s="4">
        <v>45047</v>
      </c>
      <c r="M1062">
        <v>2023</v>
      </c>
      <c r="N1062">
        <v>5</v>
      </c>
      <c r="O1062" s="4">
        <v>45047</v>
      </c>
      <c r="P1062" t="s">
        <v>89</v>
      </c>
      <c r="Q1062" s="4">
        <v>45153</v>
      </c>
      <c r="S1062" t="s">
        <v>4490</v>
      </c>
      <c r="U1062">
        <v>34754</v>
      </c>
      <c r="V1062">
        <v>0.4</v>
      </c>
      <c r="W1062" t="s">
        <v>17</v>
      </c>
      <c r="X1062" t="s">
        <v>3665</v>
      </c>
      <c r="Z1062" t="s">
        <v>89</v>
      </c>
      <c r="AA1062" t="s">
        <v>89</v>
      </c>
      <c r="AC1062" t="s">
        <v>89</v>
      </c>
      <c r="AD1062" t="s">
        <v>89</v>
      </c>
      <c r="AE1062" t="s">
        <v>3652</v>
      </c>
      <c r="AF1062" s="4"/>
    </row>
    <row r="1063" spans="1:32">
      <c r="A1063" t="s">
        <v>11037</v>
      </c>
      <c r="B1063" t="s">
        <v>9366</v>
      </c>
      <c r="D1063" t="s">
        <v>54</v>
      </c>
      <c r="E1063" t="s">
        <v>11038</v>
      </c>
      <c r="F1063" t="s">
        <v>5434</v>
      </c>
      <c r="G1063">
        <v>16683.599999999999</v>
      </c>
      <c r="I1063">
        <v>16683.599999999999</v>
      </c>
      <c r="J1063">
        <v>16683.599999999999</v>
      </c>
      <c r="K1063" s="4">
        <v>45047</v>
      </c>
      <c r="L1063" s="4">
        <v>45047</v>
      </c>
      <c r="M1063">
        <v>2023</v>
      </c>
      <c r="N1063">
        <v>5</v>
      </c>
      <c r="O1063" s="4">
        <v>45047</v>
      </c>
      <c r="P1063" t="s">
        <v>89</v>
      </c>
      <c r="Q1063" s="4">
        <v>45212</v>
      </c>
      <c r="S1063" t="s">
        <v>4493</v>
      </c>
      <c r="U1063">
        <v>34754</v>
      </c>
      <c r="V1063">
        <v>0.4800483397594521</v>
      </c>
      <c r="W1063" t="s">
        <v>17</v>
      </c>
      <c r="X1063" t="s">
        <v>3665</v>
      </c>
      <c r="Z1063" t="s">
        <v>89</v>
      </c>
      <c r="AA1063" t="s">
        <v>89</v>
      </c>
      <c r="AC1063" t="s">
        <v>89</v>
      </c>
      <c r="AD1063">
        <v>0</v>
      </c>
      <c r="AE1063" t="s">
        <v>9251</v>
      </c>
      <c r="AF1063" s="4"/>
    </row>
    <row r="1064" spans="1:32">
      <c r="A1064" t="s">
        <v>11039</v>
      </c>
      <c r="B1064" t="s">
        <v>9366</v>
      </c>
      <c r="D1064" t="s">
        <v>54</v>
      </c>
      <c r="E1064" t="s">
        <v>11040</v>
      </c>
      <c r="F1064" t="s">
        <v>5436</v>
      </c>
      <c r="G1064">
        <v>13901.6</v>
      </c>
      <c r="I1064">
        <v>13901.6</v>
      </c>
      <c r="J1064">
        <v>13901.6</v>
      </c>
      <c r="K1064" s="4">
        <v>45047</v>
      </c>
      <c r="L1064" s="4">
        <v>45047</v>
      </c>
      <c r="M1064">
        <v>2023</v>
      </c>
      <c r="N1064">
        <v>5</v>
      </c>
      <c r="O1064" s="4">
        <v>45047</v>
      </c>
      <c r="P1064" t="s">
        <v>89</v>
      </c>
      <c r="Q1064" s="4">
        <v>45153</v>
      </c>
      <c r="S1064" t="s">
        <v>5015</v>
      </c>
      <c r="U1064">
        <v>34754</v>
      </c>
      <c r="V1064">
        <v>0.4</v>
      </c>
      <c r="W1064" t="s">
        <v>17</v>
      </c>
      <c r="X1064" t="s">
        <v>3665</v>
      </c>
      <c r="Z1064" t="s">
        <v>89</v>
      </c>
      <c r="AA1064" t="s">
        <v>89</v>
      </c>
      <c r="AC1064" t="s">
        <v>89</v>
      </c>
      <c r="AD1064">
        <v>0</v>
      </c>
      <c r="AE1064" t="s">
        <v>9251</v>
      </c>
      <c r="AF1064" s="4"/>
    </row>
    <row r="1065" spans="1:32">
      <c r="A1065" t="s">
        <v>11041</v>
      </c>
      <c r="B1065" t="s">
        <v>9366</v>
      </c>
      <c r="D1065" t="s">
        <v>54</v>
      </c>
      <c r="E1065" t="s">
        <v>11042</v>
      </c>
      <c r="F1065" t="s">
        <v>5437</v>
      </c>
      <c r="G1065">
        <v>13901.6</v>
      </c>
      <c r="I1065">
        <v>13901.6</v>
      </c>
      <c r="J1065">
        <v>13901.6</v>
      </c>
      <c r="K1065" s="4">
        <v>45047</v>
      </c>
      <c r="L1065" s="4">
        <v>45047</v>
      </c>
      <c r="M1065">
        <v>2023</v>
      </c>
      <c r="N1065">
        <v>5</v>
      </c>
      <c r="O1065" s="4">
        <v>45047</v>
      </c>
      <c r="P1065" t="s">
        <v>89</v>
      </c>
      <c r="Q1065" s="4">
        <v>45153</v>
      </c>
      <c r="S1065" t="s">
        <v>5021</v>
      </c>
      <c r="U1065">
        <v>34754</v>
      </c>
      <c r="V1065">
        <v>0.4</v>
      </c>
      <c r="W1065" t="s">
        <v>17</v>
      </c>
      <c r="X1065" t="s">
        <v>3665</v>
      </c>
      <c r="Z1065" t="s">
        <v>89</v>
      </c>
      <c r="AA1065" t="s">
        <v>89</v>
      </c>
      <c r="AC1065" t="s">
        <v>89</v>
      </c>
      <c r="AD1065">
        <v>0</v>
      </c>
      <c r="AE1065" t="s">
        <v>9251</v>
      </c>
      <c r="AF1065" s="4"/>
    </row>
    <row r="1066" spans="1:32">
      <c r="A1066" t="s">
        <v>11043</v>
      </c>
      <c r="B1066" t="s">
        <v>9366</v>
      </c>
      <c r="C1066" t="s">
        <v>5439</v>
      </c>
      <c r="D1066" t="s">
        <v>54</v>
      </c>
      <c r="E1066" t="s">
        <v>11044</v>
      </c>
      <c r="F1066" t="s">
        <v>5438</v>
      </c>
      <c r="G1066">
        <v>25025.4</v>
      </c>
      <c r="I1066">
        <v>25025.4</v>
      </c>
      <c r="J1066">
        <v>25025.4</v>
      </c>
      <c r="K1066" s="4">
        <v>45401</v>
      </c>
      <c r="L1066" s="4">
        <v>45401</v>
      </c>
      <c r="M1066">
        <v>2024</v>
      </c>
      <c r="N1066">
        <v>4</v>
      </c>
      <c r="O1066" s="4">
        <v>45383</v>
      </c>
      <c r="P1066" t="s">
        <v>89</v>
      </c>
      <c r="Q1066" s="4">
        <v>45442</v>
      </c>
      <c r="S1066" t="s">
        <v>4483</v>
      </c>
      <c r="U1066">
        <v>41709</v>
      </c>
      <c r="V1066">
        <v>0.60000000000000009</v>
      </c>
      <c r="W1066" t="s">
        <v>17</v>
      </c>
      <c r="X1066" t="s">
        <v>3665</v>
      </c>
      <c r="Z1066" t="s">
        <v>89</v>
      </c>
      <c r="AA1066" t="s">
        <v>89</v>
      </c>
      <c r="AC1066" t="s">
        <v>89</v>
      </c>
      <c r="AD1066" t="s">
        <v>89</v>
      </c>
      <c r="AE1066" t="s">
        <v>3652</v>
      </c>
      <c r="AF1066" s="4"/>
    </row>
    <row r="1067" spans="1:32">
      <c r="A1067" t="s">
        <v>11045</v>
      </c>
      <c r="B1067" t="s">
        <v>9366</v>
      </c>
      <c r="D1067" t="s">
        <v>54</v>
      </c>
      <c r="E1067" t="s">
        <v>11044</v>
      </c>
      <c r="F1067" t="s">
        <v>5438</v>
      </c>
      <c r="G1067">
        <v>16683.599999999999</v>
      </c>
      <c r="I1067">
        <v>16683.599999999999</v>
      </c>
      <c r="J1067">
        <v>16683.599999999999</v>
      </c>
      <c r="K1067" s="4">
        <v>45047</v>
      </c>
      <c r="L1067" s="4">
        <v>45047</v>
      </c>
      <c r="M1067">
        <v>2023</v>
      </c>
      <c r="N1067">
        <v>5</v>
      </c>
      <c r="O1067" s="4">
        <v>45047</v>
      </c>
      <c r="P1067" t="s">
        <v>89</v>
      </c>
      <c r="Q1067" s="4">
        <v>45153</v>
      </c>
      <c r="S1067" t="s">
        <v>4483</v>
      </c>
      <c r="U1067">
        <v>41709</v>
      </c>
      <c r="V1067">
        <v>0.39999999999999997</v>
      </c>
      <c r="W1067" t="s">
        <v>17</v>
      </c>
      <c r="X1067" t="s">
        <v>3665</v>
      </c>
      <c r="Z1067" t="s">
        <v>89</v>
      </c>
      <c r="AA1067" t="s">
        <v>89</v>
      </c>
      <c r="AC1067" t="s">
        <v>89</v>
      </c>
      <c r="AD1067">
        <v>0</v>
      </c>
      <c r="AE1067" t="s">
        <v>9251</v>
      </c>
      <c r="AF1067" s="4"/>
    </row>
    <row r="1068" spans="1:32">
      <c r="A1068" t="s">
        <v>11046</v>
      </c>
      <c r="B1068" t="s">
        <v>9366</v>
      </c>
      <c r="D1068" t="s">
        <v>54</v>
      </c>
      <c r="E1068" t="s">
        <v>11047</v>
      </c>
      <c r="F1068" t="s">
        <v>5440</v>
      </c>
      <c r="G1068">
        <v>16683.599999999999</v>
      </c>
      <c r="I1068">
        <v>16683.599999999999</v>
      </c>
      <c r="J1068">
        <v>16683.599999999999</v>
      </c>
      <c r="K1068" s="4">
        <v>45047</v>
      </c>
      <c r="L1068" s="4">
        <v>45047</v>
      </c>
      <c r="M1068">
        <v>2023</v>
      </c>
      <c r="N1068">
        <v>5</v>
      </c>
      <c r="O1068" s="4">
        <v>45047</v>
      </c>
      <c r="P1068" t="s">
        <v>89</v>
      </c>
      <c r="Q1068" s="4">
        <v>45153</v>
      </c>
      <c r="S1068" t="s">
        <v>4487</v>
      </c>
      <c r="U1068">
        <v>41709</v>
      </c>
      <c r="V1068">
        <v>0.39999999999999997</v>
      </c>
      <c r="W1068" t="s">
        <v>17</v>
      </c>
      <c r="X1068" t="s">
        <v>3665</v>
      </c>
      <c r="Z1068" t="s">
        <v>89</v>
      </c>
      <c r="AA1068" t="s">
        <v>89</v>
      </c>
      <c r="AC1068" t="s">
        <v>89</v>
      </c>
      <c r="AD1068">
        <v>0</v>
      </c>
      <c r="AE1068" t="s">
        <v>9251</v>
      </c>
      <c r="AF1068" s="4"/>
    </row>
    <row r="1069" spans="1:32">
      <c r="A1069" t="s">
        <v>11048</v>
      </c>
      <c r="B1069" t="s">
        <v>9366</v>
      </c>
      <c r="D1069" t="s">
        <v>54</v>
      </c>
      <c r="E1069" t="s">
        <v>11049</v>
      </c>
      <c r="F1069" t="s">
        <v>5442</v>
      </c>
      <c r="G1069">
        <v>16683.599999999999</v>
      </c>
      <c r="I1069">
        <v>16683.599999999999</v>
      </c>
      <c r="J1069">
        <v>16683.599999999999</v>
      </c>
      <c r="K1069" s="4">
        <v>45047</v>
      </c>
      <c r="L1069" s="4">
        <v>45047</v>
      </c>
      <c r="M1069">
        <v>2023</v>
      </c>
      <c r="N1069">
        <v>5</v>
      </c>
      <c r="O1069" s="4">
        <v>45047</v>
      </c>
      <c r="P1069" t="s">
        <v>89</v>
      </c>
      <c r="Q1069" s="4">
        <v>45153</v>
      </c>
      <c r="S1069" t="s">
        <v>5017</v>
      </c>
      <c r="U1069">
        <v>41709</v>
      </c>
      <c r="V1069">
        <v>0.39999999999999997</v>
      </c>
      <c r="W1069" t="s">
        <v>17</v>
      </c>
      <c r="X1069" t="s">
        <v>3665</v>
      </c>
      <c r="Z1069" t="s">
        <v>89</v>
      </c>
      <c r="AA1069" t="s">
        <v>89</v>
      </c>
      <c r="AC1069" t="s">
        <v>89</v>
      </c>
      <c r="AD1069">
        <v>0</v>
      </c>
      <c r="AE1069" t="s">
        <v>9251</v>
      </c>
      <c r="AF1069" s="4"/>
    </row>
    <row r="1070" spans="1:32">
      <c r="A1070" t="s">
        <v>11050</v>
      </c>
      <c r="B1070" t="s">
        <v>9366</v>
      </c>
      <c r="D1070" t="s">
        <v>54</v>
      </c>
      <c r="E1070" t="s">
        <v>11051</v>
      </c>
      <c r="F1070" t="s">
        <v>5443</v>
      </c>
      <c r="G1070">
        <v>16683.599999999999</v>
      </c>
      <c r="I1070">
        <v>16683.599999999999</v>
      </c>
      <c r="J1070">
        <v>16683.599999999999</v>
      </c>
      <c r="K1070" s="4">
        <v>45047</v>
      </c>
      <c r="L1070" s="4">
        <v>45047</v>
      </c>
      <c r="M1070">
        <v>2023</v>
      </c>
      <c r="N1070">
        <v>5</v>
      </c>
      <c r="O1070" s="4">
        <v>45047</v>
      </c>
      <c r="P1070" t="s">
        <v>89</v>
      </c>
      <c r="Q1070" s="4">
        <v>45153</v>
      </c>
      <c r="S1070" t="s">
        <v>5019</v>
      </c>
      <c r="U1070">
        <v>41709</v>
      </c>
      <c r="V1070">
        <v>0.39999999999999997</v>
      </c>
      <c r="W1070" t="s">
        <v>17</v>
      </c>
      <c r="X1070" t="s">
        <v>3665</v>
      </c>
      <c r="Z1070" t="s">
        <v>89</v>
      </c>
      <c r="AA1070" t="s">
        <v>89</v>
      </c>
      <c r="AC1070" t="s">
        <v>89</v>
      </c>
      <c r="AD1070">
        <v>0</v>
      </c>
      <c r="AE1070" t="s">
        <v>9251</v>
      </c>
      <c r="AF1070" s="4"/>
    </row>
    <row r="1071" spans="1:32">
      <c r="A1071" t="s">
        <v>11052</v>
      </c>
      <c r="B1071" t="s">
        <v>9366</v>
      </c>
      <c r="C1071" t="s">
        <v>5448</v>
      </c>
      <c r="D1071" t="s">
        <v>54</v>
      </c>
      <c r="E1071" t="s">
        <v>11053</v>
      </c>
      <c r="F1071" t="s">
        <v>5447</v>
      </c>
      <c r="G1071">
        <v>47149</v>
      </c>
      <c r="I1071">
        <v>47149</v>
      </c>
      <c r="J1071">
        <v>47149</v>
      </c>
      <c r="K1071" s="4">
        <v>45401</v>
      </c>
      <c r="L1071" s="4">
        <v>45421</v>
      </c>
      <c r="M1071">
        <v>2024</v>
      </c>
      <c r="N1071">
        <v>4</v>
      </c>
      <c r="O1071" s="4">
        <v>45383</v>
      </c>
      <c r="P1071" t="s">
        <v>89</v>
      </c>
      <c r="Q1071" s="4">
        <v>45519</v>
      </c>
      <c r="R1071" t="s">
        <v>10911</v>
      </c>
      <c r="S1071" t="s">
        <v>4652</v>
      </c>
      <c r="T1071">
        <v>45505</v>
      </c>
      <c r="U1071">
        <v>47149</v>
      </c>
      <c r="V1071">
        <v>1</v>
      </c>
      <c r="W1071" t="s">
        <v>17</v>
      </c>
      <c r="X1071" t="s">
        <v>3711</v>
      </c>
      <c r="Z1071" t="s">
        <v>89</v>
      </c>
      <c r="AA1071" t="s">
        <v>89</v>
      </c>
      <c r="AB1071" t="s">
        <v>10912</v>
      </c>
      <c r="AC1071" t="s">
        <v>625</v>
      </c>
      <c r="AD1071" t="s">
        <v>1848</v>
      </c>
      <c r="AE1071" t="s">
        <v>9251</v>
      </c>
      <c r="AF1071" s="4"/>
    </row>
    <row r="1072" spans="1:32">
      <c r="A1072" t="s">
        <v>11054</v>
      </c>
      <c r="B1072" t="s">
        <v>9366</v>
      </c>
      <c r="C1072" t="s">
        <v>5451</v>
      </c>
      <c r="D1072" t="s">
        <v>54</v>
      </c>
      <c r="E1072" t="s">
        <v>11055</v>
      </c>
      <c r="F1072" t="s">
        <v>5450</v>
      </c>
      <c r="G1072">
        <v>47149</v>
      </c>
      <c r="I1072">
        <v>47149</v>
      </c>
      <c r="J1072">
        <v>47149</v>
      </c>
      <c r="K1072" s="4">
        <v>45401</v>
      </c>
      <c r="L1072" s="4">
        <v>45421</v>
      </c>
      <c r="M1072">
        <v>2024</v>
      </c>
      <c r="N1072">
        <v>4</v>
      </c>
      <c r="O1072" s="4">
        <v>45383</v>
      </c>
      <c r="P1072" t="s">
        <v>89</v>
      </c>
      <c r="Q1072" s="4">
        <v>45519</v>
      </c>
      <c r="R1072" t="s">
        <v>10911</v>
      </c>
      <c r="S1072" t="s">
        <v>4655</v>
      </c>
      <c r="T1072">
        <v>45505</v>
      </c>
      <c r="U1072">
        <v>47149</v>
      </c>
      <c r="V1072">
        <v>1</v>
      </c>
      <c r="W1072" t="s">
        <v>17</v>
      </c>
      <c r="X1072" t="s">
        <v>3711</v>
      </c>
      <c r="Z1072" t="s">
        <v>89</v>
      </c>
      <c r="AA1072" t="s">
        <v>89</v>
      </c>
      <c r="AB1072" t="s">
        <v>10912</v>
      </c>
      <c r="AC1072" t="s">
        <v>625</v>
      </c>
      <c r="AD1072" t="s">
        <v>1848</v>
      </c>
      <c r="AE1072" t="s">
        <v>9251</v>
      </c>
      <c r="AF1072" s="4"/>
    </row>
    <row r="1073" spans="1:32">
      <c r="A1073" t="s">
        <v>11056</v>
      </c>
      <c r="B1073" t="s">
        <v>9366</v>
      </c>
      <c r="C1073" t="s">
        <v>4574</v>
      </c>
      <c r="D1073" t="s">
        <v>54</v>
      </c>
      <c r="E1073" t="s">
        <v>10136</v>
      </c>
      <c r="F1073" t="s">
        <v>4573</v>
      </c>
      <c r="G1073">
        <v>1475.7359999999999</v>
      </c>
      <c r="I1073">
        <v>1475.7359999999999</v>
      </c>
      <c r="K1073" s="4">
        <v>45506</v>
      </c>
      <c r="L1073" s="4">
        <v>45509</v>
      </c>
      <c r="M1073">
        <v>2024</v>
      </c>
      <c r="N1073">
        <v>8</v>
      </c>
      <c r="O1073" s="4">
        <v>45505</v>
      </c>
      <c r="P1073" t="s">
        <v>625</v>
      </c>
      <c r="Q1073" s="4"/>
      <c r="S1073" t="s">
        <v>3471</v>
      </c>
      <c r="T1073">
        <v>45551</v>
      </c>
      <c r="U1073">
        <v>2459.56</v>
      </c>
      <c r="V1073">
        <v>0.6</v>
      </c>
      <c r="W1073" t="s">
        <v>16</v>
      </c>
      <c r="X1073" t="s">
        <v>3828</v>
      </c>
      <c r="Z1073">
        <v>46</v>
      </c>
      <c r="AA1073">
        <v>43</v>
      </c>
      <c r="AB1073" t="s">
        <v>10875</v>
      </c>
      <c r="AE1073" t="s">
        <v>9251</v>
      </c>
      <c r="AF1073" s="4"/>
    </row>
    <row r="1074" spans="1:32">
      <c r="A1074" t="s">
        <v>11057</v>
      </c>
      <c r="B1074" t="s">
        <v>9366</v>
      </c>
      <c r="C1074" t="s">
        <v>4576</v>
      </c>
      <c r="D1074" t="s">
        <v>54</v>
      </c>
      <c r="E1074" t="s">
        <v>10138</v>
      </c>
      <c r="F1074" t="s">
        <v>4575</v>
      </c>
      <c r="G1074">
        <v>744.41399999999999</v>
      </c>
      <c r="I1074">
        <v>744.41399999999999</v>
      </c>
      <c r="K1074" s="4">
        <v>45506</v>
      </c>
      <c r="L1074" s="4">
        <v>45509</v>
      </c>
      <c r="M1074">
        <v>2024</v>
      </c>
      <c r="N1074">
        <v>8</v>
      </c>
      <c r="O1074" s="4">
        <v>45505</v>
      </c>
      <c r="P1074" t="s">
        <v>625</v>
      </c>
      <c r="Q1074" s="4"/>
      <c r="S1074" t="s">
        <v>3161</v>
      </c>
      <c r="T1074">
        <v>45551</v>
      </c>
      <c r="U1074">
        <v>1240.69</v>
      </c>
      <c r="V1074">
        <v>0.6</v>
      </c>
      <c r="W1074" t="s">
        <v>16</v>
      </c>
      <c r="X1074" t="s">
        <v>3828</v>
      </c>
      <c r="Z1074">
        <v>46</v>
      </c>
      <c r="AA1074">
        <v>43</v>
      </c>
      <c r="AB1074" t="s">
        <v>10875</v>
      </c>
      <c r="AE1074" t="s">
        <v>9251</v>
      </c>
      <c r="AF1074" s="4"/>
    </row>
    <row r="1075" spans="1:32">
      <c r="A1075" t="s">
        <v>11058</v>
      </c>
      <c r="B1075" t="s">
        <v>9366</v>
      </c>
      <c r="C1075" t="s">
        <v>4578</v>
      </c>
      <c r="D1075" t="s">
        <v>54</v>
      </c>
      <c r="E1075" t="s">
        <v>10140</v>
      </c>
      <c r="F1075" t="s">
        <v>4577</v>
      </c>
      <c r="G1075">
        <v>744.41399999999999</v>
      </c>
      <c r="I1075">
        <v>744.41399999999999</v>
      </c>
      <c r="K1075" s="4">
        <v>45513</v>
      </c>
      <c r="L1075" s="4">
        <v>45513</v>
      </c>
      <c r="M1075">
        <v>2024</v>
      </c>
      <c r="N1075">
        <v>8</v>
      </c>
      <c r="O1075" s="4">
        <v>45505</v>
      </c>
      <c r="P1075" t="s">
        <v>625</v>
      </c>
      <c r="Q1075" s="4"/>
      <c r="S1075" t="s">
        <v>3490</v>
      </c>
      <c r="T1075">
        <v>45551</v>
      </c>
      <c r="U1075">
        <v>1240.69</v>
      </c>
      <c r="V1075">
        <v>0.6</v>
      </c>
      <c r="W1075" t="s">
        <v>16</v>
      </c>
      <c r="X1075" t="s">
        <v>3828</v>
      </c>
      <c r="Z1075">
        <v>39</v>
      </c>
      <c r="AA1075">
        <v>39</v>
      </c>
      <c r="AB1075" t="s">
        <v>10875</v>
      </c>
      <c r="AE1075" t="s">
        <v>9251</v>
      </c>
      <c r="AF1075" s="4"/>
    </row>
    <row r="1076" spans="1:32">
      <c r="A1076" t="s">
        <v>11059</v>
      </c>
      <c r="B1076" t="s">
        <v>9366</v>
      </c>
      <c r="C1076" t="s">
        <v>4687</v>
      </c>
      <c r="D1076" t="s">
        <v>54</v>
      </c>
      <c r="E1076" t="s">
        <v>10522</v>
      </c>
      <c r="F1076" t="s">
        <v>4686</v>
      </c>
      <c r="G1076">
        <v>821.86199999999997</v>
      </c>
      <c r="I1076">
        <v>821.86199999999997</v>
      </c>
      <c r="J1076">
        <v>821.86199999999997</v>
      </c>
      <c r="K1076" s="4">
        <v>45506</v>
      </c>
      <c r="L1076" s="4">
        <v>45506</v>
      </c>
      <c r="M1076">
        <v>2024</v>
      </c>
      <c r="N1076">
        <v>8</v>
      </c>
      <c r="O1076" s="4">
        <v>45505</v>
      </c>
      <c r="P1076" t="s">
        <v>89</v>
      </c>
      <c r="Q1076" s="4">
        <v>45548</v>
      </c>
      <c r="S1076" t="s">
        <v>3170</v>
      </c>
      <c r="T1076">
        <v>45523</v>
      </c>
      <c r="U1076">
        <v>1369.77</v>
      </c>
      <c r="V1076">
        <v>0.6</v>
      </c>
      <c r="W1076" t="s">
        <v>16</v>
      </c>
      <c r="X1076" t="s">
        <v>3711</v>
      </c>
      <c r="Z1076" t="s">
        <v>89</v>
      </c>
      <c r="AA1076" t="s">
        <v>89</v>
      </c>
      <c r="AB1076" t="s">
        <v>10179</v>
      </c>
      <c r="AE1076" t="s">
        <v>9251</v>
      </c>
      <c r="AF1076" s="4"/>
    </row>
    <row r="1077" spans="1:32">
      <c r="A1077" t="s">
        <v>11060</v>
      </c>
      <c r="B1077" t="s">
        <v>9366</v>
      </c>
      <c r="C1077" t="s">
        <v>4689</v>
      </c>
      <c r="D1077" t="s">
        <v>54</v>
      </c>
      <c r="E1077" t="s">
        <v>10524</v>
      </c>
      <c r="F1077" t="s">
        <v>4688</v>
      </c>
      <c r="G1077">
        <v>821.86199999999997</v>
      </c>
      <c r="I1077">
        <v>821.86199999999997</v>
      </c>
      <c r="J1077">
        <v>821.86199999999997</v>
      </c>
      <c r="K1077" s="4">
        <v>45506</v>
      </c>
      <c r="L1077" s="4">
        <v>45506</v>
      </c>
      <c r="M1077">
        <v>2024</v>
      </c>
      <c r="N1077">
        <v>8</v>
      </c>
      <c r="O1077" s="4">
        <v>45505</v>
      </c>
      <c r="P1077" t="s">
        <v>89</v>
      </c>
      <c r="Q1077" s="4">
        <v>45548</v>
      </c>
      <c r="S1077" t="s">
        <v>3256</v>
      </c>
      <c r="T1077">
        <v>45523</v>
      </c>
      <c r="U1077">
        <v>1369.77</v>
      </c>
      <c r="V1077">
        <v>0.6</v>
      </c>
      <c r="W1077" t="s">
        <v>16</v>
      </c>
      <c r="X1077" t="s">
        <v>3711</v>
      </c>
      <c r="Z1077" t="s">
        <v>89</v>
      </c>
      <c r="AA1077" t="s">
        <v>89</v>
      </c>
      <c r="AB1077" t="s">
        <v>10179</v>
      </c>
      <c r="AE1077" t="s">
        <v>9251</v>
      </c>
      <c r="AF1077" s="4"/>
    </row>
    <row r="1078" spans="1:32">
      <c r="A1078" t="s">
        <v>11061</v>
      </c>
      <c r="B1078" t="s">
        <v>9366</v>
      </c>
      <c r="C1078" t="s">
        <v>4691</v>
      </c>
      <c r="D1078" t="s">
        <v>54</v>
      </c>
      <c r="E1078" t="s">
        <v>10526</v>
      </c>
      <c r="F1078" t="s">
        <v>4690</v>
      </c>
      <c r="G1078">
        <v>821.86199999999997</v>
      </c>
      <c r="I1078">
        <v>821.86199999999997</v>
      </c>
      <c r="J1078">
        <v>821.86199999999997</v>
      </c>
      <c r="K1078" s="4">
        <v>45506</v>
      </c>
      <c r="L1078" s="4">
        <v>45506</v>
      </c>
      <c r="M1078">
        <v>2024</v>
      </c>
      <c r="N1078">
        <v>8</v>
      </c>
      <c r="O1078" s="4">
        <v>45505</v>
      </c>
      <c r="P1078" t="s">
        <v>89</v>
      </c>
      <c r="Q1078" s="4">
        <v>45548</v>
      </c>
      <c r="S1078" t="s">
        <v>3175</v>
      </c>
      <c r="T1078">
        <v>45523</v>
      </c>
      <c r="U1078">
        <v>1369.77</v>
      </c>
      <c r="V1078">
        <v>0.6</v>
      </c>
      <c r="W1078" t="s">
        <v>16</v>
      </c>
      <c r="X1078" t="s">
        <v>3711</v>
      </c>
      <c r="Z1078" t="s">
        <v>89</v>
      </c>
      <c r="AA1078" t="s">
        <v>89</v>
      </c>
      <c r="AB1078" t="s">
        <v>10179</v>
      </c>
      <c r="AE1078" t="s">
        <v>9251</v>
      </c>
      <c r="AF1078" s="4"/>
    </row>
    <row r="1079" spans="1:32">
      <c r="A1079" t="s">
        <v>11062</v>
      </c>
      <c r="B1079" t="s">
        <v>9366</v>
      </c>
      <c r="C1079" t="s">
        <v>5474</v>
      </c>
      <c r="D1079" t="s">
        <v>54</v>
      </c>
      <c r="E1079" t="s">
        <v>11063</v>
      </c>
      <c r="F1079" t="s">
        <v>5473</v>
      </c>
      <c r="G1079">
        <v>39874</v>
      </c>
      <c r="I1079">
        <v>39874</v>
      </c>
      <c r="J1079">
        <v>39874</v>
      </c>
      <c r="K1079" s="4">
        <v>45401</v>
      </c>
      <c r="L1079" s="4">
        <v>45421</v>
      </c>
      <c r="M1079">
        <v>2024</v>
      </c>
      <c r="N1079">
        <v>4</v>
      </c>
      <c r="O1079" s="4">
        <v>45383</v>
      </c>
      <c r="P1079" t="s">
        <v>89</v>
      </c>
      <c r="Q1079" s="4">
        <v>45503</v>
      </c>
      <c r="R1079" t="s">
        <v>10911</v>
      </c>
      <c r="S1079" t="s">
        <v>4678</v>
      </c>
      <c r="T1079">
        <v>45484</v>
      </c>
      <c r="U1079">
        <v>39874</v>
      </c>
      <c r="V1079">
        <v>1</v>
      </c>
      <c r="W1079" t="s">
        <v>17</v>
      </c>
      <c r="X1079" t="s">
        <v>3711</v>
      </c>
      <c r="Z1079" t="s">
        <v>89</v>
      </c>
      <c r="AA1079" t="s">
        <v>89</v>
      </c>
      <c r="AB1079" t="s">
        <v>10912</v>
      </c>
      <c r="AC1079" t="s">
        <v>89</v>
      </c>
      <c r="AD1079" t="s">
        <v>625</v>
      </c>
      <c r="AE1079" t="s">
        <v>9251</v>
      </c>
      <c r="AF1079" s="4"/>
    </row>
    <row r="1080" spans="1:32">
      <c r="A1080" t="s">
        <v>11064</v>
      </c>
      <c r="B1080" t="s">
        <v>9366</v>
      </c>
      <c r="C1080" t="s">
        <v>5477</v>
      </c>
      <c r="D1080" t="s">
        <v>54</v>
      </c>
      <c r="E1080" t="s">
        <v>11065</v>
      </c>
      <c r="F1080" t="s">
        <v>5476</v>
      </c>
      <c r="G1080">
        <v>39874</v>
      </c>
      <c r="I1080">
        <v>39874</v>
      </c>
      <c r="J1080">
        <v>39874</v>
      </c>
      <c r="K1080" s="4">
        <v>45401</v>
      </c>
      <c r="L1080" s="4">
        <v>45421</v>
      </c>
      <c r="M1080">
        <v>2024</v>
      </c>
      <c r="N1080">
        <v>4</v>
      </c>
      <c r="O1080" s="4">
        <v>45383</v>
      </c>
      <c r="P1080" t="s">
        <v>89</v>
      </c>
      <c r="Q1080" s="4">
        <v>45503</v>
      </c>
      <c r="R1080" t="s">
        <v>10911</v>
      </c>
      <c r="S1080" t="s">
        <v>4681</v>
      </c>
      <c r="T1080">
        <v>45484</v>
      </c>
      <c r="U1080">
        <v>39874</v>
      </c>
      <c r="V1080">
        <v>1</v>
      </c>
      <c r="W1080" t="s">
        <v>17</v>
      </c>
      <c r="X1080" t="s">
        <v>3711</v>
      </c>
      <c r="Z1080" t="s">
        <v>89</v>
      </c>
      <c r="AA1080" t="s">
        <v>89</v>
      </c>
      <c r="AB1080" t="s">
        <v>10912</v>
      </c>
      <c r="AC1080" t="s">
        <v>89</v>
      </c>
      <c r="AD1080" t="s">
        <v>625</v>
      </c>
      <c r="AE1080" t="s">
        <v>9251</v>
      </c>
      <c r="AF1080" s="4"/>
    </row>
    <row r="1081" spans="1:32">
      <c r="A1081" t="s">
        <v>11066</v>
      </c>
      <c r="B1081" t="s">
        <v>9366</v>
      </c>
      <c r="C1081" t="s">
        <v>5480</v>
      </c>
      <c r="D1081" t="s">
        <v>54</v>
      </c>
      <c r="E1081" t="s">
        <v>11067</v>
      </c>
      <c r="F1081" t="s">
        <v>5479</v>
      </c>
      <c r="G1081">
        <v>45230</v>
      </c>
      <c r="I1081">
        <v>45230</v>
      </c>
      <c r="J1081">
        <v>45230</v>
      </c>
      <c r="K1081" s="4">
        <v>45401</v>
      </c>
      <c r="L1081" s="4">
        <v>45421</v>
      </c>
      <c r="M1081">
        <v>2024</v>
      </c>
      <c r="N1081">
        <v>4</v>
      </c>
      <c r="O1081" s="4">
        <v>45383</v>
      </c>
      <c r="P1081" t="s">
        <v>89</v>
      </c>
      <c r="Q1081" s="4">
        <v>45503</v>
      </c>
      <c r="R1081" t="s">
        <v>10911</v>
      </c>
      <c r="S1081" t="s">
        <v>4684</v>
      </c>
      <c r="T1081">
        <v>45484</v>
      </c>
      <c r="U1081">
        <v>45230</v>
      </c>
      <c r="V1081">
        <v>1</v>
      </c>
      <c r="W1081" t="s">
        <v>17</v>
      </c>
      <c r="X1081" t="s">
        <v>3711</v>
      </c>
      <c r="Z1081" t="s">
        <v>89</v>
      </c>
      <c r="AA1081" t="s">
        <v>89</v>
      </c>
      <c r="AB1081" t="s">
        <v>10912</v>
      </c>
      <c r="AC1081" t="s">
        <v>89</v>
      </c>
      <c r="AD1081" t="s">
        <v>625</v>
      </c>
      <c r="AE1081" t="s">
        <v>9251</v>
      </c>
      <c r="AF1081" s="4"/>
    </row>
    <row r="1082" spans="1:32">
      <c r="A1082" t="s">
        <v>11068</v>
      </c>
      <c r="B1082" t="s">
        <v>9366</v>
      </c>
      <c r="C1082" t="s">
        <v>5657</v>
      </c>
      <c r="D1082" t="s">
        <v>54</v>
      </c>
      <c r="E1082" t="s">
        <v>11069</v>
      </c>
      <c r="F1082" t="s">
        <v>5655</v>
      </c>
      <c r="G1082">
        <v>65256.75</v>
      </c>
      <c r="I1082">
        <v>65256.75</v>
      </c>
      <c r="J1082">
        <v>65256.75</v>
      </c>
      <c r="K1082" s="4">
        <v>45436</v>
      </c>
      <c r="L1082" s="4">
        <v>45436</v>
      </c>
      <c r="M1082">
        <v>2024</v>
      </c>
      <c r="N1082">
        <v>5</v>
      </c>
      <c r="O1082" s="4">
        <v>45413</v>
      </c>
      <c r="P1082" t="s">
        <v>89</v>
      </c>
      <c r="Q1082" s="4">
        <v>45519</v>
      </c>
      <c r="S1082" t="s">
        <v>5656</v>
      </c>
      <c r="T1082">
        <v>45505</v>
      </c>
      <c r="U1082">
        <v>108761.25</v>
      </c>
      <c r="V1082">
        <v>0.6</v>
      </c>
      <c r="W1082" t="s">
        <v>17</v>
      </c>
      <c r="X1082" t="s">
        <v>3918</v>
      </c>
      <c r="Z1082" t="s">
        <v>89</v>
      </c>
      <c r="AA1082" t="s">
        <v>89</v>
      </c>
      <c r="AB1082" t="s">
        <v>11070</v>
      </c>
      <c r="AC1082" t="s">
        <v>625</v>
      </c>
      <c r="AD1082" t="s">
        <v>1848</v>
      </c>
      <c r="AE1082" t="s">
        <v>9251</v>
      </c>
      <c r="AF1082" s="4"/>
    </row>
    <row r="1083" spans="1:32">
      <c r="A1083" t="s">
        <v>11071</v>
      </c>
      <c r="B1083" t="s">
        <v>9366</v>
      </c>
      <c r="D1083" t="s">
        <v>54</v>
      </c>
      <c r="E1083" t="s">
        <v>11072</v>
      </c>
      <c r="F1083" t="s">
        <v>5491</v>
      </c>
      <c r="G1083">
        <v>361314.45</v>
      </c>
      <c r="I1083">
        <v>361314.45</v>
      </c>
      <c r="J1083">
        <v>361314.45</v>
      </c>
      <c r="K1083" s="4">
        <v>45231</v>
      </c>
      <c r="L1083" s="4">
        <v>45231</v>
      </c>
      <c r="M1083">
        <v>2023</v>
      </c>
      <c r="N1083">
        <v>11</v>
      </c>
      <c r="O1083" s="4">
        <v>45231</v>
      </c>
      <c r="P1083" t="s">
        <v>89</v>
      </c>
      <c r="Q1083" s="4">
        <v>45303</v>
      </c>
      <c r="S1083" t="s">
        <v>4123</v>
      </c>
      <c r="U1083">
        <v>380331</v>
      </c>
      <c r="V1083">
        <v>0.95000000000000007</v>
      </c>
      <c r="W1083" t="s">
        <v>17</v>
      </c>
      <c r="X1083" t="s">
        <v>3718</v>
      </c>
      <c r="Z1083" t="s">
        <v>89</v>
      </c>
      <c r="AA1083" t="s">
        <v>89</v>
      </c>
      <c r="AC1083" t="s">
        <v>89</v>
      </c>
      <c r="AD1083">
        <v>0</v>
      </c>
      <c r="AE1083" t="s">
        <v>9251</v>
      </c>
      <c r="AF1083" s="4"/>
    </row>
    <row r="1084" spans="1:32">
      <c r="A1084" t="s">
        <v>11073</v>
      </c>
      <c r="B1084" t="s">
        <v>9366</v>
      </c>
      <c r="C1084" t="s">
        <v>5493</v>
      </c>
      <c r="D1084" t="s">
        <v>54</v>
      </c>
      <c r="E1084" t="s">
        <v>11074</v>
      </c>
      <c r="F1084" t="s">
        <v>5492</v>
      </c>
      <c r="G1084">
        <v>380331</v>
      </c>
      <c r="I1084">
        <v>380331</v>
      </c>
      <c r="J1084">
        <v>380331</v>
      </c>
      <c r="K1084" s="4">
        <v>45401</v>
      </c>
      <c r="L1084" s="4">
        <v>45401</v>
      </c>
      <c r="M1084">
        <v>2024</v>
      </c>
      <c r="N1084">
        <v>4</v>
      </c>
      <c r="O1084" s="4">
        <v>45383</v>
      </c>
      <c r="P1084" t="s">
        <v>89</v>
      </c>
      <c r="Q1084" s="4">
        <v>45471</v>
      </c>
      <c r="S1084" t="s">
        <v>4744</v>
      </c>
      <c r="T1084">
        <v>45450</v>
      </c>
      <c r="U1084">
        <v>380331</v>
      </c>
      <c r="V1084">
        <v>1</v>
      </c>
      <c r="W1084" t="s">
        <v>17</v>
      </c>
      <c r="X1084" t="s">
        <v>3718</v>
      </c>
      <c r="Z1084" t="s">
        <v>89</v>
      </c>
      <c r="AA1084" t="s">
        <v>89</v>
      </c>
      <c r="AB1084" t="s">
        <v>11075</v>
      </c>
      <c r="AC1084" t="s">
        <v>89</v>
      </c>
      <c r="AD1084" t="s">
        <v>89</v>
      </c>
      <c r="AE1084" t="s">
        <v>3652</v>
      </c>
      <c r="AF1084" s="4"/>
    </row>
    <row r="1085" spans="1:32">
      <c r="A1085" t="s">
        <v>11076</v>
      </c>
      <c r="B1085" t="s">
        <v>9366</v>
      </c>
      <c r="C1085" t="s">
        <v>11077</v>
      </c>
      <c r="D1085" t="s">
        <v>54</v>
      </c>
      <c r="E1085" t="s">
        <v>11078</v>
      </c>
      <c r="F1085" t="s">
        <v>5528</v>
      </c>
      <c r="G1085">
        <v>2386.17</v>
      </c>
      <c r="I1085">
        <v>2386.17</v>
      </c>
      <c r="K1085" s="4">
        <v>45133</v>
      </c>
      <c r="L1085" s="4">
        <v>45136</v>
      </c>
      <c r="M1085">
        <v>2023</v>
      </c>
      <c r="N1085">
        <v>7</v>
      </c>
      <c r="O1085" s="4">
        <v>45108</v>
      </c>
      <c r="P1085" t="s">
        <v>837</v>
      </c>
      <c r="Q1085" s="4"/>
      <c r="R1085" t="s">
        <v>5529</v>
      </c>
      <c r="S1085" t="s">
        <v>3352</v>
      </c>
      <c r="U1085">
        <v>5965.42</v>
      </c>
      <c r="V1085">
        <v>0.40000033526558065</v>
      </c>
      <c r="W1085" t="s">
        <v>16</v>
      </c>
      <c r="X1085" t="s">
        <v>4109</v>
      </c>
      <c r="Z1085">
        <v>419</v>
      </c>
      <c r="AA1085">
        <v>416</v>
      </c>
      <c r="AC1085" t="s">
        <v>837</v>
      </c>
      <c r="AD1085" t="s">
        <v>837</v>
      </c>
      <c r="AE1085" t="s">
        <v>3652</v>
      </c>
      <c r="AF1085" s="4"/>
    </row>
    <row r="1086" spans="1:32">
      <c r="A1086" t="s">
        <v>11079</v>
      </c>
      <c r="B1086" t="s">
        <v>9366</v>
      </c>
      <c r="C1086" t="s">
        <v>5500</v>
      </c>
      <c r="D1086" t="s">
        <v>54</v>
      </c>
      <c r="E1086" t="s">
        <v>11080</v>
      </c>
      <c r="F1086" t="s">
        <v>5498</v>
      </c>
      <c r="G1086">
        <v>263644</v>
      </c>
      <c r="I1086">
        <v>263644</v>
      </c>
      <c r="J1086">
        <v>263644</v>
      </c>
      <c r="K1086" s="4">
        <v>45429</v>
      </c>
      <c r="L1086" s="4">
        <v>45429</v>
      </c>
      <c r="M1086">
        <v>2024</v>
      </c>
      <c r="N1086">
        <v>5</v>
      </c>
      <c r="O1086" s="4">
        <v>45413</v>
      </c>
      <c r="P1086" t="s">
        <v>89</v>
      </c>
      <c r="Q1086" s="4">
        <v>45503</v>
      </c>
      <c r="S1086" t="s">
        <v>5499</v>
      </c>
      <c r="T1086">
        <v>45484</v>
      </c>
      <c r="U1086">
        <v>263644</v>
      </c>
      <c r="V1086">
        <v>1</v>
      </c>
      <c r="W1086" t="s">
        <v>17</v>
      </c>
      <c r="X1086" t="s">
        <v>3718</v>
      </c>
      <c r="Z1086" t="s">
        <v>89</v>
      </c>
      <c r="AA1086" t="s">
        <v>89</v>
      </c>
      <c r="AB1086" t="s">
        <v>11081</v>
      </c>
      <c r="AC1086" t="s">
        <v>89</v>
      </c>
      <c r="AD1086" t="s">
        <v>625</v>
      </c>
      <c r="AE1086" t="s">
        <v>9251</v>
      </c>
      <c r="AF1086" s="4"/>
    </row>
    <row r="1087" spans="1:32">
      <c r="A1087" t="s">
        <v>11082</v>
      </c>
      <c r="B1087" t="s">
        <v>9366</v>
      </c>
      <c r="D1087" t="s">
        <v>54</v>
      </c>
      <c r="E1087" t="s">
        <v>11083</v>
      </c>
      <c r="F1087" t="s">
        <v>5501</v>
      </c>
      <c r="G1087">
        <v>250461.8</v>
      </c>
      <c r="I1087">
        <v>250461.8</v>
      </c>
      <c r="J1087">
        <v>250461.8</v>
      </c>
      <c r="K1087" s="4">
        <v>45261</v>
      </c>
      <c r="L1087" s="4">
        <v>45261</v>
      </c>
      <c r="M1087">
        <v>2023</v>
      </c>
      <c r="N1087">
        <v>12</v>
      </c>
      <c r="O1087" s="4">
        <v>45261</v>
      </c>
      <c r="P1087" t="s">
        <v>89</v>
      </c>
      <c r="Q1087" s="4">
        <v>45303</v>
      </c>
      <c r="S1087" t="s">
        <v>5502</v>
      </c>
      <c r="U1087">
        <v>263644</v>
      </c>
      <c r="V1087">
        <v>0.95</v>
      </c>
      <c r="W1087" t="s">
        <v>17</v>
      </c>
      <c r="X1087" t="s">
        <v>3718</v>
      </c>
      <c r="Z1087" t="s">
        <v>89</v>
      </c>
      <c r="AA1087" t="s">
        <v>89</v>
      </c>
      <c r="AC1087" t="s">
        <v>89</v>
      </c>
      <c r="AD1087" t="s">
        <v>89</v>
      </c>
      <c r="AE1087" t="s">
        <v>3652</v>
      </c>
      <c r="AF1087" s="4"/>
    </row>
    <row r="1088" spans="1:32">
      <c r="A1088" t="s">
        <v>11084</v>
      </c>
      <c r="B1088" t="s">
        <v>9366</v>
      </c>
      <c r="C1088" t="s">
        <v>5505</v>
      </c>
      <c r="D1088" t="s">
        <v>54</v>
      </c>
      <c r="E1088" t="s">
        <v>11085</v>
      </c>
      <c r="F1088" t="s">
        <v>5503</v>
      </c>
      <c r="G1088">
        <v>263644</v>
      </c>
      <c r="I1088">
        <v>263644</v>
      </c>
      <c r="J1088">
        <v>263644</v>
      </c>
      <c r="K1088" s="4">
        <v>45401</v>
      </c>
      <c r="L1088" s="4">
        <v>45401</v>
      </c>
      <c r="M1088">
        <v>2024</v>
      </c>
      <c r="N1088">
        <v>4</v>
      </c>
      <c r="O1088" s="4">
        <v>45383</v>
      </c>
      <c r="P1088" t="s">
        <v>89</v>
      </c>
      <c r="Q1088" s="4">
        <v>45471</v>
      </c>
      <c r="S1088" t="s">
        <v>5504</v>
      </c>
      <c r="T1088">
        <v>45450</v>
      </c>
      <c r="U1088">
        <v>263644</v>
      </c>
      <c r="V1088">
        <v>1</v>
      </c>
      <c r="W1088" t="s">
        <v>17</v>
      </c>
      <c r="X1088" t="s">
        <v>3718</v>
      </c>
      <c r="Z1088" t="s">
        <v>89</v>
      </c>
      <c r="AA1088" t="s">
        <v>89</v>
      </c>
      <c r="AB1088" t="s">
        <v>11081</v>
      </c>
      <c r="AC1088" t="s">
        <v>89</v>
      </c>
      <c r="AD1088" t="s">
        <v>89</v>
      </c>
      <c r="AE1088" t="s">
        <v>3652</v>
      </c>
      <c r="AF1088" s="4"/>
    </row>
    <row r="1089" spans="1:32">
      <c r="A1089" t="s">
        <v>11086</v>
      </c>
      <c r="B1089" t="s">
        <v>9366</v>
      </c>
      <c r="C1089" t="s">
        <v>11087</v>
      </c>
      <c r="D1089" t="s">
        <v>54</v>
      </c>
      <c r="E1089" t="s">
        <v>11088</v>
      </c>
      <c r="F1089" t="s">
        <v>5530</v>
      </c>
      <c r="G1089">
        <v>2386.17</v>
      </c>
      <c r="I1089">
        <v>2386.17</v>
      </c>
      <c r="K1089" s="4">
        <v>45133</v>
      </c>
      <c r="L1089" s="4">
        <v>45136</v>
      </c>
      <c r="M1089">
        <v>2023</v>
      </c>
      <c r="N1089">
        <v>7</v>
      </c>
      <c r="O1089" s="4">
        <v>45108</v>
      </c>
      <c r="P1089" t="s">
        <v>837</v>
      </c>
      <c r="Q1089" s="4"/>
      <c r="R1089" t="s">
        <v>5529</v>
      </c>
      <c r="S1089" t="s">
        <v>3354</v>
      </c>
      <c r="U1089">
        <v>5965.42</v>
      </c>
      <c r="V1089">
        <v>0.40000033526558065</v>
      </c>
      <c r="W1089" t="s">
        <v>16</v>
      </c>
      <c r="X1089" t="s">
        <v>4109</v>
      </c>
      <c r="Z1089">
        <v>419</v>
      </c>
      <c r="AA1089">
        <v>416</v>
      </c>
      <c r="AC1089" t="s">
        <v>837</v>
      </c>
      <c r="AD1089" t="s">
        <v>837</v>
      </c>
      <c r="AE1089" t="s">
        <v>3652</v>
      </c>
      <c r="AF1089" s="4"/>
    </row>
    <row r="1090" spans="1:32">
      <c r="A1090" t="s">
        <v>11089</v>
      </c>
      <c r="B1090" t="s">
        <v>9366</v>
      </c>
      <c r="C1090" t="s">
        <v>11090</v>
      </c>
      <c r="D1090" t="s">
        <v>54</v>
      </c>
      <c r="E1090" t="s">
        <v>11091</v>
      </c>
      <c r="F1090" t="s">
        <v>5531</v>
      </c>
      <c r="G1090">
        <v>2386.17</v>
      </c>
      <c r="I1090">
        <v>2386.17</v>
      </c>
      <c r="K1090" s="4">
        <v>45133</v>
      </c>
      <c r="L1090" s="4">
        <v>45136</v>
      </c>
      <c r="M1090">
        <v>2023</v>
      </c>
      <c r="N1090">
        <v>7</v>
      </c>
      <c r="O1090" s="4">
        <v>45108</v>
      </c>
      <c r="P1090" t="s">
        <v>837</v>
      </c>
      <c r="Q1090" s="4"/>
      <c r="R1090" t="s">
        <v>5529</v>
      </c>
      <c r="S1090" t="s">
        <v>3350</v>
      </c>
      <c r="U1090">
        <v>5965.42</v>
      </c>
      <c r="V1090">
        <v>0.40000033526558065</v>
      </c>
      <c r="W1090" t="s">
        <v>16</v>
      </c>
      <c r="X1090" t="s">
        <v>4109</v>
      </c>
      <c r="Z1090">
        <v>419</v>
      </c>
      <c r="AA1090">
        <v>416</v>
      </c>
      <c r="AC1090" t="s">
        <v>837</v>
      </c>
      <c r="AD1090" t="s">
        <v>837</v>
      </c>
      <c r="AE1090" t="s">
        <v>3652</v>
      </c>
      <c r="AF1090" s="4"/>
    </row>
    <row r="1091" spans="1:32">
      <c r="A1091" t="s">
        <v>11092</v>
      </c>
      <c r="B1091" t="s">
        <v>9366</v>
      </c>
      <c r="C1091" t="s">
        <v>11093</v>
      </c>
      <c r="D1091" t="s">
        <v>54</v>
      </c>
      <c r="E1091" t="s">
        <v>11094</v>
      </c>
      <c r="F1091" t="s">
        <v>5532</v>
      </c>
      <c r="G1091">
        <v>2961.1</v>
      </c>
      <c r="I1091">
        <v>2961.1</v>
      </c>
      <c r="K1091" s="4">
        <v>45133</v>
      </c>
      <c r="L1091" s="4">
        <v>45136</v>
      </c>
      <c r="M1091">
        <v>2023</v>
      </c>
      <c r="N1091">
        <v>7</v>
      </c>
      <c r="O1091" s="4">
        <v>45108</v>
      </c>
      <c r="P1091" t="s">
        <v>837</v>
      </c>
      <c r="Q1091" s="4"/>
      <c r="R1091" t="s">
        <v>5529</v>
      </c>
      <c r="S1091" t="s">
        <v>3407</v>
      </c>
      <c r="U1091">
        <v>7402.76</v>
      </c>
      <c r="V1091">
        <v>0.39999945966099126</v>
      </c>
      <c r="W1091" t="s">
        <v>16</v>
      </c>
      <c r="X1091" t="s">
        <v>4109</v>
      </c>
      <c r="Z1091">
        <v>419</v>
      </c>
      <c r="AA1091">
        <v>416</v>
      </c>
      <c r="AC1091" t="s">
        <v>837</v>
      </c>
      <c r="AD1091" t="s">
        <v>837</v>
      </c>
      <c r="AE1091" t="s">
        <v>3652</v>
      </c>
      <c r="AF1091" s="4"/>
    </row>
    <row r="1092" spans="1:32">
      <c r="A1092" t="s">
        <v>11095</v>
      </c>
      <c r="B1092" t="s">
        <v>9366</v>
      </c>
      <c r="C1092" t="s">
        <v>11096</v>
      </c>
      <c r="D1092" t="s">
        <v>54</v>
      </c>
      <c r="E1092" t="s">
        <v>11097</v>
      </c>
      <c r="F1092" t="s">
        <v>5540</v>
      </c>
      <c r="G1092">
        <v>28150.53</v>
      </c>
      <c r="I1092">
        <v>28150.53</v>
      </c>
      <c r="K1092" s="4">
        <v>45040</v>
      </c>
      <c r="L1092" s="4">
        <v>45079</v>
      </c>
      <c r="M1092">
        <v>2023</v>
      </c>
      <c r="N1092">
        <v>4</v>
      </c>
      <c r="O1092" s="4">
        <v>45017</v>
      </c>
      <c r="P1092" t="s">
        <v>837</v>
      </c>
      <c r="Q1092" s="4"/>
      <c r="R1092" t="s">
        <v>4870</v>
      </c>
      <c r="S1092" t="s">
        <v>5541</v>
      </c>
      <c r="U1092">
        <v>70376.320000000007</v>
      </c>
      <c r="V1092">
        <v>0.40000002841864984</v>
      </c>
      <c r="W1092" t="s">
        <v>16</v>
      </c>
      <c r="X1092" t="s">
        <v>3932</v>
      </c>
      <c r="Z1092">
        <v>512</v>
      </c>
      <c r="AA1092">
        <v>473</v>
      </c>
      <c r="AC1092" t="s">
        <v>837</v>
      </c>
      <c r="AD1092" t="s">
        <v>837</v>
      </c>
      <c r="AE1092" t="s">
        <v>3652</v>
      </c>
      <c r="AF1092" s="4"/>
    </row>
    <row r="1093" spans="1:32">
      <c r="A1093" t="s">
        <v>11098</v>
      </c>
      <c r="B1093" t="s">
        <v>9366</v>
      </c>
      <c r="C1093" t="s">
        <v>4693</v>
      </c>
      <c r="D1093" t="s">
        <v>54</v>
      </c>
      <c r="E1093" t="s">
        <v>10528</v>
      </c>
      <c r="F1093" t="s">
        <v>4692</v>
      </c>
      <c r="G1093">
        <v>821.86199999999997</v>
      </c>
      <c r="I1093">
        <v>821.86199999999997</v>
      </c>
      <c r="J1093">
        <v>821.86199999999997</v>
      </c>
      <c r="K1093" s="4">
        <v>45506</v>
      </c>
      <c r="L1093" s="4">
        <v>45506</v>
      </c>
      <c r="M1093">
        <v>2024</v>
      </c>
      <c r="N1093">
        <v>8</v>
      </c>
      <c r="O1093" s="4">
        <v>45505</v>
      </c>
      <c r="P1093" t="s">
        <v>89</v>
      </c>
      <c r="Q1093" s="4">
        <v>45548</v>
      </c>
      <c r="S1093" t="s">
        <v>3173</v>
      </c>
      <c r="T1093">
        <v>45523</v>
      </c>
      <c r="U1093">
        <v>1369.77</v>
      </c>
      <c r="V1093">
        <v>0.6</v>
      </c>
      <c r="W1093" t="s">
        <v>16</v>
      </c>
      <c r="X1093" t="s">
        <v>3711</v>
      </c>
      <c r="Z1093" t="s">
        <v>89</v>
      </c>
      <c r="AA1093" t="s">
        <v>89</v>
      </c>
      <c r="AB1093" t="s">
        <v>10179</v>
      </c>
      <c r="AE1093" t="s">
        <v>9251</v>
      </c>
      <c r="AF1093" s="4"/>
    </row>
    <row r="1094" spans="1:32">
      <c r="A1094" t="s">
        <v>11099</v>
      </c>
      <c r="B1094" t="s">
        <v>9366</v>
      </c>
      <c r="C1094" t="s">
        <v>4695</v>
      </c>
      <c r="D1094" t="s">
        <v>54</v>
      </c>
      <c r="E1094" t="s">
        <v>10530</v>
      </c>
      <c r="F1094" t="s">
        <v>4694</v>
      </c>
      <c r="G1094">
        <v>547.9079999999999</v>
      </c>
      <c r="I1094">
        <v>547.9079999999999</v>
      </c>
      <c r="J1094">
        <v>547.9079999999999</v>
      </c>
      <c r="K1094" s="4">
        <v>45506</v>
      </c>
      <c r="L1094" s="4">
        <v>45506</v>
      </c>
      <c r="M1094">
        <v>2024</v>
      </c>
      <c r="N1094">
        <v>8</v>
      </c>
      <c r="O1094" s="4">
        <v>45505</v>
      </c>
      <c r="P1094" t="s">
        <v>89</v>
      </c>
      <c r="Q1094" s="4">
        <v>45548</v>
      </c>
      <c r="S1094" t="s">
        <v>3242</v>
      </c>
      <c r="T1094">
        <v>45523</v>
      </c>
      <c r="U1094">
        <v>913.18</v>
      </c>
      <c r="V1094">
        <v>0.6</v>
      </c>
      <c r="W1094" t="s">
        <v>16</v>
      </c>
      <c r="X1094" t="s">
        <v>3711</v>
      </c>
      <c r="Z1094" t="s">
        <v>89</v>
      </c>
      <c r="AA1094" t="s">
        <v>89</v>
      </c>
      <c r="AB1094" t="s">
        <v>10179</v>
      </c>
      <c r="AE1094" t="s">
        <v>9251</v>
      </c>
      <c r="AF1094" s="4"/>
    </row>
    <row r="1095" spans="1:32">
      <c r="A1095" t="s">
        <v>11100</v>
      </c>
      <c r="B1095" t="s">
        <v>9366</v>
      </c>
      <c r="C1095" t="s">
        <v>5554</v>
      </c>
      <c r="D1095" t="s">
        <v>54</v>
      </c>
      <c r="E1095" t="s">
        <v>6764</v>
      </c>
      <c r="F1095" t="s">
        <v>5553</v>
      </c>
      <c r="K1095" s="4">
        <v>45133</v>
      </c>
      <c r="L1095" s="4">
        <v>45136</v>
      </c>
      <c r="M1095">
        <v>2023</v>
      </c>
      <c r="N1095">
        <v>7</v>
      </c>
      <c r="O1095" s="4">
        <v>45108</v>
      </c>
      <c r="P1095" t="s">
        <v>837</v>
      </c>
      <c r="Q1095" s="4"/>
      <c r="R1095" t="s">
        <v>5529</v>
      </c>
      <c r="S1095" t="s">
        <v>3500</v>
      </c>
      <c r="V1095">
        <v>0.40000027016913936</v>
      </c>
      <c r="W1095" t="s">
        <v>16</v>
      </c>
      <c r="X1095" t="s">
        <v>4109</v>
      </c>
      <c r="Z1095">
        <v>419</v>
      </c>
      <c r="AA1095">
        <v>416</v>
      </c>
      <c r="AC1095" t="s">
        <v>837</v>
      </c>
      <c r="AD1095" t="s">
        <v>837</v>
      </c>
      <c r="AE1095" t="s">
        <v>3652</v>
      </c>
      <c r="AF1095" s="4"/>
    </row>
    <row r="1096" spans="1:32">
      <c r="A1096" t="s">
        <v>11101</v>
      </c>
      <c r="B1096" t="s">
        <v>9366</v>
      </c>
      <c r="C1096" t="s">
        <v>4697</v>
      </c>
      <c r="D1096" t="s">
        <v>54</v>
      </c>
      <c r="E1096" t="s">
        <v>10532</v>
      </c>
      <c r="F1096" t="s">
        <v>4696</v>
      </c>
      <c r="G1096">
        <v>547.9079999999999</v>
      </c>
      <c r="I1096">
        <v>547.9079999999999</v>
      </c>
      <c r="J1096">
        <v>547.9079999999999</v>
      </c>
      <c r="K1096" s="4">
        <v>45506</v>
      </c>
      <c r="L1096" s="4">
        <v>45506</v>
      </c>
      <c r="M1096">
        <v>2024</v>
      </c>
      <c r="N1096">
        <v>8</v>
      </c>
      <c r="O1096" s="4">
        <v>45505</v>
      </c>
      <c r="P1096" t="s">
        <v>89</v>
      </c>
      <c r="Q1096" s="4">
        <v>45548</v>
      </c>
      <c r="S1096" t="s">
        <v>3244</v>
      </c>
      <c r="T1096">
        <v>45523</v>
      </c>
      <c r="U1096">
        <v>913.18</v>
      </c>
      <c r="V1096">
        <v>0.6</v>
      </c>
      <c r="W1096" t="s">
        <v>16</v>
      </c>
      <c r="X1096" t="s">
        <v>3711</v>
      </c>
      <c r="Z1096" t="s">
        <v>89</v>
      </c>
      <c r="AA1096" t="s">
        <v>89</v>
      </c>
      <c r="AB1096" t="s">
        <v>10179</v>
      </c>
      <c r="AE1096" t="s">
        <v>9251</v>
      </c>
      <c r="AF1096" s="4"/>
    </row>
    <row r="1097" spans="1:32">
      <c r="B1097" t="s">
        <v>9366</v>
      </c>
      <c r="C1097" t="s">
        <v>4699</v>
      </c>
      <c r="D1097" t="s">
        <v>54</v>
      </c>
      <c r="E1097" t="s">
        <v>10534</v>
      </c>
      <c r="F1097" t="s">
        <v>4698</v>
      </c>
      <c r="G1097">
        <v>547.9079999999999</v>
      </c>
      <c r="I1097">
        <v>547.9079999999999</v>
      </c>
      <c r="J1097">
        <v>547.9079999999999</v>
      </c>
      <c r="K1097" s="4">
        <v>45506</v>
      </c>
      <c r="L1097" s="4">
        <v>45506</v>
      </c>
      <c r="M1097">
        <v>2024</v>
      </c>
      <c r="N1097">
        <v>8</v>
      </c>
      <c r="O1097" s="4">
        <v>45505</v>
      </c>
      <c r="P1097" t="s">
        <v>89</v>
      </c>
      <c r="Q1097" s="4">
        <v>45548</v>
      </c>
      <c r="S1097" t="s">
        <v>3246</v>
      </c>
      <c r="T1097">
        <v>45523</v>
      </c>
      <c r="U1097">
        <v>913.18</v>
      </c>
      <c r="V1097">
        <v>0.6</v>
      </c>
      <c r="W1097" t="s">
        <v>16</v>
      </c>
      <c r="X1097" t="s">
        <v>3711</v>
      </c>
      <c r="Z1097" t="s">
        <v>89</v>
      </c>
      <c r="AA1097" t="s">
        <v>89</v>
      </c>
      <c r="AB1097" t="s">
        <v>10179</v>
      </c>
      <c r="AE1097" t="s">
        <v>9251</v>
      </c>
      <c r="AF1097" s="4"/>
    </row>
    <row r="1098" spans="1:32">
      <c r="B1098" t="s">
        <v>9366</v>
      </c>
      <c r="C1098" t="s">
        <v>5582</v>
      </c>
      <c r="D1098" t="s">
        <v>54</v>
      </c>
      <c r="E1098" t="s">
        <v>6797</v>
      </c>
      <c r="F1098" t="s">
        <v>5581</v>
      </c>
      <c r="I1098">
        <v>0</v>
      </c>
      <c r="K1098" s="4">
        <v>45133</v>
      </c>
      <c r="L1098" s="4">
        <v>45136</v>
      </c>
      <c r="M1098">
        <v>2023</v>
      </c>
      <c r="N1098">
        <v>7</v>
      </c>
      <c r="O1098" s="4">
        <v>45108</v>
      </c>
      <c r="P1098" t="s">
        <v>837</v>
      </c>
      <c r="Q1098" s="4"/>
      <c r="R1098" t="s">
        <v>5529</v>
      </c>
      <c r="S1098" t="s">
        <v>3346</v>
      </c>
      <c r="V1098">
        <v>0.39999966473498139</v>
      </c>
      <c r="W1098" t="s">
        <v>16</v>
      </c>
      <c r="X1098" t="s">
        <v>4109</v>
      </c>
      <c r="Z1098">
        <v>419</v>
      </c>
      <c r="AA1098">
        <v>416</v>
      </c>
      <c r="AC1098" t="s">
        <v>837</v>
      </c>
      <c r="AD1098" t="s">
        <v>837</v>
      </c>
      <c r="AE1098" t="s">
        <v>3652</v>
      </c>
      <c r="AF1098" s="4"/>
    </row>
    <row r="1099" spans="1:32">
      <c r="B1099" t="s">
        <v>9366</v>
      </c>
      <c r="C1099" t="s">
        <v>5596</v>
      </c>
      <c r="D1099" t="s">
        <v>54</v>
      </c>
      <c r="E1099" t="s">
        <v>11102</v>
      </c>
      <c r="F1099" t="s">
        <v>5594</v>
      </c>
      <c r="K1099" s="4">
        <v>45133</v>
      </c>
      <c r="L1099" s="4">
        <v>45136</v>
      </c>
      <c r="M1099">
        <v>2023</v>
      </c>
      <c r="N1099">
        <v>7</v>
      </c>
      <c r="O1099" s="4">
        <v>45108</v>
      </c>
      <c r="P1099" t="s">
        <v>837</v>
      </c>
      <c r="Q1099" s="4"/>
      <c r="R1099" t="s">
        <v>5529</v>
      </c>
      <c r="V1099">
        <v>0.39999966473498139</v>
      </c>
      <c r="W1099" t="s">
        <v>16</v>
      </c>
      <c r="X1099" t="s">
        <v>4109</v>
      </c>
      <c r="Z1099">
        <v>419</v>
      </c>
      <c r="AA1099">
        <v>416</v>
      </c>
      <c r="AC1099" t="s">
        <v>837</v>
      </c>
      <c r="AD1099" t="s">
        <v>837</v>
      </c>
      <c r="AE1099" t="s">
        <v>3652</v>
      </c>
      <c r="AF1099" s="4"/>
    </row>
    <row r="1100" spans="1:32">
      <c r="B1100" t="s">
        <v>9366</v>
      </c>
      <c r="C1100" t="s">
        <v>5600</v>
      </c>
      <c r="D1100" t="s">
        <v>54</v>
      </c>
      <c r="E1100" t="s">
        <v>6811</v>
      </c>
      <c r="F1100" t="s">
        <v>5599</v>
      </c>
      <c r="K1100" s="4">
        <v>45133</v>
      </c>
      <c r="L1100" s="4">
        <v>45136</v>
      </c>
      <c r="M1100">
        <v>2023</v>
      </c>
      <c r="N1100">
        <v>7</v>
      </c>
      <c r="O1100" s="4">
        <v>45108</v>
      </c>
      <c r="P1100" t="s">
        <v>837</v>
      </c>
      <c r="Q1100" s="4"/>
      <c r="R1100" t="s">
        <v>5529</v>
      </c>
      <c r="S1100" t="s">
        <v>3348</v>
      </c>
      <c r="V1100">
        <v>0.39999966473498139</v>
      </c>
      <c r="W1100" t="s">
        <v>16</v>
      </c>
      <c r="X1100" t="s">
        <v>4109</v>
      </c>
      <c r="Z1100">
        <v>419</v>
      </c>
      <c r="AA1100">
        <v>416</v>
      </c>
      <c r="AC1100" t="s">
        <v>837</v>
      </c>
      <c r="AD1100" t="s">
        <v>837</v>
      </c>
      <c r="AE1100" t="s">
        <v>3652</v>
      </c>
      <c r="AF1100" s="4"/>
    </row>
    <row r="1101" spans="1:32">
      <c r="B1101" t="s">
        <v>9366</v>
      </c>
      <c r="C1101" t="s">
        <v>4701</v>
      </c>
      <c r="D1101" t="s">
        <v>54</v>
      </c>
      <c r="E1101" t="s">
        <v>10536</v>
      </c>
      <c r="F1101" t="s">
        <v>4700</v>
      </c>
      <c r="G1101">
        <v>547.9079999999999</v>
      </c>
      <c r="I1101">
        <v>547.9079999999999</v>
      </c>
      <c r="J1101">
        <v>547.9079999999999</v>
      </c>
      <c r="K1101" s="4">
        <v>45506</v>
      </c>
      <c r="L1101" s="4">
        <v>45506</v>
      </c>
      <c r="M1101">
        <v>2024</v>
      </c>
      <c r="N1101">
        <v>8</v>
      </c>
      <c r="O1101" s="4">
        <v>45505</v>
      </c>
      <c r="P1101" t="s">
        <v>89</v>
      </c>
      <c r="Q1101" s="4">
        <v>45548</v>
      </c>
      <c r="S1101" t="s">
        <v>3445</v>
      </c>
      <c r="T1101">
        <v>45523</v>
      </c>
      <c r="U1101">
        <v>913.18</v>
      </c>
      <c r="V1101">
        <v>0.6</v>
      </c>
      <c r="W1101" t="s">
        <v>16</v>
      </c>
      <c r="X1101" t="s">
        <v>3711</v>
      </c>
      <c r="Z1101" t="s">
        <v>89</v>
      </c>
      <c r="AA1101" t="s">
        <v>89</v>
      </c>
      <c r="AB1101" t="s">
        <v>10179</v>
      </c>
      <c r="AE1101" t="s">
        <v>9251</v>
      </c>
      <c r="AF1101" s="4"/>
    </row>
    <row r="1102" spans="1:32">
      <c r="A1102" t="s">
        <v>11103</v>
      </c>
      <c r="B1102" t="s">
        <v>9366</v>
      </c>
      <c r="C1102" t="s">
        <v>5603</v>
      </c>
      <c r="D1102" t="s">
        <v>54</v>
      </c>
      <c r="E1102" t="s">
        <v>6812</v>
      </c>
      <c r="F1102" t="s">
        <v>5602</v>
      </c>
      <c r="G1102">
        <v>5965.43</v>
      </c>
      <c r="I1102">
        <v>5965.43</v>
      </c>
      <c r="J1102">
        <v>5965.43</v>
      </c>
      <c r="K1102" s="4">
        <v>45345</v>
      </c>
      <c r="L1102" s="4">
        <v>45408</v>
      </c>
      <c r="M1102">
        <v>2024</v>
      </c>
      <c r="N1102">
        <v>2</v>
      </c>
      <c r="O1102" s="4">
        <v>45323</v>
      </c>
      <c r="P1102" t="s">
        <v>89</v>
      </c>
      <c r="Q1102" s="4">
        <v>45488</v>
      </c>
      <c r="R1102" t="s">
        <v>5604</v>
      </c>
      <c r="S1102" t="s">
        <v>3201</v>
      </c>
      <c r="T1102">
        <v>45470</v>
      </c>
      <c r="U1102">
        <v>5965.43</v>
      </c>
      <c r="V1102">
        <v>1</v>
      </c>
      <c r="W1102" t="s">
        <v>16</v>
      </c>
      <c r="X1102" t="s">
        <v>4109</v>
      </c>
      <c r="Z1102" t="s">
        <v>89</v>
      </c>
      <c r="AA1102" t="s">
        <v>89</v>
      </c>
      <c r="AB1102" t="s">
        <v>11104</v>
      </c>
      <c r="AC1102" t="s">
        <v>89</v>
      </c>
      <c r="AD1102" t="s">
        <v>89</v>
      </c>
      <c r="AE1102" t="s">
        <v>3652</v>
      </c>
      <c r="AF1102" s="4"/>
    </row>
    <row r="1103" spans="1:32">
      <c r="A1103" t="s">
        <v>11105</v>
      </c>
      <c r="B1103" t="s">
        <v>9366</v>
      </c>
      <c r="C1103" t="s">
        <v>5744</v>
      </c>
      <c r="D1103" t="s">
        <v>54</v>
      </c>
      <c r="E1103" t="s">
        <v>11106</v>
      </c>
      <c r="F1103" t="s">
        <v>5742</v>
      </c>
      <c r="G1103">
        <v>85468.824000000008</v>
      </c>
      <c r="I1103">
        <v>85468.824000000008</v>
      </c>
      <c r="J1103">
        <v>85468.824000000008</v>
      </c>
      <c r="K1103" s="4">
        <v>45436</v>
      </c>
      <c r="L1103" s="4">
        <v>45436</v>
      </c>
      <c r="M1103">
        <v>2024</v>
      </c>
      <c r="N1103">
        <v>5</v>
      </c>
      <c r="O1103" s="4">
        <v>45413</v>
      </c>
      <c r="P1103" t="s">
        <v>89</v>
      </c>
      <c r="Q1103" s="4">
        <v>45519</v>
      </c>
      <c r="S1103" t="s">
        <v>5743</v>
      </c>
      <c r="T1103">
        <v>45505</v>
      </c>
      <c r="U1103">
        <v>142448.04</v>
      </c>
      <c r="V1103">
        <v>0.6</v>
      </c>
      <c r="W1103" t="s">
        <v>17</v>
      </c>
      <c r="X1103" t="s">
        <v>3918</v>
      </c>
      <c r="Z1103" t="s">
        <v>89</v>
      </c>
      <c r="AA1103" t="s">
        <v>89</v>
      </c>
      <c r="AB1103" t="s">
        <v>11107</v>
      </c>
      <c r="AC1103" t="s">
        <v>625</v>
      </c>
      <c r="AD1103" t="s">
        <v>1848</v>
      </c>
      <c r="AE1103" t="s">
        <v>9251</v>
      </c>
      <c r="AF1103" s="4"/>
    </row>
    <row r="1104" spans="1:32">
      <c r="A1104" t="s">
        <v>11108</v>
      </c>
      <c r="B1104" t="s">
        <v>9366</v>
      </c>
      <c r="C1104" t="s">
        <v>5608</v>
      </c>
      <c r="D1104" t="s">
        <v>54</v>
      </c>
      <c r="E1104" t="s">
        <v>11109</v>
      </c>
      <c r="F1104" t="s">
        <v>5605</v>
      </c>
      <c r="G1104">
        <v>23659.61</v>
      </c>
      <c r="I1104">
        <v>23659.61</v>
      </c>
      <c r="J1104">
        <v>23659.61</v>
      </c>
      <c r="K1104" s="4">
        <v>44958</v>
      </c>
      <c r="L1104" s="4">
        <v>44958</v>
      </c>
      <c r="M1104">
        <v>2023</v>
      </c>
      <c r="N1104">
        <v>2</v>
      </c>
      <c r="O1104" s="4">
        <v>44958</v>
      </c>
      <c r="P1104" t="s">
        <v>89</v>
      </c>
      <c r="Q1104" s="4">
        <v>45015</v>
      </c>
      <c r="S1104" t="s">
        <v>5607</v>
      </c>
      <c r="U1104">
        <v>59149.02</v>
      </c>
      <c r="V1104">
        <v>0.40000003381290172</v>
      </c>
      <c r="W1104" t="s">
        <v>17</v>
      </c>
      <c r="X1104" t="s">
        <v>3918</v>
      </c>
      <c r="Z1104" t="s">
        <v>89</v>
      </c>
      <c r="AA1104" t="s">
        <v>89</v>
      </c>
      <c r="AC1104" t="s">
        <v>89</v>
      </c>
      <c r="AD1104">
        <v>0</v>
      </c>
      <c r="AE1104" t="s">
        <v>9251</v>
      </c>
      <c r="AF1104" s="4"/>
    </row>
    <row r="1105" spans="1:32">
      <c r="A1105" t="s">
        <v>11110</v>
      </c>
      <c r="B1105" t="s">
        <v>9366</v>
      </c>
      <c r="C1105" t="s">
        <v>5612</v>
      </c>
      <c r="D1105" t="s">
        <v>54</v>
      </c>
      <c r="E1105" t="s">
        <v>11111</v>
      </c>
      <c r="F1105" t="s">
        <v>5610</v>
      </c>
      <c r="G1105">
        <v>23659.61</v>
      </c>
      <c r="I1105">
        <v>23659.61</v>
      </c>
      <c r="J1105">
        <v>23659.61</v>
      </c>
      <c r="K1105" s="4">
        <v>44958</v>
      </c>
      <c r="L1105" s="4">
        <v>44958</v>
      </c>
      <c r="M1105">
        <v>2023</v>
      </c>
      <c r="N1105">
        <v>2</v>
      </c>
      <c r="O1105" s="4">
        <v>44958</v>
      </c>
      <c r="P1105" t="s">
        <v>89</v>
      </c>
      <c r="Q1105" s="4">
        <v>45015</v>
      </c>
      <c r="S1105" t="s">
        <v>5611</v>
      </c>
      <c r="U1105">
        <v>59149.02</v>
      </c>
      <c r="V1105">
        <v>0.40000003381290172</v>
      </c>
      <c r="W1105" t="s">
        <v>17</v>
      </c>
      <c r="X1105" t="s">
        <v>3918</v>
      </c>
      <c r="Z1105" t="s">
        <v>89</v>
      </c>
      <c r="AA1105" t="s">
        <v>89</v>
      </c>
      <c r="AC1105" t="s">
        <v>89</v>
      </c>
      <c r="AD1105">
        <v>0</v>
      </c>
      <c r="AE1105" t="s">
        <v>9251</v>
      </c>
      <c r="AF1105" s="4"/>
    </row>
    <row r="1106" spans="1:32">
      <c r="A1106" t="s">
        <v>11112</v>
      </c>
      <c r="B1106" t="s">
        <v>9366</v>
      </c>
      <c r="C1106" t="s">
        <v>5617</v>
      </c>
      <c r="D1106" t="s">
        <v>54</v>
      </c>
      <c r="E1106" t="s">
        <v>11113</v>
      </c>
      <c r="F1106" t="s">
        <v>5613</v>
      </c>
      <c r="G1106">
        <v>108667.61</v>
      </c>
      <c r="I1106">
        <v>108667.61</v>
      </c>
      <c r="J1106">
        <v>108667.61</v>
      </c>
      <c r="K1106" s="4">
        <v>45408</v>
      </c>
      <c r="L1106" s="4">
        <v>45408</v>
      </c>
      <c r="M1106">
        <v>2024</v>
      </c>
      <c r="N1106">
        <v>4</v>
      </c>
      <c r="O1106" s="4">
        <v>45383</v>
      </c>
      <c r="P1106" t="s">
        <v>89</v>
      </c>
      <c r="Q1106" s="4">
        <v>45471</v>
      </c>
      <c r="R1106" t="s">
        <v>3921</v>
      </c>
      <c r="S1106" t="s">
        <v>5615</v>
      </c>
      <c r="T1106">
        <v>45450</v>
      </c>
      <c r="U1106">
        <v>181112.68</v>
      </c>
      <c r="V1106">
        <v>0.60000001104284917</v>
      </c>
      <c r="W1106" t="s">
        <v>17</v>
      </c>
      <c r="X1106" t="s">
        <v>3918</v>
      </c>
      <c r="Z1106" t="s">
        <v>89</v>
      </c>
      <c r="AA1106" t="s">
        <v>89</v>
      </c>
      <c r="AB1106" t="s">
        <v>11114</v>
      </c>
      <c r="AC1106" t="s">
        <v>89</v>
      </c>
      <c r="AD1106" t="s">
        <v>89</v>
      </c>
      <c r="AE1106" t="s">
        <v>3652</v>
      </c>
      <c r="AF1106" s="4"/>
    </row>
    <row r="1107" spans="1:32">
      <c r="A1107" t="s">
        <v>11115</v>
      </c>
      <c r="B1107" t="s">
        <v>9366</v>
      </c>
      <c r="C1107" t="s">
        <v>5616</v>
      </c>
      <c r="D1107" t="s">
        <v>54</v>
      </c>
      <c r="E1107" t="s">
        <v>11113</v>
      </c>
      <c r="F1107" t="s">
        <v>5613</v>
      </c>
      <c r="G1107">
        <v>72445.070000000007</v>
      </c>
      <c r="I1107">
        <v>72445.070000000007</v>
      </c>
      <c r="J1107">
        <v>72445.070000000007</v>
      </c>
      <c r="K1107" s="4">
        <v>44985</v>
      </c>
      <c r="L1107" s="4">
        <v>44958</v>
      </c>
      <c r="M1107">
        <v>2023</v>
      </c>
      <c r="N1107">
        <v>2</v>
      </c>
      <c r="O1107" s="4">
        <v>44958</v>
      </c>
      <c r="P1107" t="s">
        <v>89</v>
      </c>
      <c r="Q1107" s="4">
        <v>45030</v>
      </c>
      <c r="S1107" t="s">
        <v>5615</v>
      </c>
      <c r="U1107">
        <v>181112.68</v>
      </c>
      <c r="V1107">
        <v>0.39999998895715094</v>
      </c>
      <c r="W1107" t="s">
        <v>17</v>
      </c>
      <c r="X1107" t="s">
        <v>3918</v>
      </c>
      <c r="Z1107" t="s">
        <v>89</v>
      </c>
      <c r="AA1107" t="s">
        <v>89</v>
      </c>
      <c r="AC1107" t="s">
        <v>89</v>
      </c>
      <c r="AD1107">
        <v>0</v>
      </c>
      <c r="AE1107" t="s">
        <v>9251</v>
      </c>
      <c r="AF1107" s="4"/>
    </row>
    <row r="1108" spans="1:32">
      <c r="A1108" t="s">
        <v>11116</v>
      </c>
      <c r="B1108" t="s">
        <v>9366</v>
      </c>
      <c r="C1108" t="s">
        <v>5747</v>
      </c>
      <c r="D1108" t="s">
        <v>54</v>
      </c>
      <c r="E1108" t="s">
        <v>11117</v>
      </c>
      <c r="F1108" t="s">
        <v>5745</v>
      </c>
      <c r="G1108">
        <v>196332.10799999998</v>
      </c>
      <c r="I1108">
        <v>196332.10799999998</v>
      </c>
      <c r="J1108">
        <v>196332.10799999998</v>
      </c>
      <c r="K1108" s="4">
        <v>45436</v>
      </c>
      <c r="L1108" s="4">
        <v>45436</v>
      </c>
      <c r="M1108">
        <v>2024</v>
      </c>
      <c r="N1108">
        <v>5</v>
      </c>
      <c r="O1108" s="4">
        <v>45413</v>
      </c>
      <c r="P1108" t="s">
        <v>89</v>
      </c>
      <c r="Q1108" s="4">
        <v>45519</v>
      </c>
      <c r="S1108" t="s">
        <v>5746</v>
      </c>
      <c r="T1108">
        <v>45505</v>
      </c>
      <c r="U1108">
        <v>327220.18</v>
      </c>
      <c r="V1108">
        <v>0.6</v>
      </c>
      <c r="W1108" t="s">
        <v>17</v>
      </c>
      <c r="X1108" t="s">
        <v>3918</v>
      </c>
      <c r="Z1108" t="s">
        <v>89</v>
      </c>
      <c r="AA1108" t="s">
        <v>89</v>
      </c>
      <c r="AB1108" t="s">
        <v>11107</v>
      </c>
      <c r="AC1108" t="s">
        <v>625</v>
      </c>
      <c r="AD1108" t="s">
        <v>1848</v>
      </c>
      <c r="AE1108" t="s">
        <v>9251</v>
      </c>
      <c r="AF1108" s="4"/>
    </row>
    <row r="1109" spans="1:32">
      <c r="A1109" t="s">
        <v>11118</v>
      </c>
      <c r="B1109" t="s">
        <v>9366</v>
      </c>
      <c r="D1109" t="s">
        <v>54</v>
      </c>
      <c r="E1109" t="s">
        <v>11119</v>
      </c>
      <c r="F1109" t="s">
        <v>5618</v>
      </c>
      <c r="G1109">
        <v>34519.72</v>
      </c>
      <c r="I1109">
        <v>34519.72</v>
      </c>
      <c r="J1109">
        <v>34519.72</v>
      </c>
      <c r="K1109" s="4">
        <v>44958</v>
      </c>
      <c r="L1109" s="4">
        <v>44958</v>
      </c>
      <c r="M1109">
        <v>2023</v>
      </c>
      <c r="N1109">
        <v>2</v>
      </c>
      <c r="O1109" s="4">
        <v>44958</v>
      </c>
      <c r="P1109" t="s">
        <v>89</v>
      </c>
      <c r="Q1109" s="4">
        <v>45030</v>
      </c>
      <c r="S1109" t="s">
        <v>5619</v>
      </c>
      <c r="U1109">
        <v>86299.29</v>
      </c>
      <c r="V1109">
        <v>0.40000004635032343</v>
      </c>
      <c r="W1109" t="s">
        <v>17</v>
      </c>
      <c r="X1109" t="s">
        <v>3918</v>
      </c>
      <c r="Z1109" t="s">
        <v>89</v>
      </c>
      <c r="AA1109" t="s">
        <v>89</v>
      </c>
      <c r="AC1109" t="s">
        <v>89</v>
      </c>
      <c r="AD1109">
        <v>0</v>
      </c>
      <c r="AE1109" t="s">
        <v>9251</v>
      </c>
      <c r="AF1109" s="4"/>
    </row>
    <row r="1110" spans="1:32">
      <c r="A1110" t="s">
        <v>11120</v>
      </c>
      <c r="B1110" t="s">
        <v>9366</v>
      </c>
      <c r="C1110" t="s">
        <v>5624</v>
      </c>
      <c r="D1110" t="s">
        <v>54</v>
      </c>
      <c r="E1110" t="s">
        <v>11121</v>
      </c>
      <c r="F1110" t="s">
        <v>5621</v>
      </c>
      <c r="G1110">
        <v>39692.25</v>
      </c>
      <c r="I1110">
        <v>39692.25</v>
      </c>
      <c r="J1110">
        <v>39692.25</v>
      </c>
      <c r="K1110" s="4">
        <v>45450</v>
      </c>
      <c r="L1110" s="4">
        <v>45450</v>
      </c>
      <c r="M1110">
        <v>2024</v>
      </c>
      <c r="N1110">
        <v>6</v>
      </c>
      <c r="O1110" s="4">
        <v>45444</v>
      </c>
      <c r="P1110" t="s">
        <v>89</v>
      </c>
      <c r="Q1110" s="4">
        <v>45519</v>
      </c>
      <c r="S1110" t="s">
        <v>5622</v>
      </c>
      <c r="T1110">
        <v>45505</v>
      </c>
      <c r="U1110">
        <v>66153.75</v>
      </c>
      <c r="V1110">
        <v>0.6</v>
      </c>
      <c r="W1110" t="s">
        <v>17</v>
      </c>
      <c r="X1110" t="s">
        <v>3918</v>
      </c>
      <c r="Z1110" t="s">
        <v>89</v>
      </c>
      <c r="AA1110" t="s">
        <v>89</v>
      </c>
      <c r="AB1110" t="s">
        <v>11114</v>
      </c>
      <c r="AC1110" t="s">
        <v>625</v>
      </c>
      <c r="AD1110" t="s">
        <v>1848</v>
      </c>
      <c r="AE1110" t="s">
        <v>9251</v>
      </c>
      <c r="AF1110" s="4"/>
    </row>
    <row r="1111" spans="1:32">
      <c r="A1111" t="s">
        <v>11122</v>
      </c>
      <c r="B1111" t="s">
        <v>9366</v>
      </c>
      <c r="C1111" t="s">
        <v>5623</v>
      </c>
      <c r="D1111" t="s">
        <v>54</v>
      </c>
      <c r="E1111" t="s">
        <v>11121</v>
      </c>
      <c r="F1111" t="s">
        <v>5621</v>
      </c>
      <c r="G1111">
        <v>26461.5</v>
      </c>
      <c r="I1111">
        <v>26461.5</v>
      </c>
      <c r="J1111">
        <v>26461.5</v>
      </c>
      <c r="K1111" s="4">
        <v>44985</v>
      </c>
      <c r="L1111" s="4">
        <v>44958</v>
      </c>
      <c r="M1111">
        <v>2023</v>
      </c>
      <c r="N1111">
        <v>2</v>
      </c>
      <c r="O1111" s="4">
        <v>44958</v>
      </c>
      <c r="P1111" t="s">
        <v>89</v>
      </c>
      <c r="Q1111" s="4">
        <v>45015</v>
      </c>
      <c r="S1111" t="s">
        <v>5622</v>
      </c>
      <c r="U1111">
        <v>66153.75</v>
      </c>
      <c r="V1111">
        <v>0.4</v>
      </c>
      <c r="W1111" t="s">
        <v>17</v>
      </c>
      <c r="X1111" t="s">
        <v>3918</v>
      </c>
      <c r="Z1111" t="s">
        <v>89</v>
      </c>
      <c r="AA1111" t="s">
        <v>89</v>
      </c>
      <c r="AC1111" t="s">
        <v>89</v>
      </c>
      <c r="AD1111" t="s">
        <v>89</v>
      </c>
      <c r="AE1111" t="s">
        <v>3652</v>
      </c>
      <c r="AF1111" s="4"/>
    </row>
    <row r="1112" spans="1:32">
      <c r="A1112" t="s">
        <v>11123</v>
      </c>
      <c r="B1112" t="s">
        <v>9366</v>
      </c>
      <c r="D1112" t="s">
        <v>54</v>
      </c>
      <c r="E1112" t="s">
        <v>11124</v>
      </c>
      <c r="F1112" t="s">
        <v>5625</v>
      </c>
      <c r="G1112">
        <v>26461.5</v>
      </c>
      <c r="I1112">
        <v>26461.5</v>
      </c>
      <c r="J1112">
        <v>26461.5</v>
      </c>
      <c r="K1112" s="4">
        <v>44958</v>
      </c>
      <c r="L1112" s="4">
        <v>44958</v>
      </c>
      <c r="M1112">
        <v>2023</v>
      </c>
      <c r="N1112">
        <v>2</v>
      </c>
      <c r="O1112" s="4">
        <v>44958</v>
      </c>
      <c r="P1112" t="s">
        <v>89</v>
      </c>
      <c r="Q1112" s="4">
        <v>45030</v>
      </c>
      <c r="S1112" t="s">
        <v>5626</v>
      </c>
      <c r="U1112">
        <v>66153.75</v>
      </c>
      <c r="V1112">
        <v>0.4</v>
      </c>
      <c r="W1112" t="s">
        <v>17</v>
      </c>
      <c r="X1112" t="s">
        <v>3918</v>
      </c>
      <c r="Z1112" t="s">
        <v>89</v>
      </c>
      <c r="AA1112" t="s">
        <v>89</v>
      </c>
      <c r="AC1112" t="s">
        <v>89</v>
      </c>
      <c r="AD1112" t="s">
        <v>89</v>
      </c>
      <c r="AE1112" t="s">
        <v>3652</v>
      </c>
      <c r="AF1112" s="4"/>
    </row>
    <row r="1113" spans="1:32">
      <c r="A1113" t="s">
        <v>11125</v>
      </c>
      <c r="B1113" t="s">
        <v>9366</v>
      </c>
      <c r="C1113" t="s">
        <v>5630</v>
      </c>
      <c r="D1113" t="s">
        <v>54</v>
      </c>
      <c r="E1113" t="s">
        <v>11126</v>
      </c>
      <c r="F1113" t="s">
        <v>5627</v>
      </c>
      <c r="G1113">
        <v>39692.25</v>
      </c>
      <c r="I1113">
        <v>39692.25</v>
      </c>
      <c r="J1113">
        <v>39692.25</v>
      </c>
      <c r="K1113" s="4">
        <v>45408</v>
      </c>
      <c r="L1113" s="4">
        <v>45408</v>
      </c>
      <c r="M1113">
        <v>2024</v>
      </c>
      <c r="N1113">
        <v>4</v>
      </c>
      <c r="O1113" s="4">
        <v>45383</v>
      </c>
      <c r="P1113" t="s">
        <v>89</v>
      </c>
      <c r="Q1113" s="4">
        <v>45442</v>
      </c>
      <c r="S1113" t="s">
        <v>5628</v>
      </c>
      <c r="U1113">
        <v>66153.75</v>
      </c>
      <c r="V1113">
        <v>0.6</v>
      </c>
      <c r="W1113" t="s">
        <v>17</v>
      </c>
      <c r="X1113" t="s">
        <v>3918</v>
      </c>
      <c r="Z1113" t="s">
        <v>89</v>
      </c>
      <c r="AA1113" t="s">
        <v>89</v>
      </c>
      <c r="AC1113" t="s">
        <v>89</v>
      </c>
      <c r="AD1113" t="s">
        <v>89</v>
      </c>
      <c r="AE1113" t="s">
        <v>3652</v>
      </c>
      <c r="AF1113" s="4"/>
    </row>
    <row r="1114" spans="1:32">
      <c r="A1114" t="s">
        <v>11127</v>
      </c>
      <c r="B1114" t="s">
        <v>9366</v>
      </c>
      <c r="C1114" t="s">
        <v>5629</v>
      </c>
      <c r="D1114" t="s">
        <v>54</v>
      </c>
      <c r="E1114" t="s">
        <v>11126</v>
      </c>
      <c r="F1114" t="s">
        <v>5627</v>
      </c>
      <c r="G1114">
        <v>26461.5</v>
      </c>
      <c r="I1114">
        <v>26461.5</v>
      </c>
      <c r="J1114">
        <v>26461.5</v>
      </c>
      <c r="K1114" s="4">
        <v>44985</v>
      </c>
      <c r="L1114" s="4">
        <v>44958</v>
      </c>
      <c r="M1114">
        <v>2023</v>
      </c>
      <c r="N1114">
        <v>2</v>
      </c>
      <c r="O1114" s="4">
        <v>44958</v>
      </c>
      <c r="P1114" t="s">
        <v>89</v>
      </c>
      <c r="Q1114" s="4">
        <v>45015</v>
      </c>
      <c r="S1114" t="s">
        <v>5628</v>
      </c>
      <c r="U1114">
        <v>66153.75</v>
      </c>
      <c r="V1114">
        <v>0.4</v>
      </c>
      <c r="W1114" t="s">
        <v>17</v>
      </c>
      <c r="X1114" t="s">
        <v>3918</v>
      </c>
      <c r="Z1114" t="s">
        <v>89</v>
      </c>
      <c r="AA1114" t="s">
        <v>89</v>
      </c>
      <c r="AC1114" t="s">
        <v>89</v>
      </c>
      <c r="AD1114">
        <v>0</v>
      </c>
      <c r="AE1114" t="s">
        <v>9251</v>
      </c>
      <c r="AF1114" s="4"/>
    </row>
    <row r="1115" spans="1:32">
      <c r="A1115" t="s">
        <v>11128</v>
      </c>
      <c r="B1115" t="s">
        <v>9366</v>
      </c>
      <c r="C1115" t="s">
        <v>5633</v>
      </c>
      <c r="D1115" t="s">
        <v>54</v>
      </c>
      <c r="E1115" t="s">
        <v>11129</v>
      </c>
      <c r="F1115" t="s">
        <v>5631</v>
      </c>
      <c r="G1115">
        <v>39692.25</v>
      </c>
      <c r="I1115">
        <v>39692.25</v>
      </c>
      <c r="J1115">
        <v>39692.25</v>
      </c>
      <c r="K1115" s="4">
        <v>45408</v>
      </c>
      <c r="L1115" s="4">
        <v>45408</v>
      </c>
      <c r="M1115">
        <v>2024</v>
      </c>
      <c r="N1115">
        <v>4</v>
      </c>
      <c r="O1115" s="4">
        <v>45383</v>
      </c>
      <c r="P1115" t="s">
        <v>89</v>
      </c>
      <c r="Q1115" s="4">
        <v>45442</v>
      </c>
      <c r="S1115" t="s">
        <v>5632</v>
      </c>
      <c r="U1115">
        <v>66153.75</v>
      </c>
      <c r="V1115">
        <v>0.6</v>
      </c>
      <c r="W1115" t="s">
        <v>17</v>
      </c>
      <c r="X1115" t="s">
        <v>3918</v>
      </c>
      <c r="Z1115" t="s">
        <v>89</v>
      </c>
      <c r="AA1115" t="s">
        <v>89</v>
      </c>
      <c r="AC1115" t="s">
        <v>89</v>
      </c>
      <c r="AD1115" t="s">
        <v>89</v>
      </c>
      <c r="AE1115" t="s">
        <v>3652</v>
      </c>
      <c r="AF1115" s="4"/>
    </row>
    <row r="1116" spans="1:32">
      <c r="A1116" t="s">
        <v>11130</v>
      </c>
      <c r="B1116" t="s">
        <v>9366</v>
      </c>
      <c r="D1116" t="s">
        <v>54</v>
      </c>
      <c r="E1116" t="s">
        <v>11129</v>
      </c>
      <c r="F1116" t="s">
        <v>5631</v>
      </c>
      <c r="G1116">
        <v>26461.5</v>
      </c>
      <c r="I1116">
        <v>26461.5</v>
      </c>
      <c r="J1116">
        <v>26461.5</v>
      </c>
      <c r="K1116" s="4">
        <v>44958</v>
      </c>
      <c r="L1116" s="4">
        <v>44958</v>
      </c>
      <c r="M1116">
        <v>2023</v>
      </c>
      <c r="N1116">
        <v>2</v>
      </c>
      <c r="O1116" s="4">
        <v>44958</v>
      </c>
      <c r="P1116" t="s">
        <v>89</v>
      </c>
      <c r="Q1116" s="4">
        <v>45030</v>
      </c>
      <c r="S1116" t="s">
        <v>5632</v>
      </c>
      <c r="U1116">
        <v>66153.75</v>
      </c>
      <c r="V1116">
        <v>0.4</v>
      </c>
      <c r="W1116" t="s">
        <v>17</v>
      </c>
      <c r="X1116" t="s">
        <v>3918</v>
      </c>
      <c r="Z1116" t="s">
        <v>89</v>
      </c>
      <c r="AA1116" t="s">
        <v>89</v>
      </c>
      <c r="AC1116" t="s">
        <v>89</v>
      </c>
      <c r="AD1116">
        <v>0</v>
      </c>
      <c r="AE1116" t="s">
        <v>9251</v>
      </c>
      <c r="AF1116" s="4"/>
    </row>
    <row r="1117" spans="1:32">
      <c r="A1117" t="s">
        <v>11131</v>
      </c>
      <c r="B1117" t="s">
        <v>9366</v>
      </c>
      <c r="C1117" t="s">
        <v>5637</v>
      </c>
      <c r="D1117" t="s">
        <v>54</v>
      </c>
      <c r="E1117" t="s">
        <v>11132</v>
      </c>
      <c r="F1117" t="s">
        <v>5634</v>
      </c>
      <c r="G1117">
        <v>51779.57</v>
      </c>
      <c r="I1117">
        <v>51779.57</v>
      </c>
      <c r="J1117">
        <v>51779.57</v>
      </c>
      <c r="K1117" s="4">
        <v>45408</v>
      </c>
      <c r="L1117" s="4">
        <v>45408</v>
      </c>
      <c r="M1117">
        <v>2024</v>
      </c>
      <c r="N1117">
        <v>4</v>
      </c>
      <c r="O1117" s="4">
        <v>45383</v>
      </c>
      <c r="P1117" t="s">
        <v>89</v>
      </c>
      <c r="Q1117" s="4">
        <v>45458</v>
      </c>
      <c r="R1117" t="s">
        <v>3921</v>
      </c>
      <c r="S1117" t="s">
        <v>5635</v>
      </c>
      <c r="T1117">
        <v>45446</v>
      </c>
      <c r="U1117">
        <v>86299.29</v>
      </c>
      <c r="V1117">
        <v>0.59999995364967662</v>
      </c>
      <c r="W1117" t="s">
        <v>17</v>
      </c>
      <c r="X1117" t="s">
        <v>3918</v>
      </c>
      <c r="Z1117" t="s">
        <v>89</v>
      </c>
      <c r="AA1117" t="s">
        <v>89</v>
      </c>
      <c r="AC1117" t="s">
        <v>89</v>
      </c>
      <c r="AD1117" t="s">
        <v>89</v>
      </c>
      <c r="AE1117" t="s">
        <v>3652</v>
      </c>
      <c r="AF1117" s="4"/>
    </row>
    <row r="1118" spans="1:32">
      <c r="A1118" t="s">
        <v>11133</v>
      </c>
      <c r="B1118" t="s">
        <v>9366</v>
      </c>
      <c r="C1118" t="s">
        <v>5636</v>
      </c>
      <c r="D1118" t="s">
        <v>54</v>
      </c>
      <c r="E1118" t="s">
        <v>11132</v>
      </c>
      <c r="F1118" t="s">
        <v>5634</v>
      </c>
      <c r="G1118">
        <v>34519.72</v>
      </c>
      <c r="I1118">
        <v>34519.72</v>
      </c>
      <c r="J1118">
        <v>34519.72</v>
      </c>
      <c r="K1118" s="4">
        <v>44985</v>
      </c>
      <c r="L1118" s="4">
        <v>44958</v>
      </c>
      <c r="M1118">
        <v>2023</v>
      </c>
      <c r="N1118">
        <v>2</v>
      </c>
      <c r="O1118" s="4">
        <v>44958</v>
      </c>
      <c r="P1118" t="s">
        <v>89</v>
      </c>
      <c r="Q1118" s="4">
        <v>45015</v>
      </c>
      <c r="S1118" t="s">
        <v>5635</v>
      </c>
      <c r="U1118">
        <v>86299.29</v>
      </c>
      <c r="V1118">
        <v>0.40000004635032343</v>
      </c>
      <c r="W1118" t="s">
        <v>17</v>
      </c>
      <c r="X1118" t="s">
        <v>3918</v>
      </c>
      <c r="Z1118" t="s">
        <v>89</v>
      </c>
      <c r="AA1118" t="s">
        <v>89</v>
      </c>
      <c r="AC1118" t="s">
        <v>89</v>
      </c>
      <c r="AD1118">
        <v>0</v>
      </c>
      <c r="AE1118" t="s">
        <v>9251</v>
      </c>
      <c r="AF1118" s="4"/>
    </row>
    <row r="1119" spans="1:32">
      <c r="A1119" t="s">
        <v>11134</v>
      </c>
      <c r="B1119" t="s">
        <v>9366</v>
      </c>
      <c r="D1119" t="s">
        <v>54</v>
      </c>
      <c r="E1119" t="s">
        <v>11135</v>
      </c>
      <c r="F1119" t="s">
        <v>5638</v>
      </c>
      <c r="G1119">
        <v>34519.72</v>
      </c>
      <c r="I1119">
        <v>34519.72</v>
      </c>
      <c r="J1119">
        <v>34519.72</v>
      </c>
      <c r="K1119" s="4">
        <v>44958</v>
      </c>
      <c r="L1119" s="4">
        <v>44958</v>
      </c>
      <c r="M1119">
        <v>2023</v>
      </c>
      <c r="N1119">
        <v>2</v>
      </c>
      <c r="O1119" s="4">
        <v>44958</v>
      </c>
      <c r="P1119" t="s">
        <v>89</v>
      </c>
      <c r="Q1119" s="4">
        <v>45030</v>
      </c>
      <c r="S1119" t="s">
        <v>5639</v>
      </c>
      <c r="U1119">
        <v>86299.29</v>
      </c>
      <c r="V1119">
        <v>0.40000004635032343</v>
      </c>
      <c r="W1119" t="s">
        <v>17</v>
      </c>
      <c r="X1119" t="s">
        <v>3918</v>
      </c>
      <c r="Z1119" t="s">
        <v>89</v>
      </c>
      <c r="AA1119" t="s">
        <v>89</v>
      </c>
      <c r="AC1119" t="s">
        <v>89</v>
      </c>
      <c r="AD1119">
        <v>0</v>
      </c>
      <c r="AE1119" t="s">
        <v>9251</v>
      </c>
      <c r="AF1119" s="4"/>
    </row>
    <row r="1120" spans="1:32">
      <c r="A1120" t="s">
        <v>11136</v>
      </c>
      <c r="B1120" t="s">
        <v>9366</v>
      </c>
      <c r="C1120" t="s">
        <v>5642</v>
      </c>
      <c r="D1120" t="s">
        <v>54</v>
      </c>
      <c r="E1120" t="s">
        <v>11137</v>
      </c>
      <c r="F1120" t="s">
        <v>5640</v>
      </c>
      <c r="G1120">
        <v>26461.5</v>
      </c>
      <c r="I1120">
        <v>26461.5</v>
      </c>
      <c r="J1120">
        <v>26461.5</v>
      </c>
      <c r="K1120" s="4">
        <v>44985</v>
      </c>
      <c r="L1120" s="4">
        <v>44958</v>
      </c>
      <c r="M1120">
        <v>2023</v>
      </c>
      <c r="N1120">
        <v>2</v>
      </c>
      <c r="O1120" s="4">
        <v>44958</v>
      </c>
      <c r="P1120" t="s">
        <v>89</v>
      </c>
      <c r="Q1120" s="4">
        <v>45015</v>
      </c>
      <c r="S1120" t="s">
        <v>5641</v>
      </c>
      <c r="U1120">
        <v>66153.75</v>
      </c>
      <c r="V1120">
        <v>0.4</v>
      </c>
      <c r="W1120" t="s">
        <v>17</v>
      </c>
      <c r="X1120" t="s">
        <v>3918</v>
      </c>
      <c r="Z1120" t="s">
        <v>89</v>
      </c>
      <c r="AA1120" t="s">
        <v>89</v>
      </c>
      <c r="AC1120" t="s">
        <v>89</v>
      </c>
      <c r="AD1120" t="s">
        <v>89</v>
      </c>
      <c r="AE1120" t="s">
        <v>3652</v>
      </c>
      <c r="AF1120" s="4"/>
    </row>
    <row r="1121" spans="1:32">
      <c r="A1121" t="s">
        <v>11138</v>
      </c>
      <c r="B1121" t="s">
        <v>9366</v>
      </c>
      <c r="C1121" t="s">
        <v>5645</v>
      </c>
      <c r="D1121" t="s">
        <v>54</v>
      </c>
      <c r="E1121" t="s">
        <v>11139</v>
      </c>
      <c r="F1121" t="s">
        <v>5643</v>
      </c>
      <c r="G1121">
        <v>39692.25</v>
      </c>
      <c r="I1121">
        <v>39692.25</v>
      </c>
      <c r="J1121">
        <v>39692.25</v>
      </c>
      <c r="K1121" s="4">
        <v>45408</v>
      </c>
      <c r="L1121" s="4">
        <v>45408</v>
      </c>
      <c r="M1121">
        <v>2024</v>
      </c>
      <c r="N1121">
        <v>4</v>
      </c>
      <c r="O1121" s="4">
        <v>45383</v>
      </c>
      <c r="P1121" t="s">
        <v>89</v>
      </c>
      <c r="Q1121" s="4">
        <v>45442</v>
      </c>
      <c r="S1121" t="s">
        <v>5644</v>
      </c>
      <c r="U1121">
        <v>66153.75</v>
      </c>
      <c r="V1121">
        <v>0.6</v>
      </c>
      <c r="W1121" t="s">
        <v>17</v>
      </c>
      <c r="X1121" t="s">
        <v>3918</v>
      </c>
      <c r="Z1121" t="s">
        <v>89</v>
      </c>
      <c r="AA1121" t="s">
        <v>89</v>
      </c>
      <c r="AC1121" t="s">
        <v>89</v>
      </c>
      <c r="AD1121" t="s">
        <v>89</v>
      </c>
      <c r="AE1121" t="s">
        <v>3652</v>
      </c>
      <c r="AF1121" s="4"/>
    </row>
    <row r="1122" spans="1:32">
      <c r="A1122" t="s">
        <v>11140</v>
      </c>
      <c r="B1122" t="s">
        <v>9366</v>
      </c>
      <c r="D1122" t="s">
        <v>54</v>
      </c>
      <c r="E1122" t="s">
        <v>11139</v>
      </c>
      <c r="F1122" t="s">
        <v>5643</v>
      </c>
      <c r="G1122">
        <v>26461.5</v>
      </c>
      <c r="I1122">
        <v>26461.5</v>
      </c>
      <c r="J1122">
        <v>26461.5</v>
      </c>
      <c r="K1122" s="4">
        <v>44958</v>
      </c>
      <c r="L1122" s="4">
        <v>44958</v>
      </c>
      <c r="M1122">
        <v>2023</v>
      </c>
      <c r="N1122">
        <v>2</v>
      </c>
      <c r="O1122" s="4">
        <v>44958</v>
      </c>
      <c r="P1122" t="s">
        <v>89</v>
      </c>
      <c r="Q1122" s="4">
        <v>45015</v>
      </c>
      <c r="S1122" t="s">
        <v>5644</v>
      </c>
      <c r="U1122">
        <v>66153.75</v>
      </c>
      <c r="V1122">
        <v>0.4</v>
      </c>
      <c r="W1122" t="s">
        <v>17</v>
      </c>
      <c r="X1122" t="s">
        <v>3918</v>
      </c>
      <c r="Z1122" t="s">
        <v>89</v>
      </c>
      <c r="AA1122" t="s">
        <v>89</v>
      </c>
      <c r="AC1122" t="s">
        <v>89</v>
      </c>
      <c r="AD1122" t="s">
        <v>89</v>
      </c>
      <c r="AE1122" t="s">
        <v>3652</v>
      </c>
      <c r="AF1122" s="4"/>
    </row>
    <row r="1123" spans="1:32">
      <c r="A1123" t="s">
        <v>11141</v>
      </c>
      <c r="B1123" t="s">
        <v>9366</v>
      </c>
      <c r="C1123" t="s">
        <v>5648</v>
      </c>
      <c r="D1123" t="s">
        <v>54</v>
      </c>
      <c r="E1123" t="s">
        <v>11142</v>
      </c>
      <c r="F1123" t="s">
        <v>5646</v>
      </c>
      <c r="G1123">
        <v>26461.5</v>
      </c>
      <c r="I1123">
        <v>26461.5</v>
      </c>
      <c r="J1123">
        <v>26461.5</v>
      </c>
      <c r="K1123" s="4">
        <v>44985</v>
      </c>
      <c r="L1123" s="4">
        <v>44958</v>
      </c>
      <c r="M1123">
        <v>2023</v>
      </c>
      <c r="N1123">
        <v>2</v>
      </c>
      <c r="O1123" s="4">
        <v>44958</v>
      </c>
      <c r="P1123" t="s">
        <v>89</v>
      </c>
      <c r="Q1123" s="4">
        <v>45015</v>
      </c>
      <c r="S1123" t="s">
        <v>5647</v>
      </c>
      <c r="U1123">
        <v>66153.75</v>
      </c>
      <c r="V1123">
        <v>0.4</v>
      </c>
      <c r="W1123" t="s">
        <v>17</v>
      </c>
      <c r="X1123" t="s">
        <v>3918</v>
      </c>
      <c r="Z1123" t="s">
        <v>89</v>
      </c>
      <c r="AA1123" t="s">
        <v>89</v>
      </c>
      <c r="AC1123" t="s">
        <v>89</v>
      </c>
      <c r="AD1123">
        <v>0</v>
      </c>
      <c r="AE1123" t="s">
        <v>9251</v>
      </c>
      <c r="AF1123" s="4"/>
    </row>
    <row r="1124" spans="1:32">
      <c r="A1124" t="s">
        <v>11143</v>
      </c>
      <c r="B1124" t="s">
        <v>9366</v>
      </c>
      <c r="C1124" t="s">
        <v>5651</v>
      </c>
      <c r="D1124" t="s">
        <v>54</v>
      </c>
      <c r="E1124" t="s">
        <v>11144</v>
      </c>
      <c r="F1124" t="s">
        <v>5649</v>
      </c>
      <c r="G1124">
        <v>39692.25</v>
      </c>
      <c r="I1124">
        <v>39692.25</v>
      </c>
      <c r="J1124">
        <v>39692.25</v>
      </c>
      <c r="K1124" s="4">
        <v>45408</v>
      </c>
      <c r="L1124" s="4">
        <v>45408</v>
      </c>
      <c r="M1124">
        <v>2024</v>
      </c>
      <c r="N1124">
        <v>4</v>
      </c>
      <c r="O1124" s="4">
        <v>45383</v>
      </c>
      <c r="P1124" t="s">
        <v>89</v>
      </c>
      <c r="Q1124" s="4">
        <v>45442</v>
      </c>
      <c r="S1124" t="s">
        <v>5650</v>
      </c>
      <c r="U1124">
        <v>66153.75</v>
      </c>
      <c r="V1124">
        <v>0.6</v>
      </c>
      <c r="W1124" t="s">
        <v>17</v>
      </c>
      <c r="X1124" t="s">
        <v>3918</v>
      </c>
      <c r="Z1124" t="s">
        <v>89</v>
      </c>
      <c r="AA1124" t="s">
        <v>89</v>
      </c>
      <c r="AC1124" t="s">
        <v>89</v>
      </c>
      <c r="AD1124" t="s">
        <v>89</v>
      </c>
      <c r="AE1124" t="s">
        <v>3652</v>
      </c>
      <c r="AF1124" s="4"/>
    </row>
    <row r="1125" spans="1:32">
      <c r="A1125" t="s">
        <v>11145</v>
      </c>
      <c r="B1125" t="s">
        <v>9366</v>
      </c>
      <c r="D1125" t="s">
        <v>54</v>
      </c>
      <c r="E1125" t="s">
        <v>11144</v>
      </c>
      <c r="F1125" t="s">
        <v>5649</v>
      </c>
      <c r="G1125">
        <v>26461.5</v>
      </c>
      <c r="I1125">
        <v>26461.5</v>
      </c>
      <c r="J1125">
        <v>26461.5</v>
      </c>
      <c r="K1125" s="4">
        <v>44958</v>
      </c>
      <c r="L1125" s="4">
        <v>44958</v>
      </c>
      <c r="M1125">
        <v>2023</v>
      </c>
      <c r="N1125">
        <v>2</v>
      </c>
      <c r="O1125" s="4">
        <v>44958</v>
      </c>
      <c r="P1125" t="s">
        <v>89</v>
      </c>
      <c r="Q1125" s="4">
        <v>45030</v>
      </c>
      <c r="S1125" t="s">
        <v>5650</v>
      </c>
      <c r="U1125">
        <v>66153.75</v>
      </c>
      <c r="V1125">
        <v>0.4</v>
      </c>
      <c r="W1125" t="s">
        <v>17</v>
      </c>
      <c r="X1125" t="s">
        <v>3918</v>
      </c>
      <c r="Z1125" t="s">
        <v>89</v>
      </c>
      <c r="AA1125" t="s">
        <v>89</v>
      </c>
      <c r="AC1125" t="s">
        <v>89</v>
      </c>
      <c r="AD1125">
        <v>0</v>
      </c>
      <c r="AE1125" t="s">
        <v>9251</v>
      </c>
      <c r="AF1125" s="4"/>
    </row>
    <row r="1126" spans="1:32">
      <c r="A1126" t="s">
        <v>11146</v>
      </c>
      <c r="B1126" t="s">
        <v>9366</v>
      </c>
      <c r="C1126" t="s">
        <v>5654</v>
      </c>
      <c r="D1126" t="s">
        <v>54</v>
      </c>
      <c r="E1126" t="s">
        <v>11147</v>
      </c>
      <c r="F1126" t="s">
        <v>5652</v>
      </c>
      <c r="G1126">
        <v>26461.5</v>
      </c>
      <c r="I1126">
        <v>26461.5</v>
      </c>
      <c r="J1126">
        <v>26461.5</v>
      </c>
      <c r="K1126" s="4">
        <v>44985</v>
      </c>
      <c r="L1126" s="4">
        <v>44958</v>
      </c>
      <c r="M1126">
        <v>2023</v>
      </c>
      <c r="N1126">
        <v>2</v>
      </c>
      <c r="O1126" s="4">
        <v>44958</v>
      </c>
      <c r="P1126" t="s">
        <v>89</v>
      </c>
      <c r="Q1126" s="4">
        <v>45015</v>
      </c>
      <c r="S1126" t="s">
        <v>5653</v>
      </c>
      <c r="U1126">
        <v>66153.75</v>
      </c>
      <c r="V1126">
        <v>0.4</v>
      </c>
      <c r="W1126" t="s">
        <v>17</v>
      </c>
      <c r="X1126" t="s">
        <v>3918</v>
      </c>
      <c r="Z1126" t="s">
        <v>89</v>
      </c>
      <c r="AA1126" t="s">
        <v>89</v>
      </c>
      <c r="AC1126" t="s">
        <v>89</v>
      </c>
      <c r="AD1126">
        <v>0</v>
      </c>
      <c r="AE1126" t="s">
        <v>9251</v>
      </c>
      <c r="AF1126" s="4"/>
    </row>
    <row r="1127" spans="1:32">
      <c r="A1127" t="s">
        <v>11148</v>
      </c>
      <c r="B1127" t="s">
        <v>9366</v>
      </c>
      <c r="C1127" t="s">
        <v>5667</v>
      </c>
      <c r="D1127" t="s">
        <v>54</v>
      </c>
      <c r="E1127" t="s">
        <v>11149</v>
      </c>
      <c r="F1127" t="s">
        <v>5665</v>
      </c>
      <c r="G1127">
        <v>9477.6419999999998</v>
      </c>
      <c r="K1127" s="4">
        <v>45436</v>
      </c>
      <c r="L1127" s="4">
        <v>45436</v>
      </c>
      <c r="M1127">
        <v>2024</v>
      </c>
      <c r="N1127">
        <v>5</v>
      </c>
      <c r="O1127" s="4">
        <v>45413</v>
      </c>
      <c r="Q1127" s="4"/>
      <c r="R1127" t="s">
        <v>11150</v>
      </c>
      <c r="S1127" t="s">
        <v>5666</v>
      </c>
      <c r="T1127">
        <v>45484</v>
      </c>
      <c r="U1127">
        <v>15796.07</v>
      </c>
      <c r="V1127">
        <v>0.6</v>
      </c>
      <c r="W1127" t="s">
        <v>17</v>
      </c>
      <c r="X1127" t="s">
        <v>3918</v>
      </c>
      <c r="Z1127">
        <v>116</v>
      </c>
      <c r="AA1127">
        <v>116</v>
      </c>
      <c r="AB1127" t="s">
        <v>11070</v>
      </c>
      <c r="AC1127" t="s">
        <v>837</v>
      </c>
      <c r="AD1127" t="s">
        <v>837</v>
      </c>
      <c r="AE1127" t="s">
        <v>9251</v>
      </c>
      <c r="AF1127" s="4"/>
    </row>
    <row r="1128" spans="1:32">
      <c r="A1128" t="s">
        <v>11151</v>
      </c>
      <c r="B1128" t="s">
        <v>9366</v>
      </c>
      <c r="D1128" t="s">
        <v>54</v>
      </c>
      <c r="E1128" t="s">
        <v>11069</v>
      </c>
      <c r="F1128" t="s">
        <v>5655</v>
      </c>
      <c r="G1128">
        <v>43504.5</v>
      </c>
      <c r="I1128">
        <v>43504.5</v>
      </c>
      <c r="J1128">
        <v>43504.5</v>
      </c>
      <c r="K1128" s="4">
        <v>44958</v>
      </c>
      <c r="L1128" s="4">
        <v>44958</v>
      </c>
      <c r="M1128">
        <v>2023</v>
      </c>
      <c r="N1128">
        <v>2</v>
      </c>
      <c r="O1128" s="4">
        <v>44958</v>
      </c>
      <c r="P1128" t="s">
        <v>89</v>
      </c>
      <c r="Q1128" s="4">
        <v>45030</v>
      </c>
      <c r="S1128" t="s">
        <v>5656</v>
      </c>
      <c r="U1128">
        <v>108761.25</v>
      </c>
      <c r="V1128">
        <v>0.4</v>
      </c>
      <c r="W1128" t="s">
        <v>17</v>
      </c>
      <c r="X1128" t="s">
        <v>3918</v>
      </c>
      <c r="Z1128" t="s">
        <v>89</v>
      </c>
      <c r="AA1128" t="s">
        <v>89</v>
      </c>
      <c r="AC1128" t="s">
        <v>89</v>
      </c>
      <c r="AD1128">
        <v>0</v>
      </c>
      <c r="AE1128" t="s">
        <v>9251</v>
      </c>
      <c r="AF1128" s="4"/>
    </row>
    <row r="1129" spans="1:32">
      <c r="A1129" t="s">
        <v>11152</v>
      </c>
      <c r="B1129" t="s">
        <v>9366</v>
      </c>
      <c r="D1129" t="s">
        <v>54</v>
      </c>
      <c r="E1129" t="s">
        <v>11153</v>
      </c>
      <c r="F1129" t="s">
        <v>5658</v>
      </c>
      <c r="G1129">
        <v>43504.5</v>
      </c>
      <c r="I1129">
        <v>43504.5</v>
      </c>
      <c r="J1129">
        <v>43504.5</v>
      </c>
      <c r="K1129" s="4">
        <v>44958</v>
      </c>
      <c r="L1129" s="4">
        <v>44958</v>
      </c>
      <c r="M1129">
        <v>2023</v>
      </c>
      <c r="N1129">
        <v>2</v>
      </c>
      <c r="O1129" s="4">
        <v>44958</v>
      </c>
      <c r="P1129" t="s">
        <v>89</v>
      </c>
      <c r="Q1129" s="4">
        <v>45030</v>
      </c>
      <c r="S1129" t="s">
        <v>5659</v>
      </c>
      <c r="U1129">
        <v>108761.25</v>
      </c>
      <c r="V1129">
        <v>0.4</v>
      </c>
      <c r="W1129" t="s">
        <v>17</v>
      </c>
      <c r="X1129" t="s">
        <v>3918</v>
      </c>
      <c r="Z1129" t="s">
        <v>89</v>
      </c>
      <c r="AA1129" t="s">
        <v>89</v>
      </c>
      <c r="AC1129" t="s">
        <v>89</v>
      </c>
      <c r="AD1129">
        <v>0</v>
      </c>
      <c r="AE1129" t="s">
        <v>9251</v>
      </c>
      <c r="AF1129" s="4"/>
    </row>
    <row r="1130" spans="1:32">
      <c r="A1130" t="s">
        <v>11154</v>
      </c>
      <c r="B1130" t="s">
        <v>9366</v>
      </c>
      <c r="D1130" t="s">
        <v>54</v>
      </c>
      <c r="E1130" t="s">
        <v>11155</v>
      </c>
      <c r="F1130" t="s">
        <v>5660</v>
      </c>
      <c r="G1130">
        <v>6318.43</v>
      </c>
      <c r="I1130">
        <v>6318.43</v>
      </c>
      <c r="J1130">
        <v>6318.43</v>
      </c>
      <c r="K1130" s="4">
        <v>44958</v>
      </c>
      <c r="L1130" s="4">
        <v>44958</v>
      </c>
      <c r="M1130">
        <v>2023</v>
      </c>
      <c r="N1130">
        <v>2</v>
      </c>
      <c r="O1130" s="4">
        <v>44958</v>
      </c>
      <c r="P1130" t="s">
        <v>89</v>
      </c>
      <c r="Q1130" s="4">
        <v>45030</v>
      </c>
      <c r="R1130" t="s">
        <v>11156</v>
      </c>
      <c r="S1130" t="s">
        <v>4187</v>
      </c>
      <c r="U1130">
        <v>15796.07</v>
      </c>
      <c r="V1130">
        <v>0.40000012661377166</v>
      </c>
      <c r="W1130" t="s">
        <v>17</v>
      </c>
      <c r="X1130" t="s">
        <v>3918</v>
      </c>
      <c r="Z1130" t="s">
        <v>89</v>
      </c>
      <c r="AA1130" t="s">
        <v>89</v>
      </c>
      <c r="AC1130" t="s">
        <v>89</v>
      </c>
      <c r="AD1130">
        <v>0</v>
      </c>
      <c r="AE1130" t="s">
        <v>9251</v>
      </c>
      <c r="AF1130" s="4"/>
    </row>
    <row r="1131" spans="1:32">
      <c r="A1131" t="s">
        <v>11157</v>
      </c>
      <c r="B1131" t="s">
        <v>9366</v>
      </c>
      <c r="D1131" t="s">
        <v>54</v>
      </c>
      <c r="E1131" t="s">
        <v>11155</v>
      </c>
      <c r="F1131" t="s">
        <v>5660</v>
      </c>
      <c r="G1131">
        <v>9477.64</v>
      </c>
      <c r="I1131">
        <v>9477.64</v>
      </c>
      <c r="J1131">
        <v>9477.64</v>
      </c>
      <c r="K1131" s="4">
        <v>45170</v>
      </c>
      <c r="L1131" s="4">
        <v>45170</v>
      </c>
      <c r="M1131">
        <v>2023</v>
      </c>
      <c r="N1131">
        <v>9</v>
      </c>
      <c r="O1131" s="4">
        <v>45170</v>
      </c>
      <c r="P1131" t="s">
        <v>89</v>
      </c>
      <c r="Q1131" s="4">
        <v>45288</v>
      </c>
      <c r="R1131" t="s">
        <v>11156</v>
      </c>
      <c r="S1131" t="s">
        <v>4187</v>
      </c>
      <c r="U1131">
        <v>15796.07</v>
      </c>
      <c r="V1131">
        <v>0.59999987338622829</v>
      </c>
      <c r="W1131" t="s">
        <v>17</v>
      </c>
      <c r="X1131" t="s">
        <v>3918</v>
      </c>
      <c r="Z1131" t="s">
        <v>89</v>
      </c>
      <c r="AA1131" t="s">
        <v>89</v>
      </c>
      <c r="AC1131" t="s">
        <v>89</v>
      </c>
      <c r="AD1131">
        <v>0</v>
      </c>
      <c r="AE1131" t="s">
        <v>9251</v>
      </c>
      <c r="AF1131" s="4"/>
    </row>
    <row r="1132" spans="1:32">
      <c r="A1132" t="s">
        <v>11158</v>
      </c>
      <c r="B1132" t="s">
        <v>9366</v>
      </c>
      <c r="D1132" t="s">
        <v>54</v>
      </c>
      <c r="E1132" t="s">
        <v>11159</v>
      </c>
      <c r="F1132" t="s">
        <v>5663</v>
      </c>
      <c r="G1132">
        <v>6318.43</v>
      </c>
      <c r="I1132">
        <v>6318.43</v>
      </c>
      <c r="J1132">
        <v>6318.43</v>
      </c>
      <c r="K1132" s="4">
        <v>44958</v>
      </c>
      <c r="L1132" s="4">
        <v>44958</v>
      </c>
      <c r="M1132">
        <v>2023</v>
      </c>
      <c r="N1132">
        <v>2</v>
      </c>
      <c r="O1132" s="4">
        <v>44958</v>
      </c>
      <c r="P1132" t="s">
        <v>89</v>
      </c>
      <c r="Q1132" s="4">
        <v>45030</v>
      </c>
      <c r="R1132" t="s">
        <v>11160</v>
      </c>
      <c r="S1132" t="s">
        <v>4191</v>
      </c>
      <c r="U1132">
        <v>15796.07</v>
      </c>
      <c r="V1132">
        <v>0.40000012661377166</v>
      </c>
      <c r="W1132" t="s">
        <v>17</v>
      </c>
      <c r="X1132" t="s">
        <v>3918</v>
      </c>
      <c r="Z1132" t="s">
        <v>89</v>
      </c>
      <c r="AA1132" t="s">
        <v>89</v>
      </c>
      <c r="AC1132" t="s">
        <v>89</v>
      </c>
      <c r="AD1132">
        <v>0</v>
      </c>
      <c r="AE1132" t="s">
        <v>9251</v>
      </c>
      <c r="AF1132" s="4"/>
    </row>
    <row r="1133" spans="1:32">
      <c r="A1133" t="s">
        <v>11161</v>
      </c>
      <c r="B1133" t="s">
        <v>9366</v>
      </c>
      <c r="D1133" t="s">
        <v>54</v>
      </c>
      <c r="E1133" t="s">
        <v>11159</v>
      </c>
      <c r="F1133" t="s">
        <v>5663</v>
      </c>
      <c r="G1133">
        <v>9477.64</v>
      </c>
      <c r="I1133">
        <v>9477.64</v>
      </c>
      <c r="J1133">
        <v>9477.64</v>
      </c>
      <c r="K1133" s="4">
        <v>45170</v>
      </c>
      <c r="L1133" s="4">
        <v>45170</v>
      </c>
      <c r="M1133">
        <v>2023</v>
      </c>
      <c r="N1133">
        <v>9</v>
      </c>
      <c r="O1133" s="4">
        <v>45170</v>
      </c>
      <c r="P1133" t="s">
        <v>89</v>
      </c>
      <c r="Q1133" s="4">
        <v>45288</v>
      </c>
      <c r="R1133" t="s">
        <v>11160</v>
      </c>
      <c r="S1133" t="s">
        <v>4191</v>
      </c>
      <c r="U1133">
        <v>15796.07</v>
      </c>
      <c r="V1133">
        <v>0.59999987338622829</v>
      </c>
      <c r="W1133" t="s">
        <v>17</v>
      </c>
      <c r="X1133" t="s">
        <v>3918</v>
      </c>
      <c r="Z1133" t="s">
        <v>89</v>
      </c>
      <c r="AA1133" t="s">
        <v>89</v>
      </c>
      <c r="AC1133" t="s">
        <v>89</v>
      </c>
      <c r="AD1133">
        <v>0</v>
      </c>
      <c r="AE1133" t="s">
        <v>9251</v>
      </c>
      <c r="AF1133" s="4"/>
    </row>
    <row r="1134" spans="1:32">
      <c r="A1134" t="s">
        <v>11162</v>
      </c>
      <c r="B1134" t="s">
        <v>9366</v>
      </c>
      <c r="C1134" t="s">
        <v>5671</v>
      </c>
      <c r="D1134" t="s">
        <v>54</v>
      </c>
      <c r="E1134" t="s">
        <v>11163</v>
      </c>
      <c r="F1134" t="s">
        <v>11164</v>
      </c>
      <c r="G1134">
        <v>7925.1419999999998</v>
      </c>
      <c r="K1134" s="4">
        <v>45429</v>
      </c>
      <c r="L1134" s="4">
        <v>45429</v>
      </c>
      <c r="M1134">
        <v>2024</v>
      </c>
      <c r="N1134">
        <v>5</v>
      </c>
      <c r="O1134" s="4">
        <v>45413</v>
      </c>
      <c r="Q1134" s="4"/>
      <c r="R1134" t="s">
        <v>11150</v>
      </c>
      <c r="S1134" t="s">
        <v>5670</v>
      </c>
      <c r="T1134">
        <v>45484</v>
      </c>
      <c r="U1134">
        <v>13208.57</v>
      </c>
      <c r="V1134">
        <v>0.6</v>
      </c>
      <c r="W1134" t="s">
        <v>17</v>
      </c>
      <c r="X1134" t="s">
        <v>3918</v>
      </c>
      <c r="Z1134">
        <v>123</v>
      </c>
      <c r="AA1134">
        <v>123</v>
      </c>
      <c r="AB1134" t="s">
        <v>11070</v>
      </c>
      <c r="AC1134" t="s">
        <v>837</v>
      </c>
      <c r="AD1134" t="s">
        <v>837</v>
      </c>
      <c r="AE1134" t="s">
        <v>9251</v>
      </c>
      <c r="AF1134" s="4"/>
    </row>
    <row r="1135" spans="1:32">
      <c r="A1135" t="s">
        <v>11165</v>
      </c>
      <c r="B1135" t="s">
        <v>9366</v>
      </c>
      <c r="D1135" t="s">
        <v>54</v>
      </c>
      <c r="E1135" t="s">
        <v>11149</v>
      </c>
      <c r="F1135" t="s">
        <v>5665</v>
      </c>
      <c r="G1135">
        <v>6318.43</v>
      </c>
      <c r="I1135">
        <v>6318.43</v>
      </c>
      <c r="J1135">
        <v>6318.43</v>
      </c>
      <c r="K1135" s="4">
        <v>44958</v>
      </c>
      <c r="L1135" s="4">
        <v>44958</v>
      </c>
      <c r="M1135">
        <v>2023</v>
      </c>
      <c r="N1135">
        <v>2</v>
      </c>
      <c r="O1135" s="4">
        <v>44958</v>
      </c>
      <c r="P1135" t="s">
        <v>89</v>
      </c>
      <c r="Q1135" s="4">
        <v>45030</v>
      </c>
      <c r="S1135" t="s">
        <v>5666</v>
      </c>
      <c r="U1135">
        <v>15796.07</v>
      </c>
      <c r="V1135">
        <v>0.40000012661377166</v>
      </c>
      <c r="W1135" t="s">
        <v>17</v>
      </c>
      <c r="X1135" t="s">
        <v>3918</v>
      </c>
      <c r="Z1135" t="s">
        <v>89</v>
      </c>
      <c r="AA1135" t="s">
        <v>89</v>
      </c>
      <c r="AC1135" t="s">
        <v>89</v>
      </c>
      <c r="AD1135">
        <v>0</v>
      </c>
      <c r="AE1135" t="s">
        <v>9251</v>
      </c>
      <c r="AF1135" s="4"/>
    </row>
    <row r="1136" spans="1:32">
      <c r="A1136" t="s">
        <v>11166</v>
      </c>
      <c r="B1136" t="s">
        <v>9366</v>
      </c>
      <c r="C1136" t="s">
        <v>5676</v>
      </c>
      <c r="D1136" t="s">
        <v>54</v>
      </c>
      <c r="E1136" t="s">
        <v>11167</v>
      </c>
      <c r="F1136" t="s">
        <v>11168</v>
      </c>
      <c r="G1136">
        <v>7925.1419999999998</v>
      </c>
      <c r="K1136" s="4">
        <v>45436</v>
      </c>
      <c r="L1136" s="4">
        <v>45436</v>
      </c>
      <c r="M1136">
        <v>2024</v>
      </c>
      <c r="N1136">
        <v>5</v>
      </c>
      <c r="O1136" s="4">
        <v>45413</v>
      </c>
      <c r="Q1136" s="4"/>
      <c r="R1136" t="s">
        <v>11150</v>
      </c>
      <c r="S1136" t="s">
        <v>5675</v>
      </c>
      <c r="T1136">
        <v>45484</v>
      </c>
      <c r="U1136">
        <v>13208.57</v>
      </c>
      <c r="V1136">
        <v>0.6</v>
      </c>
      <c r="W1136" t="s">
        <v>17</v>
      </c>
      <c r="X1136" t="s">
        <v>3918</v>
      </c>
      <c r="Z1136">
        <v>116</v>
      </c>
      <c r="AA1136">
        <v>116</v>
      </c>
      <c r="AB1136" t="s">
        <v>11070</v>
      </c>
      <c r="AC1136" t="s">
        <v>837</v>
      </c>
      <c r="AD1136" t="s">
        <v>837</v>
      </c>
      <c r="AE1136" t="s">
        <v>9251</v>
      </c>
      <c r="AF1136" s="4"/>
    </row>
    <row r="1137" spans="1:32">
      <c r="A1137" t="s">
        <v>11169</v>
      </c>
      <c r="B1137" t="s">
        <v>9366</v>
      </c>
      <c r="D1137" t="s">
        <v>54</v>
      </c>
      <c r="E1137" t="s">
        <v>11163</v>
      </c>
      <c r="F1137" t="s">
        <v>11164</v>
      </c>
      <c r="G1137">
        <v>5283.43</v>
      </c>
      <c r="I1137">
        <v>5283.43</v>
      </c>
      <c r="J1137">
        <v>5283.43</v>
      </c>
      <c r="K1137" s="4">
        <v>44958</v>
      </c>
      <c r="L1137" s="4">
        <v>44958</v>
      </c>
      <c r="M1137">
        <v>2023</v>
      </c>
      <c r="N1137">
        <v>2</v>
      </c>
      <c r="O1137" s="4">
        <v>44958</v>
      </c>
      <c r="P1137" t="s">
        <v>89</v>
      </c>
      <c r="Q1137" s="4">
        <v>45030</v>
      </c>
      <c r="S1137" t="s">
        <v>5670</v>
      </c>
      <c r="U1137">
        <v>13208.57</v>
      </c>
      <c r="V1137">
        <v>0.40000015141684531</v>
      </c>
      <c r="W1137" t="s">
        <v>17</v>
      </c>
      <c r="X1137" t="s">
        <v>3918</v>
      </c>
      <c r="Z1137" t="s">
        <v>89</v>
      </c>
      <c r="AA1137" t="s">
        <v>89</v>
      </c>
      <c r="AC1137" t="s">
        <v>89</v>
      </c>
      <c r="AD1137">
        <v>0</v>
      </c>
      <c r="AE1137" t="s">
        <v>9251</v>
      </c>
      <c r="AF1137" s="4"/>
    </row>
    <row r="1138" spans="1:32">
      <c r="A1138" t="s">
        <v>11170</v>
      </c>
      <c r="B1138" t="s">
        <v>9366</v>
      </c>
      <c r="D1138" t="s">
        <v>54</v>
      </c>
      <c r="E1138" t="s">
        <v>11171</v>
      </c>
      <c r="F1138" t="s">
        <v>11172</v>
      </c>
      <c r="G1138">
        <v>5283.43</v>
      </c>
      <c r="I1138">
        <v>5283.43</v>
      </c>
      <c r="J1138">
        <v>5283.43</v>
      </c>
      <c r="K1138" s="4">
        <v>44958</v>
      </c>
      <c r="L1138" s="4">
        <v>44958</v>
      </c>
      <c r="M1138">
        <v>2023</v>
      </c>
      <c r="N1138">
        <v>2</v>
      </c>
      <c r="O1138" s="4">
        <v>44958</v>
      </c>
      <c r="P1138" t="s">
        <v>89</v>
      </c>
      <c r="Q1138" s="4">
        <v>45030</v>
      </c>
      <c r="S1138" t="s">
        <v>5673</v>
      </c>
      <c r="U1138">
        <v>13208.57</v>
      </c>
      <c r="V1138">
        <v>0.40000015141684531</v>
      </c>
      <c r="W1138" t="s">
        <v>17</v>
      </c>
      <c r="X1138" t="s">
        <v>3918</v>
      </c>
      <c r="Z1138" t="s">
        <v>89</v>
      </c>
      <c r="AA1138" t="s">
        <v>89</v>
      </c>
      <c r="AC1138" t="s">
        <v>89</v>
      </c>
      <c r="AD1138">
        <v>0</v>
      </c>
      <c r="AE1138" t="s">
        <v>9251</v>
      </c>
      <c r="AF1138" s="4"/>
    </row>
    <row r="1139" spans="1:32">
      <c r="A1139" t="s">
        <v>11173</v>
      </c>
      <c r="B1139" t="s">
        <v>9366</v>
      </c>
      <c r="C1139" t="s">
        <v>5679</v>
      </c>
      <c r="D1139" t="s">
        <v>54</v>
      </c>
      <c r="E1139" t="s">
        <v>11174</v>
      </c>
      <c r="F1139" t="s">
        <v>11175</v>
      </c>
      <c r="G1139">
        <v>7925.1419999999998</v>
      </c>
      <c r="K1139" s="4">
        <v>45436</v>
      </c>
      <c r="L1139" s="4">
        <v>45436</v>
      </c>
      <c r="M1139">
        <v>2024</v>
      </c>
      <c r="N1139">
        <v>5</v>
      </c>
      <c r="O1139" s="4">
        <v>45413</v>
      </c>
      <c r="Q1139" s="4"/>
      <c r="R1139" t="s">
        <v>11150</v>
      </c>
      <c r="S1139" t="s">
        <v>5678</v>
      </c>
      <c r="T1139">
        <v>45484</v>
      </c>
      <c r="U1139">
        <v>13208.57</v>
      </c>
      <c r="V1139">
        <v>0.6</v>
      </c>
      <c r="W1139" t="s">
        <v>17</v>
      </c>
      <c r="X1139" t="s">
        <v>3918</v>
      </c>
      <c r="Z1139">
        <v>116</v>
      </c>
      <c r="AA1139">
        <v>116</v>
      </c>
      <c r="AB1139" t="s">
        <v>11070</v>
      </c>
      <c r="AC1139" t="s">
        <v>837</v>
      </c>
      <c r="AD1139" t="s">
        <v>837</v>
      </c>
      <c r="AE1139" t="s">
        <v>9251</v>
      </c>
      <c r="AF1139" s="4"/>
    </row>
    <row r="1140" spans="1:32">
      <c r="A1140" t="s">
        <v>11176</v>
      </c>
      <c r="B1140" t="s">
        <v>9366</v>
      </c>
      <c r="D1140" t="s">
        <v>54</v>
      </c>
      <c r="E1140" t="s">
        <v>11167</v>
      </c>
      <c r="F1140" t="s">
        <v>11168</v>
      </c>
      <c r="G1140">
        <v>5283.43</v>
      </c>
      <c r="I1140">
        <v>5283.43</v>
      </c>
      <c r="J1140">
        <v>5283.43</v>
      </c>
      <c r="K1140" s="4">
        <v>44958</v>
      </c>
      <c r="L1140" s="4">
        <v>44958</v>
      </c>
      <c r="M1140">
        <v>2023</v>
      </c>
      <c r="N1140">
        <v>2</v>
      </c>
      <c r="O1140" s="4">
        <v>44958</v>
      </c>
      <c r="P1140" t="s">
        <v>89</v>
      </c>
      <c r="Q1140" s="4">
        <v>45030</v>
      </c>
      <c r="S1140" t="s">
        <v>5675</v>
      </c>
      <c r="U1140">
        <v>13208.57</v>
      </c>
      <c r="V1140">
        <v>0.40000015141684531</v>
      </c>
      <c r="W1140" t="s">
        <v>17</v>
      </c>
      <c r="X1140" t="s">
        <v>3918</v>
      </c>
      <c r="Z1140" t="s">
        <v>89</v>
      </c>
      <c r="AA1140" t="s">
        <v>89</v>
      </c>
      <c r="AC1140" t="s">
        <v>89</v>
      </c>
      <c r="AD1140" t="s">
        <v>89</v>
      </c>
      <c r="AE1140" t="s">
        <v>3652</v>
      </c>
      <c r="AF1140" s="4"/>
    </row>
    <row r="1141" spans="1:32">
      <c r="A1141" t="s">
        <v>11177</v>
      </c>
      <c r="B1141" t="s">
        <v>9366</v>
      </c>
      <c r="C1141" t="s">
        <v>5688</v>
      </c>
      <c r="D1141" t="s">
        <v>54</v>
      </c>
      <c r="E1141" t="s">
        <v>11178</v>
      </c>
      <c r="F1141" t="s">
        <v>5686</v>
      </c>
      <c r="G1141">
        <v>7580.1399999999994</v>
      </c>
      <c r="K1141" s="4">
        <v>45436</v>
      </c>
      <c r="L1141" s="4">
        <v>45436</v>
      </c>
      <c r="M1141">
        <v>2024</v>
      </c>
      <c r="N1141">
        <v>5</v>
      </c>
      <c r="O1141" s="4">
        <v>45413</v>
      </c>
      <c r="Q1141" s="4"/>
      <c r="R1141" t="s">
        <v>11150</v>
      </c>
      <c r="S1141" t="s">
        <v>5687</v>
      </c>
      <c r="T1141">
        <v>45484</v>
      </c>
      <c r="U1141">
        <v>13208.57</v>
      </c>
      <c r="V1141">
        <v>0.56999999999999995</v>
      </c>
      <c r="W1141" t="s">
        <v>17</v>
      </c>
      <c r="X1141" t="s">
        <v>3918</v>
      </c>
      <c r="Z1141">
        <v>116</v>
      </c>
      <c r="AA1141">
        <v>116</v>
      </c>
      <c r="AB1141" t="s">
        <v>11070</v>
      </c>
      <c r="AC1141" t="s">
        <v>837</v>
      </c>
      <c r="AD1141" t="s">
        <v>837</v>
      </c>
      <c r="AE1141" t="s">
        <v>9251</v>
      </c>
      <c r="AF1141" s="4"/>
    </row>
    <row r="1142" spans="1:32">
      <c r="A1142" t="s">
        <v>11179</v>
      </c>
      <c r="B1142" t="s">
        <v>9366</v>
      </c>
      <c r="D1142" t="s">
        <v>54</v>
      </c>
      <c r="E1142" t="s">
        <v>11174</v>
      </c>
      <c r="F1142" t="s">
        <v>11175</v>
      </c>
      <c r="G1142">
        <v>5283.43</v>
      </c>
      <c r="I1142">
        <v>5283.43</v>
      </c>
      <c r="J1142">
        <v>5283.43</v>
      </c>
      <c r="K1142" s="4">
        <v>44958</v>
      </c>
      <c r="L1142" s="4">
        <v>44958</v>
      </c>
      <c r="M1142">
        <v>2023</v>
      </c>
      <c r="N1142">
        <v>2</v>
      </c>
      <c r="O1142" s="4">
        <v>44958</v>
      </c>
      <c r="P1142" t="s">
        <v>89</v>
      </c>
      <c r="Q1142" s="4">
        <v>45030</v>
      </c>
      <c r="S1142" t="s">
        <v>5678</v>
      </c>
      <c r="U1142">
        <v>13208.57</v>
      </c>
      <c r="V1142">
        <v>0.40000015141684531</v>
      </c>
      <c r="W1142" t="s">
        <v>17</v>
      </c>
      <c r="X1142" t="s">
        <v>3918</v>
      </c>
      <c r="Z1142" t="s">
        <v>89</v>
      </c>
      <c r="AA1142" t="s">
        <v>89</v>
      </c>
      <c r="AC1142" t="s">
        <v>89</v>
      </c>
      <c r="AD1142" t="s">
        <v>89</v>
      </c>
      <c r="AE1142" t="s">
        <v>3652</v>
      </c>
      <c r="AF1142" s="4"/>
    </row>
    <row r="1143" spans="1:32">
      <c r="A1143" t="s">
        <v>11180</v>
      </c>
      <c r="B1143" t="s">
        <v>9366</v>
      </c>
      <c r="D1143" t="s">
        <v>54</v>
      </c>
      <c r="E1143" t="s">
        <v>11181</v>
      </c>
      <c r="F1143" t="s">
        <v>11182</v>
      </c>
      <c r="G1143">
        <v>5283.43</v>
      </c>
      <c r="I1143">
        <v>5283.43</v>
      </c>
      <c r="J1143">
        <v>5283.43</v>
      </c>
      <c r="K1143" s="4">
        <v>44958</v>
      </c>
      <c r="L1143" s="4">
        <v>44958</v>
      </c>
      <c r="M1143">
        <v>2023</v>
      </c>
      <c r="N1143">
        <v>2</v>
      </c>
      <c r="O1143" s="4">
        <v>44958</v>
      </c>
      <c r="P1143" t="s">
        <v>89</v>
      </c>
      <c r="Q1143" s="4">
        <v>45030</v>
      </c>
      <c r="S1143" t="s">
        <v>5681</v>
      </c>
      <c r="U1143">
        <v>13208.57</v>
      </c>
      <c r="V1143">
        <v>0.40000015141684531</v>
      </c>
      <c r="W1143" t="s">
        <v>17</v>
      </c>
      <c r="X1143" t="s">
        <v>3918</v>
      </c>
      <c r="Z1143" t="s">
        <v>89</v>
      </c>
      <c r="AA1143" t="s">
        <v>89</v>
      </c>
      <c r="AC1143" t="s">
        <v>89</v>
      </c>
      <c r="AD1143">
        <v>0</v>
      </c>
      <c r="AE1143" t="s">
        <v>9251</v>
      </c>
      <c r="AF1143" s="4"/>
    </row>
    <row r="1144" spans="1:32">
      <c r="A1144" t="s">
        <v>11183</v>
      </c>
      <c r="B1144" t="s">
        <v>9366</v>
      </c>
      <c r="D1144" t="s">
        <v>54</v>
      </c>
      <c r="E1144" t="s">
        <v>11184</v>
      </c>
      <c r="F1144" t="s">
        <v>11185</v>
      </c>
      <c r="G1144">
        <v>5283.43</v>
      </c>
      <c r="I1144">
        <v>5283.43</v>
      </c>
      <c r="J1144">
        <v>5283.43</v>
      </c>
      <c r="K1144" s="4">
        <v>44958</v>
      </c>
      <c r="L1144" s="4">
        <v>44958</v>
      </c>
      <c r="M1144">
        <v>2023</v>
      </c>
      <c r="N1144">
        <v>2</v>
      </c>
      <c r="O1144" s="4">
        <v>44958</v>
      </c>
      <c r="P1144" t="s">
        <v>89</v>
      </c>
      <c r="Q1144" s="4">
        <v>45030</v>
      </c>
      <c r="S1144" t="s">
        <v>5683</v>
      </c>
      <c r="U1144">
        <v>13208.57</v>
      </c>
      <c r="V1144">
        <v>0.40000015141684531</v>
      </c>
      <c r="W1144" t="s">
        <v>17</v>
      </c>
      <c r="X1144" t="s">
        <v>3918</v>
      </c>
      <c r="Z1144" t="s">
        <v>89</v>
      </c>
      <c r="AA1144" t="s">
        <v>89</v>
      </c>
      <c r="AC1144" t="s">
        <v>89</v>
      </c>
      <c r="AD1144">
        <v>0</v>
      </c>
      <c r="AE1144" t="s">
        <v>9251</v>
      </c>
      <c r="AF1144" s="4"/>
    </row>
    <row r="1145" spans="1:32">
      <c r="A1145" t="s">
        <v>11186</v>
      </c>
      <c r="B1145" t="s">
        <v>9366</v>
      </c>
      <c r="D1145" t="s">
        <v>54</v>
      </c>
      <c r="E1145" t="s">
        <v>11187</v>
      </c>
      <c r="F1145" t="s">
        <v>11188</v>
      </c>
      <c r="G1145">
        <v>5283.43</v>
      </c>
      <c r="I1145">
        <v>5283.43</v>
      </c>
      <c r="J1145">
        <v>5283.43</v>
      </c>
      <c r="K1145" s="4">
        <v>44958</v>
      </c>
      <c r="L1145" s="4">
        <v>44958</v>
      </c>
      <c r="M1145">
        <v>2023</v>
      </c>
      <c r="N1145">
        <v>2</v>
      </c>
      <c r="O1145" s="4">
        <v>44958</v>
      </c>
      <c r="P1145" t="s">
        <v>89</v>
      </c>
      <c r="Q1145" s="4">
        <v>45030</v>
      </c>
      <c r="S1145" t="s">
        <v>5685</v>
      </c>
      <c r="U1145">
        <v>13208.57</v>
      </c>
      <c r="V1145">
        <v>0.40000015141684531</v>
      </c>
      <c r="W1145" t="s">
        <v>17</v>
      </c>
      <c r="X1145" t="s">
        <v>3918</v>
      </c>
      <c r="Z1145" t="s">
        <v>89</v>
      </c>
      <c r="AA1145" t="s">
        <v>89</v>
      </c>
      <c r="AC1145" t="s">
        <v>89</v>
      </c>
      <c r="AD1145">
        <v>0</v>
      </c>
      <c r="AE1145" t="s">
        <v>9251</v>
      </c>
      <c r="AF1145" s="4"/>
    </row>
    <row r="1146" spans="1:32">
      <c r="A1146" t="s">
        <v>11189</v>
      </c>
      <c r="B1146" t="s">
        <v>9366</v>
      </c>
      <c r="C1146" t="s">
        <v>5693</v>
      </c>
      <c r="D1146" t="s">
        <v>54</v>
      </c>
      <c r="E1146" t="s">
        <v>11190</v>
      </c>
      <c r="F1146" t="s">
        <v>5691</v>
      </c>
      <c r="G1146">
        <v>8442.64</v>
      </c>
      <c r="K1146" s="4">
        <v>45408</v>
      </c>
      <c r="L1146" s="4">
        <v>45443</v>
      </c>
      <c r="M1146">
        <v>2024</v>
      </c>
      <c r="N1146">
        <v>4</v>
      </c>
      <c r="O1146" s="4">
        <v>45383</v>
      </c>
      <c r="Q1146" s="4"/>
      <c r="R1146" t="s">
        <v>11150</v>
      </c>
      <c r="S1146" t="s">
        <v>5692</v>
      </c>
      <c r="T1146">
        <v>45484</v>
      </c>
      <c r="U1146">
        <v>14071.07</v>
      </c>
      <c r="V1146">
        <v>0.59999985786439836</v>
      </c>
      <c r="W1146" t="s">
        <v>17</v>
      </c>
      <c r="X1146" t="s">
        <v>3918</v>
      </c>
      <c r="Z1146">
        <v>144</v>
      </c>
      <c r="AA1146">
        <v>109</v>
      </c>
      <c r="AB1146" t="s">
        <v>11070</v>
      </c>
      <c r="AC1146" t="s">
        <v>837</v>
      </c>
      <c r="AD1146" t="s">
        <v>837</v>
      </c>
      <c r="AE1146" t="s">
        <v>9251</v>
      </c>
      <c r="AF1146" s="4"/>
    </row>
    <row r="1147" spans="1:32">
      <c r="A1147" t="s">
        <v>11191</v>
      </c>
      <c r="B1147" t="s">
        <v>9366</v>
      </c>
      <c r="D1147" t="s">
        <v>54</v>
      </c>
      <c r="E1147" t="s">
        <v>11178</v>
      </c>
      <c r="F1147" t="s">
        <v>5686</v>
      </c>
      <c r="G1147">
        <v>5628.43</v>
      </c>
      <c r="I1147">
        <v>5628.43</v>
      </c>
      <c r="J1147">
        <v>5628.43</v>
      </c>
      <c r="K1147" s="4">
        <v>44958</v>
      </c>
      <c r="L1147" s="4">
        <v>44958</v>
      </c>
      <c r="M1147">
        <v>2023</v>
      </c>
      <c r="N1147">
        <v>2</v>
      </c>
      <c r="O1147" s="4">
        <v>44958</v>
      </c>
      <c r="P1147" t="s">
        <v>89</v>
      </c>
      <c r="Q1147" s="4">
        <v>45030</v>
      </c>
      <c r="S1147" t="s">
        <v>5687</v>
      </c>
      <c r="U1147">
        <v>13208.57</v>
      </c>
      <c r="V1147">
        <v>0.42611955722686107</v>
      </c>
      <c r="W1147" t="s">
        <v>17</v>
      </c>
      <c r="X1147" t="s">
        <v>3918</v>
      </c>
      <c r="Z1147" t="s">
        <v>89</v>
      </c>
      <c r="AA1147" t="s">
        <v>89</v>
      </c>
      <c r="AC1147" t="s">
        <v>89</v>
      </c>
      <c r="AD1147">
        <v>0</v>
      </c>
      <c r="AE1147" t="s">
        <v>9251</v>
      </c>
      <c r="AF1147" s="4"/>
    </row>
    <row r="1148" spans="1:32">
      <c r="A1148" t="s">
        <v>11192</v>
      </c>
      <c r="B1148" t="s">
        <v>9366</v>
      </c>
      <c r="D1148" t="s">
        <v>54</v>
      </c>
      <c r="E1148" t="s">
        <v>11193</v>
      </c>
      <c r="F1148" t="s">
        <v>5689</v>
      </c>
      <c r="G1148">
        <v>5283.43</v>
      </c>
      <c r="I1148">
        <v>5283.43</v>
      </c>
      <c r="J1148">
        <v>5283.43</v>
      </c>
      <c r="K1148" s="4">
        <v>44958</v>
      </c>
      <c r="L1148" s="4">
        <v>44958</v>
      </c>
      <c r="M1148">
        <v>2023</v>
      </c>
      <c r="N1148">
        <v>2</v>
      </c>
      <c r="O1148" s="4">
        <v>44958</v>
      </c>
      <c r="P1148" t="s">
        <v>89</v>
      </c>
      <c r="Q1148" s="4">
        <v>45030</v>
      </c>
      <c r="S1148" t="s">
        <v>5690</v>
      </c>
      <c r="U1148">
        <v>13208.57</v>
      </c>
      <c r="V1148">
        <v>0.40000015141684531</v>
      </c>
      <c r="W1148" t="s">
        <v>17</v>
      </c>
      <c r="X1148" t="s">
        <v>3918</v>
      </c>
      <c r="Z1148" t="s">
        <v>89</v>
      </c>
      <c r="AA1148" t="s">
        <v>89</v>
      </c>
      <c r="AC1148" t="s">
        <v>89</v>
      </c>
      <c r="AD1148">
        <v>0</v>
      </c>
      <c r="AE1148" t="s">
        <v>9251</v>
      </c>
      <c r="AF1148" s="4"/>
    </row>
    <row r="1149" spans="1:32">
      <c r="A1149" t="s">
        <v>11194</v>
      </c>
      <c r="B1149" t="s">
        <v>9366</v>
      </c>
      <c r="C1149" t="s">
        <v>5698</v>
      </c>
      <c r="D1149" t="s">
        <v>54</v>
      </c>
      <c r="E1149" t="s">
        <v>11195</v>
      </c>
      <c r="F1149" t="s">
        <v>5696</v>
      </c>
      <c r="G1149">
        <v>7925.1419999999998</v>
      </c>
      <c r="K1149" s="4">
        <v>45436</v>
      </c>
      <c r="L1149" s="4">
        <v>45436</v>
      </c>
      <c r="M1149">
        <v>2024</v>
      </c>
      <c r="N1149">
        <v>5</v>
      </c>
      <c r="O1149" s="4">
        <v>45413</v>
      </c>
      <c r="Q1149" s="4"/>
      <c r="R1149" t="s">
        <v>11150</v>
      </c>
      <c r="S1149" t="s">
        <v>5697</v>
      </c>
      <c r="T1149">
        <v>45484</v>
      </c>
      <c r="U1149">
        <v>13208.57</v>
      </c>
      <c r="V1149">
        <v>0.6</v>
      </c>
      <c r="W1149" t="s">
        <v>17</v>
      </c>
      <c r="X1149" t="s">
        <v>3918</v>
      </c>
      <c r="Z1149">
        <v>116</v>
      </c>
      <c r="AA1149">
        <v>116</v>
      </c>
      <c r="AB1149" t="s">
        <v>11070</v>
      </c>
      <c r="AC1149" t="s">
        <v>837</v>
      </c>
      <c r="AD1149" t="s">
        <v>837</v>
      </c>
      <c r="AE1149" t="s">
        <v>9251</v>
      </c>
      <c r="AF1149" s="4"/>
    </row>
    <row r="1150" spans="1:32">
      <c r="A1150" t="s">
        <v>11196</v>
      </c>
      <c r="B1150" t="s">
        <v>9366</v>
      </c>
      <c r="D1150" t="s">
        <v>54</v>
      </c>
      <c r="E1150" t="s">
        <v>11190</v>
      </c>
      <c r="F1150" t="s">
        <v>5691</v>
      </c>
      <c r="G1150">
        <v>5628.43</v>
      </c>
      <c r="I1150">
        <v>5628.43</v>
      </c>
      <c r="J1150">
        <v>5628.43</v>
      </c>
      <c r="K1150" s="4">
        <v>44958</v>
      </c>
      <c r="L1150" s="4">
        <v>44958</v>
      </c>
      <c r="M1150">
        <v>2023</v>
      </c>
      <c r="N1150">
        <v>2</v>
      </c>
      <c r="O1150" s="4">
        <v>44958</v>
      </c>
      <c r="P1150" t="s">
        <v>89</v>
      </c>
      <c r="Q1150" s="4">
        <v>45030</v>
      </c>
      <c r="S1150" t="s">
        <v>5692</v>
      </c>
      <c r="U1150">
        <v>14071.07</v>
      </c>
      <c r="V1150">
        <v>0.40000014213560164</v>
      </c>
      <c r="W1150" t="s">
        <v>17</v>
      </c>
      <c r="X1150" t="s">
        <v>3918</v>
      </c>
      <c r="Z1150" t="s">
        <v>89</v>
      </c>
      <c r="AA1150" t="s">
        <v>89</v>
      </c>
      <c r="AC1150" t="s">
        <v>89</v>
      </c>
      <c r="AD1150">
        <v>0</v>
      </c>
      <c r="AE1150" t="s">
        <v>9251</v>
      </c>
      <c r="AF1150" s="4"/>
    </row>
    <row r="1151" spans="1:32">
      <c r="A1151" t="s">
        <v>11197</v>
      </c>
      <c r="B1151" t="s">
        <v>9366</v>
      </c>
      <c r="D1151" t="s">
        <v>54</v>
      </c>
      <c r="E1151" t="s">
        <v>11198</v>
      </c>
      <c r="F1151" t="s">
        <v>5694</v>
      </c>
      <c r="G1151">
        <v>5628.43</v>
      </c>
      <c r="I1151">
        <v>5628.43</v>
      </c>
      <c r="J1151">
        <v>5628.43</v>
      </c>
      <c r="K1151" s="4">
        <v>44958</v>
      </c>
      <c r="L1151" s="4">
        <v>44958</v>
      </c>
      <c r="M1151">
        <v>2023</v>
      </c>
      <c r="N1151">
        <v>2</v>
      </c>
      <c r="O1151" s="4">
        <v>44958</v>
      </c>
      <c r="P1151" t="s">
        <v>89</v>
      </c>
      <c r="Q1151" s="4">
        <v>45030</v>
      </c>
      <c r="S1151" t="s">
        <v>5695</v>
      </c>
      <c r="U1151">
        <v>14071.07</v>
      </c>
      <c r="V1151">
        <v>0.40000014213560164</v>
      </c>
      <c r="W1151" t="s">
        <v>17</v>
      </c>
      <c r="X1151" t="s">
        <v>3918</v>
      </c>
      <c r="Z1151" t="s">
        <v>89</v>
      </c>
      <c r="AA1151" t="s">
        <v>89</v>
      </c>
      <c r="AC1151" t="s">
        <v>89</v>
      </c>
      <c r="AD1151">
        <v>0</v>
      </c>
      <c r="AE1151" t="s">
        <v>9251</v>
      </c>
      <c r="AF1151" s="4"/>
    </row>
    <row r="1152" spans="1:32">
      <c r="A1152" t="s">
        <v>11199</v>
      </c>
      <c r="B1152" t="s">
        <v>9366</v>
      </c>
      <c r="C1152" t="s">
        <v>4582</v>
      </c>
      <c r="D1152" t="s">
        <v>54</v>
      </c>
      <c r="E1152" t="s">
        <v>10145</v>
      </c>
      <c r="F1152" t="s">
        <v>4581</v>
      </c>
      <c r="G1152">
        <v>744.41399999999999</v>
      </c>
      <c r="I1152">
        <v>744.41399999999999</v>
      </c>
      <c r="K1152" s="4">
        <v>45471</v>
      </c>
      <c r="L1152" s="4">
        <v>45471</v>
      </c>
      <c r="M1152">
        <v>2024</v>
      </c>
      <c r="N1152">
        <v>6</v>
      </c>
      <c r="O1152" s="4">
        <v>45444</v>
      </c>
      <c r="P1152" t="s">
        <v>1473</v>
      </c>
      <c r="Q1152" s="4"/>
      <c r="S1152" t="s">
        <v>3482</v>
      </c>
      <c r="T1152">
        <v>45551</v>
      </c>
      <c r="U1152">
        <v>1240.69</v>
      </c>
      <c r="V1152">
        <v>0.6</v>
      </c>
      <c r="W1152" t="s">
        <v>16</v>
      </c>
      <c r="X1152" t="s">
        <v>3828</v>
      </c>
      <c r="Z1152">
        <v>81</v>
      </c>
      <c r="AA1152">
        <v>81</v>
      </c>
      <c r="AB1152" t="s">
        <v>10875</v>
      </c>
      <c r="AC1152" t="s">
        <v>1473</v>
      </c>
      <c r="AD1152" t="s">
        <v>1473</v>
      </c>
      <c r="AE1152" t="s">
        <v>3652</v>
      </c>
      <c r="AF1152" s="4"/>
    </row>
    <row r="1153" spans="1:32">
      <c r="A1153" t="s">
        <v>11200</v>
      </c>
      <c r="B1153" t="s">
        <v>9366</v>
      </c>
      <c r="D1153" t="s">
        <v>54</v>
      </c>
      <c r="E1153" t="s">
        <v>11195</v>
      </c>
      <c r="F1153" t="s">
        <v>5696</v>
      </c>
      <c r="G1153">
        <v>5283.43</v>
      </c>
      <c r="I1153">
        <v>5283.43</v>
      </c>
      <c r="J1153">
        <v>5283.43</v>
      </c>
      <c r="K1153" s="4">
        <v>44958</v>
      </c>
      <c r="L1153" s="4">
        <v>44958</v>
      </c>
      <c r="M1153">
        <v>2023</v>
      </c>
      <c r="N1153">
        <v>2</v>
      </c>
      <c r="O1153" s="4">
        <v>44958</v>
      </c>
      <c r="P1153" t="s">
        <v>89</v>
      </c>
      <c r="Q1153" s="4">
        <v>45030</v>
      </c>
      <c r="S1153" t="s">
        <v>5697</v>
      </c>
      <c r="U1153">
        <v>13208.57</v>
      </c>
      <c r="V1153">
        <v>0.40000015141684531</v>
      </c>
      <c r="W1153" t="s">
        <v>17</v>
      </c>
      <c r="X1153" t="s">
        <v>3918</v>
      </c>
      <c r="Z1153" t="s">
        <v>89</v>
      </c>
      <c r="AA1153" t="s">
        <v>89</v>
      </c>
      <c r="AC1153" t="s">
        <v>89</v>
      </c>
      <c r="AD1153" t="s">
        <v>89</v>
      </c>
      <c r="AE1153" t="s">
        <v>3652</v>
      </c>
      <c r="AF1153" s="4"/>
    </row>
    <row r="1154" spans="1:32">
      <c r="A1154" t="s">
        <v>11201</v>
      </c>
      <c r="B1154" t="s">
        <v>9366</v>
      </c>
      <c r="D1154" t="s">
        <v>54</v>
      </c>
      <c r="E1154" t="s">
        <v>11202</v>
      </c>
      <c r="F1154" t="s">
        <v>5699</v>
      </c>
      <c r="G1154">
        <v>5283.43</v>
      </c>
      <c r="I1154">
        <v>5283.43</v>
      </c>
      <c r="J1154">
        <v>5283.43</v>
      </c>
      <c r="K1154" s="4">
        <v>44958</v>
      </c>
      <c r="L1154" s="4">
        <v>44958</v>
      </c>
      <c r="M1154">
        <v>2023</v>
      </c>
      <c r="N1154">
        <v>2</v>
      </c>
      <c r="O1154" s="4">
        <v>44958</v>
      </c>
      <c r="P1154" t="s">
        <v>89</v>
      </c>
      <c r="Q1154" s="4">
        <v>45030</v>
      </c>
      <c r="S1154" t="s">
        <v>5700</v>
      </c>
      <c r="U1154">
        <v>13208.57</v>
      </c>
      <c r="V1154">
        <v>0.40000015141684531</v>
      </c>
      <c r="W1154" t="s">
        <v>17</v>
      </c>
      <c r="X1154" t="s">
        <v>3918</v>
      </c>
      <c r="Z1154" t="s">
        <v>89</v>
      </c>
      <c r="AA1154" t="s">
        <v>89</v>
      </c>
      <c r="AC1154" t="s">
        <v>89</v>
      </c>
      <c r="AD1154">
        <v>0</v>
      </c>
      <c r="AE1154" t="s">
        <v>9251</v>
      </c>
      <c r="AF1154" s="4"/>
    </row>
    <row r="1155" spans="1:32">
      <c r="A1155" t="s">
        <v>11203</v>
      </c>
      <c r="B1155" t="s">
        <v>9366</v>
      </c>
      <c r="C1155" t="s">
        <v>11204</v>
      </c>
      <c r="D1155" t="s">
        <v>54</v>
      </c>
      <c r="E1155" t="s">
        <v>11205</v>
      </c>
      <c r="F1155" t="s">
        <v>11206</v>
      </c>
      <c r="I1155">
        <v>0</v>
      </c>
      <c r="K1155" s="4">
        <v>44985</v>
      </c>
      <c r="L1155" s="4">
        <v>45079</v>
      </c>
      <c r="M1155">
        <v>2023</v>
      </c>
      <c r="N1155">
        <v>2</v>
      </c>
      <c r="O1155" s="4">
        <v>44958</v>
      </c>
      <c r="Q1155" s="4"/>
      <c r="R1155" t="s">
        <v>11207</v>
      </c>
      <c r="S1155" t="s">
        <v>5703</v>
      </c>
      <c r="W1155" t="s">
        <v>17</v>
      </c>
      <c r="X1155" t="s">
        <v>3918</v>
      </c>
      <c r="AC1155" t="s">
        <v>837</v>
      </c>
      <c r="AD1155" t="s">
        <v>837</v>
      </c>
      <c r="AE1155" t="s">
        <v>9251</v>
      </c>
      <c r="AF1155" s="4"/>
    </row>
    <row r="1156" spans="1:32">
      <c r="A1156" t="s">
        <v>11208</v>
      </c>
      <c r="B1156" t="s">
        <v>9366</v>
      </c>
      <c r="C1156" t="s">
        <v>5709</v>
      </c>
      <c r="D1156" t="s">
        <v>54</v>
      </c>
      <c r="E1156" t="s">
        <v>11209</v>
      </c>
      <c r="F1156" t="s">
        <v>5707</v>
      </c>
      <c r="G1156">
        <v>8442.64</v>
      </c>
      <c r="K1156" s="4">
        <v>45412</v>
      </c>
      <c r="L1156" s="4">
        <v>45443</v>
      </c>
      <c r="M1156">
        <v>2024</v>
      </c>
      <c r="N1156">
        <v>4</v>
      </c>
      <c r="O1156" s="4">
        <v>45383</v>
      </c>
      <c r="Q1156" s="4"/>
      <c r="R1156" t="s">
        <v>11150</v>
      </c>
      <c r="S1156" t="s">
        <v>5708</v>
      </c>
      <c r="T1156">
        <v>45484</v>
      </c>
      <c r="U1156">
        <v>14071.07</v>
      </c>
      <c r="V1156">
        <v>0.59999985786439836</v>
      </c>
      <c r="W1156" t="s">
        <v>17</v>
      </c>
      <c r="X1156" t="s">
        <v>3918</v>
      </c>
      <c r="Z1156">
        <v>140</v>
      </c>
      <c r="AA1156">
        <v>109</v>
      </c>
      <c r="AB1156" t="s">
        <v>11070</v>
      </c>
      <c r="AC1156" t="s">
        <v>837</v>
      </c>
      <c r="AD1156" t="s">
        <v>837</v>
      </c>
      <c r="AE1156" t="s">
        <v>9251</v>
      </c>
      <c r="AF1156" s="4"/>
    </row>
    <row r="1157" spans="1:32">
      <c r="A1157" t="s">
        <v>11210</v>
      </c>
      <c r="B1157" t="s">
        <v>9366</v>
      </c>
      <c r="D1157" t="s">
        <v>54</v>
      </c>
      <c r="E1157" t="s">
        <v>11211</v>
      </c>
      <c r="F1157" t="s">
        <v>11212</v>
      </c>
      <c r="G1157">
        <v>5628.43</v>
      </c>
      <c r="I1157">
        <v>5628.43</v>
      </c>
      <c r="J1157">
        <v>5628.43</v>
      </c>
      <c r="K1157" s="4">
        <v>44958</v>
      </c>
      <c r="L1157" s="4">
        <v>44958</v>
      </c>
      <c r="M1157">
        <v>2023</v>
      </c>
      <c r="N1157">
        <v>2</v>
      </c>
      <c r="O1157" s="4">
        <v>44958</v>
      </c>
      <c r="P1157" t="s">
        <v>89</v>
      </c>
      <c r="Q1157" s="4">
        <v>45030</v>
      </c>
      <c r="S1157" t="s">
        <v>5706</v>
      </c>
      <c r="U1157">
        <v>14071.07</v>
      </c>
      <c r="V1157">
        <v>0.40000014213560164</v>
      </c>
      <c r="W1157" t="s">
        <v>17</v>
      </c>
      <c r="X1157" t="s">
        <v>3918</v>
      </c>
      <c r="Z1157" t="s">
        <v>89</v>
      </c>
      <c r="AA1157" t="s">
        <v>89</v>
      </c>
      <c r="AC1157" t="s">
        <v>89</v>
      </c>
      <c r="AD1157">
        <v>0</v>
      </c>
      <c r="AE1157" t="s">
        <v>9251</v>
      </c>
      <c r="AF1157" s="4"/>
    </row>
    <row r="1158" spans="1:32">
      <c r="A1158" t="s">
        <v>11213</v>
      </c>
      <c r="B1158" t="s">
        <v>9366</v>
      </c>
      <c r="C1158" t="s">
        <v>4703</v>
      </c>
      <c r="D1158" t="s">
        <v>54</v>
      </c>
      <c r="E1158" t="s">
        <v>10540</v>
      </c>
      <c r="F1158" t="s">
        <v>4702</v>
      </c>
      <c r="G1158">
        <v>57547.34</v>
      </c>
      <c r="I1158">
        <v>57547.34</v>
      </c>
      <c r="J1158">
        <v>57547.34</v>
      </c>
      <c r="K1158" s="4">
        <v>45408</v>
      </c>
      <c r="L1158" s="4">
        <v>45408</v>
      </c>
      <c r="M1158">
        <v>2024</v>
      </c>
      <c r="N1158">
        <v>4</v>
      </c>
      <c r="O1158" s="4">
        <v>45383</v>
      </c>
      <c r="P1158" t="s">
        <v>89</v>
      </c>
      <c r="Q1158" s="4">
        <v>45548</v>
      </c>
      <c r="S1158" t="s">
        <v>3268</v>
      </c>
      <c r="T1158">
        <v>45533</v>
      </c>
      <c r="U1158">
        <v>95912.23</v>
      </c>
      <c r="V1158">
        <v>0.60000002085239801</v>
      </c>
      <c r="W1158" t="s">
        <v>16</v>
      </c>
      <c r="X1158" t="s">
        <v>3711</v>
      </c>
      <c r="Z1158" t="s">
        <v>89</v>
      </c>
      <c r="AA1158" t="s">
        <v>89</v>
      </c>
      <c r="AB1158" t="s">
        <v>10179</v>
      </c>
      <c r="AC1158" t="s">
        <v>1848</v>
      </c>
      <c r="AD1158" t="s">
        <v>1473</v>
      </c>
      <c r="AE1158" t="s">
        <v>9251</v>
      </c>
      <c r="AF1158" s="4"/>
    </row>
    <row r="1159" spans="1:32">
      <c r="A1159" t="s">
        <v>11214</v>
      </c>
      <c r="B1159" t="s">
        <v>9366</v>
      </c>
      <c r="D1159" t="s">
        <v>54</v>
      </c>
      <c r="E1159" t="s">
        <v>11209</v>
      </c>
      <c r="F1159" t="s">
        <v>5707</v>
      </c>
      <c r="G1159">
        <v>5628.43</v>
      </c>
      <c r="I1159">
        <v>5628.43</v>
      </c>
      <c r="J1159">
        <v>5628.43</v>
      </c>
      <c r="K1159" s="4">
        <v>44958</v>
      </c>
      <c r="L1159" s="4">
        <v>44958</v>
      </c>
      <c r="M1159">
        <v>2023</v>
      </c>
      <c r="N1159">
        <v>2</v>
      </c>
      <c r="O1159" s="4">
        <v>44958</v>
      </c>
      <c r="P1159" t="s">
        <v>89</v>
      </c>
      <c r="Q1159" s="4">
        <v>45030</v>
      </c>
      <c r="S1159" t="s">
        <v>5708</v>
      </c>
      <c r="U1159">
        <v>14071.07</v>
      </c>
      <c r="V1159">
        <v>0.40000014213560164</v>
      </c>
      <c r="W1159" t="s">
        <v>17</v>
      </c>
      <c r="X1159" t="s">
        <v>3918</v>
      </c>
      <c r="Z1159" t="s">
        <v>89</v>
      </c>
      <c r="AA1159" t="s">
        <v>89</v>
      </c>
      <c r="AC1159" t="s">
        <v>89</v>
      </c>
      <c r="AD1159" t="s">
        <v>89</v>
      </c>
      <c r="AE1159" t="s">
        <v>3652</v>
      </c>
      <c r="AF1159" s="4"/>
    </row>
    <row r="1160" spans="1:32">
      <c r="A1160" t="s">
        <v>11215</v>
      </c>
      <c r="B1160" t="s">
        <v>9366</v>
      </c>
      <c r="D1160" t="s">
        <v>54</v>
      </c>
      <c r="E1160" t="s">
        <v>11216</v>
      </c>
      <c r="F1160" t="s">
        <v>5711</v>
      </c>
      <c r="G1160">
        <v>5628.43</v>
      </c>
      <c r="I1160">
        <v>5628.43</v>
      </c>
      <c r="J1160">
        <v>5628.43</v>
      </c>
      <c r="K1160" s="4">
        <v>44958</v>
      </c>
      <c r="L1160" s="4">
        <v>44958</v>
      </c>
      <c r="M1160">
        <v>2023</v>
      </c>
      <c r="N1160">
        <v>2</v>
      </c>
      <c r="O1160" s="4">
        <v>44958</v>
      </c>
      <c r="P1160" t="s">
        <v>89</v>
      </c>
      <c r="Q1160" s="4">
        <v>45030</v>
      </c>
      <c r="S1160" t="s">
        <v>5712</v>
      </c>
      <c r="U1160">
        <v>14071.07</v>
      </c>
      <c r="V1160">
        <v>0.40000014213560164</v>
      </c>
      <c r="W1160" t="s">
        <v>17</v>
      </c>
      <c r="X1160" t="s">
        <v>3918</v>
      </c>
      <c r="Z1160" t="s">
        <v>89</v>
      </c>
      <c r="AA1160" t="s">
        <v>89</v>
      </c>
      <c r="AC1160" t="s">
        <v>89</v>
      </c>
      <c r="AD1160" t="s">
        <v>89</v>
      </c>
      <c r="AE1160" t="s">
        <v>3652</v>
      </c>
      <c r="AF1160" s="4"/>
    </row>
    <row r="1161" spans="1:32">
      <c r="A1161" t="s">
        <v>11217</v>
      </c>
      <c r="B1161" t="s">
        <v>9366</v>
      </c>
      <c r="D1161" t="s">
        <v>54</v>
      </c>
      <c r="E1161" t="s">
        <v>11218</v>
      </c>
      <c r="F1161" t="s">
        <v>5713</v>
      </c>
      <c r="G1161">
        <v>113992.93</v>
      </c>
      <c r="I1161">
        <v>113992.93</v>
      </c>
      <c r="J1161">
        <v>113992.93</v>
      </c>
      <c r="K1161" s="4">
        <v>44958</v>
      </c>
      <c r="L1161" s="4">
        <v>44958</v>
      </c>
      <c r="M1161">
        <v>2023</v>
      </c>
      <c r="N1161">
        <v>2</v>
      </c>
      <c r="O1161" s="4">
        <v>44958</v>
      </c>
      <c r="P1161" t="s">
        <v>89</v>
      </c>
      <c r="Q1161" s="4">
        <v>45015</v>
      </c>
      <c r="S1161" t="s">
        <v>5715</v>
      </c>
      <c r="U1161">
        <v>284982.32</v>
      </c>
      <c r="V1161">
        <v>0.40000000701797916</v>
      </c>
      <c r="W1161" t="s">
        <v>17</v>
      </c>
      <c r="X1161" t="s">
        <v>3918</v>
      </c>
      <c r="Z1161" t="s">
        <v>89</v>
      </c>
      <c r="AA1161" t="s">
        <v>89</v>
      </c>
      <c r="AC1161" t="s">
        <v>89</v>
      </c>
      <c r="AD1161">
        <v>0</v>
      </c>
      <c r="AE1161" t="s">
        <v>9251</v>
      </c>
      <c r="AF1161" s="4"/>
    </row>
    <row r="1162" spans="1:32">
      <c r="A1162" t="s">
        <v>11219</v>
      </c>
      <c r="B1162" t="s">
        <v>9366</v>
      </c>
      <c r="C1162" t="s">
        <v>4705</v>
      </c>
      <c r="D1162" t="s">
        <v>54</v>
      </c>
      <c r="E1162" t="s">
        <v>11220</v>
      </c>
      <c r="F1162" t="s">
        <v>4704</v>
      </c>
      <c r="G1162">
        <v>61402.51</v>
      </c>
      <c r="I1162">
        <v>61402.51</v>
      </c>
      <c r="J1162">
        <v>61402.51</v>
      </c>
      <c r="K1162" s="4">
        <v>45408</v>
      </c>
      <c r="L1162" s="4">
        <v>45408</v>
      </c>
      <c r="M1162">
        <v>2024</v>
      </c>
      <c r="N1162">
        <v>4</v>
      </c>
      <c r="O1162" s="4">
        <v>45383</v>
      </c>
      <c r="P1162" t="s">
        <v>89</v>
      </c>
      <c r="Q1162" s="4">
        <v>45548</v>
      </c>
      <c r="S1162" t="s">
        <v>3286</v>
      </c>
      <c r="T1162">
        <v>45533</v>
      </c>
      <c r="U1162">
        <v>61402.51</v>
      </c>
      <c r="V1162">
        <v>1</v>
      </c>
      <c r="W1162" t="s">
        <v>16</v>
      </c>
      <c r="X1162" t="s">
        <v>3711</v>
      </c>
      <c r="Z1162" t="s">
        <v>89</v>
      </c>
      <c r="AA1162" t="s">
        <v>89</v>
      </c>
      <c r="AB1162" t="s">
        <v>10179</v>
      </c>
      <c r="AC1162" t="s">
        <v>1848</v>
      </c>
      <c r="AD1162" t="s">
        <v>1473</v>
      </c>
      <c r="AE1162" t="s">
        <v>9251</v>
      </c>
      <c r="AF1162" s="4"/>
    </row>
    <row r="1163" spans="1:32">
      <c r="A1163" t="s">
        <v>11221</v>
      </c>
      <c r="B1163" t="s">
        <v>9366</v>
      </c>
      <c r="D1163" t="s">
        <v>54</v>
      </c>
      <c r="E1163" t="s">
        <v>11222</v>
      </c>
      <c r="F1163" t="s">
        <v>5716</v>
      </c>
      <c r="G1163">
        <v>112336.93</v>
      </c>
      <c r="I1163">
        <v>112336.93</v>
      </c>
      <c r="J1163">
        <v>112336.93</v>
      </c>
      <c r="K1163" s="4">
        <v>44958</v>
      </c>
      <c r="L1163" s="4">
        <v>44958</v>
      </c>
      <c r="M1163">
        <v>2023</v>
      </c>
      <c r="N1163">
        <v>2</v>
      </c>
      <c r="O1163" s="4">
        <v>44958</v>
      </c>
      <c r="P1163" t="s">
        <v>89</v>
      </c>
      <c r="Q1163" s="4">
        <v>45015</v>
      </c>
      <c r="S1163" t="s">
        <v>5717</v>
      </c>
      <c r="U1163">
        <v>280842.32</v>
      </c>
      <c r="V1163">
        <v>0.4000000071214338</v>
      </c>
      <c r="W1163" t="s">
        <v>17</v>
      </c>
      <c r="X1163" t="s">
        <v>3918</v>
      </c>
      <c r="Z1163" t="s">
        <v>89</v>
      </c>
      <c r="AA1163" t="s">
        <v>89</v>
      </c>
      <c r="AC1163" t="s">
        <v>89</v>
      </c>
      <c r="AD1163">
        <v>0</v>
      </c>
      <c r="AE1163" t="s">
        <v>9251</v>
      </c>
      <c r="AF1163" s="4"/>
    </row>
    <row r="1164" spans="1:32">
      <c r="A1164" t="s">
        <v>11223</v>
      </c>
      <c r="B1164" t="s">
        <v>9366</v>
      </c>
      <c r="D1164" t="s">
        <v>54</v>
      </c>
      <c r="E1164" t="s">
        <v>11224</v>
      </c>
      <c r="F1164" t="s">
        <v>5719</v>
      </c>
      <c r="G1164">
        <v>112336.93</v>
      </c>
      <c r="I1164">
        <v>112336.93</v>
      </c>
      <c r="J1164">
        <v>112336.93</v>
      </c>
      <c r="K1164" s="4">
        <v>44958</v>
      </c>
      <c r="L1164" s="4">
        <v>44958</v>
      </c>
      <c r="M1164">
        <v>2023</v>
      </c>
      <c r="N1164">
        <v>2</v>
      </c>
      <c r="O1164" s="4">
        <v>44958</v>
      </c>
      <c r="P1164" t="s">
        <v>89</v>
      </c>
      <c r="Q1164" s="4">
        <v>45015</v>
      </c>
      <c r="S1164" t="s">
        <v>5720</v>
      </c>
      <c r="U1164">
        <v>280842.32</v>
      </c>
      <c r="V1164">
        <v>0.4000000071214338</v>
      </c>
      <c r="W1164" t="s">
        <v>17</v>
      </c>
      <c r="X1164" t="s">
        <v>3918</v>
      </c>
      <c r="Z1164" t="s">
        <v>89</v>
      </c>
      <c r="AA1164" t="s">
        <v>89</v>
      </c>
      <c r="AC1164" t="s">
        <v>89</v>
      </c>
      <c r="AD1164">
        <v>0</v>
      </c>
      <c r="AE1164" t="s">
        <v>9251</v>
      </c>
      <c r="AF1164" s="4"/>
    </row>
    <row r="1165" spans="1:32">
      <c r="A1165" t="s">
        <v>11225</v>
      </c>
      <c r="B1165" t="s">
        <v>9366</v>
      </c>
      <c r="C1165" t="s">
        <v>5775</v>
      </c>
      <c r="D1165" t="s">
        <v>54</v>
      </c>
      <c r="E1165" t="s">
        <v>11226</v>
      </c>
      <c r="F1165" t="s">
        <v>5773</v>
      </c>
      <c r="G1165">
        <v>85468.82</v>
      </c>
      <c r="I1165">
        <v>85468.82</v>
      </c>
      <c r="J1165">
        <v>85468.82</v>
      </c>
      <c r="K1165" s="4">
        <v>45412</v>
      </c>
      <c r="L1165" s="4">
        <v>45443</v>
      </c>
      <c r="M1165">
        <v>2024</v>
      </c>
      <c r="N1165">
        <v>4</v>
      </c>
      <c r="O1165" s="4">
        <v>45383</v>
      </c>
      <c r="P1165" t="s">
        <v>89</v>
      </c>
      <c r="Q1165" s="4">
        <v>45519</v>
      </c>
      <c r="R1165" t="s">
        <v>10888</v>
      </c>
      <c r="S1165" t="s">
        <v>5774</v>
      </c>
      <c r="T1165">
        <v>45505</v>
      </c>
      <c r="U1165">
        <v>142448.04</v>
      </c>
      <c r="V1165">
        <v>0.59999997191958554</v>
      </c>
      <c r="W1165" t="s">
        <v>17</v>
      </c>
      <c r="X1165" t="s">
        <v>3918</v>
      </c>
      <c r="Z1165" t="s">
        <v>89</v>
      </c>
      <c r="AA1165" t="s">
        <v>89</v>
      </c>
      <c r="AB1165" t="s">
        <v>11227</v>
      </c>
      <c r="AC1165" t="s">
        <v>625</v>
      </c>
      <c r="AD1165" t="s">
        <v>1473</v>
      </c>
      <c r="AE1165" t="s">
        <v>9251</v>
      </c>
      <c r="AF1165" s="4"/>
    </row>
    <row r="1166" spans="1:32">
      <c r="A1166" t="s">
        <v>11228</v>
      </c>
      <c r="B1166" t="s">
        <v>9366</v>
      </c>
      <c r="C1166" t="s">
        <v>4707</v>
      </c>
      <c r="D1166" t="s">
        <v>54</v>
      </c>
      <c r="E1166" t="s">
        <v>10544</v>
      </c>
      <c r="F1166" t="s">
        <v>4706</v>
      </c>
      <c r="G1166">
        <v>821.86199999999997</v>
      </c>
      <c r="I1166">
        <v>821.86199999999997</v>
      </c>
      <c r="J1166">
        <v>821.86199999999997</v>
      </c>
      <c r="K1166" s="4">
        <v>45506</v>
      </c>
      <c r="L1166" s="4">
        <v>45506</v>
      </c>
      <c r="M1166">
        <v>2024</v>
      </c>
      <c r="N1166">
        <v>8</v>
      </c>
      <c r="O1166" s="4">
        <v>45505</v>
      </c>
      <c r="P1166" t="s">
        <v>89</v>
      </c>
      <c r="Q1166" s="4">
        <v>45548</v>
      </c>
      <c r="S1166" t="s">
        <v>3182</v>
      </c>
      <c r="T1166">
        <v>45523</v>
      </c>
      <c r="U1166">
        <v>1369.77</v>
      </c>
      <c r="V1166">
        <v>0.6</v>
      </c>
      <c r="W1166" t="s">
        <v>16</v>
      </c>
      <c r="X1166" t="s">
        <v>3711</v>
      </c>
      <c r="Z1166" t="s">
        <v>89</v>
      </c>
      <c r="AA1166" t="s">
        <v>89</v>
      </c>
      <c r="AB1166" t="s">
        <v>10179</v>
      </c>
      <c r="AE1166" t="s">
        <v>9251</v>
      </c>
      <c r="AF1166" s="4"/>
    </row>
    <row r="1167" spans="1:32">
      <c r="A1167" t="s">
        <v>11229</v>
      </c>
      <c r="B1167" t="s">
        <v>9366</v>
      </c>
      <c r="C1167" t="s">
        <v>4735</v>
      </c>
      <c r="D1167" t="s">
        <v>54</v>
      </c>
      <c r="E1167" t="s">
        <v>10570</v>
      </c>
      <c r="F1167" t="s">
        <v>4731</v>
      </c>
      <c r="G1167">
        <v>18266.099999999999</v>
      </c>
      <c r="I1167">
        <v>18266.099999999999</v>
      </c>
      <c r="J1167">
        <v>18266.099999999999</v>
      </c>
      <c r="K1167" s="4">
        <v>45483</v>
      </c>
      <c r="L1167" s="4">
        <v>45483</v>
      </c>
      <c r="M1167">
        <v>2024</v>
      </c>
      <c r="N1167">
        <v>2</v>
      </c>
      <c r="O1167" s="4">
        <v>45323</v>
      </c>
      <c r="P1167" t="s">
        <v>89</v>
      </c>
      <c r="Q1167" s="4">
        <v>45534</v>
      </c>
      <c r="S1167" t="s">
        <v>4733</v>
      </c>
      <c r="T1167">
        <v>45523</v>
      </c>
      <c r="U1167">
        <v>30443.5</v>
      </c>
      <c r="V1167">
        <v>0.6</v>
      </c>
      <c r="W1167" t="s">
        <v>16</v>
      </c>
      <c r="X1167" t="s">
        <v>3718</v>
      </c>
      <c r="Z1167" t="s">
        <v>89</v>
      </c>
      <c r="AA1167" t="s">
        <v>89</v>
      </c>
      <c r="AB1167" t="s">
        <v>10586</v>
      </c>
      <c r="AC1167" t="s">
        <v>1473</v>
      </c>
      <c r="AD1167" t="s">
        <v>1473</v>
      </c>
      <c r="AE1167" t="s">
        <v>9251</v>
      </c>
      <c r="AF1167" s="4"/>
    </row>
    <row r="1168" spans="1:32">
      <c r="A1168" t="s">
        <v>11230</v>
      </c>
      <c r="B1168" t="s">
        <v>9366</v>
      </c>
      <c r="C1168" t="s">
        <v>4738</v>
      </c>
      <c r="D1168" t="s">
        <v>54</v>
      </c>
      <c r="E1168" t="s">
        <v>10574</v>
      </c>
      <c r="F1168" t="s">
        <v>4736</v>
      </c>
      <c r="G1168">
        <v>4519.2519000000002</v>
      </c>
      <c r="I1168">
        <v>4519.2519000000002</v>
      </c>
      <c r="J1168">
        <v>4519.2519000000002</v>
      </c>
      <c r="K1168" s="4">
        <v>45483</v>
      </c>
      <c r="L1168" s="4">
        <v>45483</v>
      </c>
      <c r="M1168">
        <v>2024</v>
      </c>
      <c r="N1168">
        <v>2</v>
      </c>
      <c r="O1168" s="4">
        <v>45323</v>
      </c>
      <c r="P1168" t="s">
        <v>89</v>
      </c>
      <c r="Q1168" s="4">
        <v>45534</v>
      </c>
      <c r="S1168" t="s">
        <v>4737</v>
      </c>
      <c r="T1168">
        <v>45523</v>
      </c>
      <c r="U1168">
        <v>16737.97</v>
      </c>
      <c r="V1168">
        <v>0.27</v>
      </c>
      <c r="W1168" t="s">
        <v>16</v>
      </c>
      <c r="X1168" t="s">
        <v>3718</v>
      </c>
      <c r="Z1168" t="s">
        <v>89</v>
      </c>
      <c r="AA1168" t="s">
        <v>89</v>
      </c>
      <c r="AB1168" t="s">
        <v>10586</v>
      </c>
      <c r="AC1168" t="s">
        <v>1473</v>
      </c>
      <c r="AD1168" t="s">
        <v>1473</v>
      </c>
      <c r="AE1168" t="s">
        <v>9251</v>
      </c>
      <c r="AF1168" s="4"/>
    </row>
    <row r="1169" spans="1:32">
      <c r="A1169" t="s">
        <v>11231</v>
      </c>
      <c r="B1169" t="s">
        <v>9366</v>
      </c>
      <c r="C1169" t="s">
        <v>4584</v>
      </c>
      <c r="D1169" t="s">
        <v>54</v>
      </c>
      <c r="E1169" t="s">
        <v>10149</v>
      </c>
      <c r="F1169" t="s">
        <v>4583</v>
      </c>
      <c r="G1169">
        <v>744.41399999999999</v>
      </c>
      <c r="I1169">
        <v>744.41399999999999</v>
      </c>
      <c r="K1169" s="4">
        <v>45471</v>
      </c>
      <c r="L1169" s="4">
        <v>45471</v>
      </c>
      <c r="M1169">
        <v>2024</v>
      </c>
      <c r="N1169">
        <v>6</v>
      </c>
      <c r="O1169" s="4">
        <v>45444</v>
      </c>
      <c r="P1169" t="s">
        <v>1473</v>
      </c>
      <c r="Q1169" s="4"/>
      <c r="S1169" t="s">
        <v>3486</v>
      </c>
      <c r="T1169">
        <v>45551</v>
      </c>
      <c r="U1169">
        <v>1240.69</v>
      </c>
      <c r="V1169">
        <v>0.6</v>
      </c>
      <c r="W1169" t="s">
        <v>16</v>
      </c>
      <c r="X1169" t="s">
        <v>3828</v>
      </c>
      <c r="Z1169">
        <v>81</v>
      </c>
      <c r="AA1169">
        <v>81</v>
      </c>
      <c r="AB1169" t="s">
        <v>10875</v>
      </c>
      <c r="AC1169" t="s">
        <v>1473</v>
      </c>
      <c r="AD1169" t="s">
        <v>1473</v>
      </c>
      <c r="AE1169" t="s">
        <v>3652</v>
      </c>
      <c r="AF1169" s="4"/>
    </row>
    <row r="1170" spans="1:32">
      <c r="A1170" t="s">
        <v>11232</v>
      </c>
      <c r="B1170" t="s">
        <v>9366</v>
      </c>
      <c r="D1170" t="s">
        <v>54</v>
      </c>
      <c r="E1170" t="s">
        <v>11106</v>
      </c>
      <c r="F1170" t="s">
        <v>5742</v>
      </c>
      <c r="G1170">
        <v>56979.22</v>
      </c>
      <c r="I1170">
        <v>56979.22</v>
      </c>
      <c r="J1170">
        <v>56979.22</v>
      </c>
      <c r="K1170" s="4">
        <v>44958</v>
      </c>
      <c r="L1170" s="4">
        <v>44958</v>
      </c>
      <c r="M1170">
        <v>2023</v>
      </c>
      <c r="N1170">
        <v>2</v>
      </c>
      <c r="O1170" s="4">
        <v>44958</v>
      </c>
      <c r="P1170" t="s">
        <v>89</v>
      </c>
      <c r="Q1170" s="4">
        <v>45015</v>
      </c>
      <c r="S1170" t="s">
        <v>3042</v>
      </c>
      <c r="U1170">
        <v>142448.04</v>
      </c>
      <c r="V1170">
        <v>0.4000000280804144</v>
      </c>
      <c r="W1170" t="s">
        <v>17</v>
      </c>
      <c r="X1170" t="s">
        <v>3918</v>
      </c>
      <c r="Z1170" t="s">
        <v>89</v>
      </c>
      <c r="AA1170" t="s">
        <v>89</v>
      </c>
      <c r="AC1170" t="s">
        <v>89</v>
      </c>
      <c r="AD1170">
        <v>0</v>
      </c>
      <c r="AE1170" t="s">
        <v>9251</v>
      </c>
      <c r="AF1170" s="4"/>
    </row>
    <row r="1171" spans="1:32">
      <c r="A1171" t="s">
        <v>11233</v>
      </c>
      <c r="B1171" t="s">
        <v>9366</v>
      </c>
      <c r="C1171" t="s">
        <v>4587</v>
      </c>
      <c r="D1171" t="s">
        <v>54</v>
      </c>
      <c r="E1171" t="s">
        <v>10154</v>
      </c>
      <c r="F1171" t="s">
        <v>4586</v>
      </c>
      <c r="G1171">
        <v>744.41399999999999</v>
      </c>
      <c r="I1171">
        <v>744.41399999999999</v>
      </c>
      <c r="K1171" s="4">
        <v>45471</v>
      </c>
      <c r="L1171" s="4">
        <v>45471</v>
      </c>
      <c r="M1171">
        <v>2024</v>
      </c>
      <c r="N1171">
        <v>6</v>
      </c>
      <c r="O1171" s="4">
        <v>45444</v>
      </c>
      <c r="P1171" t="s">
        <v>1473</v>
      </c>
      <c r="Q1171" s="4"/>
      <c r="S1171" t="s">
        <v>3488</v>
      </c>
      <c r="T1171">
        <v>45551</v>
      </c>
      <c r="U1171">
        <v>1240.69</v>
      </c>
      <c r="V1171">
        <v>0.6</v>
      </c>
      <c r="W1171" t="s">
        <v>16</v>
      </c>
      <c r="X1171" t="s">
        <v>3828</v>
      </c>
      <c r="Z1171">
        <v>81</v>
      </c>
      <c r="AA1171">
        <v>81</v>
      </c>
      <c r="AB1171" t="s">
        <v>10875</v>
      </c>
      <c r="AC1171" t="s">
        <v>1473</v>
      </c>
      <c r="AD1171" t="s">
        <v>1473</v>
      </c>
      <c r="AE1171" t="s">
        <v>3652</v>
      </c>
      <c r="AF1171" s="4"/>
    </row>
    <row r="1172" spans="1:32">
      <c r="A1172" t="s">
        <v>11234</v>
      </c>
      <c r="B1172" t="s">
        <v>9366</v>
      </c>
      <c r="D1172" t="s">
        <v>54</v>
      </c>
      <c r="E1172" t="s">
        <v>11117</v>
      </c>
      <c r="F1172" t="s">
        <v>5745</v>
      </c>
      <c r="G1172">
        <v>130888.07</v>
      </c>
      <c r="I1172">
        <v>130888.07</v>
      </c>
      <c r="J1172">
        <v>130888.07</v>
      </c>
      <c r="K1172" s="4">
        <v>44958</v>
      </c>
      <c r="L1172" s="4">
        <v>44958</v>
      </c>
      <c r="M1172">
        <v>2023</v>
      </c>
      <c r="N1172">
        <v>2</v>
      </c>
      <c r="O1172" s="4">
        <v>44958</v>
      </c>
      <c r="P1172" t="s">
        <v>89</v>
      </c>
      <c r="Q1172" s="4">
        <v>45030</v>
      </c>
      <c r="S1172" t="s">
        <v>5746</v>
      </c>
      <c r="U1172">
        <v>327220.18</v>
      </c>
      <c r="V1172">
        <v>0.39999999388790758</v>
      </c>
      <c r="W1172" t="s">
        <v>17</v>
      </c>
      <c r="X1172" t="s">
        <v>3918</v>
      </c>
      <c r="Z1172" t="s">
        <v>89</v>
      </c>
      <c r="AA1172" t="s">
        <v>89</v>
      </c>
      <c r="AC1172" t="s">
        <v>89</v>
      </c>
      <c r="AD1172">
        <v>0</v>
      </c>
      <c r="AE1172" t="s">
        <v>9251</v>
      </c>
      <c r="AF1172" s="4"/>
    </row>
    <row r="1173" spans="1:32">
      <c r="A1173" t="s">
        <v>11235</v>
      </c>
      <c r="B1173" t="s">
        <v>9366</v>
      </c>
      <c r="D1173" t="s">
        <v>54</v>
      </c>
      <c r="E1173" t="s">
        <v>11236</v>
      </c>
      <c r="F1173" t="s">
        <v>5748</v>
      </c>
      <c r="G1173">
        <v>130888.07</v>
      </c>
      <c r="I1173">
        <v>130888.07</v>
      </c>
      <c r="J1173">
        <v>130888.07</v>
      </c>
      <c r="K1173" s="4">
        <v>44958</v>
      </c>
      <c r="L1173" s="4">
        <v>44958</v>
      </c>
      <c r="M1173">
        <v>2023</v>
      </c>
      <c r="N1173">
        <v>2</v>
      </c>
      <c r="O1173" s="4">
        <v>44958</v>
      </c>
      <c r="P1173" t="s">
        <v>89</v>
      </c>
      <c r="Q1173" s="4">
        <v>45030</v>
      </c>
      <c r="S1173" t="s">
        <v>5749</v>
      </c>
      <c r="U1173">
        <v>327220.18</v>
      </c>
      <c r="V1173">
        <v>0.39999999388790758</v>
      </c>
      <c r="W1173" t="s">
        <v>17</v>
      </c>
      <c r="X1173" t="s">
        <v>3918</v>
      </c>
      <c r="Z1173" t="s">
        <v>89</v>
      </c>
      <c r="AA1173" t="s">
        <v>89</v>
      </c>
      <c r="AC1173" t="s">
        <v>89</v>
      </c>
      <c r="AD1173">
        <v>0</v>
      </c>
      <c r="AE1173" t="s">
        <v>9251</v>
      </c>
      <c r="AF1173" s="4"/>
    </row>
    <row r="1174" spans="1:32">
      <c r="A1174" t="s">
        <v>11237</v>
      </c>
      <c r="B1174" t="s">
        <v>9366</v>
      </c>
      <c r="C1174" t="s">
        <v>5752</v>
      </c>
      <c r="D1174" t="s">
        <v>54</v>
      </c>
      <c r="E1174" t="s">
        <v>11238</v>
      </c>
      <c r="F1174" t="s">
        <v>5750</v>
      </c>
      <c r="G1174">
        <v>44874.64</v>
      </c>
      <c r="I1174">
        <v>44874.64</v>
      </c>
      <c r="J1174">
        <v>44874.64</v>
      </c>
      <c r="K1174" s="4">
        <v>45412</v>
      </c>
      <c r="L1174" s="4">
        <v>45443</v>
      </c>
      <c r="M1174">
        <v>2024</v>
      </c>
      <c r="N1174">
        <v>4</v>
      </c>
      <c r="O1174" s="4">
        <v>45383</v>
      </c>
      <c r="P1174" t="s">
        <v>89</v>
      </c>
      <c r="Q1174" s="4">
        <v>45519</v>
      </c>
      <c r="R1174" t="s">
        <v>10888</v>
      </c>
      <c r="S1174" t="s">
        <v>5751</v>
      </c>
      <c r="T1174">
        <v>45505</v>
      </c>
      <c r="U1174">
        <v>74791.070000000007</v>
      </c>
      <c r="V1174">
        <v>0.59999997325883958</v>
      </c>
      <c r="W1174" t="s">
        <v>17</v>
      </c>
      <c r="X1174" t="s">
        <v>3918</v>
      </c>
      <c r="Z1174" t="s">
        <v>89</v>
      </c>
      <c r="AA1174" t="s">
        <v>89</v>
      </c>
      <c r="AB1174" t="s">
        <v>11107</v>
      </c>
      <c r="AC1174" t="s">
        <v>625</v>
      </c>
      <c r="AD1174" t="s">
        <v>1848</v>
      </c>
      <c r="AE1174" t="s">
        <v>9251</v>
      </c>
      <c r="AF1174" s="4"/>
    </row>
    <row r="1175" spans="1:32">
      <c r="A1175" t="s">
        <v>11239</v>
      </c>
      <c r="B1175" t="s">
        <v>9366</v>
      </c>
      <c r="D1175" t="s">
        <v>54</v>
      </c>
      <c r="E1175" t="s">
        <v>11238</v>
      </c>
      <c r="F1175" t="s">
        <v>5750</v>
      </c>
      <c r="G1175">
        <v>29916.43</v>
      </c>
      <c r="I1175">
        <v>29916.43</v>
      </c>
      <c r="J1175">
        <v>29916.43</v>
      </c>
      <c r="K1175" s="4">
        <v>44958</v>
      </c>
      <c r="L1175" s="4">
        <v>44958</v>
      </c>
      <c r="M1175">
        <v>2023</v>
      </c>
      <c r="N1175">
        <v>2</v>
      </c>
      <c r="O1175" s="4">
        <v>44958</v>
      </c>
      <c r="P1175" t="s">
        <v>89</v>
      </c>
      <c r="Q1175" s="4">
        <v>45030</v>
      </c>
      <c r="S1175" t="s">
        <v>5751</v>
      </c>
      <c r="U1175">
        <v>74791.070000000007</v>
      </c>
      <c r="V1175">
        <v>0.40000002674116036</v>
      </c>
      <c r="W1175" t="s">
        <v>17</v>
      </c>
      <c r="X1175" t="s">
        <v>3918</v>
      </c>
      <c r="Z1175" t="s">
        <v>89</v>
      </c>
      <c r="AA1175" t="s">
        <v>89</v>
      </c>
      <c r="AC1175" t="s">
        <v>89</v>
      </c>
      <c r="AD1175" t="s">
        <v>89</v>
      </c>
      <c r="AE1175" t="s">
        <v>3652</v>
      </c>
      <c r="AF1175" s="4"/>
    </row>
    <row r="1176" spans="1:32">
      <c r="A1176" t="s">
        <v>11240</v>
      </c>
      <c r="B1176" t="s">
        <v>9366</v>
      </c>
      <c r="D1176" t="s">
        <v>54</v>
      </c>
      <c r="E1176" t="s">
        <v>11241</v>
      </c>
      <c r="F1176" t="s">
        <v>5753</v>
      </c>
      <c r="G1176">
        <v>29916.43</v>
      </c>
      <c r="I1176">
        <v>29916.43</v>
      </c>
      <c r="J1176">
        <v>29916.43</v>
      </c>
      <c r="K1176" s="4">
        <v>44958</v>
      </c>
      <c r="L1176" s="4">
        <v>44958</v>
      </c>
      <c r="M1176">
        <v>2023</v>
      </c>
      <c r="N1176">
        <v>2</v>
      </c>
      <c r="O1176" s="4">
        <v>44958</v>
      </c>
      <c r="P1176" t="s">
        <v>89</v>
      </c>
      <c r="Q1176" s="4">
        <v>45030</v>
      </c>
      <c r="S1176" t="s">
        <v>5754</v>
      </c>
      <c r="U1176">
        <v>74791.070000000007</v>
      </c>
      <c r="V1176">
        <v>0.40000002674116036</v>
      </c>
      <c r="W1176" t="s">
        <v>17</v>
      </c>
      <c r="X1176" t="s">
        <v>3918</v>
      </c>
      <c r="Z1176" t="s">
        <v>89</v>
      </c>
      <c r="AA1176" t="s">
        <v>89</v>
      </c>
      <c r="AC1176" t="s">
        <v>89</v>
      </c>
      <c r="AD1176" t="s">
        <v>89</v>
      </c>
      <c r="AE1176" t="s">
        <v>3652</v>
      </c>
      <c r="AF1176" s="4"/>
    </row>
    <row r="1177" spans="1:32">
      <c r="A1177" t="s">
        <v>11242</v>
      </c>
      <c r="B1177" t="s">
        <v>9366</v>
      </c>
      <c r="C1177" t="s">
        <v>4589</v>
      </c>
      <c r="D1177" t="s">
        <v>54</v>
      </c>
      <c r="E1177" t="s">
        <v>10156</v>
      </c>
      <c r="F1177" t="s">
        <v>4588</v>
      </c>
      <c r="G1177">
        <v>744.41399999999999</v>
      </c>
      <c r="I1177">
        <v>744.41399999999999</v>
      </c>
      <c r="K1177" s="4">
        <v>45506</v>
      </c>
      <c r="L1177" s="4">
        <v>45509</v>
      </c>
      <c r="M1177">
        <v>2024</v>
      </c>
      <c r="N1177">
        <v>8</v>
      </c>
      <c r="O1177" s="4">
        <v>45505</v>
      </c>
      <c r="P1177" t="s">
        <v>1473</v>
      </c>
      <c r="Q1177" s="4"/>
      <c r="S1177" t="s">
        <v>3158</v>
      </c>
      <c r="T1177">
        <v>45551</v>
      </c>
      <c r="U1177">
        <v>1240.69</v>
      </c>
      <c r="V1177">
        <v>0.6</v>
      </c>
      <c r="W1177" t="s">
        <v>16</v>
      </c>
      <c r="X1177" t="s">
        <v>3828</v>
      </c>
      <c r="Z1177">
        <v>46</v>
      </c>
      <c r="AA1177">
        <v>43</v>
      </c>
      <c r="AB1177" t="s">
        <v>10875</v>
      </c>
      <c r="AE1177" t="s">
        <v>9251</v>
      </c>
      <c r="AF1177" s="4"/>
    </row>
    <row r="1178" spans="1:32">
      <c r="A1178" t="s">
        <v>11243</v>
      </c>
      <c r="B1178" t="s">
        <v>9366</v>
      </c>
      <c r="D1178" t="s">
        <v>54</v>
      </c>
      <c r="E1178" t="s">
        <v>11244</v>
      </c>
      <c r="F1178" t="s">
        <v>5755</v>
      </c>
      <c r="G1178">
        <v>81656.570000000007</v>
      </c>
      <c r="I1178">
        <v>81656.570000000007</v>
      </c>
      <c r="J1178">
        <v>81656.570000000007</v>
      </c>
      <c r="K1178" s="4">
        <v>44958</v>
      </c>
      <c r="L1178" s="4">
        <v>44958</v>
      </c>
      <c r="M1178">
        <v>2023</v>
      </c>
      <c r="N1178">
        <v>2</v>
      </c>
      <c r="O1178" s="4">
        <v>44958</v>
      </c>
      <c r="P1178" t="s">
        <v>89</v>
      </c>
      <c r="Q1178" s="4">
        <v>45015</v>
      </c>
      <c r="S1178" t="s">
        <v>5757</v>
      </c>
      <c r="U1178">
        <v>204141.43</v>
      </c>
      <c r="V1178">
        <v>0.39999999020287069</v>
      </c>
      <c r="W1178" t="s">
        <v>17</v>
      </c>
      <c r="X1178" t="s">
        <v>3918</v>
      </c>
      <c r="Z1178" t="s">
        <v>89</v>
      </c>
      <c r="AA1178" t="s">
        <v>89</v>
      </c>
      <c r="AC1178" t="s">
        <v>89</v>
      </c>
      <c r="AD1178">
        <v>0</v>
      </c>
      <c r="AE1178" t="s">
        <v>9251</v>
      </c>
      <c r="AF1178" s="4"/>
    </row>
    <row r="1179" spans="1:32">
      <c r="A1179" t="s">
        <v>11245</v>
      </c>
      <c r="B1179" t="s">
        <v>9366</v>
      </c>
      <c r="D1179" t="s">
        <v>54</v>
      </c>
      <c r="E1179" t="s">
        <v>11246</v>
      </c>
      <c r="F1179" t="s">
        <v>5759</v>
      </c>
      <c r="G1179">
        <v>81656.570000000007</v>
      </c>
      <c r="I1179">
        <v>81656.570000000007</v>
      </c>
      <c r="J1179">
        <v>81656.570000000007</v>
      </c>
      <c r="K1179" s="4">
        <v>44958</v>
      </c>
      <c r="L1179" s="4">
        <v>44958</v>
      </c>
      <c r="M1179">
        <v>2023</v>
      </c>
      <c r="N1179">
        <v>2</v>
      </c>
      <c r="O1179" s="4">
        <v>44958</v>
      </c>
      <c r="P1179" t="s">
        <v>89</v>
      </c>
      <c r="Q1179" s="4">
        <v>45015</v>
      </c>
      <c r="S1179" t="s">
        <v>5760</v>
      </c>
      <c r="U1179">
        <v>204141.43</v>
      </c>
      <c r="V1179">
        <v>0.39999999020287069</v>
      </c>
      <c r="W1179" t="s">
        <v>17</v>
      </c>
      <c r="X1179" t="s">
        <v>3918</v>
      </c>
      <c r="Z1179" t="s">
        <v>89</v>
      </c>
      <c r="AA1179" t="s">
        <v>89</v>
      </c>
      <c r="AC1179" t="s">
        <v>89</v>
      </c>
      <c r="AD1179">
        <v>0</v>
      </c>
      <c r="AE1179" t="s">
        <v>9251</v>
      </c>
      <c r="AF1179" s="4"/>
    </row>
    <row r="1180" spans="1:32">
      <c r="A1180" t="s">
        <v>11247</v>
      </c>
      <c r="B1180" t="s">
        <v>9366</v>
      </c>
      <c r="C1180" t="s">
        <v>3740</v>
      </c>
      <c r="D1180" t="s">
        <v>54</v>
      </c>
      <c r="E1180">
        <v>4590007579</v>
      </c>
      <c r="F1180" t="s">
        <v>3738</v>
      </c>
      <c r="G1180">
        <v>282006</v>
      </c>
      <c r="I1180">
        <v>282006</v>
      </c>
      <c r="J1180">
        <v>282006</v>
      </c>
      <c r="K1180" s="4">
        <v>45498</v>
      </c>
      <c r="L1180" s="4">
        <v>45498</v>
      </c>
      <c r="M1180">
        <v>2024</v>
      </c>
      <c r="N1180">
        <v>7</v>
      </c>
      <c r="O1180" s="4">
        <v>45474</v>
      </c>
      <c r="P1180" t="s">
        <v>89</v>
      </c>
      <c r="Q1180" s="4">
        <v>45548</v>
      </c>
      <c r="S1180" t="s">
        <v>3739</v>
      </c>
      <c r="T1180">
        <v>45533</v>
      </c>
      <c r="U1180">
        <v>282006</v>
      </c>
      <c r="V1180">
        <v>1</v>
      </c>
      <c r="W1180" t="s">
        <v>17</v>
      </c>
      <c r="X1180" t="s">
        <v>4070</v>
      </c>
      <c r="Z1180" t="s">
        <v>89</v>
      </c>
      <c r="AA1180" t="s">
        <v>89</v>
      </c>
      <c r="AB1180" t="s">
        <v>11248</v>
      </c>
      <c r="AC1180" t="s">
        <v>1473</v>
      </c>
      <c r="AE1180" t="s">
        <v>9251</v>
      </c>
      <c r="AF1180" s="4"/>
    </row>
    <row r="1181" spans="1:32">
      <c r="A1181" t="s">
        <v>11249</v>
      </c>
      <c r="B1181" t="s">
        <v>9366</v>
      </c>
      <c r="C1181" t="s">
        <v>3743</v>
      </c>
      <c r="D1181" t="s">
        <v>54</v>
      </c>
      <c r="E1181">
        <v>4590007580</v>
      </c>
      <c r="F1181" t="s">
        <v>3741</v>
      </c>
      <c r="G1181">
        <v>282006</v>
      </c>
      <c r="I1181">
        <v>282006</v>
      </c>
      <c r="J1181">
        <v>282006</v>
      </c>
      <c r="K1181" s="4">
        <v>45498</v>
      </c>
      <c r="L1181" s="4">
        <v>45498</v>
      </c>
      <c r="M1181">
        <v>2024</v>
      </c>
      <c r="N1181">
        <v>7</v>
      </c>
      <c r="O1181" s="4">
        <v>45474</v>
      </c>
      <c r="P1181" t="s">
        <v>89</v>
      </c>
      <c r="Q1181" s="4">
        <v>45548</v>
      </c>
      <c r="S1181" t="s">
        <v>3742</v>
      </c>
      <c r="T1181">
        <v>45533</v>
      </c>
      <c r="U1181">
        <v>282006</v>
      </c>
      <c r="V1181">
        <v>1</v>
      </c>
      <c r="W1181" t="s">
        <v>17</v>
      </c>
      <c r="X1181" t="s">
        <v>4070</v>
      </c>
      <c r="Z1181" t="s">
        <v>89</v>
      </c>
      <c r="AA1181" t="s">
        <v>89</v>
      </c>
      <c r="AB1181" t="s">
        <v>11250</v>
      </c>
      <c r="AC1181" t="s">
        <v>1473</v>
      </c>
      <c r="AE1181" t="s">
        <v>9251</v>
      </c>
      <c r="AF1181" s="4"/>
    </row>
    <row r="1182" spans="1:32">
      <c r="A1182" t="s">
        <v>11251</v>
      </c>
      <c r="B1182" t="s">
        <v>9366</v>
      </c>
      <c r="C1182" t="s">
        <v>4591</v>
      </c>
      <c r="D1182" t="s">
        <v>54</v>
      </c>
      <c r="E1182" t="s">
        <v>10159</v>
      </c>
      <c r="F1182" t="s">
        <v>4590</v>
      </c>
      <c r="G1182">
        <v>744.41399999999999</v>
      </c>
      <c r="I1182">
        <v>744.41399999999999</v>
      </c>
      <c r="K1182" s="4">
        <v>45471</v>
      </c>
      <c r="L1182" s="4">
        <v>45471</v>
      </c>
      <c r="M1182">
        <v>2024</v>
      </c>
      <c r="N1182">
        <v>6</v>
      </c>
      <c r="O1182" s="4">
        <v>45444</v>
      </c>
      <c r="P1182" t="s">
        <v>1473</v>
      </c>
      <c r="Q1182" s="4"/>
      <c r="S1182" t="s">
        <v>3484</v>
      </c>
      <c r="T1182">
        <v>45551</v>
      </c>
      <c r="U1182">
        <v>1240.69</v>
      </c>
      <c r="V1182">
        <v>0.6</v>
      </c>
      <c r="W1182" t="s">
        <v>16</v>
      </c>
      <c r="X1182" t="s">
        <v>3828</v>
      </c>
      <c r="Z1182">
        <v>81</v>
      </c>
      <c r="AA1182">
        <v>81</v>
      </c>
      <c r="AB1182" t="s">
        <v>10875</v>
      </c>
      <c r="AC1182" t="s">
        <v>1473</v>
      </c>
      <c r="AD1182" t="s">
        <v>1473</v>
      </c>
      <c r="AE1182" t="s">
        <v>3652</v>
      </c>
      <c r="AF1182" s="4"/>
    </row>
    <row r="1183" spans="1:32">
      <c r="A1183" t="s">
        <v>11252</v>
      </c>
      <c r="B1183" t="s">
        <v>9366</v>
      </c>
      <c r="D1183" t="s">
        <v>54</v>
      </c>
      <c r="E1183" t="s">
        <v>11226</v>
      </c>
      <c r="F1183" t="s">
        <v>5773</v>
      </c>
      <c r="G1183">
        <v>56979.22</v>
      </c>
      <c r="I1183">
        <v>56979.22</v>
      </c>
      <c r="J1183">
        <v>56979.22</v>
      </c>
      <c r="K1183" s="4">
        <v>44958</v>
      </c>
      <c r="L1183" s="4">
        <v>44958</v>
      </c>
      <c r="M1183">
        <v>2023</v>
      </c>
      <c r="N1183">
        <v>2</v>
      </c>
      <c r="O1183" s="4">
        <v>44958</v>
      </c>
      <c r="P1183" t="s">
        <v>89</v>
      </c>
      <c r="Q1183" s="4">
        <v>45030</v>
      </c>
      <c r="S1183" t="s">
        <v>5774</v>
      </c>
      <c r="U1183">
        <v>142448.04</v>
      </c>
      <c r="V1183">
        <v>0.4000000280804144</v>
      </c>
      <c r="W1183" t="s">
        <v>17</v>
      </c>
      <c r="X1183" t="s">
        <v>3918</v>
      </c>
      <c r="Z1183" t="s">
        <v>89</v>
      </c>
      <c r="AA1183" t="s">
        <v>89</v>
      </c>
      <c r="AC1183" t="s">
        <v>89</v>
      </c>
      <c r="AD1183" t="s">
        <v>89</v>
      </c>
      <c r="AE1183" t="s">
        <v>3652</v>
      </c>
      <c r="AF1183" s="4"/>
    </row>
    <row r="1184" spans="1:32">
      <c r="A1184" t="s">
        <v>11253</v>
      </c>
      <c r="B1184" t="s">
        <v>9366</v>
      </c>
      <c r="D1184" t="s">
        <v>54</v>
      </c>
      <c r="E1184" t="s">
        <v>11254</v>
      </c>
      <c r="F1184" t="s">
        <v>5776</v>
      </c>
      <c r="G1184">
        <v>56979.22</v>
      </c>
      <c r="I1184">
        <v>56979.22</v>
      </c>
      <c r="J1184">
        <v>56979.22</v>
      </c>
      <c r="K1184" s="4">
        <v>44958</v>
      </c>
      <c r="L1184" s="4">
        <v>44958</v>
      </c>
      <c r="M1184">
        <v>2023</v>
      </c>
      <c r="N1184">
        <v>2</v>
      </c>
      <c r="O1184" s="4">
        <v>44958</v>
      </c>
      <c r="P1184" t="s">
        <v>89</v>
      </c>
      <c r="Q1184" s="4">
        <v>45030</v>
      </c>
      <c r="S1184" t="s">
        <v>5777</v>
      </c>
      <c r="U1184">
        <v>142448.04</v>
      </c>
      <c r="V1184">
        <v>0.4000000280804144</v>
      </c>
      <c r="W1184" t="s">
        <v>17</v>
      </c>
      <c r="X1184" t="s">
        <v>3918</v>
      </c>
      <c r="Z1184" t="s">
        <v>89</v>
      </c>
      <c r="AA1184" t="s">
        <v>89</v>
      </c>
      <c r="AC1184" t="s">
        <v>89</v>
      </c>
      <c r="AD1184" t="s">
        <v>89</v>
      </c>
      <c r="AE1184" t="s">
        <v>3652</v>
      </c>
      <c r="AF1184" s="4"/>
    </row>
    <row r="1185" spans="1:32">
      <c r="A1185" t="s">
        <v>11255</v>
      </c>
      <c r="B1185" t="s">
        <v>9366</v>
      </c>
      <c r="C1185" t="s">
        <v>4600</v>
      </c>
      <c r="D1185" t="s">
        <v>54</v>
      </c>
      <c r="E1185" t="s">
        <v>10167</v>
      </c>
      <c r="F1185" t="s">
        <v>4597</v>
      </c>
      <c r="G1185">
        <v>744.41</v>
      </c>
      <c r="I1185">
        <v>744.41</v>
      </c>
      <c r="K1185" s="4">
        <v>45498</v>
      </c>
      <c r="L1185" s="4">
        <v>45498</v>
      </c>
      <c r="M1185">
        <v>2024</v>
      </c>
      <c r="N1185">
        <v>7</v>
      </c>
      <c r="O1185" s="4">
        <v>45474</v>
      </c>
      <c r="P1185" t="s">
        <v>1473</v>
      </c>
      <c r="Q1185" s="4"/>
      <c r="S1185" t="s">
        <v>4598</v>
      </c>
      <c r="T1185">
        <v>45551</v>
      </c>
      <c r="U1185">
        <v>1240.69</v>
      </c>
      <c r="V1185">
        <v>0.5999967759875553</v>
      </c>
      <c r="W1185" t="s">
        <v>16</v>
      </c>
      <c r="X1185" t="s">
        <v>4823</v>
      </c>
      <c r="Z1185">
        <v>54</v>
      </c>
      <c r="AA1185">
        <v>54</v>
      </c>
      <c r="AB1185" t="s">
        <v>10875</v>
      </c>
      <c r="AC1185" t="s">
        <v>1473</v>
      </c>
      <c r="AE1185" t="s">
        <v>9251</v>
      </c>
      <c r="AF1185" s="4"/>
    </row>
    <row r="1186" spans="1:32">
      <c r="A1186" t="s">
        <v>11256</v>
      </c>
      <c r="B1186" t="s">
        <v>9366</v>
      </c>
      <c r="D1186" t="s">
        <v>54</v>
      </c>
      <c r="E1186" t="s">
        <v>11257</v>
      </c>
      <c r="F1186" t="s">
        <v>5778</v>
      </c>
      <c r="G1186">
        <v>77309.570000000007</v>
      </c>
      <c r="I1186">
        <v>77309.570000000007</v>
      </c>
      <c r="J1186">
        <v>77309.570000000007</v>
      </c>
      <c r="K1186" s="4">
        <v>44958</v>
      </c>
      <c r="L1186" s="4">
        <v>44958</v>
      </c>
      <c r="M1186">
        <v>2023</v>
      </c>
      <c r="N1186">
        <v>2</v>
      </c>
      <c r="O1186" s="4">
        <v>44958</v>
      </c>
      <c r="P1186" t="s">
        <v>89</v>
      </c>
      <c r="Q1186" s="4">
        <v>45015</v>
      </c>
      <c r="S1186" t="s">
        <v>5779</v>
      </c>
      <c r="U1186">
        <v>193273.93</v>
      </c>
      <c r="V1186">
        <v>0.39999998965199296</v>
      </c>
      <c r="W1186" t="s">
        <v>17</v>
      </c>
      <c r="X1186" t="s">
        <v>3918</v>
      </c>
      <c r="Z1186" t="s">
        <v>89</v>
      </c>
      <c r="AA1186" t="s">
        <v>89</v>
      </c>
      <c r="AC1186" t="s">
        <v>89</v>
      </c>
      <c r="AD1186">
        <v>0</v>
      </c>
      <c r="AE1186" t="s">
        <v>9251</v>
      </c>
      <c r="AF1186" s="4"/>
    </row>
    <row r="1187" spans="1:32">
      <c r="A1187" t="s">
        <v>11258</v>
      </c>
      <c r="B1187" t="s">
        <v>9366</v>
      </c>
      <c r="D1187" t="s">
        <v>54</v>
      </c>
      <c r="E1187" t="s">
        <v>11259</v>
      </c>
      <c r="F1187" t="s">
        <v>5781</v>
      </c>
      <c r="G1187">
        <v>77309.570000000007</v>
      </c>
      <c r="I1187">
        <v>77309.570000000007</v>
      </c>
      <c r="J1187">
        <v>77309.570000000007</v>
      </c>
      <c r="K1187" s="4">
        <v>44958</v>
      </c>
      <c r="L1187" s="4">
        <v>44958</v>
      </c>
      <c r="M1187">
        <v>2023</v>
      </c>
      <c r="N1187">
        <v>2</v>
      </c>
      <c r="O1187" s="4">
        <v>44958</v>
      </c>
      <c r="P1187" t="s">
        <v>89</v>
      </c>
      <c r="Q1187" s="4">
        <v>45015</v>
      </c>
      <c r="S1187" t="s">
        <v>5782</v>
      </c>
      <c r="U1187">
        <v>193273.93</v>
      </c>
      <c r="V1187">
        <v>0.39999998965199296</v>
      </c>
      <c r="W1187" t="s">
        <v>17</v>
      </c>
      <c r="X1187" t="s">
        <v>3918</v>
      </c>
      <c r="Z1187" t="s">
        <v>89</v>
      </c>
      <c r="AA1187" t="s">
        <v>89</v>
      </c>
      <c r="AC1187" t="s">
        <v>89</v>
      </c>
      <c r="AD1187">
        <v>0</v>
      </c>
      <c r="AE1187" t="s">
        <v>9251</v>
      </c>
      <c r="AF1187" s="4"/>
    </row>
    <row r="1188" spans="1:32">
      <c r="A1188" t="s">
        <v>11260</v>
      </c>
      <c r="B1188" t="s">
        <v>9366</v>
      </c>
      <c r="C1188" t="s">
        <v>3787</v>
      </c>
      <c r="D1188" t="s">
        <v>54</v>
      </c>
      <c r="E1188">
        <v>4590007596</v>
      </c>
      <c r="F1188" t="s">
        <v>3785</v>
      </c>
      <c r="G1188">
        <v>23868</v>
      </c>
      <c r="I1188">
        <v>23868</v>
      </c>
      <c r="K1188" s="4">
        <v>45401</v>
      </c>
      <c r="L1188" s="4">
        <v>45401</v>
      </c>
      <c r="M1188">
        <v>2024</v>
      </c>
      <c r="N1188">
        <v>4</v>
      </c>
      <c r="O1188" s="4">
        <v>45383</v>
      </c>
      <c r="P1188" t="s">
        <v>837</v>
      </c>
      <c r="Q1188" s="4"/>
      <c r="R1188" t="s">
        <v>11261</v>
      </c>
      <c r="S1188" t="s">
        <v>3786</v>
      </c>
      <c r="T1188">
        <v>45538</v>
      </c>
      <c r="U1188">
        <v>23868</v>
      </c>
      <c r="V1188">
        <v>1</v>
      </c>
      <c r="W1188" t="s">
        <v>17</v>
      </c>
      <c r="X1188" t="s">
        <v>3770</v>
      </c>
      <c r="Z1188">
        <v>151</v>
      </c>
      <c r="AA1188">
        <v>151</v>
      </c>
      <c r="AB1188" t="s">
        <v>11262</v>
      </c>
      <c r="AC1188" t="s">
        <v>1473</v>
      </c>
      <c r="AD1188" t="s">
        <v>1473</v>
      </c>
      <c r="AE1188" t="s">
        <v>9251</v>
      </c>
      <c r="AF1188" s="4"/>
    </row>
    <row r="1189" spans="1:32">
      <c r="A1189" t="s">
        <v>11263</v>
      </c>
      <c r="B1189" t="s">
        <v>9366</v>
      </c>
      <c r="D1189" t="s">
        <v>54</v>
      </c>
      <c r="E1189" t="s">
        <v>11264</v>
      </c>
      <c r="F1189" t="s">
        <v>5783</v>
      </c>
      <c r="G1189">
        <v>77309.570000000007</v>
      </c>
      <c r="I1189">
        <v>77309.570000000007</v>
      </c>
      <c r="J1189">
        <v>77309.570000000007</v>
      </c>
      <c r="K1189" s="4">
        <v>44958</v>
      </c>
      <c r="L1189" s="4">
        <v>44958</v>
      </c>
      <c r="M1189">
        <v>2023</v>
      </c>
      <c r="N1189">
        <v>2</v>
      </c>
      <c r="O1189" s="4">
        <v>44958</v>
      </c>
      <c r="P1189" t="s">
        <v>89</v>
      </c>
      <c r="Q1189" s="4">
        <v>45015</v>
      </c>
      <c r="S1189" t="s">
        <v>5784</v>
      </c>
      <c r="U1189">
        <v>193273.93</v>
      </c>
      <c r="V1189">
        <v>0.39999998965199296</v>
      </c>
      <c r="W1189" t="s">
        <v>17</v>
      </c>
      <c r="X1189" t="s">
        <v>3918</v>
      </c>
      <c r="Z1189" t="s">
        <v>89</v>
      </c>
      <c r="AA1189" t="s">
        <v>89</v>
      </c>
      <c r="AC1189" t="s">
        <v>89</v>
      </c>
      <c r="AD1189">
        <v>0</v>
      </c>
      <c r="AE1189" t="s">
        <v>9251</v>
      </c>
      <c r="AF1189" s="4"/>
    </row>
    <row r="1190" spans="1:32">
      <c r="A1190" t="s">
        <v>11265</v>
      </c>
      <c r="B1190" t="s">
        <v>9366</v>
      </c>
      <c r="D1190" t="s">
        <v>54</v>
      </c>
      <c r="E1190" t="s">
        <v>11266</v>
      </c>
      <c r="F1190" t="s">
        <v>5786</v>
      </c>
      <c r="G1190">
        <v>77309.570000000007</v>
      </c>
      <c r="I1190">
        <v>77309.570000000007</v>
      </c>
      <c r="J1190">
        <v>77309.570000000007</v>
      </c>
      <c r="K1190" s="4">
        <v>44958</v>
      </c>
      <c r="L1190" s="4">
        <v>44958</v>
      </c>
      <c r="M1190">
        <v>2023</v>
      </c>
      <c r="N1190">
        <v>2</v>
      </c>
      <c r="O1190" s="4">
        <v>44958</v>
      </c>
      <c r="P1190" t="s">
        <v>89</v>
      </c>
      <c r="Q1190" s="4">
        <v>45015</v>
      </c>
      <c r="S1190" t="s">
        <v>5787</v>
      </c>
      <c r="U1190">
        <v>193273.93</v>
      </c>
      <c r="V1190">
        <v>0.39999998965199296</v>
      </c>
      <c r="W1190" t="s">
        <v>17</v>
      </c>
      <c r="X1190" t="s">
        <v>3918</v>
      </c>
      <c r="Z1190" t="s">
        <v>89</v>
      </c>
      <c r="AA1190" t="s">
        <v>89</v>
      </c>
      <c r="AC1190" t="s">
        <v>89</v>
      </c>
      <c r="AD1190">
        <v>0</v>
      </c>
      <c r="AE1190" t="s">
        <v>9251</v>
      </c>
      <c r="AF1190" s="4"/>
    </row>
    <row r="1191" spans="1:32">
      <c r="A1191" t="s">
        <v>11267</v>
      </c>
      <c r="B1191" t="s">
        <v>9366</v>
      </c>
      <c r="C1191" t="s">
        <v>4603</v>
      </c>
      <c r="D1191" t="s">
        <v>54</v>
      </c>
      <c r="E1191" t="s">
        <v>10169</v>
      </c>
      <c r="F1191" t="s">
        <v>4601</v>
      </c>
      <c r="G1191">
        <v>744.41</v>
      </c>
      <c r="I1191">
        <v>744.41</v>
      </c>
      <c r="K1191" s="4">
        <v>45498</v>
      </c>
      <c r="L1191" s="4">
        <v>45498</v>
      </c>
      <c r="M1191">
        <v>2024</v>
      </c>
      <c r="N1191">
        <v>7</v>
      </c>
      <c r="O1191" s="4">
        <v>45474</v>
      </c>
      <c r="P1191" t="s">
        <v>1473</v>
      </c>
      <c r="Q1191" s="4"/>
      <c r="S1191" t="s">
        <v>4602</v>
      </c>
      <c r="T1191">
        <v>45551</v>
      </c>
      <c r="U1191">
        <v>1240.69</v>
      </c>
      <c r="V1191">
        <v>0.5999967759875553</v>
      </c>
      <c r="W1191" t="s">
        <v>16</v>
      </c>
      <c r="X1191" t="s">
        <v>4823</v>
      </c>
      <c r="Z1191">
        <v>54</v>
      </c>
      <c r="AA1191">
        <v>54</v>
      </c>
      <c r="AB1191" t="s">
        <v>10875</v>
      </c>
      <c r="AC1191" t="s">
        <v>1473</v>
      </c>
      <c r="AE1191" t="s">
        <v>9251</v>
      </c>
      <c r="AF1191" s="4"/>
    </row>
    <row r="1192" spans="1:32">
      <c r="A1192" t="s">
        <v>11268</v>
      </c>
      <c r="B1192" t="s">
        <v>9366</v>
      </c>
      <c r="D1192" t="s">
        <v>54</v>
      </c>
      <c r="E1192" t="s">
        <v>11269</v>
      </c>
      <c r="F1192" t="s">
        <v>5788</v>
      </c>
      <c r="G1192">
        <v>51474</v>
      </c>
      <c r="I1192">
        <v>51474</v>
      </c>
      <c r="J1192">
        <v>51474</v>
      </c>
      <c r="K1192" s="4">
        <v>44958</v>
      </c>
      <c r="L1192" s="4">
        <v>44958</v>
      </c>
      <c r="M1192">
        <v>2023</v>
      </c>
      <c r="N1192">
        <v>2</v>
      </c>
      <c r="O1192" s="4">
        <v>44958</v>
      </c>
      <c r="P1192" t="s">
        <v>89</v>
      </c>
      <c r="Q1192" s="4">
        <v>45015</v>
      </c>
      <c r="S1192" t="s">
        <v>5789</v>
      </c>
      <c r="U1192">
        <v>128685</v>
      </c>
      <c r="V1192">
        <v>0.4</v>
      </c>
      <c r="W1192" t="s">
        <v>17</v>
      </c>
      <c r="X1192" t="s">
        <v>3918</v>
      </c>
      <c r="Z1192" t="s">
        <v>89</v>
      </c>
      <c r="AA1192" t="s">
        <v>89</v>
      </c>
      <c r="AC1192" t="s">
        <v>89</v>
      </c>
      <c r="AD1192">
        <v>0</v>
      </c>
      <c r="AE1192" t="s">
        <v>9251</v>
      </c>
      <c r="AF1192" s="4"/>
    </row>
    <row r="1193" spans="1:32">
      <c r="A1193" t="s">
        <v>11270</v>
      </c>
      <c r="B1193" t="s">
        <v>9366</v>
      </c>
      <c r="D1193" t="s">
        <v>54</v>
      </c>
      <c r="E1193" t="s">
        <v>11271</v>
      </c>
      <c r="F1193" t="s">
        <v>5791</v>
      </c>
      <c r="G1193">
        <v>51474</v>
      </c>
      <c r="I1193">
        <v>51474</v>
      </c>
      <c r="J1193">
        <v>51474</v>
      </c>
      <c r="K1193" s="4">
        <v>44958</v>
      </c>
      <c r="L1193" s="4">
        <v>44958</v>
      </c>
      <c r="M1193">
        <v>2023</v>
      </c>
      <c r="N1193">
        <v>2</v>
      </c>
      <c r="O1193" s="4">
        <v>44958</v>
      </c>
      <c r="P1193" t="s">
        <v>89</v>
      </c>
      <c r="Q1193" s="4">
        <v>45015</v>
      </c>
      <c r="S1193" t="s">
        <v>5792</v>
      </c>
      <c r="U1193">
        <v>128685</v>
      </c>
      <c r="V1193">
        <v>0.4</v>
      </c>
      <c r="W1193" t="s">
        <v>17</v>
      </c>
      <c r="X1193" t="s">
        <v>3918</v>
      </c>
      <c r="Z1193" t="s">
        <v>89</v>
      </c>
      <c r="AA1193" t="s">
        <v>89</v>
      </c>
      <c r="AC1193" t="s">
        <v>89</v>
      </c>
      <c r="AD1193" t="s">
        <v>89</v>
      </c>
      <c r="AE1193" t="s">
        <v>3652</v>
      </c>
      <c r="AF1193" s="4"/>
    </row>
    <row r="1194" spans="1:32">
      <c r="A1194" t="s">
        <v>11272</v>
      </c>
      <c r="B1194" t="s">
        <v>9366</v>
      </c>
      <c r="C1194" t="s">
        <v>4606</v>
      </c>
      <c r="D1194" t="s">
        <v>54</v>
      </c>
      <c r="E1194" t="s">
        <v>10171</v>
      </c>
      <c r="F1194" t="s">
        <v>4604</v>
      </c>
      <c r="G1194">
        <v>744.41</v>
      </c>
      <c r="I1194">
        <v>744.41</v>
      </c>
      <c r="K1194" s="4">
        <v>45498</v>
      </c>
      <c r="L1194" s="4">
        <v>45498</v>
      </c>
      <c r="M1194">
        <v>2024</v>
      </c>
      <c r="N1194">
        <v>7</v>
      </c>
      <c r="O1194" s="4">
        <v>45474</v>
      </c>
      <c r="P1194" t="s">
        <v>1473</v>
      </c>
      <c r="Q1194" s="4"/>
      <c r="S1194" t="s">
        <v>4605</v>
      </c>
      <c r="T1194">
        <v>45551</v>
      </c>
      <c r="U1194">
        <v>1240.69</v>
      </c>
      <c r="V1194">
        <v>0.5999967759875553</v>
      </c>
      <c r="W1194" t="s">
        <v>16</v>
      </c>
      <c r="X1194" t="s">
        <v>4823</v>
      </c>
      <c r="Z1194">
        <v>54</v>
      </c>
      <c r="AA1194">
        <v>54</v>
      </c>
      <c r="AB1194" t="s">
        <v>10875</v>
      </c>
      <c r="AC1194" t="s">
        <v>1473</v>
      </c>
      <c r="AE1194" t="s">
        <v>9251</v>
      </c>
      <c r="AF1194" s="4"/>
    </row>
    <row r="1195" spans="1:32">
      <c r="A1195" t="s">
        <v>11273</v>
      </c>
      <c r="B1195" t="s">
        <v>9366</v>
      </c>
      <c r="D1195" t="s">
        <v>54</v>
      </c>
      <c r="E1195" t="s">
        <v>11274</v>
      </c>
      <c r="F1195" t="s">
        <v>5793</v>
      </c>
      <c r="G1195">
        <v>51474</v>
      </c>
      <c r="I1195">
        <v>51474</v>
      </c>
      <c r="J1195">
        <v>51474</v>
      </c>
      <c r="K1195" s="4">
        <v>44958</v>
      </c>
      <c r="L1195" s="4">
        <v>44958</v>
      </c>
      <c r="M1195">
        <v>2023</v>
      </c>
      <c r="N1195">
        <v>2</v>
      </c>
      <c r="O1195" s="4">
        <v>44958</v>
      </c>
      <c r="P1195" t="s">
        <v>89</v>
      </c>
      <c r="Q1195" s="4">
        <v>45015</v>
      </c>
      <c r="S1195" t="s">
        <v>5794</v>
      </c>
      <c r="U1195">
        <v>128685</v>
      </c>
      <c r="V1195">
        <v>0.4</v>
      </c>
      <c r="W1195" t="s">
        <v>17</v>
      </c>
      <c r="X1195" t="s">
        <v>3918</v>
      </c>
      <c r="Z1195" t="s">
        <v>89</v>
      </c>
      <c r="AA1195" t="s">
        <v>89</v>
      </c>
      <c r="AC1195" t="s">
        <v>89</v>
      </c>
      <c r="AD1195">
        <v>0</v>
      </c>
      <c r="AE1195" t="s">
        <v>9251</v>
      </c>
      <c r="AF1195" s="4"/>
    </row>
    <row r="1196" spans="1:32">
      <c r="A1196" t="s">
        <v>11275</v>
      </c>
      <c r="B1196" t="s">
        <v>9366</v>
      </c>
      <c r="C1196" t="s">
        <v>3948</v>
      </c>
      <c r="D1196" t="s">
        <v>54</v>
      </c>
      <c r="E1196">
        <v>4590008194</v>
      </c>
      <c r="F1196" t="s">
        <v>3946</v>
      </c>
      <c r="G1196">
        <v>650175</v>
      </c>
      <c r="I1196">
        <v>650175</v>
      </c>
      <c r="J1196">
        <v>650175</v>
      </c>
      <c r="K1196" s="4">
        <v>45401</v>
      </c>
      <c r="L1196" s="4">
        <v>45457</v>
      </c>
      <c r="M1196">
        <v>2024</v>
      </c>
      <c r="N1196">
        <v>4</v>
      </c>
      <c r="O1196" s="4">
        <v>45383</v>
      </c>
      <c r="P1196" t="s">
        <v>89</v>
      </c>
      <c r="Q1196" s="4">
        <v>45519</v>
      </c>
      <c r="R1196" t="s">
        <v>11276</v>
      </c>
      <c r="S1196" t="s">
        <v>3947</v>
      </c>
      <c r="T1196">
        <v>45505</v>
      </c>
      <c r="U1196">
        <v>650175</v>
      </c>
      <c r="V1196">
        <v>1</v>
      </c>
      <c r="W1196" t="s">
        <v>17</v>
      </c>
      <c r="X1196" t="s">
        <v>3900</v>
      </c>
      <c r="Z1196" t="s">
        <v>89</v>
      </c>
      <c r="AA1196" t="s">
        <v>89</v>
      </c>
      <c r="AB1196" t="s">
        <v>11277</v>
      </c>
      <c r="AC1196" t="s">
        <v>625</v>
      </c>
      <c r="AD1196" t="s">
        <v>1848</v>
      </c>
      <c r="AE1196" t="s">
        <v>9251</v>
      </c>
      <c r="AF1196" s="4"/>
    </row>
    <row r="1197" spans="1:32">
      <c r="A1197" t="s">
        <v>11278</v>
      </c>
      <c r="B1197" t="s">
        <v>9366</v>
      </c>
      <c r="D1197" t="s">
        <v>54</v>
      </c>
      <c r="E1197" t="s">
        <v>11279</v>
      </c>
      <c r="F1197" t="s">
        <v>5796</v>
      </c>
      <c r="G1197">
        <v>51474</v>
      </c>
      <c r="I1197">
        <v>51474</v>
      </c>
      <c r="J1197">
        <v>51474</v>
      </c>
      <c r="K1197" s="4">
        <v>44958</v>
      </c>
      <c r="L1197" s="4">
        <v>44958</v>
      </c>
      <c r="M1197">
        <v>2023</v>
      </c>
      <c r="N1197">
        <v>2</v>
      </c>
      <c r="O1197" s="4">
        <v>44958</v>
      </c>
      <c r="P1197" t="s">
        <v>89</v>
      </c>
      <c r="Q1197" s="4">
        <v>45015</v>
      </c>
      <c r="S1197" t="s">
        <v>5797</v>
      </c>
      <c r="U1197">
        <v>128685</v>
      </c>
      <c r="V1197">
        <v>0.4</v>
      </c>
      <c r="W1197" t="s">
        <v>17</v>
      </c>
      <c r="X1197" t="s">
        <v>3918</v>
      </c>
      <c r="Z1197" t="s">
        <v>89</v>
      </c>
      <c r="AA1197" t="s">
        <v>89</v>
      </c>
      <c r="AC1197" t="s">
        <v>89</v>
      </c>
      <c r="AD1197">
        <v>0</v>
      </c>
      <c r="AE1197" t="s">
        <v>9251</v>
      </c>
      <c r="AF1197" s="4"/>
    </row>
    <row r="1198" spans="1:32">
      <c r="A1198" t="s">
        <v>11280</v>
      </c>
      <c r="B1198" t="s">
        <v>9366</v>
      </c>
      <c r="D1198" t="s">
        <v>54</v>
      </c>
      <c r="E1198" t="s">
        <v>11281</v>
      </c>
      <c r="F1198" t="s">
        <v>5799</v>
      </c>
      <c r="G1198">
        <v>51474</v>
      </c>
      <c r="I1198">
        <v>51474</v>
      </c>
      <c r="J1198">
        <v>51474</v>
      </c>
      <c r="K1198" s="4">
        <v>44958</v>
      </c>
      <c r="L1198" s="4">
        <v>44958</v>
      </c>
      <c r="M1198">
        <v>2023</v>
      </c>
      <c r="N1198">
        <v>2</v>
      </c>
      <c r="O1198" s="4">
        <v>44958</v>
      </c>
      <c r="P1198" t="s">
        <v>89</v>
      </c>
      <c r="Q1198" s="4">
        <v>45015</v>
      </c>
      <c r="S1198" t="s">
        <v>5801</v>
      </c>
      <c r="U1198">
        <v>128685</v>
      </c>
      <c r="V1198">
        <v>0.4</v>
      </c>
      <c r="W1198" t="s">
        <v>17</v>
      </c>
      <c r="X1198" t="s">
        <v>3918</v>
      </c>
      <c r="Z1198" t="s">
        <v>89</v>
      </c>
      <c r="AA1198" t="s">
        <v>89</v>
      </c>
      <c r="AC1198" t="s">
        <v>89</v>
      </c>
      <c r="AD1198">
        <v>0</v>
      </c>
      <c r="AE1198" t="s">
        <v>9251</v>
      </c>
      <c r="AF1198" s="4"/>
    </row>
    <row r="1199" spans="1:32">
      <c r="A1199" t="s">
        <v>11282</v>
      </c>
      <c r="B1199" t="s">
        <v>9366</v>
      </c>
      <c r="C1199" t="s">
        <v>4084</v>
      </c>
      <c r="D1199" t="s">
        <v>54</v>
      </c>
      <c r="E1199">
        <v>4590013908</v>
      </c>
      <c r="F1199" t="s">
        <v>4080</v>
      </c>
      <c r="G1199">
        <v>21470.42</v>
      </c>
      <c r="I1199">
        <v>21470.42</v>
      </c>
      <c r="J1199">
        <v>21470.42</v>
      </c>
      <c r="K1199" s="4">
        <v>45345</v>
      </c>
      <c r="L1199" s="4">
        <v>45505</v>
      </c>
      <c r="M1199">
        <v>2024</v>
      </c>
      <c r="N1199">
        <v>2</v>
      </c>
      <c r="O1199" s="4">
        <v>45323</v>
      </c>
      <c r="P1199" t="s">
        <v>89</v>
      </c>
      <c r="Q1199" s="4">
        <v>45534</v>
      </c>
      <c r="R1199" t="s">
        <v>11283</v>
      </c>
      <c r="S1199" t="s">
        <v>2568</v>
      </c>
      <c r="T1199">
        <v>45509</v>
      </c>
      <c r="U1199">
        <v>22954.42</v>
      </c>
      <c r="V1199">
        <v>0.93535014171562603</v>
      </c>
      <c r="W1199" t="s">
        <v>17</v>
      </c>
      <c r="X1199" t="s">
        <v>3711</v>
      </c>
      <c r="Z1199" t="s">
        <v>89</v>
      </c>
      <c r="AA1199" t="s">
        <v>89</v>
      </c>
      <c r="AB1199" t="s">
        <v>11284</v>
      </c>
      <c r="AC1199" t="s">
        <v>1473</v>
      </c>
      <c r="AD1199" t="s">
        <v>1473</v>
      </c>
      <c r="AE1199" t="s">
        <v>9251</v>
      </c>
      <c r="AF1199" s="4"/>
    </row>
    <row r="1200" spans="1:32">
      <c r="A1200" t="s">
        <v>11285</v>
      </c>
      <c r="B1200" t="s">
        <v>9366</v>
      </c>
      <c r="D1200" t="s">
        <v>54</v>
      </c>
      <c r="E1200" t="s">
        <v>11286</v>
      </c>
      <c r="F1200" t="s">
        <v>5802</v>
      </c>
      <c r="G1200">
        <v>51474</v>
      </c>
      <c r="I1200">
        <v>51474</v>
      </c>
      <c r="J1200">
        <v>51474</v>
      </c>
      <c r="K1200" s="4">
        <v>44958</v>
      </c>
      <c r="L1200" s="4">
        <v>44958</v>
      </c>
      <c r="M1200">
        <v>2023</v>
      </c>
      <c r="N1200">
        <v>2</v>
      </c>
      <c r="O1200" s="4">
        <v>44958</v>
      </c>
      <c r="P1200" t="s">
        <v>89</v>
      </c>
      <c r="Q1200" s="4">
        <v>45015</v>
      </c>
      <c r="S1200" t="s">
        <v>5803</v>
      </c>
      <c r="U1200">
        <v>128685</v>
      </c>
      <c r="V1200">
        <v>0.4</v>
      </c>
      <c r="W1200" t="s">
        <v>17</v>
      </c>
      <c r="X1200" t="s">
        <v>3918</v>
      </c>
      <c r="Z1200" t="s">
        <v>89</v>
      </c>
      <c r="AA1200" t="s">
        <v>89</v>
      </c>
      <c r="AC1200" t="s">
        <v>89</v>
      </c>
      <c r="AD1200">
        <v>0</v>
      </c>
      <c r="AE1200" t="s">
        <v>9251</v>
      </c>
      <c r="AF1200" s="4"/>
    </row>
    <row r="1201" spans="1:32">
      <c r="A1201" t="s">
        <v>11287</v>
      </c>
      <c r="B1201" t="s">
        <v>9366</v>
      </c>
      <c r="C1201" t="s">
        <v>4608</v>
      </c>
      <c r="D1201" t="s">
        <v>54</v>
      </c>
      <c r="E1201" t="s">
        <v>10173</v>
      </c>
      <c r="F1201" t="s">
        <v>4607</v>
      </c>
      <c r="G1201">
        <v>2222.7719999999999</v>
      </c>
      <c r="I1201">
        <v>2222.7719999999999</v>
      </c>
      <c r="K1201" s="4">
        <v>45513</v>
      </c>
      <c r="L1201" s="4">
        <v>45513</v>
      </c>
      <c r="O1201" s="4"/>
      <c r="P1201" t="s">
        <v>1473</v>
      </c>
      <c r="Q1201" s="4"/>
      <c r="S1201" t="s">
        <v>2921</v>
      </c>
      <c r="T1201">
        <v>45551</v>
      </c>
      <c r="U1201">
        <v>3704.62</v>
      </c>
      <c r="V1201">
        <v>0.6</v>
      </c>
      <c r="W1201" t="s">
        <v>16</v>
      </c>
      <c r="X1201" t="s">
        <v>3828</v>
      </c>
      <c r="Z1201">
        <v>39</v>
      </c>
      <c r="AA1201">
        <v>39</v>
      </c>
      <c r="AB1201" t="s">
        <v>10875</v>
      </c>
      <c r="AE1201" t="s">
        <v>9251</v>
      </c>
      <c r="AF1201" s="4"/>
    </row>
    <row r="1202" spans="1:32">
      <c r="A1202" t="s">
        <v>11288</v>
      </c>
      <c r="B1202" t="s">
        <v>9366</v>
      </c>
      <c r="D1202" t="s">
        <v>54</v>
      </c>
      <c r="E1202" t="s">
        <v>11289</v>
      </c>
      <c r="F1202" t="s">
        <v>5805</v>
      </c>
      <c r="G1202">
        <v>67965</v>
      </c>
      <c r="I1202">
        <v>67965</v>
      </c>
      <c r="J1202">
        <v>67965</v>
      </c>
      <c r="K1202" s="4">
        <v>44958</v>
      </c>
      <c r="L1202" s="4">
        <v>44958</v>
      </c>
      <c r="M1202">
        <v>2023</v>
      </c>
      <c r="N1202">
        <v>2</v>
      </c>
      <c r="O1202" s="4">
        <v>44958</v>
      </c>
      <c r="P1202" t="s">
        <v>89</v>
      </c>
      <c r="Q1202" s="4">
        <v>45015</v>
      </c>
      <c r="S1202" t="s">
        <v>5806</v>
      </c>
      <c r="U1202">
        <v>169912.5</v>
      </c>
      <c r="V1202">
        <v>0.4</v>
      </c>
      <c r="W1202" t="s">
        <v>17</v>
      </c>
      <c r="X1202" t="s">
        <v>3918</v>
      </c>
      <c r="Z1202" t="s">
        <v>89</v>
      </c>
      <c r="AA1202" t="s">
        <v>89</v>
      </c>
      <c r="AC1202" t="s">
        <v>89</v>
      </c>
      <c r="AD1202" t="s">
        <v>89</v>
      </c>
      <c r="AE1202" t="s">
        <v>3652</v>
      </c>
      <c r="AF1202" s="4"/>
    </row>
    <row r="1203" spans="1:32">
      <c r="A1203" t="s">
        <v>11290</v>
      </c>
      <c r="B1203" t="s">
        <v>9366</v>
      </c>
      <c r="D1203" t="s">
        <v>54</v>
      </c>
      <c r="E1203" t="s">
        <v>11291</v>
      </c>
      <c r="F1203" t="s">
        <v>5808</v>
      </c>
      <c r="G1203">
        <v>67965</v>
      </c>
      <c r="I1203">
        <v>67965</v>
      </c>
      <c r="J1203">
        <v>67965</v>
      </c>
      <c r="K1203" s="4">
        <v>44958</v>
      </c>
      <c r="L1203" s="4">
        <v>44958</v>
      </c>
      <c r="M1203">
        <v>2023</v>
      </c>
      <c r="N1203">
        <v>2</v>
      </c>
      <c r="O1203" s="4">
        <v>44958</v>
      </c>
      <c r="P1203" t="s">
        <v>89</v>
      </c>
      <c r="Q1203" s="4">
        <v>45015</v>
      </c>
      <c r="S1203" t="s">
        <v>5809</v>
      </c>
      <c r="U1203">
        <v>169912.5</v>
      </c>
      <c r="V1203">
        <v>0.4</v>
      </c>
      <c r="W1203" t="s">
        <v>17</v>
      </c>
      <c r="X1203" t="s">
        <v>3918</v>
      </c>
      <c r="Z1203" t="s">
        <v>89</v>
      </c>
      <c r="AA1203" t="s">
        <v>89</v>
      </c>
      <c r="AC1203" t="s">
        <v>89</v>
      </c>
      <c r="AD1203" t="s">
        <v>89</v>
      </c>
      <c r="AE1203" t="s">
        <v>3652</v>
      </c>
      <c r="AF1203" s="4"/>
    </row>
    <row r="1204" spans="1:32">
      <c r="A1204" t="s">
        <v>11292</v>
      </c>
      <c r="B1204" t="s">
        <v>9366</v>
      </c>
      <c r="D1204" t="s">
        <v>54</v>
      </c>
      <c r="E1204" t="s">
        <v>11293</v>
      </c>
      <c r="F1204" t="s">
        <v>5810</v>
      </c>
      <c r="G1204">
        <v>67965</v>
      </c>
      <c r="I1204">
        <v>67965</v>
      </c>
      <c r="J1204">
        <v>67965</v>
      </c>
      <c r="K1204" s="4">
        <v>44958</v>
      </c>
      <c r="L1204" s="4">
        <v>44958</v>
      </c>
      <c r="M1204">
        <v>2023</v>
      </c>
      <c r="N1204">
        <v>2</v>
      </c>
      <c r="O1204" s="4">
        <v>44958</v>
      </c>
      <c r="P1204" t="s">
        <v>89</v>
      </c>
      <c r="Q1204" s="4">
        <v>45015</v>
      </c>
      <c r="S1204" t="s">
        <v>5811</v>
      </c>
      <c r="U1204">
        <v>169912.5</v>
      </c>
      <c r="V1204">
        <v>0.4</v>
      </c>
      <c r="W1204" t="s">
        <v>17</v>
      </c>
      <c r="X1204" t="s">
        <v>3918</v>
      </c>
      <c r="Z1204" t="s">
        <v>89</v>
      </c>
      <c r="AA1204" t="s">
        <v>89</v>
      </c>
      <c r="AC1204" t="s">
        <v>89</v>
      </c>
      <c r="AD1204">
        <v>0</v>
      </c>
      <c r="AE1204" t="s">
        <v>9251</v>
      </c>
      <c r="AF1204" s="4"/>
    </row>
    <row r="1205" spans="1:32">
      <c r="A1205" t="s">
        <v>11294</v>
      </c>
      <c r="B1205" t="s">
        <v>9366</v>
      </c>
      <c r="C1205" t="s">
        <v>4610</v>
      </c>
      <c r="D1205" t="s">
        <v>54</v>
      </c>
      <c r="E1205" t="s">
        <v>10176</v>
      </c>
      <c r="F1205" t="s">
        <v>4609</v>
      </c>
      <c r="G1205">
        <v>2222.7719999999999</v>
      </c>
      <c r="I1205">
        <v>2222.7719999999999</v>
      </c>
      <c r="K1205" s="4">
        <v>45429</v>
      </c>
      <c r="L1205" s="4">
        <v>45539</v>
      </c>
      <c r="M1205">
        <v>2024</v>
      </c>
      <c r="N1205">
        <v>5</v>
      </c>
      <c r="O1205" s="4">
        <v>45413</v>
      </c>
      <c r="P1205" t="s">
        <v>1473</v>
      </c>
      <c r="Q1205" s="4"/>
      <c r="R1205" t="s">
        <v>4611</v>
      </c>
      <c r="S1205" t="s">
        <v>2919</v>
      </c>
      <c r="T1205">
        <v>45551</v>
      </c>
      <c r="U1205">
        <v>3704.62</v>
      </c>
      <c r="V1205">
        <v>0.6</v>
      </c>
      <c r="W1205" t="s">
        <v>16</v>
      </c>
      <c r="X1205" t="s">
        <v>3828</v>
      </c>
      <c r="Z1205">
        <v>123</v>
      </c>
      <c r="AA1205">
        <v>13</v>
      </c>
      <c r="AB1205" t="s">
        <v>10875</v>
      </c>
      <c r="AC1205" t="s">
        <v>95</v>
      </c>
      <c r="AD1205" t="s">
        <v>1473</v>
      </c>
      <c r="AE1205" t="s">
        <v>3652</v>
      </c>
      <c r="AF1205" s="4"/>
    </row>
    <row r="1206" spans="1:32">
      <c r="A1206" t="s">
        <v>11295</v>
      </c>
      <c r="B1206" t="s">
        <v>9366</v>
      </c>
      <c r="C1206" t="s">
        <v>4613</v>
      </c>
      <c r="D1206" t="s">
        <v>54</v>
      </c>
      <c r="E1206" t="s">
        <v>10181</v>
      </c>
      <c r="F1206" t="s">
        <v>4612</v>
      </c>
      <c r="G1206">
        <v>1978.992</v>
      </c>
      <c r="I1206">
        <v>1978.992</v>
      </c>
      <c r="K1206" s="4">
        <v>45422</v>
      </c>
      <c r="L1206" s="4">
        <v>45422</v>
      </c>
      <c r="M1206">
        <v>2024</v>
      </c>
      <c r="N1206">
        <v>5</v>
      </c>
      <c r="O1206" s="4">
        <v>45413</v>
      </c>
      <c r="P1206" t="s">
        <v>625</v>
      </c>
      <c r="Q1206" s="4"/>
      <c r="S1206" t="s">
        <v>2917</v>
      </c>
      <c r="T1206">
        <v>45551</v>
      </c>
      <c r="U1206">
        <v>3298.32</v>
      </c>
      <c r="V1206">
        <v>0.6</v>
      </c>
      <c r="W1206" t="s">
        <v>16</v>
      </c>
      <c r="X1206" t="s">
        <v>3828</v>
      </c>
      <c r="Z1206">
        <v>130</v>
      </c>
      <c r="AA1206">
        <v>130</v>
      </c>
      <c r="AB1206" t="s">
        <v>10875</v>
      </c>
      <c r="AC1206" t="s">
        <v>1848</v>
      </c>
      <c r="AD1206" t="s">
        <v>1473</v>
      </c>
      <c r="AE1206" t="s">
        <v>9251</v>
      </c>
      <c r="AF1206" s="4"/>
    </row>
    <row r="1207" spans="1:32">
      <c r="A1207" t="s">
        <v>11296</v>
      </c>
      <c r="B1207" t="s">
        <v>9366</v>
      </c>
      <c r="D1207" t="s">
        <v>54</v>
      </c>
      <c r="E1207" t="s">
        <v>11297</v>
      </c>
      <c r="F1207" t="s">
        <v>5819</v>
      </c>
      <c r="G1207">
        <v>93401.36</v>
      </c>
      <c r="I1207">
        <v>93401.36</v>
      </c>
      <c r="J1207">
        <v>93401.36</v>
      </c>
      <c r="K1207" s="4">
        <v>44958</v>
      </c>
      <c r="L1207" s="4">
        <v>44958</v>
      </c>
      <c r="M1207">
        <v>2023</v>
      </c>
      <c r="N1207">
        <v>2</v>
      </c>
      <c r="O1207" s="4">
        <v>44958</v>
      </c>
      <c r="P1207" t="s">
        <v>89</v>
      </c>
      <c r="Q1207" s="4">
        <v>45015</v>
      </c>
      <c r="S1207" t="s">
        <v>5821</v>
      </c>
      <c r="U1207">
        <v>233503.39</v>
      </c>
      <c r="V1207">
        <v>0.40000001713037225</v>
      </c>
      <c r="W1207" t="s">
        <v>17</v>
      </c>
      <c r="X1207" t="s">
        <v>3918</v>
      </c>
      <c r="Z1207" t="s">
        <v>89</v>
      </c>
      <c r="AA1207" t="s">
        <v>89</v>
      </c>
      <c r="AC1207" t="s">
        <v>89</v>
      </c>
      <c r="AD1207">
        <v>0</v>
      </c>
      <c r="AE1207" t="s">
        <v>9251</v>
      </c>
      <c r="AF1207" s="4"/>
    </row>
    <row r="1208" spans="1:32">
      <c r="A1208" t="s">
        <v>11298</v>
      </c>
      <c r="B1208" t="s">
        <v>9366</v>
      </c>
      <c r="D1208" t="s">
        <v>54</v>
      </c>
      <c r="E1208" t="s">
        <v>11299</v>
      </c>
      <c r="F1208" t="s">
        <v>5823</v>
      </c>
      <c r="G1208">
        <v>93401.36</v>
      </c>
      <c r="I1208">
        <v>93401.36</v>
      </c>
      <c r="J1208">
        <v>93401.36</v>
      </c>
      <c r="K1208" s="4">
        <v>44958</v>
      </c>
      <c r="L1208" s="4">
        <v>44958</v>
      </c>
      <c r="M1208">
        <v>2023</v>
      </c>
      <c r="N1208">
        <v>2</v>
      </c>
      <c r="O1208" s="4">
        <v>44958</v>
      </c>
      <c r="P1208" t="s">
        <v>89</v>
      </c>
      <c r="Q1208" s="4">
        <v>45015</v>
      </c>
      <c r="S1208" t="s">
        <v>5824</v>
      </c>
      <c r="U1208">
        <v>233503.39</v>
      </c>
      <c r="V1208">
        <v>0.40000001713037225</v>
      </c>
      <c r="W1208" t="s">
        <v>17</v>
      </c>
      <c r="X1208" t="s">
        <v>3918</v>
      </c>
      <c r="Z1208" t="s">
        <v>89</v>
      </c>
      <c r="AA1208" t="s">
        <v>89</v>
      </c>
      <c r="AC1208" t="s">
        <v>89</v>
      </c>
      <c r="AD1208">
        <v>0</v>
      </c>
      <c r="AE1208" t="s">
        <v>9251</v>
      </c>
      <c r="AF1208" s="4"/>
    </row>
    <row r="1209" spans="1:32">
      <c r="A1209" t="s">
        <v>11300</v>
      </c>
      <c r="B1209" t="s">
        <v>9366</v>
      </c>
      <c r="D1209" t="s">
        <v>54</v>
      </c>
      <c r="E1209" t="s">
        <v>11301</v>
      </c>
      <c r="F1209" t="s">
        <v>5825</v>
      </c>
      <c r="G1209">
        <v>93401.36</v>
      </c>
      <c r="I1209">
        <v>93401.36</v>
      </c>
      <c r="J1209">
        <v>93401.36</v>
      </c>
      <c r="K1209" s="4">
        <v>44958</v>
      </c>
      <c r="L1209" s="4">
        <v>44958</v>
      </c>
      <c r="M1209">
        <v>2023</v>
      </c>
      <c r="N1209">
        <v>2</v>
      </c>
      <c r="O1209" s="4">
        <v>44958</v>
      </c>
      <c r="P1209" t="s">
        <v>89</v>
      </c>
      <c r="Q1209" s="4">
        <v>45015</v>
      </c>
      <c r="S1209" t="s">
        <v>5826</v>
      </c>
      <c r="U1209">
        <v>233503.39</v>
      </c>
      <c r="V1209">
        <v>0.40000001713037225</v>
      </c>
      <c r="W1209" t="s">
        <v>17</v>
      </c>
      <c r="X1209" t="s">
        <v>3918</v>
      </c>
      <c r="Z1209" t="s">
        <v>89</v>
      </c>
      <c r="AA1209" t="s">
        <v>89</v>
      </c>
      <c r="AC1209" t="s">
        <v>89</v>
      </c>
      <c r="AD1209">
        <v>0</v>
      </c>
      <c r="AE1209" t="s">
        <v>9251</v>
      </c>
      <c r="AF1209" s="4"/>
    </row>
    <row r="1210" spans="1:32">
      <c r="A1210" t="s">
        <v>11302</v>
      </c>
      <c r="B1210" t="s">
        <v>9366</v>
      </c>
      <c r="C1210" t="s">
        <v>4151</v>
      </c>
      <c r="D1210" t="s">
        <v>54</v>
      </c>
      <c r="E1210">
        <v>4590014282</v>
      </c>
      <c r="F1210" t="s">
        <v>4147</v>
      </c>
      <c r="I1210">
        <v>0</v>
      </c>
      <c r="K1210" s="4">
        <v>45345</v>
      </c>
      <c r="L1210" s="4">
        <v>45345</v>
      </c>
      <c r="M1210">
        <v>2024</v>
      </c>
      <c r="N1210">
        <v>2</v>
      </c>
      <c r="O1210" s="4">
        <v>45323</v>
      </c>
      <c r="Q1210" s="4"/>
      <c r="R1210" t="s">
        <v>11303</v>
      </c>
      <c r="S1210" t="s">
        <v>4150</v>
      </c>
      <c r="W1210" t="s">
        <v>17</v>
      </c>
      <c r="X1210" t="s">
        <v>3665</v>
      </c>
      <c r="AB1210" t="s">
        <v>11304</v>
      </c>
      <c r="AD1210" t="s">
        <v>1473</v>
      </c>
      <c r="AE1210" t="s">
        <v>9251</v>
      </c>
      <c r="AF1210" s="4"/>
    </row>
    <row r="1211" spans="1:32">
      <c r="A1211" t="s">
        <v>11305</v>
      </c>
      <c r="B1211" t="s">
        <v>9366</v>
      </c>
      <c r="C1211" t="s">
        <v>4615</v>
      </c>
      <c r="D1211" t="s">
        <v>54</v>
      </c>
      <c r="E1211" t="s">
        <v>10185</v>
      </c>
      <c r="F1211" t="s">
        <v>4614</v>
      </c>
      <c r="G1211">
        <v>1978.992</v>
      </c>
      <c r="I1211">
        <v>1978.992</v>
      </c>
      <c r="K1211" s="4">
        <v>45422</v>
      </c>
      <c r="L1211" s="4">
        <v>45422</v>
      </c>
      <c r="M1211">
        <v>2024</v>
      </c>
      <c r="N1211">
        <v>5</v>
      </c>
      <c r="O1211" s="4">
        <v>45413</v>
      </c>
      <c r="P1211" t="s">
        <v>625</v>
      </c>
      <c r="Q1211" s="4"/>
      <c r="S1211" t="s">
        <v>2915</v>
      </c>
      <c r="T1211">
        <v>45551</v>
      </c>
      <c r="U1211">
        <v>3298.32</v>
      </c>
      <c r="V1211">
        <v>0.6</v>
      </c>
      <c r="W1211" t="s">
        <v>16</v>
      </c>
      <c r="X1211" t="s">
        <v>3828</v>
      </c>
      <c r="Z1211">
        <v>130</v>
      </c>
      <c r="AA1211">
        <v>130</v>
      </c>
      <c r="AB1211" t="s">
        <v>10875</v>
      </c>
      <c r="AC1211" t="s">
        <v>1848</v>
      </c>
      <c r="AD1211" t="s">
        <v>1473</v>
      </c>
      <c r="AE1211" t="s">
        <v>9251</v>
      </c>
      <c r="AF1211" s="4"/>
    </row>
    <row r="1212" spans="1:32">
      <c r="A1212" t="s">
        <v>11306</v>
      </c>
      <c r="B1212" t="s">
        <v>9366</v>
      </c>
      <c r="C1212" t="s">
        <v>3829</v>
      </c>
      <c r="D1212" t="s">
        <v>54</v>
      </c>
      <c r="E1212">
        <v>4590007618</v>
      </c>
      <c r="F1212" t="s">
        <v>3825</v>
      </c>
      <c r="G1212">
        <v>31846</v>
      </c>
      <c r="I1212">
        <v>31846</v>
      </c>
      <c r="K1212" s="4">
        <v>45401</v>
      </c>
      <c r="L1212" s="4">
        <v>45401</v>
      </c>
      <c r="M1212">
        <v>2024</v>
      </c>
      <c r="N1212">
        <v>4</v>
      </c>
      <c r="O1212" s="4">
        <v>45383</v>
      </c>
      <c r="P1212" t="s">
        <v>625</v>
      </c>
      <c r="Q1212" s="4"/>
      <c r="S1212" t="s">
        <v>3827</v>
      </c>
      <c r="T1212">
        <v>45541</v>
      </c>
      <c r="U1212">
        <v>31846</v>
      </c>
      <c r="V1212">
        <v>1</v>
      </c>
      <c r="W1212" t="s">
        <v>17</v>
      </c>
      <c r="X1212" t="s">
        <v>3828</v>
      </c>
      <c r="Z1212">
        <v>151</v>
      </c>
      <c r="AA1212">
        <v>151</v>
      </c>
      <c r="AB1212" t="s">
        <v>11307</v>
      </c>
      <c r="AC1212" t="s">
        <v>1848</v>
      </c>
      <c r="AD1212" t="s">
        <v>1473</v>
      </c>
      <c r="AE1212" t="s">
        <v>9251</v>
      </c>
      <c r="AF1212" s="4"/>
    </row>
    <row r="1213" spans="1:32">
      <c r="A1213" t="s">
        <v>11308</v>
      </c>
      <c r="B1213" t="s">
        <v>9366</v>
      </c>
      <c r="C1213" t="s">
        <v>5844</v>
      </c>
      <c r="D1213" t="s">
        <v>54</v>
      </c>
      <c r="E1213" t="s">
        <v>11309</v>
      </c>
      <c r="F1213" t="s">
        <v>5840</v>
      </c>
      <c r="G1213">
        <v>31318.99</v>
      </c>
      <c r="I1213">
        <v>31318.99</v>
      </c>
      <c r="J1213">
        <v>31318.99</v>
      </c>
      <c r="K1213" s="4">
        <v>45380</v>
      </c>
      <c r="L1213" s="4">
        <v>45380</v>
      </c>
      <c r="M1213">
        <v>2024</v>
      </c>
      <c r="N1213">
        <v>3</v>
      </c>
      <c r="O1213" s="4">
        <v>45352</v>
      </c>
      <c r="P1213" t="s">
        <v>89</v>
      </c>
      <c r="Q1213" s="4">
        <v>45503</v>
      </c>
      <c r="R1213" t="s">
        <v>4168</v>
      </c>
      <c r="S1213" t="s">
        <v>5843</v>
      </c>
      <c r="T1213">
        <v>45470</v>
      </c>
      <c r="U1213">
        <v>31318.99</v>
      </c>
      <c r="V1213">
        <v>1</v>
      </c>
      <c r="W1213" t="s">
        <v>17</v>
      </c>
      <c r="X1213" t="s">
        <v>3681</v>
      </c>
      <c r="Z1213" t="s">
        <v>89</v>
      </c>
      <c r="AA1213" t="s">
        <v>89</v>
      </c>
      <c r="AB1213" t="s">
        <v>11310</v>
      </c>
      <c r="AC1213" t="s">
        <v>89</v>
      </c>
      <c r="AD1213" t="s">
        <v>625</v>
      </c>
      <c r="AE1213" t="s">
        <v>9251</v>
      </c>
      <c r="AF1213" s="4"/>
    </row>
    <row r="1214" spans="1:32">
      <c r="A1214" t="s">
        <v>11311</v>
      </c>
      <c r="B1214" t="s">
        <v>9366</v>
      </c>
      <c r="D1214" t="s">
        <v>54</v>
      </c>
      <c r="E1214" t="s">
        <v>11312</v>
      </c>
      <c r="F1214" t="s">
        <v>5874</v>
      </c>
      <c r="G1214">
        <v>5201.6899999999996</v>
      </c>
      <c r="I1214">
        <v>5201.6899999999996</v>
      </c>
      <c r="J1214">
        <v>5201.6899999999996</v>
      </c>
      <c r="K1214" s="4">
        <v>45261</v>
      </c>
      <c r="L1214" s="4">
        <v>45261</v>
      </c>
      <c r="M1214">
        <v>2023</v>
      </c>
      <c r="N1214">
        <v>12</v>
      </c>
      <c r="O1214" s="4">
        <v>45261</v>
      </c>
      <c r="P1214" t="s">
        <v>89</v>
      </c>
      <c r="Q1214" s="4">
        <v>45366</v>
      </c>
      <c r="S1214" t="s">
        <v>5877</v>
      </c>
      <c r="U1214">
        <v>5475.46</v>
      </c>
      <c r="V1214">
        <v>0.95000054789917188</v>
      </c>
      <c r="W1214" t="s">
        <v>16</v>
      </c>
      <c r="X1214" t="s">
        <v>4102</v>
      </c>
      <c r="Z1214" t="s">
        <v>89</v>
      </c>
      <c r="AA1214" t="s">
        <v>89</v>
      </c>
      <c r="AC1214" t="s">
        <v>89</v>
      </c>
      <c r="AD1214" t="s">
        <v>89</v>
      </c>
      <c r="AE1214" t="s">
        <v>3652</v>
      </c>
      <c r="AF1214" s="4"/>
    </row>
    <row r="1215" spans="1:32">
      <c r="B1215" t="s">
        <v>2193</v>
      </c>
      <c r="C1215" t="s">
        <v>11313</v>
      </c>
      <c r="D1215" t="s">
        <v>34</v>
      </c>
      <c r="E1215">
        <v>2923149</v>
      </c>
      <c r="F1215" t="s">
        <v>11314</v>
      </c>
      <c r="G1215">
        <v>15345</v>
      </c>
      <c r="I1215">
        <v>15345</v>
      </c>
      <c r="K1215" s="4">
        <v>45498</v>
      </c>
      <c r="L1215" s="4">
        <v>45498</v>
      </c>
      <c r="M1215">
        <v>2024</v>
      </c>
      <c r="N1215">
        <v>7</v>
      </c>
      <c r="O1215" s="4">
        <v>45474</v>
      </c>
      <c r="P1215" t="s">
        <v>89</v>
      </c>
      <c r="Q1215" s="4"/>
      <c r="S1215" t="s">
        <v>4074</v>
      </c>
      <c r="X1215" t="s">
        <v>4074</v>
      </c>
      <c r="Z1215" t="s">
        <v>89</v>
      </c>
      <c r="AA1215" t="s">
        <v>89</v>
      </c>
      <c r="AC1215" t="s">
        <v>329</v>
      </c>
      <c r="AE1215" t="s">
        <v>9251</v>
      </c>
      <c r="AF1215" s="4">
        <v>45536</v>
      </c>
    </row>
    <row r="1216" spans="1:32">
      <c r="B1216" t="s">
        <v>9366</v>
      </c>
      <c r="C1216" t="s">
        <v>5259</v>
      </c>
      <c r="D1216" t="s">
        <v>54</v>
      </c>
      <c r="E1216" t="s">
        <v>11315</v>
      </c>
      <c r="F1216" t="s">
        <v>5258</v>
      </c>
      <c r="G1216">
        <v>101760</v>
      </c>
      <c r="I1216">
        <v>101760</v>
      </c>
      <c r="J1216">
        <v>101760</v>
      </c>
      <c r="K1216" s="4">
        <v>45429</v>
      </c>
      <c r="L1216" s="4">
        <v>45469</v>
      </c>
      <c r="M1216">
        <v>2024</v>
      </c>
      <c r="N1216">
        <v>5</v>
      </c>
      <c r="O1216" s="4">
        <v>45413</v>
      </c>
      <c r="P1216" t="s">
        <v>89</v>
      </c>
      <c r="Q1216" s="4">
        <v>45548</v>
      </c>
      <c r="S1216" t="s">
        <v>4747</v>
      </c>
      <c r="T1216">
        <v>45533</v>
      </c>
      <c r="U1216">
        <v>101760</v>
      </c>
      <c r="V1216">
        <v>1</v>
      </c>
      <c r="W1216" t="s">
        <v>17</v>
      </c>
      <c r="X1216" t="s">
        <v>3718</v>
      </c>
      <c r="Z1216" t="s">
        <v>89</v>
      </c>
      <c r="AA1216" t="s">
        <v>89</v>
      </c>
      <c r="AB1216" t="s">
        <v>11316</v>
      </c>
      <c r="AC1216" t="s">
        <v>1848</v>
      </c>
      <c r="AD1216" t="s">
        <v>1848</v>
      </c>
      <c r="AE1216" t="s">
        <v>9251</v>
      </c>
      <c r="AF1216" s="4"/>
    </row>
    <row r="1217" spans="2:32">
      <c r="B1217" t="s">
        <v>9366</v>
      </c>
      <c r="C1217" t="s">
        <v>5263</v>
      </c>
      <c r="D1217" t="s">
        <v>54</v>
      </c>
      <c r="E1217" t="s">
        <v>11317</v>
      </c>
      <c r="F1217" t="s">
        <v>5261</v>
      </c>
      <c r="G1217">
        <v>118573</v>
      </c>
      <c r="I1217">
        <v>118573</v>
      </c>
      <c r="J1217">
        <v>118573</v>
      </c>
      <c r="K1217" s="4">
        <v>45483</v>
      </c>
      <c r="L1217" s="4">
        <v>45483</v>
      </c>
      <c r="M1217">
        <v>2024</v>
      </c>
      <c r="N1217">
        <v>2</v>
      </c>
      <c r="O1217" s="4">
        <v>45323</v>
      </c>
      <c r="P1217" t="s">
        <v>89</v>
      </c>
      <c r="Q1217" s="4">
        <v>45548</v>
      </c>
      <c r="S1217" t="s">
        <v>4737</v>
      </c>
      <c r="T1217">
        <v>45533</v>
      </c>
      <c r="U1217">
        <v>118573</v>
      </c>
      <c r="V1217">
        <v>1</v>
      </c>
      <c r="W1217" t="s">
        <v>17</v>
      </c>
      <c r="X1217" t="s">
        <v>3718</v>
      </c>
      <c r="Z1217" t="s">
        <v>89</v>
      </c>
      <c r="AA1217" t="s">
        <v>89</v>
      </c>
      <c r="AB1217" t="s">
        <v>11318</v>
      </c>
      <c r="AC1217" t="s">
        <v>1473</v>
      </c>
      <c r="AD1217" t="s">
        <v>1473</v>
      </c>
      <c r="AE1217" t="s">
        <v>9251</v>
      </c>
      <c r="AF1217" s="4"/>
    </row>
    <row r="1218" spans="2:32">
      <c r="B1218" t="s">
        <v>9366</v>
      </c>
      <c r="C1218" t="s">
        <v>5319</v>
      </c>
      <c r="D1218" t="s">
        <v>54</v>
      </c>
      <c r="E1218" t="s">
        <v>10936</v>
      </c>
      <c r="F1218" t="s">
        <v>5316</v>
      </c>
      <c r="G1218">
        <v>131833.19999999998</v>
      </c>
      <c r="I1218">
        <v>131833.19999999998</v>
      </c>
      <c r="J1218">
        <v>131833.19999999998</v>
      </c>
      <c r="K1218" s="4">
        <v>45436</v>
      </c>
      <c r="L1218" s="4">
        <v>45436</v>
      </c>
      <c r="M1218">
        <v>2024</v>
      </c>
      <c r="N1218">
        <v>5</v>
      </c>
      <c r="O1218" s="4">
        <v>45413</v>
      </c>
      <c r="P1218" t="s">
        <v>89</v>
      </c>
      <c r="Q1218" s="4">
        <v>45548</v>
      </c>
      <c r="S1218" t="s">
        <v>5317</v>
      </c>
      <c r="T1218">
        <v>45533</v>
      </c>
      <c r="U1218">
        <v>219722</v>
      </c>
      <c r="V1218">
        <v>0.6</v>
      </c>
      <c r="W1218" t="s">
        <v>17</v>
      </c>
      <c r="X1218" t="s">
        <v>3918</v>
      </c>
      <c r="Z1218" t="s">
        <v>89</v>
      </c>
      <c r="AA1218" t="s">
        <v>89</v>
      </c>
      <c r="AB1218" t="s">
        <v>11319</v>
      </c>
      <c r="AC1218" t="s">
        <v>1848</v>
      </c>
      <c r="AD1218" t="s">
        <v>1473</v>
      </c>
      <c r="AE1218" t="s">
        <v>9251</v>
      </c>
      <c r="AF1218" s="4"/>
    </row>
    <row r="1219" spans="2:32">
      <c r="B1219" t="s">
        <v>9366</v>
      </c>
      <c r="C1219" t="s">
        <v>4617</v>
      </c>
      <c r="D1219" t="s">
        <v>54</v>
      </c>
      <c r="E1219" t="s">
        <v>10190</v>
      </c>
      <c r="F1219" t="s">
        <v>4616</v>
      </c>
      <c r="G1219">
        <v>744.41399999999999</v>
      </c>
      <c r="I1219">
        <v>744.41399999999999</v>
      </c>
      <c r="K1219" s="4">
        <v>45471</v>
      </c>
      <c r="L1219" s="4">
        <v>45471</v>
      </c>
      <c r="M1219">
        <v>2024</v>
      </c>
      <c r="N1219">
        <v>6</v>
      </c>
      <c r="O1219" s="4">
        <v>45444</v>
      </c>
      <c r="P1219" t="s">
        <v>1473</v>
      </c>
      <c r="Q1219" s="4"/>
      <c r="S1219" t="s">
        <v>3518</v>
      </c>
      <c r="T1219">
        <v>45551</v>
      </c>
      <c r="U1219">
        <v>1240.69</v>
      </c>
      <c r="V1219">
        <v>0.6</v>
      </c>
      <c r="W1219" t="s">
        <v>16</v>
      </c>
      <c r="X1219" t="s">
        <v>3828</v>
      </c>
      <c r="Z1219">
        <v>81</v>
      </c>
      <c r="AA1219">
        <v>81</v>
      </c>
      <c r="AB1219" t="s">
        <v>10875</v>
      </c>
      <c r="AC1219" t="s">
        <v>1473</v>
      </c>
      <c r="AD1219" t="s">
        <v>1473</v>
      </c>
      <c r="AE1219" t="s">
        <v>3652</v>
      </c>
      <c r="AF1219" s="4"/>
    </row>
    <row r="1220" spans="2:32">
      <c r="B1220" t="s">
        <v>9366</v>
      </c>
      <c r="C1220" t="s">
        <v>4619</v>
      </c>
      <c r="D1220" t="s">
        <v>54</v>
      </c>
      <c r="E1220" t="s">
        <v>10192</v>
      </c>
      <c r="F1220" t="s">
        <v>4618</v>
      </c>
      <c r="G1220">
        <v>744.41</v>
      </c>
      <c r="I1220">
        <v>744.41</v>
      </c>
      <c r="K1220" s="4">
        <v>45498</v>
      </c>
      <c r="L1220" s="4">
        <v>45509</v>
      </c>
      <c r="M1220">
        <v>2024</v>
      </c>
      <c r="N1220">
        <v>7</v>
      </c>
      <c r="O1220" s="4">
        <v>45474</v>
      </c>
      <c r="P1220" t="s">
        <v>1473</v>
      </c>
      <c r="Q1220" s="4"/>
      <c r="R1220" t="s">
        <v>11320</v>
      </c>
      <c r="S1220" t="s">
        <v>3520</v>
      </c>
      <c r="T1220">
        <v>45551</v>
      </c>
      <c r="U1220">
        <v>1240.69</v>
      </c>
      <c r="V1220">
        <v>0.5999967759875553</v>
      </c>
      <c r="W1220" t="s">
        <v>16</v>
      </c>
      <c r="X1220" t="s">
        <v>4823</v>
      </c>
      <c r="Z1220">
        <v>54</v>
      </c>
      <c r="AA1220">
        <v>43</v>
      </c>
      <c r="AB1220" t="s">
        <v>10875</v>
      </c>
      <c r="AC1220" t="s">
        <v>1473</v>
      </c>
      <c r="AE1220" t="s">
        <v>9251</v>
      </c>
      <c r="AF1220" s="4"/>
    </row>
    <row r="1221" spans="2:32">
      <c r="B1221" t="s">
        <v>9366</v>
      </c>
      <c r="C1221" t="s">
        <v>3882</v>
      </c>
      <c r="D1221" t="s">
        <v>54</v>
      </c>
      <c r="E1221">
        <v>4590007755</v>
      </c>
      <c r="F1221" t="s">
        <v>3880</v>
      </c>
      <c r="G1221">
        <v>799762.94400000002</v>
      </c>
      <c r="I1221">
        <v>799762.94400000002</v>
      </c>
      <c r="J1221">
        <v>799762.94400000002</v>
      </c>
      <c r="K1221" s="4">
        <v>45506</v>
      </c>
      <c r="L1221" s="4">
        <v>45509</v>
      </c>
      <c r="M1221">
        <v>2024</v>
      </c>
      <c r="N1221">
        <v>8</v>
      </c>
      <c r="O1221" s="4">
        <v>45505</v>
      </c>
      <c r="P1221" t="s">
        <v>89</v>
      </c>
      <c r="Q1221" s="4">
        <v>45548</v>
      </c>
      <c r="S1221" t="s">
        <v>3881</v>
      </c>
      <c r="T1221">
        <v>45533</v>
      </c>
      <c r="U1221">
        <v>1332938.24</v>
      </c>
      <c r="V1221">
        <v>0.6</v>
      </c>
      <c r="W1221" t="s">
        <v>17</v>
      </c>
      <c r="X1221" t="s">
        <v>2250</v>
      </c>
      <c r="Z1221" t="s">
        <v>89</v>
      </c>
      <c r="AA1221" t="s">
        <v>89</v>
      </c>
      <c r="AB1221" t="s">
        <v>11321</v>
      </c>
      <c r="AE1221" t="s">
        <v>9251</v>
      </c>
      <c r="AF1221" s="4"/>
    </row>
    <row r="1222" spans="2:32">
      <c r="B1222" t="s">
        <v>9366</v>
      </c>
      <c r="C1222" t="s">
        <v>4621</v>
      </c>
      <c r="D1222" t="s">
        <v>54</v>
      </c>
      <c r="E1222" t="s">
        <v>10196</v>
      </c>
      <c r="F1222" t="s">
        <v>4620</v>
      </c>
      <c r="G1222">
        <v>744.41399999999999</v>
      </c>
      <c r="I1222">
        <v>744.41399999999999</v>
      </c>
      <c r="K1222" s="4">
        <v>45471</v>
      </c>
      <c r="L1222" s="4">
        <v>45471</v>
      </c>
      <c r="M1222">
        <v>2024</v>
      </c>
      <c r="N1222">
        <v>6</v>
      </c>
      <c r="O1222" s="4">
        <v>45444</v>
      </c>
      <c r="P1222" t="s">
        <v>1473</v>
      </c>
      <c r="Q1222" s="4"/>
      <c r="S1222" t="s">
        <v>3522</v>
      </c>
      <c r="T1222">
        <v>45551</v>
      </c>
      <c r="U1222">
        <v>1240.69</v>
      </c>
      <c r="V1222">
        <v>0.6</v>
      </c>
      <c r="W1222" t="s">
        <v>16</v>
      </c>
      <c r="X1222" t="s">
        <v>3828</v>
      </c>
      <c r="Z1222">
        <v>81</v>
      </c>
      <c r="AA1222">
        <v>81</v>
      </c>
      <c r="AB1222" t="s">
        <v>10875</v>
      </c>
      <c r="AC1222" t="s">
        <v>1473</v>
      </c>
      <c r="AD1222" t="s">
        <v>1473</v>
      </c>
      <c r="AE1222" t="s">
        <v>3652</v>
      </c>
      <c r="AF1222" s="4"/>
    </row>
    <row r="1223" spans="2:32">
      <c r="B1223" t="s">
        <v>9366</v>
      </c>
      <c r="C1223" t="s">
        <v>5495</v>
      </c>
      <c r="D1223" t="s">
        <v>54</v>
      </c>
      <c r="E1223" t="s">
        <v>11322</v>
      </c>
      <c r="F1223" t="s">
        <v>5494</v>
      </c>
      <c r="G1223">
        <v>172324</v>
      </c>
      <c r="I1223">
        <v>172324</v>
      </c>
      <c r="J1223">
        <v>172324</v>
      </c>
      <c r="K1223" s="4">
        <v>45483</v>
      </c>
      <c r="L1223" s="4">
        <v>45483</v>
      </c>
      <c r="M1223">
        <v>2024</v>
      </c>
      <c r="N1223">
        <v>2</v>
      </c>
      <c r="O1223" s="4">
        <v>45323</v>
      </c>
      <c r="P1223" t="s">
        <v>89</v>
      </c>
      <c r="Q1223" s="4">
        <v>45548</v>
      </c>
      <c r="S1223" t="s">
        <v>4733</v>
      </c>
      <c r="T1223">
        <v>45533</v>
      </c>
      <c r="U1223">
        <v>172324</v>
      </c>
      <c r="V1223">
        <v>1</v>
      </c>
      <c r="W1223" t="s">
        <v>17</v>
      </c>
      <c r="X1223" t="s">
        <v>3718</v>
      </c>
      <c r="Z1223" t="s">
        <v>89</v>
      </c>
      <c r="AA1223" t="s">
        <v>89</v>
      </c>
      <c r="AB1223" t="s">
        <v>11323</v>
      </c>
      <c r="AC1223" t="s">
        <v>1473</v>
      </c>
      <c r="AD1223" t="s">
        <v>1473</v>
      </c>
      <c r="AE1223" t="s">
        <v>9251</v>
      </c>
      <c r="AF1223" s="4"/>
    </row>
    <row r="1224" spans="2:32">
      <c r="B1224" t="s">
        <v>9366</v>
      </c>
      <c r="C1224" t="s">
        <v>4624</v>
      </c>
      <c r="D1224" t="s">
        <v>54</v>
      </c>
      <c r="E1224" t="s">
        <v>11324</v>
      </c>
      <c r="F1224" t="s">
        <v>4622</v>
      </c>
      <c r="G1224">
        <v>3225.21</v>
      </c>
      <c r="I1224">
        <v>3225.21</v>
      </c>
      <c r="K1224" s="4">
        <v>45471</v>
      </c>
      <c r="L1224" s="4">
        <v>45471</v>
      </c>
      <c r="M1224">
        <v>2024</v>
      </c>
      <c r="N1224">
        <v>6</v>
      </c>
      <c r="O1224" s="4">
        <v>45444</v>
      </c>
      <c r="P1224" t="s">
        <v>1473</v>
      </c>
      <c r="Q1224" s="4"/>
      <c r="S1224" t="s">
        <v>4623</v>
      </c>
      <c r="T1224">
        <v>45551</v>
      </c>
      <c r="U1224">
        <v>3225.21</v>
      </c>
      <c r="V1224">
        <v>1</v>
      </c>
      <c r="W1224" t="s">
        <v>16</v>
      </c>
      <c r="X1224" t="s">
        <v>3828</v>
      </c>
      <c r="Z1224">
        <v>81</v>
      </c>
      <c r="AA1224">
        <v>81</v>
      </c>
      <c r="AB1224" t="s">
        <v>10875</v>
      </c>
      <c r="AC1224" t="s">
        <v>1473</v>
      </c>
      <c r="AD1224" t="s">
        <v>1473</v>
      </c>
      <c r="AE1224" t="s">
        <v>3652</v>
      </c>
      <c r="AF1224" s="4"/>
    </row>
    <row r="1225" spans="2:32">
      <c r="B1225" t="s">
        <v>9366</v>
      </c>
      <c r="C1225" t="s">
        <v>4627</v>
      </c>
      <c r="D1225" t="s">
        <v>54</v>
      </c>
      <c r="E1225" t="s">
        <v>11325</v>
      </c>
      <c r="F1225" t="s">
        <v>4625</v>
      </c>
      <c r="G1225">
        <v>3226.53</v>
      </c>
      <c r="I1225">
        <v>3226.53</v>
      </c>
      <c r="K1225" s="4">
        <v>45471</v>
      </c>
      <c r="L1225" s="4">
        <v>45471</v>
      </c>
      <c r="M1225">
        <v>2024</v>
      </c>
      <c r="N1225">
        <v>6</v>
      </c>
      <c r="O1225" s="4">
        <v>45444</v>
      </c>
      <c r="P1225" t="s">
        <v>1473</v>
      </c>
      <c r="Q1225" s="4"/>
      <c r="S1225" t="s">
        <v>4626</v>
      </c>
      <c r="T1225">
        <v>45551</v>
      </c>
      <c r="U1225">
        <v>3226.53</v>
      </c>
      <c r="V1225">
        <v>1</v>
      </c>
      <c r="W1225" t="s">
        <v>16</v>
      </c>
      <c r="X1225" t="s">
        <v>3828</v>
      </c>
      <c r="Z1225">
        <v>81</v>
      </c>
      <c r="AA1225">
        <v>81</v>
      </c>
      <c r="AB1225" t="s">
        <v>10875</v>
      </c>
      <c r="AC1225" t="s">
        <v>1473</v>
      </c>
      <c r="AD1225" t="s">
        <v>1473</v>
      </c>
      <c r="AE1225" t="s">
        <v>3652</v>
      </c>
      <c r="AF1225" s="4"/>
    </row>
    <row r="1226" spans="2:32">
      <c r="B1226" t="s">
        <v>9366</v>
      </c>
      <c r="C1226" t="s">
        <v>4630</v>
      </c>
      <c r="D1226" t="s">
        <v>54</v>
      </c>
      <c r="E1226" t="s">
        <v>11326</v>
      </c>
      <c r="F1226" t="s">
        <v>4628</v>
      </c>
      <c r="G1226">
        <v>3226.53</v>
      </c>
      <c r="I1226">
        <v>3226.53</v>
      </c>
      <c r="K1226" s="4">
        <v>45471</v>
      </c>
      <c r="L1226" s="4">
        <v>45471</v>
      </c>
      <c r="M1226">
        <v>2024</v>
      </c>
      <c r="N1226">
        <v>6</v>
      </c>
      <c r="O1226" s="4">
        <v>45444</v>
      </c>
      <c r="P1226" t="s">
        <v>1473</v>
      </c>
      <c r="Q1226" s="4"/>
      <c r="S1226" t="s">
        <v>4629</v>
      </c>
      <c r="T1226">
        <v>45551</v>
      </c>
      <c r="U1226">
        <v>3226.53</v>
      </c>
      <c r="V1226">
        <v>1</v>
      </c>
      <c r="W1226" t="s">
        <v>16</v>
      </c>
      <c r="X1226" t="s">
        <v>3828</v>
      </c>
      <c r="Z1226">
        <v>81</v>
      </c>
      <c r="AA1226">
        <v>81</v>
      </c>
      <c r="AB1226" t="s">
        <v>10875</v>
      </c>
      <c r="AC1226" t="s">
        <v>1473</v>
      </c>
      <c r="AD1226" t="s">
        <v>1473</v>
      </c>
      <c r="AE1226" t="s">
        <v>3652</v>
      </c>
      <c r="AF1226" s="4"/>
    </row>
    <row r="1227" spans="2:32">
      <c r="B1227" t="s">
        <v>9366</v>
      </c>
      <c r="C1227" t="s">
        <v>4633</v>
      </c>
      <c r="D1227" t="s">
        <v>54</v>
      </c>
      <c r="E1227" t="s">
        <v>11327</v>
      </c>
      <c r="F1227" t="s">
        <v>4631</v>
      </c>
      <c r="G1227">
        <v>3226.53</v>
      </c>
      <c r="I1227">
        <v>3226.53</v>
      </c>
      <c r="K1227" s="4">
        <v>45498</v>
      </c>
      <c r="L1227" s="4">
        <v>45498</v>
      </c>
      <c r="M1227">
        <v>2024</v>
      </c>
      <c r="N1227">
        <v>7</v>
      </c>
      <c r="O1227" s="4">
        <v>45474</v>
      </c>
      <c r="P1227" t="s">
        <v>1473</v>
      </c>
      <c r="Q1227" s="4"/>
      <c r="S1227" t="s">
        <v>4632</v>
      </c>
      <c r="T1227">
        <v>45551</v>
      </c>
      <c r="U1227">
        <v>3226.53</v>
      </c>
      <c r="V1227">
        <v>1</v>
      </c>
      <c r="W1227" t="s">
        <v>16</v>
      </c>
      <c r="X1227" t="s">
        <v>4823</v>
      </c>
      <c r="Z1227">
        <v>54</v>
      </c>
      <c r="AA1227">
        <v>54</v>
      </c>
      <c r="AB1227" t="s">
        <v>10875</v>
      </c>
      <c r="AC1227" t="s">
        <v>1473</v>
      </c>
      <c r="AE1227" t="s">
        <v>9251</v>
      </c>
      <c r="AF1227" s="4"/>
    </row>
    <row r="1228" spans="2:32">
      <c r="B1228" t="s">
        <v>9366</v>
      </c>
      <c r="C1228" t="s">
        <v>4636</v>
      </c>
      <c r="D1228" t="s">
        <v>54</v>
      </c>
      <c r="E1228" t="s">
        <v>10213</v>
      </c>
      <c r="F1228" t="s">
        <v>4634</v>
      </c>
      <c r="G1228">
        <v>744.81</v>
      </c>
      <c r="I1228">
        <v>744.81</v>
      </c>
      <c r="K1228" s="4">
        <v>45471</v>
      </c>
      <c r="L1228" s="4">
        <v>45471</v>
      </c>
      <c r="M1228">
        <v>2024</v>
      </c>
      <c r="N1228">
        <v>6</v>
      </c>
      <c r="O1228" s="4">
        <v>45444</v>
      </c>
      <c r="P1228" t="s">
        <v>1473</v>
      </c>
      <c r="Q1228" s="4"/>
      <c r="S1228" t="s">
        <v>4635</v>
      </c>
      <c r="T1228">
        <v>45551</v>
      </c>
      <c r="U1228">
        <v>1241.3499999999999</v>
      </c>
      <c r="V1228">
        <v>0.6</v>
      </c>
      <c r="W1228" t="s">
        <v>16</v>
      </c>
      <c r="X1228" t="s">
        <v>3828</v>
      </c>
      <c r="Z1228">
        <v>81</v>
      </c>
      <c r="AA1228">
        <v>81</v>
      </c>
      <c r="AB1228" t="s">
        <v>10875</v>
      </c>
      <c r="AC1228" t="s">
        <v>1473</v>
      </c>
      <c r="AD1228" t="s">
        <v>1473</v>
      </c>
      <c r="AE1228" t="s">
        <v>3652</v>
      </c>
      <c r="AF1228" s="4"/>
    </row>
    <row r="1229" spans="2:32">
      <c r="B1229" t="s">
        <v>9366</v>
      </c>
      <c r="C1229" t="s">
        <v>4639</v>
      </c>
      <c r="D1229" t="s">
        <v>54</v>
      </c>
      <c r="E1229" t="s">
        <v>10215</v>
      </c>
      <c r="F1229" t="s">
        <v>4637</v>
      </c>
      <c r="G1229">
        <v>2715.9540000000002</v>
      </c>
      <c r="I1229">
        <v>2715.9540000000002</v>
      </c>
      <c r="K1229" s="4">
        <v>45527</v>
      </c>
      <c r="L1229" s="4">
        <v>45527</v>
      </c>
      <c r="O1229" s="4"/>
      <c r="P1229" t="s">
        <v>1473</v>
      </c>
      <c r="Q1229" s="4"/>
      <c r="S1229" t="s">
        <v>4638</v>
      </c>
      <c r="T1229">
        <v>45551</v>
      </c>
      <c r="U1229">
        <v>4526.59</v>
      </c>
      <c r="V1229">
        <v>0.6</v>
      </c>
      <c r="W1229" t="s">
        <v>16</v>
      </c>
      <c r="X1229" t="s">
        <v>3828</v>
      </c>
      <c r="Z1229">
        <v>25</v>
      </c>
      <c r="AA1229">
        <v>25</v>
      </c>
      <c r="AB1229" t="s">
        <v>10875</v>
      </c>
      <c r="AE1229" t="s">
        <v>9251</v>
      </c>
      <c r="AF1229" s="4"/>
    </row>
    <row r="1230" spans="2:32">
      <c r="B1230" t="s">
        <v>9366</v>
      </c>
      <c r="C1230" t="s">
        <v>4642</v>
      </c>
      <c r="D1230" t="s">
        <v>54</v>
      </c>
      <c r="E1230" t="s">
        <v>10217</v>
      </c>
      <c r="F1230" t="s">
        <v>4640</v>
      </c>
      <c r="G1230">
        <v>2715.9540000000002</v>
      </c>
      <c r="I1230">
        <v>2715.9540000000002</v>
      </c>
      <c r="K1230" s="4">
        <v>45527</v>
      </c>
      <c r="L1230" s="4">
        <v>45527</v>
      </c>
      <c r="O1230" s="4"/>
      <c r="P1230" t="s">
        <v>1473</v>
      </c>
      <c r="Q1230" s="4"/>
      <c r="S1230" t="s">
        <v>4641</v>
      </c>
      <c r="T1230">
        <v>45551</v>
      </c>
      <c r="U1230">
        <v>4526.59</v>
      </c>
      <c r="V1230">
        <v>0.6</v>
      </c>
      <c r="W1230" t="s">
        <v>16</v>
      </c>
      <c r="X1230" t="s">
        <v>3828</v>
      </c>
      <c r="Z1230">
        <v>25</v>
      </c>
      <c r="AA1230">
        <v>25</v>
      </c>
      <c r="AB1230" t="s">
        <v>10875</v>
      </c>
      <c r="AE1230" t="s">
        <v>9251</v>
      </c>
      <c r="AF1230" s="4"/>
    </row>
    <row r="1231" spans="2:32">
      <c r="B1231" t="s">
        <v>9366</v>
      </c>
      <c r="C1231" t="s">
        <v>4644</v>
      </c>
      <c r="D1231" t="s">
        <v>54</v>
      </c>
      <c r="E1231" t="s">
        <v>6748</v>
      </c>
      <c r="F1231" t="s">
        <v>4643</v>
      </c>
      <c r="G1231">
        <v>2228.0819999999999</v>
      </c>
      <c r="I1231">
        <v>2228.0819999999999</v>
      </c>
      <c r="K1231" s="4">
        <v>45471</v>
      </c>
      <c r="L1231" s="4">
        <v>45471</v>
      </c>
      <c r="M1231">
        <v>2024</v>
      </c>
      <c r="N1231">
        <v>6</v>
      </c>
      <c r="O1231" s="4">
        <v>45444</v>
      </c>
      <c r="P1231" t="s">
        <v>1848</v>
      </c>
      <c r="Q1231" s="4"/>
      <c r="S1231" t="s">
        <v>3827</v>
      </c>
      <c r="T1231">
        <v>45551</v>
      </c>
      <c r="U1231">
        <v>3713.47</v>
      </c>
      <c r="V1231">
        <v>0.6</v>
      </c>
      <c r="W1231" t="s">
        <v>16</v>
      </c>
      <c r="X1231" t="s">
        <v>3828</v>
      </c>
      <c r="Z1231">
        <v>81</v>
      </c>
      <c r="AA1231">
        <v>81</v>
      </c>
      <c r="AB1231" t="s">
        <v>10875</v>
      </c>
      <c r="AC1231" t="s">
        <v>1848</v>
      </c>
      <c r="AD1231" t="s">
        <v>1473</v>
      </c>
      <c r="AE1231" t="s">
        <v>9251</v>
      </c>
      <c r="AF1231" s="4"/>
    </row>
    <row r="1232" spans="2:32">
      <c r="B1232" t="s">
        <v>9366</v>
      </c>
      <c r="C1232" t="s">
        <v>4646</v>
      </c>
      <c r="D1232" t="s">
        <v>54</v>
      </c>
      <c r="E1232" t="s">
        <v>10222</v>
      </c>
      <c r="F1232" t="s">
        <v>4645</v>
      </c>
      <c r="G1232">
        <v>2715.636</v>
      </c>
      <c r="I1232">
        <v>2715.636</v>
      </c>
      <c r="K1232" s="4">
        <v>45506</v>
      </c>
      <c r="L1232" s="4">
        <v>45506</v>
      </c>
      <c r="M1232">
        <v>2024</v>
      </c>
      <c r="N1232">
        <v>8</v>
      </c>
      <c r="O1232" s="4">
        <v>45505</v>
      </c>
      <c r="P1232" t="s">
        <v>1473</v>
      </c>
      <c r="Q1232" s="4"/>
      <c r="S1232" t="s">
        <v>4091</v>
      </c>
      <c r="T1232">
        <v>45551</v>
      </c>
      <c r="U1232">
        <v>4526.0600000000004</v>
      </c>
      <c r="V1232">
        <v>0.6</v>
      </c>
      <c r="W1232" t="s">
        <v>16</v>
      </c>
      <c r="X1232" t="s">
        <v>3828</v>
      </c>
      <c r="Z1232">
        <v>46</v>
      </c>
      <c r="AA1232">
        <v>46</v>
      </c>
      <c r="AB1232" t="s">
        <v>10875</v>
      </c>
      <c r="AE1232" t="s">
        <v>9251</v>
      </c>
      <c r="AF1232" s="4"/>
    </row>
    <row r="1233" spans="2:32">
      <c r="B1233" t="s">
        <v>9366</v>
      </c>
      <c r="C1233" t="s">
        <v>4246</v>
      </c>
      <c r="D1233" t="s">
        <v>54</v>
      </c>
      <c r="E1233" t="s">
        <v>6752</v>
      </c>
      <c r="F1233" t="s">
        <v>4857</v>
      </c>
      <c r="G1233">
        <v>1684.64</v>
      </c>
      <c r="I1233">
        <v>1684.64</v>
      </c>
      <c r="K1233" s="4">
        <v>45496</v>
      </c>
      <c r="L1233" s="4">
        <v>45496</v>
      </c>
      <c r="M1233">
        <v>2024</v>
      </c>
      <c r="N1233">
        <v>7</v>
      </c>
      <c r="O1233" s="4">
        <v>45474</v>
      </c>
      <c r="P1233" t="s">
        <v>1848</v>
      </c>
      <c r="Q1233" s="4"/>
      <c r="S1233" t="s">
        <v>4858</v>
      </c>
      <c r="T1233">
        <v>45551</v>
      </c>
      <c r="U1233">
        <v>2807.74</v>
      </c>
      <c r="V1233">
        <v>0.59999857536666512</v>
      </c>
      <c r="W1233" t="s">
        <v>16</v>
      </c>
      <c r="X1233" t="s">
        <v>4215</v>
      </c>
      <c r="Z1233">
        <v>56</v>
      </c>
      <c r="AA1233">
        <v>56</v>
      </c>
      <c r="AB1233" t="s">
        <v>11328</v>
      </c>
      <c r="AC1233" t="s">
        <v>1473</v>
      </c>
      <c r="AE1233" t="s">
        <v>9251</v>
      </c>
      <c r="AF1233" s="4"/>
    </row>
    <row r="1234" spans="2:32">
      <c r="B1234" t="s">
        <v>9366</v>
      </c>
      <c r="C1234" t="s">
        <v>4866</v>
      </c>
      <c r="D1234" t="s">
        <v>54</v>
      </c>
      <c r="E1234" t="s">
        <v>6756</v>
      </c>
      <c r="F1234" t="s">
        <v>4864</v>
      </c>
      <c r="G1234">
        <v>5605.56</v>
      </c>
      <c r="I1234">
        <v>5605.56</v>
      </c>
      <c r="K1234" s="4">
        <v>45372</v>
      </c>
      <c r="L1234" s="4">
        <v>45464</v>
      </c>
      <c r="M1234">
        <v>2024</v>
      </c>
      <c r="N1234">
        <v>3</v>
      </c>
      <c r="O1234" s="4">
        <v>45352</v>
      </c>
      <c r="P1234" t="s">
        <v>1473</v>
      </c>
      <c r="Q1234" s="4"/>
      <c r="R1234" t="s">
        <v>6724</v>
      </c>
      <c r="S1234" t="s">
        <v>2815</v>
      </c>
      <c r="T1234">
        <v>45551</v>
      </c>
      <c r="U1234">
        <v>12444.83</v>
      </c>
      <c r="V1234">
        <v>0.4504328303399886</v>
      </c>
      <c r="W1234" t="s">
        <v>16</v>
      </c>
      <c r="X1234" t="s">
        <v>4109</v>
      </c>
      <c r="Z1234">
        <v>180</v>
      </c>
      <c r="AA1234">
        <v>88</v>
      </c>
      <c r="AB1234" t="s">
        <v>11329</v>
      </c>
      <c r="AC1234" t="s">
        <v>1473</v>
      </c>
      <c r="AD1234" t="s">
        <v>1473</v>
      </c>
      <c r="AE1234" t="s">
        <v>3652</v>
      </c>
      <c r="AF1234" s="4"/>
    </row>
    <row r="1235" spans="2:32">
      <c r="B1235" t="s">
        <v>9366</v>
      </c>
      <c r="C1235" t="s">
        <v>4872</v>
      </c>
      <c r="D1235" t="s">
        <v>54</v>
      </c>
      <c r="E1235" t="s">
        <v>10680</v>
      </c>
      <c r="F1235" t="s">
        <v>4871</v>
      </c>
      <c r="G1235">
        <v>12089.63</v>
      </c>
      <c r="I1235">
        <v>12089.63</v>
      </c>
      <c r="K1235" s="4">
        <v>45520</v>
      </c>
      <c r="L1235" s="4">
        <v>45520</v>
      </c>
      <c r="M1235">
        <v>2024</v>
      </c>
      <c r="N1235">
        <v>8</v>
      </c>
      <c r="O1235" s="4">
        <v>45505</v>
      </c>
      <c r="P1235" t="s">
        <v>1473</v>
      </c>
      <c r="Q1235" s="4"/>
      <c r="S1235" t="s">
        <v>2848</v>
      </c>
      <c r="T1235">
        <v>45551</v>
      </c>
      <c r="U1235">
        <v>12089.63</v>
      </c>
      <c r="V1235">
        <v>1</v>
      </c>
      <c r="W1235" t="s">
        <v>16</v>
      </c>
      <c r="X1235" t="s">
        <v>4109</v>
      </c>
      <c r="Z1235">
        <v>32</v>
      </c>
      <c r="AA1235">
        <v>32</v>
      </c>
      <c r="AB1235" t="s">
        <v>11329</v>
      </c>
      <c r="AE1235" t="s">
        <v>9251</v>
      </c>
      <c r="AF1235" s="4"/>
    </row>
    <row r="1236" spans="2:32">
      <c r="B1236" t="s">
        <v>9366</v>
      </c>
      <c r="C1236" t="s">
        <v>4877</v>
      </c>
      <c r="D1236" t="s">
        <v>54</v>
      </c>
      <c r="E1236" t="s">
        <v>10686</v>
      </c>
      <c r="F1236" t="s">
        <v>4876</v>
      </c>
      <c r="G1236">
        <v>10274</v>
      </c>
      <c r="I1236">
        <v>10274</v>
      </c>
      <c r="K1236" s="4">
        <v>45520</v>
      </c>
      <c r="L1236" s="4">
        <v>45520</v>
      </c>
      <c r="M1236">
        <v>2024</v>
      </c>
      <c r="N1236">
        <v>8</v>
      </c>
      <c r="O1236" s="4">
        <v>45505</v>
      </c>
      <c r="P1236" t="s">
        <v>1473</v>
      </c>
      <c r="Q1236" s="4"/>
      <c r="S1236" t="s">
        <v>2838</v>
      </c>
      <c r="T1236">
        <v>45551</v>
      </c>
      <c r="U1236">
        <v>10274</v>
      </c>
      <c r="V1236">
        <v>1</v>
      </c>
      <c r="W1236" t="s">
        <v>16</v>
      </c>
      <c r="X1236" t="s">
        <v>4109</v>
      </c>
      <c r="Z1236">
        <v>32</v>
      </c>
      <c r="AA1236">
        <v>32</v>
      </c>
      <c r="AB1236" t="s">
        <v>11329</v>
      </c>
      <c r="AE1236" t="s">
        <v>9251</v>
      </c>
      <c r="AF1236" s="4"/>
    </row>
    <row r="1237" spans="2:32">
      <c r="B1237" t="s">
        <v>9366</v>
      </c>
      <c r="C1237" t="s">
        <v>5780</v>
      </c>
      <c r="D1237" t="s">
        <v>54</v>
      </c>
      <c r="E1237" t="s">
        <v>11257</v>
      </c>
      <c r="F1237" t="s">
        <v>5778</v>
      </c>
      <c r="G1237">
        <v>115964.35799999999</v>
      </c>
      <c r="I1237">
        <v>115964.35799999999</v>
      </c>
      <c r="J1237">
        <v>115964.35799999999</v>
      </c>
      <c r="K1237" s="4">
        <v>45483</v>
      </c>
      <c r="L1237" s="4">
        <v>45483</v>
      </c>
      <c r="M1237">
        <v>2024</v>
      </c>
      <c r="N1237">
        <v>2</v>
      </c>
      <c r="O1237" s="4">
        <v>45323</v>
      </c>
      <c r="P1237" t="s">
        <v>89</v>
      </c>
      <c r="Q1237" s="4">
        <v>45548</v>
      </c>
      <c r="S1237" t="s">
        <v>5779</v>
      </c>
      <c r="T1237">
        <v>45533</v>
      </c>
      <c r="U1237">
        <v>193273.93</v>
      </c>
      <c r="V1237">
        <v>0.6</v>
      </c>
      <c r="W1237" t="s">
        <v>17</v>
      </c>
      <c r="X1237" t="s">
        <v>3918</v>
      </c>
      <c r="Z1237" t="s">
        <v>89</v>
      </c>
      <c r="AA1237" t="s">
        <v>89</v>
      </c>
      <c r="AB1237" t="s">
        <v>11227</v>
      </c>
      <c r="AC1237" t="s">
        <v>1848</v>
      </c>
      <c r="AD1237" t="s">
        <v>1473</v>
      </c>
      <c r="AE1237" t="s">
        <v>9251</v>
      </c>
      <c r="AF1237" s="4"/>
    </row>
    <row r="1238" spans="2:32">
      <c r="B1238" t="s">
        <v>9366</v>
      </c>
      <c r="C1238" t="s">
        <v>5785</v>
      </c>
      <c r="D1238" t="s">
        <v>54</v>
      </c>
      <c r="E1238" t="s">
        <v>11264</v>
      </c>
      <c r="F1238" t="s">
        <v>5783</v>
      </c>
      <c r="G1238">
        <v>115964.35799999999</v>
      </c>
      <c r="I1238">
        <v>115964.35799999999</v>
      </c>
      <c r="J1238">
        <v>115964.35799999999</v>
      </c>
      <c r="K1238" s="4">
        <v>45436</v>
      </c>
      <c r="L1238" s="4">
        <v>45464</v>
      </c>
      <c r="M1238">
        <v>2024</v>
      </c>
      <c r="N1238">
        <v>5</v>
      </c>
      <c r="O1238" s="4">
        <v>45413</v>
      </c>
      <c r="P1238" t="s">
        <v>89</v>
      </c>
      <c r="Q1238" s="4">
        <v>45548</v>
      </c>
      <c r="R1238" t="s">
        <v>11330</v>
      </c>
      <c r="S1238" t="s">
        <v>5784</v>
      </c>
      <c r="T1238">
        <v>45533</v>
      </c>
      <c r="U1238">
        <v>193273.93</v>
      </c>
      <c r="V1238">
        <v>0.6</v>
      </c>
      <c r="W1238" t="s">
        <v>17</v>
      </c>
      <c r="X1238" t="s">
        <v>3918</v>
      </c>
      <c r="Z1238" t="s">
        <v>89</v>
      </c>
      <c r="AA1238" t="s">
        <v>89</v>
      </c>
      <c r="AB1238" t="s">
        <v>11227</v>
      </c>
      <c r="AC1238" t="s">
        <v>1848</v>
      </c>
      <c r="AD1238" t="s">
        <v>1848</v>
      </c>
      <c r="AE1238" t="s">
        <v>9251</v>
      </c>
      <c r="AF1238" s="4"/>
    </row>
    <row r="1239" spans="2:32">
      <c r="B1239" t="s">
        <v>9366</v>
      </c>
      <c r="C1239" t="s">
        <v>4898</v>
      </c>
      <c r="D1239" t="s">
        <v>54</v>
      </c>
      <c r="E1239" t="s">
        <v>11331</v>
      </c>
      <c r="F1239" t="s">
        <v>4897</v>
      </c>
      <c r="G1239">
        <v>407.51</v>
      </c>
      <c r="I1239">
        <v>407.51</v>
      </c>
      <c r="K1239" s="4">
        <v>45541</v>
      </c>
      <c r="L1239" s="4">
        <v>45541</v>
      </c>
      <c r="O1239" s="4"/>
      <c r="P1239" t="s">
        <v>1473</v>
      </c>
      <c r="Q1239" s="4"/>
      <c r="S1239" t="s">
        <v>3106</v>
      </c>
      <c r="T1239">
        <v>45551</v>
      </c>
      <c r="U1239">
        <v>407.51</v>
      </c>
      <c r="V1239">
        <v>1</v>
      </c>
      <c r="W1239" t="s">
        <v>16</v>
      </c>
      <c r="X1239" t="s">
        <v>3770</v>
      </c>
      <c r="Z1239">
        <v>11</v>
      </c>
      <c r="AA1239">
        <v>11</v>
      </c>
      <c r="AB1239" t="s">
        <v>11332</v>
      </c>
      <c r="AE1239" t="s">
        <v>9251</v>
      </c>
      <c r="AF1239" s="4"/>
    </row>
    <row r="1240" spans="2:32">
      <c r="B1240" t="s">
        <v>9366</v>
      </c>
      <c r="C1240" t="s">
        <v>4900</v>
      </c>
      <c r="D1240" t="s">
        <v>54</v>
      </c>
      <c r="E1240" t="s">
        <v>11333</v>
      </c>
      <c r="F1240" t="s">
        <v>4899</v>
      </c>
      <c r="G1240">
        <v>343.07</v>
      </c>
      <c r="I1240">
        <v>343.07</v>
      </c>
      <c r="K1240" s="4">
        <v>45541</v>
      </c>
      <c r="L1240" s="4">
        <v>45541</v>
      </c>
      <c r="O1240" s="4"/>
      <c r="P1240" t="s">
        <v>1473</v>
      </c>
      <c r="Q1240" s="4"/>
      <c r="S1240" t="s">
        <v>3106</v>
      </c>
      <c r="T1240">
        <v>45551</v>
      </c>
      <c r="U1240">
        <v>343.07</v>
      </c>
      <c r="V1240">
        <v>1</v>
      </c>
      <c r="W1240" t="s">
        <v>16</v>
      </c>
      <c r="X1240" t="s">
        <v>3770</v>
      </c>
      <c r="Z1240">
        <v>11</v>
      </c>
      <c r="AA1240">
        <v>11</v>
      </c>
      <c r="AB1240" t="s">
        <v>11332</v>
      </c>
      <c r="AE1240" t="s">
        <v>9251</v>
      </c>
      <c r="AF1240" s="4"/>
    </row>
    <row r="1241" spans="2:32">
      <c r="B1241" t="s">
        <v>9366</v>
      </c>
      <c r="C1241" t="s">
        <v>3748</v>
      </c>
      <c r="D1241" t="s">
        <v>54</v>
      </c>
      <c r="E1241">
        <v>4590007582</v>
      </c>
      <c r="F1241" t="s">
        <v>3746</v>
      </c>
      <c r="G1241">
        <v>282006</v>
      </c>
      <c r="I1241">
        <v>282006</v>
      </c>
      <c r="K1241" s="4">
        <v>45513</v>
      </c>
      <c r="L1241" s="4">
        <v>45513</v>
      </c>
      <c r="O1241" s="4"/>
      <c r="P1241" t="s">
        <v>1848</v>
      </c>
      <c r="Q1241" s="4"/>
      <c r="S1241" t="s">
        <v>3747</v>
      </c>
      <c r="T1241">
        <v>45551</v>
      </c>
      <c r="U1241">
        <v>282006</v>
      </c>
      <c r="V1241">
        <v>1</v>
      </c>
      <c r="W1241" t="s">
        <v>17</v>
      </c>
      <c r="X1241" t="s">
        <v>3718</v>
      </c>
      <c r="Z1241">
        <v>39</v>
      </c>
      <c r="AA1241">
        <v>39</v>
      </c>
      <c r="AB1241" t="s">
        <v>11334</v>
      </c>
      <c r="AE1241" t="s">
        <v>9251</v>
      </c>
      <c r="AF1241" s="4"/>
    </row>
    <row r="1242" spans="2:32">
      <c r="B1242" t="s">
        <v>9366</v>
      </c>
      <c r="C1242" t="s">
        <v>3779</v>
      </c>
      <c r="D1242" t="s">
        <v>54</v>
      </c>
      <c r="E1242">
        <v>4590007593</v>
      </c>
      <c r="F1242" t="s">
        <v>3777</v>
      </c>
      <c r="G1242">
        <v>23868</v>
      </c>
      <c r="I1242">
        <v>23868</v>
      </c>
      <c r="K1242" s="4">
        <v>45422</v>
      </c>
      <c r="L1242" s="4">
        <v>45422</v>
      </c>
      <c r="M1242">
        <v>2024</v>
      </c>
      <c r="N1242">
        <v>5</v>
      </c>
      <c r="O1242" s="4">
        <v>45413</v>
      </c>
      <c r="P1242" t="s">
        <v>625</v>
      </c>
      <c r="Q1242" s="4"/>
      <c r="S1242" t="s">
        <v>3778</v>
      </c>
      <c r="T1242">
        <v>45551</v>
      </c>
      <c r="U1242">
        <v>23868</v>
      </c>
      <c r="V1242">
        <v>1</v>
      </c>
      <c r="W1242" t="s">
        <v>17</v>
      </c>
      <c r="X1242" t="s">
        <v>3770</v>
      </c>
      <c r="Z1242">
        <v>130</v>
      </c>
      <c r="AA1242">
        <v>130</v>
      </c>
      <c r="AB1242" t="s">
        <v>11335</v>
      </c>
      <c r="AC1242" t="s">
        <v>1473</v>
      </c>
      <c r="AD1242" t="s">
        <v>1473</v>
      </c>
      <c r="AE1242" t="s">
        <v>9251</v>
      </c>
      <c r="AF1242" s="4"/>
    </row>
    <row r="1243" spans="2:32">
      <c r="B1243" t="s">
        <v>9366</v>
      </c>
      <c r="C1243" t="s">
        <v>3796</v>
      </c>
      <c r="D1243" t="s">
        <v>54</v>
      </c>
      <c r="E1243">
        <v>4590007598</v>
      </c>
      <c r="F1243" t="s">
        <v>3794</v>
      </c>
      <c r="G1243">
        <v>23868</v>
      </c>
      <c r="I1243">
        <v>23868</v>
      </c>
      <c r="K1243" s="4">
        <v>45372</v>
      </c>
      <c r="L1243" s="4">
        <v>45429</v>
      </c>
      <c r="M1243">
        <v>2024</v>
      </c>
      <c r="N1243">
        <v>3</v>
      </c>
      <c r="O1243" s="4">
        <v>45352</v>
      </c>
      <c r="P1243" t="s">
        <v>625</v>
      </c>
      <c r="Q1243" s="4"/>
      <c r="R1243" t="s">
        <v>3773</v>
      </c>
      <c r="S1243" t="s">
        <v>3795</v>
      </c>
      <c r="T1243">
        <v>45551</v>
      </c>
      <c r="U1243">
        <v>23868</v>
      </c>
      <c r="V1243">
        <v>1</v>
      </c>
      <c r="W1243" t="s">
        <v>17</v>
      </c>
      <c r="X1243" t="s">
        <v>3770</v>
      </c>
      <c r="Z1243">
        <v>180</v>
      </c>
      <c r="AA1243">
        <v>123</v>
      </c>
      <c r="AB1243" t="s">
        <v>11336</v>
      </c>
      <c r="AC1243" t="s">
        <v>1473</v>
      </c>
      <c r="AD1243" t="s">
        <v>1473</v>
      </c>
      <c r="AE1243" t="s">
        <v>9251</v>
      </c>
      <c r="AF1243" s="4"/>
    </row>
    <row r="1244" spans="2:32">
      <c r="B1244" t="s">
        <v>9366</v>
      </c>
      <c r="C1244" t="s">
        <v>3804</v>
      </c>
      <c r="D1244" t="s">
        <v>54</v>
      </c>
      <c r="E1244">
        <v>4590007607</v>
      </c>
      <c r="F1244" t="s">
        <v>3802</v>
      </c>
      <c r="G1244">
        <v>23868</v>
      </c>
      <c r="I1244">
        <v>23868</v>
      </c>
      <c r="K1244" s="4">
        <v>45401</v>
      </c>
      <c r="L1244" s="4">
        <v>45401</v>
      </c>
      <c r="M1244">
        <v>2024</v>
      </c>
      <c r="N1244">
        <v>4</v>
      </c>
      <c r="O1244" s="4">
        <v>45383</v>
      </c>
      <c r="P1244" t="s">
        <v>1848</v>
      </c>
      <c r="Q1244" s="4"/>
      <c r="S1244" t="s">
        <v>3803</v>
      </c>
      <c r="T1244">
        <v>45551</v>
      </c>
      <c r="U1244">
        <v>23868</v>
      </c>
      <c r="V1244">
        <v>1</v>
      </c>
      <c r="W1244" t="s">
        <v>17</v>
      </c>
      <c r="X1244" t="s">
        <v>3770</v>
      </c>
      <c r="Z1244">
        <v>151</v>
      </c>
      <c r="AA1244">
        <v>151</v>
      </c>
      <c r="AB1244" t="s">
        <v>11337</v>
      </c>
      <c r="AC1244" t="s">
        <v>1473</v>
      </c>
      <c r="AD1244" t="s">
        <v>1473</v>
      </c>
      <c r="AE1244" t="s">
        <v>9251</v>
      </c>
      <c r="AF1244" s="4"/>
    </row>
    <row r="1245" spans="2:32">
      <c r="B1245" t="s">
        <v>9366</v>
      </c>
      <c r="C1245" t="s">
        <v>3821</v>
      </c>
      <c r="D1245" t="s">
        <v>54</v>
      </c>
      <c r="E1245">
        <v>4590007613</v>
      </c>
      <c r="F1245" t="s">
        <v>3819</v>
      </c>
      <c r="G1245">
        <v>25272</v>
      </c>
      <c r="I1245">
        <v>25272</v>
      </c>
      <c r="K1245" s="4">
        <v>45372</v>
      </c>
      <c r="L1245" s="4">
        <v>45429</v>
      </c>
      <c r="M1245">
        <v>2024</v>
      </c>
      <c r="N1245">
        <v>3</v>
      </c>
      <c r="O1245" s="4">
        <v>45352</v>
      </c>
      <c r="P1245" t="s">
        <v>625</v>
      </c>
      <c r="Q1245" s="4"/>
      <c r="R1245" t="s">
        <v>3773</v>
      </c>
      <c r="S1245" t="s">
        <v>3820</v>
      </c>
      <c r="T1245">
        <v>45551</v>
      </c>
      <c r="U1245">
        <v>25272</v>
      </c>
      <c r="V1245">
        <v>1</v>
      </c>
      <c r="W1245" t="s">
        <v>17</v>
      </c>
      <c r="X1245" t="s">
        <v>3770</v>
      </c>
      <c r="Z1245">
        <v>180</v>
      </c>
      <c r="AA1245">
        <v>123</v>
      </c>
      <c r="AB1245" t="s">
        <v>11338</v>
      </c>
      <c r="AC1245" t="s">
        <v>1473</v>
      </c>
      <c r="AD1245" t="s">
        <v>1473</v>
      </c>
      <c r="AE1245" t="s">
        <v>9251</v>
      </c>
      <c r="AF1245" s="4"/>
    </row>
    <row r="1246" spans="2:32">
      <c r="B1246" t="s">
        <v>9366</v>
      </c>
      <c r="C1246" t="s">
        <v>5830</v>
      </c>
      <c r="D1246" t="s">
        <v>54</v>
      </c>
      <c r="E1246" t="s">
        <v>11339</v>
      </c>
      <c r="F1246" t="s">
        <v>5829</v>
      </c>
      <c r="G1246">
        <v>44669</v>
      </c>
      <c r="I1246">
        <v>44669</v>
      </c>
      <c r="K1246" s="4">
        <v>45401</v>
      </c>
      <c r="L1246" s="4">
        <v>45401</v>
      </c>
      <c r="M1246">
        <v>2024</v>
      </c>
      <c r="N1246">
        <v>4</v>
      </c>
      <c r="O1246" s="4">
        <v>45383</v>
      </c>
      <c r="P1246" t="s">
        <v>625</v>
      </c>
      <c r="Q1246" s="4"/>
      <c r="S1246" t="s">
        <v>4638</v>
      </c>
      <c r="T1246">
        <v>45541</v>
      </c>
      <c r="U1246">
        <v>44669</v>
      </c>
      <c r="V1246">
        <v>1</v>
      </c>
      <c r="W1246" t="s">
        <v>17</v>
      </c>
      <c r="X1246" t="s">
        <v>3828</v>
      </c>
      <c r="Z1246">
        <v>151</v>
      </c>
      <c r="AA1246">
        <v>151</v>
      </c>
      <c r="AB1246" t="s">
        <v>11340</v>
      </c>
      <c r="AC1246" t="s">
        <v>1848</v>
      </c>
      <c r="AD1246" t="s">
        <v>1473</v>
      </c>
      <c r="AE1246" t="s">
        <v>9251</v>
      </c>
      <c r="AF1246" s="4"/>
    </row>
    <row r="1247" spans="2:32">
      <c r="B1247" t="s">
        <v>9366</v>
      </c>
      <c r="C1247" t="s">
        <v>5832</v>
      </c>
      <c r="D1247" t="s">
        <v>54</v>
      </c>
      <c r="E1247" t="s">
        <v>11341</v>
      </c>
      <c r="F1247" t="s">
        <v>5831</v>
      </c>
      <c r="G1247">
        <v>42435.55</v>
      </c>
      <c r="I1247">
        <v>42435.55</v>
      </c>
      <c r="K1247" s="4">
        <v>45271</v>
      </c>
      <c r="L1247" s="4">
        <v>45408</v>
      </c>
      <c r="M1247">
        <v>2023</v>
      </c>
      <c r="N1247">
        <v>12</v>
      </c>
      <c r="O1247" s="4">
        <v>45261</v>
      </c>
      <c r="P1247" t="s">
        <v>625</v>
      </c>
      <c r="Q1247" s="4"/>
      <c r="R1247" t="s">
        <v>5833</v>
      </c>
      <c r="S1247" t="s">
        <v>4091</v>
      </c>
      <c r="T1247">
        <v>45541</v>
      </c>
      <c r="U1247">
        <v>44669</v>
      </c>
      <c r="V1247">
        <v>0.95000000000000007</v>
      </c>
      <c r="W1247" t="s">
        <v>17</v>
      </c>
      <c r="X1247" t="s">
        <v>3828</v>
      </c>
      <c r="Z1247">
        <v>281</v>
      </c>
      <c r="AA1247">
        <v>144</v>
      </c>
      <c r="AB1247" t="s">
        <v>11340</v>
      </c>
      <c r="AC1247" t="s">
        <v>1848</v>
      </c>
      <c r="AD1247" t="s">
        <v>1473</v>
      </c>
      <c r="AE1247" t="s">
        <v>9251</v>
      </c>
      <c r="AF1247" s="4"/>
    </row>
    <row r="1248" spans="2:32">
      <c r="B1248" t="s">
        <v>9366</v>
      </c>
      <c r="C1248" t="s">
        <v>5835</v>
      </c>
      <c r="D1248" t="s">
        <v>54</v>
      </c>
      <c r="E1248" t="s">
        <v>11342</v>
      </c>
      <c r="F1248" t="s">
        <v>5834</v>
      </c>
      <c r="G1248">
        <v>44669</v>
      </c>
      <c r="I1248">
        <v>44669</v>
      </c>
      <c r="K1248" s="4">
        <v>45401</v>
      </c>
      <c r="L1248" s="4">
        <v>45401</v>
      </c>
      <c r="M1248">
        <v>2024</v>
      </c>
      <c r="N1248">
        <v>4</v>
      </c>
      <c r="O1248" s="4">
        <v>45383</v>
      </c>
      <c r="P1248" t="s">
        <v>625</v>
      </c>
      <c r="Q1248" s="4"/>
      <c r="S1248" t="s">
        <v>4641</v>
      </c>
      <c r="T1248">
        <v>45541</v>
      </c>
      <c r="U1248">
        <v>44669</v>
      </c>
      <c r="V1248">
        <v>1</v>
      </c>
      <c r="W1248" t="s">
        <v>17</v>
      </c>
      <c r="X1248" t="s">
        <v>3828</v>
      </c>
      <c r="Z1248">
        <v>151</v>
      </c>
      <c r="AA1248">
        <v>151</v>
      </c>
      <c r="AB1248" t="s">
        <v>11340</v>
      </c>
      <c r="AC1248" t="s">
        <v>1848</v>
      </c>
      <c r="AD1248" t="s">
        <v>1473</v>
      </c>
      <c r="AE1248" t="s">
        <v>9251</v>
      </c>
      <c r="AF1248" s="4"/>
    </row>
    <row r="1249" spans="2:32">
      <c r="B1249" t="s">
        <v>9366</v>
      </c>
      <c r="C1249" t="s">
        <v>5228</v>
      </c>
      <c r="D1249" t="s">
        <v>54</v>
      </c>
      <c r="E1249" t="s">
        <v>11343</v>
      </c>
      <c r="F1249" t="s">
        <v>5227</v>
      </c>
      <c r="G1249">
        <v>23868</v>
      </c>
      <c r="I1249">
        <v>23868</v>
      </c>
      <c r="K1249" s="4">
        <v>45422</v>
      </c>
      <c r="L1249" s="4">
        <v>45422</v>
      </c>
      <c r="M1249">
        <v>2024</v>
      </c>
      <c r="N1249">
        <v>5</v>
      </c>
      <c r="O1249" s="4">
        <v>45413</v>
      </c>
      <c r="P1249" t="s">
        <v>625</v>
      </c>
      <c r="Q1249" s="4"/>
      <c r="S1249" t="s">
        <v>4420</v>
      </c>
      <c r="T1249">
        <v>45551</v>
      </c>
      <c r="U1249">
        <v>23868</v>
      </c>
      <c r="V1249">
        <v>1</v>
      </c>
      <c r="W1249" t="s">
        <v>17</v>
      </c>
      <c r="X1249" t="s">
        <v>3770</v>
      </c>
      <c r="Z1249">
        <v>130</v>
      </c>
      <c r="AA1249">
        <v>130</v>
      </c>
      <c r="AB1249" t="s">
        <v>10568</v>
      </c>
      <c r="AC1249" t="s">
        <v>1848</v>
      </c>
      <c r="AD1249" t="s">
        <v>1473</v>
      </c>
      <c r="AE1249" t="s">
        <v>9251</v>
      </c>
      <c r="AF1249" s="4"/>
    </row>
    <row r="1250" spans="2:32">
      <c r="B1250" t="s">
        <v>9366</v>
      </c>
      <c r="C1250" t="s">
        <v>4092</v>
      </c>
      <c r="D1250" t="s">
        <v>54</v>
      </c>
      <c r="E1250">
        <v>4590013926</v>
      </c>
      <c r="F1250" t="s">
        <v>4087</v>
      </c>
      <c r="G1250">
        <v>1506</v>
      </c>
      <c r="I1250">
        <v>1506</v>
      </c>
      <c r="K1250" s="4">
        <v>45345</v>
      </c>
      <c r="L1250" s="4">
        <v>45429</v>
      </c>
      <c r="M1250">
        <v>2024</v>
      </c>
      <c r="N1250">
        <v>2</v>
      </c>
      <c r="O1250" s="4">
        <v>45323</v>
      </c>
      <c r="P1250" t="s">
        <v>625</v>
      </c>
      <c r="Q1250" s="4"/>
      <c r="R1250" t="s">
        <v>4093</v>
      </c>
      <c r="S1250" t="s">
        <v>4091</v>
      </c>
      <c r="T1250">
        <v>45541</v>
      </c>
      <c r="U1250">
        <v>1506</v>
      </c>
      <c r="V1250">
        <v>1</v>
      </c>
      <c r="W1250" t="s">
        <v>17</v>
      </c>
      <c r="X1250" t="s">
        <v>3828</v>
      </c>
      <c r="Z1250">
        <v>207</v>
      </c>
      <c r="AA1250">
        <v>123</v>
      </c>
      <c r="AB1250" t="s">
        <v>11344</v>
      </c>
      <c r="AC1250" t="s">
        <v>1848</v>
      </c>
      <c r="AD1250" t="s">
        <v>1473</v>
      </c>
      <c r="AE1250" t="s">
        <v>9251</v>
      </c>
      <c r="AF1250" s="4"/>
    </row>
    <row r="1251" spans="2:32">
      <c r="B1251" t="s">
        <v>9366</v>
      </c>
      <c r="C1251" t="s">
        <v>5230</v>
      </c>
      <c r="D1251" t="s">
        <v>54</v>
      </c>
      <c r="E1251" t="s">
        <v>11345</v>
      </c>
      <c r="F1251" t="s">
        <v>5229</v>
      </c>
      <c r="G1251">
        <v>23868</v>
      </c>
      <c r="I1251">
        <v>23868</v>
      </c>
      <c r="K1251" s="4">
        <v>45471</v>
      </c>
      <c r="L1251" s="4">
        <v>45471</v>
      </c>
      <c r="M1251">
        <v>2024</v>
      </c>
      <c r="N1251">
        <v>6</v>
      </c>
      <c r="O1251" s="4">
        <v>45444</v>
      </c>
      <c r="P1251" t="s">
        <v>625</v>
      </c>
      <c r="Q1251" s="4"/>
      <c r="S1251" t="s">
        <v>4423</v>
      </c>
      <c r="T1251">
        <v>45551</v>
      </c>
      <c r="U1251">
        <v>23868</v>
      </c>
      <c r="V1251">
        <v>1</v>
      </c>
      <c r="W1251" t="s">
        <v>17</v>
      </c>
      <c r="X1251" t="s">
        <v>3770</v>
      </c>
      <c r="Z1251">
        <v>81</v>
      </c>
      <c r="AA1251">
        <v>81</v>
      </c>
      <c r="AB1251" t="s">
        <v>10568</v>
      </c>
      <c r="AC1251" t="s">
        <v>1473</v>
      </c>
      <c r="AD1251" t="s">
        <v>1473</v>
      </c>
      <c r="AE1251" t="s">
        <v>9251</v>
      </c>
      <c r="AF1251" s="4"/>
    </row>
    <row r="1252" spans="2:32">
      <c r="B1252" t="s">
        <v>9366</v>
      </c>
      <c r="C1252" t="s">
        <v>5243</v>
      </c>
      <c r="D1252" t="s">
        <v>54</v>
      </c>
      <c r="E1252" t="s">
        <v>11346</v>
      </c>
      <c r="F1252" t="s">
        <v>5242</v>
      </c>
      <c r="G1252">
        <v>23868</v>
      </c>
      <c r="I1252">
        <v>23868</v>
      </c>
      <c r="K1252" s="4">
        <v>45436</v>
      </c>
      <c r="L1252" s="4">
        <v>45436</v>
      </c>
      <c r="M1252">
        <v>2024</v>
      </c>
      <c r="N1252">
        <v>5</v>
      </c>
      <c r="O1252" s="4">
        <v>45413</v>
      </c>
      <c r="P1252" t="s">
        <v>625</v>
      </c>
      <c r="Q1252" s="4"/>
      <c r="S1252" t="s">
        <v>4408</v>
      </c>
      <c r="T1252">
        <v>45551</v>
      </c>
      <c r="U1252">
        <v>23868</v>
      </c>
      <c r="V1252">
        <v>1</v>
      </c>
      <c r="W1252" t="s">
        <v>17</v>
      </c>
      <c r="X1252" t="s">
        <v>3770</v>
      </c>
      <c r="Z1252">
        <v>116</v>
      </c>
      <c r="AA1252">
        <v>116</v>
      </c>
      <c r="AB1252" t="s">
        <v>10677</v>
      </c>
      <c r="AC1252" t="s">
        <v>1473</v>
      </c>
      <c r="AD1252" t="s">
        <v>1473</v>
      </c>
      <c r="AE1252" t="s">
        <v>9251</v>
      </c>
      <c r="AF1252" s="4"/>
    </row>
    <row r="1253" spans="2:32">
      <c r="B1253" t="s">
        <v>9366</v>
      </c>
      <c r="C1253" t="s">
        <v>5964</v>
      </c>
      <c r="D1253" t="s">
        <v>54</v>
      </c>
      <c r="E1253">
        <v>4590017803</v>
      </c>
      <c r="F1253" t="s">
        <v>5959</v>
      </c>
      <c r="G1253">
        <v>2534.5100000000002</v>
      </c>
      <c r="I1253">
        <v>2534.5100000000002</v>
      </c>
      <c r="K1253" s="4">
        <v>45506</v>
      </c>
      <c r="L1253" s="4">
        <v>45509</v>
      </c>
      <c r="M1253">
        <v>2024</v>
      </c>
      <c r="N1253">
        <v>8</v>
      </c>
      <c r="O1253" s="4">
        <v>45505</v>
      </c>
      <c r="P1253" t="s">
        <v>625</v>
      </c>
      <c r="Q1253" s="4"/>
      <c r="S1253" t="s">
        <v>3161</v>
      </c>
      <c r="T1253">
        <v>45546</v>
      </c>
      <c r="U1253">
        <v>2534.5100000000002</v>
      </c>
      <c r="V1253">
        <v>1</v>
      </c>
      <c r="W1253" t="s">
        <v>17</v>
      </c>
      <c r="X1253" t="s">
        <v>3828</v>
      </c>
      <c r="Z1253">
        <v>46</v>
      </c>
      <c r="AA1253">
        <v>43</v>
      </c>
      <c r="AB1253" t="s">
        <v>11347</v>
      </c>
      <c r="AE1253" t="s">
        <v>9251</v>
      </c>
      <c r="AF1253" s="4"/>
    </row>
    <row r="1254" spans="2:32">
      <c r="B1254" t="s">
        <v>9366</v>
      </c>
      <c r="C1254" t="s">
        <v>5297</v>
      </c>
      <c r="D1254" t="s">
        <v>54</v>
      </c>
      <c r="E1254" t="s">
        <v>6763</v>
      </c>
      <c r="F1254" t="s">
        <v>5294</v>
      </c>
      <c r="G1254">
        <v>77514.599999999991</v>
      </c>
      <c r="I1254">
        <v>77514.599999999991</v>
      </c>
      <c r="K1254" s="4">
        <v>45541</v>
      </c>
      <c r="L1254" s="4">
        <v>45541</v>
      </c>
      <c r="O1254" s="4"/>
      <c r="P1254" t="s">
        <v>1848</v>
      </c>
      <c r="Q1254" s="4"/>
      <c r="S1254" t="s">
        <v>5295</v>
      </c>
      <c r="T1254">
        <v>45551</v>
      </c>
      <c r="U1254">
        <v>129191</v>
      </c>
      <c r="V1254">
        <v>0.6</v>
      </c>
      <c r="W1254" t="s">
        <v>17</v>
      </c>
      <c r="X1254" t="s">
        <v>3918</v>
      </c>
      <c r="Z1254">
        <v>11</v>
      </c>
      <c r="AA1254">
        <v>11</v>
      </c>
      <c r="AB1254" t="s">
        <v>10878</v>
      </c>
      <c r="AE1254" t="s">
        <v>9251</v>
      </c>
      <c r="AF1254" s="4"/>
    </row>
    <row r="1255" spans="2:32">
      <c r="B1255" t="s">
        <v>9366</v>
      </c>
      <c r="C1255" t="s">
        <v>5328</v>
      </c>
      <c r="D1255" t="s">
        <v>54</v>
      </c>
      <c r="E1255" t="s">
        <v>6766</v>
      </c>
      <c r="F1255" t="s">
        <v>5327</v>
      </c>
      <c r="G1255">
        <v>4317</v>
      </c>
      <c r="I1255">
        <v>4317</v>
      </c>
      <c r="K1255" s="4">
        <v>45372</v>
      </c>
      <c r="L1255" s="4">
        <v>45509</v>
      </c>
      <c r="M1255">
        <v>2024</v>
      </c>
      <c r="N1255">
        <v>3</v>
      </c>
      <c r="O1255" s="4">
        <v>45352</v>
      </c>
      <c r="P1255" t="s">
        <v>1473</v>
      </c>
      <c r="Q1255" s="4"/>
      <c r="R1255" t="s">
        <v>11348</v>
      </c>
      <c r="S1255" t="s">
        <v>2813</v>
      </c>
      <c r="T1255">
        <v>45551</v>
      </c>
      <c r="U1255">
        <v>10274</v>
      </c>
      <c r="V1255">
        <v>0.42018687950165468</v>
      </c>
      <c r="W1255" t="s">
        <v>16</v>
      </c>
      <c r="X1255" t="s">
        <v>4109</v>
      </c>
      <c r="Z1255">
        <v>180</v>
      </c>
      <c r="AA1255">
        <v>43</v>
      </c>
      <c r="AB1255" t="s">
        <v>11349</v>
      </c>
      <c r="AC1255" t="s">
        <v>1473</v>
      </c>
      <c r="AD1255" t="s">
        <v>1473</v>
      </c>
      <c r="AE1255" t="s">
        <v>3652</v>
      </c>
      <c r="AF1255" s="4"/>
    </row>
    <row r="1256" spans="2:32">
      <c r="B1256" t="s">
        <v>9366</v>
      </c>
      <c r="C1256" t="s">
        <v>5335</v>
      </c>
      <c r="D1256" t="s">
        <v>54</v>
      </c>
      <c r="E1256" t="s">
        <v>6770</v>
      </c>
      <c r="F1256" t="s">
        <v>5334</v>
      </c>
      <c r="G1256">
        <v>4317</v>
      </c>
      <c r="I1256">
        <v>4317</v>
      </c>
      <c r="K1256" s="4">
        <v>45372</v>
      </c>
      <c r="L1256" s="4">
        <v>45464</v>
      </c>
      <c r="M1256">
        <v>2024</v>
      </c>
      <c r="N1256">
        <v>3</v>
      </c>
      <c r="O1256" s="4">
        <v>45352</v>
      </c>
      <c r="P1256" t="s">
        <v>1473</v>
      </c>
      <c r="Q1256" s="4"/>
      <c r="R1256" t="s">
        <v>6725</v>
      </c>
      <c r="S1256" t="s">
        <v>2842</v>
      </c>
      <c r="T1256">
        <v>45551</v>
      </c>
      <c r="U1256">
        <v>10274</v>
      </c>
      <c r="V1256">
        <v>0.42018687950165468</v>
      </c>
      <c r="W1256" t="s">
        <v>16</v>
      </c>
      <c r="X1256" t="s">
        <v>4109</v>
      </c>
      <c r="Z1256">
        <v>180</v>
      </c>
      <c r="AA1256">
        <v>88</v>
      </c>
      <c r="AB1256" t="s">
        <v>11349</v>
      </c>
      <c r="AC1256" t="s">
        <v>1473</v>
      </c>
      <c r="AD1256" t="s">
        <v>1473</v>
      </c>
      <c r="AE1256" t="s">
        <v>3652</v>
      </c>
      <c r="AF1256" s="4"/>
    </row>
    <row r="1257" spans="2:32">
      <c r="B1257" t="s">
        <v>9366</v>
      </c>
      <c r="C1257" t="s">
        <v>5446</v>
      </c>
      <c r="D1257" t="s">
        <v>54</v>
      </c>
      <c r="E1257" t="s">
        <v>11350</v>
      </c>
      <c r="F1257" t="s">
        <v>5445</v>
      </c>
      <c r="G1257">
        <v>47149</v>
      </c>
      <c r="I1257">
        <v>47149</v>
      </c>
      <c r="K1257" s="4">
        <v>45534</v>
      </c>
      <c r="L1257" s="4">
        <v>45534</v>
      </c>
      <c r="O1257" s="4"/>
      <c r="P1257" t="s">
        <v>1473</v>
      </c>
      <c r="Q1257" s="4"/>
      <c r="S1257" t="s">
        <v>4649</v>
      </c>
      <c r="T1257">
        <v>45551</v>
      </c>
      <c r="U1257">
        <v>47149</v>
      </c>
      <c r="V1257">
        <v>1</v>
      </c>
      <c r="W1257" t="s">
        <v>17</v>
      </c>
      <c r="X1257" t="s">
        <v>3711</v>
      </c>
      <c r="Z1257">
        <v>18</v>
      </c>
      <c r="AA1257">
        <v>18</v>
      </c>
      <c r="AB1257" t="s">
        <v>10912</v>
      </c>
      <c r="AE1257" t="s">
        <v>9251</v>
      </c>
      <c r="AF1257" s="4"/>
    </row>
    <row r="1258" spans="2:32">
      <c r="B1258" t="s">
        <v>9366</v>
      </c>
      <c r="C1258" t="s">
        <v>5469</v>
      </c>
      <c r="D1258" t="s">
        <v>54</v>
      </c>
      <c r="E1258" t="s">
        <v>11351</v>
      </c>
      <c r="F1258" t="s">
        <v>5468</v>
      </c>
      <c r="G1258">
        <v>62039</v>
      </c>
      <c r="I1258">
        <v>62039</v>
      </c>
      <c r="K1258" s="4">
        <v>45380</v>
      </c>
      <c r="L1258" s="4">
        <v>45499</v>
      </c>
      <c r="M1258">
        <v>2024</v>
      </c>
      <c r="N1258">
        <v>3</v>
      </c>
      <c r="O1258" s="4">
        <v>45352</v>
      </c>
      <c r="P1258" t="s">
        <v>1473</v>
      </c>
      <c r="Q1258" s="4"/>
      <c r="R1258" t="s">
        <v>10911</v>
      </c>
      <c r="S1258" t="s">
        <v>4675</v>
      </c>
      <c r="T1258">
        <v>45551</v>
      </c>
      <c r="U1258">
        <v>62039</v>
      </c>
      <c r="V1258">
        <v>1</v>
      </c>
      <c r="W1258" t="s">
        <v>17</v>
      </c>
      <c r="X1258" t="s">
        <v>3711</v>
      </c>
      <c r="Z1258">
        <v>172</v>
      </c>
      <c r="AA1258">
        <v>53</v>
      </c>
      <c r="AB1258" t="s">
        <v>10912</v>
      </c>
      <c r="AC1258" t="s">
        <v>1473</v>
      </c>
      <c r="AD1258" t="s">
        <v>11352</v>
      </c>
      <c r="AE1258" t="s">
        <v>9251</v>
      </c>
      <c r="AF1258" s="4"/>
    </row>
    <row r="1259" spans="2:32">
      <c r="B1259" t="s">
        <v>9366</v>
      </c>
      <c r="C1259" t="s">
        <v>5545</v>
      </c>
      <c r="D1259" t="s">
        <v>54</v>
      </c>
      <c r="E1259" t="s">
        <v>11353</v>
      </c>
      <c r="F1259" t="s">
        <v>5543</v>
      </c>
      <c r="G1259">
        <v>46102.28</v>
      </c>
      <c r="I1259">
        <v>46102.28</v>
      </c>
      <c r="K1259" s="4">
        <v>45471</v>
      </c>
      <c r="L1259" s="4">
        <v>45551</v>
      </c>
      <c r="M1259">
        <v>2024</v>
      </c>
      <c r="N1259">
        <v>6</v>
      </c>
      <c r="O1259" s="4">
        <v>45444</v>
      </c>
      <c r="P1259" t="s">
        <v>1473</v>
      </c>
      <c r="Q1259" s="4"/>
      <c r="R1259" t="s">
        <v>11354</v>
      </c>
      <c r="S1259" t="s">
        <v>11355</v>
      </c>
      <c r="T1259">
        <v>45551</v>
      </c>
      <c r="U1259">
        <v>46102.28</v>
      </c>
      <c r="V1259">
        <v>1</v>
      </c>
      <c r="W1259" t="s">
        <v>16</v>
      </c>
      <c r="X1259" t="s">
        <v>4109</v>
      </c>
      <c r="Z1259">
        <v>81</v>
      </c>
      <c r="AA1259">
        <v>1</v>
      </c>
      <c r="AB1259" t="s">
        <v>11104</v>
      </c>
      <c r="AC1259" t="s">
        <v>1473</v>
      </c>
      <c r="AD1259" t="s">
        <v>1473</v>
      </c>
      <c r="AE1259" t="s">
        <v>3652</v>
      </c>
      <c r="AF1259" s="4"/>
    </row>
    <row r="1260" spans="2:32">
      <c r="B1260" t="s">
        <v>9366</v>
      </c>
      <c r="C1260" t="s">
        <v>5551</v>
      </c>
      <c r="D1260" t="s">
        <v>54</v>
      </c>
      <c r="E1260" t="s">
        <v>6758</v>
      </c>
      <c r="F1260" t="s">
        <v>5549</v>
      </c>
      <c r="G1260">
        <v>16767.02</v>
      </c>
      <c r="I1260">
        <v>16767.02</v>
      </c>
      <c r="K1260" s="4">
        <v>45471</v>
      </c>
      <c r="L1260" s="4">
        <v>45471</v>
      </c>
      <c r="M1260">
        <v>2024</v>
      </c>
      <c r="N1260">
        <v>6</v>
      </c>
      <c r="O1260" s="4">
        <v>45444</v>
      </c>
      <c r="P1260" t="s">
        <v>1473</v>
      </c>
      <c r="Q1260" s="4"/>
      <c r="S1260" t="s">
        <v>3167</v>
      </c>
      <c r="T1260">
        <v>45551</v>
      </c>
      <c r="U1260">
        <v>16767.02</v>
      </c>
      <c r="V1260">
        <v>1</v>
      </c>
      <c r="W1260" t="s">
        <v>16</v>
      </c>
      <c r="X1260" t="s">
        <v>4109</v>
      </c>
      <c r="Z1260">
        <v>81</v>
      </c>
      <c r="AA1260">
        <v>81</v>
      </c>
      <c r="AB1260" t="s">
        <v>11104</v>
      </c>
      <c r="AC1260" t="s">
        <v>1473</v>
      </c>
      <c r="AD1260" t="s">
        <v>1473</v>
      </c>
      <c r="AE1260" t="s">
        <v>3652</v>
      </c>
      <c r="AF1260" s="4"/>
    </row>
    <row r="1261" spans="2:32">
      <c r="B1261" t="s">
        <v>9366</v>
      </c>
      <c r="C1261" t="s">
        <v>5555</v>
      </c>
      <c r="D1261" t="s">
        <v>54</v>
      </c>
      <c r="E1261" t="s">
        <v>6764</v>
      </c>
      <c r="F1261" t="s">
        <v>5553</v>
      </c>
      <c r="G1261">
        <v>7402.77</v>
      </c>
      <c r="I1261">
        <v>7402.77</v>
      </c>
      <c r="K1261" s="4">
        <v>45541</v>
      </c>
      <c r="L1261" s="4">
        <v>45541</v>
      </c>
      <c r="O1261" s="4"/>
      <c r="P1261" t="s">
        <v>1473</v>
      </c>
      <c r="Q1261" s="4"/>
      <c r="S1261" t="s">
        <v>3500</v>
      </c>
      <c r="T1261">
        <v>45551</v>
      </c>
      <c r="U1261">
        <v>7402.77</v>
      </c>
      <c r="V1261">
        <v>1</v>
      </c>
      <c r="W1261" t="s">
        <v>16</v>
      </c>
      <c r="X1261" t="s">
        <v>4109</v>
      </c>
      <c r="Z1261">
        <v>11</v>
      </c>
      <c r="AA1261">
        <v>11</v>
      </c>
      <c r="AB1261" t="s">
        <v>11104</v>
      </c>
      <c r="AE1261" t="s">
        <v>9251</v>
      </c>
      <c r="AF1261" s="4"/>
    </row>
    <row r="1262" spans="2:32">
      <c r="B1262" t="s">
        <v>9366</v>
      </c>
      <c r="C1262" t="s">
        <v>5559</v>
      </c>
      <c r="D1262" t="s">
        <v>54</v>
      </c>
      <c r="E1262" t="s">
        <v>6768</v>
      </c>
      <c r="F1262" t="s">
        <v>5556</v>
      </c>
      <c r="G1262">
        <v>10375.959999999999</v>
      </c>
      <c r="I1262">
        <v>10375.959999999999</v>
      </c>
      <c r="K1262" s="4">
        <v>45541</v>
      </c>
      <c r="L1262" s="4">
        <v>45541</v>
      </c>
      <c r="O1262" s="4"/>
      <c r="P1262" t="s">
        <v>1473</v>
      </c>
      <c r="Q1262" s="4"/>
      <c r="S1262" t="s">
        <v>3396</v>
      </c>
      <c r="T1262">
        <v>45551</v>
      </c>
      <c r="U1262">
        <v>10375.959999999999</v>
      </c>
      <c r="V1262">
        <v>1</v>
      </c>
      <c r="W1262" t="s">
        <v>16</v>
      </c>
      <c r="X1262" t="s">
        <v>4109</v>
      </c>
      <c r="Z1262">
        <v>11</v>
      </c>
      <c r="AA1262">
        <v>11</v>
      </c>
      <c r="AB1262" t="s">
        <v>11104</v>
      </c>
      <c r="AE1262" t="s">
        <v>9251</v>
      </c>
      <c r="AF1262" s="4"/>
    </row>
    <row r="1263" spans="2:32">
      <c r="B1263" t="s">
        <v>9366</v>
      </c>
      <c r="C1263" t="s">
        <v>5562</v>
      </c>
      <c r="D1263" t="s">
        <v>54</v>
      </c>
      <c r="E1263" t="s">
        <v>6772</v>
      </c>
      <c r="F1263" t="s">
        <v>5556</v>
      </c>
      <c r="G1263">
        <v>10375.959999999999</v>
      </c>
      <c r="I1263">
        <v>10375.959999999999</v>
      </c>
      <c r="K1263" s="4">
        <v>45520</v>
      </c>
      <c r="L1263" s="4">
        <v>45520</v>
      </c>
      <c r="M1263">
        <v>2024</v>
      </c>
      <c r="N1263">
        <v>8</v>
      </c>
      <c r="O1263" s="4">
        <v>45505</v>
      </c>
      <c r="P1263" t="s">
        <v>1473</v>
      </c>
      <c r="Q1263" s="4"/>
      <c r="S1263" t="s">
        <v>3399</v>
      </c>
      <c r="T1263">
        <v>45551</v>
      </c>
      <c r="U1263">
        <v>10375.959999999999</v>
      </c>
      <c r="V1263">
        <v>1</v>
      </c>
      <c r="W1263" t="s">
        <v>16</v>
      </c>
      <c r="X1263" t="s">
        <v>4109</v>
      </c>
      <c r="Z1263">
        <v>32</v>
      </c>
      <c r="AA1263">
        <v>32</v>
      </c>
      <c r="AB1263" t="s">
        <v>11104</v>
      </c>
      <c r="AE1263" t="s">
        <v>9251</v>
      </c>
      <c r="AF1263" s="4"/>
    </row>
    <row r="1264" spans="2:32">
      <c r="B1264" t="s">
        <v>9366</v>
      </c>
      <c r="C1264" t="s">
        <v>5565</v>
      </c>
      <c r="D1264" t="s">
        <v>54</v>
      </c>
      <c r="E1264" t="s">
        <v>6776</v>
      </c>
      <c r="F1264" t="s">
        <v>5563</v>
      </c>
      <c r="G1264">
        <v>5638.25</v>
      </c>
      <c r="I1264">
        <v>5638.25</v>
      </c>
      <c r="K1264" s="4">
        <v>45443</v>
      </c>
      <c r="L1264" s="4">
        <v>45443</v>
      </c>
      <c r="M1264">
        <v>2024</v>
      </c>
      <c r="N1264">
        <v>5</v>
      </c>
      <c r="O1264" s="4">
        <v>45413</v>
      </c>
      <c r="P1264" t="s">
        <v>1473</v>
      </c>
      <c r="Q1264" s="4"/>
      <c r="S1264" t="s">
        <v>3496</v>
      </c>
      <c r="T1264">
        <v>45551</v>
      </c>
      <c r="U1264">
        <v>5638.25</v>
      </c>
      <c r="V1264">
        <v>1</v>
      </c>
      <c r="W1264" t="s">
        <v>16</v>
      </c>
      <c r="X1264" t="s">
        <v>4109</v>
      </c>
      <c r="Z1264">
        <v>109</v>
      </c>
      <c r="AA1264">
        <v>109</v>
      </c>
      <c r="AB1264" t="s">
        <v>11104</v>
      </c>
      <c r="AC1264" t="s">
        <v>1473</v>
      </c>
      <c r="AD1264" t="s">
        <v>1473</v>
      </c>
      <c r="AE1264" t="s">
        <v>3652</v>
      </c>
      <c r="AF1264" s="4"/>
    </row>
    <row r="1265" spans="2:32">
      <c r="B1265" t="s">
        <v>9366</v>
      </c>
      <c r="C1265" t="s">
        <v>5567</v>
      </c>
      <c r="D1265" t="s">
        <v>54</v>
      </c>
      <c r="E1265" t="s">
        <v>6780</v>
      </c>
      <c r="F1265" t="s">
        <v>5563</v>
      </c>
      <c r="G1265">
        <v>5638.25</v>
      </c>
      <c r="I1265">
        <v>5638.25</v>
      </c>
      <c r="K1265" s="4">
        <v>45541</v>
      </c>
      <c r="L1265" s="4">
        <v>45541</v>
      </c>
      <c r="O1265" s="4"/>
      <c r="P1265" t="s">
        <v>1473</v>
      </c>
      <c r="Q1265" s="4"/>
      <c r="S1265" t="s">
        <v>3372</v>
      </c>
      <c r="T1265">
        <v>45551</v>
      </c>
      <c r="U1265">
        <v>5638.25</v>
      </c>
      <c r="V1265">
        <v>1</v>
      </c>
      <c r="W1265" t="s">
        <v>16</v>
      </c>
      <c r="X1265" t="s">
        <v>4109</v>
      </c>
      <c r="Z1265">
        <v>11</v>
      </c>
      <c r="AA1265">
        <v>11</v>
      </c>
      <c r="AB1265" t="s">
        <v>11104</v>
      </c>
      <c r="AE1265" t="s">
        <v>9251</v>
      </c>
      <c r="AF1265" s="4"/>
    </row>
    <row r="1266" spans="2:32">
      <c r="B1266" t="s">
        <v>9366</v>
      </c>
      <c r="C1266" t="s">
        <v>5570</v>
      </c>
      <c r="D1266" t="s">
        <v>54</v>
      </c>
      <c r="E1266" t="s">
        <v>6783</v>
      </c>
      <c r="F1266" t="s">
        <v>5568</v>
      </c>
      <c r="G1266">
        <v>12958.44</v>
      </c>
      <c r="I1266">
        <v>12958.44</v>
      </c>
      <c r="K1266" s="4">
        <v>45520</v>
      </c>
      <c r="L1266" s="4">
        <v>45520</v>
      </c>
      <c r="M1266">
        <v>2024</v>
      </c>
      <c r="N1266">
        <v>8</v>
      </c>
      <c r="O1266" s="4">
        <v>45505</v>
      </c>
      <c r="P1266" t="s">
        <v>1473</v>
      </c>
      <c r="Q1266" s="4"/>
      <c r="S1266" t="s">
        <v>3328</v>
      </c>
      <c r="T1266">
        <v>45551</v>
      </c>
      <c r="U1266">
        <v>12958.44</v>
      </c>
      <c r="V1266">
        <v>1</v>
      </c>
      <c r="W1266" t="s">
        <v>16</v>
      </c>
      <c r="X1266" t="s">
        <v>4109</v>
      </c>
      <c r="Z1266">
        <v>32</v>
      </c>
      <c r="AA1266">
        <v>32</v>
      </c>
      <c r="AB1266" t="s">
        <v>11104</v>
      </c>
      <c r="AE1266" t="s">
        <v>9251</v>
      </c>
      <c r="AF1266" s="4"/>
    </row>
    <row r="1267" spans="2:32">
      <c r="B1267" t="s">
        <v>9366</v>
      </c>
      <c r="C1267" t="s">
        <v>5572</v>
      </c>
      <c r="D1267" t="s">
        <v>54</v>
      </c>
      <c r="E1267" t="s">
        <v>6786</v>
      </c>
      <c r="F1267" t="s">
        <v>5568</v>
      </c>
      <c r="G1267">
        <v>12958.44</v>
      </c>
      <c r="I1267">
        <v>12958.44</v>
      </c>
      <c r="K1267" s="4">
        <v>45520</v>
      </c>
      <c r="L1267" s="4">
        <v>45520</v>
      </c>
      <c r="M1267">
        <v>2024</v>
      </c>
      <c r="N1267">
        <v>8</v>
      </c>
      <c r="O1267" s="4">
        <v>45505</v>
      </c>
      <c r="P1267" t="s">
        <v>1473</v>
      </c>
      <c r="Q1267" s="4"/>
      <c r="S1267" t="s">
        <v>3331</v>
      </c>
      <c r="T1267">
        <v>45551</v>
      </c>
      <c r="U1267">
        <v>12958.44</v>
      </c>
      <c r="V1267">
        <v>1</v>
      </c>
      <c r="W1267" t="s">
        <v>16</v>
      </c>
      <c r="X1267" t="s">
        <v>4109</v>
      </c>
      <c r="Z1267">
        <v>32</v>
      </c>
      <c r="AA1267">
        <v>32</v>
      </c>
      <c r="AB1267" t="s">
        <v>11104</v>
      </c>
      <c r="AE1267" t="s">
        <v>9251</v>
      </c>
      <c r="AF1267" s="4"/>
    </row>
    <row r="1268" spans="2:32">
      <c r="B1268" t="s">
        <v>9366</v>
      </c>
      <c r="C1268" t="s">
        <v>5574</v>
      </c>
      <c r="D1268" t="s">
        <v>54</v>
      </c>
      <c r="E1268" t="s">
        <v>6789</v>
      </c>
      <c r="F1268" t="s">
        <v>5568</v>
      </c>
      <c r="G1268">
        <v>12958.44</v>
      </c>
      <c r="I1268">
        <v>12958.44</v>
      </c>
      <c r="K1268" s="4">
        <v>45443</v>
      </c>
      <c r="L1268" s="4">
        <v>45443</v>
      </c>
      <c r="M1268">
        <v>2024</v>
      </c>
      <c r="N1268">
        <v>5</v>
      </c>
      <c r="O1268" s="4">
        <v>45413</v>
      </c>
      <c r="P1268" t="s">
        <v>1473</v>
      </c>
      <c r="Q1268" s="4"/>
      <c r="S1268" t="s">
        <v>3494</v>
      </c>
      <c r="T1268">
        <v>45551</v>
      </c>
      <c r="U1268">
        <v>12958.44</v>
      </c>
      <c r="V1268">
        <v>1</v>
      </c>
      <c r="W1268" t="s">
        <v>16</v>
      </c>
      <c r="X1268" t="s">
        <v>4109</v>
      </c>
      <c r="Z1268">
        <v>109</v>
      </c>
      <c r="AA1268">
        <v>109</v>
      </c>
      <c r="AB1268" t="s">
        <v>11104</v>
      </c>
      <c r="AC1268" t="s">
        <v>1473</v>
      </c>
      <c r="AD1268" t="s">
        <v>1473</v>
      </c>
      <c r="AE1268" t="s">
        <v>3652</v>
      </c>
      <c r="AF1268" s="4"/>
    </row>
    <row r="1269" spans="2:32">
      <c r="B1269" t="s">
        <v>9366</v>
      </c>
      <c r="C1269" t="s">
        <v>5577</v>
      </c>
      <c r="D1269" t="s">
        <v>54</v>
      </c>
      <c r="E1269" t="s">
        <v>6792</v>
      </c>
      <c r="F1269" t="s">
        <v>5575</v>
      </c>
      <c r="G1269">
        <v>5638.25</v>
      </c>
      <c r="I1269">
        <v>5638.25</v>
      </c>
      <c r="K1269" s="4">
        <v>45541</v>
      </c>
      <c r="L1269" s="4">
        <v>45541</v>
      </c>
      <c r="O1269" s="4"/>
      <c r="P1269" t="s">
        <v>1473</v>
      </c>
      <c r="Q1269" s="4"/>
      <c r="S1269" t="s">
        <v>3498</v>
      </c>
      <c r="T1269">
        <v>45551</v>
      </c>
      <c r="U1269">
        <v>5638.25</v>
      </c>
      <c r="V1269">
        <v>1</v>
      </c>
      <c r="W1269" t="s">
        <v>16</v>
      </c>
      <c r="X1269" t="s">
        <v>4109</v>
      </c>
      <c r="Z1269">
        <v>11</v>
      </c>
      <c r="AA1269">
        <v>11</v>
      </c>
      <c r="AB1269" t="s">
        <v>11104</v>
      </c>
      <c r="AE1269" t="s">
        <v>9251</v>
      </c>
      <c r="AF1269" s="4"/>
    </row>
    <row r="1270" spans="2:32">
      <c r="B1270" t="s">
        <v>9366</v>
      </c>
      <c r="C1270" t="s">
        <v>5580</v>
      </c>
      <c r="D1270" t="s">
        <v>54</v>
      </c>
      <c r="E1270" t="s">
        <v>6795</v>
      </c>
      <c r="F1270" t="s">
        <v>5575</v>
      </c>
      <c r="G1270">
        <v>5638.25</v>
      </c>
      <c r="I1270">
        <v>5638.25</v>
      </c>
      <c r="K1270" s="4">
        <v>45541</v>
      </c>
      <c r="L1270" s="4">
        <v>45541</v>
      </c>
      <c r="O1270" s="4"/>
      <c r="P1270" t="s">
        <v>1473</v>
      </c>
      <c r="Q1270" s="4"/>
      <c r="S1270" t="s">
        <v>3374</v>
      </c>
      <c r="T1270">
        <v>45551</v>
      </c>
      <c r="U1270">
        <v>5638.25</v>
      </c>
      <c r="V1270">
        <v>1</v>
      </c>
      <c r="W1270" t="s">
        <v>16</v>
      </c>
      <c r="X1270" t="s">
        <v>4109</v>
      </c>
      <c r="Z1270">
        <v>11</v>
      </c>
      <c r="AA1270">
        <v>11</v>
      </c>
      <c r="AB1270" t="s">
        <v>11104</v>
      </c>
      <c r="AE1270" t="s">
        <v>9251</v>
      </c>
      <c r="AF1270" s="4"/>
    </row>
    <row r="1271" spans="2:32">
      <c r="B1271" t="s">
        <v>9366</v>
      </c>
      <c r="C1271" t="s">
        <v>5583</v>
      </c>
      <c r="D1271" t="s">
        <v>54</v>
      </c>
      <c r="E1271" t="s">
        <v>6797</v>
      </c>
      <c r="F1271" t="s">
        <v>5581</v>
      </c>
      <c r="G1271">
        <v>5965.43</v>
      </c>
      <c r="I1271">
        <v>5965.43</v>
      </c>
      <c r="K1271" s="4">
        <v>45541</v>
      </c>
      <c r="L1271" s="4">
        <v>45541</v>
      </c>
      <c r="O1271" s="4"/>
      <c r="P1271" t="s">
        <v>1473</v>
      </c>
      <c r="Q1271" s="4"/>
      <c r="S1271" t="s">
        <v>3346</v>
      </c>
      <c r="T1271">
        <v>45551</v>
      </c>
      <c r="U1271">
        <v>5965.43</v>
      </c>
      <c r="V1271">
        <v>1</v>
      </c>
      <c r="W1271" t="s">
        <v>16</v>
      </c>
      <c r="X1271" t="s">
        <v>4109</v>
      </c>
      <c r="Z1271">
        <v>11</v>
      </c>
      <c r="AA1271">
        <v>11</v>
      </c>
      <c r="AB1271" t="s">
        <v>11104</v>
      </c>
      <c r="AE1271" t="s">
        <v>9251</v>
      </c>
      <c r="AF1271" s="4"/>
    </row>
    <row r="1272" spans="2:32">
      <c r="B1272" t="s">
        <v>9366</v>
      </c>
      <c r="C1272" t="s">
        <v>5586</v>
      </c>
      <c r="D1272" t="s">
        <v>54</v>
      </c>
      <c r="E1272" t="s">
        <v>6799</v>
      </c>
      <c r="F1272" t="s">
        <v>5585</v>
      </c>
      <c r="G1272">
        <v>5638.25</v>
      </c>
      <c r="I1272">
        <v>5638.25</v>
      </c>
      <c r="K1272" s="4">
        <v>45541</v>
      </c>
      <c r="L1272" s="4">
        <v>45541</v>
      </c>
      <c r="O1272" s="4"/>
      <c r="P1272" t="s">
        <v>1473</v>
      </c>
      <c r="Q1272" s="4"/>
      <c r="S1272" t="s">
        <v>3370</v>
      </c>
      <c r="T1272">
        <v>45551</v>
      </c>
      <c r="U1272">
        <v>5638.25</v>
      </c>
      <c r="V1272">
        <v>1</v>
      </c>
      <c r="W1272" t="s">
        <v>16</v>
      </c>
      <c r="X1272" t="s">
        <v>4109</v>
      </c>
      <c r="Z1272">
        <v>11</v>
      </c>
      <c r="AA1272">
        <v>11</v>
      </c>
      <c r="AB1272" t="s">
        <v>11104</v>
      </c>
      <c r="AE1272" t="s">
        <v>9251</v>
      </c>
      <c r="AF1272" s="4"/>
    </row>
    <row r="1273" spans="2:32">
      <c r="B1273" t="s">
        <v>9366</v>
      </c>
      <c r="C1273" t="s">
        <v>4726</v>
      </c>
      <c r="D1273" t="s">
        <v>54</v>
      </c>
      <c r="E1273" t="s">
        <v>10559</v>
      </c>
      <c r="F1273" t="s">
        <v>4725</v>
      </c>
      <c r="G1273">
        <v>912.75</v>
      </c>
      <c r="I1273">
        <v>912.75</v>
      </c>
      <c r="J1273">
        <v>912.75</v>
      </c>
      <c r="K1273" s="4">
        <v>45506</v>
      </c>
      <c r="L1273" s="4">
        <v>45509</v>
      </c>
      <c r="M1273">
        <v>2024</v>
      </c>
      <c r="N1273">
        <v>8</v>
      </c>
      <c r="O1273" s="4">
        <v>45505</v>
      </c>
      <c r="P1273" t="s">
        <v>89</v>
      </c>
      <c r="Q1273" s="4">
        <v>45534</v>
      </c>
      <c r="S1273" t="s">
        <v>3881</v>
      </c>
      <c r="T1273">
        <v>45512</v>
      </c>
      <c r="U1273">
        <v>1521.25</v>
      </c>
      <c r="V1273">
        <v>0.6</v>
      </c>
      <c r="W1273" t="s">
        <v>16</v>
      </c>
      <c r="X1273" t="s">
        <v>2250</v>
      </c>
      <c r="Z1273" t="s">
        <v>89</v>
      </c>
      <c r="AA1273" t="s">
        <v>89</v>
      </c>
      <c r="AB1273" t="s">
        <v>10553</v>
      </c>
      <c r="AE1273" t="s">
        <v>9251</v>
      </c>
      <c r="AF1273" s="4"/>
    </row>
    <row r="1274" spans="2:32">
      <c r="B1274" t="s">
        <v>2193</v>
      </c>
      <c r="C1274" t="s">
        <v>11356</v>
      </c>
      <c r="D1274" t="s">
        <v>56</v>
      </c>
      <c r="E1274" t="s">
        <v>3566</v>
      </c>
      <c r="F1274" t="s">
        <v>11357</v>
      </c>
      <c r="G1274">
        <v>73954</v>
      </c>
      <c r="I1274">
        <v>73954</v>
      </c>
      <c r="K1274" s="4">
        <v>45461</v>
      </c>
      <c r="L1274" s="4">
        <v>45462</v>
      </c>
      <c r="M1274">
        <v>2024</v>
      </c>
      <c r="N1274">
        <v>6</v>
      </c>
      <c r="O1274" s="4">
        <v>45444</v>
      </c>
      <c r="P1274" t="s">
        <v>1473</v>
      </c>
      <c r="Q1274" s="4"/>
      <c r="S1274" t="s">
        <v>3568</v>
      </c>
      <c r="U1274">
        <v>73954</v>
      </c>
      <c r="V1274">
        <v>1</v>
      </c>
      <c r="W1274" t="s">
        <v>17</v>
      </c>
      <c r="X1274" t="s">
        <v>3681</v>
      </c>
      <c r="Z1274">
        <v>91</v>
      </c>
      <c r="AA1274">
        <v>90</v>
      </c>
      <c r="AC1274" t="s">
        <v>1473</v>
      </c>
      <c r="AD1274" t="s">
        <v>1473</v>
      </c>
      <c r="AE1274" t="s">
        <v>3652</v>
      </c>
      <c r="AF1274" s="4"/>
    </row>
    <row r="1275" spans="2:32">
      <c r="B1275" t="s">
        <v>9366</v>
      </c>
      <c r="C1275" t="s">
        <v>5588</v>
      </c>
      <c r="D1275" t="s">
        <v>54</v>
      </c>
      <c r="E1275" t="s">
        <v>6801</v>
      </c>
      <c r="F1275" t="s">
        <v>5587</v>
      </c>
      <c r="G1275">
        <v>5638.25</v>
      </c>
      <c r="I1275">
        <v>5638.25</v>
      </c>
      <c r="K1275" s="4">
        <v>45541</v>
      </c>
      <c r="L1275" s="4">
        <v>45541</v>
      </c>
      <c r="O1275" s="4"/>
      <c r="P1275" t="s">
        <v>1473</v>
      </c>
      <c r="Q1275" s="4"/>
      <c r="S1275" t="s">
        <v>3367</v>
      </c>
      <c r="T1275">
        <v>45551</v>
      </c>
      <c r="U1275">
        <v>5638.25</v>
      </c>
      <c r="V1275">
        <v>1</v>
      </c>
      <c r="W1275" t="s">
        <v>16</v>
      </c>
      <c r="X1275" t="s">
        <v>4109</v>
      </c>
      <c r="Z1275">
        <v>11</v>
      </c>
      <c r="AA1275">
        <v>11</v>
      </c>
      <c r="AB1275" t="s">
        <v>11104</v>
      </c>
      <c r="AE1275" t="s">
        <v>9251</v>
      </c>
      <c r="AF1275" s="4"/>
    </row>
    <row r="1276" spans="2:32">
      <c r="B1276" t="s">
        <v>9366</v>
      </c>
      <c r="C1276" t="s">
        <v>5591</v>
      </c>
      <c r="D1276" t="s">
        <v>54</v>
      </c>
      <c r="E1276" t="s">
        <v>6804</v>
      </c>
      <c r="F1276" t="s">
        <v>5589</v>
      </c>
      <c r="G1276">
        <v>5947.97</v>
      </c>
      <c r="I1276">
        <v>5947.97</v>
      </c>
      <c r="K1276" s="4">
        <v>45520</v>
      </c>
      <c r="L1276" s="4">
        <v>45520</v>
      </c>
      <c r="M1276">
        <v>2024</v>
      </c>
      <c r="N1276">
        <v>8</v>
      </c>
      <c r="O1276" s="4">
        <v>45505</v>
      </c>
      <c r="P1276" t="s">
        <v>1473</v>
      </c>
      <c r="Q1276" s="4"/>
      <c r="S1276" t="s">
        <v>3356</v>
      </c>
      <c r="T1276">
        <v>45551</v>
      </c>
      <c r="U1276">
        <v>5947.97</v>
      </c>
      <c r="V1276">
        <v>1</v>
      </c>
      <c r="W1276" t="s">
        <v>16</v>
      </c>
      <c r="X1276" t="s">
        <v>4109</v>
      </c>
      <c r="Z1276">
        <v>32</v>
      </c>
      <c r="AA1276">
        <v>32</v>
      </c>
      <c r="AB1276" t="s">
        <v>11104</v>
      </c>
      <c r="AE1276" t="s">
        <v>9251</v>
      </c>
      <c r="AF1276" s="4"/>
    </row>
    <row r="1277" spans="2:32">
      <c r="B1277" t="s">
        <v>9366</v>
      </c>
      <c r="C1277" t="s">
        <v>5593</v>
      </c>
      <c r="D1277" t="s">
        <v>54</v>
      </c>
      <c r="E1277" t="s">
        <v>6806</v>
      </c>
      <c r="F1277" t="s">
        <v>5589</v>
      </c>
      <c r="G1277">
        <v>5947.97</v>
      </c>
      <c r="I1277">
        <v>5947.97</v>
      </c>
      <c r="K1277" s="4">
        <v>45520</v>
      </c>
      <c r="L1277" s="4">
        <v>45520</v>
      </c>
      <c r="M1277">
        <v>2024</v>
      </c>
      <c r="N1277">
        <v>8</v>
      </c>
      <c r="O1277" s="4">
        <v>45505</v>
      </c>
      <c r="P1277" t="s">
        <v>1473</v>
      </c>
      <c r="Q1277" s="4"/>
      <c r="S1277" t="s">
        <v>3359</v>
      </c>
      <c r="T1277">
        <v>45551</v>
      </c>
      <c r="U1277">
        <v>5947.97</v>
      </c>
      <c r="V1277">
        <v>1</v>
      </c>
      <c r="W1277" t="s">
        <v>16</v>
      </c>
      <c r="X1277" t="s">
        <v>4109</v>
      </c>
      <c r="Z1277">
        <v>32</v>
      </c>
      <c r="AA1277">
        <v>32</v>
      </c>
      <c r="AB1277" t="s">
        <v>11104</v>
      </c>
      <c r="AE1277" t="s">
        <v>9251</v>
      </c>
      <c r="AF1277" s="4"/>
    </row>
    <row r="1278" spans="2:32">
      <c r="B1278" t="s">
        <v>9366</v>
      </c>
      <c r="C1278" t="s">
        <v>5597</v>
      </c>
      <c r="D1278" t="s">
        <v>54</v>
      </c>
      <c r="E1278" t="s">
        <v>6808</v>
      </c>
      <c r="F1278" t="s">
        <v>5594</v>
      </c>
      <c r="G1278">
        <v>5965.43</v>
      </c>
      <c r="I1278">
        <v>5965.43</v>
      </c>
      <c r="K1278" s="4">
        <v>45541</v>
      </c>
      <c r="L1278" s="4">
        <v>45541</v>
      </c>
      <c r="O1278" s="4"/>
      <c r="P1278" t="s">
        <v>1473</v>
      </c>
      <c r="Q1278" s="4"/>
      <c r="S1278" t="s">
        <v>3341</v>
      </c>
      <c r="T1278">
        <v>45551</v>
      </c>
      <c r="U1278">
        <v>5965.43</v>
      </c>
      <c r="V1278">
        <v>1</v>
      </c>
      <c r="W1278" t="s">
        <v>16</v>
      </c>
      <c r="X1278" t="s">
        <v>4109</v>
      </c>
      <c r="Z1278">
        <v>11</v>
      </c>
      <c r="AA1278">
        <v>11</v>
      </c>
      <c r="AB1278" t="s">
        <v>11104</v>
      </c>
      <c r="AE1278" t="s">
        <v>9251</v>
      </c>
      <c r="AF1278" s="4"/>
    </row>
    <row r="1279" spans="2:32">
      <c r="B1279" t="s">
        <v>9366</v>
      </c>
      <c r="C1279" t="s">
        <v>5601</v>
      </c>
      <c r="D1279" t="s">
        <v>54</v>
      </c>
      <c r="E1279" t="s">
        <v>6811</v>
      </c>
      <c r="F1279" t="s">
        <v>5599</v>
      </c>
      <c r="G1279">
        <v>5965.43</v>
      </c>
      <c r="I1279">
        <v>5965.43</v>
      </c>
      <c r="K1279" s="4">
        <v>45541</v>
      </c>
      <c r="L1279" s="4">
        <v>45541</v>
      </c>
      <c r="O1279" s="4"/>
      <c r="P1279" t="s">
        <v>1473</v>
      </c>
      <c r="Q1279" s="4"/>
      <c r="S1279" t="s">
        <v>3348</v>
      </c>
      <c r="T1279">
        <v>45551</v>
      </c>
      <c r="U1279">
        <v>5965.43</v>
      </c>
      <c r="V1279">
        <v>1</v>
      </c>
      <c r="W1279" t="s">
        <v>16</v>
      </c>
      <c r="X1279" t="s">
        <v>4109</v>
      </c>
      <c r="Z1279">
        <v>11</v>
      </c>
      <c r="AA1279">
        <v>11</v>
      </c>
      <c r="AB1279" t="s">
        <v>11104</v>
      </c>
      <c r="AE1279" t="s">
        <v>9251</v>
      </c>
      <c r="AF1279" s="4"/>
    </row>
    <row r="1280" spans="2:32">
      <c r="B1280" t="s">
        <v>9366</v>
      </c>
      <c r="C1280" t="s">
        <v>5609</v>
      </c>
      <c r="D1280" t="s">
        <v>54</v>
      </c>
      <c r="E1280" t="s">
        <v>11109</v>
      </c>
      <c r="F1280" t="s">
        <v>5605</v>
      </c>
      <c r="G1280">
        <v>35489.411999999997</v>
      </c>
      <c r="I1280">
        <v>35489.411999999997</v>
      </c>
      <c r="K1280" s="4">
        <v>45436</v>
      </c>
      <c r="L1280" s="4">
        <v>45436</v>
      </c>
      <c r="M1280">
        <v>2024</v>
      </c>
      <c r="N1280">
        <v>5</v>
      </c>
      <c r="O1280" s="4">
        <v>45413</v>
      </c>
      <c r="P1280" t="s">
        <v>1848</v>
      </c>
      <c r="Q1280" s="4"/>
      <c r="S1280" t="s">
        <v>5607</v>
      </c>
      <c r="T1280">
        <v>45551</v>
      </c>
      <c r="U1280">
        <v>59149.02</v>
      </c>
      <c r="V1280">
        <v>0.6</v>
      </c>
      <c r="W1280" t="s">
        <v>17</v>
      </c>
      <c r="X1280" t="s">
        <v>3918</v>
      </c>
      <c r="Z1280">
        <v>116</v>
      </c>
      <c r="AA1280">
        <v>116</v>
      </c>
      <c r="AB1280" t="s">
        <v>11358</v>
      </c>
      <c r="AC1280" t="s">
        <v>1473</v>
      </c>
      <c r="AD1280" t="s">
        <v>1473</v>
      </c>
      <c r="AE1280" t="s">
        <v>9251</v>
      </c>
      <c r="AF1280" s="4"/>
    </row>
    <row r="1281" spans="2:32">
      <c r="B1281" t="s">
        <v>9366</v>
      </c>
      <c r="C1281" t="s">
        <v>5620</v>
      </c>
      <c r="D1281" t="s">
        <v>54</v>
      </c>
      <c r="E1281" t="s">
        <v>11119</v>
      </c>
      <c r="F1281" t="s">
        <v>5618</v>
      </c>
      <c r="G1281">
        <v>51779.573999999993</v>
      </c>
      <c r="I1281">
        <v>51779.573999999993</v>
      </c>
      <c r="K1281" s="4">
        <v>45483</v>
      </c>
      <c r="L1281" s="4">
        <v>45483</v>
      </c>
      <c r="M1281">
        <v>2024</v>
      </c>
      <c r="N1281">
        <v>2</v>
      </c>
      <c r="O1281" s="4">
        <v>45323</v>
      </c>
      <c r="P1281" t="s">
        <v>1848</v>
      </c>
      <c r="Q1281" s="4"/>
      <c r="S1281" t="s">
        <v>5619</v>
      </c>
      <c r="T1281">
        <v>45551</v>
      </c>
      <c r="U1281">
        <v>86299.29</v>
      </c>
      <c r="V1281">
        <v>0.6</v>
      </c>
      <c r="W1281" t="s">
        <v>17</v>
      </c>
      <c r="X1281" t="s">
        <v>3918</v>
      </c>
      <c r="Z1281">
        <v>69</v>
      </c>
      <c r="AA1281">
        <v>69</v>
      </c>
      <c r="AB1281" t="s">
        <v>11114</v>
      </c>
      <c r="AC1281" t="s">
        <v>1473</v>
      </c>
      <c r="AD1281" t="s">
        <v>1473</v>
      </c>
      <c r="AE1281" t="s">
        <v>9251</v>
      </c>
      <c r="AF1281" s="4"/>
    </row>
    <row r="1282" spans="2:32">
      <c r="B1282" t="s">
        <v>9366</v>
      </c>
      <c r="C1282" t="s">
        <v>5704</v>
      </c>
      <c r="D1282" t="s">
        <v>54</v>
      </c>
      <c r="E1282" t="s">
        <v>11205</v>
      </c>
      <c r="F1282" t="s">
        <v>11206</v>
      </c>
      <c r="G1282">
        <v>5628.4279999999999</v>
      </c>
      <c r="I1282">
        <v>5628.4279999999999</v>
      </c>
      <c r="K1282" s="4">
        <v>45429</v>
      </c>
      <c r="L1282" s="4">
        <v>45546</v>
      </c>
      <c r="M1282">
        <v>2024</v>
      </c>
      <c r="N1282">
        <v>5</v>
      </c>
      <c r="O1282" s="4">
        <v>45413</v>
      </c>
      <c r="P1282" t="s">
        <v>1473</v>
      </c>
      <c r="Q1282" s="4"/>
      <c r="R1282" t="s">
        <v>11150</v>
      </c>
      <c r="S1282" t="s">
        <v>5703</v>
      </c>
      <c r="T1282">
        <v>45551</v>
      </c>
      <c r="U1282">
        <v>14071.07</v>
      </c>
      <c r="V1282">
        <v>0.4</v>
      </c>
      <c r="W1282" t="s">
        <v>17</v>
      </c>
      <c r="X1282" t="s">
        <v>3918</v>
      </c>
      <c r="Z1282">
        <v>123</v>
      </c>
      <c r="AA1282">
        <v>6</v>
      </c>
      <c r="AB1282" t="s">
        <v>11070</v>
      </c>
      <c r="AC1282" t="s">
        <v>837</v>
      </c>
      <c r="AD1282" t="s">
        <v>837</v>
      </c>
      <c r="AE1282" t="s">
        <v>9251</v>
      </c>
      <c r="AF1282" s="4"/>
    </row>
    <row r="1283" spans="2:32">
      <c r="B1283" t="s">
        <v>9366</v>
      </c>
      <c r="C1283" t="s">
        <v>5718</v>
      </c>
      <c r="D1283" t="s">
        <v>54</v>
      </c>
      <c r="E1283" t="s">
        <v>11222</v>
      </c>
      <c r="F1283" t="s">
        <v>5716</v>
      </c>
      <c r="G1283">
        <v>168505.39199999999</v>
      </c>
      <c r="I1283">
        <v>168505.39199999999</v>
      </c>
      <c r="K1283" s="4">
        <v>45422</v>
      </c>
      <c r="L1283" s="4">
        <v>45422</v>
      </c>
      <c r="M1283">
        <v>2024</v>
      </c>
      <c r="N1283">
        <v>5</v>
      </c>
      <c r="O1283" s="4">
        <v>45413</v>
      </c>
      <c r="P1283" t="s">
        <v>1848</v>
      </c>
      <c r="Q1283" s="4"/>
      <c r="S1283" t="s">
        <v>5717</v>
      </c>
      <c r="T1283">
        <v>45551</v>
      </c>
      <c r="U1283">
        <v>280842.32</v>
      </c>
      <c r="V1283">
        <v>0.6</v>
      </c>
      <c r="W1283" t="s">
        <v>17</v>
      </c>
      <c r="X1283" t="s">
        <v>3918</v>
      </c>
      <c r="Z1283">
        <v>130</v>
      </c>
      <c r="AA1283">
        <v>130</v>
      </c>
      <c r="AB1283" t="s">
        <v>11359</v>
      </c>
      <c r="AC1283" t="s">
        <v>1473</v>
      </c>
      <c r="AD1283" t="s">
        <v>1473</v>
      </c>
      <c r="AE1283" t="s">
        <v>9251</v>
      </c>
      <c r="AF1283" s="4"/>
    </row>
    <row r="1284" spans="2:32">
      <c r="B1284" t="s">
        <v>9366</v>
      </c>
      <c r="C1284" t="s">
        <v>5724</v>
      </c>
      <c r="D1284" t="s">
        <v>54</v>
      </c>
      <c r="E1284" t="s">
        <v>11360</v>
      </c>
      <c r="F1284" t="s">
        <v>5721</v>
      </c>
      <c r="G1284">
        <v>369926.25</v>
      </c>
      <c r="I1284">
        <v>369926.25</v>
      </c>
      <c r="K1284" s="4">
        <v>45429</v>
      </c>
      <c r="L1284" s="4">
        <v>45429</v>
      </c>
      <c r="M1284">
        <v>2024</v>
      </c>
      <c r="N1284">
        <v>5</v>
      </c>
      <c r="O1284" s="4">
        <v>45413</v>
      </c>
      <c r="P1284" t="s">
        <v>1848</v>
      </c>
      <c r="Q1284" s="4"/>
      <c r="S1284" t="s">
        <v>5723</v>
      </c>
      <c r="T1284">
        <v>45551</v>
      </c>
      <c r="U1284">
        <v>369926.25</v>
      </c>
      <c r="V1284">
        <v>1</v>
      </c>
      <c r="W1284" t="s">
        <v>17</v>
      </c>
      <c r="X1284" t="s">
        <v>3918</v>
      </c>
      <c r="Z1284">
        <v>123</v>
      </c>
      <c r="AA1284">
        <v>123</v>
      </c>
      <c r="AB1284" t="s">
        <v>11361</v>
      </c>
      <c r="AC1284" t="s">
        <v>1473</v>
      </c>
      <c r="AD1284" t="s">
        <v>1473</v>
      </c>
      <c r="AE1284" t="s">
        <v>9251</v>
      </c>
      <c r="AF1284" s="4"/>
    </row>
    <row r="1285" spans="2:32">
      <c r="B1285" t="s">
        <v>9366</v>
      </c>
      <c r="C1285" t="s">
        <v>5727</v>
      </c>
      <c r="D1285" t="s">
        <v>54</v>
      </c>
      <c r="E1285" t="s">
        <v>11362</v>
      </c>
      <c r="F1285" t="s">
        <v>5725</v>
      </c>
      <c r="G1285">
        <v>369926.25</v>
      </c>
      <c r="I1285">
        <v>369926.25</v>
      </c>
      <c r="K1285" s="4">
        <v>45408</v>
      </c>
      <c r="L1285" s="4">
        <v>45408</v>
      </c>
      <c r="M1285">
        <v>2024</v>
      </c>
      <c r="N1285">
        <v>4</v>
      </c>
      <c r="O1285" s="4">
        <v>45383</v>
      </c>
      <c r="P1285" t="s">
        <v>1848</v>
      </c>
      <c r="Q1285" s="4"/>
      <c r="S1285" t="s">
        <v>5726</v>
      </c>
      <c r="T1285">
        <v>45551</v>
      </c>
      <c r="U1285">
        <v>369926.25</v>
      </c>
      <c r="V1285">
        <v>1</v>
      </c>
      <c r="W1285" t="s">
        <v>17</v>
      </c>
      <c r="X1285" t="s">
        <v>3918</v>
      </c>
      <c r="Z1285">
        <v>144</v>
      </c>
      <c r="AA1285">
        <v>144</v>
      </c>
      <c r="AB1285" t="s">
        <v>11361</v>
      </c>
      <c r="AC1285" t="s">
        <v>1473</v>
      </c>
      <c r="AD1285" t="s">
        <v>1473</v>
      </c>
      <c r="AE1285" t="s">
        <v>9251</v>
      </c>
      <c r="AF1285" s="4"/>
    </row>
    <row r="1286" spans="2:32">
      <c r="B1286" t="s">
        <v>9366</v>
      </c>
      <c r="C1286" t="s">
        <v>5734</v>
      </c>
      <c r="D1286" t="s">
        <v>54</v>
      </c>
      <c r="E1286" t="s">
        <v>11363</v>
      </c>
      <c r="F1286" t="s">
        <v>5732</v>
      </c>
      <c r="G1286">
        <v>307284.11</v>
      </c>
      <c r="I1286">
        <v>307284.11</v>
      </c>
      <c r="K1286" s="4">
        <v>45408</v>
      </c>
      <c r="L1286" s="4">
        <v>45408</v>
      </c>
      <c r="M1286">
        <v>2024</v>
      </c>
      <c r="N1286">
        <v>4</v>
      </c>
      <c r="O1286" s="4">
        <v>45383</v>
      </c>
      <c r="P1286" t="s">
        <v>1848</v>
      </c>
      <c r="Q1286" s="4"/>
      <c r="S1286" t="s">
        <v>5733</v>
      </c>
      <c r="T1286">
        <v>45551</v>
      </c>
      <c r="U1286">
        <v>307284.11</v>
      </c>
      <c r="V1286">
        <v>1</v>
      </c>
      <c r="W1286" t="s">
        <v>17</v>
      </c>
      <c r="X1286" t="s">
        <v>3918</v>
      </c>
      <c r="Z1286">
        <v>144</v>
      </c>
      <c r="AA1286">
        <v>144</v>
      </c>
      <c r="AB1286" t="s">
        <v>11364</v>
      </c>
      <c r="AC1286" t="s">
        <v>1473</v>
      </c>
      <c r="AD1286" t="s">
        <v>1473</v>
      </c>
      <c r="AE1286" t="s">
        <v>9251</v>
      </c>
      <c r="AF1286" s="4"/>
    </row>
    <row r="1287" spans="2:32">
      <c r="B1287" t="s">
        <v>9366</v>
      </c>
      <c r="C1287" t="s">
        <v>5741</v>
      </c>
      <c r="D1287" t="s">
        <v>54</v>
      </c>
      <c r="E1287" t="s">
        <v>11365</v>
      </c>
      <c r="F1287" t="s">
        <v>5739</v>
      </c>
      <c r="G1287">
        <v>274028.57</v>
      </c>
      <c r="I1287">
        <v>274028.57</v>
      </c>
      <c r="K1287" s="4">
        <v>45429</v>
      </c>
      <c r="L1287" s="4">
        <v>45429</v>
      </c>
      <c r="M1287">
        <v>2024</v>
      </c>
      <c r="N1287">
        <v>5</v>
      </c>
      <c r="O1287" s="4">
        <v>45413</v>
      </c>
      <c r="P1287" t="s">
        <v>1848</v>
      </c>
      <c r="Q1287" s="4"/>
      <c r="S1287" t="s">
        <v>5740</v>
      </c>
      <c r="T1287">
        <v>45551</v>
      </c>
      <c r="U1287">
        <v>274028.57</v>
      </c>
      <c r="V1287">
        <v>1</v>
      </c>
      <c r="W1287" t="s">
        <v>17</v>
      </c>
      <c r="X1287" t="s">
        <v>3918</v>
      </c>
      <c r="Z1287">
        <v>123</v>
      </c>
      <c r="AA1287">
        <v>123</v>
      </c>
      <c r="AB1287" t="s">
        <v>11364</v>
      </c>
      <c r="AC1287" t="s">
        <v>1473</v>
      </c>
      <c r="AD1287" t="s">
        <v>1473</v>
      </c>
      <c r="AE1287" t="s">
        <v>9251</v>
      </c>
      <c r="AF1287" s="4"/>
    </row>
    <row r="1288" spans="2:32">
      <c r="B1288" t="s">
        <v>9366</v>
      </c>
      <c r="C1288" t="s">
        <v>5758</v>
      </c>
      <c r="D1288" t="s">
        <v>54</v>
      </c>
      <c r="E1288" t="s">
        <v>11244</v>
      </c>
      <c r="F1288" t="s">
        <v>5755</v>
      </c>
      <c r="G1288">
        <v>122484.85799999999</v>
      </c>
      <c r="I1288">
        <v>122484.85799999999</v>
      </c>
      <c r="K1288" s="4">
        <v>45429</v>
      </c>
      <c r="L1288" s="4">
        <v>45429</v>
      </c>
      <c r="M1288">
        <v>2024</v>
      </c>
      <c r="N1288">
        <v>5</v>
      </c>
      <c r="O1288" s="4">
        <v>45413</v>
      </c>
      <c r="P1288" t="s">
        <v>1848</v>
      </c>
      <c r="Q1288" s="4"/>
      <c r="S1288" t="s">
        <v>5757</v>
      </c>
      <c r="T1288">
        <v>45551</v>
      </c>
      <c r="U1288">
        <v>204141.43</v>
      </c>
      <c r="V1288">
        <v>0.6</v>
      </c>
      <c r="W1288" t="s">
        <v>17</v>
      </c>
      <c r="X1288" t="s">
        <v>3918</v>
      </c>
      <c r="Z1288">
        <v>123</v>
      </c>
      <c r="AA1288">
        <v>123</v>
      </c>
      <c r="AB1288" t="s">
        <v>11366</v>
      </c>
      <c r="AC1288" t="s">
        <v>1473</v>
      </c>
      <c r="AD1288" t="s">
        <v>1473</v>
      </c>
      <c r="AE1288" t="s">
        <v>9251</v>
      </c>
      <c r="AF1288" s="4"/>
    </row>
    <row r="1289" spans="2:32">
      <c r="B1289" t="s">
        <v>9366</v>
      </c>
      <c r="C1289" t="s">
        <v>5764</v>
      </c>
      <c r="D1289" t="s">
        <v>54</v>
      </c>
      <c r="E1289" t="s">
        <v>6774</v>
      </c>
      <c r="F1289" t="s">
        <v>5761</v>
      </c>
      <c r="G1289">
        <v>173251.61</v>
      </c>
      <c r="I1289">
        <v>173251.61</v>
      </c>
      <c r="K1289" s="4">
        <v>45436</v>
      </c>
      <c r="L1289" s="4">
        <v>45539</v>
      </c>
      <c r="M1289">
        <v>2024</v>
      </c>
      <c r="N1289">
        <v>5</v>
      </c>
      <c r="O1289" s="4">
        <v>45413</v>
      </c>
      <c r="P1289" t="s">
        <v>1848</v>
      </c>
      <c r="Q1289" s="4"/>
      <c r="R1289" t="s">
        <v>11367</v>
      </c>
      <c r="S1289" t="s">
        <v>5763</v>
      </c>
      <c r="T1289">
        <v>45551</v>
      </c>
      <c r="U1289">
        <v>173251.61</v>
      </c>
      <c r="V1289">
        <v>1</v>
      </c>
      <c r="W1289" t="s">
        <v>17</v>
      </c>
      <c r="X1289" t="s">
        <v>3918</v>
      </c>
      <c r="Z1289">
        <v>116</v>
      </c>
      <c r="AA1289">
        <v>13</v>
      </c>
      <c r="AB1289" t="s">
        <v>11368</v>
      </c>
      <c r="AC1289" t="s">
        <v>837</v>
      </c>
      <c r="AD1289" t="s">
        <v>837</v>
      </c>
      <c r="AE1289" t="s">
        <v>9251</v>
      </c>
      <c r="AF1289" s="4"/>
    </row>
    <row r="1290" spans="2:32">
      <c r="B1290" t="s">
        <v>9366</v>
      </c>
      <c r="C1290" t="s">
        <v>5770</v>
      </c>
      <c r="D1290" t="s">
        <v>54</v>
      </c>
      <c r="E1290" t="s">
        <v>11369</v>
      </c>
      <c r="F1290" t="s">
        <v>5767</v>
      </c>
      <c r="G1290">
        <v>168446.25</v>
      </c>
      <c r="I1290">
        <v>168446.25</v>
      </c>
      <c r="K1290" s="4">
        <v>45412</v>
      </c>
      <c r="L1290" s="4">
        <v>45412</v>
      </c>
      <c r="M1290">
        <v>2024</v>
      </c>
      <c r="N1290">
        <v>4</v>
      </c>
      <c r="O1290" s="4">
        <v>45383</v>
      </c>
      <c r="P1290" t="s">
        <v>1848</v>
      </c>
      <c r="Q1290" s="4"/>
      <c r="S1290" t="s">
        <v>5769</v>
      </c>
      <c r="T1290">
        <v>45551</v>
      </c>
      <c r="U1290">
        <v>168446.25</v>
      </c>
      <c r="V1290">
        <v>1</v>
      </c>
      <c r="W1290" t="s">
        <v>17</v>
      </c>
      <c r="X1290" t="s">
        <v>3918</v>
      </c>
      <c r="Z1290">
        <v>140</v>
      </c>
      <c r="AA1290">
        <v>140</v>
      </c>
      <c r="AB1290" t="s">
        <v>11370</v>
      </c>
      <c r="AC1290" t="s">
        <v>1473</v>
      </c>
      <c r="AD1290" t="s">
        <v>1473</v>
      </c>
      <c r="AE1290" t="s">
        <v>9251</v>
      </c>
      <c r="AF1290" s="4"/>
    </row>
    <row r="1291" spans="2:32">
      <c r="B1291" t="s">
        <v>9366</v>
      </c>
      <c r="C1291" t="s">
        <v>11371</v>
      </c>
      <c r="D1291" t="s">
        <v>54</v>
      </c>
      <c r="E1291" t="s">
        <v>11269</v>
      </c>
      <c r="F1291" t="s">
        <v>5788</v>
      </c>
      <c r="G1291">
        <v>77211</v>
      </c>
      <c r="I1291">
        <v>77211</v>
      </c>
      <c r="K1291" s="4">
        <v>45436</v>
      </c>
      <c r="L1291" s="4">
        <v>45436</v>
      </c>
      <c r="M1291">
        <v>2024</v>
      </c>
      <c r="N1291">
        <v>5</v>
      </c>
      <c r="O1291" s="4">
        <v>45413</v>
      </c>
      <c r="P1291" t="s">
        <v>1848</v>
      </c>
      <c r="Q1291" s="4"/>
      <c r="S1291" t="s">
        <v>5789</v>
      </c>
      <c r="T1291">
        <v>45551</v>
      </c>
      <c r="U1291">
        <v>128685</v>
      </c>
      <c r="V1291">
        <v>0.6</v>
      </c>
      <c r="W1291" t="s">
        <v>17</v>
      </c>
      <c r="X1291" t="s">
        <v>3918</v>
      </c>
      <c r="Z1291">
        <v>116</v>
      </c>
      <c r="AA1291">
        <v>116</v>
      </c>
      <c r="AB1291" t="s">
        <v>11372</v>
      </c>
      <c r="AC1291" t="s">
        <v>1473</v>
      </c>
      <c r="AD1291" t="s">
        <v>1473</v>
      </c>
      <c r="AE1291" t="s">
        <v>9251</v>
      </c>
      <c r="AF1291" s="4"/>
    </row>
    <row r="1292" spans="2:32">
      <c r="B1292" t="s">
        <v>9366</v>
      </c>
      <c r="C1292" t="s">
        <v>5795</v>
      </c>
      <c r="D1292" t="s">
        <v>54</v>
      </c>
      <c r="E1292" t="s">
        <v>11274</v>
      </c>
      <c r="F1292" t="s">
        <v>5793</v>
      </c>
      <c r="G1292">
        <v>77211</v>
      </c>
      <c r="I1292">
        <v>77211</v>
      </c>
      <c r="K1292" s="4">
        <v>45436</v>
      </c>
      <c r="L1292" s="4">
        <v>45436</v>
      </c>
      <c r="M1292">
        <v>2024</v>
      </c>
      <c r="N1292">
        <v>5</v>
      </c>
      <c r="O1292" s="4">
        <v>45413</v>
      </c>
      <c r="P1292" t="s">
        <v>1848</v>
      </c>
      <c r="Q1292" s="4"/>
      <c r="S1292" t="s">
        <v>5794</v>
      </c>
      <c r="T1292">
        <v>45551</v>
      </c>
      <c r="U1292">
        <v>128685</v>
      </c>
      <c r="V1292">
        <v>0.6</v>
      </c>
      <c r="W1292" t="s">
        <v>17</v>
      </c>
      <c r="X1292" t="s">
        <v>3918</v>
      </c>
      <c r="Z1292">
        <v>116</v>
      </c>
      <c r="AA1292">
        <v>116</v>
      </c>
      <c r="AB1292" t="s">
        <v>11372</v>
      </c>
      <c r="AC1292" t="s">
        <v>1473</v>
      </c>
      <c r="AD1292" t="s">
        <v>1473</v>
      </c>
      <c r="AE1292" t="s">
        <v>9251</v>
      </c>
      <c r="AF1292" s="4"/>
    </row>
    <row r="1293" spans="2:32">
      <c r="B1293" t="s">
        <v>9366</v>
      </c>
      <c r="C1293" t="s">
        <v>5798</v>
      </c>
      <c r="D1293" t="s">
        <v>54</v>
      </c>
      <c r="E1293" t="s">
        <v>11279</v>
      </c>
      <c r="F1293" t="s">
        <v>5796</v>
      </c>
      <c r="G1293">
        <v>77211</v>
      </c>
      <c r="I1293">
        <v>77211</v>
      </c>
      <c r="K1293" s="4">
        <v>45464</v>
      </c>
      <c r="L1293" s="4">
        <v>45464</v>
      </c>
      <c r="M1293">
        <v>2024</v>
      </c>
      <c r="N1293">
        <v>6</v>
      </c>
      <c r="O1293" s="4">
        <v>45444</v>
      </c>
      <c r="P1293" t="s">
        <v>1848</v>
      </c>
      <c r="Q1293" s="4"/>
      <c r="S1293" t="s">
        <v>5797</v>
      </c>
      <c r="T1293">
        <v>45551</v>
      </c>
      <c r="U1293">
        <v>128685</v>
      </c>
      <c r="V1293">
        <v>0.6</v>
      </c>
      <c r="W1293" t="s">
        <v>17</v>
      </c>
      <c r="X1293" t="s">
        <v>3918</v>
      </c>
      <c r="Z1293">
        <v>88</v>
      </c>
      <c r="AA1293">
        <v>88</v>
      </c>
      <c r="AB1293" t="s">
        <v>11372</v>
      </c>
      <c r="AC1293" t="s">
        <v>1473</v>
      </c>
      <c r="AD1293" t="s">
        <v>1473</v>
      </c>
      <c r="AE1293" t="s">
        <v>9251</v>
      </c>
      <c r="AF1293" s="4"/>
    </row>
    <row r="1294" spans="2:32">
      <c r="B1294" t="s">
        <v>9366</v>
      </c>
      <c r="C1294" t="s">
        <v>5804</v>
      </c>
      <c r="D1294" t="s">
        <v>54</v>
      </c>
      <c r="E1294" t="s">
        <v>11286</v>
      </c>
      <c r="F1294" t="s">
        <v>5802</v>
      </c>
      <c r="G1294">
        <v>77211</v>
      </c>
      <c r="I1294">
        <v>77211</v>
      </c>
      <c r="K1294" s="4">
        <v>45429</v>
      </c>
      <c r="L1294" s="4">
        <v>45429</v>
      </c>
      <c r="M1294">
        <v>2024</v>
      </c>
      <c r="N1294">
        <v>5</v>
      </c>
      <c r="O1294" s="4">
        <v>45413</v>
      </c>
      <c r="P1294" t="s">
        <v>1848</v>
      </c>
      <c r="Q1294" s="4"/>
      <c r="S1294" t="s">
        <v>5803</v>
      </c>
      <c r="T1294">
        <v>45551</v>
      </c>
      <c r="U1294">
        <v>128685</v>
      </c>
      <c r="V1294">
        <v>0.6</v>
      </c>
      <c r="W1294" t="s">
        <v>17</v>
      </c>
      <c r="X1294" t="s">
        <v>3918</v>
      </c>
      <c r="Z1294">
        <v>123</v>
      </c>
      <c r="AA1294">
        <v>123</v>
      </c>
      <c r="AB1294" t="s">
        <v>11372</v>
      </c>
      <c r="AC1294" t="s">
        <v>1473</v>
      </c>
      <c r="AD1294" t="s">
        <v>1473</v>
      </c>
      <c r="AE1294" t="s">
        <v>9251</v>
      </c>
      <c r="AF1294" s="4"/>
    </row>
    <row r="1295" spans="2:32">
      <c r="B1295" t="s">
        <v>9366</v>
      </c>
      <c r="C1295" t="s">
        <v>5807</v>
      </c>
      <c r="D1295" t="s">
        <v>54</v>
      </c>
      <c r="E1295" t="s">
        <v>11289</v>
      </c>
      <c r="F1295" t="s">
        <v>5805</v>
      </c>
      <c r="G1295">
        <v>101947.5</v>
      </c>
      <c r="I1295">
        <v>101947.5</v>
      </c>
      <c r="K1295" s="4">
        <v>45412</v>
      </c>
      <c r="L1295" s="4">
        <v>45412</v>
      </c>
      <c r="M1295">
        <v>2024</v>
      </c>
      <c r="N1295">
        <v>4</v>
      </c>
      <c r="O1295" s="4">
        <v>45383</v>
      </c>
      <c r="P1295" t="s">
        <v>1848</v>
      </c>
      <c r="Q1295" s="4"/>
      <c r="S1295" t="s">
        <v>5806</v>
      </c>
      <c r="T1295">
        <v>45551</v>
      </c>
      <c r="U1295">
        <v>169912.5</v>
      </c>
      <c r="V1295">
        <v>0.6</v>
      </c>
      <c r="W1295" t="s">
        <v>17</v>
      </c>
      <c r="X1295" t="s">
        <v>3918</v>
      </c>
      <c r="Z1295">
        <v>140</v>
      </c>
      <c r="AA1295">
        <v>140</v>
      </c>
      <c r="AB1295" t="s">
        <v>11373</v>
      </c>
      <c r="AC1295" t="s">
        <v>1473</v>
      </c>
      <c r="AD1295" t="s">
        <v>1473</v>
      </c>
      <c r="AE1295" t="s">
        <v>9251</v>
      </c>
      <c r="AF1295" s="4"/>
    </row>
    <row r="1296" spans="2:32">
      <c r="B1296" t="s">
        <v>9366</v>
      </c>
      <c r="C1296" t="s">
        <v>5814</v>
      </c>
      <c r="D1296" t="s">
        <v>54</v>
      </c>
      <c r="E1296" t="s">
        <v>11374</v>
      </c>
      <c r="F1296" t="s">
        <v>5812</v>
      </c>
      <c r="G1296">
        <v>165784.82</v>
      </c>
      <c r="I1296">
        <v>165784.82</v>
      </c>
      <c r="K1296" s="4">
        <v>45412</v>
      </c>
      <c r="L1296" s="4">
        <v>45412</v>
      </c>
      <c r="M1296">
        <v>2024</v>
      </c>
      <c r="N1296">
        <v>4</v>
      </c>
      <c r="O1296" s="4">
        <v>45383</v>
      </c>
      <c r="P1296" t="s">
        <v>1848</v>
      </c>
      <c r="Q1296" s="4"/>
      <c r="S1296" t="s">
        <v>5813</v>
      </c>
      <c r="T1296">
        <v>45551</v>
      </c>
      <c r="U1296">
        <v>165784.82</v>
      </c>
      <c r="V1296">
        <v>1</v>
      </c>
      <c r="W1296" t="s">
        <v>17</v>
      </c>
      <c r="X1296" t="s">
        <v>3918</v>
      </c>
      <c r="Z1296">
        <v>140</v>
      </c>
      <c r="AA1296">
        <v>140</v>
      </c>
      <c r="AB1296" t="s">
        <v>11373</v>
      </c>
      <c r="AC1296" t="s">
        <v>1473</v>
      </c>
      <c r="AD1296" t="s">
        <v>1473</v>
      </c>
      <c r="AE1296" t="s">
        <v>9251</v>
      </c>
      <c r="AF1296" s="4"/>
    </row>
    <row r="1297" spans="2:34">
      <c r="B1297" t="s">
        <v>9366</v>
      </c>
      <c r="C1297" t="s">
        <v>5822</v>
      </c>
      <c r="D1297" t="s">
        <v>54</v>
      </c>
      <c r="E1297" t="s">
        <v>11297</v>
      </c>
      <c r="F1297" t="s">
        <v>5819</v>
      </c>
      <c r="G1297">
        <v>140102.03</v>
      </c>
      <c r="I1297">
        <v>140102.03</v>
      </c>
      <c r="K1297" s="4">
        <v>45412</v>
      </c>
      <c r="L1297" s="4">
        <v>45412</v>
      </c>
      <c r="M1297">
        <v>2024</v>
      </c>
      <c r="N1297">
        <v>4</v>
      </c>
      <c r="O1297" s="4">
        <v>45383</v>
      </c>
      <c r="P1297" t="s">
        <v>1848</v>
      </c>
      <c r="Q1297" s="4"/>
      <c r="S1297" t="s">
        <v>5821</v>
      </c>
      <c r="T1297">
        <v>45551</v>
      </c>
      <c r="U1297">
        <v>233503.39</v>
      </c>
      <c r="V1297">
        <v>0.59999998286962763</v>
      </c>
      <c r="W1297" t="s">
        <v>17</v>
      </c>
      <c r="X1297" t="s">
        <v>3918</v>
      </c>
      <c r="Z1297">
        <v>140</v>
      </c>
      <c r="AA1297">
        <v>140</v>
      </c>
      <c r="AB1297" t="s">
        <v>11375</v>
      </c>
      <c r="AC1297" t="s">
        <v>1473</v>
      </c>
      <c r="AD1297" t="s">
        <v>1473</v>
      </c>
      <c r="AE1297" t="s">
        <v>9251</v>
      </c>
      <c r="AF1297" s="4"/>
    </row>
    <row r="1298" spans="2:34">
      <c r="B1298" t="s">
        <v>9366</v>
      </c>
      <c r="C1298" t="s">
        <v>4075</v>
      </c>
      <c r="D1298" t="s">
        <v>54</v>
      </c>
      <c r="E1298">
        <v>4590013438</v>
      </c>
      <c r="F1298" t="s">
        <v>4071</v>
      </c>
      <c r="G1298">
        <v>8784.0300000000007</v>
      </c>
      <c r="I1298">
        <v>8784.0300000000007</v>
      </c>
      <c r="K1298" s="4">
        <v>45498</v>
      </c>
      <c r="L1298" s="4">
        <v>45498</v>
      </c>
      <c r="M1298">
        <v>2024</v>
      </c>
      <c r="N1298">
        <v>7</v>
      </c>
      <c r="O1298" s="4">
        <v>45474</v>
      </c>
      <c r="P1298" t="s">
        <v>1473</v>
      </c>
      <c r="Q1298" s="4"/>
      <c r="S1298" t="s">
        <v>11376</v>
      </c>
      <c r="T1298">
        <v>45551</v>
      </c>
      <c r="U1298">
        <v>8784.0300000000007</v>
      </c>
      <c r="V1298">
        <v>1</v>
      </c>
      <c r="W1298" t="s">
        <v>17</v>
      </c>
      <c r="X1298" t="s">
        <v>3770</v>
      </c>
      <c r="Z1298">
        <v>54</v>
      </c>
      <c r="AA1298">
        <v>54</v>
      </c>
      <c r="AB1298" t="s">
        <v>11377</v>
      </c>
      <c r="AC1298" t="s">
        <v>1473</v>
      </c>
      <c r="AE1298" t="s">
        <v>9251</v>
      </c>
      <c r="AF1298" s="4"/>
    </row>
    <row r="1299" spans="2:34">
      <c r="B1299" t="s">
        <v>9366</v>
      </c>
      <c r="C1299" t="s">
        <v>4099</v>
      </c>
      <c r="D1299" t="s">
        <v>54</v>
      </c>
      <c r="E1299">
        <v>4590013950</v>
      </c>
      <c r="F1299" t="s">
        <v>4097</v>
      </c>
      <c r="G1299">
        <v>32208.11</v>
      </c>
      <c r="I1299">
        <v>32208.11</v>
      </c>
      <c r="K1299" s="4">
        <v>45498</v>
      </c>
      <c r="L1299" s="4">
        <v>45498</v>
      </c>
      <c r="M1299">
        <v>2024</v>
      </c>
      <c r="N1299">
        <v>7</v>
      </c>
      <c r="O1299" s="4">
        <v>45474</v>
      </c>
      <c r="P1299" t="s">
        <v>1473</v>
      </c>
      <c r="Q1299" s="4"/>
      <c r="S1299" t="s">
        <v>11378</v>
      </c>
      <c r="T1299">
        <v>45551</v>
      </c>
      <c r="U1299">
        <v>32208.11</v>
      </c>
      <c r="V1299">
        <v>1</v>
      </c>
      <c r="W1299" t="s">
        <v>17</v>
      </c>
      <c r="X1299" t="s">
        <v>3770</v>
      </c>
      <c r="Z1299">
        <v>54</v>
      </c>
      <c r="AA1299">
        <v>54</v>
      </c>
      <c r="AB1299" t="s">
        <v>11379</v>
      </c>
      <c r="AC1299" t="s">
        <v>1473</v>
      </c>
      <c r="AE1299" t="s">
        <v>9251</v>
      </c>
      <c r="AF1299" s="4"/>
    </row>
    <row r="1300" spans="2:34">
      <c r="B1300" t="s">
        <v>9366</v>
      </c>
      <c r="C1300" t="s">
        <v>4152</v>
      </c>
      <c r="D1300" t="s">
        <v>54</v>
      </c>
      <c r="E1300">
        <v>4590014282</v>
      </c>
      <c r="F1300" t="s">
        <v>4147</v>
      </c>
      <c r="G1300">
        <v>2492</v>
      </c>
      <c r="I1300">
        <v>2492</v>
      </c>
      <c r="K1300" s="4">
        <v>45441</v>
      </c>
      <c r="L1300" s="4">
        <v>45441</v>
      </c>
      <c r="M1300">
        <v>2024</v>
      </c>
      <c r="N1300">
        <v>5</v>
      </c>
      <c r="O1300" s="4">
        <v>45413</v>
      </c>
      <c r="P1300" t="s">
        <v>1848</v>
      </c>
      <c r="Q1300" s="4"/>
      <c r="R1300" t="s">
        <v>11380</v>
      </c>
      <c r="S1300" t="s">
        <v>4150</v>
      </c>
      <c r="T1300">
        <v>45551</v>
      </c>
      <c r="U1300">
        <v>5449</v>
      </c>
      <c r="V1300">
        <v>0.45733162048082215</v>
      </c>
      <c r="W1300" t="s">
        <v>17</v>
      </c>
      <c r="X1300" t="s">
        <v>3665</v>
      </c>
      <c r="Z1300">
        <v>111</v>
      </c>
      <c r="AA1300">
        <v>111</v>
      </c>
      <c r="AB1300" t="s">
        <v>11304</v>
      </c>
      <c r="AC1300" t="s">
        <v>1848</v>
      </c>
      <c r="AD1300" t="s">
        <v>1473</v>
      </c>
      <c r="AE1300" t="s">
        <v>9251</v>
      </c>
      <c r="AF1300" s="4"/>
    </row>
    <row r="1301" spans="2:34">
      <c r="B1301" t="s">
        <v>9366</v>
      </c>
      <c r="C1301" t="s">
        <v>4157</v>
      </c>
      <c r="D1301" t="s">
        <v>54</v>
      </c>
      <c r="E1301">
        <v>4590014334</v>
      </c>
      <c r="F1301" t="s">
        <v>4154</v>
      </c>
      <c r="G1301">
        <v>2865.41</v>
      </c>
      <c r="I1301">
        <v>2865.41</v>
      </c>
      <c r="K1301" s="4">
        <v>45534</v>
      </c>
      <c r="L1301" s="4">
        <v>45534</v>
      </c>
      <c r="O1301" s="4"/>
      <c r="P1301" t="s">
        <v>1848</v>
      </c>
      <c r="Q1301" s="4"/>
      <c r="S1301" t="s">
        <v>3273</v>
      </c>
      <c r="T1301">
        <v>45551</v>
      </c>
      <c r="U1301">
        <v>2865.41</v>
      </c>
      <c r="V1301">
        <v>1</v>
      </c>
      <c r="W1301" t="s">
        <v>17</v>
      </c>
      <c r="X1301" t="s">
        <v>3828</v>
      </c>
      <c r="Z1301">
        <v>18</v>
      </c>
      <c r="AA1301">
        <v>18</v>
      </c>
      <c r="AB1301" t="s">
        <v>11381</v>
      </c>
      <c r="AE1301" t="s">
        <v>9251</v>
      </c>
      <c r="AF1301" s="4"/>
      <c r="AH1301" t="s">
        <v>2196</v>
      </c>
    </row>
    <row r="1302" spans="2:34">
      <c r="B1302" t="s">
        <v>9366</v>
      </c>
      <c r="C1302" t="s">
        <v>4204</v>
      </c>
      <c r="D1302" t="s">
        <v>54</v>
      </c>
      <c r="E1302">
        <v>4590015917</v>
      </c>
      <c r="F1302" t="s">
        <v>4201</v>
      </c>
      <c r="G1302">
        <v>11064</v>
      </c>
      <c r="I1302">
        <v>11064</v>
      </c>
      <c r="K1302" s="4">
        <v>45534</v>
      </c>
      <c r="L1302" s="4">
        <v>45534</v>
      </c>
      <c r="O1302" s="4"/>
      <c r="P1302" t="s">
        <v>1473</v>
      </c>
      <c r="Q1302" s="4"/>
      <c r="S1302" t="s">
        <v>3892</v>
      </c>
      <c r="T1302">
        <v>45551</v>
      </c>
      <c r="U1302">
        <v>11064</v>
      </c>
      <c r="V1302">
        <v>1</v>
      </c>
      <c r="W1302" t="s">
        <v>17</v>
      </c>
      <c r="X1302" t="s">
        <v>2250</v>
      </c>
      <c r="Z1302">
        <v>18</v>
      </c>
      <c r="AA1302">
        <v>18</v>
      </c>
      <c r="AB1302" t="s">
        <v>11382</v>
      </c>
      <c r="AE1302" t="s">
        <v>9251</v>
      </c>
      <c r="AF1302" s="4"/>
      <c r="AH1302" t="s">
        <v>2196</v>
      </c>
    </row>
    <row r="1303" spans="2:34">
      <c r="B1303" t="s">
        <v>9366</v>
      </c>
      <c r="C1303" t="s">
        <v>5919</v>
      </c>
      <c r="D1303" t="s">
        <v>54</v>
      </c>
      <c r="E1303">
        <v>4590017571</v>
      </c>
      <c r="F1303" t="s">
        <v>5914</v>
      </c>
      <c r="G1303">
        <v>1995.28</v>
      </c>
      <c r="I1303">
        <v>1995.28</v>
      </c>
      <c r="K1303" s="4">
        <v>45534</v>
      </c>
      <c r="L1303" s="4">
        <v>45534</v>
      </c>
      <c r="O1303" s="4"/>
      <c r="P1303" t="s">
        <v>1473</v>
      </c>
      <c r="Q1303" s="4"/>
      <c r="S1303" t="s">
        <v>5877</v>
      </c>
      <c r="T1303">
        <v>45551</v>
      </c>
      <c r="U1303">
        <v>1995.28</v>
      </c>
      <c r="V1303">
        <v>1</v>
      </c>
      <c r="W1303" t="s">
        <v>17</v>
      </c>
      <c r="X1303" t="s">
        <v>4102</v>
      </c>
      <c r="Z1303">
        <v>18</v>
      </c>
      <c r="AA1303">
        <v>18</v>
      </c>
      <c r="AB1303" t="s">
        <v>11383</v>
      </c>
      <c r="AE1303" t="s">
        <v>9251</v>
      </c>
      <c r="AF1303" s="4"/>
      <c r="AH1303" t="s">
        <v>2196</v>
      </c>
    </row>
    <row r="1304" spans="2:34">
      <c r="B1304" t="s">
        <v>9366</v>
      </c>
      <c r="C1304" t="s">
        <v>4445</v>
      </c>
      <c r="D1304" t="s">
        <v>54</v>
      </c>
      <c r="E1304" t="s">
        <v>9913</v>
      </c>
      <c r="F1304" t="s">
        <v>4443</v>
      </c>
      <c r="G1304">
        <v>7446.5999999999995</v>
      </c>
      <c r="I1304">
        <v>7446.5999999999995</v>
      </c>
      <c r="K1304" s="4">
        <v>45520</v>
      </c>
      <c r="L1304" s="4">
        <v>45520</v>
      </c>
      <c r="M1304">
        <v>2024</v>
      </c>
      <c r="N1304">
        <v>8</v>
      </c>
      <c r="O1304" s="4">
        <v>45505</v>
      </c>
      <c r="P1304" t="s">
        <v>625</v>
      </c>
      <c r="Q1304" s="4"/>
      <c r="S1304" t="s">
        <v>3533</v>
      </c>
      <c r="T1304">
        <v>45541</v>
      </c>
      <c r="U1304">
        <v>12411</v>
      </c>
      <c r="V1304">
        <v>0.6</v>
      </c>
      <c r="W1304" t="s">
        <v>16</v>
      </c>
      <c r="X1304" t="s">
        <v>3681</v>
      </c>
      <c r="Z1304">
        <v>32</v>
      </c>
      <c r="AA1304">
        <v>32</v>
      </c>
      <c r="AB1304" t="s">
        <v>9471</v>
      </c>
      <c r="AE1304" t="s">
        <v>9251</v>
      </c>
      <c r="AF1304" s="4"/>
    </row>
    <row r="1305" spans="2:34">
      <c r="B1305" t="s">
        <v>9366</v>
      </c>
      <c r="C1305" t="s">
        <v>4449</v>
      </c>
      <c r="D1305" t="s">
        <v>54</v>
      </c>
      <c r="E1305" t="s">
        <v>9915</v>
      </c>
      <c r="F1305" t="s">
        <v>4448</v>
      </c>
      <c r="G1305">
        <v>7446.5999999999995</v>
      </c>
      <c r="I1305">
        <v>7446.5999999999995</v>
      </c>
      <c r="K1305" s="4">
        <v>45520</v>
      </c>
      <c r="L1305" s="4">
        <v>45520</v>
      </c>
      <c r="M1305">
        <v>2024</v>
      </c>
      <c r="N1305">
        <v>8</v>
      </c>
      <c r="O1305" s="4">
        <v>45505</v>
      </c>
      <c r="P1305" t="s">
        <v>625</v>
      </c>
      <c r="Q1305" s="4"/>
      <c r="S1305" t="s">
        <v>3515</v>
      </c>
      <c r="T1305">
        <v>45541</v>
      </c>
      <c r="U1305">
        <v>12411</v>
      </c>
      <c r="V1305">
        <v>0.6</v>
      </c>
      <c r="W1305" t="s">
        <v>16</v>
      </c>
      <c r="X1305" t="s">
        <v>3681</v>
      </c>
      <c r="Z1305">
        <v>32</v>
      </c>
      <c r="AA1305">
        <v>32</v>
      </c>
      <c r="AB1305" t="s">
        <v>9471</v>
      </c>
      <c r="AE1305" t="s">
        <v>9251</v>
      </c>
      <c r="AF1305" s="4"/>
    </row>
    <row r="1306" spans="2:34">
      <c r="B1306" t="s">
        <v>9366</v>
      </c>
      <c r="C1306" t="s">
        <v>5958</v>
      </c>
      <c r="D1306" t="s">
        <v>54</v>
      </c>
      <c r="E1306">
        <v>4590017678</v>
      </c>
      <c r="F1306" t="s">
        <v>5953</v>
      </c>
      <c r="G1306">
        <v>2871.85</v>
      </c>
      <c r="I1306">
        <v>2871.85</v>
      </c>
      <c r="K1306" s="4">
        <v>45534</v>
      </c>
      <c r="L1306" s="4">
        <v>45534</v>
      </c>
      <c r="O1306" s="4"/>
      <c r="P1306" t="s">
        <v>837</v>
      </c>
      <c r="Q1306" s="4"/>
      <c r="R1306" t="s">
        <v>11384</v>
      </c>
      <c r="S1306" t="s">
        <v>3273</v>
      </c>
      <c r="T1306">
        <v>45551</v>
      </c>
      <c r="U1306">
        <v>2871.85</v>
      </c>
      <c r="V1306">
        <v>1</v>
      </c>
      <c r="W1306" t="s">
        <v>17</v>
      </c>
      <c r="X1306" t="s">
        <v>3828</v>
      </c>
      <c r="Z1306">
        <v>18</v>
      </c>
      <c r="AA1306">
        <v>18</v>
      </c>
      <c r="AB1306" t="s">
        <v>11385</v>
      </c>
      <c r="AE1306" t="s">
        <v>9251</v>
      </c>
      <c r="AF1306" s="4"/>
      <c r="AH1306" t="s">
        <v>2196</v>
      </c>
    </row>
    <row r="1307" spans="2:34">
      <c r="B1307" t="s">
        <v>9366</v>
      </c>
      <c r="C1307" t="s">
        <v>4794</v>
      </c>
      <c r="D1307" t="s">
        <v>54</v>
      </c>
      <c r="E1307" t="s">
        <v>11386</v>
      </c>
      <c r="F1307" t="s">
        <v>4793</v>
      </c>
      <c r="I1307">
        <v>0</v>
      </c>
      <c r="K1307" s="4">
        <v>45520</v>
      </c>
      <c r="L1307" s="4">
        <v>45520</v>
      </c>
      <c r="M1307">
        <v>2024</v>
      </c>
      <c r="N1307">
        <v>8</v>
      </c>
      <c r="O1307" s="4">
        <v>45505</v>
      </c>
      <c r="Q1307" s="4"/>
      <c r="R1307" t="s">
        <v>4795</v>
      </c>
      <c r="S1307" t="s">
        <v>3118</v>
      </c>
      <c r="T1307">
        <v>45526</v>
      </c>
      <c r="W1307" t="s">
        <v>16</v>
      </c>
      <c r="X1307" t="s">
        <v>4784</v>
      </c>
      <c r="AB1307" t="s">
        <v>11387</v>
      </c>
      <c r="AE1307" t="s">
        <v>3652</v>
      </c>
      <c r="AF1307" s="4"/>
    </row>
    <row r="1308" spans="2:34">
      <c r="B1308" t="s">
        <v>9366</v>
      </c>
      <c r="C1308" t="s">
        <v>4797</v>
      </c>
      <c r="D1308" t="s">
        <v>54</v>
      </c>
      <c r="E1308" t="s">
        <v>11388</v>
      </c>
      <c r="F1308" t="s">
        <v>4796</v>
      </c>
      <c r="I1308">
        <v>0</v>
      </c>
      <c r="K1308" s="4">
        <v>45520</v>
      </c>
      <c r="L1308" s="4">
        <v>45520</v>
      </c>
      <c r="M1308">
        <v>2024</v>
      </c>
      <c r="N1308">
        <v>8</v>
      </c>
      <c r="O1308" s="4">
        <v>45505</v>
      </c>
      <c r="Q1308" s="4"/>
      <c r="R1308" t="s">
        <v>4795</v>
      </c>
      <c r="S1308" t="s">
        <v>3119</v>
      </c>
      <c r="T1308">
        <v>45526</v>
      </c>
      <c r="W1308" t="s">
        <v>16</v>
      </c>
      <c r="X1308" t="s">
        <v>4784</v>
      </c>
      <c r="AB1308" t="s">
        <v>11387</v>
      </c>
      <c r="AE1308" t="s">
        <v>3652</v>
      </c>
      <c r="AF1308" s="4"/>
    </row>
    <row r="1309" spans="2:34">
      <c r="B1309" t="s">
        <v>9366</v>
      </c>
      <c r="C1309" t="s">
        <v>4799</v>
      </c>
      <c r="D1309" t="s">
        <v>54</v>
      </c>
      <c r="E1309" t="s">
        <v>11389</v>
      </c>
      <c r="F1309" t="s">
        <v>4798</v>
      </c>
      <c r="I1309">
        <v>0</v>
      </c>
      <c r="K1309" s="4">
        <v>45520</v>
      </c>
      <c r="L1309" s="4">
        <v>45520</v>
      </c>
      <c r="M1309">
        <v>2024</v>
      </c>
      <c r="N1309">
        <v>8</v>
      </c>
      <c r="O1309" s="4">
        <v>45505</v>
      </c>
      <c r="Q1309" s="4"/>
      <c r="R1309" t="s">
        <v>4795</v>
      </c>
      <c r="S1309" t="s">
        <v>3120</v>
      </c>
      <c r="T1309">
        <v>45526</v>
      </c>
      <c r="W1309" t="s">
        <v>16</v>
      </c>
      <c r="X1309" t="s">
        <v>4784</v>
      </c>
      <c r="AB1309" t="s">
        <v>11387</v>
      </c>
      <c r="AE1309" t="s">
        <v>3652</v>
      </c>
      <c r="AF1309" s="4"/>
    </row>
    <row r="1310" spans="2:34">
      <c r="B1310" t="s">
        <v>9366</v>
      </c>
      <c r="C1310" t="s">
        <v>4801</v>
      </c>
      <c r="D1310" t="s">
        <v>54</v>
      </c>
      <c r="E1310" t="s">
        <v>11390</v>
      </c>
      <c r="F1310" t="s">
        <v>4800</v>
      </c>
      <c r="I1310">
        <v>0</v>
      </c>
      <c r="K1310" s="4">
        <v>45520</v>
      </c>
      <c r="L1310" s="4">
        <v>45520</v>
      </c>
      <c r="M1310">
        <v>2024</v>
      </c>
      <c r="N1310">
        <v>8</v>
      </c>
      <c r="O1310" s="4">
        <v>45505</v>
      </c>
      <c r="Q1310" s="4"/>
      <c r="R1310" t="s">
        <v>4795</v>
      </c>
      <c r="S1310" t="s">
        <v>3121</v>
      </c>
      <c r="T1310">
        <v>45526</v>
      </c>
      <c r="W1310" t="s">
        <v>16</v>
      </c>
      <c r="X1310" t="s">
        <v>4784</v>
      </c>
      <c r="AB1310" t="s">
        <v>11387</v>
      </c>
      <c r="AE1310" t="s">
        <v>3652</v>
      </c>
      <c r="AF1310" s="4"/>
    </row>
    <row r="1311" spans="2:34">
      <c r="B1311" t="s">
        <v>9366</v>
      </c>
      <c r="C1311" t="s">
        <v>5978</v>
      </c>
      <c r="D1311" t="s">
        <v>54</v>
      </c>
      <c r="E1311">
        <v>4590017868</v>
      </c>
      <c r="F1311" t="s">
        <v>5972</v>
      </c>
      <c r="G1311">
        <v>2276.75</v>
      </c>
      <c r="I1311">
        <v>2276.75</v>
      </c>
      <c r="K1311" s="4">
        <v>45534</v>
      </c>
      <c r="L1311" s="4">
        <v>45534</v>
      </c>
      <c r="O1311" s="4"/>
      <c r="P1311" t="s">
        <v>1473</v>
      </c>
      <c r="Q1311" s="4"/>
      <c r="S1311" t="s">
        <v>2815</v>
      </c>
      <c r="T1311">
        <v>45551</v>
      </c>
      <c r="U1311">
        <v>2276.75</v>
      </c>
      <c r="V1311">
        <v>1</v>
      </c>
      <c r="W1311" t="s">
        <v>17</v>
      </c>
      <c r="X1311" t="s">
        <v>4109</v>
      </c>
      <c r="Z1311">
        <v>18</v>
      </c>
      <c r="AA1311">
        <v>18</v>
      </c>
      <c r="AB1311" t="s">
        <v>11391</v>
      </c>
      <c r="AE1311" t="s">
        <v>9251</v>
      </c>
      <c r="AF1311" s="4"/>
      <c r="AH1311" t="s">
        <v>2196</v>
      </c>
    </row>
    <row r="1312" spans="2:34">
      <c r="B1312" t="s">
        <v>9366</v>
      </c>
      <c r="C1312" t="s">
        <v>5983</v>
      </c>
      <c r="D1312" t="s">
        <v>54</v>
      </c>
      <c r="E1312">
        <v>4590017870</v>
      </c>
      <c r="F1312" t="s">
        <v>5979</v>
      </c>
      <c r="G1312">
        <v>1668.65</v>
      </c>
      <c r="I1312">
        <v>1668.65</v>
      </c>
      <c r="K1312" s="4">
        <v>45534</v>
      </c>
      <c r="L1312" s="4">
        <v>45534</v>
      </c>
      <c r="O1312" s="4"/>
      <c r="P1312" t="s">
        <v>1473</v>
      </c>
      <c r="Q1312" s="4"/>
      <c r="S1312" t="s">
        <v>2813</v>
      </c>
      <c r="T1312">
        <v>45551</v>
      </c>
      <c r="U1312">
        <v>1668.65</v>
      </c>
      <c r="V1312">
        <v>1</v>
      </c>
      <c r="W1312" t="s">
        <v>17</v>
      </c>
      <c r="X1312" t="s">
        <v>4109</v>
      </c>
      <c r="Z1312">
        <v>18</v>
      </c>
      <c r="AA1312">
        <v>18</v>
      </c>
      <c r="AB1312" t="s">
        <v>11392</v>
      </c>
      <c r="AE1312" t="s">
        <v>9251</v>
      </c>
      <c r="AF1312" s="4"/>
      <c r="AH1312" t="s">
        <v>2196</v>
      </c>
    </row>
    <row r="1313" spans="2:34">
      <c r="B1313" t="s">
        <v>9366</v>
      </c>
      <c r="C1313" t="s">
        <v>4890</v>
      </c>
      <c r="D1313" t="s">
        <v>54</v>
      </c>
      <c r="E1313" t="s">
        <v>11393</v>
      </c>
      <c r="F1313" t="s">
        <v>4889</v>
      </c>
      <c r="G1313">
        <v>1039.5999999999999</v>
      </c>
      <c r="I1313">
        <v>1039.5999999999999</v>
      </c>
      <c r="K1313" s="4">
        <v>45520</v>
      </c>
      <c r="L1313" s="4">
        <v>45520</v>
      </c>
      <c r="M1313">
        <v>2024</v>
      </c>
      <c r="N1313">
        <v>8</v>
      </c>
      <c r="O1313" s="4">
        <v>45505</v>
      </c>
      <c r="P1313" t="s">
        <v>837</v>
      </c>
      <c r="Q1313" s="4"/>
      <c r="R1313" t="s">
        <v>11394</v>
      </c>
      <c r="S1313" t="s">
        <v>3092</v>
      </c>
      <c r="T1313">
        <v>45541</v>
      </c>
      <c r="U1313">
        <v>1039.5999999999999</v>
      </c>
      <c r="V1313">
        <v>1</v>
      </c>
      <c r="W1313" t="s">
        <v>16</v>
      </c>
      <c r="X1313" t="s">
        <v>3770</v>
      </c>
      <c r="Z1313">
        <v>32</v>
      </c>
      <c r="AA1313">
        <v>32</v>
      </c>
      <c r="AB1313" t="s">
        <v>11332</v>
      </c>
      <c r="AE1313" t="s">
        <v>9251</v>
      </c>
      <c r="AF1313" s="4"/>
    </row>
    <row r="1314" spans="2:34">
      <c r="B1314" t="s">
        <v>9366</v>
      </c>
      <c r="C1314" t="s">
        <v>5988</v>
      </c>
      <c r="D1314" t="s">
        <v>54</v>
      </c>
      <c r="E1314">
        <v>4590017871</v>
      </c>
      <c r="F1314" t="s">
        <v>5984</v>
      </c>
      <c r="G1314">
        <v>6007.41</v>
      </c>
      <c r="I1314">
        <v>6007.41</v>
      </c>
      <c r="K1314" s="4">
        <v>45534</v>
      </c>
      <c r="L1314" s="4">
        <v>45534</v>
      </c>
      <c r="O1314" s="4"/>
      <c r="P1314" t="s">
        <v>1473</v>
      </c>
      <c r="Q1314" s="4"/>
      <c r="S1314" t="s">
        <v>3201</v>
      </c>
      <c r="T1314">
        <v>45551</v>
      </c>
      <c r="U1314">
        <v>6007.41</v>
      </c>
      <c r="V1314">
        <v>1</v>
      </c>
      <c r="W1314" t="s">
        <v>17</v>
      </c>
      <c r="X1314" t="s">
        <v>4109</v>
      </c>
      <c r="Z1314">
        <v>18</v>
      </c>
      <c r="AA1314">
        <v>18</v>
      </c>
      <c r="AB1314" t="s">
        <v>11395</v>
      </c>
      <c r="AE1314" t="s">
        <v>9251</v>
      </c>
      <c r="AF1314" s="4"/>
      <c r="AH1314" t="s">
        <v>2196</v>
      </c>
    </row>
    <row r="1315" spans="2:34">
      <c r="B1315" t="s">
        <v>9366</v>
      </c>
      <c r="C1315" t="s">
        <v>6004</v>
      </c>
      <c r="D1315" t="s">
        <v>54</v>
      </c>
      <c r="E1315">
        <v>4590017877</v>
      </c>
      <c r="F1315" t="s">
        <v>6000</v>
      </c>
      <c r="G1315">
        <v>2970</v>
      </c>
      <c r="I1315">
        <v>2970</v>
      </c>
      <c r="K1315" s="4">
        <v>45464</v>
      </c>
      <c r="L1315" s="4">
        <v>45464</v>
      </c>
      <c r="M1315">
        <v>2024</v>
      </c>
      <c r="N1315">
        <v>6</v>
      </c>
      <c r="O1315" s="4">
        <v>45444</v>
      </c>
      <c r="P1315" t="s">
        <v>1848</v>
      </c>
      <c r="Q1315" s="4"/>
      <c r="S1315" t="s">
        <v>5797</v>
      </c>
      <c r="T1315">
        <v>45551</v>
      </c>
      <c r="U1315">
        <v>2970</v>
      </c>
      <c r="V1315">
        <v>1</v>
      </c>
      <c r="W1315" t="s">
        <v>17</v>
      </c>
      <c r="X1315" t="s">
        <v>3918</v>
      </c>
      <c r="Z1315">
        <v>88</v>
      </c>
      <c r="AA1315">
        <v>88</v>
      </c>
      <c r="AB1315" t="s">
        <v>11396</v>
      </c>
      <c r="AC1315" t="s">
        <v>1848</v>
      </c>
      <c r="AD1315" t="s">
        <v>1848</v>
      </c>
      <c r="AE1315" t="s">
        <v>3652</v>
      </c>
      <c r="AF1315" s="4"/>
    </row>
    <row r="1316" spans="2:34">
      <c r="B1316" t="s">
        <v>9366</v>
      </c>
      <c r="C1316" t="s">
        <v>6028</v>
      </c>
      <c r="D1316" t="s">
        <v>54</v>
      </c>
      <c r="E1316">
        <v>4590018008</v>
      </c>
      <c r="F1316" t="s">
        <v>6023</v>
      </c>
      <c r="G1316">
        <v>11251.93</v>
      </c>
      <c r="I1316">
        <v>11251.93</v>
      </c>
      <c r="K1316" s="4">
        <v>45534</v>
      </c>
      <c r="L1316" s="4">
        <v>45534</v>
      </c>
      <c r="O1316" s="4"/>
      <c r="P1316" t="s">
        <v>625</v>
      </c>
      <c r="Q1316" s="4"/>
      <c r="S1316" t="s">
        <v>5307</v>
      </c>
      <c r="T1316">
        <v>45551</v>
      </c>
      <c r="U1316">
        <v>11251.93</v>
      </c>
      <c r="V1316">
        <v>1</v>
      </c>
      <c r="W1316" t="s">
        <v>17</v>
      </c>
      <c r="X1316" t="s">
        <v>3918</v>
      </c>
      <c r="Z1316">
        <v>18</v>
      </c>
      <c r="AA1316">
        <v>18</v>
      </c>
      <c r="AB1316" t="s">
        <v>11397</v>
      </c>
      <c r="AE1316" t="s">
        <v>9251</v>
      </c>
      <c r="AF1316" s="4"/>
      <c r="AH1316" t="s">
        <v>2196</v>
      </c>
    </row>
    <row r="1317" spans="2:34">
      <c r="B1317" t="s">
        <v>9366</v>
      </c>
      <c r="C1317" t="s">
        <v>6059</v>
      </c>
      <c r="D1317" t="s">
        <v>54</v>
      </c>
      <c r="E1317">
        <v>4590018242</v>
      </c>
      <c r="F1317" t="s">
        <v>6739</v>
      </c>
      <c r="G1317">
        <v>1222.02</v>
      </c>
      <c r="I1317">
        <v>1222.02</v>
      </c>
      <c r="K1317" s="4">
        <v>45534</v>
      </c>
      <c r="L1317" s="4">
        <v>45534</v>
      </c>
      <c r="O1317" s="4"/>
      <c r="P1317" t="s">
        <v>1848</v>
      </c>
      <c r="Q1317" s="4"/>
      <c r="S1317" t="s">
        <v>3143</v>
      </c>
      <c r="T1317">
        <v>45551</v>
      </c>
      <c r="U1317">
        <v>1222.02</v>
      </c>
      <c r="V1317">
        <v>1</v>
      </c>
      <c r="W1317" t="s">
        <v>17</v>
      </c>
      <c r="X1317" t="s">
        <v>4784</v>
      </c>
      <c r="Z1317">
        <v>18</v>
      </c>
      <c r="AA1317">
        <v>18</v>
      </c>
      <c r="AB1317" t="s">
        <v>11398</v>
      </c>
      <c r="AE1317" t="s">
        <v>9251</v>
      </c>
      <c r="AF1317" s="4"/>
      <c r="AH1317" t="s">
        <v>2196</v>
      </c>
    </row>
    <row r="1318" spans="2:34">
      <c r="B1318" t="s">
        <v>9366</v>
      </c>
      <c r="C1318" t="s">
        <v>6064</v>
      </c>
      <c r="D1318" t="s">
        <v>54</v>
      </c>
      <c r="E1318">
        <v>4590018243</v>
      </c>
      <c r="F1318" t="s">
        <v>6740</v>
      </c>
      <c r="G1318">
        <v>1222.02</v>
      </c>
      <c r="I1318">
        <v>1222.02</v>
      </c>
      <c r="K1318" s="4">
        <v>45534</v>
      </c>
      <c r="L1318" s="4">
        <v>45534</v>
      </c>
      <c r="O1318" s="4"/>
      <c r="P1318" t="s">
        <v>1848</v>
      </c>
      <c r="Q1318" s="4"/>
      <c r="S1318" t="s">
        <v>3142</v>
      </c>
      <c r="T1318">
        <v>45551</v>
      </c>
      <c r="U1318">
        <v>1222.02</v>
      </c>
      <c r="V1318">
        <v>1</v>
      </c>
      <c r="W1318" t="s">
        <v>17</v>
      </c>
      <c r="X1318" t="s">
        <v>4784</v>
      </c>
      <c r="Z1318">
        <v>18</v>
      </c>
      <c r="AA1318">
        <v>18</v>
      </c>
      <c r="AB1318" t="s">
        <v>11399</v>
      </c>
      <c r="AE1318" t="s">
        <v>9251</v>
      </c>
      <c r="AF1318" s="4"/>
      <c r="AH1318" t="s">
        <v>2196</v>
      </c>
    </row>
    <row r="1319" spans="2:34">
      <c r="B1319" t="s">
        <v>9366</v>
      </c>
      <c r="C1319" t="s">
        <v>6069</v>
      </c>
      <c r="D1319" t="s">
        <v>54</v>
      </c>
      <c r="E1319">
        <v>4590018245</v>
      </c>
      <c r="F1319" t="s">
        <v>6741</v>
      </c>
      <c r="G1319">
        <v>4743.1000000000004</v>
      </c>
      <c r="I1319">
        <v>4743.1000000000004</v>
      </c>
      <c r="K1319" s="4">
        <v>45534</v>
      </c>
      <c r="L1319" s="4">
        <v>45534</v>
      </c>
      <c r="O1319" s="4"/>
      <c r="P1319" t="s">
        <v>1473</v>
      </c>
      <c r="Q1319" s="4"/>
      <c r="S1319" t="s">
        <v>4649</v>
      </c>
      <c r="T1319">
        <v>45551</v>
      </c>
      <c r="U1319">
        <v>4743.1000000000004</v>
      </c>
      <c r="V1319">
        <v>1</v>
      </c>
      <c r="W1319" t="s">
        <v>17</v>
      </c>
      <c r="X1319" t="s">
        <v>3711</v>
      </c>
      <c r="Z1319">
        <v>18</v>
      </c>
      <c r="AA1319">
        <v>18</v>
      </c>
      <c r="AB1319" t="s">
        <v>11400</v>
      </c>
      <c r="AE1319" t="s">
        <v>9251</v>
      </c>
      <c r="AF1319" s="4"/>
      <c r="AH1319" t="s">
        <v>2196</v>
      </c>
    </row>
    <row r="1320" spans="2:34">
      <c r="B1320" t="s">
        <v>9366</v>
      </c>
      <c r="C1320" t="s">
        <v>6304</v>
      </c>
      <c r="D1320" t="s">
        <v>54</v>
      </c>
      <c r="E1320">
        <v>4590020627</v>
      </c>
      <c r="F1320" t="s">
        <v>6300</v>
      </c>
      <c r="G1320">
        <v>3225.49</v>
      </c>
      <c r="I1320">
        <v>3225.49</v>
      </c>
      <c r="K1320" s="4">
        <v>45520</v>
      </c>
      <c r="L1320" s="4">
        <v>45520</v>
      </c>
      <c r="M1320">
        <v>2024</v>
      </c>
      <c r="N1320">
        <v>8</v>
      </c>
      <c r="O1320" s="4">
        <v>45505</v>
      </c>
      <c r="P1320" t="s">
        <v>837</v>
      </c>
      <c r="Q1320" s="4"/>
      <c r="R1320" t="s">
        <v>11401</v>
      </c>
      <c r="S1320" t="s">
        <v>3730</v>
      </c>
      <c r="U1320">
        <v>3225.49</v>
      </c>
      <c r="V1320">
        <v>1</v>
      </c>
      <c r="W1320" t="s">
        <v>17</v>
      </c>
      <c r="X1320" t="s">
        <v>3718</v>
      </c>
      <c r="Z1320">
        <v>32</v>
      </c>
      <c r="AA1320">
        <v>32</v>
      </c>
      <c r="AB1320" t="s">
        <v>11402</v>
      </c>
      <c r="AE1320" t="s">
        <v>9251</v>
      </c>
      <c r="AF1320" s="4"/>
    </row>
    <row r="1321" spans="2:34">
      <c r="B1321" t="s">
        <v>9366</v>
      </c>
      <c r="C1321" t="s">
        <v>6308</v>
      </c>
      <c r="D1321" t="s">
        <v>54</v>
      </c>
      <c r="E1321">
        <v>4590020628</v>
      </c>
      <c r="F1321" t="s">
        <v>6305</v>
      </c>
      <c r="G1321">
        <v>3225.49</v>
      </c>
      <c r="I1321">
        <v>3225.49</v>
      </c>
      <c r="K1321" s="4">
        <v>45520</v>
      </c>
      <c r="L1321" s="4">
        <v>45520</v>
      </c>
      <c r="M1321">
        <v>2024</v>
      </c>
      <c r="N1321">
        <v>8</v>
      </c>
      <c r="O1321" s="4">
        <v>45505</v>
      </c>
      <c r="P1321" t="s">
        <v>837</v>
      </c>
      <c r="Q1321" s="4"/>
      <c r="R1321" t="s">
        <v>11403</v>
      </c>
      <c r="S1321" t="s">
        <v>3733</v>
      </c>
      <c r="U1321">
        <v>3225.49</v>
      </c>
      <c r="V1321">
        <v>1</v>
      </c>
      <c r="W1321" t="s">
        <v>17</v>
      </c>
      <c r="X1321" t="s">
        <v>3718</v>
      </c>
      <c r="Z1321">
        <v>32</v>
      </c>
      <c r="AA1321">
        <v>32</v>
      </c>
      <c r="AB1321" t="s">
        <v>11404</v>
      </c>
      <c r="AE1321" t="s">
        <v>9251</v>
      </c>
      <c r="AF1321" s="4"/>
    </row>
    <row r="1322" spans="2:34">
      <c r="B1322" t="s">
        <v>2193</v>
      </c>
      <c r="C1322" t="s">
        <v>11405</v>
      </c>
      <c r="D1322" t="s">
        <v>52</v>
      </c>
      <c r="E1322">
        <v>23002672</v>
      </c>
      <c r="F1322" t="s">
        <v>9522</v>
      </c>
      <c r="G1322">
        <v>4130.03</v>
      </c>
      <c r="H1322">
        <v>47</v>
      </c>
      <c r="I1322">
        <v>4176.62</v>
      </c>
      <c r="K1322" s="4">
        <v>45281</v>
      </c>
      <c r="L1322" s="4">
        <v>45281</v>
      </c>
      <c r="M1322">
        <v>2023</v>
      </c>
      <c r="N1322">
        <v>12</v>
      </c>
      <c r="O1322" s="4">
        <v>45261</v>
      </c>
      <c r="P1322" t="s">
        <v>89</v>
      </c>
      <c r="Q1322" s="4"/>
      <c r="S1322" t="s">
        <v>8058</v>
      </c>
      <c r="X1322" t="s">
        <v>3681</v>
      </c>
      <c r="Z1322" t="s">
        <v>89</v>
      </c>
      <c r="AA1322" t="s">
        <v>89</v>
      </c>
      <c r="AE1322" t="s">
        <v>9251</v>
      </c>
      <c r="AF1322" s="4"/>
    </row>
    <row r="1323" spans="2:34">
      <c r="B1323" t="s">
        <v>9366</v>
      </c>
      <c r="C1323" t="s">
        <v>6085</v>
      </c>
      <c r="D1323" t="s">
        <v>54</v>
      </c>
      <c r="E1323">
        <v>4590018491</v>
      </c>
      <c r="F1323" t="s">
        <v>6080</v>
      </c>
      <c r="G1323">
        <v>6337.67</v>
      </c>
      <c r="I1323">
        <v>6337.67</v>
      </c>
      <c r="K1323" s="4">
        <v>45534</v>
      </c>
      <c r="L1323" s="4">
        <v>45534</v>
      </c>
      <c r="O1323" s="4"/>
      <c r="P1323" t="s">
        <v>1473</v>
      </c>
      <c r="Q1323" s="4"/>
      <c r="S1323" t="s">
        <v>4652</v>
      </c>
      <c r="T1323">
        <v>45551</v>
      </c>
      <c r="U1323">
        <v>6337.67</v>
      </c>
      <c r="V1323">
        <v>1</v>
      </c>
      <c r="W1323" t="s">
        <v>17</v>
      </c>
      <c r="X1323" t="s">
        <v>3711</v>
      </c>
      <c r="Z1323">
        <v>18</v>
      </c>
      <c r="AA1323">
        <v>18</v>
      </c>
      <c r="AB1323" t="s">
        <v>11406</v>
      </c>
      <c r="AE1323" t="s">
        <v>9251</v>
      </c>
      <c r="AF1323" s="4"/>
      <c r="AH1323" t="s">
        <v>2196</v>
      </c>
    </row>
    <row r="1324" spans="2:34">
      <c r="B1324" t="s">
        <v>9366</v>
      </c>
      <c r="C1324" t="s">
        <v>6090</v>
      </c>
      <c r="D1324" t="s">
        <v>54</v>
      </c>
      <c r="E1324">
        <v>4590018584</v>
      </c>
      <c r="F1324" t="s">
        <v>6086</v>
      </c>
      <c r="G1324">
        <v>3935.05</v>
      </c>
      <c r="I1324">
        <v>3935.05</v>
      </c>
      <c r="K1324" s="4">
        <v>45506</v>
      </c>
      <c r="L1324" s="4">
        <v>45506</v>
      </c>
      <c r="M1324">
        <v>2024</v>
      </c>
      <c r="N1324">
        <v>8</v>
      </c>
      <c r="O1324" s="4">
        <v>45505</v>
      </c>
      <c r="P1324" t="s">
        <v>1473</v>
      </c>
      <c r="Q1324" s="4"/>
      <c r="S1324" t="s">
        <v>4641</v>
      </c>
      <c r="T1324">
        <v>45551</v>
      </c>
      <c r="U1324">
        <v>3935.05</v>
      </c>
      <c r="V1324">
        <v>1</v>
      </c>
      <c r="W1324" t="s">
        <v>17</v>
      </c>
      <c r="X1324" t="s">
        <v>3828</v>
      </c>
      <c r="Z1324">
        <v>46</v>
      </c>
      <c r="AA1324">
        <v>46</v>
      </c>
      <c r="AB1324" t="s">
        <v>11407</v>
      </c>
      <c r="AE1324" t="s">
        <v>9251</v>
      </c>
      <c r="AF1324" s="4"/>
    </row>
    <row r="1325" spans="2:34">
      <c r="B1325" t="s">
        <v>9366</v>
      </c>
      <c r="C1325" t="s">
        <v>6095</v>
      </c>
      <c r="D1325" t="s">
        <v>54</v>
      </c>
      <c r="E1325">
        <v>4590018586</v>
      </c>
      <c r="F1325" t="s">
        <v>6091</v>
      </c>
      <c r="G1325">
        <v>3935.05</v>
      </c>
      <c r="I1325">
        <v>3935.05</v>
      </c>
      <c r="K1325" s="4">
        <v>45506</v>
      </c>
      <c r="L1325" s="4">
        <v>45506</v>
      </c>
      <c r="M1325">
        <v>2024</v>
      </c>
      <c r="N1325">
        <v>8</v>
      </c>
      <c r="O1325" s="4">
        <v>45505</v>
      </c>
      <c r="P1325" t="s">
        <v>1473</v>
      </c>
      <c r="Q1325" s="4"/>
      <c r="S1325" t="s">
        <v>4638</v>
      </c>
      <c r="T1325">
        <v>45551</v>
      </c>
      <c r="U1325">
        <v>3935.05</v>
      </c>
      <c r="V1325">
        <v>1</v>
      </c>
      <c r="W1325" t="s">
        <v>17</v>
      </c>
      <c r="X1325" t="s">
        <v>3828</v>
      </c>
      <c r="Z1325">
        <v>46</v>
      </c>
      <c r="AA1325">
        <v>46</v>
      </c>
      <c r="AB1325" t="s">
        <v>11408</v>
      </c>
      <c r="AE1325" t="s">
        <v>9251</v>
      </c>
      <c r="AF1325" s="4"/>
    </row>
    <row r="1326" spans="2:34">
      <c r="B1326" t="s">
        <v>9366</v>
      </c>
      <c r="C1326" t="s">
        <v>6100</v>
      </c>
      <c r="D1326" t="s">
        <v>54</v>
      </c>
      <c r="E1326">
        <v>4590018587</v>
      </c>
      <c r="F1326" t="s">
        <v>6096</v>
      </c>
      <c r="G1326">
        <v>7870.09</v>
      </c>
      <c r="I1326">
        <v>7870.09</v>
      </c>
      <c r="K1326" s="4">
        <v>45534</v>
      </c>
      <c r="L1326" s="4">
        <v>45534</v>
      </c>
      <c r="O1326" s="4"/>
      <c r="P1326" t="s">
        <v>1473</v>
      </c>
      <c r="Q1326" s="4"/>
      <c r="S1326" t="s">
        <v>3827</v>
      </c>
      <c r="T1326">
        <v>45551</v>
      </c>
      <c r="U1326">
        <v>7870.09</v>
      </c>
      <c r="V1326">
        <v>1</v>
      </c>
      <c r="W1326" t="s">
        <v>17</v>
      </c>
      <c r="X1326" t="s">
        <v>3828</v>
      </c>
      <c r="Z1326">
        <v>18</v>
      </c>
      <c r="AA1326">
        <v>18</v>
      </c>
      <c r="AB1326" t="s">
        <v>11409</v>
      </c>
      <c r="AE1326" t="s">
        <v>9251</v>
      </c>
      <c r="AF1326" s="4"/>
      <c r="AH1326" t="s">
        <v>2196</v>
      </c>
    </row>
    <row r="1327" spans="2:34">
      <c r="B1327" t="s">
        <v>9366</v>
      </c>
      <c r="C1327" t="s">
        <v>6110</v>
      </c>
      <c r="D1327" t="s">
        <v>54</v>
      </c>
      <c r="E1327">
        <v>4590018616</v>
      </c>
      <c r="F1327" t="s">
        <v>6106</v>
      </c>
      <c r="G1327">
        <v>2871.85</v>
      </c>
      <c r="I1327">
        <v>2871.85</v>
      </c>
      <c r="K1327" s="4">
        <v>45506</v>
      </c>
      <c r="L1327" s="4">
        <v>45509</v>
      </c>
      <c r="M1327">
        <v>2024</v>
      </c>
      <c r="N1327">
        <v>8</v>
      </c>
      <c r="O1327" s="4">
        <v>45505</v>
      </c>
      <c r="P1327" t="s">
        <v>1473</v>
      </c>
      <c r="Q1327" s="4"/>
      <c r="S1327" t="s">
        <v>3471</v>
      </c>
      <c r="T1327">
        <v>45551</v>
      </c>
      <c r="U1327">
        <v>2871.85</v>
      </c>
      <c r="V1327">
        <v>1</v>
      </c>
      <c r="W1327" t="s">
        <v>17</v>
      </c>
      <c r="X1327" t="s">
        <v>3828</v>
      </c>
      <c r="Z1327">
        <v>46</v>
      </c>
      <c r="AA1327">
        <v>43</v>
      </c>
      <c r="AB1327" t="s">
        <v>11410</v>
      </c>
      <c r="AE1327" t="s">
        <v>9251</v>
      </c>
      <c r="AF1327" s="4"/>
    </row>
    <row r="1328" spans="2:34">
      <c r="B1328" t="s">
        <v>9366</v>
      </c>
      <c r="C1328" t="s">
        <v>6115</v>
      </c>
      <c r="D1328" t="s">
        <v>54</v>
      </c>
      <c r="E1328">
        <v>4590018617</v>
      </c>
      <c r="F1328" t="s">
        <v>6111</v>
      </c>
      <c r="G1328">
        <v>2871.85</v>
      </c>
      <c r="I1328">
        <v>2871.85</v>
      </c>
      <c r="K1328" s="4">
        <v>45513</v>
      </c>
      <c r="L1328" s="4">
        <v>45513</v>
      </c>
      <c r="M1328">
        <v>2024</v>
      </c>
      <c r="N1328">
        <v>8</v>
      </c>
      <c r="O1328" s="4">
        <v>45505</v>
      </c>
      <c r="P1328" t="s">
        <v>1473</v>
      </c>
      <c r="Q1328" s="4"/>
      <c r="S1328" t="s">
        <v>3490</v>
      </c>
      <c r="T1328">
        <v>45551</v>
      </c>
      <c r="U1328">
        <v>2871.85</v>
      </c>
      <c r="V1328">
        <v>1</v>
      </c>
      <c r="W1328" t="s">
        <v>17</v>
      </c>
      <c r="X1328" t="s">
        <v>3828</v>
      </c>
      <c r="Z1328">
        <v>39</v>
      </c>
      <c r="AA1328">
        <v>39</v>
      </c>
      <c r="AB1328" t="s">
        <v>11411</v>
      </c>
      <c r="AE1328" t="s">
        <v>9251</v>
      </c>
      <c r="AF1328" s="4"/>
    </row>
    <row r="1329" spans="2:34">
      <c r="B1329" t="s">
        <v>9366</v>
      </c>
      <c r="C1329" t="s">
        <v>6121</v>
      </c>
      <c r="D1329" t="s">
        <v>54</v>
      </c>
      <c r="E1329">
        <v>4590018618</v>
      </c>
      <c r="F1329" t="s">
        <v>6116</v>
      </c>
      <c r="G1329">
        <v>7870.09</v>
      </c>
      <c r="I1329">
        <v>7870.09</v>
      </c>
      <c r="K1329" s="4">
        <v>45534</v>
      </c>
      <c r="L1329" s="4">
        <v>45534</v>
      </c>
      <c r="O1329" s="4"/>
      <c r="P1329" t="s">
        <v>1473</v>
      </c>
      <c r="Q1329" s="4"/>
      <c r="S1329" t="s">
        <v>2917</v>
      </c>
      <c r="T1329">
        <v>45551</v>
      </c>
      <c r="U1329">
        <v>7870.09</v>
      </c>
      <c r="V1329">
        <v>1</v>
      </c>
      <c r="W1329" t="s">
        <v>17</v>
      </c>
      <c r="X1329" t="s">
        <v>3828</v>
      </c>
      <c r="Z1329">
        <v>18</v>
      </c>
      <c r="AA1329">
        <v>18</v>
      </c>
      <c r="AB1329" t="s">
        <v>11412</v>
      </c>
      <c r="AE1329" t="s">
        <v>9251</v>
      </c>
      <c r="AF1329" s="4"/>
      <c r="AH1329" t="s">
        <v>2196</v>
      </c>
    </row>
    <row r="1330" spans="2:34">
      <c r="B1330" t="s">
        <v>9366</v>
      </c>
      <c r="C1330" t="s">
        <v>6126</v>
      </c>
      <c r="D1330" t="s">
        <v>54</v>
      </c>
      <c r="E1330">
        <v>4590018619</v>
      </c>
      <c r="F1330" t="s">
        <v>6122</v>
      </c>
      <c r="G1330">
        <v>2871.85</v>
      </c>
      <c r="I1330">
        <v>2871.85</v>
      </c>
      <c r="K1330" s="4">
        <v>45506</v>
      </c>
      <c r="L1330" s="4">
        <v>45509</v>
      </c>
      <c r="M1330">
        <v>2024</v>
      </c>
      <c r="N1330">
        <v>8</v>
      </c>
      <c r="O1330" s="4">
        <v>45505</v>
      </c>
      <c r="P1330" t="s">
        <v>1473</v>
      </c>
      <c r="Q1330" s="4"/>
      <c r="S1330" t="s">
        <v>3152</v>
      </c>
      <c r="T1330">
        <v>45551</v>
      </c>
      <c r="U1330">
        <v>2871.85</v>
      </c>
      <c r="V1330">
        <v>1</v>
      </c>
      <c r="W1330" t="s">
        <v>17</v>
      </c>
      <c r="X1330" t="s">
        <v>3828</v>
      </c>
      <c r="Z1330">
        <v>46</v>
      </c>
      <c r="AA1330">
        <v>43</v>
      </c>
      <c r="AB1330" t="s">
        <v>11413</v>
      </c>
      <c r="AE1330" t="s">
        <v>9251</v>
      </c>
      <c r="AF1330" s="4"/>
    </row>
    <row r="1331" spans="2:34">
      <c r="B1331" t="s">
        <v>9366</v>
      </c>
      <c r="C1331" t="s">
        <v>6131</v>
      </c>
      <c r="D1331" t="s">
        <v>54</v>
      </c>
      <c r="E1331">
        <v>4590018620</v>
      </c>
      <c r="F1331" t="s">
        <v>6127</v>
      </c>
      <c r="G1331">
        <v>2871.85</v>
      </c>
      <c r="I1331">
        <v>2871.85</v>
      </c>
      <c r="K1331" s="4">
        <v>45513</v>
      </c>
      <c r="L1331" s="4">
        <v>45513</v>
      </c>
      <c r="M1331">
        <v>2024</v>
      </c>
      <c r="N1331">
        <v>8</v>
      </c>
      <c r="O1331" s="4">
        <v>45505</v>
      </c>
      <c r="P1331" t="s">
        <v>1473</v>
      </c>
      <c r="Q1331" s="4"/>
      <c r="S1331" t="s">
        <v>3476</v>
      </c>
      <c r="T1331">
        <v>45551</v>
      </c>
      <c r="U1331">
        <v>2871.85</v>
      </c>
      <c r="V1331">
        <v>1</v>
      </c>
      <c r="W1331" t="s">
        <v>17</v>
      </c>
      <c r="X1331" t="s">
        <v>3828</v>
      </c>
      <c r="Z1331">
        <v>39</v>
      </c>
      <c r="AA1331">
        <v>39</v>
      </c>
      <c r="AB1331" t="s">
        <v>11414</v>
      </c>
      <c r="AE1331" t="s">
        <v>9251</v>
      </c>
      <c r="AF1331" s="4"/>
    </row>
    <row r="1332" spans="2:34">
      <c r="B1332" t="s">
        <v>9366</v>
      </c>
      <c r="C1332" t="s">
        <v>5971</v>
      </c>
      <c r="D1332" t="s">
        <v>54</v>
      </c>
      <c r="E1332">
        <v>4590017867</v>
      </c>
      <c r="F1332" t="s">
        <v>5965</v>
      </c>
      <c r="G1332">
        <v>1343.43</v>
      </c>
      <c r="I1332">
        <v>1343.43</v>
      </c>
      <c r="K1332" s="4">
        <v>45534</v>
      </c>
      <c r="L1332" s="4">
        <v>45534</v>
      </c>
      <c r="O1332" s="4"/>
      <c r="P1332" t="s">
        <v>95</v>
      </c>
      <c r="Q1332" s="4"/>
      <c r="R1332" t="s">
        <v>11415</v>
      </c>
      <c r="S1332" t="s">
        <v>5717</v>
      </c>
      <c r="T1332">
        <v>45541</v>
      </c>
      <c r="U1332">
        <v>1343.43</v>
      </c>
      <c r="V1332">
        <v>1</v>
      </c>
      <c r="W1332" t="s">
        <v>17</v>
      </c>
      <c r="X1332" t="s">
        <v>3918</v>
      </c>
      <c r="Z1332">
        <v>18</v>
      </c>
      <c r="AA1332">
        <v>18</v>
      </c>
      <c r="AB1332" t="s">
        <v>11416</v>
      </c>
      <c r="AE1332" t="s">
        <v>9251</v>
      </c>
      <c r="AF1332" s="4"/>
      <c r="AH1332" t="s">
        <v>2196</v>
      </c>
    </row>
    <row r="1333" spans="2:34">
      <c r="B1333" t="s">
        <v>9366</v>
      </c>
      <c r="C1333" t="s">
        <v>6136</v>
      </c>
      <c r="D1333" t="s">
        <v>54</v>
      </c>
      <c r="E1333">
        <v>4590018621</v>
      </c>
      <c r="F1333" t="s">
        <v>6132</v>
      </c>
      <c r="G1333">
        <v>4999.25</v>
      </c>
      <c r="I1333">
        <v>4999.25</v>
      </c>
      <c r="K1333" s="4">
        <v>45513</v>
      </c>
      <c r="L1333" s="4">
        <v>45513</v>
      </c>
      <c r="M1333">
        <v>2024</v>
      </c>
      <c r="N1333">
        <v>8</v>
      </c>
      <c r="O1333" s="4">
        <v>45505</v>
      </c>
      <c r="P1333" t="s">
        <v>1473</v>
      </c>
      <c r="Q1333" s="4"/>
      <c r="S1333" t="s">
        <v>2921</v>
      </c>
      <c r="T1333">
        <v>45551</v>
      </c>
      <c r="U1333">
        <v>4999.25</v>
      </c>
      <c r="V1333">
        <v>1</v>
      </c>
      <c r="W1333" t="s">
        <v>17</v>
      </c>
      <c r="X1333" t="s">
        <v>3828</v>
      </c>
      <c r="Z1333">
        <v>39</v>
      </c>
      <c r="AA1333">
        <v>39</v>
      </c>
      <c r="AB1333" t="s">
        <v>11417</v>
      </c>
      <c r="AE1333" t="s">
        <v>9251</v>
      </c>
      <c r="AF1333" s="4"/>
    </row>
    <row r="1334" spans="2:34">
      <c r="B1334" t="s">
        <v>9366</v>
      </c>
      <c r="C1334" t="s">
        <v>6141</v>
      </c>
      <c r="D1334" t="s">
        <v>54</v>
      </c>
      <c r="E1334">
        <v>4590018622</v>
      </c>
      <c r="F1334" t="s">
        <v>6137</v>
      </c>
      <c r="G1334">
        <v>11612.59</v>
      </c>
      <c r="I1334">
        <v>11612.59</v>
      </c>
      <c r="K1334" s="4">
        <v>45534</v>
      </c>
      <c r="L1334" s="4">
        <v>45534</v>
      </c>
      <c r="O1334" s="4"/>
      <c r="P1334" t="s">
        <v>1473</v>
      </c>
      <c r="Q1334" s="4"/>
      <c r="S1334" t="s">
        <v>2919</v>
      </c>
      <c r="T1334">
        <v>45551</v>
      </c>
      <c r="U1334">
        <v>11612.59</v>
      </c>
      <c r="V1334">
        <v>1</v>
      </c>
      <c r="W1334" t="s">
        <v>17</v>
      </c>
      <c r="X1334" t="s">
        <v>3828</v>
      </c>
      <c r="Z1334">
        <v>18</v>
      </c>
      <c r="AA1334">
        <v>18</v>
      </c>
      <c r="AB1334" t="s">
        <v>11418</v>
      </c>
      <c r="AE1334" t="s">
        <v>9251</v>
      </c>
      <c r="AF1334" s="4"/>
      <c r="AH1334" t="s">
        <v>2196</v>
      </c>
    </row>
    <row r="1335" spans="2:34">
      <c r="B1335" t="s">
        <v>9366</v>
      </c>
      <c r="C1335" t="s">
        <v>6158</v>
      </c>
      <c r="D1335" t="s">
        <v>54</v>
      </c>
      <c r="E1335">
        <v>4590018646</v>
      </c>
      <c r="F1335" t="s">
        <v>6154</v>
      </c>
      <c r="G1335">
        <v>2014.8</v>
      </c>
      <c r="I1335">
        <v>2014.8</v>
      </c>
      <c r="K1335" s="4">
        <v>45534</v>
      </c>
      <c r="L1335" s="4">
        <v>45534</v>
      </c>
      <c r="O1335" s="4"/>
      <c r="P1335" t="s">
        <v>1473</v>
      </c>
      <c r="Q1335" s="4"/>
      <c r="S1335" t="s">
        <v>2915</v>
      </c>
      <c r="T1335">
        <v>45551</v>
      </c>
      <c r="U1335">
        <v>2014.8</v>
      </c>
      <c r="V1335">
        <v>1</v>
      </c>
      <c r="W1335" t="s">
        <v>17</v>
      </c>
      <c r="X1335" t="s">
        <v>3828</v>
      </c>
      <c r="Z1335">
        <v>18</v>
      </c>
      <c r="AA1335">
        <v>18</v>
      </c>
      <c r="AB1335" t="s">
        <v>11419</v>
      </c>
      <c r="AE1335" t="s">
        <v>9251</v>
      </c>
      <c r="AF1335" s="4"/>
      <c r="AH1335" t="s">
        <v>2196</v>
      </c>
    </row>
    <row r="1336" spans="2:34">
      <c r="B1336" t="s">
        <v>9366</v>
      </c>
      <c r="C1336" t="s">
        <v>5994</v>
      </c>
      <c r="D1336" t="s">
        <v>54</v>
      </c>
      <c r="E1336">
        <v>4590017873</v>
      </c>
      <c r="F1336" t="s">
        <v>5989</v>
      </c>
      <c r="G1336">
        <v>2970</v>
      </c>
      <c r="I1336">
        <v>2970</v>
      </c>
      <c r="K1336" s="4">
        <v>45534</v>
      </c>
      <c r="L1336" s="4">
        <v>45534</v>
      </c>
      <c r="O1336" s="4"/>
      <c r="P1336" t="s">
        <v>95</v>
      </c>
      <c r="Q1336" s="4"/>
      <c r="R1336" t="s">
        <v>11415</v>
      </c>
      <c r="S1336" t="s">
        <v>5789</v>
      </c>
      <c r="T1336">
        <v>45541</v>
      </c>
      <c r="U1336">
        <v>2970</v>
      </c>
      <c r="V1336">
        <v>1</v>
      </c>
      <c r="W1336" t="s">
        <v>17</v>
      </c>
      <c r="X1336" t="s">
        <v>3918</v>
      </c>
      <c r="Z1336">
        <v>18</v>
      </c>
      <c r="AA1336">
        <v>18</v>
      </c>
      <c r="AB1336" t="s">
        <v>11420</v>
      </c>
      <c r="AE1336" t="s">
        <v>9251</v>
      </c>
      <c r="AF1336" s="4"/>
      <c r="AH1336" t="s">
        <v>2196</v>
      </c>
    </row>
    <row r="1337" spans="2:34">
      <c r="B1337" t="s">
        <v>9366</v>
      </c>
      <c r="C1337" t="s">
        <v>5999</v>
      </c>
      <c r="D1337" t="s">
        <v>54</v>
      </c>
      <c r="E1337">
        <v>4590017876</v>
      </c>
      <c r="F1337" t="s">
        <v>5995</v>
      </c>
      <c r="G1337">
        <v>2970</v>
      </c>
      <c r="I1337">
        <v>2970</v>
      </c>
      <c r="K1337" s="4">
        <v>45534</v>
      </c>
      <c r="L1337" s="4">
        <v>45534</v>
      </c>
      <c r="O1337" s="4"/>
      <c r="P1337" t="s">
        <v>95</v>
      </c>
      <c r="Q1337" s="4"/>
      <c r="R1337" t="s">
        <v>11421</v>
      </c>
      <c r="S1337" t="s">
        <v>5794</v>
      </c>
      <c r="T1337">
        <v>45541</v>
      </c>
      <c r="U1337">
        <v>2970</v>
      </c>
      <c r="V1337">
        <v>1</v>
      </c>
      <c r="W1337" t="s">
        <v>17</v>
      </c>
      <c r="X1337" t="s">
        <v>3918</v>
      </c>
      <c r="Z1337">
        <v>18</v>
      </c>
      <c r="AA1337">
        <v>18</v>
      </c>
      <c r="AB1337" t="s">
        <v>11422</v>
      </c>
      <c r="AE1337" t="s">
        <v>9251</v>
      </c>
      <c r="AF1337" s="4"/>
      <c r="AH1337" t="s">
        <v>2196</v>
      </c>
    </row>
    <row r="1338" spans="2:34">
      <c r="B1338" t="s">
        <v>9366</v>
      </c>
      <c r="C1338" t="s">
        <v>6010</v>
      </c>
      <c r="D1338" t="s">
        <v>54</v>
      </c>
      <c r="E1338">
        <v>4590017881</v>
      </c>
      <c r="F1338" t="s">
        <v>6005</v>
      </c>
      <c r="G1338">
        <v>5138.3</v>
      </c>
      <c r="I1338">
        <v>5138.3</v>
      </c>
      <c r="K1338" s="4">
        <v>45534</v>
      </c>
      <c r="L1338" s="4">
        <v>45534</v>
      </c>
      <c r="O1338" s="4"/>
      <c r="P1338" t="s">
        <v>95</v>
      </c>
      <c r="Q1338" s="4"/>
      <c r="R1338" t="s">
        <v>11423</v>
      </c>
      <c r="S1338" t="s">
        <v>3555</v>
      </c>
      <c r="T1338">
        <v>45541</v>
      </c>
      <c r="U1338">
        <v>5138.3</v>
      </c>
      <c r="V1338">
        <v>1</v>
      </c>
      <c r="W1338" t="s">
        <v>17</v>
      </c>
      <c r="X1338" t="s">
        <v>3918</v>
      </c>
      <c r="Z1338">
        <v>18</v>
      </c>
      <c r="AA1338">
        <v>18</v>
      </c>
      <c r="AB1338" t="s">
        <v>11424</v>
      </c>
      <c r="AE1338" t="s">
        <v>9251</v>
      </c>
      <c r="AF1338" s="4"/>
      <c r="AH1338" t="s">
        <v>2196</v>
      </c>
    </row>
    <row r="1339" spans="2:34">
      <c r="B1339" t="s">
        <v>9366</v>
      </c>
      <c r="C1339" t="s">
        <v>6163</v>
      </c>
      <c r="D1339" t="s">
        <v>54</v>
      </c>
      <c r="E1339">
        <v>4590018667</v>
      </c>
      <c r="F1339" t="s">
        <v>6159</v>
      </c>
      <c r="G1339">
        <v>3403.95</v>
      </c>
      <c r="I1339">
        <v>3403.95</v>
      </c>
      <c r="K1339" s="4">
        <v>45534</v>
      </c>
      <c r="L1339" s="4">
        <v>45534</v>
      </c>
      <c r="O1339" s="4"/>
      <c r="P1339" t="s">
        <v>1473</v>
      </c>
      <c r="Q1339" s="4"/>
      <c r="S1339" t="s">
        <v>4655</v>
      </c>
      <c r="T1339">
        <v>45551</v>
      </c>
      <c r="U1339">
        <v>3403.95</v>
      </c>
      <c r="V1339">
        <v>1</v>
      </c>
      <c r="W1339" t="s">
        <v>17</v>
      </c>
      <c r="X1339" t="s">
        <v>3711</v>
      </c>
      <c r="Z1339">
        <v>18</v>
      </c>
      <c r="AA1339">
        <v>18</v>
      </c>
      <c r="AB1339" t="s">
        <v>11425</v>
      </c>
      <c r="AE1339" t="s">
        <v>9251</v>
      </c>
      <c r="AF1339" s="4"/>
      <c r="AH1339" t="s">
        <v>2196</v>
      </c>
    </row>
    <row r="1340" spans="2:34">
      <c r="B1340" t="s">
        <v>9366</v>
      </c>
      <c r="C1340" t="s">
        <v>6168</v>
      </c>
      <c r="D1340" t="s">
        <v>54</v>
      </c>
      <c r="E1340">
        <v>4590018668</v>
      </c>
      <c r="F1340" t="s">
        <v>6164</v>
      </c>
      <c r="G1340">
        <v>3403.95</v>
      </c>
      <c r="I1340">
        <v>3403.95</v>
      </c>
      <c r="K1340" s="4">
        <v>45534</v>
      </c>
      <c r="L1340" s="4">
        <v>45534</v>
      </c>
      <c r="O1340" s="4"/>
      <c r="P1340" t="s">
        <v>1473</v>
      </c>
      <c r="Q1340" s="4"/>
      <c r="S1340" t="s">
        <v>4684</v>
      </c>
      <c r="T1340">
        <v>45551</v>
      </c>
      <c r="U1340">
        <v>3403.95</v>
      </c>
      <c r="V1340">
        <v>1</v>
      </c>
      <c r="W1340" t="s">
        <v>17</v>
      </c>
      <c r="X1340" t="s">
        <v>3711</v>
      </c>
      <c r="Z1340">
        <v>18</v>
      </c>
      <c r="AA1340">
        <v>18</v>
      </c>
      <c r="AB1340" t="s">
        <v>11426</v>
      </c>
      <c r="AE1340" t="s">
        <v>9251</v>
      </c>
      <c r="AF1340" s="4"/>
      <c r="AH1340" t="s">
        <v>2196</v>
      </c>
    </row>
    <row r="1341" spans="2:34">
      <c r="B1341" t="s">
        <v>9366</v>
      </c>
      <c r="C1341" t="s">
        <v>6173</v>
      </c>
      <c r="D1341" t="s">
        <v>54</v>
      </c>
      <c r="E1341">
        <v>4590019324</v>
      </c>
      <c r="F1341" t="s">
        <v>6169</v>
      </c>
      <c r="G1341">
        <v>5492</v>
      </c>
      <c r="I1341">
        <v>5492</v>
      </c>
      <c r="K1341" s="4">
        <v>45534</v>
      </c>
      <c r="L1341" s="4">
        <v>45534</v>
      </c>
      <c r="O1341" s="4"/>
      <c r="P1341" t="s">
        <v>1473</v>
      </c>
      <c r="Q1341" s="4"/>
      <c r="S1341" t="s">
        <v>4678</v>
      </c>
      <c r="T1341">
        <v>45551</v>
      </c>
      <c r="U1341">
        <v>5492</v>
      </c>
      <c r="V1341">
        <v>1</v>
      </c>
      <c r="W1341" t="s">
        <v>17</v>
      </c>
      <c r="X1341" t="s">
        <v>3711</v>
      </c>
      <c r="Z1341">
        <v>18</v>
      </c>
      <c r="AA1341">
        <v>18</v>
      </c>
      <c r="AB1341" t="s">
        <v>11427</v>
      </c>
      <c r="AE1341" t="s">
        <v>9251</v>
      </c>
      <c r="AF1341" s="4"/>
      <c r="AH1341" t="s">
        <v>2196</v>
      </c>
    </row>
    <row r="1342" spans="2:34">
      <c r="B1342" t="s">
        <v>9366</v>
      </c>
      <c r="C1342" t="s">
        <v>6179</v>
      </c>
      <c r="D1342" t="s">
        <v>54</v>
      </c>
      <c r="E1342">
        <v>4590020406</v>
      </c>
      <c r="F1342" t="s">
        <v>6174</v>
      </c>
      <c r="G1342">
        <v>2871.85</v>
      </c>
      <c r="I1342">
        <v>2871.85</v>
      </c>
      <c r="K1342" s="4">
        <v>45534</v>
      </c>
      <c r="L1342" s="4">
        <v>45534</v>
      </c>
      <c r="O1342" s="4"/>
      <c r="P1342" t="s">
        <v>1473</v>
      </c>
      <c r="Q1342" s="4"/>
      <c r="S1342" t="s">
        <v>3286</v>
      </c>
      <c r="T1342">
        <v>45551</v>
      </c>
      <c r="U1342">
        <v>2871.85</v>
      </c>
      <c r="V1342">
        <v>1</v>
      </c>
      <c r="W1342" t="s">
        <v>17</v>
      </c>
      <c r="X1342" t="s">
        <v>3711</v>
      </c>
      <c r="Z1342">
        <v>18</v>
      </c>
      <c r="AA1342">
        <v>18</v>
      </c>
      <c r="AB1342" t="s">
        <v>11428</v>
      </c>
      <c r="AE1342" t="s">
        <v>9251</v>
      </c>
      <c r="AF1342" s="4"/>
      <c r="AH1342" t="s">
        <v>2196</v>
      </c>
    </row>
    <row r="1343" spans="2:34">
      <c r="B1343" t="s">
        <v>9366</v>
      </c>
      <c r="C1343" t="s">
        <v>6199</v>
      </c>
      <c r="D1343" t="s">
        <v>54</v>
      </c>
      <c r="E1343">
        <v>4590020407</v>
      </c>
      <c r="F1343" t="s">
        <v>6195</v>
      </c>
      <c r="G1343">
        <v>2871.85</v>
      </c>
      <c r="I1343">
        <v>2871.85</v>
      </c>
      <c r="K1343" s="4">
        <v>45506</v>
      </c>
      <c r="L1343" s="4">
        <v>45506</v>
      </c>
      <c r="M1343">
        <v>2024</v>
      </c>
      <c r="N1343">
        <v>8</v>
      </c>
      <c r="O1343" s="4">
        <v>45505</v>
      </c>
      <c r="P1343" t="s">
        <v>1473</v>
      </c>
      <c r="Q1343" s="4"/>
      <c r="S1343" t="s">
        <v>3242</v>
      </c>
      <c r="T1343">
        <v>45551</v>
      </c>
      <c r="U1343">
        <v>2871.85</v>
      </c>
      <c r="V1343">
        <v>1</v>
      </c>
      <c r="W1343" t="s">
        <v>17</v>
      </c>
      <c r="X1343" t="s">
        <v>3711</v>
      </c>
      <c r="Z1343">
        <v>46</v>
      </c>
      <c r="AA1343">
        <v>46</v>
      </c>
      <c r="AB1343" t="s">
        <v>11429</v>
      </c>
      <c r="AE1343" t="s">
        <v>9251</v>
      </c>
      <c r="AF1343" s="4"/>
    </row>
    <row r="1344" spans="2:34">
      <c r="B1344" t="s">
        <v>9366</v>
      </c>
      <c r="C1344" t="s">
        <v>6184</v>
      </c>
      <c r="D1344" t="s">
        <v>54</v>
      </c>
      <c r="E1344">
        <v>4590020408</v>
      </c>
      <c r="F1344" t="s">
        <v>6180</v>
      </c>
      <c r="G1344">
        <v>2871.85</v>
      </c>
      <c r="I1344">
        <v>2871.85</v>
      </c>
      <c r="K1344" s="4">
        <v>45506</v>
      </c>
      <c r="L1344" s="4">
        <v>45506</v>
      </c>
      <c r="M1344">
        <v>2024</v>
      </c>
      <c r="N1344">
        <v>8</v>
      </c>
      <c r="O1344" s="4">
        <v>45505</v>
      </c>
      <c r="P1344" t="s">
        <v>1473</v>
      </c>
      <c r="Q1344" s="4"/>
      <c r="S1344" t="s">
        <v>3445</v>
      </c>
      <c r="T1344">
        <v>45551</v>
      </c>
      <c r="U1344">
        <v>2871.85</v>
      </c>
      <c r="V1344">
        <v>1</v>
      </c>
      <c r="W1344" t="s">
        <v>17</v>
      </c>
      <c r="X1344" t="s">
        <v>3711</v>
      </c>
      <c r="Z1344">
        <v>46</v>
      </c>
      <c r="AA1344">
        <v>46</v>
      </c>
      <c r="AB1344" t="s">
        <v>11430</v>
      </c>
      <c r="AE1344" t="s">
        <v>9251</v>
      </c>
      <c r="AF1344" s="4"/>
    </row>
    <row r="1345" spans="2:32">
      <c r="B1345" t="s">
        <v>9366</v>
      </c>
      <c r="C1345" t="s">
        <v>6189</v>
      </c>
      <c r="D1345" t="s">
        <v>54</v>
      </c>
      <c r="E1345">
        <v>4590020409</v>
      </c>
      <c r="F1345" t="s">
        <v>6185</v>
      </c>
      <c r="G1345">
        <v>2871.85</v>
      </c>
      <c r="I1345">
        <v>2871.85</v>
      </c>
      <c r="K1345" s="4">
        <v>45506</v>
      </c>
      <c r="L1345" s="4">
        <v>45506</v>
      </c>
      <c r="M1345">
        <v>2024</v>
      </c>
      <c r="N1345">
        <v>8</v>
      </c>
      <c r="O1345" s="4">
        <v>45505</v>
      </c>
      <c r="P1345" t="s">
        <v>1473</v>
      </c>
      <c r="Q1345" s="4"/>
      <c r="S1345" t="s">
        <v>3256</v>
      </c>
      <c r="T1345">
        <v>45551</v>
      </c>
      <c r="U1345">
        <v>2871.85</v>
      </c>
      <c r="V1345">
        <v>1</v>
      </c>
      <c r="W1345" t="s">
        <v>17</v>
      </c>
      <c r="X1345" t="s">
        <v>3711</v>
      </c>
      <c r="Z1345">
        <v>46</v>
      </c>
      <c r="AA1345">
        <v>46</v>
      </c>
      <c r="AB1345" t="s">
        <v>11431</v>
      </c>
      <c r="AE1345" t="s">
        <v>9251</v>
      </c>
      <c r="AF1345" s="4"/>
    </row>
    <row r="1346" spans="2:32">
      <c r="B1346" t="s">
        <v>9366</v>
      </c>
      <c r="C1346" t="s">
        <v>6204</v>
      </c>
      <c r="D1346" t="s">
        <v>54</v>
      </c>
      <c r="E1346">
        <v>4590020410</v>
      </c>
      <c r="F1346" t="s">
        <v>6200</v>
      </c>
      <c r="G1346">
        <v>2871.85</v>
      </c>
      <c r="I1346">
        <v>2871.85</v>
      </c>
      <c r="K1346" s="4">
        <v>45506</v>
      </c>
      <c r="L1346" s="4">
        <v>45506</v>
      </c>
      <c r="M1346">
        <v>2024</v>
      </c>
      <c r="N1346">
        <v>8</v>
      </c>
      <c r="O1346" s="4">
        <v>45505</v>
      </c>
      <c r="P1346" t="s">
        <v>1473</v>
      </c>
      <c r="Q1346" s="4"/>
      <c r="S1346" t="s">
        <v>3173</v>
      </c>
      <c r="T1346">
        <v>45551</v>
      </c>
      <c r="U1346">
        <v>2871.85</v>
      </c>
      <c r="V1346">
        <v>1</v>
      </c>
      <c r="W1346" t="s">
        <v>17</v>
      </c>
      <c r="X1346" t="s">
        <v>3711</v>
      </c>
      <c r="Z1346">
        <v>46</v>
      </c>
      <c r="AA1346">
        <v>46</v>
      </c>
      <c r="AB1346" t="s">
        <v>11432</v>
      </c>
      <c r="AE1346" t="s">
        <v>9251</v>
      </c>
      <c r="AF1346" s="4"/>
    </row>
    <row r="1347" spans="2:32">
      <c r="B1347" t="s">
        <v>9366</v>
      </c>
      <c r="C1347" t="s">
        <v>6209</v>
      </c>
      <c r="D1347" t="s">
        <v>54</v>
      </c>
      <c r="E1347">
        <v>4590020415</v>
      </c>
      <c r="F1347" t="s">
        <v>6205</v>
      </c>
      <c r="G1347">
        <v>2871.85</v>
      </c>
      <c r="I1347">
        <v>2871.85</v>
      </c>
      <c r="K1347" s="4">
        <v>45506</v>
      </c>
      <c r="L1347" s="4">
        <v>45509</v>
      </c>
      <c r="M1347">
        <v>2024</v>
      </c>
      <c r="N1347">
        <v>8</v>
      </c>
      <c r="O1347" s="4">
        <v>45505</v>
      </c>
      <c r="P1347" t="s">
        <v>1473</v>
      </c>
      <c r="Q1347" s="4"/>
      <c r="S1347" t="s">
        <v>3175</v>
      </c>
      <c r="T1347">
        <v>45551</v>
      </c>
      <c r="U1347">
        <v>2871.85</v>
      </c>
      <c r="V1347">
        <v>1</v>
      </c>
      <c r="W1347" t="s">
        <v>17</v>
      </c>
      <c r="X1347" t="s">
        <v>3711</v>
      </c>
      <c r="Z1347">
        <v>46</v>
      </c>
      <c r="AA1347">
        <v>43</v>
      </c>
      <c r="AB1347" t="s">
        <v>11433</v>
      </c>
      <c r="AE1347" t="s">
        <v>9251</v>
      </c>
      <c r="AF1347" s="4"/>
    </row>
    <row r="1348" spans="2:32">
      <c r="B1348" t="s">
        <v>9366</v>
      </c>
      <c r="C1348" t="s">
        <v>6214</v>
      </c>
      <c r="D1348" t="s">
        <v>54</v>
      </c>
      <c r="E1348">
        <v>4590020416</v>
      </c>
      <c r="F1348" t="s">
        <v>6210</v>
      </c>
      <c r="G1348">
        <v>2871.85</v>
      </c>
      <c r="I1348">
        <v>2871.85</v>
      </c>
      <c r="K1348" s="4">
        <v>45506</v>
      </c>
      <c r="L1348" s="4">
        <v>45509</v>
      </c>
      <c r="M1348">
        <v>2024</v>
      </c>
      <c r="N1348">
        <v>8</v>
      </c>
      <c r="O1348" s="4">
        <v>45505</v>
      </c>
      <c r="P1348" t="s">
        <v>1473</v>
      </c>
      <c r="Q1348" s="4"/>
      <c r="S1348" t="s">
        <v>3268</v>
      </c>
      <c r="T1348">
        <v>45551</v>
      </c>
      <c r="U1348">
        <v>2871.85</v>
      </c>
      <c r="V1348">
        <v>1</v>
      </c>
      <c r="W1348" t="s">
        <v>17</v>
      </c>
      <c r="X1348" t="s">
        <v>3711</v>
      </c>
      <c r="Z1348">
        <v>46</v>
      </c>
      <c r="AA1348">
        <v>43</v>
      </c>
      <c r="AB1348" t="s">
        <v>11434</v>
      </c>
      <c r="AE1348" t="s">
        <v>9251</v>
      </c>
      <c r="AF1348" s="4"/>
    </row>
    <row r="1349" spans="2:32">
      <c r="B1349" t="s">
        <v>9366</v>
      </c>
      <c r="C1349" t="s">
        <v>6194</v>
      </c>
      <c r="D1349" t="s">
        <v>54</v>
      </c>
      <c r="E1349">
        <v>4590020436</v>
      </c>
      <c r="F1349" t="s">
        <v>6190</v>
      </c>
      <c r="G1349">
        <v>4721.99</v>
      </c>
      <c r="I1349">
        <v>4721.99</v>
      </c>
      <c r="K1349" s="4">
        <v>45506</v>
      </c>
      <c r="L1349" s="4">
        <v>45509</v>
      </c>
      <c r="M1349">
        <v>2024</v>
      </c>
      <c r="N1349">
        <v>8</v>
      </c>
      <c r="O1349" s="4">
        <v>45505</v>
      </c>
      <c r="P1349" t="s">
        <v>625</v>
      </c>
      <c r="Q1349" s="4"/>
      <c r="S1349" t="s">
        <v>3326</v>
      </c>
      <c r="T1349">
        <v>45551</v>
      </c>
      <c r="U1349">
        <v>4721.99</v>
      </c>
      <c r="V1349">
        <v>1</v>
      </c>
      <c r="W1349" t="s">
        <v>17</v>
      </c>
      <c r="X1349" t="s">
        <v>3665</v>
      </c>
      <c r="Z1349">
        <v>46</v>
      </c>
      <c r="AA1349">
        <v>43</v>
      </c>
      <c r="AB1349" t="s">
        <v>11435</v>
      </c>
      <c r="AE1349" t="s">
        <v>9251</v>
      </c>
      <c r="AF1349" s="4"/>
    </row>
    <row r="1350" spans="2:32">
      <c r="B1350" t="s">
        <v>9366</v>
      </c>
      <c r="C1350" t="s">
        <v>6223</v>
      </c>
      <c r="D1350" t="s">
        <v>54</v>
      </c>
      <c r="E1350">
        <v>4590020440</v>
      </c>
      <c r="F1350" t="s">
        <v>6219</v>
      </c>
      <c r="G1350">
        <v>4721.99</v>
      </c>
      <c r="I1350">
        <v>4721.99</v>
      </c>
      <c r="K1350" s="4">
        <v>45506</v>
      </c>
      <c r="L1350" s="4">
        <v>45509</v>
      </c>
      <c r="M1350">
        <v>2024</v>
      </c>
      <c r="N1350">
        <v>8</v>
      </c>
      <c r="O1350" s="4">
        <v>45505</v>
      </c>
      <c r="P1350" t="s">
        <v>625</v>
      </c>
      <c r="Q1350" s="4"/>
      <c r="S1350" t="s">
        <v>3295</v>
      </c>
      <c r="T1350">
        <v>45551</v>
      </c>
      <c r="U1350">
        <v>4721.99</v>
      </c>
      <c r="V1350">
        <v>1</v>
      </c>
      <c r="W1350" t="s">
        <v>17</v>
      </c>
      <c r="X1350" t="s">
        <v>3665</v>
      </c>
      <c r="Z1350">
        <v>46</v>
      </c>
      <c r="AA1350">
        <v>43</v>
      </c>
      <c r="AB1350" t="s">
        <v>11436</v>
      </c>
      <c r="AE1350" t="s">
        <v>9251</v>
      </c>
      <c r="AF1350" s="4"/>
    </row>
    <row r="1351" spans="2:32">
      <c r="B1351" t="s">
        <v>9366</v>
      </c>
      <c r="C1351" t="s">
        <v>6228</v>
      </c>
      <c r="D1351" t="s">
        <v>54</v>
      </c>
      <c r="E1351">
        <v>4590020442</v>
      </c>
      <c r="F1351" t="s">
        <v>6224</v>
      </c>
      <c r="G1351">
        <v>4721.99</v>
      </c>
      <c r="I1351">
        <v>4721.99</v>
      </c>
      <c r="K1351" s="4">
        <v>45506</v>
      </c>
      <c r="L1351" s="4">
        <v>45509</v>
      </c>
      <c r="M1351">
        <v>2024</v>
      </c>
      <c r="N1351">
        <v>8</v>
      </c>
      <c r="O1351" s="4">
        <v>45505</v>
      </c>
      <c r="P1351" t="s">
        <v>625</v>
      </c>
      <c r="Q1351" s="4"/>
      <c r="S1351" t="s">
        <v>3440</v>
      </c>
      <c r="T1351">
        <v>45551</v>
      </c>
      <c r="U1351">
        <v>4721.99</v>
      </c>
      <c r="V1351">
        <v>1</v>
      </c>
      <c r="W1351" t="s">
        <v>17</v>
      </c>
      <c r="X1351" t="s">
        <v>3665</v>
      </c>
      <c r="Z1351">
        <v>46</v>
      </c>
      <c r="AA1351">
        <v>43</v>
      </c>
      <c r="AB1351" t="s">
        <v>11437</v>
      </c>
      <c r="AE1351" t="s">
        <v>9251</v>
      </c>
      <c r="AF1351" s="4"/>
    </row>
    <row r="1352" spans="2:32">
      <c r="B1352" t="s">
        <v>9366</v>
      </c>
      <c r="C1352" t="s">
        <v>11438</v>
      </c>
      <c r="D1352" t="s">
        <v>54</v>
      </c>
      <c r="E1352" t="s">
        <v>6754</v>
      </c>
      <c r="F1352" t="s">
        <v>5543</v>
      </c>
      <c r="G1352">
        <v>23051.14</v>
      </c>
      <c r="I1352">
        <v>23051.14</v>
      </c>
      <c r="K1352" s="4">
        <v>45541</v>
      </c>
      <c r="L1352" s="4"/>
      <c r="O1352" s="4"/>
      <c r="Q1352" s="4"/>
      <c r="R1352" t="s">
        <v>11439</v>
      </c>
      <c r="S1352" t="s">
        <v>3492</v>
      </c>
      <c r="U1352">
        <v>23051.14</v>
      </c>
      <c r="V1352">
        <v>1</v>
      </c>
      <c r="W1352" t="s">
        <v>16</v>
      </c>
      <c r="X1352" t="s">
        <v>4109</v>
      </c>
      <c r="Z1352">
        <v>11</v>
      </c>
      <c r="AE1352" t="s">
        <v>3652</v>
      </c>
      <c r="AF1352" s="4"/>
    </row>
    <row r="1353" spans="2:32">
      <c r="B1353" t="s">
        <v>9366</v>
      </c>
      <c r="C1353" t="s">
        <v>6233</v>
      </c>
      <c r="D1353" t="s">
        <v>54</v>
      </c>
      <c r="E1353">
        <v>4590020443</v>
      </c>
      <c r="F1353" t="s">
        <v>6229</v>
      </c>
      <c r="G1353">
        <v>4721.99</v>
      </c>
      <c r="I1353">
        <v>4721.99</v>
      </c>
      <c r="K1353" s="4">
        <v>45506</v>
      </c>
      <c r="L1353" s="4">
        <v>45509</v>
      </c>
      <c r="M1353">
        <v>2024</v>
      </c>
      <c r="N1353">
        <v>8</v>
      </c>
      <c r="O1353" s="4">
        <v>45505</v>
      </c>
      <c r="P1353" t="s">
        <v>625</v>
      </c>
      <c r="Q1353" s="4"/>
      <c r="S1353" t="s">
        <v>3405</v>
      </c>
      <c r="T1353">
        <v>45551</v>
      </c>
      <c r="U1353">
        <v>4721.99</v>
      </c>
      <c r="V1353">
        <v>1</v>
      </c>
      <c r="W1353" t="s">
        <v>17</v>
      </c>
      <c r="X1353" t="s">
        <v>3665</v>
      </c>
      <c r="Z1353">
        <v>46</v>
      </c>
      <c r="AA1353">
        <v>43</v>
      </c>
      <c r="AB1353" t="s">
        <v>11440</v>
      </c>
      <c r="AE1353" t="s">
        <v>9251</v>
      </c>
      <c r="AF1353" s="4"/>
    </row>
    <row r="1354" spans="2:32">
      <c r="B1354" t="s">
        <v>9366</v>
      </c>
      <c r="C1354" t="s">
        <v>6238</v>
      </c>
      <c r="D1354" t="s">
        <v>54</v>
      </c>
      <c r="E1354">
        <v>4590020445</v>
      </c>
      <c r="F1354" t="s">
        <v>6234</v>
      </c>
      <c r="G1354">
        <v>5962.19</v>
      </c>
      <c r="I1354">
        <v>5962.19</v>
      </c>
      <c r="K1354" s="4">
        <v>45506</v>
      </c>
      <c r="L1354" s="4">
        <v>45509</v>
      </c>
      <c r="M1354">
        <v>2024</v>
      </c>
      <c r="N1354">
        <v>8</v>
      </c>
      <c r="O1354" s="4">
        <v>45505</v>
      </c>
      <c r="P1354" t="s">
        <v>625</v>
      </c>
      <c r="Q1354" s="4"/>
      <c r="S1354" t="s">
        <v>3204</v>
      </c>
      <c r="T1354">
        <v>45551</v>
      </c>
      <c r="U1354">
        <v>5962.19</v>
      </c>
      <c r="V1354">
        <v>1</v>
      </c>
      <c r="W1354" t="s">
        <v>17</v>
      </c>
      <c r="X1354" t="s">
        <v>3665</v>
      </c>
      <c r="Z1354">
        <v>46</v>
      </c>
      <c r="AA1354">
        <v>43</v>
      </c>
      <c r="AB1354" t="s">
        <v>11441</v>
      </c>
      <c r="AE1354" t="s">
        <v>9251</v>
      </c>
      <c r="AF1354" s="4"/>
    </row>
    <row r="1355" spans="2:32">
      <c r="B1355" t="s">
        <v>9366</v>
      </c>
      <c r="C1355" t="s">
        <v>6243</v>
      </c>
      <c r="D1355" t="s">
        <v>54</v>
      </c>
      <c r="E1355">
        <v>4590020448</v>
      </c>
      <c r="F1355" t="s">
        <v>6239</v>
      </c>
      <c r="G1355">
        <v>4721.99</v>
      </c>
      <c r="I1355">
        <v>4721.99</v>
      </c>
      <c r="K1355" s="4">
        <v>45506</v>
      </c>
      <c r="L1355" s="4">
        <v>45509</v>
      </c>
      <c r="M1355">
        <v>2024</v>
      </c>
      <c r="N1355">
        <v>8</v>
      </c>
      <c r="O1355" s="4">
        <v>45505</v>
      </c>
      <c r="P1355" t="s">
        <v>625</v>
      </c>
      <c r="Q1355" s="4"/>
      <c r="S1355" t="s">
        <v>3193</v>
      </c>
      <c r="T1355">
        <v>45551</v>
      </c>
      <c r="U1355">
        <v>4721.99</v>
      </c>
      <c r="V1355">
        <v>1</v>
      </c>
      <c r="W1355" t="s">
        <v>17</v>
      </c>
      <c r="X1355" t="s">
        <v>3665</v>
      </c>
      <c r="Z1355">
        <v>46</v>
      </c>
      <c r="AA1355">
        <v>43</v>
      </c>
      <c r="AB1355" t="s">
        <v>11442</v>
      </c>
      <c r="AE1355" t="s">
        <v>9251</v>
      </c>
      <c r="AF1355" s="4"/>
    </row>
    <row r="1356" spans="2:32">
      <c r="B1356" t="s">
        <v>9366</v>
      </c>
      <c r="C1356" t="s">
        <v>6248</v>
      </c>
      <c r="D1356" t="s">
        <v>54</v>
      </c>
      <c r="E1356">
        <v>4590020449</v>
      </c>
      <c r="F1356" t="s">
        <v>6244</v>
      </c>
      <c r="G1356">
        <v>4721.99</v>
      </c>
      <c r="I1356">
        <v>4721.99</v>
      </c>
      <c r="K1356" s="4">
        <v>45506</v>
      </c>
      <c r="L1356" s="4">
        <v>45509</v>
      </c>
      <c r="M1356">
        <v>2024</v>
      </c>
      <c r="N1356">
        <v>8</v>
      </c>
      <c r="O1356" s="4">
        <v>45505</v>
      </c>
      <c r="P1356" t="s">
        <v>625</v>
      </c>
      <c r="Q1356" s="4"/>
      <c r="S1356" t="s">
        <v>3363</v>
      </c>
      <c r="T1356">
        <v>45551</v>
      </c>
      <c r="U1356">
        <v>4721.99</v>
      </c>
      <c r="V1356">
        <v>1</v>
      </c>
      <c r="W1356" t="s">
        <v>17</v>
      </c>
      <c r="X1356" t="s">
        <v>3665</v>
      </c>
      <c r="Z1356">
        <v>46</v>
      </c>
      <c r="AA1356">
        <v>43</v>
      </c>
      <c r="AB1356" t="s">
        <v>11443</v>
      </c>
      <c r="AE1356" t="s">
        <v>9251</v>
      </c>
      <c r="AF1356" s="4"/>
    </row>
    <row r="1357" spans="2:32">
      <c r="B1357" t="s">
        <v>9366</v>
      </c>
      <c r="C1357" t="s">
        <v>6253</v>
      </c>
      <c r="D1357" t="s">
        <v>54</v>
      </c>
      <c r="E1357">
        <v>4590020450</v>
      </c>
      <c r="F1357" t="s">
        <v>6249</v>
      </c>
      <c r="G1357">
        <v>7107.86</v>
      </c>
      <c r="I1357">
        <v>7107.86</v>
      </c>
      <c r="K1357" s="4">
        <v>45506</v>
      </c>
      <c r="L1357" s="4">
        <v>45506</v>
      </c>
      <c r="M1357">
        <v>2024</v>
      </c>
      <c r="N1357">
        <v>8</v>
      </c>
      <c r="O1357" s="4">
        <v>45505</v>
      </c>
      <c r="P1357" t="s">
        <v>1473</v>
      </c>
      <c r="Q1357" s="4"/>
      <c r="S1357" t="s">
        <v>3396</v>
      </c>
      <c r="T1357">
        <v>45551</v>
      </c>
      <c r="U1357">
        <v>7107.86</v>
      </c>
      <c r="V1357">
        <v>1</v>
      </c>
      <c r="W1357" t="s">
        <v>17</v>
      </c>
      <c r="X1357" t="s">
        <v>4109</v>
      </c>
      <c r="Z1357">
        <v>46</v>
      </c>
      <c r="AA1357">
        <v>46</v>
      </c>
      <c r="AB1357" t="s">
        <v>11444</v>
      </c>
      <c r="AE1357" t="s">
        <v>9251</v>
      </c>
      <c r="AF1357" s="4"/>
    </row>
    <row r="1358" spans="2:32">
      <c r="B1358" t="s">
        <v>9366</v>
      </c>
      <c r="C1358" t="s">
        <v>6258</v>
      </c>
      <c r="D1358" t="s">
        <v>54</v>
      </c>
      <c r="E1358">
        <v>4590020451</v>
      </c>
      <c r="F1358" t="s">
        <v>6254</v>
      </c>
      <c r="G1358">
        <v>6574.76</v>
      </c>
      <c r="I1358">
        <v>6574.76</v>
      </c>
      <c r="K1358" s="4">
        <v>45506</v>
      </c>
      <c r="L1358" s="4">
        <v>45506</v>
      </c>
      <c r="M1358">
        <v>2024</v>
      </c>
      <c r="N1358">
        <v>8</v>
      </c>
      <c r="O1358" s="4">
        <v>45505</v>
      </c>
      <c r="P1358" t="s">
        <v>1473</v>
      </c>
      <c r="Q1358" s="4"/>
      <c r="S1358" t="s">
        <v>3346</v>
      </c>
      <c r="T1358">
        <v>45551</v>
      </c>
      <c r="U1358">
        <v>6574.76</v>
      </c>
      <c r="V1358">
        <v>1</v>
      </c>
      <c r="W1358" t="s">
        <v>17</v>
      </c>
      <c r="X1358" t="s">
        <v>4109</v>
      </c>
      <c r="Z1358">
        <v>46</v>
      </c>
      <c r="AA1358">
        <v>46</v>
      </c>
      <c r="AB1358" t="s">
        <v>11445</v>
      </c>
      <c r="AE1358" t="s">
        <v>9251</v>
      </c>
      <c r="AF1358" s="4"/>
    </row>
    <row r="1359" spans="2:32">
      <c r="B1359" t="s">
        <v>9366</v>
      </c>
      <c r="C1359" t="s">
        <v>6263</v>
      </c>
      <c r="D1359" t="s">
        <v>54</v>
      </c>
      <c r="E1359">
        <v>4590020452</v>
      </c>
      <c r="F1359" t="s">
        <v>6259</v>
      </c>
      <c r="G1359">
        <v>4980.46</v>
      </c>
      <c r="I1359">
        <v>4980.46</v>
      </c>
      <c r="K1359" s="4">
        <v>45506</v>
      </c>
      <c r="L1359" s="4">
        <v>45506</v>
      </c>
      <c r="M1359">
        <v>2024</v>
      </c>
      <c r="N1359">
        <v>8</v>
      </c>
      <c r="O1359" s="4">
        <v>45505</v>
      </c>
      <c r="P1359" t="s">
        <v>1473</v>
      </c>
      <c r="Q1359" s="4"/>
      <c r="S1359" t="s">
        <v>3370</v>
      </c>
      <c r="T1359">
        <v>45551</v>
      </c>
      <c r="U1359">
        <v>4980.46</v>
      </c>
      <c r="V1359">
        <v>1</v>
      </c>
      <c r="W1359" t="s">
        <v>17</v>
      </c>
      <c r="X1359" t="s">
        <v>4109</v>
      </c>
      <c r="Z1359">
        <v>46</v>
      </c>
      <c r="AA1359">
        <v>46</v>
      </c>
      <c r="AB1359" t="s">
        <v>11446</v>
      </c>
      <c r="AE1359" t="s">
        <v>9251</v>
      </c>
      <c r="AF1359" s="4"/>
    </row>
    <row r="1360" spans="2:32">
      <c r="B1360" t="s">
        <v>9366</v>
      </c>
      <c r="C1360" t="s">
        <v>6268</v>
      </c>
      <c r="D1360" t="s">
        <v>54</v>
      </c>
      <c r="E1360">
        <v>4590020453</v>
      </c>
      <c r="F1360" t="s">
        <v>6264</v>
      </c>
      <c r="G1360">
        <v>7107.86</v>
      </c>
      <c r="I1360">
        <v>7107.86</v>
      </c>
      <c r="K1360" s="4">
        <v>45506</v>
      </c>
      <c r="L1360" s="4">
        <v>45506</v>
      </c>
      <c r="M1360">
        <v>2024</v>
      </c>
      <c r="N1360">
        <v>8</v>
      </c>
      <c r="O1360" s="4">
        <v>45505</v>
      </c>
      <c r="P1360" t="s">
        <v>1473</v>
      </c>
      <c r="Q1360" s="4"/>
      <c r="S1360" t="s">
        <v>3348</v>
      </c>
      <c r="T1360">
        <v>45551</v>
      </c>
      <c r="U1360">
        <v>7107.86</v>
      </c>
      <c r="V1360">
        <v>1</v>
      </c>
      <c r="W1360" t="s">
        <v>17</v>
      </c>
      <c r="X1360" t="s">
        <v>4109</v>
      </c>
      <c r="Z1360">
        <v>46</v>
      </c>
      <c r="AA1360">
        <v>46</v>
      </c>
      <c r="AB1360" t="s">
        <v>11447</v>
      </c>
      <c r="AE1360" t="s">
        <v>9251</v>
      </c>
      <c r="AF1360" s="4"/>
    </row>
    <row r="1361" spans="2:32">
      <c r="B1361" t="s">
        <v>9366</v>
      </c>
      <c r="C1361" t="s">
        <v>6287</v>
      </c>
      <c r="D1361" t="s">
        <v>54</v>
      </c>
      <c r="E1361">
        <v>4590020455</v>
      </c>
      <c r="F1361" t="s">
        <v>6284</v>
      </c>
      <c r="G1361">
        <v>7638.96</v>
      </c>
      <c r="I1361">
        <v>7638.96</v>
      </c>
      <c r="K1361" s="4">
        <v>45520</v>
      </c>
      <c r="L1361" s="4">
        <v>45520</v>
      </c>
      <c r="M1361">
        <v>2024</v>
      </c>
      <c r="N1361">
        <v>8</v>
      </c>
      <c r="O1361" s="4">
        <v>45505</v>
      </c>
      <c r="P1361" t="s">
        <v>1473</v>
      </c>
      <c r="Q1361" s="4"/>
      <c r="S1361" t="s">
        <v>3359</v>
      </c>
      <c r="T1361">
        <v>45551</v>
      </c>
      <c r="U1361">
        <v>7638.96</v>
      </c>
      <c r="V1361">
        <v>1</v>
      </c>
      <c r="W1361" t="s">
        <v>17</v>
      </c>
      <c r="X1361" t="s">
        <v>4014</v>
      </c>
      <c r="Z1361">
        <v>32</v>
      </c>
      <c r="AA1361">
        <v>32</v>
      </c>
      <c r="AB1361" t="s">
        <v>11448</v>
      </c>
      <c r="AE1361" t="s">
        <v>9251</v>
      </c>
      <c r="AF1361" s="4"/>
    </row>
    <row r="1362" spans="2:32">
      <c r="B1362" t="s">
        <v>9366</v>
      </c>
      <c r="C1362" t="s">
        <v>6278</v>
      </c>
      <c r="D1362" t="s">
        <v>54</v>
      </c>
      <c r="E1362">
        <v>4590020456</v>
      </c>
      <c r="F1362" t="s">
        <v>6274</v>
      </c>
      <c r="G1362">
        <v>10407.370000000001</v>
      </c>
      <c r="I1362">
        <v>10407.370000000001</v>
      </c>
      <c r="K1362" s="4">
        <v>45506</v>
      </c>
      <c r="L1362" s="4">
        <v>45506</v>
      </c>
      <c r="M1362">
        <v>2024</v>
      </c>
      <c r="N1362">
        <v>8</v>
      </c>
      <c r="O1362" s="4">
        <v>45505</v>
      </c>
      <c r="P1362" t="s">
        <v>1473</v>
      </c>
      <c r="Q1362" s="4"/>
      <c r="S1362" t="s">
        <v>3170</v>
      </c>
      <c r="T1362">
        <v>45551</v>
      </c>
      <c r="U1362">
        <v>10407.370000000001</v>
      </c>
      <c r="V1362">
        <v>1</v>
      </c>
      <c r="W1362" t="s">
        <v>17</v>
      </c>
      <c r="X1362" t="s">
        <v>3711</v>
      </c>
      <c r="Z1362">
        <v>46</v>
      </c>
      <c r="AA1362">
        <v>46</v>
      </c>
      <c r="AB1362" t="s">
        <v>11449</v>
      </c>
      <c r="AE1362" t="s">
        <v>9251</v>
      </c>
      <c r="AF1362" s="4"/>
    </row>
    <row r="1363" spans="2:32">
      <c r="B1363" t="s">
        <v>9366</v>
      </c>
      <c r="C1363" t="s">
        <v>6283</v>
      </c>
      <c r="D1363" t="s">
        <v>54</v>
      </c>
      <c r="E1363">
        <v>4590020457</v>
      </c>
      <c r="F1363" t="s">
        <v>6279</v>
      </c>
      <c r="G1363">
        <v>4468.1499999999996</v>
      </c>
      <c r="I1363">
        <v>4468.1499999999996</v>
      </c>
      <c r="K1363" s="4">
        <v>45506</v>
      </c>
      <c r="L1363" s="4">
        <v>45509</v>
      </c>
      <c r="M1363">
        <v>2024</v>
      </c>
      <c r="N1363">
        <v>8</v>
      </c>
      <c r="O1363" s="4">
        <v>45505</v>
      </c>
      <c r="P1363" t="s">
        <v>1473</v>
      </c>
      <c r="Q1363" s="4"/>
      <c r="S1363" t="s">
        <v>4660</v>
      </c>
      <c r="T1363">
        <v>45551</v>
      </c>
      <c r="U1363">
        <v>4468.1499999999996</v>
      </c>
      <c r="V1363">
        <v>1</v>
      </c>
      <c r="W1363" t="s">
        <v>17</v>
      </c>
      <c r="X1363" t="s">
        <v>3711</v>
      </c>
      <c r="Z1363">
        <v>46</v>
      </c>
      <c r="AA1363">
        <v>43</v>
      </c>
      <c r="AB1363" t="s">
        <v>11450</v>
      </c>
      <c r="AE1363" t="s">
        <v>9251</v>
      </c>
      <c r="AF1363" s="4"/>
    </row>
    <row r="1364" spans="2:32">
      <c r="B1364" t="s">
        <v>9366</v>
      </c>
      <c r="C1364" t="s">
        <v>6292</v>
      </c>
      <c r="D1364" t="s">
        <v>54</v>
      </c>
      <c r="E1364">
        <v>4590020459</v>
      </c>
      <c r="F1364" t="s">
        <v>6289</v>
      </c>
      <c r="G1364">
        <v>4721.99</v>
      </c>
      <c r="I1364">
        <v>4721.99</v>
      </c>
      <c r="K1364" s="4">
        <v>45506</v>
      </c>
      <c r="L1364" s="4">
        <v>45509</v>
      </c>
      <c r="M1364">
        <v>2024</v>
      </c>
      <c r="N1364">
        <v>8</v>
      </c>
      <c r="O1364" s="4">
        <v>45505</v>
      </c>
      <c r="P1364" t="s">
        <v>625</v>
      </c>
      <c r="Q1364" s="4"/>
      <c r="S1364" t="s">
        <v>3307</v>
      </c>
      <c r="T1364">
        <v>45551</v>
      </c>
      <c r="U1364">
        <v>4721.99</v>
      </c>
      <c r="V1364">
        <v>1</v>
      </c>
      <c r="W1364" t="s">
        <v>17</v>
      </c>
      <c r="X1364" t="s">
        <v>4823</v>
      </c>
      <c r="Z1364">
        <v>46</v>
      </c>
      <c r="AA1364">
        <v>43</v>
      </c>
      <c r="AB1364" t="s">
        <v>11451</v>
      </c>
      <c r="AE1364" t="s">
        <v>9251</v>
      </c>
      <c r="AF1364" s="4"/>
    </row>
    <row r="1365" spans="2:32">
      <c r="B1365" t="s">
        <v>9366</v>
      </c>
      <c r="C1365" t="s">
        <v>6296</v>
      </c>
      <c r="D1365" t="s">
        <v>54</v>
      </c>
      <c r="E1365">
        <v>4590020460</v>
      </c>
      <c r="F1365" t="s">
        <v>6293</v>
      </c>
      <c r="G1365">
        <v>6339.4</v>
      </c>
      <c r="I1365">
        <v>6339.4</v>
      </c>
      <c r="K1365" s="4">
        <v>45506</v>
      </c>
      <c r="L1365" s="4">
        <v>45509</v>
      </c>
      <c r="M1365">
        <v>2024</v>
      </c>
      <c r="N1365">
        <v>8</v>
      </c>
      <c r="O1365" s="4">
        <v>45505</v>
      </c>
      <c r="P1365" t="s">
        <v>1473</v>
      </c>
      <c r="Q1365" s="4"/>
      <c r="S1365" t="s">
        <v>4663</v>
      </c>
      <c r="T1365">
        <v>45551</v>
      </c>
      <c r="U1365">
        <v>6339.4</v>
      </c>
      <c r="V1365">
        <v>1</v>
      </c>
      <c r="W1365" t="s">
        <v>17</v>
      </c>
      <c r="X1365" t="s">
        <v>4823</v>
      </c>
      <c r="Z1365">
        <v>46</v>
      </c>
      <c r="AA1365">
        <v>43</v>
      </c>
      <c r="AB1365" t="s">
        <v>11452</v>
      </c>
      <c r="AE1365" t="s">
        <v>9251</v>
      </c>
      <c r="AF1365" s="4"/>
    </row>
    <row r="1366" spans="2:32">
      <c r="B1366" t="s">
        <v>9366</v>
      </c>
      <c r="C1366" t="s">
        <v>5912</v>
      </c>
      <c r="D1366" t="s">
        <v>54</v>
      </c>
      <c r="E1366">
        <v>4590006324</v>
      </c>
      <c r="F1366" t="s">
        <v>5906</v>
      </c>
      <c r="G1366">
        <v>11907.31</v>
      </c>
      <c r="I1366">
        <v>11907.31</v>
      </c>
      <c r="K1366" s="4">
        <v>45548</v>
      </c>
      <c r="L1366" s="4">
        <v>45548</v>
      </c>
      <c r="O1366" s="4"/>
      <c r="P1366" t="s">
        <v>1473</v>
      </c>
      <c r="Q1366" s="4"/>
      <c r="U1366">
        <v>120783</v>
      </c>
      <c r="V1366">
        <v>9.8584320641149831E-2</v>
      </c>
      <c r="W1366" t="s">
        <v>10</v>
      </c>
      <c r="X1366" t="s">
        <v>10</v>
      </c>
      <c r="Z1366">
        <v>4</v>
      </c>
      <c r="AA1366">
        <v>4</v>
      </c>
      <c r="AB1366" t="s">
        <v>9385</v>
      </c>
      <c r="AE1366" t="s">
        <v>9251</v>
      </c>
      <c r="AF1366" s="4"/>
    </row>
    <row r="1367" spans="2:32">
      <c r="B1367" t="s">
        <v>9366</v>
      </c>
      <c r="C1367" t="s">
        <v>3700</v>
      </c>
      <c r="D1367" t="s">
        <v>54</v>
      </c>
      <c r="E1367">
        <v>4590006455</v>
      </c>
      <c r="F1367" t="s">
        <v>3697</v>
      </c>
      <c r="G1367">
        <v>8620.6299999999992</v>
      </c>
      <c r="I1367">
        <v>8620.6299999999992</v>
      </c>
      <c r="K1367" s="4">
        <v>45548</v>
      </c>
      <c r="L1367" s="4">
        <v>45548</v>
      </c>
      <c r="O1367" s="4"/>
      <c r="P1367" t="s">
        <v>1473</v>
      </c>
      <c r="Q1367" s="4"/>
      <c r="S1367" t="s">
        <v>3698</v>
      </c>
      <c r="U1367">
        <v>8620.6299999999992</v>
      </c>
      <c r="V1367">
        <v>1</v>
      </c>
      <c r="W1367" t="s">
        <v>17</v>
      </c>
      <c r="X1367" t="s">
        <v>3681</v>
      </c>
      <c r="Y1367" t="s">
        <v>3699</v>
      </c>
      <c r="Z1367">
        <v>4</v>
      </c>
      <c r="AA1367">
        <v>4</v>
      </c>
      <c r="AB1367" t="s">
        <v>11453</v>
      </c>
      <c r="AE1367" t="s">
        <v>9251</v>
      </c>
      <c r="AF1367" s="4"/>
    </row>
    <row r="1368" spans="2:32">
      <c r="B1368" t="s">
        <v>9366</v>
      </c>
      <c r="C1368" t="s">
        <v>4163</v>
      </c>
      <c r="D1368" t="s">
        <v>54</v>
      </c>
      <c r="E1368">
        <v>4590014335</v>
      </c>
      <c r="F1368" t="s">
        <v>4158</v>
      </c>
      <c r="G1368">
        <v>2865.41</v>
      </c>
      <c r="I1368">
        <v>2865.41</v>
      </c>
      <c r="K1368" s="4">
        <v>45345</v>
      </c>
      <c r="L1368" s="4">
        <v>45546</v>
      </c>
      <c r="M1368">
        <v>2024</v>
      </c>
      <c r="N1368">
        <v>2</v>
      </c>
      <c r="O1368" s="4">
        <v>45323</v>
      </c>
      <c r="P1368" t="s">
        <v>1473</v>
      </c>
      <c r="Q1368" s="4"/>
      <c r="R1368" t="s">
        <v>11454</v>
      </c>
      <c r="S1368" t="s">
        <v>3155</v>
      </c>
      <c r="U1368">
        <v>2865.41</v>
      </c>
      <c r="V1368">
        <v>1</v>
      </c>
      <c r="W1368" t="s">
        <v>17</v>
      </c>
      <c r="X1368" t="s">
        <v>3828</v>
      </c>
      <c r="Z1368">
        <v>207</v>
      </c>
      <c r="AA1368">
        <v>6</v>
      </c>
      <c r="AB1368" t="s">
        <v>11455</v>
      </c>
      <c r="AC1368" t="s">
        <v>837</v>
      </c>
      <c r="AD1368" t="s">
        <v>837</v>
      </c>
      <c r="AE1368" t="s">
        <v>9251</v>
      </c>
      <c r="AF1368" s="4"/>
    </row>
    <row r="1369" spans="2:32">
      <c r="B1369" t="s">
        <v>9366</v>
      </c>
      <c r="C1369" t="s">
        <v>6447</v>
      </c>
      <c r="D1369" t="s">
        <v>54</v>
      </c>
      <c r="E1369">
        <v>4590022409</v>
      </c>
      <c r="F1369" t="s">
        <v>6443</v>
      </c>
      <c r="G1369">
        <v>3294.06</v>
      </c>
      <c r="I1369">
        <v>3294.06</v>
      </c>
      <c r="K1369" s="4">
        <v>45548</v>
      </c>
      <c r="L1369" s="4">
        <v>45548</v>
      </c>
      <c r="O1369" s="4"/>
      <c r="P1369" t="s">
        <v>1473</v>
      </c>
      <c r="Q1369" s="4"/>
      <c r="S1369" t="s">
        <v>3769</v>
      </c>
      <c r="U1369">
        <v>3294.06</v>
      </c>
      <c r="V1369">
        <v>1</v>
      </c>
      <c r="W1369" t="s">
        <v>17</v>
      </c>
      <c r="X1369" t="s">
        <v>3770</v>
      </c>
      <c r="Y1369" t="s">
        <v>3719</v>
      </c>
      <c r="Z1369">
        <v>4</v>
      </c>
      <c r="AA1369">
        <v>4</v>
      </c>
      <c r="AB1369" t="s">
        <v>11456</v>
      </c>
      <c r="AE1369" t="s">
        <v>9251</v>
      </c>
      <c r="AF1369" s="4"/>
    </row>
    <row r="1370" spans="2:32">
      <c r="B1370" t="s">
        <v>9366</v>
      </c>
      <c r="C1370" t="s">
        <v>6452</v>
      </c>
      <c r="D1370" t="s">
        <v>54</v>
      </c>
      <c r="E1370">
        <v>4590022410</v>
      </c>
      <c r="F1370" t="s">
        <v>6448</v>
      </c>
      <c r="G1370">
        <v>3294.06</v>
      </c>
      <c r="I1370">
        <v>3294.06</v>
      </c>
      <c r="K1370" s="4">
        <v>45548</v>
      </c>
      <c r="L1370" s="4">
        <v>45548</v>
      </c>
      <c r="O1370" s="4"/>
      <c r="P1370" t="s">
        <v>1473</v>
      </c>
      <c r="Q1370" s="4"/>
      <c r="S1370" t="s">
        <v>3783</v>
      </c>
      <c r="U1370">
        <v>3294.06</v>
      </c>
      <c r="V1370">
        <v>1</v>
      </c>
      <c r="W1370" t="s">
        <v>17</v>
      </c>
      <c r="X1370" t="s">
        <v>3770</v>
      </c>
      <c r="Y1370" t="s">
        <v>3719</v>
      </c>
      <c r="Z1370">
        <v>4</v>
      </c>
      <c r="AA1370">
        <v>4</v>
      </c>
      <c r="AB1370" t="s">
        <v>11457</v>
      </c>
      <c r="AE1370" t="s">
        <v>9251</v>
      </c>
      <c r="AF1370" s="4"/>
    </row>
    <row r="1371" spans="2:32">
      <c r="B1371" t="s">
        <v>9366</v>
      </c>
      <c r="C1371" t="s">
        <v>6457</v>
      </c>
      <c r="D1371" t="s">
        <v>54</v>
      </c>
      <c r="E1371">
        <v>4590022411</v>
      </c>
      <c r="F1371" t="s">
        <v>6453</v>
      </c>
      <c r="G1371">
        <v>3294.06</v>
      </c>
      <c r="I1371">
        <v>3294.06</v>
      </c>
      <c r="K1371" s="4">
        <v>45548</v>
      </c>
      <c r="L1371" s="4">
        <v>45548</v>
      </c>
      <c r="O1371" s="4"/>
      <c r="P1371" t="s">
        <v>1473</v>
      </c>
      <c r="Q1371" s="4"/>
      <c r="S1371" t="s">
        <v>4402</v>
      </c>
      <c r="U1371">
        <v>3294.06</v>
      </c>
      <c r="V1371">
        <v>1</v>
      </c>
      <c r="W1371" t="s">
        <v>17</v>
      </c>
      <c r="X1371" t="s">
        <v>3770</v>
      </c>
      <c r="Y1371" t="s">
        <v>3719</v>
      </c>
      <c r="Z1371">
        <v>4</v>
      </c>
      <c r="AA1371">
        <v>4</v>
      </c>
      <c r="AB1371" t="s">
        <v>11458</v>
      </c>
      <c r="AE1371" t="s">
        <v>9251</v>
      </c>
      <c r="AF1371" s="4"/>
    </row>
    <row r="1372" spans="2:32">
      <c r="B1372" t="s">
        <v>9366</v>
      </c>
      <c r="C1372" t="s">
        <v>6462</v>
      </c>
      <c r="D1372" t="s">
        <v>54</v>
      </c>
      <c r="E1372">
        <v>4590022412</v>
      </c>
      <c r="F1372" t="s">
        <v>6458</v>
      </c>
      <c r="G1372">
        <v>6587.12</v>
      </c>
      <c r="I1372">
        <v>6587.12</v>
      </c>
      <c r="K1372" s="4">
        <v>45548</v>
      </c>
      <c r="L1372" s="4">
        <v>45548</v>
      </c>
      <c r="O1372" s="4"/>
      <c r="P1372" t="s">
        <v>1473</v>
      </c>
      <c r="Q1372" s="4"/>
      <c r="S1372" t="s">
        <v>3808</v>
      </c>
      <c r="U1372">
        <v>6587.12</v>
      </c>
      <c r="V1372">
        <v>1</v>
      </c>
      <c r="W1372" t="s">
        <v>17</v>
      </c>
      <c r="X1372" t="s">
        <v>3770</v>
      </c>
      <c r="Y1372" t="s">
        <v>3719</v>
      </c>
      <c r="Z1372">
        <v>4</v>
      </c>
      <c r="AA1372">
        <v>4</v>
      </c>
      <c r="AB1372" t="s">
        <v>11459</v>
      </c>
      <c r="AE1372" t="s">
        <v>9251</v>
      </c>
      <c r="AF1372" s="4"/>
    </row>
    <row r="1373" spans="2:32">
      <c r="B1373" t="s">
        <v>9366</v>
      </c>
      <c r="C1373" t="s">
        <v>4488</v>
      </c>
      <c r="D1373" t="s">
        <v>54</v>
      </c>
      <c r="E1373" t="s">
        <v>10056</v>
      </c>
      <c r="F1373" t="s">
        <v>4485</v>
      </c>
      <c r="G1373">
        <v>2344.8719999999998</v>
      </c>
      <c r="I1373">
        <v>2344.8719999999998</v>
      </c>
      <c r="K1373" s="4">
        <v>45548</v>
      </c>
      <c r="L1373" s="4">
        <v>45548</v>
      </c>
      <c r="O1373" s="4"/>
      <c r="P1373" t="s">
        <v>1473</v>
      </c>
      <c r="Q1373" s="4"/>
      <c r="S1373" t="s">
        <v>4487</v>
      </c>
      <c r="U1373">
        <v>3908.12</v>
      </c>
      <c r="V1373">
        <v>0.6</v>
      </c>
      <c r="W1373" t="s">
        <v>16</v>
      </c>
      <c r="X1373" t="s">
        <v>3665</v>
      </c>
      <c r="Y1373" t="s">
        <v>3719</v>
      </c>
      <c r="Z1373">
        <v>4</v>
      </c>
      <c r="AA1373">
        <v>4</v>
      </c>
      <c r="AB1373" t="s">
        <v>9766</v>
      </c>
      <c r="AE1373" t="s">
        <v>9251</v>
      </c>
      <c r="AF1373" s="4"/>
    </row>
    <row r="1374" spans="2:32">
      <c r="B1374" t="s">
        <v>9366</v>
      </c>
      <c r="C1374" t="s">
        <v>4494</v>
      </c>
      <c r="D1374" t="s">
        <v>54</v>
      </c>
      <c r="E1374" t="s">
        <v>10060</v>
      </c>
      <c r="F1374" t="s">
        <v>4492</v>
      </c>
      <c r="G1374">
        <v>2344.8719999999998</v>
      </c>
      <c r="I1374">
        <v>2344.8719999999998</v>
      </c>
      <c r="K1374" s="4">
        <v>45548</v>
      </c>
      <c r="L1374" s="4">
        <v>45548</v>
      </c>
      <c r="O1374" s="4"/>
      <c r="P1374" t="s">
        <v>1473</v>
      </c>
      <c r="Q1374" s="4"/>
      <c r="S1374" t="s">
        <v>4493</v>
      </c>
      <c r="U1374">
        <v>3908.12</v>
      </c>
      <c r="V1374">
        <v>0.6</v>
      </c>
      <c r="W1374" t="s">
        <v>16</v>
      </c>
      <c r="X1374" t="s">
        <v>3665</v>
      </c>
      <c r="Y1374" t="s">
        <v>3719</v>
      </c>
      <c r="Z1374">
        <v>4</v>
      </c>
      <c r="AA1374">
        <v>4</v>
      </c>
      <c r="AB1374" t="s">
        <v>9766</v>
      </c>
      <c r="AE1374" t="s">
        <v>9251</v>
      </c>
      <c r="AF1374" s="4"/>
    </row>
    <row r="1375" spans="2:32">
      <c r="B1375" t="s">
        <v>9366</v>
      </c>
      <c r="C1375" t="s">
        <v>5121</v>
      </c>
      <c r="D1375" t="s">
        <v>54</v>
      </c>
      <c r="E1375" t="s">
        <v>11460</v>
      </c>
      <c r="F1375" t="s">
        <v>5119</v>
      </c>
      <c r="G1375">
        <v>2286.87</v>
      </c>
      <c r="I1375">
        <v>2286.87</v>
      </c>
      <c r="K1375" s="4">
        <v>45548</v>
      </c>
      <c r="L1375" s="4">
        <v>45548</v>
      </c>
      <c r="O1375" s="4"/>
      <c r="P1375" t="s">
        <v>1473</v>
      </c>
      <c r="Q1375" s="4"/>
      <c r="S1375" t="s">
        <v>3438</v>
      </c>
      <c r="U1375">
        <v>2286.87</v>
      </c>
      <c r="V1375">
        <v>1</v>
      </c>
      <c r="W1375" t="s">
        <v>16</v>
      </c>
      <c r="X1375" t="s">
        <v>3911</v>
      </c>
      <c r="Y1375" t="s">
        <v>5120</v>
      </c>
      <c r="Z1375">
        <v>4</v>
      </c>
      <c r="AA1375">
        <v>4</v>
      </c>
      <c r="AB1375" t="s">
        <v>11461</v>
      </c>
      <c r="AE1375" t="s">
        <v>9251</v>
      </c>
      <c r="AF1375" s="4"/>
    </row>
    <row r="1376" spans="2:32">
      <c r="B1376" t="s">
        <v>9366</v>
      </c>
      <c r="C1376" t="s">
        <v>5155</v>
      </c>
      <c r="D1376" t="s">
        <v>54</v>
      </c>
      <c r="E1376" t="s">
        <v>11462</v>
      </c>
      <c r="F1376" t="s">
        <v>5154</v>
      </c>
      <c r="G1376">
        <v>2286.87</v>
      </c>
      <c r="I1376">
        <v>2286.87</v>
      </c>
      <c r="K1376" s="4">
        <v>45548</v>
      </c>
      <c r="L1376" s="4">
        <v>45548</v>
      </c>
      <c r="O1376" s="4"/>
      <c r="P1376" t="s">
        <v>1473</v>
      </c>
      <c r="Q1376" s="4"/>
      <c r="S1376" t="s">
        <v>3436</v>
      </c>
      <c r="U1376">
        <v>2286.87</v>
      </c>
      <c r="V1376">
        <v>1</v>
      </c>
      <c r="W1376" t="s">
        <v>16</v>
      </c>
      <c r="X1376" t="s">
        <v>3911</v>
      </c>
      <c r="Y1376" t="s">
        <v>5120</v>
      </c>
      <c r="Z1376">
        <v>4</v>
      </c>
      <c r="AA1376">
        <v>4</v>
      </c>
      <c r="AB1376" t="s">
        <v>11461</v>
      </c>
      <c r="AE1376" t="s">
        <v>9251</v>
      </c>
      <c r="AF1376" s="4"/>
    </row>
    <row r="1377" spans="2:32">
      <c r="B1377" t="s">
        <v>9366</v>
      </c>
      <c r="C1377" t="s">
        <v>5422</v>
      </c>
      <c r="D1377" t="s">
        <v>54</v>
      </c>
      <c r="E1377" t="s">
        <v>11463</v>
      </c>
      <c r="F1377" t="s">
        <v>5421</v>
      </c>
      <c r="G1377">
        <v>34802</v>
      </c>
      <c r="I1377">
        <v>34802</v>
      </c>
      <c r="K1377" s="4">
        <v>45548</v>
      </c>
      <c r="L1377" s="4">
        <v>45548</v>
      </c>
      <c r="O1377" s="4"/>
      <c r="P1377" t="s">
        <v>1473</v>
      </c>
      <c r="Q1377" s="4"/>
      <c r="S1377" t="s">
        <v>4509</v>
      </c>
      <c r="U1377">
        <v>34802</v>
      </c>
      <c r="V1377">
        <v>1</v>
      </c>
      <c r="W1377" t="s">
        <v>17</v>
      </c>
      <c r="X1377" t="s">
        <v>3665</v>
      </c>
      <c r="Y1377" t="s">
        <v>3719</v>
      </c>
      <c r="Z1377">
        <v>4</v>
      </c>
      <c r="AA1377">
        <v>4</v>
      </c>
      <c r="AB1377" t="s">
        <v>11025</v>
      </c>
      <c r="AE1377" t="s">
        <v>9251</v>
      </c>
      <c r="AF1377" s="4"/>
    </row>
    <row r="1378" spans="2:32">
      <c r="B1378" t="s">
        <v>9366</v>
      </c>
      <c r="C1378" t="s">
        <v>5435</v>
      </c>
      <c r="D1378" t="s">
        <v>54</v>
      </c>
      <c r="E1378" t="s">
        <v>11038</v>
      </c>
      <c r="F1378" t="s">
        <v>5434</v>
      </c>
      <c r="G1378">
        <v>18070.400000000001</v>
      </c>
      <c r="I1378">
        <v>18070.400000000001</v>
      </c>
      <c r="K1378" s="4">
        <v>45548</v>
      </c>
      <c r="L1378" s="4">
        <v>45548</v>
      </c>
      <c r="O1378" s="4"/>
      <c r="P1378" t="s">
        <v>1473</v>
      </c>
      <c r="Q1378" s="4"/>
      <c r="S1378" t="s">
        <v>4493</v>
      </c>
      <c r="U1378">
        <v>34754</v>
      </c>
      <c r="V1378">
        <v>0.52</v>
      </c>
      <c r="W1378" t="s">
        <v>17</v>
      </c>
      <c r="X1378" t="s">
        <v>3665</v>
      </c>
      <c r="Y1378" t="s">
        <v>3719</v>
      </c>
      <c r="Z1378">
        <v>4</v>
      </c>
      <c r="AA1378">
        <v>4</v>
      </c>
      <c r="AB1378" t="s">
        <v>11025</v>
      </c>
      <c r="AE1378" t="s">
        <v>9251</v>
      </c>
      <c r="AF1378" s="4"/>
    </row>
    <row r="1379" spans="2:32">
      <c r="B1379" t="s">
        <v>9366</v>
      </c>
      <c r="C1379" t="s">
        <v>5441</v>
      </c>
      <c r="D1379" t="s">
        <v>54</v>
      </c>
      <c r="E1379" t="s">
        <v>11047</v>
      </c>
      <c r="F1379" t="s">
        <v>5440</v>
      </c>
      <c r="G1379">
        <v>25025.399999999998</v>
      </c>
      <c r="I1379">
        <v>25025.399999999998</v>
      </c>
      <c r="K1379" s="4">
        <v>45548</v>
      </c>
      <c r="L1379" s="4">
        <v>45548</v>
      </c>
      <c r="O1379" s="4"/>
      <c r="P1379" t="s">
        <v>1473</v>
      </c>
      <c r="Q1379" s="4"/>
      <c r="S1379" t="s">
        <v>4487</v>
      </c>
      <c r="U1379">
        <v>41709</v>
      </c>
      <c r="V1379">
        <v>0.6</v>
      </c>
      <c r="W1379" t="s">
        <v>17</v>
      </c>
      <c r="X1379" t="s">
        <v>3665</v>
      </c>
      <c r="Y1379" t="s">
        <v>3719</v>
      </c>
      <c r="Z1379">
        <v>4</v>
      </c>
      <c r="AA1379">
        <v>4</v>
      </c>
      <c r="AB1379" t="s">
        <v>11025</v>
      </c>
      <c r="AE1379" t="s">
        <v>9251</v>
      </c>
      <c r="AF1379" s="4"/>
    </row>
    <row r="1380" spans="2:32">
      <c r="I1380">
        <v>0</v>
      </c>
      <c r="K1380" s="4"/>
      <c r="L1380" s="4"/>
      <c r="O1380" s="4"/>
      <c r="Q1380" s="4"/>
      <c r="AE1380" t="s">
        <v>3652</v>
      </c>
      <c r="AF1380" s="4"/>
    </row>
    <row r="1381" spans="2:32">
      <c r="B1381" t="s">
        <v>2546</v>
      </c>
      <c r="I1381">
        <v>5134619.4119999977</v>
      </c>
      <c r="J1381">
        <v>0</v>
      </c>
      <c r="K1381" s="4"/>
      <c r="L1381" s="4"/>
      <c r="O1381" s="4"/>
      <c r="Q1381" s="4"/>
      <c r="AA1381">
        <v>241</v>
      </c>
      <c r="AF1381" s="4"/>
    </row>
    <row r="1382" spans="2:32">
      <c r="K1382" s="4"/>
      <c r="L1382" s="4"/>
      <c r="O1382" s="4"/>
      <c r="Q1382" s="4"/>
      <c r="AF1382" s="4"/>
    </row>
    <row r="1383" spans="2:32">
      <c r="K1383" s="4"/>
      <c r="L1383" s="4"/>
      <c r="O1383" s="4"/>
      <c r="Q1383" s="4"/>
      <c r="AF1383" s="4"/>
    </row>
    <row r="1384" spans="2:32">
      <c r="K1384" s="4"/>
      <c r="L1384" s="4"/>
      <c r="O1384" s="4"/>
      <c r="Q1384" s="4"/>
      <c r="AF1384" s="4"/>
    </row>
    <row r="1385" spans="2:32">
      <c r="K1385" s="4"/>
      <c r="L1385" s="4"/>
      <c r="O1385" s="4"/>
      <c r="Q1385" s="4"/>
      <c r="AF1385" s="4"/>
    </row>
    <row r="1386" spans="2:32">
      <c r="K1386" s="4"/>
      <c r="L1386" s="4"/>
      <c r="O1386" s="4"/>
      <c r="Q1386" s="4"/>
      <c r="AF1386" s="4"/>
    </row>
    <row r="1387" spans="2:32">
      <c r="K1387" s="4"/>
      <c r="L1387" s="4"/>
      <c r="O1387" s="4"/>
      <c r="Q1387" s="4"/>
      <c r="AF1387" s="4"/>
    </row>
    <row r="1388" spans="2:32">
      <c r="K1388" s="4"/>
      <c r="L1388" s="4"/>
      <c r="O1388" s="4"/>
      <c r="Q1388" s="4"/>
      <c r="AF1388" s="4"/>
    </row>
    <row r="1389" spans="2:32">
      <c r="K1389" s="4"/>
      <c r="L1389" s="4"/>
      <c r="O1389" s="4"/>
      <c r="Q1389" s="4"/>
      <c r="AF1389" s="4"/>
    </row>
    <row r="1390" spans="2:32">
      <c r="K1390" s="4"/>
      <c r="L1390" s="4"/>
      <c r="O1390" s="4"/>
      <c r="Q1390" s="4"/>
      <c r="AF1390" s="4"/>
    </row>
    <row r="1391" spans="2:32">
      <c r="K1391" s="4"/>
      <c r="L1391" s="4"/>
      <c r="O1391" s="4"/>
      <c r="Q1391" s="4"/>
      <c r="AF1391" s="4"/>
    </row>
    <row r="1392" spans="2:32">
      <c r="K1392" s="4"/>
      <c r="L1392" s="4"/>
      <c r="O1392" s="4"/>
      <c r="Q1392" s="4"/>
      <c r="AF1392" s="4"/>
    </row>
    <row r="1393" spans="11:32">
      <c r="K1393" s="4"/>
      <c r="L1393" s="4"/>
      <c r="O1393" s="4"/>
      <c r="Q1393" s="4"/>
      <c r="AF1393" s="4"/>
    </row>
    <row r="1394" spans="11:32">
      <c r="K1394" s="4"/>
      <c r="L1394" s="4"/>
      <c r="O1394" s="4"/>
      <c r="Q1394" s="4"/>
      <c r="AF1394" s="4"/>
    </row>
    <row r="1395" spans="11:32">
      <c r="K1395" s="4"/>
      <c r="L1395" s="4"/>
      <c r="O1395" s="4"/>
      <c r="Q1395" s="4"/>
      <c r="AF1395" s="4"/>
    </row>
    <row r="1396" spans="11:32">
      <c r="K1396" s="4"/>
      <c r="L1396" s="4"/>
      <c r="O1396" s="4"/>
      <c r="Q1396" s="4"/>
      <c r="AF1396" s="4"/>
    </row>
    <row r="1397" spans="11:32">
      <c r="K1397" s="4"/>
      <c r="L1397" s="4"/>
      <c r="O1397" s="4"/>
      <c r="Q1397" s="4"/>
      <c r="AF1397" s="4"/>
    </row>
    <row r="1398" spans="11:32">
      <c r="K1398" s="4"/>
      <c r="L1398" s="4"/>
      <c r="O1398" s="4"/>
      <c r="Q1398" s="4"/>
      <c r="AF1398" s="4"/>
    </row>
    <row r="1399" spans="11:32">
      <c r="K1399" s="4"/>
      <c r="L1399" s="4"/>
      <c r="O1399" s="4"/>
      <c r="Q1399" s="4"/>
      <c r="AF1399" s="4"/>
    </row>
    <row r="1400" spans="11:32">
      <c r="K1400" s="4"/>
      <c r="L1400" s="4"/>
      <c r="O1400" s="4"/>
      <c r="Q1400" s="4"/>
      <c r="AF1400" s="4"/>
    </row>
    <row r="1401" spans="11:32">
      <c r="K1401" s="4"/>
      <c r="L1401" s="4"/>
      <c r="O1401" s="4"/>
      <c r="Q1401" s="4"/>
      <c r="AF1401" s="4"/>
    </row>
    <row r="1402" spans="11:32">
      <c r="K1402" s="4"/>
      <c r="L1402" s="4"/>
      <c r="O1402" s="4"/>
      <c r="Q1402" s="4"/>
      <c r="AF1402" s="4"/>
    </row>
    <row r="1403" spans="11:32">
      <c r="K1403" s="4"/>
      <c r="L1403" s="4"/>
      <c r="O1403" s="4"/>
      <c r="Q1403" s="4"/>
      <c r="AF1403" s="4"/>
    </row>
    <row r="1404" spans="11:32">
      <c r="K1404" s="4"/>
      <c r="L1404" s="4"/>
      <c r="O1404" s="4"/>
      <c r="Q1404" s="4"/>
      <c r="AF1404" s="4"/>
    </row>
    <row r="1405" spans="11:32">
      <c r="K1405" s="4"/>
      <c r="L1405" s="4"/>
      <c r="O1405" s="4"/>
      <c r="Q1405" s="4"/>
      <c r="AF1405" s="4"/>
    </row>
    <row r="1406" spans="11:32">
      <c r="K1406" s="4"/>
      <c r="L1406" s="4"/>
      <c r="O1406" s="4"/>
      <c r="Q1406" s="4"/>
      <c r="AF1406" s="4"/>
    </row>
    <row r="1407" spans="11:32">
      <c r="K1407" s="4"/>
      <c r="L1407" s="4"/>
      <c r="O1407" s="4"/>
      <c r="Q1407" s="4"/>
      <c r="AF1407" s="4"/>
    </row>
    <row r="1408" spans="11:32">
      <c r="K1408" s="4"/>
      <c r="L1408" s="4"/>
      <c r="O1408" s="4"/>
      <c r="Q1408" s="4"/>
      <c r="AF1408" s="4"/>
    </row>
    <row r="1409" spans="11:32">
      <c r="K1409" s="4"/>
      <c r="L1409" s="4"/>
      <c r="O1409" s="4"/>
      <c r="Q1409" s="4"/>
      <c r="AF1409" s="4"/>
    </row>
    <row r="1410" spans="11:32">
      <c r="K1410" s="4"/>
      <c r="L1410" s="4"/>
      <c r="O1410" s="4"/>
      <c r="Q1410" s="4"/>
      <c r="AF1410" s="4"/>
    </row>
    <row r="1411" spans="11:32">
      <c r="K1411" s="4"/>
      <c r="L1411" s="4"/>
      <c r="O1411" s="4"/>
      <c r="Q1411" s="4"/>
      <c r="AF1411" s="4"/>
    </row>
    <row r="1412" spans="11:32">
      <c r="K1412" s="4"/>
      <c r="L1412" s="4"/>
      <c r="O1412" s="4"/>
      <c r="Q1412" s="4"/>
      <c r="AF1412" s="4"/>
    </row>
    <row r="1413" spans="11:32">
      <c r="K1413" s="4"/>
      <c r="L1413" s="4"/>
      <c r="O1413" s="4"/>
      <c r="Q1413" s="4"/>
      <c r="AF1413" s="4"/>
    </row>
    <row r="1414" spans="11:32">
      <c r="K1414" s="4"/>
      <c r="L1414" s="4"/>
      <c r="O1414" s="4"/>
      <c r="Q1414" s="4"/>
      <c r="AF1414" s="4"/>
    </row>
    <row r="1415" spans="11:32">
      <c r="K1415" s="4"/>
      <c r="L1415" s="4"/>
      <c r="O1415" s="4"/>
      <c r="Q1415" s="4"/>
      <c r="AF1415" s="4"/>
    </row>
    <row r="1416" spans="11:32">
      <c r="K1416" s="4"/>
      <c r="L1416" s="4"/>
      <c r="O1416" s="4"/>
      <c r="Q1416" s="4"/>
      <c r="AF1416" s="4"/>
    </row>
    <row r="1417" spans="11:32">
      <c r="K1417" s="4"/>
      <c r="L1417" s="4"/>
      <c r="O1417" s="4"/>
      <c r="Q1417" s="4"/>
      <c r="AF1417" s="4"/>
    </row>
    <row r="1418" spans="11:32">
      <c r="K1418" s="4"/>
      <c r="L1418" s="4"/>
      <c r="O1418" s="4"/>
      <c r="Q1418" s="4"/>
      <c r="AF1418" s="4"/>
    </row>
    <row r="1419" spans="11:32">
      <c r="K1419" s="4"/>
      <c r="L1419" s="4"/>
      <c r="O1419" s="4"/>
      <c r="Q1419" s="4"/>
      <c r="AF1419" s="4"/>
    </row>
    <row r="1420" spans="11:32">
      <c r="K1420" s="4"/>
      <c r="L1420" s="4"/>
      <c r="O1420" s="4"/>
      <c r="Q1420" s="4"/>
      <c r="AF1420" s="4"/>
    </row>
    <row r="1421" spans="11:32">
      <c r="K1421" s="4"/>
      <c r="L1421" s="4"/>
      <c r="O1421" s="4"/>
      <c r="Q1421" s="4"/>
      <c r="AF1421" s="4"/>
    </row>
    <row r="1422" spans="11:32">
      <c r="K1422" s="4"/>
      <c r="L1422" s="4"/>
      <c r="O1422" s="4"/>
      <c r="Q1422" s="4"/>
      <c r="AF1422" s="4"/>
    </row>
    <row r="1423" spans="11:32">
      <c r="K1423" s="4"/>
      <c r="L1423" s="4"/>
      <c r="O1423" s="4"/>
      <c r="Q1423" s="4"/>
      <c r="AF1423" s="4"/>
    </row>
    <row r="1424" spans="11:32">
      <c r="K1424" s="4"/>
      <c r="L1424" s="4"/>
      <c r="O1424" s="4"/>
      <c r="Q1424" s="4"/>
      <c r="AF1424" s="4"/>
    </row>
    <row r="1425" spans="11:32">
      <c r="K1425" s="4"/>
      <c r="L1425" s="4"/>
      <c r="O1425" s="4"/>
      <c r="Q1425" s="4"/>
      <c r="AF1425" s="4"/>
    </row>
    <row r="1426" spans="11:32">
      <c r="K1426" s="4"/>
      <c r="L1426" s="4"/>
      <c r="O1426" s="4"/>
      <c r="Q1426" s="4"/>
      <c r="AF1426" s="4"/>
    </row>
    <row r="1427" spans="11:32">
      <c r="K1427" s="4"/>
      <c r="L1427" s="4"/>
      <c r="O1427" s="4"/>
      <c r="Q1427" s="4"/>
      <c r="AF1427" s="4"/>
    </row>
    <row r="1428" spans="11:32">
      <c r="K1428" s="4"/>
      <c r="L1428" s="4"/>
      <c r="O1428" s="4"/>
      <c r="Q1428" s="4"/>
      <c r="AF1428" s="4"/>
    </row>
  </sheetData>
  <phoneticPr fontId="14" type="noConversion"/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文件" ma:contentTypeID="0x01010062319BF34CFC214BABD267AD2C21012F" ma:contentTypeVersion="4" ma:contentTypeDescription="建立新的文件。" ma:contentTypeScope="" ma:versionID="529a34600e5b26307ab35e85a9303c58">
  <xsd:schema xmlns:xsd="http://www.w3.org/2001/XMLSchema" xmlns:xs="http://www.w3.org/2001/XMLSchema" xmlns:p="http://schemas.microsoft.com/office/2006/metadata/properties" xmlns:ns3="56a3e6e8-3c02-4f4a-83df-fb266bee411c" targetNamespace="http://schemas.microsoft.com/office/2006/metadata/properties" ma:root="true" ma:fieldsID="dc9bd8116f94ce6e2ac4c9242537e985" ns3:_="">
    <xsd:import namespace="56a3e6e8-3c02-4f4a-83df-fb266bee411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a3e6e8-3c02-4f4a-83df-fb266bee411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內容類型"/>
        <xsd:element ref="dc:title" minOccurs="0" maxOccurs="1" ma:index="4" ma:displayName="標題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3FCD6E53-5F65-429B-807B-DAFD6E634423}"/>
</file>

<file path=customXml/itemProps2.xml><?xml version="1.0" encoding="utf-8"?>
<ds:datastoreItem xmlns:ds="http://schemas.openxmlformats.org/officeDocument/2006/customXml" ds:itemID="{B097F28F-2873-4052-B7CD-20EEE48BCAD7}"/>
</file>

<file path=customXml/itemProps3.xml><?xml version="1.0" encoding="utf-8"?>
<ds:datastoreItem xmlns:ds="http://schemas.openxmlformats.org/officeDocument/2006/customXml" ds:itemID="{57BEB546-8EC1-4CEA-B8BC-3A65FA463306}"/>
</file>

<file path=customXml/itemProps4.xml><?xml version="1.0" encoding="utf-8"?>
<ds:datastoreItem xmlns:ds="http://schemas.openxmlformats.org/officeDocument/2006/customXml" ds:itemID="{C5C0D973-C04E-46F0-B75F-767A6B1F01D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Amanda Lee</dc:creator>
  <cp:keywords/>
  <dc:description/>
  <cp:lastModifiedBy/>
  <cp:revision/>
  <dcterms:created xsi:type="dcterms:W3CDTF">2015-06-05T18:17:20Z</dcterms:created>
  <dcterms:modified xsi:type="dcterms:W3CDTF">2024-10-10T20:20:10Z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0x01010062319BF34CFC214BABD267AD2C21012F</vt:lpwstr>
  </property>
</Properties>
</file>